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ta" sheetId="1" r:id="rId4"/>
    <sheet state="visible" name="Formula" sheetId="2" r:id="rId5"/>
    <sheet state="visible" name="Barang Keluar Untanna" sheetId="3" r:id="rId6"/>
    <sheet state="visible" name="Pivot" sheetId="4" r:id="rId7"/>
    <sheet state="visible" name="Barang Keluar Faktur" sheetId="5" r:id="rId8"/>
    <sheet state="visible" name="Pivot Faktur" sheetId="6" r:id="rId9"/>
  </sheets>
  <definedNames>
    <definedName hidden="1" localSheetId="2" name="_xlnm._FilterDatabase">'Barang Keluar Untanna'!$A$1:$U$5244</definedName>
    <definedName hidden="1" localSheetId="4" name="_xlnm._FilterDatabase">'Barang Keluar Faktur'!$A$1:$U$1233</definedName>
    <definedName hidden="1" localSheetId="2" name="Z_BC894DB0_F924_4C57_98DE_8C7F8F0663A9_.wvu.FilterData">'Barang Keluar Untanna'!$Q$1:$Q$3194</definedName>
    <definedName hidden="1" localSheetId="2" name="Z_7D540248_96D0_4FD5_AAA0_BF782FD2D6F4_.wvu.FilterData">'Barang Keluar Untanna'!$A$1:$U$5979</definedName>
    <definedName hidden="1" localSheetId="4" name="Z_EA78318A_6AE1_46CC_8B76_AE4774537EC5_.wvu.FilterData">'Barang Keluar Faktur'!$A$1:$U$177</definedName>
  </definedNames>
  <calcPr/>
  <customWorkbookViews>
    <customWorkbookView activeSheetId="0" maximized="1" windowHeight="0" windowWidth="0" guid="{7D540248-96D0-4FD5-AAA0-BF782FD2D6F4}" name="SHEREN"/>
    <customWorkbookView activeSheetId="0" maximized="1" windowHeight="0" windowWidth="0" guid="{BC894DB0-F924-4C57-98DE-8C7F8F0663A9}" name="Filter 2"/>
    <customWorkbookView activeSheetId="0" maximized="1" windowHeight="0" windowWidth="0" guid="{EA78318A-6AE1-46CC-8B76-AE4774537EC5}" name="Filter 1"/>
  </customWorkbookViews>
  <pivotCaches>
    <pivotCache cacheId="0" r:id="rId10"/>
    <pivotCache cacheId="1" r:id="rId11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2">
      <text>
        <t xml:space="preserve">ESTIMASI
	-Victoria Sheren
----
vlookup nota
	-Victoria Sheren</t>
      </text>
    </comment>
    <comment authorId="0" ref="L2">
      <text>
        <t xml:space="preserve">DITULISAN 432 PCS
	-Victoria Sheren</t>
      </text>
    </comment>
    <comment authorId="0" ref="E2">
      <text>
        <t xml:space="preserve">SUPP: ETJ
	-Victoria Sheren</t>
      </text>
    </comment>
  </commentList>
</comments>
</file>

<file path=xl/sharedStrings.xml><?xml version="1.0" encoding="utf-8"?>
<sst xmlns="http://schemas.openxmlformats.org/spreadsheetml/2006/main" count="39838" uniqueCount="5234">
  <si>
    <t>UNTANNA STATIONARY</t>
  </si>
  <si>
    <t>Tanggal:</t>
  </si>
  <si>
    <t>28 Februari 2024</t>
  </si>
  <si>
    <t>Toko:</t>
  </si>
  <si>
    <t>Siswa</t>
  </si>
  <si>
    <t>Kota:</t>
  </si>
  <si>
    <t>Muntilan</t>
  </si>
  <si>
    <t>NO NOTA:</t>
  </si>
  <si>
    <t>No Nota</t>
  </si>
  <si>
    <t>Toko</t>
  </si>
  <si>
    <t>Kota</t>
  </si>
  <si>
    <t>Kode</t>
  </si>
  <si>
    <t>Nama Barang</t>
  </si>
  <si>
    <t>Jumlah</t>
  </si>
  <si>
    <t>Satuan</t>
  </si>
  <si>
    <t>Harga</t>
  </si>
  <si>
    <t>Diskon</t>
  </si>
  <si>
    <t>Total</t>
  </si>
  <si>
    <t>PCA-IM29</t>
  </si>
  <si>
    <t>BOL-TZ347</t>
  </si>
  <si>
    <t>KAR-NB16</t>
  </si>
  <si>
    <t>TUS-XN2</t>
  </si>
  <si>
    <t>PCA-IM27</t>
  </si>
  <si>
    <t>ORI-AL1</t>
  </si>
  <si>
    <t>F.KAR-NB1</t>
  </si>
  <si>
    <t>Pengaduan kekurangan/kerusakan barang yang sudah diterima lewat dari10 hari dari tanggal nota, bukan tanggung jawab kami</t>
  </si>
  <si>
    <t>Tanda Terima</t>
  </si>
  <si>
    <t>Total Pembelian</t>
  </si>
  <si>
    <t>formula utn</t>
  </si>
  <si>
    <t>KO</t>
  </si>
  <si>
    <t>ANUGERAH SEJAHTERA-PURWOKERTO</t>
  </si>
  <si>
    <t>IST-IM1</t>
  </si>
  <si>
    <t>formula faktur</t>
  </si>
  <si>
    <t>H</t>
  </si>
  <si>
    <t>SISWA-KUTOARJO</t>
  </si>
  <si>
    <t>F.BOL-TZ44</t>
  </si>
  <si>
    <t>NOTA TOKO</t>
  </si>
  <si>
    <t>SALES</t>
  </si>
  <si>
    <t>TOKO-KOTA</t>
  </si>
  <si>
    <t>KODE BARANG</t>
  </si>
  <si>
    <t>NAMA BARANG</t>
  </si>
  <si>
    <t>UKURAN</t>
  </si>
  <si>
    <t>WARNA/MOTIF</t>
  </si>
  <si>
    <t>MERK</t>
  </si>
  <si>
    <t>SERI</t>
  </si>
  <si>
    <t>ADA DI DAFTAR STOCK?</t>
  </si>
  <si>
    <t>JUMLAH</t>
  </si>
  <si>
    <t>SATUAN</t>
  </si>
  <si>
    <t>HARGA</t>
  </si>
  <si>
    <t>DISKON</t>
  </si>
  <si>
    <t>TOTAL</t>
  </si>
  <si>
    <t>CONCAT HARGA</t>
  </si>
  <si>
    <t>TGL NOTA</t>
  </si>
  <si>
    <t>TGL GUDANG/ORDER</t>
  </si>
  <si>
    <t>TGL KOMP</t>
  </si>
  <si>
    <t>KOMENTAR</t>
  </si>
  <si>
    <t>TGL KIRIM</t>
  </si>
  <si>
    <t>NAMA BARANG NOTA</t>
  </si>
  <si>
    <t>G</t>
  </si>
  <si>
    <t>PRISMA-YOGYA</t>
  </si>
  <si>
    <t>OIL-DB2</t>
  </si>
  <si>
    <t>CRAYON DEBOZ 12W</t>
  </si>
  <si>
    <t>LSN</t>
  </si>
  <si>
    <t>OIL-DB6</t>
  </si>
  <si>
    <t>CRAYON DEBOZ 36W</t>
  </si>
  <si>
    <t>A</t>
  </si>
  <si>
    <t>AL IKHLAS-SOLO</t>
  </si>
  <si>
    <t>PCA-NB131</t>
  </si>
  <si>
    <t>PENCIL CASE KODE 3D 3 SUSUN 1299</t>
  </si>
  <si>
    <t>PCS</t>
  </si>
  <si>
    <t>SULUNG-SEMARANG</t>
  </si>
  <si>
    <t>CARRY FILE 8820 MIX</t>
  </si>
  <si>
    <t>JELASIN MIXNYA PA</t>
  </si>
  <si>
    <t>BK MEWARNAI BJ45</t>
  </si>
  <si>
    <t>BK MEWARNAI BJP</t>
  </si>
  <si>
    <t>BK MEWARNAI BJA</t>
  </si>
  <si>
    <t>BK MEWARNAI BOTD</t>
  </si>
  <si>
    <t>IDC-IM22</t>
  </si>
  <si>
    <t>ID CARD B4 IMPORT</t>
  </si>
  <si>
    <t>DRA-IM13</t>
  </si>
  <si>
    <t>BWA-IM13</t>
  </si>
  <si>
    <t>STUDY BOARD (BK MEWARNAI) JQ-1909</t>
  </si>
  <si>
    <t>STB-TF22</t>
  </si>
  <si>
    <t>STABILLO BRUSH MARKER PEN WB TF-1050 12W</t>
  </si>
  <si>
    <t>SET</t>
  </si>
  <si>
    <t>HANSA-SEMARANG</t>
  </si>
  <si>
    <t>IGE-IM11</t>
  </si>
  <si>
    <t>REFILL PEN GR-089 (ISI 6 PCS)</t>
  </si>
  <si>
    <t>BOX</t>
  </si>
  <si>
    <t>IGE-IM1</t>
  </si>
  <si>
    <t>IGE-NB1</t>
  </si>
  <si>
    <t>ISI GEL GR 089 (12PCS TABUNG)</t>
  </si>
  <si>
    <t>INDOGLOBAL-PATI</t>
  </si>
  <si>
    <t>CBO-NB5</t>
  </si>
  <si>
    <t>CLIPBOARD SQ KAYU KOTAK</t>
  </si>
  <si>
    <t>PCA-NB125</t>
  </si>
  <si>
    <t>PENCIL CASE MAGNET 8631 + CALL</t>
  </si>
  <si>
    <t>DR-PATI</t>
  </si>
  <si>
    <t>IDC-NB19</t>
  </si>
  <si>
    <t>TALI ID CARD PEONY MERAH</t>
  </si>
  <si>
    <t>BEDA SATUAN</t>
  </si>
  <si>
    <t>IDC-NB14</t>
  </si>
  <si>
    <t>TALI ID CARD PEONY BIRU</t>
  </si>
  <si>
    <t>SASA-BOJONEGORO</t>
  </si>
  <si>
    <t>PCA-IM135</t>
  </si>
  <si>
    <t>PENCIL CASE 588-157 MAGNET</t>
  </si>
  <si>
    <t>PCA-IM98</t>
  </si>
  <si>
    <t>PENSIL CASE QY-2023 MOBIL</t>
  </si>
  <si>
    <t>PCA-IM70</t>
  </si>
  <si>
    <t>PENCIL CASE KALENG BH-20232</t>
  </si>
  <si>
    <t>ANGKASA JAYA-BREBES</t>
  </si>
  <si>
    <t>JARUM CASING</t>
  </si>
  <si>
    <t>RATNA-WONOSOBO</t>
  </si>
  <si>
    <t>ISI STAPLER 13/8 JOSS</t>
  </si>
  <si>
    <t>PAK</t>
  </si>
  <si>
    <t>INDOFOTOCOPY-PARAKAN</t>
  </si>
  <si>
    <t>STI-NB8</t>
  </si>
  <si>
    <t>STIP W/B CLEAR B</t>
  </si>
  <si>
    <t>TIP-IM29</t>
  </si>
  <si>
    <t>TIPEX KERTAS NO.9443</t>
  </si>
  <si>
    <t>PUTRA MURIA-PATI</t>
  </si>
  <si>
    <t>LEM-WM2</t>
  </si>
  <si>
    <t>LEM BAKAR STIK 7X30 WOMY PUTIH K</t>
  </si>
  <si>
    <t>LEM-WM17</t>
  </si>
  <si>
    <t>LEM BAKAR STIK 11X29 WOMY PUTIH B</t>
  </si>
  <si>
    <t>GAR-VO5</t>
  </si>
  <si>
    <t>GARISAN BESI V-TRO 30CM</t>
  </si>
  <si>
    <t>JAN-NB4</t>
  </si>
  <si>
    <t>JANGKA A5 3328 FANCY</t>
  </si>
  <si>
    <t>PEN-TF11</t>
  </si>
  <si>
    <t>PENSIL TF 688</t>
  </si>
  <si>
    <t>GRS</t>
  </si>
  <si>
    <t>PEN-TF10</t>
  </si>
  <si>
    <t>PENSIL TF 488</t>
  </si>
  <si>
    <t>PEN-TF21</t>
  </si>
  <si>
    <t>PENSIL TF 888</t>
  </si>
  <si>
    <t>PEN-TF22</t>
  </si>
  <si>
    <t>PENSIL TF 168</t>
  </si>
  <si>
    <t>GAR-NB198</t>
  </si>
  <si>
    <t>GARISAN LIPAT 008 (40) 30 CM FANCY</t>
  </si>
  <si>
    <t>DIS-KE9</t>
  </si>
  <si>
    <t>DISPENSER KENJOY 50</t>
  </si>
  <si>
    <t>ASAHAN PAYU</t>
  </si>
  <si>
    <t>BOL-IM264</t>
  </si>
  <si>
    <t>BP GEL DTIAN 923</t>
  </si>
  <si>
    <t>BOL-IM222</t>
  </si>
  <si>
    <t>BP GEL DTIAN BIASA 6605</t>
  </si>
  <si>
    <t>BOL-IM263</t>
  </si>
  <si>
    <t>BP GEL 922</t>
  </si>
  <si>
    <t>BOL-IM247</t>
  </si>
  <si>
    <t>BP GEL 8805</t>
  </si>
  <si>
    <t>BOL-IM235</t>
  </si>
  <si>
    <t>BP GEL DTIAN 837</t>
  </si>
  <si>
    <t>BENSIA BONEKA MOTIF COWOK 90</t>
  </si>
  <si>
    <t>BENSIA BONEKA MOTIF CEWEK 921</t>
  </si>
  <si>
    <t>METRO-PURWOKERTO</t>
  </si>
  <si>
    <t>TAS-NB264</t>
  </si>
  <si>
    <t>TAS KARUNG 60X45</t>
  </si>
  <si>
    <t>TAS-NB170</t>
  </si>
  <si>
    <t>TAS-170</t>
  </si>
  <si>
    <t>TAS KARUNG 55X65</t>
  </si>
  <si>
    <t>BOX-EN10</t>
  </si>
  <si>
    <t>BOX FILE KANCING LIPAT ENTER HITAM</t>
  </si>
  <si>
    <t>KAR-KJ1</t>
  </si>
  <si>
    <t>KARTU ABSENSI KOJIKO DUS MERAH</t>
  </si>
  <si>
    <t>BOX-MC2</t>
  </si>
  <si>
    <t>BOX FILE MICROTOP A.618/ 3 SUSUN</t>
  </si>
  <si>
    <t>BOX-MC3</t>
  </si>
  <si>
    <t>BOX FILE MICROTOP A.648/ 4 SUSUN</t>
  </si>
  <si>
    <t>STEMPEL FANCY 2000 G</t>
  </si>
  <si>
    <t>KUAS SET WLT 6636</t>
  </si>
  <si>
    <t>KUAS JOSS E-05</t>
  </si>
  <si>
    <t>KUA-IM24</t>
  </si>
  <si>
    <t>KUAS K7NIL</t>
  </si>
  <si>
    <t>KUAS 21839-4</t>
  </si>
  <si>
    <t>BUSINESS FILE SIKA</t>
  </si>
  <si>
    <t>BUSINESS FILE ENTER</t>
  </si>
  <si>
    <t>BUSINESS FILE BIG</t>
  </si>
  <si>
    <t>BUSINESS FILE MICROTOP</t>
  </si>
  <si>
    <t>MAP-TX13</t>
  </si>
  <si>
    <t>MAP FILE EN 1020</t>
  </si>
  <si>
    <t>NOT-IM57</t>
  </si>
  <si>
    <t>NOTEBOOK 18100-62</t>
  </si>
  <si>
    <t>NOT-IM27</t>
  </si>
  <si>
    <t>NOTEBOOK SPIRAL 28850-65</t>
  </si>
  <si>
    <t>NOT-IM43</t>
  </si>
  <si>
    <t>NOTEBOOK SPIRAL 50100-71</t>
  </si>
  <si>
    <t>NOT-IM39</t>
  </si>
  <si>
    <t>NOTEBOOK SPIRAL 28850-61</t>
  </si>
  <si>
    <t>KUA-TF1</t>
  </si>
  <si>
    <t>KUAS TF-2620</t>
  </si>
  <si>
    <t>KUAS 21839-5HB</t>
  </si>
  <si>
    <t>KUAS SET WLT B 5795</t>
  </si>
  <si>
    <t>KUAS SET 251-6CB</t>
  </si>
  <si>
    <t>KUAS 21839-4Q</t>
  </si>
  <si>
    <t>BOL-TF330</t>
  </si>
  <si>
    <t>BP TF-3115 HIGHTECH KNOCK</t>
  </si>
  <si>
    <t>BOL-TF344</t>
  </si>
  <si>
    <t>BP TF G-3114 0.3MM HIGHTECH KNOCK</t>
  </si>
  <si>
    <t>BOL-TF27</t>
  </si>
  <si>
    <t>BP TF 1022</t>
  </si>
  <si>
    <t>BOL-TF337</t>
  </si>
  <si>
    <t>BP GEL TF-1190 0.3MM HIGHTECH (B)</t>
  </si>
  <si>
    <t>BOL-IM308</t>
  </si>
  <si>
    <t>BP HITECH JOSS GP-168 0.28MM</t>
  </si>
  <si>
    <t>BOL-IM311</t>
  </si>
  <si>
    <t>BP HITECH JOSS-188 B 0.28MM BIRU</t>
  </si>
  <si>
    <t>BOL-IM309</t>
  </si>
  <si>
    <t>BP GEL KOALA GP-168</t>
  </si>
  <si>
    <t>TAS BRANDED 28 X 35.5</t>
  </si>
  <si>
    <t>TAS-NB149</t>
  </si>
  <si>
    <t>TAS JASMIN TANGGUNG</t>
  </si>
  <si>
    <t>TAS-NB147</t>
  </si>
  <si>
    <t>TAS JASMIN BESAR</t>
  </si>
  <si>
    <t>TAS-NB82</t>
  </si>
  <si>
    <t>TAS COKLAT TEBAL KECIL</t>
  </si>
  <si>
    <t>TAS-NB81</t>
  </si>
  <si>
    <t>TAS COKLAT TEBAL BESAR</t>
  </si>
  <si>
    <t>TAS-IM122</t>
  </si>
  <si>
    <t>TAS TALI GG-03 BESAR GLITTER</t>
  </si>
  <si>
    <t>TAS SM L 2097-1</t>
  </si>
  <si>
    <t>TAS HZD 9101 A-3 BESAR</t>
  </si>
  <si>
    <t>TAS 1830 M GILAP TANGGUNG</t>
  </si>
  <si>
    <t>TAS-NB208</t>
  </si>
  <si>
    <t>TAS-208</t>
  </si>
  <si>
    <t>TAS LY HD 148 B</t>
  </si>
  <si>
    <t>TAS BI 3022 TANGGUNG</t>
  </si>
  <si>
    <t>TAS-NB209</t>
  </si>
  <si>
    <t>TAS LY HD 149 B</t>
  </si>
  <si>
    <t>TAS GLITTER 690 TIMBUL TANGGUNG</t>
  </si>
  <si>
    <t>TAS GM 1800 MT6 GILAP</t>
  </si>
  <si>
    <t>TAS XM-M 2024-1 GLITTER TANGGUNG</t>
  </si>
  <si>
    <t>TAS-IM23</t>
  </si>
  <si>
    <t>TAS 2850-L (TANGGUNG TIMBUL GLITTER)</t>
  </si>
  <si>
    <t>TAS SM 2835 TG GLITTER</t>
  </si>
  <si>
    <t>TAS 2106 GLITTER K-2106</t>
  </si>
  <si>
    <t>TAS-IM237</t>
  </si>
  <si>
    <t>TAS NO-3026-L GLITTER TANGGUNG</t>
  </si>
  <si>
    <t>TAS GM 1803-4 GILAP TANGGUNG</t>
  </si>
  <si>
    <t>TAS-NB214</t>
  </si>
  <si>
    <t>TAS-214</t>
  </si>
  <si>
    <t>TAS LYSD 229 K</t>
  </si>
  <si>
    <t>TAS 9155 GLITTER KECIL</t>
  </si>
  <si>
    <t>TAS 6-1 BIASA KECIL MIX</t>
  </si>
  <si>
    <t>TAS-IM360</t>
  </si>
  <si>
    <t>TAS 203C GLITTER KECIL</t>
  </si>
  <si>
    <t>TAS HZD 2133 GLITTER KECIL</t>
  </si>
  <si>
    <t>TAS-IM252</t>
  </si>
  <si>
    <t>TAS TUTUP PITA KADO FG-201 TANGGUNG</t>
  </si>
  <si>
    <t>TAS-IM251</t>
  </si>
  <si>
    <t>TAS TUTUP PITA KADO FG-101 KECIL</t>
  </si>
  <si>
    <t>TAS-IM254</t>
  </si>
  <si>
    <t>TAS TUTUP PITA KADO FG-401 JUMBO</t>
  </si>
  <si>
    <t>TAS-110</t>
  </si>
  <si>
    <t>TAS GG 03 9060</t>
  </si>
  <si>
    <t>TAS-IM187</t>
  </si>
  <si>
    <t>TAS KERTAS 8867A</t>
  </si>
  <si>
    <t>TAS 3589-5-4 KECIL</t>
  </si>
  <si>
    <t>TAS-NB216</t>
  </si>
  <si>
    <t>TAS-216</t>
  </si>
  <si>
    <t>TAS LYSD 572 K</t>
  </si>
  <si>
    <t>TAS-NB213</t>
  </si>
  <si>
    <t>TAS-213</t>
  </si>
  <si>
    <t>TAS LYSD 154 K</t>
  </si>
  <si>
    <t>TAS-IM234</t>
  </si>
  <si>
    <t>TAS NO-1036-M/ K</t>
  </si>
  <si>
    <t>BIN-NB4</t>
  </si>
  <si>
    <t>BINDER NOTE B5-60 FPHY 002</t>
  </si>
  <si>
    <t>TAS TIMBUL GLITTER KECIL 2905</t>
  </si>
  <si>
    <t>TAS LYSD 234</t>
  </si>
  <si>
    <t>TAS-294</t>
  </si>
  <si>
    <t>TAS POLOS 131 K</t>
  </si>
  <si>
    <t>TAS 2069 GLITTER TIMBUL BESAR</t>
  </si>
  <si>
    <t>PEMBATAS L LEAF A5 UTN</t>
  </si>
  <si>
    <t>PEMBATAS L LEAF B5 UTM</t>
  </si>
  <si>
    <t>TAS SM 1035-4 GLITTER TIMBUL KECIL</t>
  </si>
  <si>
    <t>N BOOK SPIRAL 76</t>
  </si>
  <si>
    <t>KUAS SET 255-16</t>
  </si>
  <si>
    <t>NOT-IM99</t>
  </si>
  <si>
    <t>NOTEBOOK B1010 (A5)</t>
  </si>
  <si>
    <t>STOCK BELUM LENGKAP</t>
  </si>
  <si>
    <t>KUAS 21839-5H</t>
  </si>
  <si>
    <t>KUAS K-5 NIL</t>
  </si>
  <si>
    <t>MAP TOPLA 3080</t>
  </si>
  <si>
    <t>MAP TOPLA 3090</t>
  </si>
  <si>
    <t>MAP KCG 2 WARNA</t>
  </si>
  <si>
    <t>MAP KCG 2 DOP</t>
  </si>
  <si>
    <t>MAP KCG 2 MOTIF</t>
  </si>
  <si>
    <t>MAP ZIPPER REST WARNA</t>
  </si>
  <si>
    <t>MAP ZIPPER REST SIKA</t>
  </si>
  <si>
    <t>MAP ZIPPER REST-004 KECIL</t>
  </si>
  <si>
    <t>MAP REST TOPLA 1383</t>
  </si>
  <si>
    <t>KAR-LG1</t>
  </si>
  <si>
    <t>KARET PENTIL KECIL</t>
  </si>
  <si>
    <t>KARET PENTIL ESAR</t>
  </si>
  <si>
    <t>BN WENGU A5-B 0164</t>
  </si>
  <si>
    <t>NOT-IM49</t>
  </si>
  <si>
    <t>NOTEBOOK B1012 (A5)</t>
  </si>
  <si>
    <t>NOT-IM48</t>
  </si>
  <si>
    <t>NOTEBOOK B1018 (B5)</t>
  </si>
  <si>
    <t>NOT-IM50</t>
  </si>
  <si>
    <t>NOTEBOOK B1019 (B5)</t>
  </si>
  <si>
    <t>NOT-IM20</t>
  </si>
  <si>
    <t>NOTEBOOK B0217 (B5)</t>
  </si>
  <si>
    <t>BIN-WN2</t>
  </si>
  <si>
    <t>BINDER NOTE WENGU A5 FPHY 002</t>
  </si>
  <si>
    <t>BOL-TF343</t>
  </si>
  <si>
    <t>BP TF-2037 6W</t>
  </si>
  <si>
    <t>BOL-VO123</t>
  </si>
  <si>
    <t>BP V-TRO 217</t>
  </si>
  <si>
    <t>BOL-VO132</t>
  </si>
  <si>
    <t>BP V-TRO 239</t>
  </si>
  <si>
    <t>BOL-HT358</t>
  </si>
  <si>
    <t>BP HILLTOP HT-1020</t>
  </si>
  <si>
    <t>BOL-NB310</t>
  </si>
  <si>
    <t>BP TEACH JOB TG 501</t>
  </si>
  <si>
    <t>BOL-VO122</t>
  </si>
  <si>
    <t>BP V-TRO 216</t>
  </si>
  <si>
    <t>BOL-VO125</t>
  </si>
  <si>
    <t>BP V-TRO 222</t>
  </si>
  <si>
    <t>BOL-VN24</t>
  </si>
  <si>
    <t>BP GELL VC 1602 BTS</t>
  </si>
  <si>
    <t>STI-EN6</t>
  </si>
  <si>
    <t>STIP W/B ENTER 802K</t>
  </si>
  <si>
    <t>STI-EN14</t>
  </si>
  <si>
    <t>STIP W/B ENTER 803 B</t>
  </si>
  <si>
    <t>STI-NB9</t>
  </si>
  <si>
    <t>STIP W/B CLEAR K</t>
  </si>
  <si>
    <t>JAN-IM9</t>
  </si>
  <si>
    <t>JANGKA MS-403</t>
  </si>
  <si>
    <t>JAN-IM10</t>
  </si>
  <si>
    <t>JANGKA MS-404</t>
  </si>
  <si>
    <t>JAN-IM11</t>
  </si>
  <si>
    <t>JANGKA MS-405</t>
  </si>
  <si>
    <t>STI-KE13</t>
  </si>
  <si>
    <t>STIP W/B KENJOY LUBANG K</t>
  </si>
  <si>
    <t>BP KOXI KX-701 A</t>
  </si>
  <si>
    <t>GAR-EN37</t>
  </si>
  <si>
    <t>GARISAN MIKA ENTER 40CM</t>
  </si>
  <si>
    <t>GAR-EN8</t>
  </si>
  <si>
    <t>GARISAN MIKA ENTER 50CM</t>
  </si>
  <si>
    <t>GAR-EN253</t>
  </si>
  <si>
    <t>GARISAN MIKA ENTER 60 CM</t>
  </si>
  <si>
    <t>PALETTE 21839-10</t>
  </si>
  <si>
    <t>GAR-YK155</t>
  </si>
  <si>
    <t>GAR-155</t>
  </si>
  <si>
    <t>GARISAN 30CM BESI 5030 YOEKER ORANGE</t>
  </si>
  <si>
    <t>GAR-BT28</t>
  </si>
  <si>
    <t>GAR-28</t>
  </si>
  <si>
    <t>GARISAN BT NO.10</t>
  </si>
  <si>
    <t>GAR-BT30</t>
  </si>
  <si>
    <t>GAR-30</t>
  </si>
  <si>
    <t>GARISAN BT NO.12</t>
  </si>
  <si>
    <t>GARISAN BT 740</t>
  </si>
  <si>
    <t>GAR-NB84</t>
  </si>
  <si>
    <t>GAR-84</t>
  </si>
  <si>
    <t>GARISAN SET 7006 BLK</t>
  </si>
  <si>
    <t>GARISAN KJ 003</t>
  </si>
  <si>
    <t>GAR-NB63</t>
  </si>
  <si>
    <t>GAR-63</t>
  </si>
  <si>
    <t>GARISAN ROTARY 1020 (JOS) BSR</t>
  </si>
  <si>
    <t>GAR-NB74</t>
  </si>
  <si>
    <t>GARISAN SET BJ 20136</t>
  </si>
  <si>
    <t>GAR-KY173</t>
  </si>
  <si>
    <t>GARISAN 30CM KAYAGI 3122</t>
  </si>
  <si>
    <t>GAR-KY174</t>
  </si>
  <si>
    <t>GAR-174</t>
  </si>
  <si>
    <t>GARISAN 30CM KAYAGI 3123</t>
  </si>
  <si>
    <t>GAR-KY172</t>
  </si>
  <si>
    <t>GAR-172</t>
  </si>
  <si>
    <t>GARISAN 30CM KAYAGI 3121</t>
  </si>
  <si>
    <t>GAR-KY176</t>
  </si>
  <si>
    <t>GAR-176</t>
  </si>
  <si>
    <t>GARISAN 30CM KAYAGI 3125</t>
  </si>
  <si>
    <t>GAR-TF249</t>
  </si>
  <si>
    <t>GARISAN TF 1989 LINGKARAN</t>
  </si>
  <si>
    <t>GAR-TF250</t>
  </si>
  <si>
    <t>GARISAN BUSUR TF 1991</t>
  </si>
  <si>
    <t>GAR-TF251</t>
  </si>
  <si>
    <t>GARISAN TF 1992</t>
  </si>
  <si>
    <t>GARISAN 30CM 360 WR</t>
  </si>
  <si>
    <t>GAR-TF111</t>
  </si>
  <si>
    <t>GARISAN BUSUR TF 1988-180</t>
  </si>
  <si>
    <t>GAR-IM216</t>
  </si>
  <si>
    <t>GARISAN BC-6018</t>
  </si>
  <si>
    <t>GAR-IM225</t>
  </si>
  <si>
    <t>GARISAN KM-8833</t>
  </si>
  <si>
    <t>GAR-IM235</t>
  </si>
  <si>
    <t>GARISAN ZH-243</t>
  </si>
  <si>
    <t>GAR-IM238</t>
  </si>
  <si>
    <t>GARISAN ZH-251 20 CM</t>
  </si>
  <si>
    <t>GARISAN 20CM ALUMINIUM</t>
  </si>
  <si>
    <t>GARISAN 30CM ALUMINIUM</t>
  </si>
  <si>
    <t>GAR-IM236</t>
  </si>
  <si>
    <t>GARISAN ZH-248</t>
  </si>
  <si>
    <t>GAR-NB68</t>
  </si>
  <si>
    <t>GAR-68</t>
  </si>
  <si>
    <t>GARISAN SABLON 430</t>
  </si>
  <si>
    <t>GUN-TR88</t>
  </si>
  <si>
    <t>GUNTING TREND SS</t>
  </si>
  <si>
    <t>GUN-TR86</t>
  </si>
  <si>
    <t>GUNTING TREND LL</t>
  </si>
  <si>
    <t>GUN-TR89</t>
  </si>
  <si>
    <t>GUN-89</t>
  </si>
  <si>
    <t>GUNTING TREND XL</t>
  </si>
  <si>
    <t>GUN-NB80</t>
  </si>
  <si>
    <t>GUN-80</t>
  </si>
  <si>
    <t>GUNTING STAINLESS SQ 05 B HITAM</t>
  </si>
  <si>
    <t>GUN-ID35</t>
  </si>
  <si>
    <t>GUNTING IDEAL DR 5</t>
  </si>
  <si>
    <t>GUN-GN1</t>
  </si>
  <si>
    <t>GUNTING GUNINDO MM GU03</t>
  </si>
  <si>
    <t>GUN-TR87</t>
  </si>
  <si>
    <t>GUNTING TREND MM</t>
  </si>
  <si>
    <t>GUN-NB85</t>
  </si>
  <si>
    <t>GUN-85</t>
  </si>
  <si>
    <t>GUNTING STAINLESS SQUEZZY SQ06C WARNA</t>
  </si>
  <si>
    <t>GUN-DV14</t>
  </si>
  <si>
    <t>GUNTING DAVIS DVL 6</t>
  </si>
  <si>
    <t>BOL-ZX335</t>
  </si>
  <si>
    <t>BP GEL ZUI ZHUA HY-1020 HITAM</t>
  </si>
  <si>
    <t>BOL-ZZ384</t>
  </si>
  <si>
    <t>BP GEL ZUI ZHUA HY-1020 BIRU</t>
  </si>
  <si>
    <t>BOL-ZX148</t>
  </si>
  <si>
    <t>BP GEL ZUI ZHUA HY-1020 MERAH</t>
  </si>
  <si>
    <t>GAR-BT27</t>
  </si>
  <si>
    <t>GAR-27</t>
  </si>
  <si>
    <t>GARISAN BT NO 15 SEGITIGA</t>
  </si>
  <si>
    <t>CAT-TF7</t>
  </si>
  <si>
    <t>CAT ACRYLIC TF 001</t>
  </si>
  <si>
    <t>CAT-TF15</t>
  </si>
  <si>
    <t>CAT ACRYLIC COLOUR TF AC-006M METALIC</t>
  </si>
  <si>
    <t>CAT-TF14</t>
  </si>
  <si>
    <t>CAT ACRYLIC COLOUR TF AC-005P PASTEL</t>
  </si>
  <si>
    <t>BOL-IM240</t>
  </si>
  <si>
    <t>BP GEL DTIAN 8801</t>
  </si>
  <si>
    <t>BOL-CS99</t>
  </si>
  <si>
    <t>BP COSH CS 8601</t>
  </si>
  <si>
    <t>ISI HITECH JOSS HITAM</t>
  </si>
  <si>
    <t>BENSIA 711</t>
  </si>
  <si>
    <t>BENSIA 950</t>
  </si>
  <si>
    <t>BENSIA 925</t>
  </si>
  <si>
    <t>BENSIA 938</t>
  </si>
  <si>
    <t>BENSIA 953</t>
  </si>
  <si>
    <t>BENSIA 948</t>
  </si>
  <si>
    <t>BENSIA 917</t>
  </si>
  <si>
    <t>BENSIA 947</t>
  </si>
  <si>
    <t>BOL-IM287</t>
  </si>
  <si>
    <t>BP GEL BP-8793</t>
  </si>
  <si>
    <t>BP GEL BP-8783</t>
  </si>
  <si>
    <t>BOL-IM286</t>
  </si>
  <si>
    <t>BP GEL BP-8788</t>
  </si>
  <si>
    <t>BOL-IM238</t>
  </si>
  <si>
    <t>BP GEL 8789</t>
  </si>
  <si>
    <t>BOL-IM283</t>
  </si>
  <si>
    <t>BP GEL BP-8781</t>
  </si>
  <si>
    <t>BOL-IM284</t>
  </si>
  <si>
    <t>BP GEL BP-8782</t>
  </si>
  <si>
    <t>BOL-IM282</t>
  </si>
  <si>
    <t>BP GEL + GANTUNGAN A931</t>
  </si>
  <si>
    <t>GEL 2801 + 6K</t>
  </si>
  <si>
    <t>TIP-IM18</t>
  </si>
  <si>
    <t>TIPEX KERTAS NO.8539</t>
  </si>
  <si>
    <t>TIP-IM35</t>
  </si>
  <si>
    <t>TIPEX KERTAS NO.8546</t>
  </si>
  <si>
    <t>TIP-IM15</t>
  </si>
  <si>
    <t>TIPEX KERTAS 8525</t>
  </si>
  <si>
    <t>BEN-PN17</t>
  </si>
  <si>
    <t>BENSIA 03LM4 (6202)</t>
  </si>
  <si>
    <t>BEN-NB10</t>
  </si>
  <si>
    <t>BENSIA ZC 9937 (50)</t>
  </si>
  <si>
    <t>BEN-PN23</t>
  </si>
  <si>
    <t>BENSIA 09LM1 (6213)</t>
  </si>
  <si>
    <t>BEN-PN18</t>
  </si>
  <si>
    <t>BENSIA CYLN 6203/ 5333</t>
  </si>
  <si>
    <t>BEN-PN25</t>
  </si>
  <si>
    <t>BENSIA 13LM1 (6212)</t>
  </si>
  <si>
    <t>BOL-NB380</t>
  </si>
  <si>
    <t>BP ST 500 LIGHT</t>
  </si>
  <si>
    <t>BOL-IM364</t>
  </si>
  <si>
    <t>BP GEL DTIAN A 93</t>
  </si>
  <si>
    <t>MECHPEN TIZO 01730</t>
  </si>
  <si>
    <t>GEL KOXI 704 A</t>
  </si>
  <si>
    <t>BOL-IM230</t>
  </si>
  <si>
    <t>BP GEL DTIAN DT-830 + STIP</t>
  </si>
  <si>
    <t>BOL-IM232</t>
  </si>
  <si>
    <t>BP GEL DTIAN DT-832 + STIP</t>
  </si>
  <si>
    <t>BOL-IM234</t>
  </si>
  <si>
    <t>BP GEL DTIAN DT-835 + STIP</t>
  </si>
  <si>
    <t>BOL-IM236</t>
  </si>
  <si>
    <t>BP GEL 837 + STIP</t>
  </si>
  <si>
    <t>BOL-IM242</t>
  </si>
  <si>
    <t>BP GEL 8801 + STIP</t>
  </si>
  <si>
    <t>BOL-IM245</t>
  </si>
  <si>
    <t>BP GEL 8803 + STIP</t>
  </si>
  <si>
    <t>BOL-IM248</t>
  </si>
  <si>
    <t>BP GEL 8805 + STIP</t>
  </si>
  <si>
    <t>BOL-IM251</t>
  </si>
  <si>
    <t>BP GEL 8807 + STIP</t>
  </si>
  <si>
    <t>WC 12W MOZAKI</t>
  </si>
  <si>
    <t>GARISAN ROTARY KCL</t>
  </si>
  <si>
    <t>TEMPELAN KACA 6</t>
  </si>
  <si>
    <t>TEMPELAN KACA 8</t>
  </si>
  <si>
    <t>CUT-TC7</t>
  </si>
  <si>
    <t>CUTTER TACO 78 KECIL TRANSPARAN</t>
  </si>
  <si>
    <t>CUT-TC8</t>
  </si>
  <si>
    <t>CUTTER TACO 88 BESAR</t>
  </si>
  <si>
    <t>MAGNET T 3008</t>
  </si>
  <si>
    <t>ISOLASI 1503-CD BIASA</t>
  </si>
  <si>
    <t>ISOLASI 1503-CD PELANGI</t>
  </si>
  <si>
    <t>PAK (10)</t>
  </si>
  <si>
    <t>TAP-IM6</t>
  </si>
  <si>
    <t>TAPE 1505 FANCY</t>
  </si>
  <si>
    <t>ISOLASI FANCY GRAFINDO</t>
  </si>
  <si>
    <t>ISOLASI FANCY POLOS HANSA</t>
  </si>
  <si>
    <t>ASA-PY130</t>
  </si>
  <si>
    <t>ASAHAN PAYU 845 KEPITING</t>
  </si>
  <si>
    <t>ASA-PY131</t>
  </si>
  <si>
    <t>ASAHAN PAYU 846 KUDA GOYANG</t>
  </si>
  <si>
    <t>ASA-PY135</t>
  </si>
  <si>
    <t>ASAHAN PAYU 856 ANJING</t>
  </si>
  <si>
    <t>ASA-PY129</t>
  </si>
  <si>
    <t>ASAHAN PAYU 831 IKAN</t>
  </si>
  <si>
    <t>ASAHAN PAYU 844</t>
  </si>
  <si>
    <t>ASA-PY136</t>
  </si>
  <si>
    <t>ASAHAN PAYU 823 AYAM</t>
  </si>
  <si>
    <t>ASA-PY134</t>
  </si>
  <si>
    <t>ASAHAN PAYU 851 PERMEN</t>
  </si>
  <si>
    <t>ASAHAN XX-09</t>
  </si>
  <si>
    <t>LEM-NB6</t>
  </si>
  <si>
    <t>LEM CAIR BY 820 30ML (24)</t>
  </si>
  <si>
    <t>ASA-IM53</t>
  </si>
  <si>
    <t>ASAHAN 8095</t>
  </si>
  <si>
    <t>ASA-IM59</t>
  </si>
  <si>
    <t>ASAHAN 8809</t>
  </si>
  <si>
    <t>ASA-NB110</t>
  </si>
  <si>
    <t>ASAHAN TOPLES SP 8865 IKAN</t>
  </si>
  <si>
    <t>ASA-IM72</t>
  </si>
  <si>
    <t>ASAHAN NO.8807</t>
  </si>
  <si>
    <t>LEM-NB10</t>
  </si>
  <si>
    <t>LEM FANCY MY 105 (12)</t>
  </si>
  <si>
    <t>PAL-NB3</t>
  </si>
  <si>
    <t>PALET CAT AIR SAKURA TRANS</t>
  </si>
  <si>
    <t>PALET SAKURA LKU</t>
  </si>
  <si>
    <t>PALET SAKURA KEPITING</t>
  </si>
  <si>
    <t>PAL-NB4</t>
  </si>
  <si>
    <t>PALET CAT AIR SAKURA PUTIH UTN</t>
  </si>
  <si>
    <t>PAL-IM6</t>
  </si>
  <si>
    <t>PALET 21839-12</t>
  </si>
  <si>
    <t>ID CARD ID-168</t>
  </si>
  <si>
    <t>HITAM</t>
  </si>
  <si>
    <t>PUTIH</t>
  </si>
  <si>
    <t>ABU-ABU</t>
  </si>
  <si>
    <t>PC MIKA CERMIN PC 218</t>
  </si>
  <si>
    <t>PC BOX P1036</t>
  </si>
  <si>
    <t>PCA-IM121</t>
  </si>
  <si>
    <t>PENSIL CASE ZL-178-1 MOBIL K</t>
  </si>
  <si>
    <t>PC KLG 3348 MINION</t>
  </si>
  <si>
    <t>PCA-IM95</t>
  </si>
  <si>
    <t>PENSIL CASE PC-633-5 MOBIL K</t>
  </si>
  <si>
    <t>PCA-IM44</t>
  </si>
  <si>
    <t>PENSIL CASE 5872</t>
  </si>
  <si>
    <t>PCA-IM36</t>
  </si>
  <si>
    <t>PENSIL CASE 5851</t>
  </si>
  <si>
    <t>PCA-IM32</t>
  </si>
  <si>
    <t>PENSIL CASE 5842</t>
  </si>
  <si>
    <t>PCA-XL7</t>
  </si>
  <si>
    <t>PENCIL CASE XLG BD194-B</t>
  </si>
  <si>
    <t>PCA-IM114</t>
  </si>
  <si>
    <t>PENSIL CASE SH-8704</t>
  </si>
  <si>
    <t>PCA-IM111</t>
  </si>
  <si>
    <t>PENSIL CASE SH-8701</t>
  </si>
  <si>
    <t>PPC REST PINK RABBIT4000</t>
  </si>
  <si>
    <t>PCA-IM41</t>
  </si>
  <si>
    <t>PENSIL CASE 5870</t>
  </si>
  <si>
    <t>PCA-IM112</t>
  </si>
  <si>
    <t>PENSIL CASE SH-8702</t>
  </si>
  <si>
    <t>PC REST 1245 FROZEN</t>
  </si>
  <si>
    <t>P CASE MAGNET XU 805</t>
  </si>
  <si>
    <t>P CASE MAGNET 8300 SUSUN 3</t>
  </si>
  <si>
    <t>PCA-NB166</t>
  </si>
  <si>
    <t>PC MAGNIT CC 7808</t>
  </si>
  <si>
    <t>PCA-IM136</t>
  </si>
  <si>
    <t>PENCIL CASE DZ-0065 MAGNET</t>
  </si>
  <si>
    <t>PCA-IM49</t>
  </si>
  <si>
    <t>PENSIL CASE 8300AV TIMBUL</t>
  </si>
  <si>
    <t>P CASE 8300-56-3</t>
  </si>
  <si>
    <t>PC MAGNIT A 6682</t>
  </si>
  <si>
    <t>PCA-IM50</t>
  </si>
  <si>
    <t>PENSIL CASE 8300D TIMBUL</t>
  </si>
  <si>
    <t>PCA-IM62</t>
  </si>
  <si>
    <t>PENSIL CASE A-870</t>
  </si>
  <si>
    <t>PCA-IM53</t>
  </si>
  <si>
    <t>PENSIL CASE A-1037 + CAL</t>
  </si>
  <si>
    <t>PCA-NB161</t>
  </si>
  <si>
    <t>PC MAGNIT A853</t>
  </si>
  <si>
    <t>PCA-IM47</t>
  </si>
  <si>
    <t>PENSIL CASE 6A-26</t>
  </si>
  <si>
    <t>PCA-IM66</t>
  </si>
  <si>
    <t>PENSIL CASE AC-2893-3</t>
  </si>
  <si>
    <t>ID CARD 501 P</t>
  </si>
  <si>
    <t>ID CARD 501 B</t>
  </si>
  <si>
    <t>PC KLG B-905 MOBIL</t>
  </si>
  <si>
    <t>ID CARD SET DX 622 HITAM</t>
  </si>
  <si>
    <t>ID CARD SET DX 622 PUTIH</t>
  </si>
  <si>
    <t>ID CARD SET DX 622 ABU-1BU</t>
  </si>
  <si>
    <t>GLI-NB2</t>
  </si>
  <si>
    <t>GLITER POWDER 15GR CC888</t>
  </si>
  <si>
    <t>GLITER G 816 METALLIK</t>
  </si>
  <si>
    <t>GLITTER GF-2012</t>
  </si>
  <si>
    <t>GLITTER 785-12</t>
  </si>
  <si>
    <t>GLITER PVC 12 (8891-7)</t>
  </si>
  <si>
    <t>GLITTER 783-12</t>
  </si>
  <si>
    <t>GLITTER GF 32</t>
  </si>
  <si>
    <t>GLITER 806</t>
  </si>
  <si>
    <t>GLI-IM1</t>
  </si>
  <si>
    <t>GLITTER GF-88</t>
  </si>
  <si>
    <t>GLITTER Y-01</t>
  </si>
  <si>
    <t>GLITTER Y-02</t>
  </si>
  <si>
    <t>GLITTER Y-03</t>
  </si>
  <si>
    <t>GLITTER Y-04</t>
  </si>
  <si>
    <t>SLIDE BINDER 7MM P</t>
  </si>
  <si>
    <t>SLIDE BINDER 7MM K</t>
  </si>
  <si>
    <t>BOL-TF336</t>
  </si>
  <si>
    <t>BP GEL TF-1190 0.3MM HIGHTECH (H)</t>
  </si>
  <si>
    <t>MEMORY-BATANG</t>
  </si>
  <si>
    <t>GLOBAL (IRAWAN)-PURWOKERTO</t>
  </si>
  <si>
    <t>BOL-TZ388</t>
  </si>
  <si>
    <t>BP TIZO TG 30541F FANCY</t>
  </si>
  <si>
    <t>BOL-TZ385</t>
  </si>
  <si>
    <t>BP GEL TIZO 30801F S3 FANCY</t>
  </si>
  <si>
    <t>BOL-TZ370</t>
  </si>
  <si>
    <t>BP TIZO 31810F FANCY</t>
  </si>
  <si>
    <t>BOL-TZ349</t>
  </si>
  <si>
    <t>BP GEL TIZO 30734F FANCY</t>
  </si>
  <si>
    <t>BOL-TZ354</t>
  </si>
  <si>
    <t>BP GEL TIZO 31763F FANCY</t>
  </si>
  <si>
    <t>BOL-TZ353</t>
  </si>
  <si>
    <t>BP GEL TIZO 31762F FANCY</t>
  </si>
  <si>
    <t>BOL-TZ351</t>
  </si>
  <si>
    <t>BP GEL TIZO 31035F FANCY</t>
  </si>
  <si>
    <t>BOL-TZ397</t>
  </si>
  <si>
    <t>BP GEL TIZO TG 348</t>
  </si>
  <si>
    <t>LARIS BARU-MUNTILAN</t>
  </si>
  <si>
    <t>KUA-IM58</t>
  </si>
  <si>
    <t>KUA-IM29</t>
  </si>
  <si>
    <t>KUAS 21839-6H4</t>
  </si>
  <si>
    <t>KUA-IM22</t>
  </si>
  <si>
    <t>KUAS 251-6CJ</t>
  </si>
  <si>
    <t>KUA-TF2</t>
  </si>
  <si>
    <t>KUAS TF ART TF-2023</t>
  </si>
  <si>
    <t>TAS-IM115</t>
  </si>
  <si>
    <t>TAS TALI GG-02 TANGGUNG GILAP</t>
  </si>
  <si>
    <t>TAS-IM116</t>
  </si>
  <si>
    <t>TAS TALI GG-03 BESAR GILAP</t>
  </si>
  <si>
    <t>TAS BATIK KC-B5 MH</t>
  </si>
  <si>
    <t>TAS-NB64</t>
  </si>
  <si>
    <t>TAS BATIK TG-B5 ALP</t>
  </si>
  <si>
    <t>TAS BATIK BRS-ALP</t>
  </si>
  <si>
    <t>CAT-VE9</t>
  </si>
  <si>
    <t>CAT ACRYLIC V-TECH</t>
  </si>
  <si>
    <t>PCA-NB134</t>
  </si>
  <si>
    <t>PENCIL CASE KARTON KK 1299 3D/ 3 SUSUN</t>
  </si>
  <si>
    <t>STANDART BK V TECH NO 7</t>
  </si>
  <si>
    <t>BOL-IM221</t>
  </si>
  <si>
    <t>BP GEL 6603</t>
  </si>
  <si>
    <t>BOL-IM268</t>
  </si>
  <si>
    <t>BP GEL 935</t>
  </si>
  <si>
    <t>BOL-IM273</t>
  </si>
  <si>
    <t>BP GEL DTIAN BIASA 959</t>
  </si>
  <si>
    <t>BOL-IM269</t>
  </si>
  <si>
    <t>BP GEL 936</t>
  </si>
  <si>
    <t>BOL-IM275</t>
  </si>
  <si>
    <t>BP GEL DT 9906</t>
  </si>
  <si>
    <t>BOL-IM266</t>
  </si>
  <si>
    <t>BP GEL 931</t>
  </si>
  <si>
    <t>BOL-IM249</t>
  </si>
  <si>
    <t>BP GEL 8807</t>
  </si>
  <si>
    <t>BOL-IM243</t>
  </si>
  <si>
    <t>BP GEL 8803</t>
  </si>
  <si>
    <t>BOL-IM223</t>
  </si>
  <si>
    <t>BP GEL 6608</t>
  </si>
  <si>
    <t>BOL-IM229</t>
  </si>
  <si>
    <t>BP GEL 830</t>
  </si>
  <si>
    <t>BOL-IM265</t>
  </si>
  <si>
    <t>BP GEL 925</t>
  </si>
  <si>
    <t>BOL-IM277</t>
  </si>
  <si>
    <t>BP GEL DTIAN BIASA 9908</t>
  </si>
  <si>
    <t>PUSTAKA BARU-TUBAN</t>
  </si>
  <si>
    <t>ANDI STAR-SALATIGA</t>
  </si>
  <si>
    <t>CBO-TF4</t>
  </si>
  <si>
    <t>CLIPBOARD ACRYLIC TF-016</t>
  </si>
  <si>
    <t>CBO-TF2</t>
  </si>
  <si>
    <t>CLIPBOARD ACRILIC TF-013</t>
  </si>
  <si>
    <t>CBO-TF1</t>
  </si>
  <si>
    <t>CLIPBOARD ACRYLIC TF-012</t>
  </si>
  <si>
    <t>CBO-TF3</t>
  </si>
  <si>
    <t>CLIPBOARD ACRYLIC TF-015</t>
  </si>
  <si>
    <t>BOL-TZ339</t>
  </si>
  <si>
    <t>BP GEL TIZO 1.0 TG630-A</t>
  </si>
  <si>
    <t>BOL-TZ363</t>
  </si>
  <si>
    <t>BP TIZO KLIK TG 3300</t>
  </si>
  <si>
    <t>LESTARI *ARTOMORO)-YOGYA</t>
  </si>
  <si>
    <t>MAP-SK84</t>
  </si>
  <si>
    <t>MAP L SIKA AC-105 PUTIH</t>
  </si>
  <si>
    <t>MAP-SK78</t>
  </si>
  <si>
    <t>MAP KANCING SIKA AC-05 PUTIH</t>
  </si>
  <si>
    <t>SIDU-SALATIGA</t>
  </si>
  <si>
    <t>PENGHAPUS W/B ENTER 823 KECIL LUBANG</t>
  </si>
  <si>
    <t>PCA-NB162</t>
  </si>
  <si>
    <t>PC MAGNIT AZ 3300 BLK</t>
  </si>
  <si>
    <t>PCA-NB163</t>
  </si>
  <si>
    <t>PC MAGNIT 1151</t>
  </si>
  <si>
    <t>PCA-NB164</t>
  </si>
  <si>
    <t>PC MAGNIT AZ 3301 BLK</t>
  </si>
  <si>
    <t>PCA-NB165</t>
  </si>
  <si>
    <t>PC MAGNIT KM 5186-1</t>
  </si>
  <si>
    <t>MECHPEN G-0938</t>
  </si>
  <si>
    <t>BOX (24)</t>
  </si>
  <si>
    <t>MEC-NB2</t>
  </si>
  <si>
    <t>MECHPEN G-09307</t>
  </si>
  <si>
    <t>PEN-TF23</t>
  </si>
  <si>
    <t>PENSIL TF 188</t>
  </si>
  <si>
    <t>PEN-TF12</t>
  </si>
  <si>
    <t>PENSIL TF 788</t>
  </si>
  <si>
    <t>BINDING WIRE 10CM (EMAS)</t>
  </si>
  <si>
    <t>BINDING WIRE 10CM (MERAH)</t>
  </si>
  <si>
    <t>BINDING WIRE 10CM (BIRU)</t>
  </si>
  <si>
    <t>BINDING WIRE 10CM (UNGU)</t>
  </si>
  <si>
    <t>MERDEKA-BOYOLALI</t>
  </si>
  <si>
    <t>BOL-TF408</t>
  </si>
  <si>
    <t>BP TF 729</t>
  </si>
  <si>
    <t>MES-BX3</t>
  </si>
  <si>
    <t>MESIN TEMBAK BIXDONE HE E2010 K (65 BLK) KECIL</t>
  </si>
  <si>
    <t>PEN-KY17</t>
  </si>
  <si>
    <t>PENSIL 2B KAYAGI 3053</t>
  </si>
  <si>
    <t>PEN-KY3</t>
  </si>
  <si>
    <t>PENSIL KAYAGI 2B PF3050</t>
  </si>
  <si>
    <t>PEN-KY18</t>
  </si>
  <si>
    <t>PENSIL 2B KAYAGI 3060</t>
  </si>
  <si>
    <t>PEN-KY4</t>
  </si>
  <si>
    <t>PENSIL KAYAGI 3062</t>
  </si>
  <si>
    <t>PENSIL KAYAGI 3021</t>
  </si>
  <si>
    <t>BOL-TJ121</t>
  </si>
  <si>
    <t>BP TIANJIAO TZ-501 HITAM</t>
  </si>
  <si>
    <t>MERDEKA-KROYA</t>
  </si>
  <si>
    <t>SPA-HR2</t>
  </si>
  <si>
    <t>STAMP PAD HERO K</t>
  </si>
  <si>
    <t>GAR-BT25</t>
  </si>
  <si>
    <t>GARISAN BT 30 CM</t>
  </si>
  <si>
    <t>BOL-NB136</t>
  </si>
  <si>
    <t>BP X DATA M1</t>
  </si>
  <si>
    <t>BOL-NB139</t>
  </si>
  <si>
    <t>BP X DATA M2</t>
  </si>
  <si>
    <t>GAR-EN2</t>
  </si>
  <si>
    <t>GAR-165</t>
  </si>
  <si>
    <t>GARISAN 30CM ENTER</t>
  </si>
  <si>
    <t>TIP-MC1</t>
  </si>
  <si>
    <t>TIPEX MICROTOP MT 737</t>
  </si>
  <si>
    <t>IGE-TZ26</t>
  </si>
  <si>
    <t>ISI GEL TZ-501 R HITAM</t>
  </si>
  <si>
    <t>SUMBER BUKIT-SALATIGA</t>
  </si>
  <si>
    <t>BOL-TZ333</t>
  </si>
  <si>
    <t>BP TIZO TG340 BIRU</t>
  </si>
  <si>
    <t>GAR-EN1</t>
  </si>
  <si>
    <t>GARISAN BUSUR ENTER 3.5 MIKA</t>
  </si>
  <si>
    <t>GAR-EN38</t>
  </si>
  <si>
    <t>GAR-38</t>
  </si>
  <si>
    <t>GARISAN ENTER TEBAL NO.4</t>
  </si>
  <si>
    <t>GAR-TF158</t>
  </si>
  <si>
    <t>GARISAN BESI TF 100 CM</t>
  </si>
  <si>
    <t>PENSIL 2.0 JOSS FANCY</t>
  </si>
  <si>
    <t>MEC-NB9</t>
  </si>
  <si>
    <t>MECHPEN DF 125</t>
  </si>
  <si>
    <t>MEC-TZ7</t>
  </si>
  <si>
    <t>MECHPEN TIZO G 9001 A</t>
  </si>
  <si>
    <t>STB-TO17</t>
  </si>
  <si>
    <t>STABILLO TOZCHA TZ 8001</t>
  </si>
  <si>
    <t>BOL-TZ341</t>
  </si>
  <si>
    <t>BP GEL TIZO TG670</t>
  </si>
  <si>
    <t>BOL-TZ342</t>
  </si>
  <si>
    <t>BP GEL TIZO TG690</t>
  </si>
  <si>
    <t>CRA-NB1</t>
  </si>
  <si>
    <t>CRAYON 12W PDK FANCY 1011</t>
  </si>
  <si>
    <t>CRAYON PUTAR 12W PANJANG MIX 1012</t>
  </si>
  <si>
    <t>BALLPEN ANTENA LASER LAMPU</t>
  </si>
  <si>
    <t>BALLPEN SPIRAL 860</t>
  </si>
  <si>
    <t>PEN HOLDER BULAT HITAM</t>
  </si>
  <si>
    <t>PEN HOLDER KOTAK HITAM</t>
  </si>
  <si>
    <t>MAP-GS119</t>
  </si>
  <si>
    <t>MAP DATA FC 53</t>
  </si>
  <si>
    <t>BALON MERAH</t>
  </si>
  <si>
    <t>PAK (100)</t>
  </si>
  <si>
    <t>BALON PUTIH</t>
  </si>
  <si>
    <t>KUAS YS-02</t>
  </si>
  <si>
    <t>KUA-IM10</t>
  </si>
  <si>
    <t>KUAS UTN 661-8</t>
  </si>
  <si>
    <t>MAP-SK74</t>
  </si>
  <si>
    <t>MAP KANCING SIKA AC-05 BIRU</t>
  </si>
  <si>
    <t>MAP-SK75</t>
  </si>
  <si>
    <t>MAP KANCING SIKA AC-05 HIJAU</t>
  </si>
  <si>
    <t>MAP-SK77</t>
  </si>
  <si>
    <t>MAP KANCING SIKA AC-05 MERAH</t>
  </si>
  <si>
    <t>MAOPIE B</t>
  </si>
  <si>
    <t>NTS-NB1</t>
  </si>
  <si>
    <t>NOTES 156-80</t>
  </si>
  <si>
    <t>MAP-SK98</t>
  </si>
  <si>
    <t>MAP-98</t>
  </si>
  <si>
    <t>MAP TALI SIKA BIRU</t>
  </si>
  <si>
    <t>MAP-SK99</t>
  </si>
  <si>
    <t>MAP-99</t>
  </si>
  <si>
    <t>MAP TALI SIKA HIJAU</t>
  </si>
  <si>
    <t>SEM-NB1</t>
  </si>
  <si>
    <t>SEMPOA 8025</t>
  </si>
  <si>
    <t>GLITTER 88 MIX</t>
  </si>
  <si>
    <t>GLITTER 88 EMAS</t>
  </si>
  <si>
    <t>SEL-NB1</t>
  </si>
  <si>
    <t>SELANG PIANIKA SP 12 (1) 246</t>
  </si>
  <si>
    <t>CALL BELL QJ125</t>
  </si>
  <si>
    <t>JARUM PENTUL HIJAB</t>
  </si>
  <si>
    <t>P CASE KLG K 905</t>
  </si>
  <si>
    <t>PCA-IM80</t>
  </si>
  <si>
    <t>PENSIL CASE C-8023</t>
  </si>
  <si>
    <t>PCA-NB141</t>
  </si>
  <si>
    <t>PC KLG WB 1008 + ISI CAL 1008</t>
  </si>
  <si>
    <t>PC KLG LPY 99-12</t>
  </si>
  <si>
    <t>PAPAN WB 25 X 35</t>
  </si>
  <si>
    <t>PAP-NB3</t>
  </si>
  <si>
    <t>PAPAN WHITE BOARD XG POLOS 30 X 40</t>
  </si>
  <si>
    <t>STIP JK MER-01</t>
  </si>
  <si>
    <t>STI-RC1</t>
  </si>
  <si>
    <t>STIP RENCAI RC 700</t>
  </si>
  <si>
    <t>MECHPEN TM 030 A</t>
  </si>
  <si>
    <t>MEC-TZ6</t>
  </si>
  <si>
    <t>MECHPEN TIZO TM 030-C</t>
  </si>
  <si>
    <t>MEC-TZ1</t>
  </si>
  <si>
    <t>MEKANIK PENSIL 2.0 TIZO TM01800</t>
  </si>
  <si>
    <t>NIKI SAE-TULUNGAGUNG</t>
  </si>
  <si>
    <t>CAT-TF12</t>
  </si>
  <si>
    <t>CAT ACRYLIC COLOUR TF AC-002</t>
  </si>
  <si>
    <t>CAT-TF8</t>
  </si>
  <si>
    <t>CAT ACRYLIC TF 003</t>
  </si>
  <si>
    <t>NAJIH-JEPARA</t>
  </si>
  <si>
    <t>CRAYON PUTAR FANCY 12W PENDEK</t>
  </si>
  <si>
    <t>CRAYON PUTAR FANCY 12W PANJANG</t>
  </si>
  <si>
    <t>RITA-CILACAP</t>
  </si>
  <si>
    <t>TAS SM 106 GLITTER BESAR</t>
  </si>
  <si>
    <t>LOO-AL13</t>
  </si>
  <si>
    <t>LOOSE LEAF HOLO ALFA A5 ZODIAK</t>
  </si>
  <si>
    <t>LOO-NB26</t>
  </si>
  <si>
    <t>LOOSE LEAF HOLO A5 SOFIA</t>
  </si>
  <si>
    <t>LOO-NB11</t>
  </si>
  <si>
    <t>LOOSE LEAF HOLO MOBILE LEGENDS A5</t>
  </si>
  <si>
    <t>LOOSE LEAF BEE SMART COWOK</t>
  </si>
  <si>
    <t>BUSSINES FILE ENTER K</t>
  </si>
  <si>
    <t>MAP-VO201</t>
  </si>
  <si>
    <t>MAP-201</t>
  </si>
  <si>
    <t>MAP L MERAH VTRO</t>
  </si>
  <si>
    <t>MAP KECIL MICROTOP 128</t>
  </si>
  <si>
    <t>MAP-SK2</t>
  </si>
  <si>
    <t>MAP ZIPPER JALA SIKA BIRU</t>
  </si>
  <si>
    <t>MAP-MC225</t>
  </si>
  <si>
    <t>EXPANDING FILE MICROTOP MT-632 F4</t>
  </si>
  <si>
    <t>MAP-NB105</t>
  </si>
  <si>
    <t>MAP-105</t>
  </si>
  <si>
    <t>MAP TENTENG ZF 830</t>
  </si>
  <si>
    <t>MAP REST A5 SIKA</t>
  </si>
  <si>
    <t>MAP ZIPPER KANCING 2 SIKA</t>
  </si>
  <si>
    <t>CBO-KO6</t>
  </si>
  <si>
    <t>CLI-KO6</t>
  </si>
  <si>
    <t>CLIP BOARD 6688-TR TRANSP KOALA</t>
  </si>
  <si>
    <t>CBO-NB7</t>
  </si>
  <si>
    <t>CLIPBOARD SQ FANCY HOLO 2 MUKA</t>
  </si>
  <si>
    <t>MAP TALI KENJOY</t>
  </si>
  <si>
    <t>MAP KANCING 4 UTN PINK</t>
  </si>
  <si>
    <t>KUAS G 02</t>
  </si>
  <si>
    <t>KUA-IM17</t>
  </si>
  <si>
    <t>KUAS 21839-7H</t>
  </si>
  <si>
    <t>BUK-NB18</t>
  </si>
  <si>
    <t>BK TAMU BATIK</t>
  </si>
  <si>
    <t>TAS-IM253</t>
  </si>
  <si>
    <t>TAS TUTUP PITA KADO FG-301 BESAR</t>
  </si>
  <si>
    <t>TAS-IM117</t>
  </si>
  <si>
    <t>TAS TALI GG-01 KECIL TIMBUL</t>
  </si>
  <si>
    <t>TAS GLITTER 1833M TG GLITTER</t>
  </si>
  <si>
    <t>TAS GLITTER SM 1925 S GLITTER KECIL</t>
  </si>
  <si>
    <t>TAS 8866 B TIMBUL GLITTER BESAR</t>
  </si>
  <si>
    <t>TAS-IM6</t>
  </si>
  <si>
    <t>TAS 1838-L (TANGGUNG GLITTER)</t>
  </si>
  <si>
    <t>TAS-NB215</t>
  </si>
  <si>
    <t>TAS-215</t>
  </si>
  <si>
    <t>TAS LYSD 241 K</t>
  </si>
  <si>
    <t>TAS GLITTER 9240 TG</t>
  </si>
  <si>
    <t>TAS SMS-2904 GLITTER KECIL</t>
  </si>
  <si>
    <t>TAS 2106 GLITTER KECIL</t>
  </si>
  <si>
    <t>TAS GILAP LYH 804 MOTIF KECIL</t>
  </si>
  <si>
    <t>TAS-NB77</t>
  </si>
  <si>
    <t>TAS BRANDED TANGGUNG SB-116</t>
  </si>
  <si>
    <t>TAS SM 926M TG GLITTER</t>
  </si>
  <si>
    <t>TAS 106 6M TG GLITTER</t>
  </si>
  <si>
    <t>TAS 6M 1841 TG GILAP</t>
  </si>
  <si>
    <t>KUAS SET 255-6</t>
  </si>
  <si>
    <t>NOT-EN40</t>
  </si>
  <si>
    <t>BLOCK NOTE SPIRAL ENTER 403</t>
  </si>
  <si>
    <t>NOT-EN42</t>
  </si>
  <si>
    <t>BLOCK NOTE SPIRAL ENTER 404</t>
  </si>
  <si>
    <t>NOT-IM55</t>
  </si>
  <si>
    <t>NOTEBOOK 18100-36</t>
  </si>
  <si>
    <t>NOT-IM28</t>
  </si>
  <si>
    <t>NOTEBOOK SPIRAL 28850-67</t>
  </si>
  <si>
    <t>DIARY Q 32K- S002 FR</t>
  </si>
  <si>
    <t>NOT-IM36</t>
  </si>
  <si>
    <t>NOTEBOOK SPIRAL 25100-67</t>
  </si>
  <si>
    <t>NOT-IM81</t>
  </si>
  <si>
    <t>NOTEBOOK 28825-62</t>
  </si>
  <si>
    <t>DIARY Q 64K- S002 PR</t>
  </si>
  <si>
    <t>MAP-NB79</t>
  </si>
  <si>
    <t>MAP KANCING 4 UTN MERAH</t>
  </si>
  <si>
    <t>MAP REST BIO K SIKA</t>
  </si>
  <si>
    <t>MAP REST BIO M SIKA</t>
  </si>
  <si>
    <t>MAP REST 1928 TOPLA</t>
  </si>
  <si>
    <t>MAP-MC177</t>
  </si>
  <si>
    <t>MAP DATA MICROTOP BS-57 B4</t>
  </si>
  <si>
    <t>DOK-NB12</t>
  </si>
  <si>
    <t>DOKUMEN RISLETING BOX BATIK</t>
  </si>
  <si>
    <t>NOT-IM56</t>
  </si>
  <si>
    <t>NOTEBOOK 18100-61</t>
  </si>
  <si>
    <t>BNS XB 72K 1400</t>
  </si>
  <si>
    <t>DOK-NB7</t>
  </si>
  <si>
    <t>DOKUMEN HD64</t>
  </si>
  <si>
    <t>DOKUMEN RST HD-55</t>
  </si>
  <si>
    <t>MAP-MC173</t>
  </si>
  <si>
    <t>MAP DATA MICROTOP BS-53 A6</t>
  </si>
  <si>
    <t>MAP-MC174</t>
  </si>
  <si>
    <t>MAP DATA MICROTOP BS-54 A5</t>
  </si>
  <si>
    <t>MAP-MC175</t>
  </si>
  <si>
    <t>MAP DATA MICROTOP BS-55 B5</t>
  </si>
  <si>
    <t>STICKER 954 MIX</t>
  </si>
  <si>
    <t>STC-IM6</t>
  </si>
  <si>
    <t>STICKER QJF-A</t>
  </si>
  <si>
    <t>STICKER 955 MIX</t>
  </si>
  <si>
    <t>STC-IM16</t>
  </si>
  <si>
    <t>STICKER JBE-34</t>
  </si>
  <si>
    <t>STC-IM7</t>
  </si>
  <si>
    <t>STICKER XTQ-F</t>
  </si>
  <si>
    <t>STC-IM11</t>
  </si>
  <si>
    <t>STICKER XTQ-E</t>
  </si>
  <si>
    <t>CRA-NB2</t>
  </si>
  <si>
    <t>CRAYON PUTAR DB 777 18W</t>
  </si>
  <si>
    <t>BOL-IM305</t>
  </si>
  <si>
    <t>BP GEL DT-236</t>
  </si>
  <si>
    <t>BOL-IM204</t>
  </si>
  <si>
    <t>BP D TIAN 108</t>
  </si>
  <si>
    <t>BOL-IM359</t>
  </si>
  <si>
    <t>BP GEL DTIAN DT-612</t>
  </si>
  <si>
    <t>PENSIL 2B TF 995</t>
  </si>
  <si>
    <t>P WARNA 12W PANJANG TB 8891</t>
  </si>
  <si>
    <t>PEN-KY16</t>
  </si>
  <si>
    <t>PENSIL 2B KAYAGI 3056</t>
  </si>
  <si>
    <t>OIL COLOR 12W VTRO</t>
  </si>
  <si>
    <t>CAT-PC23</t>
  </si>
  <si>
    <t>WATER COLOR + KUAS PACMAN</t>
  </si>
  <si>
    <t>BOL-IM307</t>
  </si>
  <si>
    <t>BP GEL DT-239</t>
  </si>
  <si>
    <t>BOL-IM304</t>
  </si>
  <si>
    <t>BP GEL DTIAN DT-233</t>
  </si>
  <si>
    <t>BOL-IM306</t>
  </si>
  <si>
    <t>BP GEL DT-238</t>
  </si>
  <si>
    <t>P WARNA 24W KY CP 0724</t>
  </si>
  <si>
    <t>PEN-KY1</t>
  </si>
  <si>
    <t>PENSIL 2B KAYAGI PF3051L</t>
  </si>
  <si>
    <t>GUN-NB79</t>
  </si>
  <si>
    <t>GUN-79</t>
  </si>
  <si>
    <t>GUNTING STAINLESS SQ 04 C WARNA</t>
  </si>
  <si>
    <t>GEL ODEMI 989</t>
  </si>
  <si>
    <t>GEL ODEMI 977</t>
  </si>
  <si>
    <t>GUN-JN51</t>
  </si>
  <si>
    <t>GUNTING JUNIOR J 100</t>
  </si>
  <si>
    <t>GUN-JN53</t>
  </si>
  <si>
    <t>GUNTING JUNIOR J-300</t>
  </si>
  <si>
    <t>GEL SIKA GP 340</t>
  </si>
  <si>
    <t>BOL-CS202</t>
  </si>
  <si>
    <t>BP COSH CS 8501</t>
  </si>
  <si>
    <t>ISI MECHPEN MFF-188</t>
  </si>
  <si>
    <t>W COLOR 21839</t>
  </si>
  <si>
    <t>IPE-NB2</t>
  </si>
  <si>
    <t>ISI PENSIL KNOW 2270</t>
  </si>
  <si>
    <t>GEL LANTU LT 210C</t>
  </si>
  <si>
    <t>IGE-DB23</t>
  </si>
  <si>
    <t>ISI GELL DEBOZZ DB GR 550 (24)</t>
  </si>
  <si>
    <t>PENSIL KAYAGI 3055</t>
  </si>
  <si>
    <t>P WARNA PANJANG TB-9022-12</t>
  </si>
  <si>
    <t>PENSIL WARNA KY CP 1224</t>
  </si>
  <si>
    <t>PWA-IM26</t>
  </si>
  <si>
    <t>PW 8880-12</t>
  </si>
  <si>
    <t>BOL-ZI367</t>
  </si>
  <si>
    <t>BP GEL ZHIXIN G 5025</t>
  </si>
  <si>
    <t>BOL-TZ373</t>
  </si>
  <si>
    <t>BP TIZO TG 313B</t>
  </si>
  <si>
    <t>GEL TG 33404-2</t>
  </si>
  <si>
    <t>TIP-NB43</t>
  </si>
  <si>
    <t>TIPEX DT 5050-4</t>
  </si>
  <si>
    <t>MECHPEN TIZO TM 030-A</t>
  </si>
  <si>
    <t>GAR-NB200</t>
  </si>
  <si>
    <t>GAR-200</t>
  </si>
  <si>
    <t>GARISAN 30CM LIPAT CV-5012 (24)</t>
  </si>
  <si>
    <t>PENSIL 2B+ASAHAN 2116</t>
  </si>
  <si>
    <t>PENSIL+STIP MOBIL</t>
  </si>
  <si>
    <t>GEL GP 3125</t>
  </si>
  <si>
    <t>KAC-IM8</t>
  </si>
  <si>
    <t>MAGNIFIER LW-60</t>
  </si>
  <si>
    <t>KAC-IM9</t>
  </si>
  <si>
    <t>MAGNIFIER LW-70</t>
  </si>
  <si>
    <t>KAC-IM10</t>
  </si>
  <si>
    <t>MAGNIFIER LW-80</t>
  </si>
  <si>
    <t>KAC-IM11</t>
  </si>
  <si>
    <t>MAGNIFIER LW-90</t>
  </si>
  <si>
    <t>CRAYON PUTAR 12W PANJANG M 1012</t>
  </si>
  <si>
    <t>BOL-PL82</t>
  </si>
  <si>
    <t>BP PELNA ULIR 01 HT</t>
  </si>
  <si>
    <t>BP TG 501 B</t>
  </si>
  <si>
    <t>TIP-IM12</t>
  </si>
  <si>
    <t>TIPEX KERTAS NO.8528</t>
  </si>
  <si>
    <t>TIP-IM40</t>
  </si>
  <si>
    <t>TIPEX KERTAS 91033HG</t>
  </si>
  <si>
    <t>TIP-IM7</t>
  </si>
  <si>
    <t>TIPEX KERTAS XB-B255</t>
  </si>
  <si>
    <t>TIP-IM9</t>
  </si>
  <si>
    <t>TIPEX KERTAS 8538</t>
  </si>
  <si>
    <t>TIP-IM5</t>
  </si>
  <si>
    <t>TIPEX KERTAS NO.5026</t>
  </si>
  <si>
    <t>TIP-IM33</t>
  </si>
  <si>
    <t>TIPEX KERTAS NO.8017</t>
  </si>
  <si>
    <t>TIP-IM48</t>
  </si>
  <si>
    <t>TIPEX KERTAS DY-8240</t>
  </si>
  <si>
    <t>TIP-IM17</t>
  </si>
  <si>
    <t>TIPEX KERTAS NO.8527</t>
  </si>
  <si>
    <t>TIP-IM10</t>
  </si>
  <si>
    <t>TIPEX KERTAS 9458</t>
  </si>
  <si>
    <t>TIP-IM22</t>
  </si>
  <si>
    <t>TIPEX KERTAS NO.5031</t>
  </si>
  <si>
    <t>TIP-IM6</t>
  </si>
  <si>
    <t>TIPEX KERTAS NO.5039</t>
  </si>
  <si>
    <t>TIP-IM4</t>
  </si>
  <si>
    <t>TIPEX KERTAS NO.6080</t>
  </si>
  <si>
    <t>P CASE REST B 123</t>
  </si>
  <si>
    <t>P CASE REST B 124</t>
  </si>
  <si>
    <t>PCA-IM42</t>
  </si>
  <si>
    <t>PENSIL CASE 5871</t>
  </si>
  <si>
    <t>PC RET KY 6197</t>
  </si>
  <si>
    <t>PCA-IM108</t>
  </si>
  <si>
    <t>PENSIL CASE SH-8602</t>
  </si>
  <si>
    <t>PCA-IM110</t>
  </si>
  <si>
    <t>PENSIL CASE SH-8604</t>
  </si>
  <si>
    <t>PCA-IM109</t>
  </si>
  <si>
    <t>PENSIL CASE SH-8603</t>
  </si>
  <si>
    <t>ASA-IM65</t>
  </si>
  <si>
    <t>ASAHAN 344</t>
  </si>
  <si>
    <t>ASA-IM71</t>
  </si>
  <si>
    <t>ASAHAN 371</t>
  </si>
  <si>
    <t>ASA-NB82</t>
  </si>
  <si>
    <t>ASAHAN HIPPO X357</t>
  </si>
  <si>
    <t>DRA-IM18</t>
  </si>
  <si>
    <t>BWA-IM18</t>
  </si>
  <si>
    <t>STUDY BOARD DJ3017</t>
  </si>
  <si>
    <t>DRA-IM20</t>
  </si>
  <si>
    <t>BWA-IM20</t>
  </si>
  <si>
    <t>STUDY BOARD DJ3020</t>
  </si>
  <si>
    <t>DRAWING BOARD DJ 103</t>
  </si>
  <si>
    <t>DRA-NB1</t>
  </si>
  <si>
    <t>MAGIC BOARD TK 901</t>
  </si>
  <si>
    <t>JARUM PENTOL CASING</t>
  </si>
  <si>
    <t>JARUM PUNTUL HIJAB</t>
  </si>
  <si>
    <t>SEM-NB2</t>
  </si>
  <si>
    <t>SEMPOA 8023</t>
  </si>
  <si>
    <t>SEM-NB9</t>
  </si>
  <si>
    <t>SEMPOA 8022</t>
  </si>
  <si>
    <t>SIPOA SEDANG 8590</t>
  </si>
  <si>
    <t>SIPOA 8012</t>
  </si>
  <si>
    <t>SEMPOA MOSHI-MOSHI JUMBO 1803</t>
  </si>
  <si>
    <t>TALI YOYO B TRANSPARAN</t>
  </si>
  <si>
    <t>TALI YOYO M TRANSPARAN</t>
  </si>
  <si>
    <t>TALI YOYO HJ TRANSPARAN</t>
  </si>
  <si>
    <t>KEY-IM1</t>
  </si>
  <si>
    <t>KEY RING KC-008</t>
  </si>
  <si>
    <t>GLI-IM5</t>
  </si>
  <si>
    <t>GLITTER GF-32</t>
  </si>
  <si>
    <t>GLITTER G-01</t>
  </si>
  <si>
    <t>ASA-GL2</t>
  </si>
  <si>
    <t>ASAHAN TOPLES GOLDEN (24)</t>
  </si>
  <si>
    <t>ASA-DM32</t>
  </si>
  <si>
    <t>ASAHAN DMS 038</t>
  </si>
  <si>
    <t>TAP-IM1</t>
  </si>
  <si>
    <t>TAPE LK-22305</t>
  </si>
  <si>
    <t>PCA-IM31</t>
  </si>
  <si>
    <t>PENSIL CASE 5840</t>
  </si>
  <si>
    <t>P CASE 8109</t>
  </si>
  <si>
    <t>P CASE K98</t>
  </si>
  <si>
    <t>PCA-NB129</t>
  </si>
  <si>
    <t>PENCIL CASE B-136</t>
  </si>
  <si>
    <t>PCA-XL8</t>
  </si>
  <si>
    <t>PENCIL CASE XLG BD838</t>
  </si>
  <si>
    <t>PCA-XL10</t>
  </si>
  <si>
    <t>PENCIL CASE XLG BD860</t>
  </si>
  <si>
    <t>PCA-XL9</t>
  </si>
  <si>
    <t>PENCIL CASE XLG BD954</t>
  </si>
  <si>
    <t>P CASE REST 9907</t>
  </si>
  <si>
    <t>PCA-IM39</t>
  </si>
  <si>
    <t>PENCIL CASE 5866</t>
  </si>
  <si>
    <t>PCA-IM105</t>
  </si>
  <si>
    <t>PENSIL CASE SH-15</t>
  </si>
  <si>
    <t>PCA-IM106</t>
  </si>
  <si>
    <t>PENSIL CASE SH-16</t>
  </si>
  <si>
    <t>PCA-IM38</t>
  </si>
  <si>
    <t>PENCIL CASE 5864</t>
  </si>
  <si>
    <t>PCA-IM101</t>
  </si>
  <si>
    <t>PENSIL CASE SH-02 (HARUS DIPISAH, ADA 6 MACAM)</t>
  </si>
  <si>
    <t>PITA KAIN EMAS B</t>
  </si>
  <si>
    <t>ASA-PY138</t>
  </si>
  <si>
    <t>ASAHAN PAYU 827 ANGSA</t>
  </si>
  <si>
    <t>ASA-PY133</t>
  </si>
  <si>
    <t>ASAHAN PAYU 849 STROBERI</t>
  </si>
  <si>
    <t>ASA-IM60</t>
  </si>
  <si>
    <t>ASAHAN 8810</t>
  </si>
  <si>
    <t>ASA-IM39</t>
  </si>
  <si>
    <t>ASAHAN TR-3006</t>
  </si>
  <si>
    <t>ASA-NB1</t>
  </si>
  <si>
    <t>ASAHAN BOX 166 BEBEK</t>
  </si>
  <si>
    <t>ASA-IM67</t>
  </si>
  <si>
    <t>ASAHAN DY-347</t>
  </si>
  <si>
    <t>KERTAS KREP M/P</t>
  </si>
  <si>
    <t>KRE-NB1</t>
  </si>
  <si>
    <t>KERTAS KREP POTONGAN JERSY</t>
  </si>
  <si>
    <t>N BOOK A5 8C 020</t>
  </si>
  <si>
    <t>PANGLIMA BESAR-PURWOKERTO</t>
  </si>
  <si>
    <t>PC RET KY 6186</t>
  </si>
  <si>
    <t>PCA-IM113</t>
  </si>
  <si>
    <t>PENSIL CASE SH-8703</t>
  </si>
  <si>
    <t>P CASE REST SH 10</t>
  </si>
  <si>
    <t>P CASE REST SH 06</t>
  </si>
  <si>
    <t>PC RET IMITASI 252</t>
  </si>
  <si>
    <t>PCA-IM103</t>
  </si>
  <si>
    <t>PCA-103</t>
  </si>
  <si>
    <t>PENSIL CASE SH-04</t>
  </si>
  <si>
    <t>PCA-IM37</t>
  </si>
  <si>
    <t>PENSIL CASE 5853</t>
  </si>
  <si>
    <t>P CASE 1502 IF</t>
  </si>
  <si>
    <t>P CASE 1504 IF</t>
  </si>
  <si>
    <t>PCA-IM28</t>
  </si>
  <si>
    <t>PENSIL CASE 5813</t>
  </si>
  <si>
    <t>PCA-NB128</t>
  </si>
  <si>
    <t>PENCIL CASE B-135</t>
  </si>
  <si>
    <t>PENCIL CASE 5811</t>
  </si>
  <si>
    <t>PCA-IM107</t>
  </si>
  <si>
    <t>PENSIL CASE SH-8601</t>
  </si>
  <si>
    <t>PCA-IM94</t>
  </si>
  <si>
    <t>PENSIL CASE PC-619-3 MOBIL + KODE</t>
  </si>
  <si>
    <t>PCA-NB123</t>
  </si>
  <si>
    <t>PENCIL CASE KALENG B233 MOBIL</t>
  </si>
  <si>
    <t>PC RET JX-5626 MM</t>
  </si>
  <si>
    <t>PC BOX MY 003</t>
  </si>
  <si>
    <t>PCA-IM118</t>
  </si>
  <si>
    <t>PENSIL CASE WLT9902</t>
  </si>
  <si>
    <t>PC BOX FY 58M</t>
  </si>
  <si>
    <t>PCA-IM89</t>
  </si>
  <si>
    <t>PENSIL CASE KW-1717</t>
  </si>
  <si>
    <t>PCA-NB152</t>
  </si>
  <si>
    <t>ISOLASI FANCY 1503 PELANGI</t>
  </si>
  <si>
    <t>ISOLASI FANCY 1503 BIASA</t>
  </si>
  <si>
    <t>MAG-IM6</t>
  </si>
  <si>
    <t>MAGNET 034</t>
  </si>
  <si>
    <t>PAP-NB2</t>
  </si>
  <si>
    <t>PAPAN WHITE BOARD XG POLOS 25 X 35</t>
  </si>
  <si>
    <t>GLITTER GF-88 EMAS</t>
  </si>
  <si>
    <t>GLITTER GF 88 SI;VER</t>
  </si>
  <si>
    <t>GLITTER GF 88 MIX</t>
  </si>
  <si>
    <t>KUAS Y-01</t>
  </si>
  <si>
    <t>KUAS Y-02</t>
  </si>
  <si>
    <t>KUAS Y-03</t>
  </si>
  <si>
    <t>KUAS Y-04</t>
  </si>
  <si>
    <t>HOOKS 3CM</t>
  </si>
  <si>
    <t>HOOKS 3.5CM</t>
  </si>
  <si>
    <t>HOOKS 4CM</t>
  </si>
  <si>
    <t>HOOKS 4.5CM</t>
  </si>
  <si>
    <t>P CASE 3579-19</t>
  </si>
  <si>
    <t>ISI BENSIA</t>
  </si>
  <si>
    <t>BEN-PN19</t>
  </si>
  <si>
    <t>BENSIA 04LM1 (5921</t>
  </si>
  <si>
    <t>BEN-NB8</t>
  </si>
  <si>
    <t>BENSIA ZC 105 PLUIT</t>
  </si>
  <si>
    <t>BEN-PN24</t>
  </si>
  <si>
    <t>BENSIA 10LM1 (6209)</t>
  </si>
  <si>
    <t>IGE-IM2</t>
  </si>
  <si>
    <t>IGE-NB2</t>
  </si>
  <si>
    <t>ISI GEL GR 090 (20PCS TABUNG)</t>
  </si>
  <si>
    <t>JANGKA JOSS MS-403</t>
  </si>
  <si>
    <t>JANGKA JOSS MS-404</t>
  </si>
  <si>
    <t>JANGKA JOSS MS-405</t>
  </si>
  <si>
    <t>MAG-IM18</t>
  </si>
  <si>
    <t>MAGNET 8011-6</t>
  </si>
  <si>
    <t>KEMOCHENG KOMPUTER</t>
  </si>
  <si>
    <t>IGE-VO12</t>
  </si>
  <si>
    <t>IGE-NB12</t>
  </si>
  <si>
    <t>ISI GEL 2022 TRANSFORMER 20 DOZ</t>
  </si>
  <si>
    <t>IGE-VO17</t>
  </si>
  <si>
    <t>ISI GEL 20 DOS 2020</t>
  </si>
  <si>
    <t>CLIP FILE YUSHINCA 323</t>
  </si>
  <si>
    <t>CBO-YS15</t>
  </si>
  <si>
    <t>CLI-YS2</t>
  </si>
  <si>
    <t>CLIP FILE YUSHINCA 318 BIRU TUA</t>
  </si>
  <si>
    <t>BN A5 RABBIT/ KOALA</t>
  </si>
  <si>
    <t>BN B5 WARNA KOALA</t>
  </si>
  <si>
    <t>NOTEBOOK B0217 (B5ï¼‰</t>
  </si>
  <si>
    <t>NOTEBOOK B1018 (B5ï¼‰</t>
  </si>
  <si>
    <t>NOT-IM9</t>
  </si>
  <si>
    <t>NOTEBOOK 05202</t>
  </si>
  <si>
    <t>L LEAF A5-100LBR DOTED TITIK</t>
  </si>
  <si>
    <t>LOO-NB4</t>
  </si>
  <si>
    <t>LOOSE LEAF BIASA TSUM A5 (100GSM)</t>
  </si>
  <si>
    <t>ISI L LEAF A5 BEE SMART COWOK</t>
  </si>
  <si>
    <t>MAOPLE K</t>
  </si>
  <si>
    <t>MAOPLE B</t>
  </si>
  <si>
    <t>AGENDA 100 5674</t>
  </si>
  <si>
    <t>KUAS VANART NO.1</t>
  </si>
  <si>
    <t>KUAS VANART NO.2</t>
  </si>
  <si>
    <t>KUAS VANART NO.3</t>
  </si>
  <si>
    <t>KUA-IM56</t>
  </si>
  <si>
    <t>LOO-NB9</t>
  </si>
  <si>
    <t>LOOSE LEAF HOLO FROZEN A5</t>
  </si>
  <si>
    <t>ISI L LEAF A5 STICKER LLP 80</t>
  </si>
  <si>
    <t>BUKU MEWARNAI SPS</t>
  </si>
  <si>
    <t>BUKU MEWARNAI DM 2206</t>
  </si>
  <si>
    <t>BUKU MEWARNAI 878</t>
  </si>
  <si>
    <t>BUKU MEWARNAI HT 604</t>
  </si>
  <si>
    <t>BUKU MEWARNAI IF BJA</t>
  </si>
  <si>
    <t>BUKU MEWARNAI JQ 990</t>
  </si>
  <si>
    <t>BUKU MEWARNAI 23</t>
  </si>
  <si>
    <t>BUKU MEWARNAI 68A41</t>
  </si>
  <si>
    <t>STAMPAD 1000 G</t>
  </si>
  <si>
    <t>TAS BATIK MJ-1 MERAH</t>
  </si>
  <si>
    <t>TAS BATIK T ALPINDO</t>
  </si>
  <si>
    <t>TAS-IM233</t>
  </si>
  <si>
    <t>TAS NO-1036-M BIASA KECIL</t>
  </si>
  <si>
    <t>TAS XMS-52083 G;ITTER KECIL</t>
  </si>
  <si>
    <t>TAS SM 3589-4 KECIL BIASA</t>
  </si>
  <si>
    <t>TAS 1545 KECIL BIASA</t>
  </si>
  <si>
    <t>TAS-NB298</t>
  </si>
  <si>
    <t>TAS 1175 PARIS KECIL</t>
  </si>
  <si>
    <t>TAS SM 1916 GILAP BESAR</t>
  </si>
  <si>
    <t>TAS-351</t>
  </si>
  <si>
    <t>TAS XM-2019-L GLITTER TANGGUNG</t>
  </si>
  <si>
    <t>TAS 280 GLITTER TIMBUL TG</t>
  </si>
  <si>
    <t>TAS BATIK EMAS K</t>
  </si>
  <si>
    <t>TAS KARUNG BG13-023</t>
  </si>
  <si>
    <t>TAS-NB172</t>
  </si>
  <si>
    <t>TAS KARUNG 70X70</t>
  </si>
  <si>
    <t>TAS-IM37</t>
  </si>
  <si>
    <t>TAS KARUNG TIDUR 40X30</t>
  </si>
  <si>
    <t>TAS-NB168</t>
  </si>
  <si>
    <t>TAS KARUNG 45X50</t>
  </si>
  <si>
    <t>TAS-NB167</t>
  </si>
  <si>
    <t>TAS KARUNG 40X45</t>
  </si>
  <si>
    <t>TAS-NB169</t>
  </si>
  <si>
    <t>TAS KARUNG 50X55</t>
  </si>
  <si>
    <t>TAS-IM38</t>
  </si>
  <si>
    <t>TAS KARUNG 45X33</t>
  </si>
  <si>
    <t>TAS KARUNG 60 X 45</t>
  </si>
  <si>
    <t>TAS KARUNG 70 X 53</t>
  </si>
  <si>
    <t>MAP REST BN-55</t>
  </si>
  <si>
    <t>MAP REST BN-53</t>
  </si>
  <si>
    <t>BAL-LK32</t>
  </si>
  <si>
    <t>BALON BL 100178 M/ P</t>
  </si>
  <si>
    <t>BAL-LK13</t>
  </si>
  <si>
    <t>BALON BL 10023</t>
  </si>
  <si>
    <t>BALON BL 10022</t>
  </si>
  <si>
    <t>BAL-NCL20</t>
  </si>
  <si>
    <t>BALON FS POLKADOT LKF 3200 PP</t>
  </si>
  <si>
    <t>BALON LKF 3200 M</t>
  </si>
  <si>
    <t>BAL-LK8</t>
  </si>
  <si>
    <t>BALON BL 10092</t>
  </si>
  <si>
    <t>MAP-TX23</t>
  </si>
  <si>
    <t>MAP FILE EN 1105 F</t>
  </si>
  <si>
    <t>MAP-TX156</t>
  </si>
  <si>
    <t>MAP-156</t>
  </si>
  <si>
    <t>MAP/ ZIPPER BAG TRIX EN 1101</t>
  </si>
  <si>
    <t>BALON WOMY MERAH</t>
  </si>
  <si>
    <t>BALON WOMY PUTIH</t>
  </si>
  <si>
    <t>ZIPPER POCKET A5 GANDORI</t>
  </si>
  <si>
    <t>BOX FILE 3SSN HUAJIE 618</t>
  </si>
  <si>
    <t>MAP-KL54</t>
  </si>
  <si>
    <t>MAP CLEAR HOLDER KALUBI CH A5</t>
  </si>
  <si>
    <t>DOK-NB11</t>
  </si>
  <si>
    <t>DOKUMEN RISLETING OPTIMA</t>
  </si>
  <si>
    <t>DOK-NB9</t>
  </si>
  <si>
    <t>DOKUMEN RISLETING BRILLIANT</t>
  </si>
  <si>
    <t>DOK-NB5</t>
  </si>
  <si>
    <t>DOKUMEN RISLETING STATEMENT</t>
  </si>
  <si>
    <t>SLIDE BINDER 7MM B</t>
  </si>
  <si>
    <t>PEN-CP19</t>
  </si>
  <si>
    <t>PENSIL CARPENTER 500</t>
  </si>
  <si>
    <t>MAP REST A6 UTN PARIS</t>
  </si>
  <si>
    <t>TEMPELAN KACA 5</t>
  </si>
  <si>
    <t>MAKMUR JAYA-PURWODADI</t>
  </si>
  <si>
    <t>JAN-NB1</t>
  </si>
  <si>
    <t>JANGKA SET STARMOON 856</t>
  </si>
  <si>
    <t>WATER COLOUR VTRO</t>
  </si>
  <si>
    <t>OIL COLOUR VTRO 12W-6ML</t>
  </si>
  <si>
    <t>BOL-NB212</t>
  </si>
  <si>
    <t>BP E 8805 MULTI WARNA (24)</t>
  </si>
  <si>
    <t>P WARNA TB 8891-12</t>
  </si>
  <si>
    <t>JAN-NB7</t>
  </si>
  <si>
    <t>JANGKA MT 2506</t>
  </si>
  <si>
    <t>JAN-IM6</t>
  </si>
  <si>
    <t>JANGKA MS-4001 KOALA</t>
  </si>
  <si>
    <t>TAS BATIK MJ-1 HIJAU</t>
  </si>
  <si>
    <t>PCA-IM13</t>
  </si>
  <si>
    <t>PENSIL CASE 168-18</t>
  </si>
  <si>
    <t>PCA-NB170</t>
  </si>
  <si>
    <t>PC MAGNIT KY 779 BLK</t>
  </si>
  <si>
    <t>ADA</t>
  </si>
  <si>
    <t>BOL-NB360</t>
  </si>
  <si>
    <t>BP MAINAN + GANTUNGAN 9082</t>
  </si>
  <si>
    <t>BOL-IM290</t>
  </si>
  <si>
    <t>BP GEL BP-A8010</t>
  </si>
  <si>
    <t>BOL-IM279</t>
  </si>
  <si>
    <t>BP GEL A8015</t>
  </si>
  <si>
    <t>BOL-IM227</t>
  </si>
  <si>
    <t>BP GEL 7502 / 3211</t>
  </si>
  <si>
    <t>ASA-NB007</t>
  </si>
  <si>
    <t>ASAHAN 007</t>
  </si>
  <si>
    <t>PCA-NB171</t>
  </si>
  <si>
    <t>PC MAGNIT MINION KT 535</t>
  </si>
  <si>
    <t>PELAJAR-TEGAL</t>
  </si>
  <si>
    <t>PIA-NB1</t>
  </si>
  <si>
    <t>PIANIKA LOVELY BIRU</t>
  </si>
  <si>
    <t>TAS BATIK MJ1 HIJAU</t>
  </si>
  <si>
    <t>TAS-NB47</t>
  </si>
  <si>
    <t>TAS BATIK B ALPINDO</t>
  </si>
  <si>
    <t>NABILA-TUBAN</t>
  </si>
  <si>
    <t>PITA KADO 30MM RENDA</t>
  </si>
  <si>
    <t>AGENDA 25K GB35-25</t>
  </si>
  <si>
    <t>STB-TF13</t>
  </si>
  <si>
    <t>STABILLO TF-1145 LIVE COLOUR PASTEL</t>
  </si>
  <si>
    <t>PEN-NB24</t>
  </si>
  <si>
    <t>PENSIL DM 5188</t>
  </si>
  <si>
    <t>LILIN GOLD NO.0</t>
  </si>
  <si>
    <t>PAK (20)</t>
  </si>
  <si>
    <t>LIL-NB11</t>
  </si>
  <si>
    <t>LILIN GOLD NO.1</t>
  </si>
  <si>
    <t>LIL-NB12</t>
  </si>
  <si>
    <t>LILIN GOLD NO.2</t>
  </si>
  <si>
    <t>LIL-NB13</t>
  </si>
  <si>
    <t>LILIN GOLD NO.3</t>
  </si>
  <si>
    <t>LILIN GOLD NO.4</t>
  </si>
  <si>
    <t>LILIN GOLD NO.5</t>
  </si>
  <si>
    <t>LILIN GOLD NO.6</t>
  </si>
  <si>
    <t>LILIN GOLD NO.7</t>
  </si>
  <si>
    <t>LILIN GOLD NO.8</t>
  </si>
  <si>
    <t>LILIN GOLD NO.9</t>
  </si>
  <si>
    <t>BP ZHIXIN K-15</t>
  </si>
  <si>
    <t>BOL-VO127</t>
  </si>
  <si>
    <t>BP V-TRO 231</t>
  </si>
  <si>
    <t>BOL-VO126</t>
  </si>
  <si>
    <t>BP V-TRO 225</t>
  </si>
  <si>
    <t>BOL-ZI366</t>
  </si>
  <si>
    <t>BP GEL ZHIXIN G 3164</t>
  </si>
  <si>
    <t>BOL-ZI365</t>
  </si>
  <si>
    <t>BP GEL ZHIXIN G 3122</t>
  </si>
  <si>
    <t>NOT-IM29</t>
  </si>
  <si>
    <t>NOTEBOOK SPIRAL 28850-68</t>
  </si>
  <si>
    <t>NOT-IM46</t>
  </si>
  <si>
    <t>NOTEBOOK A5-UN</t>
  </si>
  <si>
    <t>NOT-IM51</t>
  </si>
  <si>
    <t>NOTEBOOK 707-19</t>
  </si>
  <si>
    <t>NOT-IM5</t>
  </si>
  <si>
    <t>NOTEBOOK A5-106</t>
  </si>
  <si>
    <t>NOT-IM25</t>
  </si>
  <si>
    <t>NOTEBOOK 707-44</t>
  </si>
  <si>
    <t>ASA-NB151</t>
  </si>
  <si>
    <t>ASAHAN TOPLES KITTY R-5842</t>
  </si>
  <si>
    <t>TOP</t>
  </si>
  <si>
    <t>PCA-XL5</t>
  </si>
  <si>
    <t>PENCIL CASE XLG BD786</t>
  </si>
  <si>
    <t>KAWAT ROLL 504 KUNING</t>
  </si>
  <si>
    <t>ROL</t>
  </si>
  <si>
    <t>GUNTING GUNINDO HB65</t>
  </si>
  <si>
    <t>BARANG LAWAS, BELUM MASUK PAJAK</t>
  </si>
  <si>
    <t>MES-PC1</t>
  </si>
  <si>
    <t>MESIN LEM KECIL 20W PACMAN 82</t>
  </si>
  <si>
    <t>PCA-IM24</t>
  </si>
  <si>
    <t>PENSIL CASE 17-01A</t>
  </si>
  <si>
    <t>PCA-IM40</t>
  </si>
  <si>
    <t>PENCIL CASE KALENG H-9888</t>
  </si>
  <si>
    <t>P CASE KLG K-905</t>
  </si>
  <si>
    <t>PCA-IM132</t>
  </si>
  <si>
    <t>PENCIL CASE H-9905 KLG</t>
  </si>
  <si>
    <t>PCA-NB4</t>
  </si>
  <si>
    <t>PENCIL CASE LPY99-3</t>
  </si>
  <si>
    <t>PCA-IM48</t>
  </si>
  <si>
    <t>PENSIL CASE 6A-28</t>
  </si>
  <si>
    <t>PCA-IM57</t>
  </si>
  <si>
    <t>PENSIL CASE A-207</t>
  </si>
  <si>
    <t>PCA-IM30</t>
  </si>
  <si>
    <t>PENCIL CASE DZ-8057 MAGNET</t>
  </si>
  <si>
    <t>PCA-IM51</t>
  </si>
  <si>
    <t>PENSIL CASE 8300SG TIMBUL</t>
  </si>
  <si>
    <t>PCA-IM52</t>
  </si>
  <si>
    <t>PENSIL CASE 8300TK TIMBUL</t>
  </si>
  <si>
    <t>PCA-NB172</t>
  </si>
  <si>
    <t>PC MAGNIT AZ 3302 BLK</t>
  </si>
  <si>
    <t>PCA-NB173</t>
  </si>
  <si>
    <t>PC MAGNIT B 3513-15 (BIASA)</t>
  </si>
  <si>
    <t>P CASE REST IF 1502</t>
  </si>
  <si>
    <t>P CASE REST 777</t>
  </si>
  <si>
    <t>P CASE B 122</t>
  </si>
  <si>
    <t>PCA-NB130</t>
  </si>
  <si>
    <t>PENCIL CASE B-118</t>
  </si>
  <si>
    <t>PCA-NB140</t>
  </si>
  <si>
    <t>PENCIL CASE B-126</t>
  </si>
  <si>
    <t>KODE BARANG DOBEL SAMA PC KLG B 652</t>
  </si>
  <si>
    <t>P CASE REST 1504</t>
  </si>
  <si>
    <t>STU-IM4</t>
  </si>
  <si>
    <t>STATIONERY SET 8898</t>
  </si>
  <si>
    <t>LILIN ULTAH 33;</t>
  </si>
  <si>
    <t>KARET KECIL</t>
  </si>
  <si>
    <t>BKGAMBAR SIKA</t>
  </si>
  <si>
    <t>CENTRAL-PURWOKERTO</t>
  </si>
  <si>
    <t>AL ULYA-JOMBANG</t>
  </si>
  <si>
    <t>MEC-TZ4</t>
  </si>
  <si>
    <t>MECHPEN TIZO TM 01500</t>
  </si>
  <si>
    <t>REJO AGUNG-JOMBANG</t>
  </si>
  <si>
    <t>MECHPEN TIZO TM 030-H</t>
  </si>
  <si>
    <t>IPE-NB1</t>
  </si>
  <si>
    <t>ISI PENSIL DB 062</t>
  </si>
  <si>
    <t>BP WEIYADA E 681 HITAM</t>
  </si>
  <si>
    <t>BOL-WY13</t>
  </si>
  <si>
    <t>BP WEIYADA E 681 BIRU</t>
  </si>
  <si>
    <t>BP 994 4 WARNA</t>
  </si>
  <si>
    <t>MEC-NB3</t>
  </si>
  <si>
    <t>MECHPEN G-09309</t>
  </si>
  <si>
    <t>DOREMI-TEMANGGUNG</t>
  </si>
  <si>
    <t>MEJ-PL1</t>
  </si>
  <si>
    <t>PELNA LAPTOP TABLE</t>
  </si>
  <si>
    <t>MESIN TEMBAK 188 JUMBO</t>
  </si>
  <si>
    <t>BOL-TF357</t>
  </si>
  <si>
    <t>BP GEL TF-1191 BODY WR 0.3MM HIGHTECH</t>
  </si>
  <si>
    <t>KAWAT POTONG EMAS TIPIS</t>
  </si>
  <si>
    <t>SAHABAT BARU-PARAKAN</t>
  </si>
  <si>
    <t>PAL-NB1</t>
  </si>
  <si>
    <t>PALET ANGGUR</t>
  </si>
  <si>
    <t>PAL-NB2</t>
  </si>
  <si>
    <t>PALET APEL</t>
  </si>
  <si>
    <t>SUKSES-SALATIGA</t>
  </si>
  <si>
    <t>CUT-GL4</t>
  </si>
  <si>
    <t>CUTTER GOLDEN 888 B</t>
  </si>
  <si>
    <t>GAR-BT22</t>
  </si>
  <si>
    <t>GARISAN BT 20 CM</t>
  </si>
  <si>
    <t>RITA-WONOSOBO</t>
  </si>
  <si>
    <t>CLIP BOARD 2 MUKA WB CEWEK</t>
  </si>
  <si>
    <t>CLIP BOARD 2 MUKA WB COWOK</t>
  </si>
  <si>
    <t>CLI-NB5</t>
  </si>
  <si>
    <t>CLIP CANDY NO 1</t>
  </si>
  <si>
    <t>BUKU TAMU BUNGA SPIRAL ENTER</t>
  </si>
  <si>
    <t>MIKA ROLL KCL</t>
  </si>
  <si>
    <t>MIKA ROLL TG</t>
  </si>
  <si>
    <t>MIKA ROLL BSR</t>
  </si>
  <si>
    <t>N BOOK 2560</t>
  </si>
  <si>
    <t>BUK-EN19</t>
  </si>
  <si>
    <t>BK TABUNGAN ENTER</t>
  </si>
  <si>
    <t>STICK NOTE WLT 9018</t>
  </si>
  <si>
    <t>POST IT WALITO WLT-8921</t>
  </si>
  <si>
    <t>POST IT WALITO WLT-8846</t>
  </si>
  <si>
    <t>POS-NB5</t>
  </si>
  <si>
    <t>POST IT WALITO WLT-8952</t>
  </si>
  <si>
    <t>KODE BARANG DOBEL SAMA STICK NOTE POST A</t>
  </si>
  <si>
    <t>STICK NOTE WLT 8961</t>
  </si>
  <si>
    <t>TAS BATIK MOTIF KAYU S</t>
  </si>
  <si>
    <t>TAS BATIK EMAS KECIL</t>
  </si>
  <si>
    <t>TAS BATIK MICROTOP KECIL</t>
  </si>
  <si>
    <t>TAS-125</t>
  </si>
  <si>
    <t>TAS H-4007-M BIASA KECIL</t>
  </si>
  <si>
    <t>TAS KADO 4007 S-4 KECIL</t>
  </si>
  <si>
    <t>TAS 61 GLITTER KECIL MIX</t>
  </si>
  <si>
    <t>TAS 35895-4K KECIL</t>
  </si>
  <si>
    <t>TAS 1925 GLITTER KECIL</t>
  </si>
  <si>
    <t>TAS-NB4</t>
  </si>
  <si>
    <t>TAS 16 X 21</t>
  </si>
  <si>
    <t>STICKER 333</t>
  </si>
  <si>
    <t>STC-IM13</t>
  </si>
  <si>
    <t>STICKER JBE-30</t>
  </si>
  <si>
    <t>STC-IM8</t>
  </si>
  <si>
    <t>STICKER JBE-SV</t>
  </si>
  <si>
    <t>STC-IM17</t>
  </si>
  <si>
    <t>STICKER KL-63</t>
  </si>
  <si>
    <t>STC-IM9</t>
  </si>
  <si>
    <t>STICKER JBE-35</t>
  </si>
  <si>
    <t>STC-IM5</t>
  </si>
  <si>
    <t>STICKER JBE-SA</t>
  </si>
  <si>
    <t>STC-IM15</t>
  </si>
  <si>
    <t>STICKER JBE-24</t>
  </si>
  <si>
    <t>STICK NOTE WLT 8803</t>
  </si>
  <si>
    <t>STICK NOTE WLT 8963</t>
  </si>
  <si>
    <t>NOT-IM4</t>
  </si>
  <si>
    <t>NOTEBOOK SPIRAL 28825-61 A5</t>
  </si>
  <si>
    <t>BTS GASTA HA 32-8213/ A5-50 FR</t>
  </si>
  <si>
    <t>BTS 60 404</t>
  </si>
  <si>
    <t>NOT-IM74</t>
  </si>
  <si>
    <t>NOTEBOOK 28850-64</t>
  </si>
  <si>
    <t>N BOOK A6 190402 FLAMINGO</t>
  </si>
  <si>
    <t>NOTEBOOK 50100-71</t>
  </si>
  <si>
    <t>N BOOK A5 LUCKY NOTES 365</t>
  </si>
  <si>
    <t>N BOOK Q 64 K 5-001</t>
  </si>
  <si>
    <t>NOT-IM61</t>
  </si>
  <si>
    <t>NOTEBOOK 25100-71</t>
  </si>
  <si>
    <t>NOT-IM67</t>
  </si>
  <si>
    <t>NOTEBOOK 7025-31</t>
  </si>
  <si>
    <t>BN TALI AA 0321-13/A7-80/BALLOON</t>
  </si>
  <si>
    <t>N BOOK SPIRAL 76 BATIK</t>
  </si>
  <si>
    <t>PSK</t>
  </si>
  <si>
    <t>BAL-NCL27</t>
  </si>
  <si>
    <t>BALON LMP 2200</t>
  </si>
  <si>
    <t>DISP</t>
  </si>
  <si>
    <t>BAL-NCL26</t>
  </si>
  <si>
    <t>BALON LKM 2800</t>
  </si>
  <si>
    <t>BAL-NCL28</t>
  </si>
  <si>
    <t>BALON LOVE 1022 20X5 LKL 2200</t>
  </si>
  <si>
    <t>BALON LKP 2200</t>
  </si>
  <si>
    <t>BALON LKP 3000</t>
  </si>
  <si>
    <t>TAS TALI 263 GLITTER TANGGUNG</t>
  </si>
  <si>
    <t>TAS KADO 249 A BSR</t>
  </si>
  <si>
    <t>TAS-IM121</t>
  </si>
  <si>
    <t>TAS TALI GG-02 TANGGUNG GLITTER</t>
  </si>
  <si>
    <t>TAS HZD 9101 A3 BSR</t>
  </si>
  <si>
    <t>TAS 6603 HZD 9192 BESAR GLITTER TIMBUL</t>
  </si>
  <si>
    <t>TAS XM-1 2097-1 BESAR GLITTER</t>
  </si>
  <si>
    <t>BAL-LK7</t>
  </si>
  <si>
    <t>BALON BL 1009</t>
  </si>
  <si>
    <t>TAS-134</t>
  </si>
  <si>
    <t>TAS HD 234</t>
  </si>
  <si>
    <t>NOT-IM19</t>
  </si>
  <si>
    <t>NOTEBOOK B0200 (A5ï¼‰</t>
  </si>
  <si>
    <t>NOT-IM11</t>
  </si>
  <si>
    <t>NOTEBOOK 05204</t>
  </si>
  <si>
    <t>NOT-IM15</t>
  </si>
  <si>
    <t>NOTEBOOK 76205</t>
  </si>
  <si>
    <t>NOTEBOOK B1019 (B5ï¼‰</t>
  </si>
  <si>
    <t>BIN-WN14</t>
  </si>
  <si>
    <t>BIN-WN</t>
  </si>
  <si>
    <t>BN WENGU A5-B 0164 (3W)</t>
  </si>
  <si>
    <t>NOT-IM17</t>
  </si>
  <si>
    <t>NOTEBOOK 93846</t>
  </si>
  <si>
    <t>CBO-EN9</t>
  </si>
  <si>
    <t>CLIPBOARD ENTER ANTI PECAH (GAP 03)</t>
  </si>
  <si>
    <t>CLIP BOARD KWALITAS / ENTER ANTI API</t>
  </si>
  <si>
    <t>CBO-NB11</t>
  </si>
  <si>
    <t>CLI-NB11</t>
  </si>
  <si>
    <t>CLIP BOARD 303 (CLIP BESAR)</t>
  </si>
  <si>
    <t>NOT-IM26</t>
  </si>
  <si>
    <t>NOTEBOOK A5-103</t>
  </si>
  <si>
    <t>STICK NOTE WLT 8894</t>
  </si>
  <si>
    <t>AGE-NB3</t>
  </si>
  <si>
    <t>AGENDA 25K (BC 510)</t>
  </si>
  <si>
    <t>NOT-NB88</t>
  </si>
  <si>
    <t>BN 7102 A5-20</t>
  </si>
  <si>
    <t>BENSIA RUMBAL GLITTER</t>
  </si>
  <si>
    <t>BENSIA RUMBAL METALIK</t>
  </si>
  <si>
    <t>BALLPEN JOSS JS-7B</t>
  </si>
  <si>
    <t>GEL GP 3155</t>
  </si>
  <si>
    <t>SPI-NB1</t>
  </si>
  <si>
    <t>SPI-1</t>
  </si>
  <si>
    <t>SPIDOL 12W + KUAS DB 218-12</t>
  </si>
  <si>
    <t>SPI-YK2</t>
  </si>
  <si>
    <t>SPIDOL 12W 555 YOEKER</t>
  </si>
  <si>
    <t>SPI-GL3</t>
  </si>
  <si>
    <t>SPIDOL GOLDEN 838 12W</t>
  </si>
  <si>
    <t>STB-TF12</t>
  </si>
  <si>
    <t>STABILLO TF MINI 105(4)</t>
  </si>
  <si>
    <t>STB-TZ16</t>
  </si>
  <si>
    <t>STABILLO TIZO TF610</t>
  </si>
  <si>
    <t>GARISAN ABC 250</t>
  </si>
  <si>
    <t>GAR-NB17</t>
  </si>
  <si>
    <t>GAR-17</t>
  </si>
  <si>
    <t>GARISAN BESI 30CM FANCY A 300</t>
  </si>
  <si>
    <t>GARISAN 15CM SET 7505</t>
  </si>
  <si>
    <t>GARISAN SET 20 CM ZX-022</t>
  </si>
  <si>
    <t>GEL 2518</t>
  </si>
  <si>
    <t>BOL-CS22</t>
  </si>
  <si>
    <t>BP COSH CS 8503</t>
  </si>
  <si>
    <t>IBE-LT1</t>
  </si>
  <si>
    <t>ISI BENSIA LANTU LT 1132</t>
  </si>
  <si>
    <t>P WARNA 12W PENDEK IF</t>
  </si>
  <si>
    <t>CRAYON PUTAR FANCY 1011/2011 PENDEK CEWEK COWOK 12W</t>
  </si>
  <si>
    <t>STAPLER V TECH HDZ 10M</t>
  </si>
  <si>
    <t>BEN-PN21</t>
  </si>
  <si>
    <t>BENSIA 06LM1 (6034)</t>
  </si>
  <si>
    <t>ABJ-NB12</t>
  </si>
  <si>
    <t>ALPHABET MAGNIT HURUF AK 17/ 005</t>
  </si>
  <si>
    <t>GAR-KY175</t>
  </si>
  <si>
    <t>GARISAN KAYAGI 3124 30CM</t>
  </si>
  <si>
    <t>IGE-IM15</t>
  </si>
  <si>
    <t>REFILL GEL JOSS-268 HITAM</t>
  </si>
  <si>
    <t>GARISAN SET 20 CM ZX-021</t>
  </si>
  <si>
    <t>TIP-IM25</t>
  </si>
  <si>
    <t>TIPEX KERTAS NO.9304</t>
  </si>
  <si>
    <t>TIPEX KERTAS NO.8458</t>
  </si>
  <si>
    <t>TIP-MC39</t>
  </si>
  <si>
    <t>TIPEX MICROTOP MT-767</t>
  </si>
  <si>
    <t>TIPEX KERTAS NO.9462</t>
  </si>
  <si>
    <t>TIPEX KERTAS NO.0847</t>
  </si>
  <si>
    <t>TIPEX KY DB 7001</t>
  </si>
  <si>
    <t>TIPEX KY DB 7002</t>
  </si>
  <si>
    <t>TIP-NB14</t>
  </si>
  <si>
    <t>TIPEX KERTAS 7013 MINI</t>
  </si>
  <si>
    <t>GAR-PY99</t>
  </si>
  <si>
    <t>GARISAN SET PAYU 9810 20CM</t>
  </si>
  <si>
    <t>BENSIA 940</t>
  </si>
  <si>
    <t>BENSIA 941</t>
  </si>
  <si>
    <t>BENSIA 921</t>
  </si>
  <si>
    <t>BEN-LN2</t>
  </si>
  <si>
    <t>BENSIA 9938 CERMIN KACA (32)</t>
  </si>
  <si>
    <t>BENSIA LT 1311 SISIR BIASA</t>
  </si>
  <si>
    <t>IGE-ES7</t>
  </si>
  <si>
    <t>ISI GEL ELSON ES-226 SANRIO</t>
  </si>
  <si>
    <t>KUAS SET 577-6</t>
  </si>
  <si>
    <t>KUAS 251-6TB</t>
  </si>
  <si>
    <t>KUA-IM26</t>
  </si>
  <si>
    <t>KUAS 21839-6HP</t>
  </si>
  <si>
    <t>KUA-IM57</t>
  </si>
  <si>
    <t>KUAS 21839-4S</t>
  </si>
  <si>
    <t>KUAS SHINING A5-1</t>
  </si>
  <si>
    <t>TAS-NB76</t>
  </si>
  <si>
    <t>TAS BRANDED KECIL SB 115</t>
  </si>
  <si>
    <t>PENSIL 09308</t>
  </si>
  <si>
    <t>OIL PASTEL USAGI 12W</t>
  </si>
  <si>
    <t>ISI PENSIL DB IMP-096</t>
  </si>
  <si>
    <t>PWA-NB4</t>
  </si>
  <si>
    <t>PW 12W PANJANG BTS</t>
  </si>
  <si>
    <t>PWA-KK11</t>
  </si>
  <si>
    <t>PWA-11</t>
  </si>
  <si>
    <t>PW KIKO 12/24W</t>
  </si>
  <si>
    <t>ISI PENSIL 2.0 HB K-166</t>
  </si>
  <si>
    <t>P WARNA 12W PANJANG 8881</t>
  </si>
  <si>
    <t>PENSIL 2B KAYAGI 2025</t>
  </si>
  <si>
    <t>BOL-NB21</t>
  </si>
  <si>
    <t>BP 7054</t>
  </si>
  <si>
    <t>BP D TIAN GP 529</t>
  </si>
  <si>
    <t>BOL-IM250</t>
  </si>
  <si>
    <t>BP D TIAN 1015</t>
  </si>
  <si>
    <t>BOL-IM301</t>
  </si>
  <si>
    <t>BP GEL DTIAN DT-222</t>
  </si>
  <si>
    <t>BOL-IM303</t>
  </si>
  <si>
    <t>BP GEL DTIAN DT-227</t>
  </si>
  <si>
    <t>GEL D TIAN GP 619</t>
  </si>
  <si>
    <t>PWA-KO3</t>
  </si>
  <si>
    <t>PW 12W PANJANG KOALA</t>
  </si>
  <si>
    <t>PENSIL 2B KY 3038</t>
  </si>
  <si>
    <t>PEN-KY15</t>
  </si>
  <si>
    <t>PENSIL 2B KAYAGI 3041</t>
  </si>
  <si>
    <t>PEN-IM25</t>
  </si>
  <si>
    <t>PENSIL DW-9022-12</t>
  </si>
  <si>
    <t>PEN-IM26</t>
  </si>
  <si>
    <t>PENSIL DW9019-12</t>
  </si>
  <si>
    <t>PEN-IM37</t>
  </si>
  <si>
    <t>PENSIL 8891-12</t>
  </si>
  <si>
    <t>GEL + GK 99085</t>
  </si>
  <si>
    <t>BOL-IM253</t>
  </si>
  <si>
    <t>BP GEL 9165</t>
  </si>
  <si>
    <t>BOL-IM260</t>
  </si>
  <si>
    <t>BP GEL + GANTUNGAN 9173</t>
  </si>
  <si>
    <t>BOL-IM256</t>
  </si>
  <si>
    <t>BP GEL + GANTUNGAN 9169</t>
  </si>
  <si>
    <t>BOL-IM261</t>
  </si>
  <si>
    <t>BP GEL 9176</t>
  </si>
  <si>
    <t>BOL-IM281</t>
  </si>
  <si>
    <t>BP GEL A8028</t>
  </si>
  <si>
    <t>BOL-IM289</t>
  </si>
  <si>
    <t>BP GEL BP-A8005</t>
  </si>
  <si>
    <t>BOL-IM285</t>
  </si>
  <si>
    <t>BP GEL BP-8785</t>
  </si>
  <si>
    <t>BOL-IM292</t>
  </si>
  <si>
    <t>BP GEL BP-A8025</t>
  </si>
  <si>
    <t>BOL-IM278</t>
  </si>
  <si>
    <t>BP GEL A8001</t>
  </si>
  <si>
    <t>BOL-NB102</t>
  </si>
  <si>
    <t>BP SPRAY GP-218</t>
  </si>
  <si>
    <t>PENSIL TM 090 A</t>
  </si>
  <si>
    <t>BOL-DB23</t>
  </si>
  <si>
    <t>BP DB 550</t>
  </si>
  <si>
    <t>BOL-SK96</t>
  </si>
  <si>
    <t>BP SIKA GP 001 HT</t>
  </si>
  <si>
    <t>BOL-SK97</t>
  </si>
  <si>
    <t>BP SIKA GP 002 HT</t>
  </si>
  <si>
    <t>BOL-TZ340</t>
  </si>
  <si>
    <t>BP GEL TIZO 1.0 TG31580</t>
  </si>
  <si>
    <t>GENERAL 220</t>
  </si>
  <si>
    <t>GUN-NB76</t>
  </si>
  <si>
    <t>GUN-76</t>
  </si>
  <si>
    <t>GUNTING SH-2302 PLST MINI 1X52</t>
  </si>
  <si>
    <t>JARUM PENTUL CASING</t>
  </si>
  <si>
    <t>DISPENSER BTS</t>
  </si>
  <si>
    <t>BINDER CLIP 155 OUQIOER</t>
  </si>
  <si>
    <t>BINDER CLIP 111 OUQIER</t>
  </si>
  <si>
    <t>JARUM B POLOS 1206</t>
  </si>
  <si>
    <t>MAG-IM4</t>
  </si>
  <si>
    <t>MAGNET 8203 ANGKA</t>
  </si>
  <si>
    <t>MAG-IM3</t>
  </si>
  <si>
    <t>MAGNET 8201 HURUF</t>
  </si>
  <si>
    <t>ASAHAN GOZTAR GS 387</t>
  </si>
  <si>
    <t>ASA-IM68</t>
  </si>
  <si>
    <t>ASAHAN DY-349B</t>
  </si>
  <si>
    <t>ASA-DY34</t>
  </si>
  <si>
    <t>ASAHAN 395 B</t>
  </si>
  <si>
    <t>ASA-NB76</t>
  </si>
  <si>
    <t>ASAHAN CL-113/2H 1X48</t>
  </si>
  <si>
    <t>ASAHAN XL 378</t>
  </si>
  <si>
    <t>BOX (36)</t>
  </si>
  <si>
    <t>STI-RC2</t>
  </si>
  <si>
    <t>STIP RENCAI RC 6008</t>
  </si>
  <si>
    <t>DIS-VE4</t>
  </si>
  <si>
    <t>DISPENSER KEONG V-TECH 216</t>
  </si>
  <si>
    <t>ISOLASI FANCY TBG (50)</t>
  </si>
  <si>
    <t>BOX (60)</t>
  </si>
  <si>
    <t>PIT-NB14</t>
  </si>
  <si>
    <t>PITA JEPANG MOTIF</t>
  </si>
  <si>
    <t>PIT-NB13</t>
  </si>
  <si>
    <t>PITA JEPANG POLOS B</t>
  </si>
  <si>
    <t>SLOP</t>
  </si>
  <si>
    <t>PIT-NB12</t>
  </si>
  <si>
    <t>PITA JEPANG GARIS EMAS (LISMAS)</t>
  </si>
  <si>
    <t>STI-RC3</t>
  </si>
  <si>
    <t>STIP RENCAI RC 6016</t>
  </si>
  <si>
    <t>ASAHAN AKROBAT</t>
  </si>
  <si>
    <t>BOX (12)</t>
  </si>
  <si>
    <t>ASA-NB106</t>
  </si>
  <si>
    <t>ASAHAN SC 6023</t>
  </si>
  <si>
    <t>SOLASI MINI SET</t>
  </si>
  <si>
    <t>STIP KAPSUL 966</t>
  </si>
  <si>
    <t>CUTTER SDI 0406</t>
  </si>
  <si>
    <t>ASA-NB77</t>
  </si>
  <si>
    <t>ASAHAN DINOSAURUS 8188</t>
  </si>
  <si>
    <t>ASA-TK147</t>
  </si>
  <si>
    <t>ASAHAN TIKO 0531</t>
  </si>
  <si>
    <t>PALET JOSS 009</t>
  </si>
  <si>
    <t>PALET KEPITING DOP</t>
  </si>
  <si>
    <t>ASAHAN 340 KUNING</t>
  </si>
  <si>
    <t>ASA-IM44</t>
  </si>
  <si>
    <t>ASAHAN XXY-1868</t>
  </si>
  <si>
    <t>ASA-IM40</t>
  </si>
  <si>
    <t>ASAHAN TY808</t>
  </si>
  <si>
    <t>ASA-IM56</t>
  </si>
  <si>
    <t>ASAHAN 8608</t>
  </si>
  <si>
    <t>ASA-DM31</t>
  </si>
  <si>
    <t>ASAHAN DMS 030</t>
  </si>
  <si>
    <t>ASA-IM51</t>
  </si>
  <si>
    <t>ASAHAN 722B</t>
  </si>
  <si>
    <t>DIS-KE5</t>
  </si>
  <si>
    <t>DISPENSER KENJOY 25</t>
  </si>
  <si>
    <t>ISOLASI FANCY 612</t>
  </si>
  <si>
    <t>ISOLASI FANCY POLOS TRANSPARAN</t>
  </si>
  <si>
    <t>TAPE 1503-CD</t>
  </si>
  <si>
    <t>ISOLASI 1503</t>
  </si>
  <si>
    <t>KAWAT POTONG</t>
  </si>
  <si>
    <t>CEPITAN KAYU</t>
  </si>
  <si>
    <t>BALLPEN HITECH VANCO 0.28 B</t>
  </si>
  <si>
    <t>PWA-VN5</t>
  </si>
  <si>
    <t>PW VANCO 12W PJG ZOO</t>
  </si>
  <si>
    <t>CAT-PC19</t>
  </si>
  <si>
    <t>CAT ACRYLIC PACMAN</t>
  </si>
  <si>
    <t>SISWA-MUNTILAN</t>
  </si>
  <si>
    <t>IGE-VO18</t>
  </si>
  <si>
    <t>ISI GEL FANCY VTRO 2018</t>
  </si>
  <si>
    <t>PEN-KY5</t>
  </si>
  <si>
    <t>PENSIL KAYAGI 2B PF3093</t>
  </si>
  <si>
    <t>SINGKONG-PURWOREJO</t>
  </si>
  <si>
    <t>STC-IM12</t>
  </si>
  <si>
    <t>STICKER JBE-SD</t>
  </si>
  <si>
    <t>STC-IM10</t>
  </si>
  <si>
    <t>STICKER KL 68</t>
  </si>
  <si>
    <t>STC-IM18</t>
  </si>
  <si>
    <t>STICKER KL-70</t>
  </si>
  <si>
    <t>NOT-IM65</t>
  </si>
  <si>
    <t>NOTEBOOK 7025-18</t>
  </si>
  <si>
    <t>NOTEBOOK 7025-29</t>
  </si>
  <si>
    <t>NOT-IM66</t>
  </si>
  <si>
    <t>NOTEBOOK 7025-28</t>
  </si>
  <si>
    <t>NOT-IM35</t>
  </si>
  <si>
    <t>NOTEBOOK 7025-30</t>
  </si>
  <si>
    <t>NOT-IM70</t>
  </si>
  <si>
    <t>NOTEBOOK 7025-27</t>
  </si>
  <si>
    <t>NOT-IM64</t>
  </si>
  <si>
    <t>NOTEBOOK 7025-16</t>
  </si>
  <si>
    <t>NOTEBOOK A5-511</t>
  </si>
  <si>
    <t>NOT-IM53</t>
  </si>
  <si>
    <t>NOTEBOOK A5-105</t>
  </si>
  <si>
    <t>NOT-NB78</t>
  </si>
  <si>
    <t>BN TALI AA 0321-18/A7-80/LUCU</t>
  </si>
  <si>
    <t>NOT-NB77</t>
  </si>
  <si>
    <t>BN TALI AA 0321-20/A7-80/SR</t>
  </si>
  <si>
    <t>NOT-IM68</t>
  </si>
  <si>
    <t>NOTEBOOK 7050-19</t>
  </si>
  <si>
    <t>NOT-IM3</t>
  </si>
  <si>
    <t>NOTEBOOK 7050-11</t>
  </si>
  <si>
    <t>NOT-IM24</t>
  </si>
  <si>
    <t>NOTEBOOK 7050-18</t>
  </si>
  <si>
    <t>NOT-IM69</t>
  </si>
  <si>
    <t>NOTEBOOK 7050-20</t>
  </si>
  <si>
    <t>N BOOK A5 68-10</t>
  </si>
  <si>
    <t>CBO-YS14</t>
  </si>
  <si>
    <t>CLI-YS1</t>
  </si>
  <si>
    <t>CLIP FILE YUSHINCA 318 HT</t>
  </si>
  <si>
    <t>AGENDA 5674</t>
  </si>
  <si>
    <t>AGENDA 25K MB 35-25</t>
  </si>
  <si>
    <t>NB POCKET 25-10</t>
  </si>
  <si>
    <t>AGE-NB12</t>
  </si>
  <si>
    <t>AGENDA 7025-25K (BC 333)</t>
  </si>
  <si>
    <t>NB POCKET 2507</t>
  </si>
  <si>
    <t>AGE-NB5</t>
  </si>
  <si>
    <t>AGENDA 48K HITAM 513</t>
  </si>
  <si>
    <t>AGENDA 100K 5685</t>
  </si>
  <si>
    <t>AGENDA 35-50</t>
  </si>
  <si>
    <t>SAM-SK15</t>
  </si>
  <si>
    <t>SAMPUL BUKU BOXY SIKA BATIK</t>
  </si>
  <si>
    <t>SAM-NB16</t>
  </si>
  <si>
    <t>SAM-16</t>
  </si>
  <si>
    <t>SAMPUL SAMSON KWARTO BATIK</t>
  </si>
  <si>
    <t>BK MEWARNAI / FANCY BJ45</t>
  </si>
  <si>
    <t>BUKU MEWARNAI HT-018</t>
  </si>
  <si>
    <t>BUKU MEWARNAI ZQ 990-2</t>
  </si>
  <si>
    <t>BUKU MEWARNAI JUMBO SPS</t>
  </si>
  <si>
    <t>BUKU MEEWARNAI HT 016</t>
  </si>
  <si>
    <t>BWA-SK11</t>
  </si>
  <si>
    <t>BK MEWARNAI SIKA JUMBO</t>
  </si>
  <si>
    <t>BK MEWARNAI JUMBO KODE 8A4-1</t>
  </si>
  <si>
    <t>B NOTE JHYB-0502</t>
  </si>
  <si>
    <t>NOTEBOOK B0200 (A5)</t>
  </si>
  <si>
    <t>NOT-IM31</t>
  </si>
  <si>
    <t>NOTEBOOK B0196 (A5)</t>
  </si>
  <si>
    <t>BIN-GS11</t>
  </si>
  <si>
    <t>BIN-GS</t>
  </si>
  <si>
    <t>BN A5 GASTA HP 2006 T</t>
  </si>
  <si>
    <t>BWA-NB8</t>
  </si>
  <si>
    <t>BUKU MEWARNAI ANGKA SPS</t>
  </si>
  <si>
    <t>LOO-NB3</t>
  </si>
  <si>
    <t>LOOSE LEAF BIASA UNTANO BIODATA A5 MIX</t>
  </si>
  <si>
    <t>BOL-TZ375</t>
  </si>
  <si>
    <t>BP TIZO TG 30630</t>
  </si>
  <si>
    <t>BOL-DB208</t>
  </si>
  <si>
    <t>BP DEBOZZ 0.28 DB-GP 800 HI-Q</t>
  </si>
  <si>
    <t>BOL-DB381</t>
  </si>
  <si>
    <t>BP DEBOZZ DB-530</t>
  </si>
  <si>
    <t>BOL-TZ374</t>
  </si>
  <si>
    <t>BP TIZO TG 346 C</t>
  </si>
  <si>
    <t>BP TIZO TG 346 B</t>
  </si>
  <si>
    <t>BOL-TZ378</t>
  </si>
  <si>
    <t>BP TIZO TG 346 D</t>
  </si>
  <si>
    <t>BOL-TZ377</t>
  </si>
  <si>
    <t>BP TIZO TG 395F</t>
  </si>
  <si>
    <t>BOL-TZ379</t>
  </si>
  <si>
    <t>BP TIZO TG 3302 KLIK</t>
  </si>
  <si>
    <t>BOL-139</t>
  </si>
  <si>
    <t>BP XDATA X2</t>
  </si>
  <si>
    <t>BOL-ZI25</t>
  </si>
  <si>
    <t>BP ZHIXIN 3568</t>
  </si>
  <si>
    <t>PENSIL G 9008 A</t>
  </si>
  <si>
    <t>PENSIL G 9001 A</t>
  </si>
  <si>
    <t>MECHPEN G 9005</t>
  </si>
  <si>
    <t>BP YOEKER 4W 2357</t>
  </si>
  <si>
    <t>BP SIKA GP 340</t>
  </si>
  <si>
    <t>BOL-TO109</t>
  </si>
  <si>
    <t>BP 4W TOZCHA 8401</t>
  </si>
  <si>
    <t>GAR-NB18</t>
  </si>
  <si>
    <t>GAR-18</t>
  </si>
  <si>
    <t>GARISAN 15CM 536-750 CARTOON NETWORK (48)</t>
  </si>
  <si>
    <t>GARISAN 30CM LIPAT</t>
  </si>
  <si>
    <t>BOX (40)</t>
  </si>
  <si>
    <t>KERTAS LIPAT ORIGAMI ALFA FLUORESCENT 12 X 12</t>
  </si>
  <si>
    <t>ORI-AL6</t>
  </si>
  <si>
    <t>KERTAS LIPAT ORIGAMI ALFA FLUORESCENT 20 X 20</t>
  </si>
  <si>
    <t>TALI YOYO K BUTEK</t>
  </si>
  <si>
    <t>RITA-PURWOKERTO</t>
  </si>
  <si>
    <t>NOT-EN41</t>
  </si>
  <si>
    <t>BLOCK NOTE SPIRAL ENTER 501</t>
  </si>
  <si>
    <t>MEMO PAD SPIRAL ALFA 403 BATIK</t>
  </si>
  <si>
    <t>MEMO PAD SPIRAL ALFA 404 BATIK</t>
  </si>
  <si>
    <t>N BOOK SPIRAL A6 114</t>
  </si>
  <si>
    <t>NOT-IM84</t>
  </si>
  <si>
    <t>NOTEBOOK 707-24</t>
  </si>
  <si>
    <t>NOT-IM52</t>
  </si>
  <si>
    <t>NOTEBOOK 707-45</t>
  </si>
  <si>
    <t>NOT-IM71</t>
  </si>
  <si>
    <t>NOTEBOOK A5-107</t>
  </si>
  <si>
    <t>NOT-NB32</t>
  </si>
  <si>
    <t>BN TALI AA 0321-16/ 17 A7-80</t>
  </si>
  <si>
    <t>AGE-NB11</t>
  </si>
  <si>
    <t>AGENDA 60K 2960</t>
  </si>
  <si>
    <t>AGENDA 100K 72100</t>
  </si>
  <si>
    <t>AGENDA 90K 5211</t>
  </si>
  <si>
    <t>NOT-IM83</t>
  </si>
  <si>
    <t>NOTEBOOK 18100-67</t>
  </si>
  <si>
    <t>NOT-IM73</t>
  </si>
  <si>
    <t>NOTEBOOK 28850-62</t>
  </si>
  <si>
    <t>N BOOK A6 6801</t>
  </si>
  <si>
    <t>N BOOK A5 32-X019</t>
  </si>
  <si>
    <t>N BOOK 32 8166</t>
  </si>
  <si>
    <t>CBO-TR12</t>
  </si>
  <si>
    <t>CLI-TR12</t>
  </si>
  <si>
    <t>CLIP BOARD TRANS FOLIO FANCY TR 2335</t>
  </si>
  <si>
    <t>CLIP BOARD W/B HOLO 2 MK</t>
  </si>
  <si>
    <t>BAL-LK6</t>
  </si>
  <si>
    <t>BALON BL 10082</t>
  </si>
  <si>
    <t>BAL-NCL25</t>
  </si>
  <si>
    <t>BALON LKM 2200</t>
  </si>
  <si>
    <t>BAL-NCL42</t>
  </si>
  <si>
    <t>BALON METALIK LMP 2800</t>
  </si>
  <si>
    <t>BK MEWARNAI SPS</t>
  </si>
  <si>
    <t>BK MEWARNAI JQ 990-2</t>
  </si>
  <si>
    <t>BK MEWARNAI HT 604 A</t>
  </si>
  <si>
    <t>STUDY BOARD JQ-969</t>
  </si>
  <si>
    <t>STUDY BOARD 878</t>
  </si>
  <si>
    <t>KAR-NB15</t>
  </si>
  <si>
    <t>KARTU UNDANGAN UTN PANJANG</t>
  </si>
  <si>
    <t>TAS-IM12</t>
  </si>
  <si>
    <t>TAS 1842-L (TANGGUNG)</t>
  </si>
  <si>
    <t>TAS SM 3589 S-4 KECIL</t>
  </si>
  <si>
    <t>N BOOK A5 32X 052</t>
  </si>
  <si>
    <t>BUK-EC13</t>
  </si>
  <si>
    <t>BK TAMU ECO LOVE</t>
  </si>
  <si>
    <t>TAS SM 180L-1 BESAR GLITTER</t>
  </si>
  <si>
    <t>TAS XM L-2097-1 GLITTER BESAR</t>
  </si>
  <si>
    <t>TAS-IM8</t>
  </si>
  <si>
    <t>TAS 1839-L (TANGGUNG)</t>
  </si>
  <si>
    <t>TIP-IM26</t>
  </si>
  <si>
    <t>TIPEX KERTAS NO.9458</t>
  </si>
  <si>
    <t>TIP-IM13</t>
  </si>
  <si>
    <t>TIPEX KERTAS NO.9446</t>
  </si>
  <si>
    <t>TIP-IM11</t>
  </si>
  <si>
    <t>TIPEX KERTAS NO.8522</t>
  </si>
  <si>
    <t>TIP-NB45</t>
  </si>
  <si>
    <t>TIP-NB46</t>
  </si>
  <si>
    <t>PWA-KY16</t>
  </si>
  <si>
    <t>PWA-16</t>
  </si>
  <si>
    <t>PW KY CF 1224</t>
  </si>
  <si>
    <t>PWA-KK10</t>
  </si>
  <si>
    <t>PWA-10</t>
  </si>
  <si>
    <t>PW KIKO 12/12W</t>
  </si>
  <si>
    <t>PENSIL NB06</t>
  </si>
  <si>
    <t>BOX (100)</t>
  </si>
  <si>
    <t>PENSIL NB04</t>
  </si>
  <si>
    <t>BOL-DB19</t>
  </si>
  <si>
    <t>BP DEBOZZ 0.28 DB-GP 800 BL BIRU</t>
  </si>
  <si>
    <t>GAR-MC199</t>
  </si>
  <si>
    <t>GAR-199</t>
  </si>
  <si>
    <t>GARISAN 30CM MICROTOP 930</t>
  </si>
  <si>
    <t>PENSIL 947</t>
  </si>
  <si>
    <t>PENSIL 917</t>
  </si>
  <si>
    <t>PENSIL 950</t>
  </si>
  <si>
    <t>KUA-IM59</t>
  </si>
  <si>
    <t>KUAS 21839-W</t>
  </si>
  <si>
    <t>SPI-TF13</t>
  </si>
  <si>
    <t>ACRYLIC MARKER TF-AM 301-12</t>
  </si>
  <si>
    <t>GUN-JN52</t>
  </si>
  <si>
    <t>GUNTING JUNIOR J 200</t>
  </si>
  <si>
    <t>GUN-NB81</t>
  </si>
  <si>
    <t>GUN-81</t>
  </si>
  <si>
    <t>GUNTING STAINLESS SQ 08 B HITAM</t>
  </si>
  <si>
    <t>GUN-NB83</t>
  </si>
  <si>
    <t>GUN-83</t>
  </si>
  <si>
    <t>GUNTING STAINLESS SQ 5006 C WARNA</t>
  </si>
  <si>
    <t>GUN-KB56</t>
  </si>
  <si>
    <t>GUNTING KAIBO</t>
  </si>
  <si>
    <t>GAR-NB106</t>
  </si>
  <si>
    <t>GAR-106</t>
  </si>
  <si>
    <t>GARISAN SET ZX 6138</t>
  </si>
  <si>
    <t>HURUF MAGNIT 349 A</t>
  </si>
  <si>
    <t>HURUF MAGNIT 349 B</t>
  </si>
  <si>
    <t>MAG-IM27</t>
  </si>
  <si>
    <t>MAGNET 8101</t>
  </si>
  <si>
    <t>MAG-IM28</t>
  </si>
  <si>
    <t>MAGNET 8102</t>
  </si>
  <si>
    <t>HURUF MAGNIT 8550 A</t>
  </si>
  <si>
    <t>HURUF MAGNIT 8550 B</t>
  </si>
  <si>
    <t>ALPHABET HURUF ABC 8714</t>
  </si>
  <si>
    <t>ABJ-NB14</t>
  </si>
  <si>
    <t>ALPHABET HURUF ABC 8715</t>
  </si>
  <si>
    <t>ASA-IM61</t>
  </si>
  <si>
    <t>ASAHAN 8811</t>
  </si>
  <si>
    <t>ASAHAN XXY 1868</t>
  </si>
  <si>
    <t>PIT-IM2</t>
  </si>
  <si>
    <t>PITA KADO LS50-1</t>
  </si>
  <si>
    <t>PIT-IM11</t>
  </si>
  <si>
    <t>PITA TH-30-1</t>
  </si>
  <si>
    <t>PIT-IM37</t>
  </si>
  <si>
    <t>PITA SJ-50</t>
  </si>
  <si>
    <t>SUL-TR1</t>
  </si>
  <si>
    <t>SULING TREND 900</t>
  </si>
  <si>
    <t>RITA-PURWW</t>
  </si>
  <si>
    <t>ID CARD A1</t>
  </si>
  <si>
    <t>IDC-IM8</t>
  </si>
  <si>
    <t>ID CARD B1 IMPORT</t>
  </si>
  <si>
    <t>DISPENSER DTD 888/ 889</t>
  </si>
  <si>
    <t>PENSIL 933</t>
  </si>
  <si>
    <t>INDRASARI-MRANGGEN</t>
  </si>
  <si>
    <t>STB-DB23</t>
  </si>
  <si>
    <t>STABILO DEBOZZ SB 007</t>
  </si>
  <si>
    <t>P WARNA KAYAGI 24W CP-0724</t>
  </si>
  <si>
    <t>GARISAN 20 CM SET SLO 0192</t>
  </si>
  <si>
    <t>CRA-NB4</t>
  </si>
  <si>
    <t>CRAYON PUTAR FANCY 1012/2012 PANJANG</t>
  </si>
  <si>
    <t>PWA-IM27</t>
  </si>
  <si>
    <t>PW 9999-12</t>
  </si>
  <si>
    <t>PEN-IM27</t>
  </si>
  <si>
    <t>PENSIL 8009-12</t>
  </si>
  <si>
    <t>KARET GELANG BSR UTN</t>
  </si>
  <si>
    <t>STAPLES 13/ 6 JOSS (ISI)</t>
  </si>
  <si>
    <t>AGE-NB13</t>
  </si>
  <si>
    <t>AGENDA PRO DELUXE PC-121 WK KECIL</t>
  </si>
  <si>
    <t>PEN-CH28</t>
  </si>
  <si>
    <t>PENSIL CHUNG HWA 6161 2B</t>
  </si>
  <si>
    <t>AGENDA KCG 25K MB 35-25</t>
  </si>
  <si>
    <t>BIN-KO7</t>
  </si>
  <si>
    <t>BN KOALA A5</t>
  </si>
  <si>
    <t>PENSIL CASE SH-10</t>
  </si>
  <si>
    <t>PCA-IM104</t>
  </si>
  <si>
    <t>PENSIL CASE SH-07</t>
  </si>
  <si>
    <t>PENSIL CASE SH-06</t>
  </si>
  <si>
    <t>IDC-NB4</t>
  </si>
  <si>
    <t>ID CARD 2 SISI TRANSPARANT MERAH</t>
  </si>
  <si>
    <t>IDC-NB5</t>
  </si>
  <si>
    <t>ID CARD 2 SISI TRANSPARANT KUNING</t>
  </si>
  <si>
    <t>IDC-NB2</t>
  </si>
  <si>
    <t>ID CARD 2 SISI TRANSPARANT HIJAU</t>
  </si>
  <si>
    <t>IDC-NB3</t>
  </si>
  <si>
    <t>ID CARD 2 SISI TRANSPARANT PUTIH</t>
  </si>
  <si>
    <t>IDC-NB1</t>
  </si>
  <si>
    <t>ID CARD 2 SISI TRANSPARANT HITAM</t>
  </si>
  <si>
    <t>IDC-NB6</t>
  </si>
  <si>
    <t>ID CARD 2 SISI TRANSPARANT BIRU</t>
  </si>
  <si>
    <t>KARET GELANG KECIL</t>
  </si>
  <si>
    <t>LEM-NB4</t>
  </si>
  <si>
    <t>LEM CAIR B.GLUE 75ML T</t>
  </si>
  <si>
    <t>TAS S/B 223 M TIKAR</t>
  </si>
  <si>
    <t>TAS TIDUR SB 120 BRANDED</t>
  </si>
  <si>
    <t>TAS TIDUR BATIK SB/XXL 0121</t>
  </si>
  <si>
    <t>SAMPUL ROLL MIKA 25CM</t>
  </si>
  <si>
    <t>MAP-SK228</t>
  </si>
  <si>
    <t>BUSINESS FILE SIKA AC-106 BIRU</t>
  </si>
  <si>
    <t>MAP-SK230</t>
  </si>
  <si>
    <t>BUSINESS FILE SIKA AC-106 KUNING</t>
  </si>
  <si>
    <t>MAP-SK231</t>
  </si>
  <si>
    <t>BUSINESS FILE SIKA AC-106 MERAH</t>
  </si>
  <si>
    <t>MAP-SK229</t>
  </si>
  <si>
    <t>BUSINESS FILE SIKA AC-106 HIJAU</t>
  </si>
  <si>
    <t>MAP-SK76</t>
  </si>
  <si>
    <t>MAP KANCING SIKA AC-05 KUNING</t>
  </si>
  <si>
    <t>P WARNA KAYAGI 12W CP 1210</t>
  </si>
  <si>
    <t>GARISAN 20CM RENTENG SPD</t>
  </si>
  <si>
    <t>DISP (36)</t>
  </si>
  <si>
    <t>GARISAN 20CM RENTENG PRETTY WHITE</t>
  </si>
  <si>
    <t>GARISAN 20CM RENTENG SUPERMAN</t>
  </si>
  <si>
    <t>GARISAN 20CM RENTENG CAT MOUSE</t>
  </si>
  <si>
    <t>GARISAN 20CM RENTENG FANCY MOUSE</t>
  </si>
  <si>
    <t>PUAS-PATI</t>
  </si>
  <si>
    <t>CEL-NB1</t>
  </si>
  <si>
    <t>COIN BANK S</t>
  </si>
  <si>
    <t>CEL-NB2</t>
  </si>
  <si>
    <t>COIN BANK M</t>
  </si>
  <si>
    <t>CEL-NB3</t>
  </si>
  <si>
    <t>COIN BANK L</t>
  </si>
  <si>
    <t>CEL-NB4</t>
  </si>
  <si>
    <t>COIN BANK XL</t>
  </si>
  <si>
    <t>JARUM CASING KOTAK 1.5</t>
  </si>
  <si>
    <t>PLASTIK PARCEL TRANSP POLOS</t>
  </si>
  <si>
    <t>LBR</t>
  </si>
  <si>
    <t>PAL-NB10</t>
  </si>
  <si>
    <t>PALET CAT AIR SAKURA BIASA DOF</t>
  </si>
  <si>
    <t>PCA-NB174</t>
  </si>
  <si>
    <t>PC MAGNIT JUMBO 3575-19</t>
  </si>
  <si>
    <t>PCA-NB175</t>
  </si>
  <si>
    <t>PC MAGNIT 9363</t>
  </si>
  <si>
    <t>PCA-NB176</t>
  </si>
  <si>
    <t>PC MAGNIT MC 8088 TIMBUL</t>
  </si>
  <si>
    <t>PCA-NB177</t>
  </si>
  <si>
    <t>PC MAGNIT XU 0084</t>
  </si>
  <si>
    <t>PC PB 22</t>
  </si>
  <si>
    <t>PCA-IM22</t>
  </si>
  <si>
    <t>PENSIL CASE 168-35</t>
  </si>
  <si>
    <t>PCA-NB179</t>
  </si>
  <si>
    <t>PC MAGNIT CC 7806 + CALL</t>
  </si>
  <si>
    <t>PCA-NB133</t>
  </si>
  <si>
    <t>PENCIL CASE MAGNIT AC 2829-5</t>
  </si>
  <si>
    <t>PCA-IM20</t>
  </si>
  <si>
    <t>PENSIL CASE 168-27</t>
  </si>
  <si>
    <t>PCA-IM19</t>
  </si>
  <si>
    <t>PENSIL CASE 168-26</t>
  </si>
  <si>
    <t>PCA-IM18</t>
  </si>
  <si>
    <t>PENSIL CASE 168-25</t>
  </si>
  <si>
    <t>PCA-IM64</t>
  </si>
  <si>
    <t>PENSIL CASE AC-2860-3</t>
  </si>
  <si>
    <t>PCA-IM77</t>
  </si>
  <si>
    <t>PENSIL CASE BH-278</t>
  </si>
  <si>
    <t>CAT-EN2</t>
  </si>
  <si>
    <t>CAT ACRYLIC ENTER A 912</t>
  </si>
  <si>
    <t>CAT-DR1</t>
  </si>
  <si>
    <t>CAT ACRYLIC A12 - 9 12W</t>
  </si>
  <si>
    <t>BOL-IM254</t>
  </si>
  <si>
    <t>BP GEL + GANTUNGAN 9166</t>
  </si>
  <si>
    <t>BOL-IM257</t>
  </si>
  <si>
    <t>BP GEL + GANTUNGAN 9170</t>
  </si>
  <si>
    <t>BOL-IM300</t>
  </si>
  <si>
    <t>BP GEL DTIAN DT-221</t>
  </si>
  <si>
    <t>BOL-IM302</t>
  </si>
  <si>
    <t>BP GEL DTIAN DT-225</t>
  </si>
  <si>
    <t>BOL-VO128</t>
  </si>
  <si>
    <t>BOL-128</t>
  </si>
  <si>
    <t>BP V-TRO 235</t>
  </si>
  <si>
    <t>GUN-ID40</t>
  </si>
  <si>
    <t>GUNTING IDEAL K 100</t>
  </si>
  <si>
    <t>GUN-ID42</t>
  </si>
  <si>
    <t>GUNTING IDEAL K-300</t>
  </si>
  <si>
    <t>GUN-ID44</t>
  </si>
  <si>
    <t>GUNTING IDEAL K-500</t>
  </si>
  <si>
    <t>GUN-NB69</t>
  </si>
  <si>
    <t>GUN-69</t>
  </si>
  <si>
    <t>GUNTING LIPAT HT KECIL</t>
  </si>
  <si>
    <t>GUN-NB68</t>
  </si>
  <si>
    <t>GUNTING LIPAT BESAR</t>
  </si>
  <si>
    <t>GUN-JN55</t>
  </si>
  <si>
    <t>GUNTING JUNIOR J-500</t>
  </si>
  <si>
    <t>MECHPEN TIZO G 9007 A</t>
  </si>
  <si>
    <t>MECHPEN TIZO G 9006 A</t>
  </si>
  <si>
    <t>MECHPEN TIZO G 9008 A</t>
  </si>
  <si>
    <t>MECHPEN TIZO G 9000 A</t>
  </si>
  <si>
    <t>MECHPEN TIZO G 9005 A</t>
  </si>
  <si>
    <t>MECHPEN TIZO G 9009 A</t>
  </si>
  <si>
    <t>BINA ILMU-BATU</t>
  </si>
  <si>
    <t>KUA-IM37</t>
  </si>
  <si>
    <t>KUAS 929-1 ETERNA YIJIAYI</t>
  </si>
  <si>
    <t>KUA-IM38</t>
  </si>
  <si>
    <t>KUAS 929-2 ETERNA YIJIAYI</t>
  </si>
  <si>
    <t>KUA-IM40</t>
  </si>
  <si>
    <t>KUAS 929-4 ETERNA YIJIAYI</t>
  </si>
  <si>
    <t>KUA-IM42</t>
  </si>
  <si>
    <t>KUAS 929-6 ETERNA YIJIAYI</t>
  </si>
  <si>
    <t>KUA-IM43</t>
  </si>
  <si>
    <t>KUAS 929-7 ETERNA YIJIAYI</t>
  </si>
  <si>
    <t>KUA-IM44</t>
  </si>
  <si>
    <t>KUAS 929-8 ETERNA YIJIAYI</t>
  </si>
  <si>
    <t>KUA-IM46</t>
  </si>
  <si>
    <t>KUAS 929-10 ETERNA YIJIAYI</t>
  </si>
  <si>
    <t>MAP-SK103</t>
  </si>
  <si>
    <t>MAP TALI SIKA PUTIH</t>
  </si>
  <si>
    <t>MAP-SK102</t>
  </si>
  <si>
    <t>MAP-102</t>
  </si>
  <si>
    <t>MAP TALI SIKA MERAH</t>
  </si>
  <si>
    <t>MAP-SK100</t>
  </si>
  <si>
    <t>MAP-100</t>
  </si>
  <si>
    <t>MAP TALI SIKA KUNING</t>
  </si>
  <si>
    <t>STI-GN7</t>
  </si>
  <si>
    <t>STIP W/B GUNINDO 803</t>
  </si>
  <si>
    <t>GAR-BT21</t>
  </si>
  <si>
    <t>GARISAN BT 15CM</t>
  </si>
  <si>
    <t>TIP-IM21</t>
  </si>
  <si>
    <t>TIPEX KERTAS DP-902</t>
  </si>
  <si>
    <t>TIP-IM16</t>
  </si>
  <si>
    <t>TIPEX KERTAS DP-912</t>
  </si>
  <si>
    <t>CAT-OP5</t>
  </si>
  <si>
    <t>CAT AIR OPINI 110</t>
  </si>
  <si>
    <t>CAT-OP6</t>
  </si>
  <si>
    <t>CAT AIR OPINI 120</t>
  </si>
  <si>
    <t>ALAT GUNTACKER</t>
  </si>
  <si>
    <t>IDC-IM9</t>
  </si>
  <si>
    <t>ID CARD B2 IMPORT</t>
  </si>
  <si>
    <t>IDC-NB15</t>
  </si>
  <si>
    <t>TALI ID CARD PEONY KUNING</t>
  </si>
  <si>
    <t>IDC-NB18</t>
  </si>
  <si>
    <t>TALI ID CARD PEONY HITAM</t>
  </si>
  <si>
    <t>LEM-NB15</t>
  </si>
  <si>
    <t>LEM TEMBAK K PUTIH MS</t>
  </si>
  <si>
    <t>MES-BS2</t>
  </si>
  <si>
    <t>MESIN LEM TEMBAK BOSCO 5538</t>
  </si>
  <si>
    <t>MAP-SK136</t>
  </si>
  <si>
    <t>MAP-136</t>
  </si>
  <si>
    <t>MAP ZIPPER JALA A5 SIKA MR</t>
  </si>
  <si>
    <t>MAP-SK134</t>
  </si>
  <si>
    <t>MAP-134</t>
  </si>
  <si>
    <t>MAP ZIPPER JALA A5 SIKA KN</t>
  </si>
  <si>
    <t>MAP-SK131</t>
  </si>
  <si>
    <t>MAP-131</t>
  </si>
  <si>
    <t>MAP ZIPPER JALA A5 SIKA HJ</t>
  </si>
  <si>
    <t>MAP-SK133</t>
  </si>
  <si>
    <t>MAP-133</t>
  </si>
  <si>
    <t>MAP ZIPPER JALA A5 SIKA HT</t>
  </si>
  <si>
    <t>MAP-SK130</t>
  </si>
  <si>
    <t>MAP-130</t>
  </si>
  <si>
    <t>MAP ZIPPER JALA A5 SIKA BR</t>
  </si>
  <si>
    <t>TAP-NB3</t>
  </si>
  <si>
    <t>DOUBLE TAPE FOAM 24MM</t>
  </si>
  <si>
    <t>PENSIL 2B KAYAGI 2029</t>
  </si>
  <si>
    <t>PENSIL 2B KAYAGI 3057</t>
  </si>
  <si>
    <t>PENSIL 2B TF 88 BTK</t>
  </si>
  <si>
    <t>PEN-TF29</t>
  </si>
  <si>
    <t>PENSIL TF 99 S</t>
  </si>
  <si>
    <t>ASA-IM62</t>
  </si>
  <si>
    <t>ASAHAN 9022</t>
  </si>
  <si>
    <t>ASA-IM38</t>
  </si>
  <si>
    <t>ASAHAN TG3695</t>
  </si>
  <si>
    <t>MIKA ENTER 12 X 18</t>
  </si>
  <si>
    <t>PENSIL 2B +STIP 2116</t>
  </si>
  <si>
    <t>PCA-IM17</t>
  </si>
  <si>
    <t>PENSIL CASE 168-22 KALENG</t>
  </si>
  <si>
    <t>PCA-IM84</t>
  </si>
  <si>
    <t>PENSIL CASE DZ-32 KALENG</t>
  </si>
  <si>
    <t>PCA-XL11</t>
  </si>
  <si>
    <t>PENCIL CASE XLG BD861</t>
  </si>
  <si>
    <t>LEM-NB1</t>
  </si>
  <si>
    <t>LEM BAKAR K 7X29 H 538 A POLOS</t>
  </si>
  <si>
    <t>IGE-TZ16</t>
  </si>
  <si>
    <t>ISI GEL TIZO TG 308-AR</t>
  </si>
  <si>
    <t>STB-NB6</t>
  </si>
  <si>
    <t>HIGHLIGHTER Q1313 STAR-STAMP ISI 5</t>
  </si>
  <si>
    <t>GARISAN MAL 270 ANGKA + HURUF</t>
  </si>
  <si>
    <t>GARISAN MAL 280 ANGKA + HURUF</t>
  </si>
  <si>
    <t>GAR-IM231</t>
  </si>
  <si>
    <t>GARISAN TW-8068</t>
  </si>
  <si>
    <t>BENSIA LT 1311 KACA SISIR</t>
  </si>
  <si>
    <t>PEN-IM30</t>
  </si>
  <si>
    <t>PENSIL 951</t>
  </si>
  <si>
    <t>PEN-IM31</t>
  </si>
  <si>
    <t>PENSIL 7027</t>
  </si>
  <si>
    <t>PEN-IM32</t>
  </si>
  <si>
    <t>PENSIL 938</t>
  </si>
  <si>
    <t>PEN-IM33</t>
  </si>
  <si>
    <t>PEN-IM34</t>
  </si>
  <si>
    <t>PEN-IM35</t>
  </si>
  <si>
    <t>PEN-IM36</t>
  </si>
  <si>
    <t>PENSIL 903</t>
  </si>
  <si>
    <t>BAL-NB49</t>
  </si>
  <si>
    <t>BALON DOF 12'' RI MERAH</t>
  </si>
  <si>
    <t>BAL-NB48</t>
  </si>
  <si>
    <t>BALON DOF 12" RI PUTIH</t>
  </si>
  <si>
    <t>N BOOK 005 STICKER</t>
  </si>
  <si>
    <t>DIA-NB4</t>
  </si>
  <si>
    <t>DIARY CK64-6031 HAHA (112LBR)</t>
  </si>
  <si>
    <t>MANGGALA SAKTI-MALANG</t>
  </si>
  <si>
    <t>BOL-NB32</t>
  </si>
  <si>
    <t>BP GP 1016 GOLD</t>
  </si>
  <si>
    <t>BOL-NB33</t>
  </si>
  <si>
    <t>BP GP 1016 SILVER</t>
  </si>
  <si>
    <t>PC PLST KOTAK B 1F 1502</t>
  </si>
  <si>
    <t>BAL-LK17</t>
  </si>
  <si>
    <t>BALON BL 1006</t>
  </si>
  <si>
    <t>BOL-TZ391</t>
  </si>
  <si>
    <t>BP TIZO TG 30802F S3 FANCY</t>
  </si>
  <si>
    <t>BOL-TZ387</t>
  </si>
  <si>
    <t>BP TIZO TG 31475F FANCY</t>
  </si>
  <si>
    <t>BP GEL TIZO TG 348F FANCY</t>
  </si>
  <si>
    <t>BOL-TZ350</t>
  </si>
  <si>
    <t>BP GEL TIZO 30900F FANCY</t>
  </si>
  <si>
    <t>ANUGERAH BARU-JEPARA</t>
  </si>
  <si>
    <t>REFIL GEL TIZO 1.0</t>
  </si>
  <si>
    <t>MECHPEN G 9005 A</t>
  </si>
  <si>
    <t>MECHPEN G 9008 A</t>
  </si>
  <si>
    <t>MECHPEN G 9006 A</t>
  </si>
  <si>
    <t>BALLPEN KENKO KR-6 NANOTIP</t>
  </si>
  <si>
    <t>IGE-ES8</t>
  </si>
  <si>
    <t>ISI GEL ELSON ES-227 TAYO</t>
  </si>
  <si>
    <t>IGE-ES3</t>
  </si>
  <si>
    <t>ISI GEL ELSON ES-220 BTS</t>
  </si>
  <si>
    <t>IGE-ES4</t>
  </si>
  <si>
    <t>ISI GEL ELSON ES-222 DORAEMON</t>
  </si>
  <si>
    <t>IGE-ES5</t>
  </si>
  <si>
    <t>ISI GEL ELSON ES-223</t>
  </si>
  <si>
    <t>IGE-ES9</t>
  </si>
  <si>
    <t>ISI GEL ELSON ES-228 SUPER HEROES</t>
  </si>
  <si>
    <t>BOL-VO131</t>
  </si>
  <si>
    <t>BP V-TRO 238</t>
  </si>
  <si>
    <t>BOL-126</t>
  </si>
  <si>
    <t>BOL-VO130</t>
  </si>
  <si>
    <t>BOL-130</t>
  </si>
  <si>
    <t>BP V-TRO 237</t>
  </si>
  <si>
    <t>BOL-ZI28</t>
  </si>
  <si>
    <t>BP GEL ZHIXIN G 3139</t>
  </si>
  <si>
    <t>BP GEL ZHIXIN G 3150</t>
  </si>
  <si>
    <t>BP GEL ZHIXIN G 3162</t>
  </si>
  <si>
    <t>BOL-ZI47</t>
  </si>
  <si>
    <t>BP GEL ZHIXIN G 5014</t>
  </si>
  <si>
    <t>BP GEL ZHIXIN G 5017</t>
  </si>
  <si>
    <t>BOL-ZI62</t>
  </si>
  <si>
    <t>BP GEL ZHIXIN G 3051</t>
  </si>
  <si>
    <t>BP GEL ZHIXIN G 5013</t>
  </si>
  <si>
    <t>BP GEL ZHIXIN G 3137</t>
  </si>
  <si>
    <t>BP GEL ZHIXIN G 3109</t>
  </si>
  <si>
    <t>WINARTI-TUBAN</t>
  </si>
  <si>
    <t>GARISAN SET 20CM 0122</t>
  </si>
  <si>
    <t>GAR-NB93</t>
  </si>
  <si>
    <t>GAR-93</t>
  </si>
  <si>
    <t>GARISAN SET LM 0190 HERO</t>
  </si>
  <si>
    <t>GAR-NB105</t>
  </si>
  <si>
    <t>GAR-105</t>
  </si>
  <si>
    <t>GARISAN SET ZX 6110/ 20CM PPK</t>
  </si>
  <si>
    <t>GAR-NB92</t>
  </si>
  <si>
    <t>GAR-92</t>
  </si>
  <si>
    <t>GARISAN SET FS 9810 UNICORN</t>
  </si>
  <si>
    <t>GARISAN SET 019</t>
  </si>
  <si>
    <t>GAR-IM240</t>
  </si>
  <si>
    <t>GARISAN SET ZX-022 20 CM</t>
  </si>
  <si>
    <t>GAR-IM239</t>
  </si>
  <si>
    <t>GARISAN SET ZX-018 20 CM</t>
  </si>
  <si>
    <t>GAR-IM127</t>
  </si>
  <si>
    <t>GARISAN SET ZX-021 20 CM</t>
  </si>
  <si>
    <t>BALLPEN ZHIXIN CLICK K 15</t>
  </si>
  <si>
    <t>PENSIL TUKANG GREATWALL</t>
  </si>
  <si>
    <t>ISOLASI FANCY</t>
  </si>
  <si>
    <t>ASAHAN TOPLES PAYU MIX</t>
  </si>
  <si>
    <t>BINTANG TOYS-JEPARA</t>
  </si>
  <si>
    <t>PCA-NB181</t>
  </si>
  <si>
    <t>PC MAGNIT B 120 S 8065</t>
  </si>
  <si>
    <t>PCA-NB182</t>
  </si>
  <si>
    <t>PC MAGNIT 35145 (BIASA)</t>
  </si>
  <si>
    <t>PCA-NB184</t>
  </si>
  <si>
    <t>PC MAGNIT B 0011</t>
  </si>
  <si>
    <t>PCA-NB183</t>
  </si>
  <si>
    <t>PC MAGNIT C 9962 BLK SET</t>
  </si>
  <si>
    <t>PCA-IM86</t>
  </si>
  <si>
    <t>PENSIL CASE KD-50J</t>
  </si>
  <si>
    <t>ABC-MAGELANG</t>
  </si>
  <si>
    <t>POJOK BLAURAN-SALATIGA</t>
  </si>
  <si>
    <t>POS-TF13</t>
  </si>
  <si>
    <t>STICK NOTE TF 654 5C</t>
  </si>
  <si>
    <t>ID CARD T 017</t>
  </si>
  <si>
    <t>BEN-LN1</t>
  </si>
  <si>
    <t>BENSIA 9935 PLUIT (42)</t>
  </si>
  <si>
    <t>BEN-PN20</t>
  </si>
  <si>
    <t>BENSIA 05LM2 (6021)</t>
  </si>
  <si>
    <t>TIPEX KOALA 001</t>
  </si>
  <si>
    <t>BOL-KO398</t>
  </si>
  <si>
    <t>BP GEL KOALA GP-168-A MERAH</t>
  </si>
  <si>
    <t>BOL-KO399</t>
  </si>
  <si>
    <t>BP GEL KOALA GP-168-B BR</t>
  </si>
  <si>
    <t>BOL-KO400</t>
  </si>
  <si>
    <t>BP GEL KOALA GP-168-C HJ</t>
  </si>
  <si>
    <t>BOL-KO401</t>
  </si>
  <si>
    <t>BP GEL KOALA GP-168-D VL</t>
  </si>
  <si>
    <t>BOL-KO402</t>
  </si>
  <si>
    <t>BP GEL KOALA GP-168-E OR</t>
  </si>
  <si>
    <t>BOL-KO403</t>
  </si>
  <si>
    <t>BP GEL KOALA GP-168-F BR TUA</t>
  </si>
  <si>
    <t>BOL-KO404</t>
  </si>
  <si>
    <t>BP GEL KOALA GP-168-G PK</t>
  </si>
  <si>
    <t>BOL-KO405</t>
  </si>
  <si>
    <t>BP GEL KOALA GP-168-H HJ MUDA</t>
  </si>
  <si>
    <t>BOL-KO406</t>
  </si>
  <si>
    <t>BP GEL KOALA GP-168-I COKLAT</t>
  </si>
  <si>
    <t>BOL-KO407</t>
  </si>
  <si>
    <t>BP GEL KOALA GP-168-J KNG</t>
  </si>
  <si>
    <t>ANEKA-MALANG</t>
  </si>
  <si>
    <t>PCA-IM67</t>
  </si>
  <si>
    <t>PENSIL CASE AD-062</t>
  </si>
  <si>
    <t>SPA-HR3</t>
  </si>
  <si>
    <t>STAMP PAD HERO BESAR</t>
  </si>
  <si>
    <t>LOO-BS14</t>
  </si>
  <si>
    <t>LOOSE LEAF HOLO BEE SMART A5 MIX</t>
  </si>
  <si>
    <t>HT JAYA-JUWANA</t>
  </si>
  <si>
    <t>SIANA (PECINAN)-MALANG</t>
  </si>
  <si>
    <t>ASA-PY2</t>
  </si>
  <si>
    <t>ASA-PY137</t>
  </si>
  <si>
    <t>ASAHAN PAYU 825 KUDA</t>
  </si>
  <si>
    <t>ASA-PY139</t>
  </si>
  <si>
    <t>ASAHAN PAYU 830 KUPU-KUPU</t>
  </si>
  <si>
    <t>SUKSES MAKMUR (GROSIR)-COMAL</t>
  </si>
  <si>
    <t>NAME TAG DOS BIRU</t>
  </si>
  <si>
    <t>DIAN ILMU-MALANG</t>
  </si>
  <si>
    <t>LOO-KO5</t>
  </si>
  <si>
    <t>LOOSE LEAF A5-50LBR DOTED TITIK</t>
  </si>
  <si>
    <t>KARET PENTIL B</t>
  </si>
  <si>
    <t>AGUNG JAYA-TUBAN</t>
  </si>
  <si>
    <t>TAS BATIK KC MICROTOP PB S0218 A</t>
  </si>
  <si>
    <t>TAS BATIK TG MICROTOP PB S0218 Q</t>
  </si>
  <si>
    <t>IPE-NB3</t>
  </si>
  <si>
    <t>ISI PENSIL MEKANIK 801 2,0</t>
  </si>
  <si>
    <t>PC RET KY 1196</t>
  </si>
  <si>
    <t>PC RET KY 6173</t>
  </si>
  <si>
    <t>KAWAT 504 MIX</t>
  </si>
  <si>
    <t>CAHAYA-WANGON</t>
  </si>
  <si>
    <t>BALLPEN 12W</t>
  </si>
  <si>
    <t>BALLPEN DTIAN BIASA 812</t>
  </si>
  <si>
    <t>CENDRAWASIH-SRAGEN</t>
  </si>
  <si>
    <t>POS-TF3</t>
  </si>
  <si>
    <t>STICK NOTE TF-010</t>
  </si>
  <si>
    <t>IDC-IM7</t>
  </si>
  <si>
    <t>ID CARD B3 IMPORT</t>
  </si>
  <si>
    <t>TALI ID CARD 1.5 MERAH</t>
  </si>
  <si>
    <t>NOT-IM34</t>
  </si>
  <si>
    <t>NOTEBOOK 70100-2</t>
  </si>
  <si>
    <t>NOTEBOOK 70100-11</t>
  </si>
  <si>
    <t>MITRA KAMPUS-KUDUS</t>
  </si>
  <si>
    <t>TEMMY-JUWANA</t>
  </si>
  <si>
    <t>KAWAT POTONG MIX</t>
  </si>
  <si>
    <t>NOT-IM45</t>
  </si>
  <si>
    <t>NOTEBOOK A5-508</t>
  </si>
  <si>
    <t>NOT-IM86</t>
  </si>
  <si>
    <t>NOTEBOOK A5-104</t>
  </si>
  <si>
    <t>NOT-IM72</t>
  </si>
  <si>
    <t>NOTEBOOK A5-521</t>
  </si>
  <si>
    <t>TAP-NB5</t>
  </si>
  <si>
    <t>ISOLASI WARNA POLOS KECIL (BO 5076)</t>
  </si>
  <si>
    <t>GRAFIKA-JEPARA</t>
  </si>
  <si>
    <t>MEJA BELAJAR FANCY</t>
  </si>
  <si>
    <t>ID CARD BEKNN PUTIH</t>
  </si>
  <si>
    <t>ID CARD 501 PUTIH</t>
  </si>
  <si>
    <t>KODE BARANG DOBEL SAMA ID CARD B4 IMPORT</t>
  </si>
  <si>
    <t>ID CARD 501 BIRU</t>
  </si>
  <si>
    <t>BENDERA PLST RENTENG TRISULA TALI</t>
  </si>
  <si>
    <t>MUDA JAYA-PURWOREJO</t>
  </si>
  <si>
    <t>BOL-DB104</t>
  </si>
  <si>
    <t>BP DEBOZZ DB G 05</t>
  </si>
  <si>
    <t>MAP-MC226</t>
  </si>
  <si>
    <t>EXPANDING FILE MICROTOP MT-625 FOLIO</t>
  </si>
  <si>
    <t>PANTES-BANTUL</t>
  </si>
  <si>
    <t>CEPITAN SAJA</t>
  </si>
  <si>
    <t>PRESTASI-AJIBARANG</t>
  </si>
  <si>
    <t>SUKSES 1-SIDOARJO</t>
  </si>
  <si>
    <t>TAS-NB381</t>
  </si>
  <si>
    <t>TAS-381</t>
  </si>
  <si>
    <t>TAS KARUNG 60X70</t>
  </si>
  <si>
    <t>SUL-TR2</t>
  </si>
  <si>
    <t>SULING YAMAHA</t>
  </si>
  <si>
    <t>MAG-IM11</t>
  </si>
  <si>
    <t>MAGNET 504</t>
  </si>
  <si>
    <t>BOL-TZ396</t>
  </si>
  <si>
    <t>BP KLIK DEBOZZ FANCY DB-GF 10</t>
  </si>
  <si>
    <t>SUKSES 2-SIDOARJO</t>
  </si>
  <si>
    <t>GUNTACKER R-23</t>
  </si>
  <si>
    <t>MINI DIARY 120</t>
  </si>
  <si>
    <t>KONDANG-TEMANGGUNG</t>
  </si>
  <si>
    <t>ACR-KO9</t>
  </si>
  <si>
    <t>ACRYLIC NT 7X20</t>
  </si>
  <si>
    <t>CLIP KAYU 8 GAMBAR MIX</t>
  </si>
  <si>
    <t>KAWAT POTONG TIPIS 7 MACAM</t>
  </si>
  <si>
    <t>BULLDOG CLIP T-4</t>
  </si>
  <si>
    <t>BULLDOG CLIP B-6</t>
  </si>
  <si>
    <t>TAS BATIK MICROTOP 0218 TANGGUNG</t>
  </si>
  <si>
    <t>TAS BATIK MICROTOP 0218 BESAR</t>
  </si>
  <si>
    <t>TINTA ROLL 20MM</t>
  </si>
  <si>
    <t>MENARA-BLORA</t>
  </si>
  <si>
    <t>REFILL GEL TECHJOB 1.0</t>
  </si>
  <si>
    <t>BOL-TZ346</t>
  </si>
  <si>
    <t>BP GEL TIZO TG31220</t>
  </si>
  <si>
    <t>ISOLASI FANCY 15 X 2</t>
  </si>
  <si>
    <t>POS-TF12</t>
  </si>
  <si>
    <t>STICK NOTE TF 0246</t>
  </si>
  <si>
    <t>LOO-AL12</t>
  </si>
  <si>
    <t>LOOSE LEAF HOLO ALFA A5 HELLO KITTY</t>
  </si>
  <si>
    <t>ZIPPER FILE CLEAR HOLDER TOPLA 555 20 FILE</t>
  </si>
  <si>
    <t>ZIPPER FILE CLEAR HOLDER TOPLA 555 40 FILE</t>
  </si>
  <si>
    <t>ZIPPER FILE CLEAR HOLDER TOPLA 555 60 FILE</t>
  </si>
  <si>
    <t>OIL COLOR V-TRO 12W 6ML</t>
  </si>
  <si>
    <t>BOL-IM262</t>
  </si>
  <si>
    <t>BP GEL 9177</t>
  </si>
  <si>
    <t>BOL-NB55</t>
  </si>
  <si>
    <t>BP MAINAN 99096</t>
  </si>
  <si>
    <t>ACR-KO8</t>
  </si>
  <si>
    <t>ACRYLIC 8 X 20</t>
  </si>
  <si>
    <t>PCA-IM82</t>
  </si>
  <si>
    <t>PENSIL CASE C-9960</t>
  </si>
  <si>
    <t>MEGARIA-PURWOKERTO</t>
  </si>
  <si>
    <t>CAHAYA MANGON-WANGON</t>
  </si>
  <si>
    <t>DESK SET BULAT 802 HT</t>
  </si>
  <si>
    <t>DESK SET KOTAK 804 HT</t>
  </si>
  <si>
    <t>BRUK MENCENG-PURBALINGGA</t>
  </si>
  <si>
    <t>CAT-TF13</t>
  </si>
  <si>
    <t>CAT ACRYLIC COLOUR TF AC-004N NEON</t>
  </si>
  <si>
    <t>CAT-VO11</t>
  </si>
  <si>
    <t>CAT ACRYLIC COLOUR PAINT V-TRO</t>
  </si>
  <si>
    <t>LANCAR-MALANG</t>
  </si>
  <si>
    <t>TAK SUSUN 3 SSN BESI</t>
  </si>
  <si>
    <t>PERDANA-BREBES</t>
  </si>
  <si>
    <t>KUAS K5NIL</t>
  </si>
  <si>
    <t>BK MEWARNAI IF BJ45</t>
  </si>
  <si>
    <t>BK MEWARNAI IF BJA</t>
  </si>
  <si>
    <t>BK MEWARNAI SIKA</t>
  </si>
  <si>
    <t>BK MEWARNAI JUMBO SJ</t>
  </si>
  <si>
    <t>BK MEWARNAI 016</t>
  </si>
  <si>
    <t>ISI L LEAF A5 LLP 15 A-006 MIX</t>
  </si>
  <si>
    <t>ISI L LEAF A5 PAPER STAR</t>
  </si>
  <si>
    <t>MAP-VE125</t>
  </si>
  <si>
    <t>MAP V-TECH W209 A3</t>
  </si>
  <si>
    <t>STE-IM1</t>
  </si>
  <si>
    <t>STAMP 1000</t>
  </si>
  <si>
    <t>STEMPEL 2000</t>
  </si>
  <si>
    <t>SPA-NB1</t>
  </si>
  <si>
    <t>STAMP PAD SK 1602 FANCY</t>
  </si>
  <si>
    <t>STEMPEL SK1617</t>
  </si>
  <si>
    <t>STEMPEL SK 849K</t>
  </si>
  <si>
    <t>STAMPAD FANCY 25090</t>
  </si>
  <si>
    <t>MAG-IM24</t>
  </si>
  <si>
    <t>MAGNET X3510</t>
  </si>
  <si>
    <t>MAG-IM20</t>
  </si>
  <si>
    <t>MAGNET 3010J SMILE WARNA</t>
  </si>
  <si>
    <t>MAG-NB1</t>
  </si>
  <si>
    <t>MAGNET X-3008</t>
  </si>
  <si>
    <t>MAG-IM31</t>
  </si>
  <si>
    <t>MAGNIT 2012</t>
  </si>
  <si>
    <t>MAG-IM29</t>
  </si>
  <si>
    <t>MAGNET 2010T</t>
  </si>
  <si>
    <t>MAGNET ZRM 0840</t>
  </si>
  <si>
    <t>MAG-IM30</t>
  </si>
  <si>
    <t>MAGNET X3006</t>
  </si>
  <si>
    <t>MAGNET 3012</t>
  </si>
  <si>
    <t>MAG-IM21</t>
  </si>
  <si>
    <t>MAGNET X3010 SMILE KUNING</t>
  </si>
  <si>
    <t>MAGNET G-05</t>
  </si>
  <si>
    <t>MAGNET 2008</t>
  </si>
  <si>
    <t>MAHKOTA EMAS</t>
  </si>
  <si>
    <t>MAHKOTA PERAK</t>
  </si>
  <si>
    <t>BIN-NB5</t>
  </si>
  <si>
    <t>SLIDE BINDER 7MM K PUTIH</t>
  </si>
  <si>
    <t>MATERAI 25861</t>
  </si>
  <si>
    <t>PENSIL TM 00521</t>
  </si>
  <si>
    <t>BRUSH PEN SH-764</t>
  </si>
  <si>
    <t>GAR-IM218</t>
  </si>
  <si>
    <t>GARISAN BESI 15CM (ALUMINIUM)</t>
  </si>
  <si>
    <t>GARISAN ABC 350</t>
  </si>
  <si>
    <t>GARISAN ABC 300</t>
  </si>
  <si>
    <t>GARISAN ABC 270</t>
  </si>
  <si>
    <t>GARISAN ABC 280</t>
  </si>
  <si>
    <t>HITEC CS-651</t>
  </si>
  <si>
    <t>TIPEX PEN 001 C7061</t>
  </si>
  <si>
    <t>PENSIL 2B KYPF 2029</t>
  </si>
  <si>
    <t>PENSIL 2B KYPF 3057</t>
  </si>
  <si>
    <t>GUN-NB70</t>
  </si>
  <si>
    <t>GUNTING LIPAT TANGGUNG</t>
  </si>
  <si>
    <t>SPI-NB12</t>
  </si>
  <si>
    <t>SPIDOL WARNA BRUSH PEN MK 833-12</t>
  </si>
  <si>
    <t>MECHPEN G 9009 A</t>
  </si>
  <si>
    <t>MECHPEN G 9007 A</t>
  </si>
  <si>
    <t>BOL-DB105</t>
  </si>
  <si>
    <t>BP DEBOZZ DB G 07</t>
  </si>
  <si>
    <t>BOL-NB10</t>
  </si>
  <si>
    <t>BP GEL CS-G208</t>
  </si>
  <si>
    <t>BOL-NB4</t>
  </si>
  <si>
    <t>BP GEL (706) GP-189</t>
  </si>
  <si>
    <t>GEL KOALA GP 708</t>
  </si>
  <si>
    <t>STABILLO TOPI</t>
  </si>
  <si>
    <t>GARISAN ROTARY</t>
  </si>
  <si>
    <t>GARISAN 30CM ALUMINIUM GLITTER</t>
  </si>
  <si>
    <t>GAR-IM211</t>
  </si>
  <si>
    <t>GARISAN 9443</t>
  </si>
  <si>
    <t>GAR-IM241</t>
  </si>
  <si>
    <t>GARISAN 1896</t>
  </si>
  <si>
    <t>GARISAN TF-1191</t>
  </si>
  <si>
    <t>GAR-IM204</t>
  </si>
  <si>
    <t>GARISAN 4311</t>
  </si>
  <si>
    <t>GARISAN KT-005</t>
  </si>
  <si>
    <t>GARISAN KT-006</t>
  </si>
  <si>
    <t>GAR-IM210</t>
  </si>
  <si>
    <t>GARISAN 8418</t>
  </si>
  <si>
    <t>GAR-IM248</t>
  </si>
  <si>
    <t>GARISAN 2540</t>
  </si>
  <si>
    <t>GAR-IM205</t>
  </si>
  <si>
    <t>GARISAN 4317</t>
  </si>
  <si>
    <t>GAR-IM232</t>
  </si>
  <si>
    <t>GARISAN 1890</t>
  </si>
  <si>
    <t>GAR-IM245</t>
  </si>
  <si>
    <t>GARISAN 050 (SABLON)</t>
  </si>
  <si>
    <t>MEC-TZ8</t>
  </si>
  <si>
    <t>GARISAN 24CM LIPAT ALUMINIUM SO-7233</t>
  </si>
  <si>
    <t>BOL-NB7</t>
  </si>
  <si>
    <t>BP GEL WM-7200 CETEK2</t>
  </si>
  <si>
    <t>STANDARD BUKU FANCY MIX</t>
  </si>
  <si>
    <t>GARISAN 20CM JK RL P20</t>
  </si>
  <si>
    <t>BARANG LAWAS</t>
  </si>
  <si>
    <t>MAG-IM13</t>
  </si>
  <si>
    <t>MAGNET 006</t>
  </si>
  <si>
    <t>MAG-IM12</t>
  </si>
  <si>
    <t>MAGNET 002</t>
  </si>
  <si>
    <t>STI-EN15</t>
  </si>
  <si>
    <t>STIP W/B ENTER 823 K</t>
  </si>
  <si>
    <t>AR-KUDUS</t>
  </si>
  <si>
    <t>ISI GEL 1.0 HITAM</t>
  </si>
  <si>
    <t>ASA-IM50</t>
  </si>
  <si>
    <t>ASAHAN 722A</t>
  </si>
  <si>
    <t>BALLPEN TF-729 4W</t>
  </si>
  <si>
    <t>SELONGSONG PENTEL ENTER</t>
  </si>
  <si>
    <t>TERMINAL-CIREBON</t>
  </si>
  <si>
    <t>MAP-SK232</t>
  </si>
  <si>
    <t>BUSINESS FILE SIKA AC-106 PUTIH</t>
  </si>
  <si>
    <t>TALI JEPITAN BIRU</t>
  </si>
  <si>
    <t>IVONE-BUMIAYU</t>
  </si>
  <si>
    <t>KUA-IM49</t>
  </si>
  <si>
    <t>KUAS 251-1 PAGODA</t>
  </si>
  <si>
    <t>KUA-IM50</t>
  </si>
  <si>
    <t>KUAS 251-2 PAGODA</t>
  </si>
  <si>
    <t>KUA-IM52</t>
  </si>
  <si>
    <t>KUAS 251-4 PAGODA</t>
  </si>
  <si>
    <t>MAKMUR-TEGAL</t>
  </si>
  <si>
    <t>MAP-NB157</t>
  </si>
  <si>
    <t>MAP HUTANG PIUTANG</t>
  </si>
  <si>
    <t>SURYA-KUDUS</t>
  </si>
  <si>
    <t>CLEAR HOLDER RET TOPLA 40LB</t>
  </si>
  <si>
    <t>CLEAR HOLDER RET TOPLA 20LB</t>
  </si>
  <si>
    <t>GARUDA-PURBALINGGA</t>
  </si>
  <si>
    <t>TRIO PLAZA-MAGELANG</t>
  </si>
  <si>
    <t>SBM-SEMARANG</t>
  </si>
  <si>
    <t>PCA-IM59</t>
  </si>
  <si>
    <t>PENSIL CASE A-6500</t>
  </si>
  <si>
    <t>PIT-IM6</t>
  </si>
  <si>
    <t>PITA KADO LS-30</t>
  </si>
  <si>
    <t>PIT-IM3</t>
  </si>
  <si>
    <t>PITA THT-30-1</t>
  </si>
  <si>
    <t>PITA KADO 30MM BIASA</t>
  </si>
  <si>
    <t>PITA KADO 23MM GARIS EMAS</t>
  </si>
  <si>
    <t>PIT-IM36</t>
  </si>
  <si>
    <t>PITA CH-30-1</t>
  </si>
  <si>
    <t>PITA KADO 23MM BIASA</t>
  </si>
  <si>
    <t>PIT-IM9</t>
  </si>
  <si>
    <t>PITA CH-30</t>
  </si>
  <si>
    <t>PIT-IM16</t>
  </si>
  <si>
    <t>PITA JC-30</t>
  </si>
  <si>
    <t>PIT-IM19</t>
  </si>
  <si>
    <t>PULL RIBBON LS-23</t>
  </si>
  <si>
    <t>PITA KADO 18MM RENDA</t>
  </si>
  <si>
    <t>PULL RIBBON HC-30</t>
  </si>
  <si>
    <t>PITA KADO 30MM GARIS EMAS</t>
  </si>
  <si>
    <t>PIT-IM7</t>
  </si>
  <si>
    <t>PITA KADO THT-30</t>
  </si>
  <si>
    <t>PIT-NB31</t>
  </si>
  <si>
    <t>PITA KADO LS 30-1</t>
  </si>
  <si>
    <t>AGENDA 25 K MB 35 25</t>
  </si>
  <si>
    <t>TAS TALI SB-223 KC TIKAR</t>
  </si>
  <si>
    <t>TAS SB 120 BRANDED COWK</t>
  </si>
  <si>
    <t>PC MAGNIT DKK 9907</t>
  </si>
  <si>
    <t>GUN-NB8</t>
  </si>
  <si>
    <t>GUN-8</t>
  </si>
  <si>
    <t>GUNTING 8 (B 021)</t>
  </si>
  <si>
    <t>SINAR KONDANG-PURWOREJO</t>
  </si>
  <si>
    <t>PRIMA-MADIUN</t>
  </si>
  <si>
    <t>CHAMPHION-YOGYA</t>
  </si>
  <si>
    <t>KARET GELANG BESAR</t>
  </si>
  <si>
    <t>MUBAROK-MRANGGEN</t>
  </si>
  <si>
    <t>LEM BAKAR KECIL</t>
  </si>
  <si>
    <t>DIAN ILMU (MAS TEGUH)-MALANG</t>
  </si>
  <si>
    <t>SIMPOA 17 BARIS JAYA</t>
  </si>
  <si>
    <t>SEMPOA JAYA 13 BARIS</t>
  </si>
  <si>
    <t>SINAR CAHAYA NIRMALA-BREBES</t>
  </si>
  <si>
    <t>MEJ-NB2</t>
  </si>
  <si>
    <t>MEJA BELAJAR POLOS JUMBO (DOS MERAH)</t>
  </si>
  <si>
    <t>IMANUEL-TEMANGGUNG</t>
  </si>
  <si>
    <t>ZIDANE-WONOGIRI</t>
  </si>
  <si>
    <t>PWA-NB1</t>
  </si>
  <si>
    <t>PW 12W PANJANG DEMO CLASSIC</t>
  </si>
  <si>
    <t>MAP-VE207</t>
  </si>
  <si>
    <t>EXPANDING FILE V-TECH 4511 B5</t>
  </si>
  <si>
    <t>MAP KC 335 ENTER</t>
  </si>
  <si>
    <t>MAP-SK220</t>
  </si>
  <si>
    <t>MAP ZIPPER KANCING 2 SIKA MERAH</t>
  </si>
  <si>
    <t>MAP-SK218</t>
  </si>
  <si>
    <t>MAP ZIPPER KANCING 2 SIKA BIRU</t>
  </si>
  <si>
    <t>MAP-SK219</t>
  </si>
  <si>
    <t>MAP ZIPPER KANCING 2 SIKA HIJAU</t>
  </si>
  <si>
    <t>BOL-PL85</t>
  </si>
  <si>
    <t>BOL-85</t>
  </si>
  <si>
    <t>BP PELNA 05 HT</t>
  </si>
  <si>
    <t>PEN-CL14</t>
  </si>
  <si>
    <t>PENSIL COLLEN 2B</t>
  </si>
  <si>
    <t>PEN-CW7</t>
  </si>
  <si>
    <t>PENSIL 2B COWRY FANCY</t>
  </si>
  <si>
    <t>PINK/ CEWEK</t>
  </si>
  <si>
    <t>BIRU/ COWOK</t>
  </si>
  <si>
    <t>PCA-IM15</t>
  </si>
  <si>
    <t>PENSIL CASE 168-20</t>
  </si>
  <si>
    <t>P CASE MAGNET D 20065</t>
  </si>
  <si>
    <t>PCA-IM35</t>
  </si>
  <si>
    <t>PENSIL CASE 5850</t>
  </si>
  <si>
    <t>PENCIL CASE 5815</t>
  </si>
  <si>
    <t>P CASE MAGNET 16822</t>
  </si>
  <si>
    <t>PCA-IM93</t>
  </si>
  <si>
    <t>PENSIL CASE PC-613-7 KALENG</t>
  </si>
  <si>
    <t>BOL-ZI48</t>
  </si>
  <si>
    <t>BP ZHIXIN ZH 102</t>
  </si>
  <si>
    <t>IHSAN-SOLO</t>
  </si>
  <si>
    <t>POS-TF14</t>
  </si>
  <si>
    <t>STICK NOTE TF 654-8C-M</t>
  </si>
  <si>
    <t>ISI PENSIL VTRO</t>
  </si>
  <si>
    <t>PITA KADO 18 BIASA</t>
  </si>
  <si>
    <t>BEN-NB13</t>
  </si>
  <si>
    <t>BENSIA 909</t>
  </si>
  <si>
    <t>BENSIA 903</t>
  </si>
  <si>
    <t>CLIP BOARD TRIFELO</t>
  </si>
  <si>
    <t>PROGO-YOGYA</t>
  </si>
  <si>
    <t>W COLOUR 21839</t>
  </si>
  <si>
    <t>CAT-TF22</t>
  </si>
  <si>
    <t>WATER COLOR TF 1331 PP</t>
  </si>
  <si>
    <t>STC-IM1</t>
  </si>
  <si>
    <t>STICKER JN-H</t>
  </si>
  <si>
    <t>STC-IM2</t>
  </si>
  <si>
    <t>STICKER YLD</t>
  </si>
  <si>
    <t>DIS-MS2</t>
  </si>
  <si>
    <t>DISPENSER PLAKBAND BESI A 806 MOSHI-MOSHI</t>
  </si>
  <si>
    <t>DIS-MS8</t>
  </si>
  <si>
    <t>DISPENSER PLAKBAND PLASTIK A 805 MOSHI-MOSHI</t>
  </si>
  <si>
    <t>LTR-MC11</t>
  </si>
  <si>
    <t>ELEVATED TRAY MICROTOP 602 BESI</t>
  </si>
  <si>
    <t>LTR-MC12</t>
  </si>
  <si>
    <t>ELEVATED TRAY MICROTOP 603</t>
  </si>
  <si>
    <t>LTR-MC13</t>
  </si>
  <si>
    <t>ELEVATED TRAY MICROTOP 604</t>
  </si>
  <si>
    <t>MIKA ROLL K</t>
  </si>
  <si>
    <t>NAME PLATE 10,5X16</t>
  </si>
  <si>
    <t>PITA KADO 50 RENDA</t>
  </si>
  <si>
    <t>STAPLER V TECH STANDY 10</t>
  </si>
  <si>
    <t>KURNIA-BANTUL</t>
  </si>
  <si>
    <t>GUN-JN54</t>
  </si>
  <si>
    <t>GUNTING JUNIOR J 400</t>
  </si>
  <si>
    <t>GUN-NB7</t>
  </si>
  <si>
    <t>GUNTING 6 (B 023)</t>
  </si>
  <si>
    <t>STA-IM1</t>
  </si>
  <si>
    <t>STAPLER (GUN TACKER) 1008F JOSS</t>
  </si>
  <si>
    <t>PEN HOLDER HITAM KOTAK</t>
  </si>
  <si>
    <t>PEN HOLDER HITAM BULAT</t>
  </si>
  <si>
    <t>KACA PEMBESAR 50</t>
  </si>
  <si>
    <t>KACA PEMBESAR 75</t>
  </si>
  <si>
    <t>KACA PEMBESAR 100</t>
  </si>
  <si>
    <t>GAR-KO55</t>
  </si>
  <si>
    <t>GARISAN SET ACRYLIC 30CM GR-180456</t>
  </si>
  <si>
    <t>GAR-KO54</t>
  </si>
  <si>
    <t>GARISAN SET ACRYLIC 20CM GR-180455</t>
  </si>
  <si>
    <t>LTR-NB5</t>
  </si>
  <si>
    <t>LTR-5</t>
  </si>
  <si>
    <t>LETTER TRAY BESI 3 SUSUN (2003)</t>
  </si>
  <si>
    <t>LTR-NB9</t>
  </si>
  <si>
    <t>LTR-9</t>
  </si>
  <si>
    <t>LETTER TRAY SUSUN 4 (2004) BESI</t>
  </si>
  <si>
    <t>DIS-NB1</t>
  </si>
  <si>
    <t>DISPENSER CAMAT</t>
  </si>
  <si>
    <t>CLI-VE4</t>
  </si>
  <si>
    <t>BULDOG CLIP 3 V-TECH (24) 0024</t>
  </si>
  <si>
    <t>CLI-VE3</t>
  </si>
  <si>
    <t>BULDOG CLIP 4 V-TECH (18) 0023</t>
  </si>
  <si>
    <t>CLIP BULLDOG 6</t>
  </si>
  <si>
    <t>PCA-IM55</t>
  </si>
  <si>
    <t>PENSIL CASE A-1301</t>
  </si>
  <si>
    <t>PCA-IM79</t>
  </si>
  <si>
    <t>PENSIL CASE BX-3971</t>
  </si>
  <si>
    <t>PCA-NB188</t>
  </si>
  <si>
    <t>PC MAGNIT JUMBO KALKULATOR PB33</t>
  </si>
  <si>
    <t>PCA-NB189</t>
  </si>
  <si>
    <t>PC MAGNIT B 3513-24</t>
  </si>
  <si>
    <t>LOO-NB1</t>
  </si>
  <si>
    <t>LOOSE LEAF BIASA HELLO KITTY A5 (100GSM)</t>
  </si>
  <si>
    <t>LOO-NB2</t>
  </si>
  <si>
    <t>LOOSE LEAF BIASA FROZEN A5 (100GSM)</t>
  </si>
  <si>
    <t>KUAS A-1</t>
  </si>
  <si>
    <t>KUAS A-2</t>
  </si>
  <si>
    <t>KUAS A-3</t>
  </si>
  <si>
    <t>KUAS A-4</t>
  </si>
  <si>
    <t>KUAS A-5</t>
  </si>
  <si>
    <t>KUAS A-6</t>
  </si>
  <si>
    <t>KUAS A-7</t>
  </si>
  <si>
    <t>KUAS A-8</t>
  </si>
  <si>
    <t>KUAS A-9</t>
  </si>
  <si>
    <t>KUAS A-10</t>
  </si>
  <si>
    <t>KUAS A-11</t>
  </si>
  <si>
    <t>KUAS A-12</t>
  </si>
  <si>
    <t>CLI-TF1</t>
  </si>
  <si>
    <t>CLI-TF2</t>
  </si>
  <si>
    <t>CLIPBOARD ACRYLIC TF-013</t>
  </si>
  <si>
    <t>CLI-TF3</t>
  </si>
  <si>
    <t>CLI-TF4</t>
  </si>
  <si>
    <t>KUA-IM55</t>
  </si>
  <si>
    <t>KUAS SET B-6636</t>
  </si>
  <si>
    <t>KUA-IM20</t>
  </si>
  <si>
    <t>KUAS 21839-7</t>
  </si>
  <si>
    <t>KUAS 251-6HB</t>
  </si>
  <si>
    <t>KUAS YM-006</t>
  </si>
  <si>
    <t>KUAS SHINING SET A5-1</t>
  </si>
  <si>
    <t>NOTEBOOK B1012 (A5ï¼‰</t>
  </si>
  <si>
    <t>BIN-GS6</t>
  </si>
  <si>
    <t>BINDER NOTE GASTA HP 2008 A5</t>
  </si>
  <si>
    <t>BN B5 GASTA HP 2607 F</t>
  </si>
  <si>
    <t>B NOTE A5 MINION MIX</t>
  </si>
  <si>
    <t>B NOTE B5 GASTA L1909</t>
  </si>
  <si>
    <t>BAL-LK18</t>
  </si>
  <si>
    <t>BALON BL 1007</t>
  </si>
  <si>
    <t>BAL-NCL44</t>
  </si>
  <si>
    <t>BALON LKP 3200</t>
  </si>
  <si>
    <t>BALON LKF 3200 M1</t>
  </si>
  <si>
    <t>N BOOK SPIRAL Q32K S002</t>
  </si>
  <si>
    <t>NOT-IM60</t>
  </si>
  <si>
    <t>NOTEBOOK 25100-62</t>
  </si>
  <si>
    <t>NOT-IM82</t>
  </si>
  <si>
    <t>NOTEBOOK 28825-63</t>
  </si>
  <si>
    <t>NOTEBOOK 25100-64</t>
  </si>
  <si>
    <t>NOT-IM59</t>
  </si>
  <si>
    <t>NOTEBOOK 25100-56</t>
  </si>
  <si>
    <t>NOT-NB80</t>
  </si>
  <si>
    <t>NB SPIRAL A6 SQY 190402</t>
  </si>
  <si>
    <t>NOT-NB33</t>
  </si>
  <si>
    <t>NB SPIRAL A6-801 LUCKY NOTE</t>
  </si>
  <si>
    <t>NOTEBOOK 18100-52</t>
  </si>
  <si>
    <t>PEMBATAS A5 UTN</t>
  </si>
  <si>
    <t>PEMBATAS B5 UTN</t>
  </si>
  <si>
    <t>AGENDA DIARY 0</t>
  </si>
  <si>
    <t>PANTES-PURWOREJO</t>
  </si>
  <si>
    <t>GAR-DB36</t>
  </si>
  <si>
    <t>GARISAN DB P 072 30CM</t>
  </si>
  <si>
    <t>GAR-NB161</t>
  </si>
  <si>
    <t>GARISAN ELASTIS 15CM GR-2301 (WALITO)</t>
  </si>
  <si>
    <t>GAR-NB166</t>
  </si>
  <si>
    <t>GARISAN ELASTIS 30CM GR-2303 (WALITO)</t>
  </si>
  <si>
    <t>GAR-NB113</t>
  </si>
  <si>
    <t>GAR-113</t>
  </si>
  <si>
    <t>GARISAN UMPTN (50)</t>
  </si>
  <si>
    <t>CAT ACRYLIC 12W VTRO</t>
  </si>
  <si>
    <t>NOT-NB23</t>
  </si>
  <si>
    <t>NB MINI POCKET MB 120 WARNA KULIT</t>
  </si>
  <si>
    <t>N BOOK A 0321 17 K MIX</t>
  </si>
  <si>
    <t>N BOOK 1003575</t>
  </si>
  <si>
    <t>LIL-NB7</t>
  </si>
  <si>
    <t>LILIN TY 018 MAGIC</t>
  </si>
  <si>
    <t>KODE BARANG BENTROK</t>
  </si>
  <si>
    <t>CLI-NB7</t>
  </si>
  <si>
    <t>PANTES-PURWOKERTO</t>
  </si>
  <si>
    <t>TAS KADO 804 SILVER KECIL</t>
  </si>
  <si>
    <t>TAS KADO 804 GUCI KECIL</t>
  </si>
  <si>
    <t>TAS KADO BSR SM L 2097 GLITER</t>
  </si>
  <si>
    <t>TAS SM 1802 M-17 TG GILAP</t>
  </si>
  <si>
    <t>TAS KADO BATIK PANJANG</t>
  </si>
  <si>
    <t>TAS COKLAT POLOS KECIL</t>
  </si>
  <si>
    <t>TAS COKLAT POLOS BESAR</t>
  </si>
  <si>
    <t>TAS-IM28</t>
  </si>
  <si>
    <t>TAS 30X23</t>
  </si>
  <si>
    <t>TAS KARUNG B614-001</t>
  </si>
  <si>
    <t>TAS KARUNG SPOON MOTIF MUKENA</t>
  </si>
  <si>
    <t>KUA-IM16</t>
  </si>
  <si>
    <t>KUAS 21839-6Q</t>
  </si>
  <si>
    <t>STC-IM3</t>
  </si>
  <si>
    <t>STICKY XTQï¼ˆ333ï¼‰</t>
  </si>
  <si>
    <t>CLEAR HOLDER CH 020 UTN</t>
  </si>
  <si>
    <t>CLEAR HOLDER UTN CH 040</t>
  </si>
  <si>
    <t>DOK-NB8</t>
  </si>
  <si>
    <t>DOKUMEN HD62</t>
  </si>
  <si>
    <t>BAL-LK14</t>
  </si>
  <si>
    <t>BALON BL 10025</t>
  </si>
  <si>
    <t>TALI JEPITAN 5WR</t>
  </si>
  <si>
    <t>ISOLASI FANCY CP R</t>
  </si>
  <si>
    <t>TUS-XN1</t>
  </si>
  <si>
    <t>TUSUK SURAT XINGLI XL-001</t>
  </si>
  <si>
    <t>JARUM PENTUL CASING 1 1/4</t>
  </si>
  <si>
    <t>PALET KUMBANG 1101</t>
  </si>
  <si>
    <t>MAG-IM14</t>
  </si>
  <si>
    <t>MAGNET 009</t>
  </si>
  <si>
    <t>PAL-NB11</t>
  </si>
  <si>
    <t>PALET KEPITING DOP PKD 202</t>
  </si>
  <si>
    <t>TAS-NB83</t>
  </si>
  <si>
    <t>TAS COKLAT TEBAL TANGGUNG</t>
  </si>
  <si>
    <t>TAS MJ-1 KCL HIJAU</t>
  </si>
  <si>
    <t>P CASE REST SH 05</t>
  </si>
  <si>
    <t>TIP-IM27</t>
  </si>
  <si>
    <t>TIPEX KERTAS NO.9461</t>
  </si>
  <si>
    <t>TIP-IM20</t>
  </si>
  <si>
    <t>TIPEX KERTAS NO.9459</t>
  </si>
  <si>
    <t>TIP-IM19</t>
  </si>
  <si>
    <t>TIPEX KERTAS NO.9442</t>
  </si>
  <si>
    <t>TIP-IM32</t>
  </si>
  <si>
    <t>TIPEX KERTAS NO.9473</t>
  </si>
  <si>
    <t>BP KENKO KR 6 NANOTIP</t>
  </si>
  <si>
    <t>GUN-IM34</t>
  </si>
  <si>
    <t>GUNTING HY011</t>
  </si>
  <si>
    <t>PENSIL HB FANCY</t>
  </si>
  <si>
    <t>IGE-DB24</t>
  </si>
  <si>
    <t>ISI GELL RETRACT DB GR-900</t>
  </si>
  <si>
    <t>BOL-NB162</t>
  </si>
  <si>
    <t>BP 7026</t>
  </si>
  <si>
    <t>BOL-NB192</t>
  </si>
  <si>
    <t>BP B155 (0366)</t>
  </si>
  <si>
    <t>BOL-NB183</t>
  </si>
  <si>
    <t>BP 9892</t>
  </si>
  <si>
    <t>GEL 1088</t>
  </si>
  <si>
    <t>BOL-NB167</t>
  </si>
  <si>
    <t>BP 7064</t>
  </si>
  <si>
    <t>BOL-NB368</t>
  </si>
  <si>
    <t>BP GELL 585</t>
  </si>
  <si>
    <t>GEL 9101</t>
  </si>
  <si>
    <t>GEL SM 910</t>
  </si>
  <si>
    <t>JAN-NB2</t>
  </si>
  <si>
    <t>JANGKA BESI 4001 BOFA</t>
  </si>
  <si>
    <t>JAN-TO3</t>
  </si>
  <si>
    <t>JANGKA TOZCHA TZ 8186</t>
  </si>
  <si>
    <t>PEN-TF9</t>
  </si>
  <si>
    <t>PENSIL TF 288</t>
  </si>
  <si>
    <t>PENSIL HOROSCOPE</t>
  </si>
  <si>
    <t>PENSIL TUKANG GEPENG</t>
  </si>
  <si>
    <t>GAR-NB154</t>
  </si>
  <si>
    <t>GAR-154</t>
  </si>
  <si>
    <t>GARISAN 30CM ALUMINIUM 1530</t>
  </si>
  <si>
    <t>PENSIL 2B GLX</t>
  </si>
  <si>
    <t>KOMPAS VTECH 45-3</t>
  </si>
  <si>
    <t>STC-IM19</t>
  </si>
  <si>
    <t>STICKER JN-S</t>
  </si>
  <si>
    <t>MAP-TX153</t>
  </si>
  <si>
    <t>MAP FILE EN 0103F</t>
  </si>
  <si>
    <t>CLIP BOARD 2 MUKA WB</t>
  </si>
  <si>
    <t>EXPANDING FILE TZ 2012</t>
  </si>
  <si>
    <t>MAP-NB94</t>
  </si>
  <si>
    <t>MAP-94</t>
  </si>
  <si>
    <t>MAP SMILE JNT 8077 NO B6 5014 F</t>
  </si>
  <si>
    <t>POS-TF4</t>
  </si>
  <si>
    <t>STICK NOTE TF 654-8C</t>
  </si>
  <si>
    <t>MAP-NB33</t>
  </si>
  <si>
    <t>MAP FILE RET 1802-3 B5</t>
  </si>
  <si>
    <t>MAP-NB32</t>
  </si>
  <si>
    <t>MAP FILE RET 1802-2 A5</t>
  </si>
  <si>
    <t>MAP-NB31</t>
  </si>
  <si>
    <t>MAP FILE RET 1802-1 A6</t>
  </si>
  <si>
    <t>MAP ZIPPER REST A6 16C</t>
  </si>
  <si>
    <t>MAP ZIPPER REST A5 16C</t>
  </si>
  <si>
    <t>MAP ZIPPER REST B5 234561-2</t>
  </si>
  <si>
    <t>MAP ZIPPER REST A4 16C</t>
  </si>
  <si>
    <t>MAP ZIPPER REST B4 NCL</t>
  </si>
  <si>
    <t>MAP-MC176</t>
  </si>
  <si>
    <t>MAP DATA MICROTOP BS-56 A4</t>
  </si>
  <si>
    <t>MAP-NB36</t>
  </si>
  <si>
    <t>MAP FILE RET 1804-1 A6</t>
  </si>
  <si>
    <t>MAP-NB183</t>
  </si>
  <si>
    <t>MAP-183</t>
  </si>
  <si>
    <t>MAP FILE RET 1804-2 A5</t>
  </si>
  <si>
    <t>MAP-NB37</t>
  </si>
  <si>
    <t>MAP FILE RET 1804-3 B5</t>
  </si>
  <si>
    <t>MAP REST VZ/ A6</t>
  </si>
  <si>
    <t>MAP REST VZ/ B5</t>
  </si>
  <si>
    <t>MAP REST BX55</t>
  </si>
  <si>
    <t>PEM-JS7</t>
  </si>
  <si>
    <t>BOOK END SB-8899</t>
  </si>
  <si>
    <t>STANDART BUKU FANCY</t>
  </si>
  <si>
    <t>ISI L LEAF A5 BIODATA UTN</t>
  </si>
  <si>
    <t>B NOTE A5 RABBIT</t>
  </si>
  <si>
    <t>B NOTE B5 RABBIT</t>
  </si>
  <si>
    <t>BAL-NCL23</t>
  </si>
  <si>
    <t>BALON LJ 1836 JUMBO</t>
  </si>
  <si>
    <t>BALON LMP 2800</t>
  </si>
  <si>
    <t>BAL-NCL41</t>
  </si>
  <si>
    <t>BALON METALIK HB LMS 2800 HB</t>
  </si>
  <si>
    <t>BAL-NCL22</t>
  </si>
  <si>
    <t>BALON HB LKF 4W LKF 3200 HB4</t>
  </si>
  <si>
    <t>MAP ZIPPER A5 MOSHI</t>
  </si>
  <si>
    <t>MAP ZIPPER POCKET GAMDORI A5</t>
  </si>
  <si>
    <t>MAP ZIPPER POCKET GAMDORI B5</t>
  </si>
  <si>
    <t>BAN-NCL1</t>
  </si>
  <si>
    <t>BANNER BALLET B312 BS</t>
  </si>
  <si>
    <t>BANNER B 311</t>
  </si>
  <si>
    <t>ASAHAN YM 052</t>
  </si>
  <si>
    <t>ASA-TT149</t>
  </si>
  <si>
    <t>ASAHAN TT 910 (48)</t>
  </si>
  <si>
    <t>PCA-IM115</t>
  </si>
  <si>
    <t>PENSIL CASE SH-8705</t>
  </si>
  <si>
    <t>PC RET BD 861</t>
  </si>
  <si>
    <t>SERBUK EMAS</t>
  </si>
  <si>
    <t>GLITTER 786-12</t>
  </si>
  <si>
    <t>STI-TF12</t>
  </si>
  <si>
    <t>STIP TRIFELLO TF-377 (24)</t>
  </si>
  <si>
    <t>PAYET</t>
  </si>
  <si>
    <t>PC PLST KOTAK B 1F 1504</t>
  </si>
  <si>
    <t>P CASE B 132</t>
  </si>
  <si>
    <t>P CASE B 133</t>
  </si>
  <si>
    <t>MAG-IM25</t>
  </si>
  <si>
    <t>ASAHAN EX 09 ESELON</t>
  </si>
  <si>
    <t>KODE BARANG BENTROK SAMA ID CARD B4 IMPORT</t>
  </si>
  <si>
    <t>LESTARI ADHI-MUNTILAN</t>
  </si>
  <si>
    <t>WARNA PINK/ CEWEK</t>
  </si>
  <si>
    <t>WARNA BIRU/ COWOK</t>
  </si>
  <si>
    <t>PENSIL X 001</t>
  </si>
  <si>
    <t>PENSIL KY*3041</t>
  </si>
  <si>
    <t>BOL-IM218</t>
  </si>
  <si>
    <t>BP GEL 223</t>
  </si>
  <si>
    <t>BOL-IM219</t>
  </si>
  <si>
    <t>BP GEL 224</t>
  </si>
  <si>
    <t>BP GANTUNGAN KUNCY 280</t>
  </si>
  <si>
    <t>LOO-NB17</t>
  </si>
  <si>
    <t>LOOSE LEAF BIASA A5 HELLO KITTY + PUZZLE DINO</t>
  </si>
  <si>
    <t>ISI L LEAF HOLO ZODIAC</t>
  </si>
  <si>
    <t>ISI L LEAF LLP HOLO FANCY</t>
  </si>
  <si>
    <t>PCA-KY139</t>
  </si>
  <si>
    <t>PENCIL CASE RET KY 1203</t>
  </si>
  <si>
    <t>P CASE REST B-123</t>
  </si>
  <si>
    <t>GARISAN BESI 1M TP</t>
  </si>
  <si>
    <t>RAMAI-UNGARAN</t>
  </si>
  <si>
    <t>BP EXELENT 2079</t>
  </si>
  <si>
    <t>DRA-NB6</t>
  </si>
  <si>
    <t>MAGIC BOARD 106</t>
  </si>
  <si>
    <t>GAR-IM145</t>
  </si>
  <si>
    <t>GAR-145</t>
  </si>
  <si>
    <t>GARISAN 308</t>
  </si>
  <si>
    <t>GAR-NB162</t>
  </si>
  <si>
    <t>GAR-162</t>
  </si>
  <si>
    <t>GARISAN 30CM DF 3109</t>
  </si>
  <si>
    <t>GLITTER RENTENG 8891</t>
  </si>
  <si>
    <t>GUN-NB59</t>
  </si>
  <si>
    <t>GUNTING KUKU 777 H 211 B</t>
  </si>
  <si>
    <t>ID CARD KULIT BIRU</t>
  </si>
  <si>
    <t>ISI BENSIA LT 11-3</t>
  </si>
  <si>
    <t>ORI-AL4</t>
  </si>
  <si>
    <t>K LIPAT FLUORESCENT 14X14</t>
  </si>
  <si>
    <t>N BOOK WEEK 005 + STICKER</t>
  </si>
  <si>
    <t>SIMPOA 8012</t>
  </si>
  <si>
    <t>STB-VN18</t>
  </si>
  <si>
    <t>STB-18</t>
  </si>
  <si>
    <t>STABILLO VANCO 2W HL 219 ZENDI</t>
  </si>
  <si>
    <t>STABILLO 220</t>
  </si>
  <si>
    <t>STICK NOTE WLT 8923</t>
  </si>
  <si>
    <t>STICKER DINDING 5210</t>
  </si>
  <si>
    <t>PCA-NB124</t>
  </si>
  <si>
    <t>PENCIL CASE SET RS 3000 FANCY</t>
  </si>
  <si>
    <t>TAS-IM185</t>
  </si>
  <si>
    <t>TAS KERTAS 8853A</t>
  </si>
  <si>
    <t>TAS BATIK TG SBS MICROTOP</t>
  </si>
  <si>
    <t>TIP-IM24</t>
  </si>
  <si>
    <t>TIPEX KERTAS NO.8557</t>
  </si>
  <si>
    <t>TIP-IM47</t>
  </si>
  <si>
    <t>TIPEX KERTAS 91040HG</t>
  </si>
  <si>
    <t>TIP-IM28</t>
  </si>
  <si>
    <t>TIPEX KERTAS NO.9480</t>
  </si>
  <si>
    <t>KARET KECI</t>
  </si>
  <si>
    <t>L LEAF A5-50 KOTAK BESAR</t>
  </si>
  <si>
    <t>L LEAF A5-50 KOTAK KECIL</t>
  </si>
  <si>
    <t>MAP-MC71</t>
  </si>
  <si>
    <t>MAP KANCING 2 MICROTOP A6 PARIS</t>
  </si>
  <si>
    <t>MAP A-54 MICROTOP</t>
  </si>
  <si>
    <t>NOT-IM44</t>
  </si>
  <si>
    <t>NOTEBOOK 7050-2</t>
  </si>
  <si>
    <t>ISI PENSIL DEBOZZ DB 096</t>
  </si>
  <si>
    <t>PENSIL TUKANG GEPENG MERAH</t>
  </si>
  <si>
    <t>PERDANA-CIREBON</t>
  </si>
  <si>
    <t>MOTIF COWOK</t>
  </si>
  <si>
    <t>MOTIF CEWEK</t>
  </si>
  <si>
    <t>P CASE SET 3348</t>
  </si>
  <si>
    <t>SEM-MS6</t>
  </si>
  <si>
    <t>SIPOA KAKI B 808 MOSHI MOSHI</t>
  </si>
  <si>
    <t>IGE-ES10</t>
  </si>
  <si>
    <t>ISI GEL ELSON ES-230 DINO</t>
  </si>
  <si>
    <t>ENAM-CIREBON</t>
  </si>
  <si>
    <t>PC MAGNIT 7806</t>
  </si>
  <si>
    <t>SCORPIO-MALANG</t>
  </si>
  <si>
    <t>WIJAYA KUSUMA-SLEMAN</t>
  </si>
  <si>
    <t>TIN-NB1</t>
  </si>
  <si>
    <t>TINTA 20MM (1 LINE)</t>
  </si>
  <si>
    <t>TINTA 18MM</t>
  </si>
  <si>
    <t>CHAMPION-YOGYA</t>
  </si>
  <si>
    <t>GAR-EN165</t>
  </si>
  <si>
    <t>MAS TEGUH (PASTI BISA)-PURWODADI</t>
  </si>
  <si>
    <t>DUTA ILAHI-LASEM</t>
  </si>
  <si>
    <t>N BOOK 25K MB 35-25</t>
  </si>
  <si>
    <t>CV SINAR CAHAYA NIRMALA-BREBES</t>
  </si>
  <si>
    <t>PCA-XL6</t>
  </si>
  <si>
    <t>PENCIL CASE XLG BD814</t>
  </si>
  <si>
    <t>PCA-IM61</t>
  </si>
  <si>
    <t>PENSIL CASE A-777 + CAL</t>
  </si>
  <si>
    <t>PC XM 7222 HK</t>
  </si>
  <si>
    <t>P CASE SH 06</t>
  </si>
  <si>
    <t>P CASE GA 26</t>
  </si>
  <si>
    <t>PC GP 9315</t>
  </si>
  <si>
    <t>P CASE GA 25</t>
  </si>
  <si>
    <t>P CASE GA 28</t>
  </si>
  <si>
    <t>PCA-NB193</t>
  </si>
  <si>
    <t>PC MAGNIT CALL MC 7121 BLK</t>
  </si>
  <si>
    <t>PCA-NB191</t>
  </si>
  <si>
    <t>PC MAGNIT 9340</t>
  </si>
  <si>
    <t>P CASE KK 22 COWOK</t>
  </si>
  <si>
    <t>P CASE KK 22 CEWEK</t>
  </si>
  <si>
    <t>PCA-NB102</t>
  </si>
  <si>
    <t>PC K 93</t>
  </si>
  <si>
    <t>PCA-NB142</t>
  </si>
  <si>
    <t>PC RET IMITASI 385</t>
  </si>
  <si>
    <t>P CASE H 466</t>
  </si>
  <si>
    <t>P CASE K 98</t>
  </si>
  <si>
    <t>PC TOPLA 2879 B</t>
  </si>
  <si>
    <t>PC KLG SET KT 6601 (BLK)</t>
  </si>
  <si>
    <t>PCA-IM23</t>
  </si>
  <si>
    <t>PENSIL CASE 168-69-3</t>
  </si>
  <si>
    <t>P CASE KLG LPY 99-2</t>
  </si>
  <si>
    <t>P CASE BOX MAGNIT MY 004</t>
  </si>
  <si>
    <t>PCA-IM119</t>
  </si>
  <si>
    <t>PENSIL CASE WLT9903</t>
  </si>
  <si>
    <t>P CASE KLG 3348</t>
  </si>
  <si>
    <t>PCA-IM99</t>
  </si>
  <si>
    <t>PENSIL CASE S-300</t>
  </si>
  <si>
    <t>P CASE REST GS 3219</t>
  </si>
  <si>
    <t>PCA-IM83</t>
  </si>
  <si>
    <t>PENSIL CASE DZ-0061-3</t>
  </si>
  <si>
    <t>KODE BENTROK SAMA PC KLG B 652</t>
  </si>
  <si>
    <t>P CASE REST B 109</t>
  </si>
  <si>
    <t>PC KODE 1 SUSUN KALKULATOR 8003</t>
  </si>
  <si>
    <t>PC KODE 1 SUSUN BIASA 8003</t>
  </si>
  <si>
    <t>KUAS B-11</t>
  </si>
  <si>
    <t>CLIPBOARD ACRYLIC TF MIX</t>
  </si>
  <si>
    <t>TAS KADO SM 2902 KECIL BIASA</t>
  </si>
  <si>
    <t>TAS KADO GGS SM 105 GLITTER KECIL</t>
  </si>
  <si>
    <t>TAS KADO SM 1925L-4 GLITTER KECIL</t>
  </si>
  <si>
    <t>TAS KADO GGS 1833-5 GLITTER KECIL</t>
  </si>
  <si>
    <t>TAS GM-M 106 GLITTER TANGGUNG</t>
  </si>
  <si>
    <t>TAS 1833 M GLITTER TG</t>
  </si>
  <si>
    <t>TAS 1803 M TG GILAP</t>
  </si>
  <si>
    <t>TAS TALI GLITTER TG 105</t>
  </si>
  <si>
    <t>TAS SM 105 BESAR</t>
  </si>
  <si>
    <t>KUA-IM54</t>
  </si>
  <si>
    <t>KUAS 251-6 PAGODA</t>
  </si>
  <si>
    <t>KUA-IM32</t>
  </si>
  <si>
    <t>KUAS 251-8 PAGODA</t>
  </si>
  <si>
    <t>KUA-IM34</t>
  </si>
  <si>
    <t>KUAS 251-10 PAGODA</t>
  </si>
  <si>
    <t>KUA-IM35</t>
  </si>
  <si>
    <t>KUAS 251-11 PAGODA</t>
  </si>
  <si>
    <t>KUA-IM36</t>
  </si>
  <si>
    <t>KUAS 251-12 PAGODA</t>
  </si>
  <si>
    <t>CAT-MR20</t>
  </si>
  <si>
    <t>CAT AIR MARRIES 1325 12W GM &amp; BT</t>
  </si>
  <si>
    <t>GARISAN ENTER 675 30 CM</t>
  </si>
  <si>
    <t>BP TG 346 B</t>
  </si>
  <si>
    <t>STABILLO DB ST 007</t>
  </si>
  <si>
    <t>BENSIA 923</t>
  </si>
  <si>
    <t>MECHPEB CO 0938</t>
  </si>
  <si>
    <t>PAL-NB9</t>
  </si>
  <si>
    <t>PALET PLT 006 JOSS</t>
  </si>
  <si>
    <t>TALI JEPITAN MERAH</t>
  </si>
  <si>
    <t>TALI JEPITAN HIJAU</t>
  </si>
  <si>
    <t>TALI JEPITAN KUNING</t>
  </si>
  <si>
    <t>TALI JEPITAN HITAM</t>
  </si>
  <si>
    <t>TALI JEPITAN ORANGE</t>
  </si>
  <si>
    <t>MIKA 10.5 X 16</t>
  </si>
  <si>
    <t>ID CARD A2</t>
  </si>
  <si>
    <t>IDC-IM21</t>
  </si>
  <si>
    <t>ID CARD A3</t>
  </si>
  <si>
    <t>KODE BENTROK</t>
  </si>
  <si>
    <t>TAMBAH ILMU-KUDUS</t>
  </si>
  <si>
    <t>BUK-NB14</t>
  </si>
  <si>
    <t>BUK-14</t>
  </si>
  <si>
    <t>BK/ NB A 343K(1)</t>
  </si>
  <si>
    <t>BUK-NB11</t>
  </si>
  <si>
    <t>BUK-11</t>
  </si>
  <si>
    <t>BK/ NB A 326K(4)</t>
  </si>
  <si>
    <t>BUK-NB16</t>
  </si>
  <si>
    <t>BUK-16</t>
  </si>
  <si>
    <t>BK/ NB A 342K</t>
  </si>
  <si>
    <t>BUK-NB15</t>
  </si>
  <si>
    <t>BUK-15</t>
  </si>
  <si>
    <t>BK/ NB A 331B</t>
  </si>
  <si>
    <t>BUK-NB4</t>
  </si>
  <si>
    <t>BUK-4</t>
  </si>
  <si>
    <t>BNS XB 72K 1352</t>
  </si>
  <si>
    <t>BUK-NB3</t>
  </si>
  <si>
    <t>BUK-3</t>
  </si>
  <si>
    <t>BNS XB 72K 1273</t>
  </si>
  <si>
    <t>N BOOK SPIRAL XB 72K 1397</t>
  </si>
  <si>
    <t>BTS 60-404/A5-45 DEPAN</t>
  </si>
  <si>
    <t>BK/ NB SPIRAL A6-120 TAB</t>
  </si>
  <si>
    <t>ORI-NB7</t>
  </si>
  <si>
    <t>KERTAS LIPAT ORIGAMI C 037</t>
  </si>
  <si>
    <t>KARET GELANG BESAR UTN</t>
  </si>
  <si>
    <t>KARET GELANG ECIL 1 ONS</t>
  </si>
  <si>
    <t>ORI-NB2</t>
  </si>
  <si>
    <t>KERTAS LIPAT ORIGAMI HL 305</t>
  </si>
  <si>
    <t>AGENDA 25K MB 35-2S</t>
  </si>
  <si>
    <t>NAME CARD 2 PC FANCY (BARBIE/P. HANA) PP-A282</t>
  </si>
  <si>
    <t>BUKU TAMU ENTER BUNGA</t>
  </si>
  <si>
    <t>TAS KADO TALI KECIL</t>
  </si>
  <si>
    <t>TAS KADO TALI TANGGUNG</t>
  </si>
  <si>
    <t>TAS KADO TALI BESAR</t>
  </si>
  <si>
    <t>TAS-IM120</t>
  </si>
  <si>
    <t>TAS TALI GG-01 KECIL GLITTER</t>
  </si>
  <si>
    <t>GAR-NB34</t>
  </si>
  <si>
    <t>GAR-34</t>
  </si>
  <si>
    <t>GARISAN BUSUR 180/ 10CM NEW</t>
  </si>
  <si>
    <t>M PENSIL TIZO G 9007 A</t>
  </si>
  <si>
    <t>BN A5 FANCY 0913 (MINION)</t>
  </si>
  <si>
    <t>PENSIL DM 7812</t>
  </si>
  <si>
    <t>GUN-SS78</t>
  </si>
  <si>
    <t>GUNTING SISTER MFM</t>
  </si>
  <si>
    <t>GUN-SS77</t>
  </si>
  <si>
    <t>GUNTING SISTER MFL</t>
  </si>
  <si>
    <t>IPE-VO4</t>
  </si>
  <si>
    <t>ISI PENSIL VTRO 20 2B</t>
  </si>
  <si>
    <t>PWA-TF21</t>
  </si>
  <si>
    <t>PW TF 194 24W</t>
  </si>
  <si>
    <t>GARISAN SET 20CM SLO 0192</t>
  </si>
  <si>
    <t>PEN-IM20</t>
  </si>
  <si>
    <t>PENSIL 8894-12</t>
  </si>
  <si>
    <t>JAN-NB8</t>
  </si>
  <si>
    <t>JANGKA JF 8021</t>
  </si>
  <si>
    <t>CRAYON 1012 12W PUTAR PANJANG</t>
  </si>
  <si>
    <t>TIP-IM2</t>
  </si>
  <si>
    <t>TIDAK ADA</t>
  </si>
  <si>
    <t>PCA-NB150</t>
  </si>
  <si>
    <t>KAWAT ROLL 504 5W</t>
  </si>
  <si>
    <t>PCA-KY25</t>
  </si>
  <si>
    <t>PENCIL CASE RET KY 6159</t>
  </si>
  <si>
    <t>PCA-KY65</t>
  </si>
  <si>
    <t>PENCIL CASE RET KY 1123</t>
  </si>
  <si>
    <t>MESIN LEM TEMBAK WOMY 60WATT</t>
  </si>
  <si>
    <t>ID CARD 501 MERAH</t>
  </si>
  <si>
    <t>GAR-NB129</t>
  </si>
  <si>
    <t>GARISAN 18CM 322 (84) TRANSFORMER</t>
  </si>
  <si>
    <t>GUNTING MPL</t>
  </si>
  <si>
    <t>TOPI ULTAH KERUCUT 11A</t>
  </si>
  <si>
    <t>TOPI ULTAH KERUCUT 3D HT MIX</t>
  </si>
  <si>
    <t>TOPI ULTAH DISNRY ETJ</t>
  </si>
  <si>
    <t>SIPOA 8010</t>
  </si>
  <si>
    <t>LIL-SH2</t>
  </si>
  <si>
    <t>LILIN ANGKA SHINTOENG NO. 1</t>
  </si>
  <si>
    <t>LIL-SH3</t>
  </si>
  <si>
    <t>LILIN ANGKA SHINTOENG NO. 2</t>
  </si>
  <si>
    <t>GARUDA-PURBALINGA</t>
  </si>
  <si>
    <t>SAM-WR2</t>
  </si>
  <si>
    <t>SAMPUL METALIK KWARTO WORRY (2)</t>
  </si>
  <si>
    <t>SAM-WR1</t>
  </si>
  <si>
    <t>SAMPUL METALIK BOXY WORRY (20)</t>
  </si>
  <si>
    <t>BALLPEN CS-651</t>
  </si>
  <si>
    <t>HIGHLIGHTER PEN XL-102-6</t>
  </si>
  <si>
    <t>BOL-NB9</t>
  </si>
  <si>
    <t>BP GEL CS-H764 6WR + STABILLO</t>
  </si>
  <si>
    <t>BALLPEN KOALA GP-303</t>
  </si>
  <si>
    <t>BOL-NB1</t>
  </si>
  <si>
    <t>BP GEL 708</t>
  </si>
  <si>
    <t>KUAS WLT 5796</t>
  </si>
  <si>
    <t>KUA-IM25</t>
  </si>
  <si>
    <t>KUAS 21839-10B</t>
  </si>
  <si>
    <t>L LEAF A5 LLP 15 BIASA</t>
  </si>
  <si>
    <t>LOO-KO7</t>
  </si>
  <si>
    <t>LOOSE LEAF A5-50LBR RAINBOW POLOS</t>
  </si>
  <si>
    <t>IDC-NB20</t>
  </si>
  <si>
    <t>TALI ID CARD PEONY PUTIH</t>
  </si>
  <si>
    <t>IDC-NB17</t>
  </si>
  <si>
    <t>TALI ID CARD PEONY HIJAU</t>
  </si>
  <si>
    <t>IDC-NB16</t>
  </si>
  <si>
    <t>TALI ID CARD PEONY ORANYE</t>
  </si>
  <si>
    <t>TIP-NB42</t>
  </si>
  <si>
    <t>TIPEX (706) 001</t>
  </si>
  <si>
    <t>BOL-KO2</t>
  </si>
  <si>
    <t>BP GEL GP-801 NEW KOALA HTM</t>
  </si>
  <si>
    <t>BOL-KO3</t>
  </si>
  <si>
    <t>BP GEL GP-801 NEW KOALA MRH</t>
  </si>
  <si>
    <t>PC RET KY 1194</t>
  </si>
  <si>
    <t>ID CARD 501 KUNING</t>
  </si>
  <si>
    <t>BASA-PEMALANG</t>
  </si>
  <si>
    <t>TAS GLITTER SM 105 L BESAR</t>
  </si>
  <si>
    <t>BUKU MEWARNAI 6-8 04</t>
  </si>
  <si>
    <t>BUKU MEWARNAI HT 604 A</t>
  </si>
  <si>
    <t>BUKU MEARNAI SPS</t>
  </si>
  <si>
    <t>BUKU MEWARNAI SIKA</t>
  </si>
  <si>
    <t>NOTEBOOK A5-ME</t>
  </si>
  <si>
    <t>P WARNA 12W PJG 8891</t>
  </si>
  <si>
    <t>TAS GG 1 1833 L BESAR</t>
  </si>
  <si>
    <t>LILIN ULTAH 12W SHINTOENG</t>
  </si>
  <si>
    <t>MAP-SK221</t>
  </si>
  <si>
    <t>MAP ZIPPER KANCING 2 SIKA KUNING</t>
  </si>
  <si>
    <t>PIT-IM23</t>
  </si>
  <si>
    <t>PITA TARIK/KADO 30 CM BIASA</t>
  </si>
  <si>
    <t>TIP-IM41</t>
  </si>
  <si>
    <t>TIPEX KERTAS 91038HG</t>
  </si>
  <si>
    <t>TIP-IM49</t>
  </si>
  <si>
    <t>TIPEX KERTAS NO.8018</t>
  </si>
  <si>
    <t>ko</t>
  </si>
  <si>
    <t>SAMPUL HUTANG PIUTANG</t>
  </si>
  <si>
    <t>SAM-18</t>
  </si>
  <si>
    <t>SAMPUL BOXY FANCY (STOK 26)</t>
  </si>
  <si>
    <t>OIL PASTEL BB 12/ HW 12</t>
  </si>
  <si>
    <t>Pc B 124</t>
  </si>
  <si>
    <t>GUN-VN67</t>
  </si>
  <si>
    <t>GUNTING KUKU VANCO GK 605</t>
  </si>
  <si>
    <t>KUAS MONTANA NO 1</t>
  </si>
  <si>
    <t>KUAS MONTANA NO 2</t>
  </si>
  <si>
    <t>GAR-YK16</t>
  </si>
  <si>
    <t>GARISAN BESI YOEKER (5030) 30 CM</t>
  </si>
  <si>
    <t>MITRAKAMPUS-KUDUS</t>
  </si>
  <si>
    <t>CUTTER KENKO L 500</t>
  </si>
  <si>
    <t>AL HAMIDI-JEPARA</t>
  </si>
  <si>
    <t>ID CARD UTN 501 PUTIH</t>
  </si>
  <si>
    <t>POST IT PLASTIK GAMBAR (FANCY) BIASA/ HOLO</t>
  </si>
  <si>
    <t>POST IT MAGNIT</t>
  </si>
  <si>
    <t>RENI (JATIMULYO)-KEBUMEN</t>
  </si>
  <si>
    <t>TOPI ULTAH KERUCUT VITA</t>
  </si>
  <si>
    <t>KARTU UNDANGAN ANAK BESAR A1100</t>
  </si>
  <si>
    <t>BP GEL ZUI XUA HY-1020 HITAM</t>
  </si>
  <si>
    <t>TAS BATIK TANGGUNG</t>
  </si>
  <si>
    <t>TELADAN-TEGAL</t>
  </si>
  <si>
    <t>TAS KARUNG 60 X 45 X 20</t>
  </si>
  <si>
    <t>POMPA BALON</t>
  </si>
  <si>
    <t>STICK MARKER PF-2368</t>
  </si>
  <si>
    <t>STICK MARKER PF-2899</t>
  </si>
  <si>
    <t>STICK MARKER PF-4368</t>
  </si>
  <si>
    <t>STICK MARKER PF-3899</t>
  </si>
  <si>
    <t>STICK MARKER PF-6368</t>
  </si>
  <si>
    <t>GAR-IM227</t>
  </si>
  <si>
    <t>GARISAN KT005</t>
  </si>
  <si>
    <t>KAWAT 504 6WR</t>
  </si>
  <si>
    <t>ASAHAN SH 002</t>
  </si>
  <si>
    <t>ASAHAN MEJA 5530</t>
  </si>
  <si>
    <t>ASA-IM37</t>
  </si>
  <si>
    <t>ASAHAN TG3086A</t>
  </si>
  <si>
    <t>ASA-IM45</t>
  </si>
  <si>
    <t>ASAHAN 655</t>
  </si>
  <si>
    <t>ASA-IM52</t>
  </si>
  <si>
    <t>ASAHAN 7712</t>
  </si>
  <si>
    <t>ASA-IM63</t>
  </si>
  <si>
    <t>ASAHAN 906</t>
  </si>
  <si>
    <t>ASA-IM55</t>
  </si>
  <si>
    <t>ASAHAN 814</t>
  </si>
  <si>
    <t>ASA-NB118</t>
  </si>
  <si>
    <t>ASAHAN 103 PH (1X24)</t>
  </si>
  <si>
    <t>ASAHAN KM 9105 F/ FR</t>
  </si>
  <si>
    <t>ASA-NB112</t>
  </si>
  <si>
    <t>ASAHAN TOPLES TR 385 HIPPO (54)</t>
  </si>
  <si>
    <t>ASA-IM41</t>
  </si>
  <si>
    <t>ASAHAN UC-128A</t>
  </si>
  <si>
    <t>ASA-NB122</t>
  </si>
  <si>
    <t>ASAHAN 888 H (24)</t>
  </si>
  <si>
    <t>ASAHAN 888 J</t>
  </si>
  <si>
    <t>ASA-DY33</t>
  </si>
  <si>
    <t>ASAHAN DY 393 B</t>
  </si>
  <si>
    <t>PIT-NB32</t>
  </si>
  <si>
    <t>PITA TARIK/KADO 23 LIST GOLD (LISMAS)</t>
  </si>
  <si>
    <t>PIT-NB33</t>
  </si>
  <si>
    <t>PITA TARIK/KADO 30 LIST EMAS (LISMAS)</t>
  </si>
  <si>
    <t>PITA TARIK/KADO 23 LS</t>
  </si>
  <si>
    <t>PIT-IM26</t>
  </si>
  <si>
    <t>PITA TARIK/KADO 50-1 RENDA</t>
  </si>
  <si>
    <t>PITA TARIK/KADO 30 THT -1</t>
  </si>
  <si>
    <t>DRAWING BOARD SH 0902 D/ 20X30</t>
  </si>
  <si>
    <t>BWA-IM22</t>
  </si>
  <si>
    <t>STUDY BOARD DJ3022</t>
  </si>
  <si>
    <t>STUDY BOARD XG-105</t>
  </si>
  <si>
    <t>DRAWING BOARD BT 21 NO.216</t>
  </si>
  <si>
    <t>PITA JEPANG POLOS</t>
  </si>
  <si>
    <t>PIT-NB21</t>
  </si>
  <si>
    <t>PITA JEPANG LIST EMAS</t>
  </si>
  <si>
    <t>N BOOK 005 + STICKER</t>
  </si>
  <si>
    <t>TAS-295</t>
  </si>
  <si>
    <t>TAS POLOS 804/ 832/ 838</t>
  </si>
  <si>
    <t>TAS-NB75</t>
  </si>
  <si>
    <t>TAS SB 120 BRANDED BESAR</t>
  </si>
  <si>
    <t>TAS-NB52</t>
  </si>
  <si>
    <t>TAS BATIK MJ 1 KECIL</t>
  </si>
  <si>
    <t>TAS BATIK SB XXL-0121</t>
  </si>
  <si>
    <t>TAS KARUNG BG14-001</t>
  </si>
  <si>
    <t>TAS-NB166</t>
  </si>
  <si>
    <t>TAS KARUNG 33X27</t>
  </si>
  <si>
    <t>TAS-IM21</t>
  </si>
  <si>
    <t>TAS 24X20</t>
  </si>
  <si>
    <t>TAS-IM26</t>
  </si>
  <si>
    <t>TAS 30X20</t>
  </si>
  <si>
    <t>MAP KC 1 SIKA</t>
  </si>
  <si>
    <t>LOO-NB18</t>
  </si>
  <si>
    <t>LOOSE LEAF BIASA MINION A5</t>
  </si>
  <si>
    <t>ISI L LEAF HOLO HK 100 GRAM</t>
  </si>
  <si>
    <t>M BOOK 76 BATIK</t>
  </si>
  <si>
    <t>POS-IM2</t>
  </si>
  <si>
    <t>POST IT WALITO WLT-8909</t>
  </si>
  <si>
    <t>STICK NOTE WLT 8877</t>
  </si>
  <si>
    <t>BN A5 MICROTOP BT 36 BATIK</t>
  </si>
  <si>
    <t>BN B5 GASTA CL 1909 COLLEGE</t>
  </si>
  <si>
    <t>BIN-WN10</t>
  </si>
  <si>
    <t>MAP-NB21</t>
  </si>
  <si>
    <t>MAP FABRIC CASE</t>
  </si>
  <si>
    <t>BK MEWARNA + CERITA</t>
  </si>
  <si>
    <t>STUDY BOARD 604</t>
  </si>
  <si>
    <t>SAM-DU14</t>
  </si>
  <si>
    <t>SAMPUL ROLL DUST 254</t>
  </si>
  <si>
    <t>SAM-DU23</t>
  </si>
  <si>
    <t>SAMPUL ROLL DUST 344</t>
  </si>
  <si>
    <t>SAM-DU24</t>
  </si>
  <si>
    <t>SAMPUL ROLL DUST 454</t>
  </si>
  <si>
    <t>NOT-IM8</t>
  </si>
  <si>
    <t>NOTEBOOK 83100</t>
  </si>
  <si>
    <t>AGENDA MB35-50</t>
  </si>
  <si>
    <t>PEMBATAS A5 UTN ISI 5</t>
  </si>
  <si>
    <t>KUAS K3NIL</t>
  </si>
  <si>
    <t>BOL-NB54</t>
  </si>
  <si>
    <t>BP TG 346 E</t>
  </si>
  <si>
    <t>BOL-TZ241</t>
  </si>
  <si>
    <t>BP TIZO TB SG 09</t>
  </si>
  <si>
    <t>GEL GP 340 SIKA</t>
  </si>
  <si>
    <t>PENSIL 2B KY 2029</t>
  </si>
  <si>
    <t>PENSIL 2B KY 2025</t>
  </si>
  <si>
    <t>PENSIL TF 995</t>
  </si>
  <si>
    <t>PENSIL TF 885 BATIK</t>
  </si>
  <si>
    <t>PEN-NB40</t>
  </si>
  <si>
    <t>PEN-IM41</t>
  </si>
  <si>
    <t>PENSIL DW9021-12</t>
  </si>
  <si>
    <t>P WARNA 12W JOSS PANJANG</t>
  </si>
  <si>
    <t>TIPEX KERTAS 0888 MINI MIX</t>
  </si>
  <si>
    <t>GAR-IM209</t>
  </si>
  <si>
    <t>GARISAN 6606</t>
  </si>
  <si>
    <t>PEN-IM8</t>
  </si>
  <si>
    <t>PENSIL 1921116-8</t>
  </si>
  <si>
    <t>BOL-IM217</t>
  </si>
  <si>
    <t>BP GEL + GANTUNGAN 221</t>
  </si>
  <si>
    <t>GAR-IM224</t>
  </si>
  <si>
    <t>GARISAN KM-7733L</t>
  </si>
  <si>
    <t>GAR-IM226</t>
  </si>
  <si>
    <t>GARISAN KM-8833L</t>
  </si>
  <si>
    <t>GAR-NB156</t>
  </si>
  <si>
    <t>GARISAN 30CM BESI GLITER HS 1906 (9030)</t>
  </si>
  <si>
    <t>GARISAN AURA</t>
  </si>
  <si>
    <t>GAR-NB195</t>
  </si>
  <si>
    <t>GARISAN 30CM LENTUR FANCY 0030</t>
  </si>
  <si>
    <t>GAR-NB85</t>
  </si>
  <si>
    <t>GARISAN SET 8020</t>
  </si>
  <si>
    <t>GAR-TF112</t>
  </si>
  <si>
    <t>GARISAN TF-360</t>
  </si>
  <si>
    <t>GAR-KJ124</t>
  </si>
  <si>
    <t>GARISAN SEGITIGA KOJIKO NO.10</t>
  </si>
  <si>
    <t>GAR-KJ128</t>
  </si>
  <si>
    <t>GARISAN SEGITIGA KOJIKO NO.12</t>
  </si>
  <si>
    <t>BOL-TX118</t>
  </si>
  <si>
    <t>BP TRIX 150</t>
  </si>
  <si>
    <t>BENSIA SISIR 1311</t>
  </si>
  <si>
    <t>GEL GP 9101</t>
  </si>
  <si>
    <t>PEN-ZH44</t>
  </si>
  <si>
    <t>PENSIL ZHONG HWA 69 2B</t>
  </si>
  <si>
    <t>PEN-NB38</t>
  </si>
  <si>
    <t>PENSIL 2B FLOUREN+STIP 388(36)</t>
  </si>
  <si>
    <t>GUN-ID41</t>
  </si>
  <si>
    <t>GUNTING IDEAL K-200</t>
  </si>
  <si>
    <t>GUN-ID37</t>
  </si>
  <si>
    <t>GUNTING IDEAL DR 7</t>
  </si>
  <si>
    <t>GUNTING TREND 555</t>
  </si>
  <si>
    <t>GUN-IN46</t>
  </si>
  <si>
    <t>GUNTING INFICO SC 40</t>
  </si>
  <si>
    <t>GUN-IN47</t>
  </si>
  <si>
    <t>GUNTING INFICO SC 50</t>
  </si>
  <si>
    <t>GUN-IN45</t>
  </si>
  <si>
    <t>GUNTING INFICO SC 100 BLK</t>
  </si>
  <si>
    <t>GUNTING YOEKER 706</t>
  </si>
  <si>
    <t>SAM-AX19</t>
  </si>
  <si>
    <t>SAMPUL BOXY OPP ALEXANDER</t>
  </si>
  <si>
    <t>BARANG LAMA, BUKAN FAKTUR</t>
  </si>
  <si>
    <t>BALLPEN JK 224</t>
  </si>
  <si>
    <t>BANJARAN PERMAI-TEGAL</t>
  </si>
  <si>
    <t>LILIN TY 1020</t>
  </si>
  <si>
    <t>MAP KCG 2 SIKA</t>
  </si>
  <si>
    <t>MAP REST TN 15</t>
  </si>
  <si>
    <t>MAP-MC152</t>
  </si>
  <si>
    <t>AMPLOP MICROTOP DATA F 54/ A5</t>
  </si>
  <si>
    <t>MAP-NB27</t>
  </si>
  <si>
    <t>MAP FILE RET 1801-2</t>
  </si>
  <si>
    <t>TAS BG14 001</t>
  </si>
  <si>
    <t>TAS-NB61</t>
  </si>
  <si>
    <t>TAS BATIK MOTIF TG 25 X 9 X 35</t>
  </si>
  <si>
    <t>BUKU TAMU SPIRAL BUNGA ENTER</t>
  </si>
  <si>
    <t>BUKU TAMU BUNGA ENTER</t>
  </si>
  <si>
    <t>TAS HZD 9101 A BSR BIASA</t>
  </si>
  <si>
    <t>BAL-LK16</t>
  </si>
  <si>
    <t>BALON BL 1005</t>
  </si>
  <si>
    <t>KUA-IM51</t>
  </si>
  <si>
    <t>KUAS 251-3 PAGODA</t>
  </si>
  <si>
    <t>KAWAT MIX</t>
  </si>
  <si>
    <t>STI-DB16</t>
  </si>
  <si>
    <t>STIP DEBOZZ DB B40 P</t>
  </si>
  <si>
    <t>ASA-NB74</t>
  </si>
  <si>
    <t>ASAHAN BEAR 839</t>
  </si>
  <si>
    <t>LEM-TF20</t>
  </si>
  <si>
    <t>LEM WATER GLUE TF 6038</t>
  </si>
  <si>
    <t>PITA KADO TH-50</t>
  </si>
  <si>
    <t>STIP TB 1602 (30)</t>
  </si>
  <si>
    <t>PC MAGNIT + CALL 7806</t>
  </si>
  <si>
    <t>PC PLS 408</t>
  </si>
  <si>
    <t>PC PLS 9008 SC</t>
  </si>
  <si>
    <t>PC RET KY 1114</t>
  </si>
  <si>
    <t>PC RET BEILE DOG 8882 RESTLETING</t>
  </si>
  <si>
    <t>PC MAGNIT S 30</t>
  </si>
  <si>
    <t>ASA-TK148</t>
  </si>
  <si>
    <t>ASAHAN TIKO 544 (24)</t>
  </si>
  <si>
    <t>ASA-IM49</t>
  </si>
  <si>
    <t>ASAHAN 717A</t>
  </si>
  <si>
    <t>ASA-NB127</t>
  </si>
  <si>
    <t>ASAHAN MEJA 9040 A RUMAH</t>
  </si>
  <si>
    <t>PITA JEPANG NCL</t>
  </si>
  <si>
    <t>TINTA DAISHEN B</t>
  </si>
  <si>
    <t>ASA-IM43</t>
  </si>
  <si>
    <t>ASAHAN XH8082</t>
  </si>
  <si>
    <t>ASAHAN DY 395 B</t>
  </si>
  <si>
    <t>ASAHAN 0310 WTP 103</t>
  </si>
  <si>
    <t>CUTTER KENKO 918 C</t>
  </si>
  <si>
    <t>OP DB 12W</t>
  </si>
  <si>
    <t>JARUM PENTIL HIJAB</t>
  </si>
  <si>
    <t>CRAYON PUTAR 12W PANJANG</t>
  </si>
  <si>
    <t>BOL-TZ376</t>
  </si>
  <si>
    <t>BP TIZO TG 31060</t>
  </si>
  <si>
    <t>TIP-IM37</t>
  </si>
  <si>
    <t>TIPEX KERTAS 8243</t>
  </si>
  <si>
    <t>GUN-NB75</t>
  </si>
  <si>
    <t>GUNTING SET SC-826</t>
  </si>
  <si>
    <t>GUNTING CUKUR JB-004</t>
  </si>
  <si>
    <t>PENSIL HB 04</t>
  </si>
  <si>
    <t>PENSIL HB 09</t>
  </si>
  <si>
    <t>BOL-OD76</t>
  </si>
  <si>
    <t>BP ODOMEI GP-9932</t>
  </si>
  <si>
    <t>GEL LANTU LT 2108</t>
  </si>
  <si>
    <t>CRAYON 12W HW</t>
  </si>
  <si>
    <t>GAR-IM223</t>
  </si>
  <si>
    <t>GARISAN KM-7733</t>
  </si>
  <si>
    <t>PEN-NB42</t>
  </si>
  <si>
    <t>PENSIL JUMBO + ASAHAN (458)</t>
  </si>
  <si>
    <t>BOX (30)</t>
  </si>
  <si>
    <t>PENSIL + STIP BONEKA</t>
  </si>
  <si>
    <t>PEN-NB13</t>
  </si>
  <si>
    <t>PENSIL UNICORN P588 (50)</t>
  </si>
  <si>
    <t>STABILLO CS 8108</t>
  </si>
  <si>
    <t>STABILLO JK J-356</t>
  </si>
  <si>
    <t>TAS BATIK BESAR</t>
  </si>
  <si>
    <t>BASA-TEGAL</t>
  </si>
  <si>
    <t>BUKU MEWARNAI 6-8 A4</t>
  </si>
  <si>
    <t>PCA-IM90</t>
  </si>
  <si>
    <t>PENSIL CASE KW-1919</t>
  </si>
  <si>
    <t>PCA-IM33</t>
  </si>
  <si>
    <t>PENSIL CASE 5843</t>
  </si>
  <si>
    <t>SEM-NB5</t>
  </si>
  <si>
    <t>SIPOA 8013</t>
  </si>
  <si>
    <t>TAS TALI GILAP MIX BESAR</t>
  </si>
  <si>
    <t>TAS 2066-1 B GLITTER</t>
  </si>
  <si>
    <t>TAS 1833 L GLITTER BESAR</t>
  </si>
  <si>
    <t>TAS GLITTER SM 105 BESAR</t>
  </si>
  <si>
    <t>UNDANGAN ULTAH ANAK PON 233</t>
  </si>
  <si>
    <t>PEN-TF43</t>
  </si>
  <si>
    <t>PENSIL TF 88 S</t>
  </si>
  <si>
    <t>P WARNA 36W KYCP 0736</t>
  </si>
  <si>
    <t>81-GOMBONG</t>
  </si>
  <si>
    <t>TIPEX MINI FANCY 0846</t>
  </si>
  <si>
    <t>TIP-NB8</t>
  </si>
  <si>
    <t>TIPEX KERTAS 0821</t>
  </si>
  <si>
    <t>TIPEX MINI FANCY 0857</t>
  </si>
  <si>
    <t>TIP-IM3</t>
  </si>
  <si>
    <t>TIPEX KERTAS 0831 DISNEY</t>
  </si>
  <si>
    <t>TIPEX MINI FANCY 0888</t>
  </si>
  <si>
    <t>GUNUNG JATI-CIREBON</t>
  </si>
  <si>
    <t>BOL-VO129</t>
  </si>
  <si>
    <t>BP V-TRO 236</t>
  </si>
  <si>
    <t>SANDI-CIREBON</t>
  </si>
  <si>
    <t>STANDART BK V-TEC ST-065/ 6.5</t>
  </si>
  <si>
    <t>TRISNO-PURWODADI</t>
  </si>
  <si>
    <t>TAS KADO/ TALI KCL 5 MOTIF</t>
  </si>
  <si>
    <t>TAS KADO/ TALI TG 5 MOTIF</t>
  </si>
  <si>
    <t>TAS KADO/ TALI BSR 5 MOTIF</t>
  </si>
  <si>
    <t>TAS GILAP TG 5 MOTIF</t>
  </si>
  <si>
    <t>TAS GILAP BSR MIX</t>
  </si>
  <si>
    <t>TAS GLITTER KCL 5 MOTIF</t>
  </si>
  <si>
    <t>TAS GLITTER TG 5 MOTIF</t>
  </si>
  <si>
    <t>TAS GLITTER BSR 5 MOTIF</t>
  </si>
  <si>
    <t>TAS BATIK KECIL</t>
  </si>
  <si>
    <t>TAS BATIK TG</t>
  </si>
  <si>
    <t>TAS BATIK BSR</t>
  </si>
  <si>
    <t>DOK-NB1</t>
  </si>
  <si>
    <t>DOKUMEN RISLETING INFINITY</t>
  </si>
  <si>
    <t>DOK-NB3</t>
  </si>
  <si>
    <t>DOKUMEN RISLETING PRESTIGE</t>
  </si>
  <si>
    <t>KACA PEMBESAR TF BIASA 50</t>
  </si>
  <si>
    <t>KUAS MAOPI KECIL</t>
  </si>
  <si>
    <t>MAP KCG SIKA 05 MERAH</t>
  </si>
  <si>
    <t>SISWA-PEKALONGAN</t>
  </si>
  <si>
    <t>BEDA SATUAM</t>
  </si>
  <si>
    <t>ABC-KEBUMEN</t>
  </si>
  <si>
    <t>MAG-IM2</t>
  </si>
  <si>
    <t>MAGNET 003</t>
  </si>
  <si>
    <t>PITA TARIK/KADO 23 BIASA</t>
  </si>
  <si>
    <t>PIT-NB22</t>
  </si>
  <si>
    <t>PITA TARIK/KADO 18 BIASA</t>
  </si>
  <si>
    <t>PIT-IM18</t>
  </si>
  <si>
    <t>PITA TARIK/KADO 18 LS</t>
  </si>
  <si>
    <t>KARET GELANG KCL</t>
  </si>
  <si>
    <t>BENDERA PLST BIASA</t>
  </si>
  <si>
    <t>BENDERA PLST TALI</t>
  </si>
  <si>
    <t>PWA-TF6</t>
  </si>
  <si>
    <t>PW PASTEL TF 195 12W</t>
  </si>
  <si>
    <t>BOL-TZ371</t>
  </si>
  <si>
    <t>BP GEL TIZO 30900E FANCY</t>
  </si>
  <si>
    <t>BOL-IM231</t>
  </si>
  <si>
    <t>BP GEL 832</t>
  </si>
  <si>
    <t>BOL-IM233</t>
  </si>
  <si>
    <t>BP GEL 835</t>
  </si>
  <si>
    <t>KUA-IM3</t>
  </si>
  <si>
    <t>KUAS UTN 661-1</t>
  </si>
  <si>
    <t>KUA-IM4</t>
  </si>
  <si>
    <t>KUAS UTN 661-2</t>
  </si>
  <si>
    <t>KUA-IM5</t>
  </si>
  <si>
    <t>KUAS UTN 661-3</t>
  </si>
  <si>
    <t>KUA-IM6</t>
  </si>
  <si>
    <t>KUAS UTN 661-4</t>
  </si>
  <si>
    <t>KUA-IM7</t>
  </si>
  <si>
    <t>KUAS UTN 661-5</t>
  </si>
  <si>
    <t>KUA-IM8</t>
  </si>
  <si>
    <t>KUAS UTN 661-6</t>
  </si>
  <si>
    <t>KUA-IM9</t>
  </si>
  <si>
    <t>KUAS UTN 661-7</t>
  </si>
  <si>
    <t>KUA-IM11</t>
  </si>
  <si>
    <t>KUAS UTN 661-9</t>
  </si>
  <si>
    <t>KUA-IM12</t>
  </si>
  <si>
    <t>KUAS UTN 661-10</t>
  </si>
  <si>
    <t>KUA-IM13</t>
  </si>
  <si>
    <t>KUAS UTN 661-11</t>
  </si>
  <si>
    <t>KUA-IM14</t>
  </si>
  <si>
    <t>KUAS UTN 661-12</t>
  </si>
  <si>
    <t>KUAS E01</t>
  </si>
  <si>
    <t>KUAS CAT H 4 POAI</t>
  </si>
  <si>
    <t>ACR-KO7</t>
  </si>
  <si>
    <t>ACRYLIC 8 X 25</t>
  </si>
  <si>
    <t>ACR-KO3</t>
  </si>
  <si>
    <t>ACRYLIC 7X25</t>
  </si>
  <si>
    <t>ACR-KO10</t>
  </si>
  <si>
    <t>ACRYLIC A6 11X16</t>
  </si>
  <si>
    <t>ACRYLIC 11X21.5</t>
  </si>
  <si>
    <t>N BOOK MAGNIT A6 CR 64</t>
  </si>
  <si>
    <t>N BOOK 005 SET STICKER</t>
  </si>
  <si>
    <t>STUDY BOARD 3180</t>
  </si>
  <si>
    <t>BUKU MEWARNAI 8 DESAIN KECIL</t>
  </si>
  <si>
    <t>POS-IM7</t>
  </si>
  <si>
    <t>POST IT WALITO WLT-8838</t>
  </si>
  <si>
    <t>AGENDA 48K-1</t>
  </si>
  <si>
    <t>AGENDA MB 35-50</t>
  </si>
  <si>
    <t>SKETCH BOOK A5-3555</t>
  </si>
  <si>
    <t>KUAS SET 889</t>
  </si>
  <si>
    <t>GUN-GN31</t>
  </si>
  <si>
    <t>GUNTING GUNINDO SPL COKLAT</t>
  </si>
  <si>
    <t>GUN-GN20</t>
  </si>
  <si>
    <t>GUNTING GUNINDO FM COKLAT</t>
  </si>
  <si>
    <t>GUN-GN21</t>
  </si>
  <si>
    <t>GUNTING GUNINDO FL GA-10 COKLAT</t>
  </si>
  <si>
    <t>GUN-ID43</t>
  </si>
  <si>
    <t>GUNTING IDEAL K-400</t>
  </si>
  <si>
    <t>GUN-IM9</t>
  </si>
  <si>
    <t>GUNTING 9002A</t>
  </si>
  <si>
    <t>TIP-IM23</t>
  </si>
  <si>
    <t>TIPEX KERTAS XB-B221</t>
  </si>
  <si>
    <t>TIPEX SET 0857</t>
  </si>
  <si>
    <t>TIP-IM36</t>
  </si>
  <si>
    <t>TIPEX KERTAS NO.5037</t>
  </si>
  <si>
    <t>CAT-MZ24</t>
  </si>
  <si>
    <t>WATER COLOUR ACRYLIC 12W MOZAKI</t>
  </si>
  <si>
    <t>CAT-NB25</t>
  </si>
  <si>
    <t>WATER COLOUR TFWC-010 (12X6ML)</t>
  </si>
  <si>
    <t>ISI MECHPEN COLLEN GOLD G-2000 HB (1 BOX=40 TUBE/ 1 TUBE=20 PC)</t>
  </si>
  <si>
    <t>PWA-IN7</t>
  </si>
  <si>
    <t>PW INFICO 12W PDK 1235</t>
  </si>
  <si>
    <t>CRAYON PUTAR PJG 12W OUQIER</t>
  </si>
  <si>
    <t>GARISAN GR 2302</t>
  </si>
  <si>
    <t>GAR-134</t>
  </si>
  <si>
    <t>GARISAN 20CM 2011(10)/ 2010(2)</t>
  </si>
  <si>
    <t>GAR-NB116</t>
  </si>
  <si>
    <t>GARISAN YS 2020</t>
  </si>
  <si>
    <t>GAR-IM217</t>
  </si>
  <si>
    <t>GARISAN BC-8996</t>
  </si>
  <si>
    <t>GARISAN 30CM FANCY</t>
  </si>
  <si>
    <t>GAR-YK254</t>
  </si>
  <si>
    <t>GARISAN BESI YOEKER 40 CM</t>
  </si>
  <si>
    <t>GARISAN MAL 280 ABJAD</t>
  </si>
  <si>
    <t>GARISAN MAL 190 ABJAD</t>
  </si>
  <si>
    <t>GARISAN ALUMINIUM KOALA 30CM</t>
  </si>
  <si>
    <t>GARISAN 100CM BESI</t>
  </si>
  <si>
    <t>BOL-DB20</t>
  </si>
  <si>
    <t>BP DEBOZZ DB G 09</t>
  </si>
  <si>
    <t>BP ODEMI BATIK 9933</t>
  </si>
  <si>
    <t>BP MINI FISH 7200</t>
  </si>
  <si>
    <t>BP KOALA GP 303</t>
  </si>
  <si>
    <t>BWA-IM23</t>
  </si>
  <si>
    <t>STUDY BOARD XG-106</t>
  </si>
  <si>
    <t>RENT</t>
  </si>
  <si>
    <t>GLITTER RENTENG EMAS</t>
  </si>
  <si>
    <t>GLITTER RENTENG SILVER</t>
  </si>
  <si>
    <t>CAT ACRYLIC MARIES ISI 8</t>
  </si>
  <si>
    <t>ISI PENSIL 2B 2.0 DB-IMP062</t>
  </si>
  <si>
    <t>CLIP BOARD TRIFELO MIS</t>
  </si>
  <si>
    <t>GEL ZHIXIN K-15</t>
  </si>
  <si>
    <t>TERMINAL 2-CIREBON</t>
  </si>
  <si>
    <t>MALAM Y4 KG TG 1 WARNA</t>
  </si>
  <si>
    <t>BOL-ZI42</t>
  </si>
  <si>
    <t>BP ZHIXIN 3128</t>
  </si>
  <si>
    <t>BOL-ZI382</t>
  </si>
  <si>
    <t>BP GEL ZHIXIN G 3156</t>
  </si>
  <si>
    <t>BP GEL ZHIXIN G 3165</t>
  </si>
  <si>
    <t>BP GEL ZHIXIN G 3167</t>
  </si>
  <si>
    <t>GOMBONG-GOMBONG</t>
  </si>
  <si>
    <t>BP TIZO TG 31142 F</t>
  </si>
  <si>
    <t>BOBO-KLATEN</t>
  </si>
  <si>
    <t>CLIP BOARD KAYU ENTER</t>
  </si>
  <si>
    <t>MINYAK MARIES 718 SURABAYA</t>
  </si>
  <si>
    <t>CLEAR HOLDER TOPLA 40 LB</t>
  </si>
  <si>
    <t>BENDAN-PEKALONGAN</t>
  </si>
  <si>
    <t>BP EXCELENY</t>
  </si>
  <si>
    <t>P WARNA 24 W KYCP 0724</t>
  </si>
  <si>
    <t>ANUGRAH BARU-JEPARA</t>
  </si>
  <si>
    <t>SISWA-WONOSOBO</t>
  </si>
  <si>
    <t>BOL-TZ394</t>
  </si>
  <si>
    <t>BP TIZO TG 31975F FANCY</t>
  </si>
  <si>
    <t>BALLPEN GEL TIZO 31037 F</t>
  </si>
  <si>
    <t>BOL-TZ392</t>
  </si>
  <si>
    <t>BP TIZO TG 31590F FANCY</t>
  </si>
  <si>
    <t>BALLPEN GEL TIZO 31780 F</t>
  </si>
  <si>
    <t>BOL-TZ393</t>
  </si>
  <si>
    <t>BP TIZO TG 31035F FANCY</t>
  </si>
  <si>
    <t>SUKSES MAKMUR (INTAN)-COMAL</t>
  </si>
  <si>
    <t>TAS-SP30</t>
  </si>
  <si>
    <t>TAS SPUNBOUND POLOS 30 X 40 TANGGUNG</t>
  </si>
  <si>
    <t>GEL D TIAN 615</t>
  </si>
  <si>
    <t>PENSIL 2B FANCY SET</t>
  </si>
  <si>
    <t>GARISAN 30CM FANCY GLITTER</t>
  </si>
  <si>
    <t>GARISAN STENSIL BESAR</t>
  </si>
  <si>
    <t>GARISAN 30CM KM 1105 MIX</t>
  </si>
  <si>
    <t>KODE BENTROK SAMA PENCIL CASE B-126</t>
  </si>
  <si>
    <t>PIT-IM24</t>
  </si>
  <si>
    <t>PITA TARIK/KADO 30-1 RENDA</t>
  </si>
  <si>
    <t>PCA-IM16</t>
  </si>
  <si>
    <t>PENSIL CASE 168-21</t>
  </si>
  <si>
    <t>KUAS ENTER 12</t>
  </si>
  <si>
    <t>KUAS ENTER 11</t>
  </si>
  <si>
    <t>ISI GEL 1.0</t>
  </si>
  <si>
    <t>PENSIL 2B X 001 FANCY</t>
  </si>
  <si>
    <t>PENSIL 2B DM 5188</t>
  </si>
  <si>
    <t>PENSIL 2B KY 3055</t>
  </si>
  <si>
    <t>GUN-NB73</t>
  </si>
  <si>
    <t>GUNTING RAMBUT TG 690</t>
  </si>
  <si>
    <t>BOL-TZ361</t>
  </si>
  <si>
    <t>BP TIZO TG501</t>
  </si>
  <si>
    <t>ACRYLIC PLASTIK KOALA 11X2.5</t>
  </si>
  <si>
    <t>ACR-KO6</t>
  </si>
  <si>
    <t>ACRYLIC PLASTIK KOALA 8X30</t>
  </si>
  <si>
    <t>ACRYLIC PLASTIK KOALA 7X30</t>
  </si>
  <si>
    <t>ACRYLIC PLASTIK KOALA 7X25</t>
  </si>
  <si>
    <t>ACRYLIC PLASTIK KOALA 7X20</t>
  </si>
  <si>
    <t>P CASE MAGNET XU-805</t>
  </si>
  <si>
    <t>MEMORY-MAANG</t>
  </si>
  <si>
    <t>BARANG TUKAR</t>
  </si>
  <si>
    <t>O PASTEL TITI 55W</t>
  </si>
  <si>
    <t>BARANG TUKAR, STOCK BELUM LENGKAP</t>
  </si>
  <si>
    <t>PCA-IM72</t>
  </si>
  <si>
    <t>PENSIL CASE BH-227</t>
  </si>
  <si>
    <t>PCA-NB190</t>
  </si>
  <si>
    <t>PC MAGNIT + KUNCI KOMBINASI B 35113-20</t>
  </si>
  <si>
    <t>CRAYON PUTAR DISNEY 12W PJG 1012 VANART</t>
  </si>
  <si>
    <t>LEM TEMBAK B MS PUTIH</t>
  </si>
  <si>
    <t>CUTTER ZRM A 300</t>
  </si>
  <si>
    <t>PIT-IM25</t>
  </si>
  <si>
    <t>PITA TARIK/KADO 50 CM BIASA</t>
  </si>
  <si>
    <t>PIT-IM15</t>
  </si>
  <si>
    <t>PITA TARIK/KADO 12 HC</t>
  </si>
  <si>
    <t>TAP-NT2</t>
  </si>
  <si>
    <t>ISOLASI NATIONAL 20M</t>
  </si>
  <si>
    <t>INDOBARU-TEMANGGUGNG</t>
  </si>
  <si>
    <t>PENGHAPUS WB CLEAR KCL</t>
  </si>
  <si>
    <t>PENGHAPUS WB CLEAR BESAR</t>
  </si>
  <si>
    <t>LILIN ANGKA SHINTOENG NO. 4</t>
  </si>
  <si>
    <t>LILIN ANGKA SHINTOENG NO. 5</t>
  </si>
  <si>
    <t>LILIN ANGKA SHINTOENG NO. 6</t>
  </si>
  <si>
    <t>LILIN ANGKA SHINTOENG NO. 8</t>
  </si>
  <si>
    <t>LILIN ANGKA SHINTOENG NO. 9</t>
  </si>
  <si>
    <t>SUKSES MAKMUR (INTAN)-SALATIGA</t>
  </si>
  <si>
    <t>BOL-WY14</t>
  </si>
  <si>
    <t>BP WEIYADA 681 HITAM</t>
  </si>
  <si>
    <t>SALIKAH-BATANG</t>
  </si>
  <si>
    <t>GEL ZHIXIN 3165</t>
  </si>
  <si>
    <t>BP ZHIXIN 3129</t>
  </si>
  <si>
    <t>GEL ZHIXIN 5005</t>
  </si>
  <si>
    <t>ISI GEL DOS 20PCS VTRO 2020</t>
  </si>
  <si>
    <t>IGE-NB13</t>
  </si>
  <si>
    <t>ISI GEL 2017 SUPER HERO 20 DOZ</t>
  </si>
  <si>
    <t>PENSIL 2B KY 3057</t>
  </si>
  <si>
    <t>PENSIL BOX ISI 100</t>
  </si>
  <si>
    <t>OIL-NB1</t>
  </si>
  <si>
    <t>OIL PASTEL HW 12</t>
  </si>
  <si>
    <t>IKA-PURBALINGGA</t>
  </si>
  <si>
    <t>P CASE GUNINDO PC 6</t>
  </si>
  <si>
    <t>MAP A4 6-J-018</t>
  </si>
  <si>
    <t>COU-NB1</t>
  </si>
  <si>
    <t>HAND COUNTER DIGITAL1011</t>
  </si>
  <si>
    <t>DESK SET GASTA 8312</t>
  </si>
  <si>
    <t>STA-VE4</t>
  </si>
  <si>
    <t>STAPLER V TECH MOD-10M</t>
  </si>
  <si>
    <t>BP GEL ZHIXIN 3167</t>
  </si>
  <si>
    <t>BP GEL ZHIXIN 3162</t>
  </si>
  <si>
    <t>BP GEL ZHIXIN 5005</t>
  </si>
  <si>
    <t>BP GEL ZHIXIN 3119</t>
  </si>
  <si>
    <t>BP GEL ZHIXIN 3125</t>
  </si>
  <si>
    <t>BOL-ZI43</t>
  </si>
  <si>
    <t>BP GEL ZJIXIN 3118</t>
  </si>
  <si>
    <t>PITA KADO 12MM BIASA MIX</t>
  </si>
  <si>
    <t>PITA KADO 30MM TH 30</t>
  </si>
  <si>
    <t>PITA KADO 30MM TH 30 1</t>
  </si>
  <si>
    <t>PITA KADO 30MM THT 30</t>
  </si>
  <si>
    <t>PITA KADO 30MM THT 30 1</t>
  </si>
  <si>
    <t>PITA KADO 30MM JC30</t>
  </si>
  <si>
    <t>PITA KADO 50MM THT 50 1</t>
  </si>
  <si>
    <t>PITA KADO 30MM LS 30</t>
  </si>
  <si>
    <t>PULL RIBBON LS-30-1</t>
  </si>
  <si>
    <t>PITA KADO 50MM LS 50</t>
  </si>
  <si>
    <t>PITA KADO 50MM LS 50-1</t>
  </si>
  <si>
    <t>PITA KADO 50MM TH 50</t>
  </si>
  <si>
    <t>MAS TEGUH (ATK PASTI BISA)-PURWODADI</t>
  </si>
  <si>
    <t>MAP-TP110</t>
  </si>
  <si>
    <t>MAP KANCING TOPLA 3080 HITAM</t>
  </si>
  <si>
    <t>MAP-VE208</t>
  </si>
  <si>
    <t>EXPANDING FILE V-TECH 4512 B5</t>
  </si>
  <si>
    <t>STABILLO HL 520</t>
  </si>
  <si>
    <t>STB-CS5</t>
  </si>
  <si>
    <t>STABILLO CS 2001 COSH BLK</t>
  </si>
  <si>
    <t>PENAMAS-TRGAL</t>
  </si>
  <si>
    <t>TALI TAMBANG 2808 GLITTER TIMBUL TANGGUNG</t>
  </si>
  <si>
    <t>PEN-IM39</t>
  </si>
  <si>
    <t>PENSIL 921</t>
  </si>
  <si>
    <t>IGE-ES6</t>
  </si>
  <si>
    <t>ISI GEL ELSON ES-225 UNICORN</t>
  </si>
  <si>
    <t>ISI GEL 2020 HIJAB LOVE</t>
  </si>
  <si>
    <t>MIRACLE ABADI-SURABAYA</t>
  </si>
  <si>
    <t>PCA-NB194</t>
  </si>
  <si>
    <t>PC MAGNIT DKK 9910</t>
  </si>
  <si>
    <t>PCA-IM137</t>
  </si>
  <si>
    <t>PENCIL CASE 588-181-1 MAGNET</t>
  </si>
  <si>
    <t>GAR-TF160</t>
  </si>
  <si>
    <t>GARISAN BESI TF 30CM</t>
  </si>
  <si>
    <t>EKARIA-PURWOKERTO</t>
  </si>
  <si>
    <t>PENSIL 2.0 FANCY 0300</t>
  </si>
  <si>
    <t>AF TOYS-KENDAL</t>
  </si>
  <si>
    <t>GRAND MEDIA-TEGAL</t>
  </si>
  <si>
    <t>PCA-IM97</t>
  </si>
  <si>
    <t>PENSIL CASE QC-771</t>
  </si>
  <si>
    <t>BAHTERA-YOGYA</t>
  </si>
  <si>
    <t>SINAR ABADI-SURABAYA</t>
  </si>
  <si>
    <t>BOL-TF331</t>
  </si>
  <si>
    <t>BP VULLPEN TF 801</t>
  </si>
  <si>
    <t>BOL-TF332</t>
  </si>
  <si>
    <t>BP VULLPEN TF 802</t>
  </si>
  <si>
    <t>FULPEN HERO</t>
  </si>
  <si>
    <t>GARISAN SET 15CM 7505</t>
  </si>
  <si>
    <t>ARDEN PRATAMA-CIREBON</t>
  </si>
  <si>
    <t>ASAHAN CL 082</t>
  </si>
  <si>
    <t>ASA-NB125</t>
  </si>
  <si>
    <t>POT</t>
  </si>
  <si>
    <t>ASAHAN 3006 PESAWAT (45)</t>
  </si>
  <si>
    <t>ASA-IM54</t>
  </si>
  <si>
    <t>ASAHAN 8096</t>
  </si>
  <si>
    <t>ASA-IM42</t>
  </si>
  <si>
    <t>ASAHAN XH8077</t>
  </si>
  <si>
    <t>SUMUR BATU-TEMBALANG</t>
  </si>
  <si>
    <t>N BOOK SPIRAL PL-090 (A)</t>
  </si>
  <si>
    <t>AGENDA 25K-35-25</t>
  </si>
  <si>
    <t>TAS TUTUP PITA MINI</t>
  </si>
  <si>
    <t>ISI PENSIL COLLEN GOLD</t>
  </si>
  <si>
    <t>BENSIA 915</t>
  </si>
  <si>
    <t>NOT-IM63</t>
  </si>
  <si>
    <t>NOTEBOOK 50100-67</t>
  </si>
  <si>
    <t>P CASE REST SH 08</t>
  </si>
  <si>
    <t>P WARNA KAYAGI 12W 1210</t>
  </si>
  <si>
    <t>TOTEM-TEMBALANG</t>
  </si>
  <si>
    <t>NOTEBOOK 25100-60</t>
  </si>
  <si>
    <t>NOT-IM38</t>
  </si>
  <si>
    <t>NOTEBOOK SPIRAL 28825-67</t>
  </si>
  <si>
    <t>NOTEBOOK 25100-68</t>
  </si>
  <si>
    <t>N BOOK A5 60 404</t>
  </si>
  <si>
    <t>NOTEBOOK 18100-59</t>
  </si>
  <si>
    <t>NOTEBOOK 18100-68</t>
  </si>
  <si>
    <t>NOTEBOOK 18100-72</t>
  </si>
  <si>
    <t>AGENDA 25K 35 25</t>
  </si>
  <si>
    <t>AGENDA 50K 35 50</t>
  </si>
  <si>
    <t>TIPEX KERTAS DY-8242</t>
  </si>
  <si>
    <t>TIPEX KERTAS NO.726</t>
  </si>
  <si>
    <t>GAR-IM242</t>
  </si>
  <si>
    <t>GARISAN 030-3</t>
  </si>
  <si>
    <t>NOT-IM58</t>
  </si>
  <si>
    <t>NOTEBOOK 18100-71</t>
  </si>
  <si>
    <t>TAS-IM34</t>
  </si>
  <si>
    <t>TAS 33X27 L TIDUR</t>
  </si>
  <si>
    <t>TAS-IM33</t>
  </si>
  <si>
    <t>TAS 33X27 B</t>
  </si>
  <si>
    <t>TAS-145</t>
  </si>
  <si>
    <t>TAS J 1706</t>
  </si>
  <si>
    <t>TAS-299</t>
  </si>
  <si>
    <t>TAS SEP 194</t>
  </si>
  <si>
    <t>TAS-146</t>
  </si>
  <si>
    <t>TAS J 2729</t>
  </si>
  <si>
    <t>BERKAH-SEMARANG</t>
  </si>
  <si>
    <t>BALLPEN TF 31780 F</t>
  </si>
  <si>
    <t>BALLPEN G 3167</t>
  </si>
  <si>
    <t>BALLPEN G 3125</t>
  </si>
  <si>
    <t>BALLPEN G 3128</t>
  </si>
  <si>
    <t>BALLPEN G 3162</t>
  </si>
  <si>
    <t>BALLPEN G 3165</t>
  </si>
  <si>
    <t>TIPEX 0847</t>
  </si>
  <si>
    <t>TIPEX 0857</t>
  </si>
  <si>
    <t>TIPEX 0888HIJAU</t>
  </si>
  <si>
    <t>PCA-IM21</t>
  </si>
  <si>
    <t>PENSIL CASE 168-28</t>
  </si>
  <si>
    <t>TALI ID CARD SET 168 HIJAU</t>
  </si>
  <si>
    <t>TALI ID CARD SET 168 BR MUDA</t>
  </si>
  <si>
    <t>TALI ID CARD SET 168 BR TUA</t>
  </si>
  <si>
    <t>TALI ID CARD SET 168 MERAH</t>
  </si>
  <si>
    <t>TALI ID CARD SET 168 PUTIH</t>
  </si>
  <si>
    <t>TALI ID CARD SET 168 ABU ABU</t>
  </si>
  <si>
    <t>SANUGERAH BARU-JEPARA</t>
  </si>
  <si>
    <t>BUKAN FAKTUR</t>
  </si>
  <si>
    <t>CUTTER KENKO L-500</t>
  </si>
  <si>
    <t>SAMPUL JERSY KWARTO</t>
  </si>
  <si>
    <t>SINAR BHAKTI-YOGYA</t>
  </si>
  <si>
    <t>EKARIA-PWURWOKERTO</t>
  </si>
  <si>
    <t>ASA-NB150</t>
  </si>
  <si>
    <t>ASAHAN TOPLES 25PCS XLG R-5861</t>
  </si>
  <si>
    <t>SISWA-,UNTILAN</t>
  </si>
  <si>
    <t>PIANIKA MARVEL BOX KAIN KOPER</t>
  </si>
  <si>
    <t>BENGAWAN RETAIL MANDIRI (LUWES)-PURWODADI</t>
  </si>
  <si>
    <t>BALLPEN DTIAN 812</t>
  </si>
  <si>
    <t>BOL-IM270</t>
  </si>
  <si>
    <t>BP GEL 955</t>
  </si>
  <si>
    <t>BOL-NB53</t>
  </si>
  <si>
    <t>BP STAND PEN B 9212</t>
  </si>
  <si>
    <t>BOL-NB59</t>
  </si>
  <si>
    <t>BP MEJA BPS 202 FOOT</t>
  </si>
  <si>
    <t>BALLPEN MEJA 851</t>
  </si>
  <si>
    <t>BALLPEN MEJA 860</t>
  </si>
  <si>
    <t>PENSIL KAYAGI 2029</t>
  </si>
  <si>
    <t>PENSIL KAYAGI 3057</t>
  </si>
  <si>
    <t>PENSIL TF 88 BATIK</t>
  </si>
  <si>
    <t>BP FANCY SANMAO 9950</t>
  </si>
  <si>
    <t>BP FANCY SANMAO 9917</t>
  </si>
  <si>
    <t>BP FANCY SANMAO 9891</t>
  </si>
  <si>
    <t>BP FANCY SANMAO 9892</t>
  </si>
  <si>
    <t>STABILLO HL 220</t>
  </si>
  <si>
    <t>STB-VN2</t>
  </si>
  <si>
    <t>STABILLO 2W HL 221(6)</t>
  </si>
  <si>
    <t>ISI PENSIL MEKANIK 0,5 0913 A</t>
  </si>
  <si>
    <t>BEN-NB9</t>
  </si>
  <si>
    <t>BENSIA ZC 131 FAN (30 BOX) ISI 48</t>
  </si>
  <si>
    <t>BEN-NB11</t>
  </si>
  <si>
    <t>BENSIA 06 LMH 4M-3 HATI METALIK PENDEK</t>
  </si>
  <si>
    <t>BEN-PN22</t>
  </si>
  <si>
    <t>BENSIA 08LM1 (6221)</t>
  </si>
  <si>
    <t>BENSIA 951</t>
  </si>
  <si>
    <t>BENSIA 933</t>
  </si>
  <si>
    <t>MAP REST SIKA 5 WR</t>
  </si>
  <si>
    <t>MAP REST WARNA 4WR</t>
  </si>
  <si>
    <t>MAP REST SIKA KWARTO 4WR</t>
  </si>
  <si>
    <t>MAP REST ENTER KWARTO 4WR</t>
  </si>
  <si>
    <t>STICKER KARAKTER</t>
  </si>
  <si>
    <t>MAP KCG 1 SIKA 5WR</t>
  </si>
  <si>
    <t>MAP KCG SIKA 3WR</t>
  </si>
  <si>
    <t>MAP-IM227</t>
  </si>
  <si>
    <t>MAP KANCING BF-19 WARNA MIX</t>
  </si>
  <si>
    <t>STC-IM14</t>
  </si>
  <si>
    <t>STICKER JBE-43</t>
  </si>
  <si>
    <t>L LEAF CEWEK LLP HOLO BARBIE</t>
  </si>
  <si>
    <t>LOO-NB10</t>
  </si>
  <si>
    <t>LOOSE LEAF HOLO PRINCESS A5</t>
  </si>
  <si>
    <t>L LEAF CEWEK LLP 15 BIASA</t>
  </si>
  <si>
    <t>LOO-NR25</t>
  </si>
  <si>
    <t>PEMBATAS LOOSE LEAF NARIKO 690</t>
  </si>
  <si>
    <t>POST IT FANCY PLASTIK</t>
  </si>
  <si>
    <t>POST IT MAGNIT MIX</t>
  </si>
  <si>
    <t>BK ABSEN</t>
  </si>
  <si>
    <t>BK GAMBAR A4 SIKA</t>
  </si>
  <si>
    <t>PAPAN WB FANCY 0902</t>
  </si>
  <si>
    <t>DRA-IM15</t>
  </si>
  <si>
    <t>WRITING BOARD JQ-666</t>
  </si>
  <si>
    <t>ASAHAN MEJA CL 204</t>
  </si>
  <si>
    <t>ASA-IM69</t>
  </si>
  <si>
    <t>ASAHAN HC2907</t>
  </si>
  <si>
    <t>ASAHAN EX 09</t>
  </si>
  <si>
    <t>SIPOA 8011 APEL</t>
  </si>
  <si>
    <t>SIPOA ANGEL STRAWBERRY</t>
  </si>
  <si>
    <t>SEM-MS4</t>
  </si>
  <si>
    <t>SIPOA MOSHI-MOSHI K</t>
  </si>
  <si>
    <t>SIPOA MOSHI2 B</t>
  </si>
  <si>
    <t>PCA-IM34</t>
  </si>
  <si>
    <t>PENCIL CASE 5848</t>
  </si>
  <si>
    <t>SIPOA YM 011</t>
  </si>
  <si>
    <t>PCA-IM46</t>
  </si>
  <si>
    <t>PENSIL CASE 6A-25</t>
  </si>
  <si>
    <t>PC KLG 9888 MOBIL 3SS</t>
  </si>
  <si>
    <t>GANTUNGAN KUNCI 706</t>
  </si>
  <si>
    <t>STI-RC10</t>
  </si>
  <si>
    <t>STIP RENCAI RC 6031 (48)</t>
  </si>
  <si>
    <t>ASA-RC142</t>
  </si>
  <si>
    <t>ASAHAN + STIP</t>
  </si>
  <si>
    <t>ASAHAN RC 8042</t>
  </si>
  <si>
    <t>STI-RC5</t>
  </si>
  <si>
    <t>STIP RC 6034</t>
  </si>
  <si>
    <t>STIP FANCY TF 358</t>
  </si>
  <si>
    <t>CREATIVE PRINTING THT-S-6</t>
  </si>
  <si>
    <t>CREATIVE PRINTING CP-1</t>
  </si>
  <si>
    <t>B NOTE B5T JHYB 03306</t>
  </si>
  <si>
    <t>B NOTE B5T JHYB 03303</t>
  </si>
  <si>
    <t>B NOTE B5 HYB 03305</t>
  </si>
  <si>
    <t>B NOTE B5 HYB 15802</t>
  </si>
  <si>
    <t>B NOTE B5 HYB 15803</t>
  </si>
  <si>
    <t>B NOTE A5T JHYB 89706</t>
  </si>
  <si>
    <t>B NOTE A5T JHYB 86801</t>
  </si>
  <si>
    <t>B NOTE A5T JHYB 64840</t>
  </si>
  <si>
    <t>B NOTE A5T JHYB 86802</t>
  </si>
  <si>
    <t>B NOTE A5T JHYB 86803</t>
  </si>
  <si>
    <t>B NOTE A5T JHYB 86804</t>
  </si>
  <si>
    <t>EXPANDING FILE DKFQB-5901</t>
  </si>
  <si>
    <t>EXPANDING FILE FQB-95308</t>
  </si>
  <si>
    <t>EXPANDING FILE QLFQB-55333</t>
  </si>
  <si>
    <t>EXPANDING FILE FQB-38710</t>
  </si>
  <si>
    <t>EXPANDING FILE FQB-95309</t>
  </si>
  <si>
    <t>N BOOK SPIRAL JF-36A (001/002/003)</t>
  </si>
  <si>
    <t>N BOOK SPIRAL JF-36B (004/005/006)</t>
  </si>
  <si>
    <t>N BOOK SPIRAL JF-36C (007/008/009)</t>
  </si>
  <si>
    <t>N BOOK SPIRAL JF-36D (010/011/012)</t>
  </si>
  <si>
    <t>DIAN ILM-MALANG</t>
  </si>
  <si>
    <t>KANTONG BUAH KENJOY</t>
  </si>
  <si>
    <t>ARTHAJAYA-BANJARNEGARA</t>
  </si>
  <si>
    <t>SUMBER REJO-MAGELANG</t>
  </si>
  <si>
    <t>NOT-IM37</t>
  </si>
  <si>
    <t>NOTEBOOK SPIRAL 28825-65</t>
  </si>
  <si>
    <t>GLITTER G-08</t>
  </si>
  <si>
    <t>GLITTER G56B00-7</t>
  </si>
  <si>
    <t>TAS KARUNG 40 X 50 WIN/ LS</t>
  </si>
  <si>
    <t>MAP-SK7</t>
  </si>
  <si>
    <t>MAP BATIK SIKA</t>
  </si>
  <si>
    <t>KERTAS MEWARNAI CP5</t>
  </si>
  <si>
    <t>KERTAS MEWARNAI THT5-6</t>
  </si>
  <si>
    <t>GAR-EN203</t>
  </si>
  <si>
    <t>GARISAN KAYU ENTER 1 METER</t>
  </si>
  <si>
    <t>CLIP FILE YUSHINCA C-322</t>
  </si>
  <si>
    <t>GAR-56</t>
  </si>
  <si>
    <t>ASA-NB105</t>
  </si>
  <si>
    <t>ASAHAN 006 IKAN (48)</t>
  </si>
  <si>
    <t>GAR-IM214</t>
  </si>
  <si>
    <t>GARISAN 95</t>
  </si>
  <si>
    <t>GAR-IM122</t>
  </si>
  <si>
    <t>GARISAN SET ZX-015 20 CM</t>
  </si>
  <si>
    <t>TEJO MULYO-YOGYA</t>
  </si>
  <si>
    <t>BOL-TZ352</t>
  </si>
  <si>
    <t>BP GEL TIZO 31590E FANCY</t>
  </si>
  <si>
    <t>GEL TG 31780 F</t>
  </si>
  <si>
    <t>GAR-NB157</t>
  </si>
  <si>
    <t>GARISAN 30CM BESI JOS (PETI) IMPORTER</t>
  </si>
  <si>
    <t>BOL-IM267</t>
  </si>
  <si>
    <t>BP GEL 933</t>
  </si>
  <si>
    <t>PENSIL KY 3055</t>
  </si>
  <si>
    <t>PENSIL KY 3021</t>
  </si>
  <si>
    <t>MES-WM4</t>
  </si>
  <si>
    <t>MESIN LEM TEMBAK 189 WOMY 60WATT</t>
  </si>
  <si>
    <t>BOL-ZI44</t>
  </si>
  <si>
    <t>BP GEL ZHIXIN G 3125</t>
  </si>
  <si>
    <t>BOL-ZI41</t>
  </si>
  <si>
    <t>BP GEL ZHIXIN G 3118</t>
  </si>
  <si>
    <t>BOL-ZI40</t>
  </si>
  <si>
    <t>BP GEL ZHIXIN G 3119</t>
  </si>
  <si>
    <t>BOL-ZI39</t>
  </si>
  <si>
    <t>BP GEL ZHIXIN G 3128</t>
  </si>
  <si>
    <t>BOL-ZI38</t>
  </si>
  <si>
    <t>BOL-ZI45</t>
  </si>
  <si>
    <t>BP GEL ZHIXIN G 5005</t>
  </si>
  <si>
    <t>BP GEL ZHIXIN G 3129</t>
  </si>
  <si>
    <t>BOL-ZI63</t>
  </si>
  <si>
    <t>BP ZHIXIN 3150</t>
  </si>
  <si>
    <t>BOL-ZI30</t>
  </si>
  <si>
    <t>BP ZHIXIN 3151</t>
  </si>
  <si>
    <t>BALLPEN ZHIXIN 5019</t>
  </si>
  <si>
    <t>BOL-ZI66</t>
  </si>
  <si>
    <t>BP ZHIXIN 5037</t>
  </si>
  <si>
    <t>BP ZHIXIN 5035</t>
  </si>
  <si>
    <t>BOL-ZI64</t>
  </si>
  <si>
    <t>BP ZHIXIN 3154</t>
  </si>
  <si>
    <t>BOL-ZI65</t>
  </si>
  <si>
    <t>BP ZHIXIN 3155</t>
  </si>
  <si>
    <t>BP ZHIXIN 3161</t>
  </si>
  <si>
    <t>DIAN ILMU-SEMARANG</t>
  </si>
  <si>
    <t>BOL-TZ386</t>
  </si>
  <si>
    <t>BP GEL TIZO 31037F FANCY</t>
  </si>
  <si>
    <t>BOL-TZ31</t>
  </si>
  <si>
    <t>BP GEL TIZO TG 31780F</t>
  </si>
  <si>
    <t>PUZZLE S 6663</t>
  </si>
  <si>
    <t>PUZZLE M 6662</t>
  </si>
  <si>
    <t>PUZZZLE B 6661</t>
  </si>
  <si>
    <t>TAL-NB1</t>
  </si>
  <si>
    <t>TALI YOYO BUTEK BIRU</t>
  </si>
  <si>
    <t>TALI YOYO MERAH</t>
  </si>
  <si>
    <t>TALI YOYO HIJAU</t>
  </si>
  <si>
    <t>TALI YOYO HITAM</t>
  </si>
  <si>
    <t>TALI YOYO [INK</t>
  </si>
  <si>
    <t>AL AMIN-WELAHAN</t>
  </si>
  <si>
    <t>KUA-IM63</t>
  </si>
  <si>
    <t>TAS TG GILAP 1832 (BARU)</t>
  </si>
  <si>
    <t>TAS TG GILAP 1865 (BARU)</t>
  </si>
  <si>
    <t>TAS TG GILAP 1929 (BARU)</t>
  </si>
  <si>
    <t>TAS TG GILAP 1873 (BARU)</t>
  </si>
  <si>
    <t>TAS TG GILAP 1802 (BARU)</t>
  </si>
  <si>
    <t>TAS TG GILAP 109 (LAMA)</t>
  </si>
  <si>
    <t>TAS TG GILAP 1803 (LAMA)</t>
  </si>
  <si>
    <t>TAS TG GILAP 1842 (LAMA)</t>
  </si>
  <si>
    <t>TAS TG GILAP 1841 (LAMA)</t>
  </si>
  <si>
    <t>TAS TG GILAP 1839 (LAMA)</t>
  </si>
  <si>
    <t>PCSN</t>
  </si>
  <si>
    <t>PIA-NB2</t>
  </si>
  <si>
    <t>PIANIKA LOVELY PINK</t>
  </si>
  <si>
    <t>BIN-WN3</t>
  </si>
  <si>
    <t>BINDER NOTE WENGU A5-60 FPHY 001</t>
  </si>
  <si>
    <t>BIN-WN1</t>
  </si>
  <si>
    <t>BINDER NOTE B5-60 FPHY 001</t>
  </si>
  <si>
    <t>PRIMA JAYA-UNGARAN</t>
  </si>
  <si>
    <t>AGE-NB10</t>
  </si>
  <si>
    <t>AGENDA CK POLOS</t>
  </si>
  <si>
    <t>MEC-TZ13</t>
  </si>
  <si>
    <t>PCA-NB192</t>
  </si>
  <si>
    <t>PC MAGNIT B 35165</t>
  </si>
  <si>
    <t>ASA-VA157</t>
  </si>
  <si>
    <t>ASAHAN MEJA S 5227</t>
  </si>
  <si>
    <t>N BOOK SPIRAL JF 390 MIX</t>
  </si>
  <si>
    <t>ANEKA-JEPARA</t>
  </si>
  <si>
    <t>BOL-TZ395</t>
  </si>
  <si>
    <t>BP TIZO TG 30600F FANCY</t>
  </si>
  <si>
    <t>TIPEX KERTAS 8242</t>
  </si>
  <si>
    <t>TIP-IM44</t>
  </si>
  <si>
    <t>KUA-IM62</t>
  </si>
  <si>
    <t>KUA-IM27</t>
  </si>
  <si>
    <t>KUAS 21839-16</t>
  </si>
  <si>
    <t>PIS-NB2</t>
  </si>
  <si>
    <t>PISAU UKIR 8</t>
  </si>
  <si>
    <t>KUAS CAT 251-163 A</t>
  </si>
  <si>
    <t>KUA-IM41</t>
  </si>
  <si>
    <t>KUAS 929-5 ETERNA YIJIAYI</t>
  </si>
  <si>
    <t>KUA-IM39</t>
  </si>
  <si>
    <t>KUAS 929-3 ETERNA YIJIAYI</t>
  </si>
  <si>
    <t>PALLETE 850</t>
  </si>
  <si>
    <t>PENAMAS-TEGAL</t>
  </si>
  <si>
    <t>KERTAS KADO GLITTER POLOS</t>
  </si>
  <si>
    <t>KERTAS KADO GLITTER MOTIF</t>
  </si>
  <si>
    <t>GLORIA-BLITAR</t>
  </si>
  <si>
    <t>RAJA MURAH-PEKALONGAN</t>
  </si>
  <si>
    <t>PENSIL 2B KY122 COKLAT</t>
  </si>
  <si>
    <t>BOL-ZI147</t>
  </si>
  <si>
    <t>BP ZHIXIN G 212 WARNA + ISI MINI</t>
  </si>
  <si>
    <t>ISI BALLOEN GEL 1.0</t>
  </si>
  <si>
    <t>BENSIA DINO 08 LM1</t>
  </si>
  <si>
    <t>BENSIA LANTU LT 1311</t>
  </si>
  <si>
    <t>BOL-DB209</t>
  </si>
  <si>
    <t>BP DEBOZZ DB G 028 CLICK</t>
  </si>
  <si>
    <t>IST-NV2</t>
  </si>
  <si>
    <t>ISI STAPLER NOVUS NO.10</t>
  </si>
  <si>
    <t>GAR-IM215</t>
  </si>
  <si>
    <t>GARISAN 984</t>
  </si>
  <si>
    <t>BOL-NB161</t>
  </si>
  <si>
    <t>BP 7022 KUNCI</t>
  </si>
  <si>
    <t>BOL-IM271</t>
  </si>
  <si>
    <t>BP GEL DTIAN DT 956</t>
  </si>
  <si>
    <t>P CASE SH 10</t>
  </si>
  <si>
    <t>PC M XU 0080</t>
  </si>
  <si>
    <t>P CASE B133 OFF ROAD</t>
  </si>
  <si>
    <t>B NOTE A5 FANCY 1603</t>
  </si>
  <si>
    <t>L LEAF A5 FANCY</t>
  </si>
  <si>
    <t>STICKER NAMA</t>
  </si>
  <si>
    <t>MAL-SH1</t>
  </si>
  <si>
    <t>MALAM SHINTOENG 1W POLOS K</t>
  </si>
  <si>
    <t>MAL-SH2</t>
  </si>
  <si>
    <t>MALAM SHINTOENG 6-12W K</t>
  </si>
  <si>
    <t>ASAHAN 9910</t>
  </si>
  <si>
    <t>CAT-MR3</t>
  </si>
  <si>
    <t>CAT ACRYLIC MARRIES 812/ 12W BIASA (BT)</t>
  </si>
  <si>
    <t>N BOOK SPIRAL A6 MIX</t>
  </si>
  <si>
    <t>WC 110N/ 120 OSAMA</t>
  </si>
  <si>
    <t>PIRMA-LASEM</t>
  </si>
  <si>
    <t>TAS GG 03 SM 1865 MIX</t>
  </si>
  <si>
    <t>TAS KADO MINI MIX TUTUP</t>
  </si>
  <si>
    <t>TAS KADO GILAP 804 EMAS</t>
  </si>
  <si>
    <t>TAS KAIN POLOS 38 X 45</t>
  </si>
  <si>
    <t>TAS KAIN POLOS 30 X 40</t>
  </si>
  <si>
    <t>NOT-IM93</t>
  </si>
  <si>
    <t>BINDER NOTE JHYB - 03306 B5</t>
  </si>
  <si>
    <t>NOT-IM87</t>
  </si>
  <si>
    <t>BINDER NOTE HYB - 86803 A5</t>
  </si>
  <si>
    <t>ACARRY FILE TOPLA 8830 MIX</t>
  </si>
  <si>
    <t>PITA KADO METALIK 15/ 8 MERAH TUA</t>
  </si>
  <si>
    <t>PITA KADO METALIK 15/ 8 PUTIH</t>
  </si>
  <si>
    <t>PITA KADO METALIK 15/ 8 UNGU</t>
  </si>
  <si>
    <t>PITA KADO METALIK 15/ 8 BIRU</t>
  </si>
  <si>
    <t>PITA KADO METALIK 15/ 8 EMAS</t>
  </si>
  <si>
    <t>COLOURING PAPER THTS-06 MIX</t>
  </si>
  <si>
    <t>COLOURING PAPER CP-01 MIX</t>
  </si>
  <si>
    <t>NOT-IM89</t>
  </si>
  <si>
    <t>BINDER NOTE HYB - 15802 B5</t>
  </si>
  <si>
    <t>NOT-IM88</t>
  </si>
  <si>
    <t>BINDER NOTE HYB - 86804 A5</t>
  </si>
  <si>
    <t>KODE BENTROK SAMA NOTEBOOK 707-24</t>
  </si>
  <si>
    <t>BINDER NOTE HYB - 86802 A5</t>
  </si>
  <si>
    <t>GANESHA-WONOSOBO</t>
  </si>
  <si>
    <t>CLIP BOARD KAYU</t>
  </si>
  <si>
    <t>EVERLYN-REMBANG</t>
  </si>
  <si>
    <t>MAP-IM248</t>
  </si>
  <si>
    <t>EXPANDING FILE 8LFQB - 55333 + GANTUNGAN</t>
  </si>
  <si>
    <t>MAP-IM244</t>
  </si>
  <si>
    <t>MAP-IM245</t>
  </si>
  <si>
    <t>DRA-IM12</t>
  </si>
  <si>
    <t>KERTAS MEWARNAI COLORING PAPER CP-1</t>
  </si>
  <si>
    <t>GAN-IM1</t>
  </si>
  <si>
    <t>GANTUNGAN KUNCI + AIR GLITER 706-1</t>
  </si>
  <si>
    <t>IDC-IM24</t>
  </si>
  <si>
    <t>DUTA IOAHI-LASEM</t>
  </si>
  <si>
    <t>GAR-KJ126</t>
  </si>
  <si>
    <t>GARISAN SEGITIGA KOJIKO NO.6</t>
  </si>
  <si>
    <t>GLITTER POWDER 15GR CC888</t>
  </si>
  <si>
    <t>N BOOK TALI A7 AA 0321</t>
  </si>
  <si>
    <t>JAR-NB1</t>
  </si>
  <si>
    <t>JARUM SERUNI</t>
  </si>
  <si>
    <t>AGENDA MB 35-50 50K</t>
  </si>
  <si>
    <t>MEC-TZ11</t>
  </si>
  <si>
    <t>MEC-TZ14</t>
  </si>
  <si>
    <t>MEC-TZ16</t>
  </si>
  <si>
    <t>MEC-TZ15</t>
  </si>
  <si>
    <t>MANGGALA SAKTI SAKTI-MALANG</t>
  </si>
  <si>
    <t>MEC-TZ20</t>
  </si>
  <si>
    <t>PENSIL G 09308</t>
  </si>
  <si>
    <t>MEC-TZ21</t>
  </si>
  <si>
    <t>PENSIL G 09309</t>
  </si>
  <si>
    <t>GARISAN 30 CM ENTER 675</t>
  </si>
  <si>
    <t>F.CUT-KN6</t>
  </si>
  <si>
    <t>18 MM</t>
  </si>
  <si>
    <t>KN</t>
  </si>
  <si>
    <t>CTR-007</t>
  </si>
  <si>
    <t>Rp147,600-100 LSN-12.50%</t>
  </si>
  <si>
    <t>PINDAH DARI FAKTUR KE NON</t>
  </si>
  <si>
    <t>KEMUCHING KOMPUTER</t>
  </si>
  <si>
    <t>HOO-IM4</t>
  </si>
  <si>
    <t>HOOKS 4.5CM GANTUNGAN BAJU</t>
  </si>
  <si>
    <t>NAM-NB1</t>
  </si>
  <si>
    <t>NAME TAG DUS MERAH 301</t>
  </si>
  <si>
    <t>P CASE MAGNIT CC 7810</t>
  </si>
  <si>
    <t>PENCIL CASE B-122</t>
  </si>
  <si>
    <t>P CASE SH-10</t>
  </si>
  <si>
    <t>P CASE SH-06</t>
  </si>
  <si>
    <t>P CASE SH-02</t>
  </si>
  <si>
    <t>P CASE SH-08</t>
  </si>
  <si>
    <t>BINDER NOTE JHYB - 89706 A5</t>
  </si>
  <si>
    <t>MAP ZIPPER A5-16C 5 MACAM</t>
  </si>
  <si>
    <t>TAS GMS 2904-5 GLITTER KECIL</t>
  </si>
  <si>
    <t>TAS KADO 804 EMAS KECIL</t>
  </si>
  <si>
    <t>TAS C 808 GLITTER KECIL</t>
  </si>
  <si>
    <t>TAS-IM239</t>
  </si>
  <si>
    <t>TAS NO-3026-M GLITTER KECIL</t>
  </si>
  <si>
    <t>LLP HOLO PUZZLE</t>
  </si>
  <si>
    <t>LLP HOLO CEWEK</t>
  </si>
  <si>
    <t>LOOSE LEAF A5100 MIX</t>
  </si>
  <si>
    <t>POS-TF9</t>
  </si>
  <si>
    <t>STICK NOTE TF 0243</t>
  </si>
  <si>
    <t>BENGAWAN MULTI TRENDING (LUWES)-PATI</t>
  </si>
  <si>
    <t>BP GEL GP 303 KOALA</t>
  </si>
  <si>
    <t>N BOOK MAGNIT A6 CK64</t>
  </si>
  <si>
    <t>KODE BARANG BENTROK SAMA NOTEBOOK 18100-67</t>
  </si>
  <si>
    <t>KODE BARANG BENTROK SAMA NOTEBOOK 707-24</t>
  </si>
  <si>
    <t>NOT-IM91</t>
  </si>
  <si>
    <t>BINDER NOTE JHYB - 03303 B5</t>
  </si>
  <si>
    <t>NOT-IM90</t>
  </si>
  <si>
    <t>BINDER NOTE HYB - 15803 B5</t>
  </si>
  <si>
    <t>MAP-IM247</t>
  </si>
  <si>
    <t>MAP-IM246</t>
  </si>
  <si>
    <t>NOT-IM94</t>
  </si>
  <si>
    <t>NOTEBOOK SPIRAL JF-39A 001-003</t>
  </si>
  <si>
    <t>PALET PLT 009</t>
  </si>
  <si>
    <t>PAL-NB5</t>
  </si>
  <si>
    <t>PALET KUMBANG 1011</t>
  </si>
  <si>
    <t>PIT-NB27</t>
  </si>
  <si>
    <t>PITA KAIN GOLD 1CM-19/ GOLD GLITTER</t>
  </si>
  <si>
    <t>PIT-NB28</t>
  </si>
  <si>
    <t>PITA KAIN SILVER 1CM-19/ SILVER GLITTER</t>
  </si>
  <si>
    <t>ASA-PY132</t>
  </si>
  <si>
    <t>ASAHAN PAYU 847 KURA-KURA</t>
  </si>
  <si>
    <t>BOL-TZ334</t>
  </si>
  <si>
    <t>BP TIZO TG340 HITAM</t>
  </si>
  <si>
    <t>JUNIOR-PARE</t>
  </si>
  <si>
    <t>SUMBER MAS-SOLO</t>
  </si>
  <si>
    <t>GARISAN SABLON 270</t>
  </si>
  <si>
    <t>GARISAN SABLON 300</t>
  </si>
  <si>
    <t>GARISAN SABLON 380</t>
  </si>
  <si>
    <t>GARISAN ENTER 180</t>
  </si>
  <si>
    <t>MIKA SAMPUL 34 X 5 TANGGUNG</t>
  </si>
  <si>
    <t>LAB-KJ2</t>
  </si>
  <si>
    <t>LABEL HARGA KOJIKO 112</t>
  </si>
  <si>
    <t>LAB-KJ1</t>
  </si>
  <si>
    <t>LABEL HARGA KOJIKO 103</t>
  </si>
  <si>
    <t>ID CARD B2</t>
  </si>
  <si>
    <t>IDC-IM23</t>
  </si>
  <si>
    <t>JARUM PENTUL CASE</t>
  </si>
  <si>
    <t>DOK-NB4</t>
  </si>
  <si>
    <t>DOKUMEN RISTLETING BATIK KAIN</t>
  </si>
  <si>
    <t>DOK-NB6</t>
  </si>
  <si>
    <t>DOKUMEN RISLETING NEW DIPLOMAT</t>
  </si>
  <si>
    <t>DOKUMEN HD55</t>
  </si>
  <si>
    <t>DOK-NB13</t>
  </si>
  <si>
    <t>DOKUMEN RISLETING DK-520</t>
  </si>
  <si>
    <t>DOK-NB2</t>
  </si>
  <si>
    <t>DOKUMEN RISLETING DK 512 AUTENTIK</t>
  </si>
  <si>
    <t>SUM of JUMLAH</t>
  </si>
  <si>
    <t>SUM of TOTAL</t>
  </si>
  <si>
    <t>BARANG TERLAKU</t>
  </si>
  <si>
    <t>BARANG NOMINAL TERTINGGI</t>
  </si>
  <si>
    <t>AMPLOP MICROTOP DATA F 54 A5</t>
  </si>
  <si>
    <t>BN RABBIT KOALA A5</t>
  </si>
  <si>
    <t>BN WENGU A5-B 0164 (4W)</t>
  </si>
  <si>
    <t>BOX FILE KANCING  LIPAT ENTER HITAM</t>
  </si>
  <si>
    <t>BP DEBOZZ 0.28 DB-GP 800 BIRU</t>
  </si>
  <si>
    <t xml:space="preserve">BP GEL DTIAN 837 </t>
  </si>
  <si>
    <t xml:space="preserve">BP GEL DTIAN 923 </t>
  </si>
  <si>
    <t>BP GEL ZUI XUA HY-1020 MERAH</t>
  </si>
  <si>
    <t>BP WEIYADA 681 BIRU</t>
  </si>
  <si>
    <t>BP ZHIXIN 5014</t>
  </si>
  <si>
    <t>CLEAR HOLDER UTN CH 040 BIRU</t>
  </si>
  <si>
    <t xml:space="preserve">CRAYON PUTAR FANCY 1012/2012 PANJANG </t>
  </si>
  <si>
    <t>GARISAN ALUMINIUM 30CM 1530</t>
  </si>
  <si>
    <t>GARISAN BESI 30CM 5030 YOEKER ORANGE</t>
  </si>
  <si>
    <t>GARISAN BESI 30CM GLITER HS 1906 (9030)</t>
  </si>
  <si>
    <t>GARISAN BESI 30CM JOS (PETI) IMPORTER</t>
  </si>
  <si>
    <t>GARISAN LENTUR 30CM FANCY 0030</t>
  </si>
  <si>
    <t>GARISAN MIKA 40CM ENTER</t>
  </si>
  <si>
    <t>GARISAN MIKA 50CM ENTER</t>
  </si>
  <si>
    <t>GARISAN SET 7006</t>
  </si>
  <si>
    <t xml:space="preserve">GARISAN ZH-248 </t>
  </si>
  <si>
    <t>GUNTING GUNINDO FM GA-07 COKLAT</t>
  </si>
  <si>
    <t>GUNTING INFICO SC 100</t>
  </si>
  <si>
    <t xml:space="preserve">GUNTING SISTER MFL </t>
  </si>
  <si>
    <t xml:space="preserve">GUNTING TREND XL </t>
  </si>
  <si>
    <t>ISI GEL DTIAN DT-090 (20PCS TABUNG)</t>
  </si>
  <si>
    <t>ISI GEL DTIAN GR-089 (12PCS TABUNG)</t>
  </si>
  <si>
    <t>ISI GEL JOSS-268 HITAM</t>
  </si>
  <si>
    <t>ISI GEL PEN DTIAN GR-088 (ISI 6 PCS TABUNG)</t>
  </si>
  <si>
    <t>ISI GEL V-TRO 2018 TSUM</t>
  </si>
  <si>
    <t>ISI GEL V-TRO 2020 HIJAB</t>
  </si>
  <si>
    <t>ISI GEL V-TRO VRG-2022 TRANSFORMER</t>
  </si>
  <si>
    <t>JARUM PENTOL BUNGA NO.1 (SERUNI)</t>
  </si>
  <si>
    <t>KARET PENTIL LEGENDA KECIL</t>
  </si>
  <si>
    <t xml:space="preserve">LOOSE LEAF BIASA FROZEN A5 (100GSM) </t>
  </si>
  <si>
    <t>MAGNET  3010J SMILE WARNA</t>
  </si>
  <si>
    <t>MAGNET  X3010 SMILE KUNING</t>
  </si>
  <si>
    <t>MAGNET 2012</t>
  </si>
  <si>
    <t>MECHPEN TIZO G 09308 24PCS</t>
  </si>
  <si>
    <t>MECHPEN TIZO G 09309 24PCS</t>
  </si>
  <si>
    <t>NOTEBOOK  707-19</t>
  </si>
  <si>
    <t>NOTEBOOK  707-24</t>
  </si>
  <si>
    <t>NOTEBOOK  707-44</t>
  </si>
  <si>
    <t>NOTEBOOK  707-45</t>
  </si>
  <si>
    <t>NOTEBOOK  A5-103</t>
  </si>
  <si>
    <t>NOTEBOOK  A5-104</t>
  </si>
  <si>
    <t>NOTEBOOK  A5-105</t>
  </si>
  <si>
    <t>NOTEBOOK  A5-106</t>
  </si>
  <si>
    <t>NOTEBOOK  A5-107</t>
  </si>
  <si>
    <t>NOTEBOOK  A5-508</t>
  </si>
  <si>
    <t>NOTEBOOK  A5-521</t>
  </si>
  <si>
    <t>NOTEBOOK  A5-UN</t>
  </si>
  <si>
    <t>NOTEBOOK B0196 (A5）</t>
  </si>
  <si>
    <t>NOTEBOOK B0200 (A5）</t>
  </si>
  <si>
    <t>NOTEBOOK B0217 (B5）</t>
  </si>
  <si>
    <t>NOTEBOOK B1012 (A5）</t>
  </si>
  <si>
    <t>NOTEBOOK B1018 (B5）</t>
  </si>
  <si>
    <t>NOTEBOOK B1019 (B5）</t>
  </si>
  <si>
    <t>OIL PASTEL DEBOZZ 12W</t>
  </si>
  <si>
    <t>OIL PASTEL DEBOZZ 36W</t>
  </si>
  <si>
    <t>PC MAGNIT AZ 3300</t>
  </si>
  <si>
    <t>PC MAGNIT AZ 3301</t>
  </si>
  <si>
    <t>PC MAGNIT AZ 3302</t>
  </si>
  <si>
    <t>PC MAGNIT C 9962</t>
  </si>
  <si>
    <t>PC MAGNIT CALL MC 7121</t>
  </si>
  <si>
    <t>PC MAGNIT KY 779</t>
  </si>
  <si>
    <t>PENCIL CASE K-96</t>
  </si>
  <si>
    <t>PENSIL DW9022-12</t>
  </si>
  <si>
    <t>PITA JEPANG ROLL MOTIF WOMY</t>
  </si>
  <si>
    <t>PITA JEPANG ROLL POLOS WOMY</t>
  </si>
  <si>
    <t>PITA TARIK/KADO 30 JC</t>
  </si>
  <si>
    <t>PITA TARIK/KADO 30 LS</t>
  </si>
  <si>
    <t>PITA TARIK/KADO 30 LS -1</t>
  </si>
  <si>
    <t>PITA TARIK/KADO 30 TH -1</t>
  </si>
  <si>
    <t>PITA TARIK/KADO 30 THT</t>
  </si>
  <si>
    <t>PITA TARIK/KADO 50 LS -1 RENDA</t>
  </si>
  <si>
    <t>STABILLO 2W HL 221</t>
  </si>
  <si>
    <t>STABILLO CS 2001 COSH</t>
  </si>
  <si>
    <t>STABILLO TF MINI 105</t>
  </si>
  <si>
    <t>STICK NOTE POST A</t>
  </si>
  <si>
    <t>STICKY XTQ（333）</t>
  </si>
  <si>
    <t>TAS 1839-L  (TANGGUNG)</t>
  </si>
  <si>
    <t>TAS 1842-L  (TANGGUNG)</t>
  </si>
  <si>
    <t xml:space="preserve">TAS BATIK T ALPINDO </t>
  </si>
  <si>
    <t>TAS BRANDED BUKA SAMPING BESAR SB-120</t>
  </si>
  <si>
    <t xml:space="preserve">TAS COKLAT TEBAL KECIL </t>
  </si>
  <si>
    <t xml:space="preserve">TAS COKLAT TEBAL TANGGUNG </t>
  </si>
  <si>
    <t xml:space="preserve">TAS KARUNG 40X45 </t>
  </si>
  <si>
    <t>TAS SB-117 PARIS KECIL</t>
  </si>
  <si>
    <t>KOMENTAR VAL</t>
  </si>
  <si>
    <t>KOMENTAR SHER</t>
  </si>
  <si>
    <t>TGL KIRIM?</t>
  </si>
  <si>
    <t>F.PEN-ZH22</t>
  </si>
  <si>
    <t>F.PCA-NB14</t>
  </si>
  <si>
    <t>F.PCA-NB18</t>
  </si>
  <si>
    <t>24-MALANG</t>
  </si>
  <si>
    <t>F.OIL-JK3</t>
  </si>
  <si>
    <t>F.BOL-KN20</t>
  </si>
  <si>
    <t>F.PCA-JK28</t>
  </si>
  <si>
    <t>BARANG TIDAK ADA DI STOCK
(ADA 2 VARIAN YANG DIKIRIM VARIAN 33 &amp; 36, MASING-MASING 12 LSN, UNTUK YANG VARIAN 33 TDK ADA KODE BARANG)</t>
  </si>
  <si>
    <t>OK</t>
  </si>
  <si>
    <t>F.PCA-JK11</t>
  </si>
  <si>
    <t>F.OIL-JK5</t>
  </si>
  <si>
    <t>F.OIL-JK7</t>
  </si>
  <si>
    <t>F.CRA-JK4</t>
  </si>
  <si>
    <t>F.CRA-JK5</t>
  </si>
  <si>
    <t>F.STP-KN12</t>
  </si>
  <si>
    <t>F.TIP-KN56</t>
  </si>
  <si>
    <t>F.ICU-KN5</t>
  </si>
  <si>
    <t>F.PWA-KN15</t>
  </si>
  <si>
    <t>F.PWA-KN12</t>
  </si>
  <si>
    <t>F.BOL-KN55</t>
  </si>
  <si>
    <t>F.OIL-JK9</t>
  </si>
  <si>
    <t>F.BEN-NB3</t>
  </si>
  <si>
    <t>F.BEN-NB1</t>
  </si>
  <si>
    <t>F.BUK-NB2</t>
  </si>
  <si>
    <t>F.BUK-NB1</t>
  </si>
  <si>
    <t>F.KAR-NB2</t>
  </si>
  <si>
    <t>F.KAR-NB3</t>
  </si>
  <si>
    <t>F.KAR-NB4</t>
  </si>
  <si>
    <t>F.KAR-NB5</t>
  </si>
  <si>
    <t>F.PCA-NB5</t>
  </si>
  <si>
    <t>F.PCA-NB16</t>
  </si>
  <si>
    <t>F.PEN-JK6</t>
  </si>
  <si>
    <t>F.PEN-JK7</t>
  </si>
  <si>
    <t>F.BOL-KN25</t>
  </si>
  <si>
    <t>F.BOL-KN30</t>
  </si>
  <si>
    <t>F.KUA-JK3</t>
  </si>
  <si>
    <t>F.BOL-WY54</t>
  </si>
  <si>
    <t>F.STP-KN13</t>
  </si>
  <si>
    <t>F.LEM-KN3</t>
  </si>
  <si>
    <t>F.BOL-KN65</t>
  </si>
  <si>
    <t>F.BOL-KN64</t>
  </si>
  <si>
    <t>F.BOL-KN23</t>
  </si>
  <si>
    <t>F.BOL-KN71</t>
  </si>
  <si>
    <t>BARANG TIDAK ADA DI STOCK
(DARI ORANG GUDANG ADA 2 WARNA : HITAM &amp; BIRU)</t>
  </si>
  <si>
    <t>F.STB-NB13</t>
  </si>
  <si>
    <t>F.PEN-KN26</t>
  </si>
  <si>
    <t>F.IST-GW6</t>
  </si>
  <si>
    <t>F.TIP-KN55</t>
  </si>
  <si>
    <t>F.LEM-KN18</t>
  </si>
  <si>
    <t>F.MES-KN2</t>
  </si>
  <si>
    <t>F.PWA-JK5</t>
  </si>
  <si>
    <t>F.PWA-JK4</t>
  </si>
  <si>
    <t>F.PWA-KN11</t>
  </si>
  <si>
    <t>F.STP-KN14</t>
  </si>
  <si>
    <t>F.STP-KN15</t>
  </si>
  <si>
    <t>MEDIA-CILACAP</t>
  </si>
  <si>
    <t>F.SPA-KN1</t>
  </si>
  <si>
    <t>F.BCL-KN13</t>
  </si>
  <si>
    <t>SATUAN BARANG DI NOTA GRS</t>
  </si>
  <si>
    <t>F.GUN-KN9</t>
  </si>
  <si>
    <t>F.CUT-KN4</t>
  </si>
  <si>
    <t>F.CUT-KN5</t>
  </si>
  <si>
    <t>F.CAL-JK7</t>
  </si>
  <si>
    <t>F.CAL-JK20</t>
  </si>
  <si>
    <t>F.PCA-NB6</t>
  </si>
  <si>
    <t>F.PCA-NB26</t>
  </si>
  <si>
    <t>F.PCA-NB19</t>
  </si>
  <si>
    <t>F.KAR-NB6</t>
  </si>
  <si>
    <t>F.KAR-NB7</t>
  </si>
  <si>
    <t>F.KAR-NB8</t>
  </si>
  <si>
    <t>F.KAR-NB9</t>
  </si>
  <si>
    <t>F.KAR-NB10</t>
  </si>
  <si>
    <t>F.MES-JK1</t>
  </si>
  <si>
    <t>F.OIL-TT14</t>
  </si>
  <si>
    <t>KADAR BUDHI-KROYA</t>
  </si>
  <si>
    <t>F.PEN-KN16</t>
  </si>
  <si>
    <t>F.ICU-KN4</t>
  </si>
  <si>
    <t>F.STI-KN15</t>
  </si>
  <si>
    <t>F.TIP-KN58</t>
  </si>
  <si>
    <t>F.GUN-GN26</t>
  </si>
  <si>
    <t>F.GUN-GN29</t>
  </si>
  <si>
    <t>F.STI-GN7</t>
  </si>
  <si>
    <t>METRO JAYA-KROYA</t>
  </si>
  <si>
    <t>F.STP-KN10</t>
  </si>
  <si>
    <t>F.DIS-KN7</t>
  </si>
  <si>
    <t>F.DIS-JK2</t>
  </si>
  <si>
    <t>F.DIS-JK11</t>
  </si>
  <si>
    <t>F. DIS-JK13</t>
  </si>
  <si>
    <t>F. DIS-JK14</t>
  </si>
  <si>
    <t>F. DIS-JK12</t>
  </si>
  <si>
    <t>F. DIS-JK15</t>
  </si>
  <si>
    <t>F.STA-KN2</t>
  </si>
  <si>
    <t>F.COU-KN1</t>
  </si>
  <si>
    <t>F.CAL-JK18</t>
  </si>
  <si>
    <t>F.CAL-JK19</t>
  </si>
  <si>
    <t>F.OIL-TT13</t>
  </si>
  <si>
    <t>F.OIL-TT15</t>
  </si>
  <si>
    <t>F.STI-JK22</t>
  </si>
  <si>
    <t>F.CAL-JK22</t>
  </si>
  <si>
    <t>BARANG TIDAK ADA DI STOCK
(SISA 7 PCS)</t>
  </si>
  <si>
    <t>ARMADA-PURWOKERTO</t>
  </si>
  <si>
    <t>F.LEM-KN16</t>
  </si>
  <si>
    <t>F.LEM-KN17</t>
  </si>
  <si>
    <t>F.STB-VN11</t>
  </si>
  <si>
    <t>HOKY-GOMBONG</t>
  </si>
  <si>
    <t>F.MES-KN4</t>
  </si>
  <si>
    <t>F.LAB-KN1</t>
  </si>
  <si>
    <t>SATUAN BARANG DI NOTA SLOP</t>
  </si>
  <si>
    <t>F.LAB-KN6</t>
  </si>
  <si>
    <t>2983</t>
  </si>
  <si>
    <t>2982</t>
  </si>
  <si>
    <t>F.IGE-WY2</t>
  </si>
  <si>
    <t>F.MAP-CR4</t>
  </si>
  <si>
    <t>F.MAP-CR7</t>
  </si>
  <si>
    <t>F.MAP-CR5</t>
  </si>
  <si>
    <t>F.MAP-CR9</t>
  </si>
  <si>
    <t>2923</t>
  </si>
  <si>
    <t>SIANA(PECINAN)-MALANG</t>
  </si>
  <si>
    <t>F.ICU-JK2</t>
  </si>
  <si>
    <t>F.PEN-JK3</t>
  </si>
  <si>
    <t>4671</t>
  </si>
  <si>
    <t>MERPATI-MALANG</t>
  </si>
  <si>
    <t>F.BCL-JK8</t>
  </si>
  <si>
    <t>F.OIL-JK6</t>
  </si>
  <si>
    <t>F.LEM-JK9</t>
  </si>
  <si>
    <t>F.BOL-JK74</t>
  </si>
  <si>
    <t>BARANG TIDAK ADA DI STOCK
(BARANG LAMA)</t>
  </si>
  <si>
    <t>F.PWA-JK1</t>
  </si>
  <si>
    <t>F.BOL-JK13</t>
  </si>
  <si>
    <t>F.TIP-KN60</t>
  </si>
  <si>
    <t>F.BOL-KN18</t>
  </si>
  <si>
    <t>F.BOL-KN67</t>
  </si>
  <si>
    <t>F.DIS-KN5</t>
  </si>
  <si>
    <t>F.STP-JK2</t>
  </si>
  <si>
    <t>F.BOL-KN56</t>
  </si>
  <si>
    <t>F.BOL-VN46</t>
  </si>
  <si>
    <t>SBM</t>
  </si>
  <si>
    <t>F.CUT-VN7</t>
  </si>
  <si>
    <t>F.STA-KN1</t>
  </si>
  <si>
    <t>F.CAL-JK10</t>
  </si>
  <si>
    <t>F.IST-SDI3</t>
  </si>
  <si>
    <t>F.PEN-GW21</t>
  </si>
  <si>
    <t>F.PCA-NB23</t>
  </si>
  <si>
    <t>F.DIS-NB10</t>
  </si>
  <si>
    <t>AYP-SOLO</t>
  </si>
  <si>
    <t>F.BOL-KN28</t>
  </si>
  <si>
    <t>F.BOL-KN59</t>
  </si>
  <si>
    <t>F.PWA-JK3</t>
  </si>
  <si>
    <t>SATUAN BARANG DI NOTA LUSIN</t>
  </si>
  <si>
    <t>1 BOX = 2 LUSIN</t>
  </si>
  <si>
    <t>F.BCL-KN16</t>
  </si>
  <si>
    <t>F.BCL-KN15</t>
  </si>
  <si>
    <t>F. BOL-DB385</t>
  </si>
  <si>
    <t>F.PCA-NB17</t>
  </si>
  <si>
    <t>GRAFIKA JEPARA</t>
  </si>
  <si>
    <t>F.BOL-VN42</t>
  </si>
  <si>
    <t>F.PWA-VN8</t>
  </si>
  <si>
    <t>F.MAP-CR6</t>
  </si>
  <si>
    <t>F.BOL-NB3</t>
  </si>
  <si>
    <t>F.STB-NB1</t>
  </si>
  <si>
    <t>BARANG LAMA</t>
  </si>
  <si>
    <t>F.STB-VN12</t>
  </si>
  <si>
    <t>UTAMA-TULUNGAGUNG</t>
  </si>
  <si>
    <t/>
  </si>
  <si>
    <t>F.BOL-VN1</t>
  </si>
  <si>
    <t>F.ORI-AL1</t>
  </si>
  <si>
    <t>F.ORI-AL2</t>
  </si>
  <si>
    <t>F.PLA-PO6</t>
  </si>
  <si>
    <t>BARANG TIDAK ADA DI STOCK
(NOTA FAKTUR)</t>
  </si>
  <si>
    <t>F.PLA-PO7</t>
  </si>
  <si>
    <t>F.PLA-PO8</t>
  </si>
  <si>
    <t>F.GAR-ZX10</t>
  </si>
  <si>
    <t>F.MAP-NB20</t>
  </si>
  <si>
    <t>F.MAP-NB21</t>
  </si>
  <si>
    <t>F.BOL-KN17</t>
  </si>
  <si>
    <t>F.TIP-KN47</t>
  </si>
  <si>
    <t>IRAWAN-PURWOKERTO</t>
  </si>
  <si>
    <t>F.IST-GW7</t>
  </si>
  <si>
    <t>F.BOL-JK12</t>
  </si>
  <si>
    <t>F.PUN-KN8</t>
  </si>
  <si>
    <t>SATUAN BARANG LUSIN</t>
  </si>
  <si>
    <t>1 GRS = 12 LSN</t>
  </si>
  <si>
    <t>F.MAP-CR8</t>
  </si>
  <si>
    <t>F.PCA-NB20</t>
  </si>
  <si>
    <t>F.PCA-NB21</t>
  </si>
  <si>
    <t>F.PCA-NB10</t>
  </si>
  <si>
    <t>F.PCA-NB25</t>
  </si>
  <si>
    <t>F.GAR-NB6</t>
  </si>
  <si>
    <t>F.GAR-NB4</t>
  </si>
  <si>
    <t>F.PWA-JK2</t>
  </si>
  <si>
    <t>F.PEN-KN9</t>
  </si>
  <si>
    <t>F.PEN-KN12</t>
  </si>
  <si>
    <t>F.PEN-KN17</t>
  </si>
  <si>
    <t>F.PEN-KN10</t>
  </si>
  <si>
    <t>F.PEN-KN13</t>
  </si>
  <si>
    <t xml:space="preserve">BARANG TIDAK ADA DI STOCK
(BARANG LAMA) </t>
  </si>
  <si>
    <t>F.OIL-JK10</t>
  </si>
  <si>
    <t>F.OIL-JK8</t>
  </si>
  <si>
    <t>F.OIL-TT17</t>
  </si>
  <si>
    <t>SATUAN BARANG DI NOTA PCS</t>
  </si>
  <si>
    <t>1 BOX = 6 PCS</t>
  </si>
  <si>
    <t>F.PWA-KN20</t>
  </si>
  <si>
    <t>BARANG TIDAK ADA DI STOCK
(CONTOH BARANG SUDAH DIKIRIM)</t>
  </si>
  <si>
    <t>F.GUN-KN5</t>
  </si>
  <si>
    <t>F.GUN-KN7</t>
  </si>
  <si>
    <t>F.BOL-KN19</t>
  </si>
  <si>
    <t>F.LAB-JK3</t>
  </si>
  <si>
    <t>1 PAK = 10 PCS</t>
  </si>
  <si>
    <t>SINKONG-PURWOREJO</t>
  </si>
  <si>
    <t>F.LOO-KN7</t>
  </si>
  <si>
    <t>F.LOO-KN6</t>
  </si>
  <si>
    <t>F.IPE-KN5</t>
  </si>
  <si>
    <t>F.STI-JK23</t>
  </si>
  <si>
    <t>F.STI-KN17</t>
  </si>
  <si>
    <t>F.GUN-GN31</t>
  </si>
  <si>
    <t>F.GUN-JK1</t>
  </si>
  <si>
    <t>F.KUA-JK2</t>
  </si>
  <si>
    <t>F.OIL-TT12</t>
  </si>
  <si>
    <t>F.IPE-JK3</t>
  </si>
  <si>
    <t>PUSTAKA-TUBAN</t>
  </si>
  <si>
    <t>F.PWA-KN13</t>
  </si>
  <si>
    <t>F.OIL-JK4</t>
  </si>
  <si>
    <t>F.PNO-KN3</t>
  </si>
  <si>
    <t>F.GUN-JK2</t>
  </si>
  <si>
    <t>F.GUN-JK4</t>
  </si>
  <si>
    <t>ANUGRAH SEJAHTERA-PURWOKERTO</t>
  </si>
  <si>
    <t>F.BOL-KN35</t>
  </si>
  <si>
    <t>F.STB-KN5</t>
  </si>
  <si>
    <t>F.STB-KN4</t>
  </si>
  <si>
    <t>F.PPI-KN3</t>
  </si>
  <si>
    <t>F.LAB-JK7</t>
  </si>
  <si>
    <t>F.IST-KN1</t>
  </si>
  <si>
    <t>F.STP-JK9</t>
  </si>
  <si>
    <t>F.PEN-ZH20</t>
  </si>
  <si>
    <t>BARANG TIDAK ADA DI STOCK
(MERK ZHONG HUA)</t>
  </si>
  <si>
    <t>F.BUK-KN4</t>
  </si>
  <si>
    <t>F.MIK-VN1</t>
  </si>
  <si>
    <t>F.CLI-KN5</t>
  </si>
  <si>
    <t>F.STI-KN14</t>
  </si>
  <si>
    <t>F.PUN-KN7</t>
  </si>
  <si>
    <t>F.BOL-KN70</t>
  </si>
  <si>
    <t>F.BOL-KN75</t>
  </si>
  <si>
    <t>BARANG TIDAK ADA DI STOCK
(BARANG BARU)</t>
  </si>
  <si>
    <t>F.BOL-KN72</t>
  </si>
  <si>
    <t>BARANG TIDAK ADA DI STOCK
(K-1 MERAH)</t>
  </si>
  <si>
    <t>F.MEC-JK3</t>
  </si>
  <si>
    <t>F.SPI-KN1</t>
  </si>
  <si>
    <t>F.SPI-JK15</t>
  </si>
  <si>
    <t>F.BOL-JK9</t>
  </si>
  <si>
    <t>F.STB-KN10</t>
  </si>
  <si>
    <t>F.PCA-NB7</t>
  </si>
  <si>
    <t>F.BOL-DB396</t>
  </si>
  <si>
    <t>F.COU-KN2</t>
  </si>
  <si>
    <t>F.GUN-KN10</t>
  </si>
  <si>
    <t>F.STP-KN11</t>
  </si>
  <si>
    <t>F.BCL-KN19</t>
  </si>
  <si>
    <t>1 BOX = 0.5 LSN</t>
  </si>
  <si>
    <t>F.CLI-KN6</t>
  </si>
  <si>
    <t>MUDAJAYA-PURWOREJO</t>
  </si>
  <si>
    <t>F.TIP-KN39</t>
  </si>
  <si>
    <t>F.TIP-KN48</t>
  </si>
  <si>
    <t>F.TIP-KN51</t>
  </si>
  <si>
    <t>F.MES-KN3</t>
  </si>
  <si>
    <t>F.PWA-JK7</t>
  </si>
  <si>
    <t>F.SAM-NB2</t>
  </si>
  <si>
    <t>F.BCL-JK7</t>
  </si>
  <si>
    <t>F.CLI-JK2</t>
  </si>
  <si>
    <t>F.CAL-JK5</t>
  </si>
  <si>
    <t>F.PPI-JK1</t>
  </si>
  <si>
    <t>F.BIN-JK22</t>
  </si>
  <si>
    <t>F.BIN-JK43</t>
  </si>
  <si>
    <t>F.BIN-JK23</t>
  </si>
  <si>
    <t>BARANG TIDAK ADA DI STOCK
(BARANG DATANG LANGSUNG KIRIM TOKO)</t>
  </si>
  <si>
    <t>F.BIN-JK19</t>
  </si>
  <si>
    <t>F.BIN-JK24</t>
  </si>
  <si>
    <t>F.LEM-JK14</t>
  </si>
  <si>
    <t>1 BOX = 24 PCS</t>
  </si>
  <si>
    <t>F.STP-JK1</t>
  </si>
  <si>
    <t>F.CAL-JK11</t>
  </si>
  <si>
    <t>BARANG TIDAK ADA DI STOCK</t>
  </si>
  <si>
    <t>F.CAL-JK9</t>
  </si>
  <si>
    <t>MAS TEGUH(PASTI BISA)-PURWODADI</t>
  </si>
  <si>
    <t>F.TIP-JK17</t>
  </si>
  <si>
    <t>F.STI-JK20</t>
  </si>
  <si>
    <t>F.PUN-JK2</t>
  </si>
  <si>
    <t>F.CUT-JK2</t>
  </si>
  <si>
    <t>107-MALANG</t>
  </si>
  <si>
    <t>F.TBO-JK2</t>
  </si>
  <si>
    <t>F. DIS-JK16</t>
  </si>
  <si>
    <t>F.CAL-JK3</t>
  </si>
  <si>
    <t>F.CAL-JK14</t>
  </si>
  <si>
    <t>F.CAL-JK15</t>
  </si>
  <si>
    <t>F.CAL-JK16</t>
  </si>
  <si>
    <t>F.CAL-JK12</t>
  </si>
  <si>
    <t>F.CAL-JK13</t>
  </si>
  <si>
    <t>F.STP-JK6</t>
  </si>
  <si>
    <t>F.IPE-JK4</t>
  </si>
  <si>
    <t>F.TIP-KN53</t>
  </si>
  <si>
    <t>F.OIL-TT16</t>
  </si>
  <si>
    <t>F.BUK-KN5</t>
  </si>
  <si>
    <t>BARANG TIDAK ADA DI STOCK
(BARANG BARU) 7 MAY 2024</t>
  </si>
  <si>
    <t>F.BUK-KN6</t>
  </si>
  <si>
    <t>F.LOO-JA2</t>
  </si>
  <si>
    <t>F.PFA-JK1</t>
  </si>
  <si>
    <t>F.BOL-JK69</t>
  </si>
  <si>
    <t>F.BOL-JK7</t>
  </si>
  <si>
    <t>F.NOT-JK1</t>
  </si>
  <si>
    <t>F.NOT-JK2</t>
  </si>
  <si>
    <t>F.NOT-JK3</t>
  </si>
  <si>
    <t>F.NOT-JK4</t>
  </si>
  <si>
    <t>F.TIP-KN57</t>
  </si>
  <si>
    <t>F.BOL-TF49</t>
  </si>
  <si>
    <t>F.BEN-NB2</t>
  </si>
  <si>
    <t>F.GAR-NB3</t>
  </si>
  <si>
    <t>F.MAP-NB30</t>
  </si>
  <si>
    <t>F.BOL-KN37</t>
  </si>
  <si>
    <t>F.BOL-KN38</t>
  </si>
  <si>
    <t>F.BOL-KN39</t>
  </si>
  <si>
    <t>F.BOL-JK5</t>
  </si>
  <si>
    <t>F.LEM-KN5</t>
  </si>
  <si>
    <t>F.BCL-JK3</t>
  </si>
  <si>
    <t>F.ASA-KN2</t>
  </si>
  <si>
    <t>F.PUN-KN6</t>
  </si>
  <si>
    <t>F.STB-JK19</t>
  </si>
  <si>
    <t>F.PWA-KN14</t>
  </si>
  <si>
    <t>F.BCL-KN12</t>
  </si>
  <si>
    <t>F.BCL-KN14</t>
  </si>
  <si>
    <t>F.SAM-NB3</t>
  </si>
  <si>
    <t>F.SAM-NB1</t>
  </si>
  <si>
    <t>F.TIP-KN59</t>
  </si>
  <si>
    <t>F.TIP-KN54</t>
  </si>
  <si>
    <t>F.TIP-KN52</t>
  </si>
  <si>
    <t>F.CAL-JK6</t>
  </si>
  <si>
    <t>F.PCA-NB29</t>
  </si>
  <si>
    <t>BARU ATAU LAMA?</t>
  </si>
  <si>
    <t>F.PCA-NB24</t>
  </si>
  <si>
    <t>F.PCA-NB9</t>
  </si>
  <si>
    <t>F.PCA-KN3</t>
  </si>
  <si>
    <t>F.PLA-KN2</t>
  </si>
  <si>
    <t>F.PLA-KN1</t>
  </si>
  <si>
    <t>MONEY COUNTER MACHINE JK MCM-2</t>
  </si>
  <si>
    <t>DIPAKAI SENDIRI</t>
  </si>
  <si>
    <t>F.BOL-JK77</t>
  </si>
  <si>
    <t>F.BOL-JK63</t>
  </si>
  <si>
    <t>F.CLI-KN7</t>
  </si>
  <si>
    <t>F.PUN-KN10</t>
  </si>
  <si>
    <t>F.CUT-GN10</t>
  </si>
  <si>
    <t>F.CUT-GN9</t>
  </si>
  <si>
    <t>SATUAN BARANG DI NOTA PAK</t>
  </si>
  <si>
    <t>F.LOO-KN8</t>
  </si>
  <si>
    <t>1 BOX =1 GRS</t>
  </si>
  <si>
    <t>F.STB-KN7</t>
  </si>
  <si>
    <t>F.STB-KN3</t>
  </si>
  <si>
    <t>F.BOL-KN73</t>
  </si>
  <si>
    <t>BARANG TIDAK ADA DI STOCK
(BARANG BARU) 10 MAY 2024</t>
  </si>
  <si>
    <t>F.CLI-KN8</t>
  </si>
  <si>
    <t>F.GUN-GN21</t>
  </si>
  <si>
    <t>F.GUN-GN27</t>
  </si>
  <si>
    <t>F.PCA-NB15</t>
  </si>
  <si>
    <t>CV. SINAR CAHAYA NIRMALA-BREBES</t>
  </si>
  <si>
    <t>F.BEN-NB4</t>
  </si>
  <si>
    <t>F.BEN-NB5</t>
  </si>
  <si>
    <t>F.MAP-NB3</t>
  </si>
  <si>
    <t>SATUAN BARANG DI NOTA LSN</t>
  </si>
  <si>
    <t>F.BOL-JK8</t>
  </si>
  <si>
    <t>RENI(JATIMULYO)-KEBUMEN</t>
  </si>
  <si>
    <t>F.BCL-KN18</t>
  </si>
  <si>
    <t>SATUAN BARANG DI NOTA SET</t>
  </si>
  <si>
    <t>12 SET=1 LSN</t>
  </si>
  <si>
    <t>F.PWA-KN24</t>
  </si>
  <si>
    <t>1 BOX =6 PCS</t>
  </si>
  <si>
    <t>F.SPA-KN2</t>
  </si>
  <si>
    <t>1 BOX = 12 LSN</t>
  </si>
  <si>
    <t>F.LOO-NB10</t>
  </si>
  <si>
    <t>F.GAR-NB5</t>
  </si>
  <si>
    <t>F.PCA-NB30</t>
  </si>
  <si>
    <t>F.BOL-VC79</t>
  </si>
  <si>
    <t>BARANG LAMA/BARU?</t>
  </si>
  <si>
    <t>F.BOL-KN80</t>
  </si>
  <si>
    <t>F.JAN-KN12</t>
  </si>
  <si>
    <t>F.TIP-KN49</t>
  </si>
  <si>
    <t>F.MAP-NB10</t>
  </si>
  <si>
    <t>F.OIL-KN18</t>
  </si>
  <si>
    <t>F.BOL-KN40</t>
  </si>
  <si>
    <t>F.BCL-KN11</t>
  </si>
  <si>
    <t>F. DST-KN1</t>
  </si>
  <si>
    <t>F.BOL-JK78</t>
  </si>
  <si>
    <t>BARANG LAMA/BARU</t>
  </si>
  <si>
    <t>F.PFA-KN2</t>
  </si>
  <si>
    <t>F.IST-SDI8</t>
  </si>
  <si>
    <t>F.BOL-NB2</t>
  </si>
  <si>
    <t>F.BOL-KN27</t>
  </si>
  <si>
    <t>F.DIS-KN4</t>
  </si>
  <si>
    <t>F.STI-JK19</t>
  </si>
  <si>
    <t>F.MEC-KN1</t>
  </si>
  <si>
    <t>1 BOX=1 GRS</t>
  </si>
  <si>
    <t>SUKSES MAKMUR(INTAN)-COMAL</t>
  </si>
  <si>
    <t>F.PWA-KN9</t>
  </si>
  <si>
    <t>F.LEM-LG6</t>
  </si>
  <si>
    <t>F.JAN-JK1</t>
  </si>
  <si>
    <t>F.JAN-JK3</t>
  </si>
  <si>
    <t>F.BIN-JK38</t>
  </si>
  <si>
    <t>F.BIN-JK39</t>
  </si>
  <si>
    <t>F.BIN-JK40</t>
  </si>
  <si>
    <t>F.BIN-JK20</t>
  </si>
  <si>
    <t>ATLANTIK-PONOROGO</t>
  </si>
  <si>
    <t>F.MAP-NB1</t>
  </si>
  <si>
    <t>F.CAL-JK17</t>
  </si>
  <si>
    <t>F.CAL-JK23</t>
  </si>
  <si>
    <t>F.CAL-JK25</t>
  </si>
  <si>
    <t>F.CAL-JK24</t>
  </si>
  <si>
    <t>BARANG TIDAK ADA DI STOCK 
(BARANG LAMA)</t>
  </si>
  <si>
    <t>UD MEDIA FC-KUDUS</t>
  </si>
  <si>
    <t>F.MIK-JK3</t>
  </si>
  <si>
    <t>F.GUN-GN22</t>
  </si>
  <si>
    <t>RINGAN-TULUNGAGUNG</t>
  </si>
  <si>
    <t>-</t>
  </si>
  <si>
    <t>F.BOL-TZ346</t>
  </si>
  <si>
    <t>F.TIP-KN43</t>
  </si>
  <si>
    <t>GUNTING GUNINDO OMM GR19</t>
  </si>
  <si>
    <t>F.LAB-JK8</t>
  </si>
  <si>
    <t>LABEL STICKER PAPER JK LSP-09</t>
  </si>
  <si>
    <t>BARANG DATANG LANGSUNG KIRIM TOKO</t>
  </si>
  <si>
    <t>SUMUR BOTO-TEMBALANG</t>
  </si>
  <si>
    <t>F.PWA-KN22</t>
  </si>
  <si>
    <t>PW KENKO METALLIC 12W CP-12FMC CLASSIC</t>
  </si>
  <si>
    <t>BARANG BARU</t>
  </si>
  <si>
    <t>F.PWA-KN21</t>
  </si>
  <si>
    <t>PW KENKO BICOLOR 12W NMCP-12FBC</t>
  </si>
  <si>
    <t>F.PWA-KN23</t>
  </si>
  <si>
    <t>PW KENKO 12W NEON COLOR PENCIL NCP-12C</t>
  </si>
  <si>
    <t>PW KENKO CP-12F SANDY BEAR</t>
  </si>
  <si>
    <t>F.PWA-KN19</t>
  </si>
  <si>
    <t>F.PWA-KN26</t>
  </si>
  <si>
    <t>PW KENKO BI-COLOR 24W CP-24FBC CLASSIC</t>
  </si>
  <si>
    <t>F.BOL-KN76</t>
  </si>
  <si>
    <t>F.CAL-JK21</t>
  </si>
  <si>
    <t>MAS TEGUH(ATK PASTI BISA)-PURWODADI</t>
  </si>
  <si>
    <t>F.STP-SDI17</t>
  </si>
  <si>
    <t>F.STP-SDI18</t>
  </si>
  <si>
    <t>F.LOO-NB11</t>
  </si>
  <si>
    <t>F.LAB-JK5</t>
  </si>
  <si>
    <t>F.BCL-JK10</t>
  </si>
  <si>
    <t>F.GAR-KN2</t>
  </si>
  <si>
    <t>BP GEL KENKO K-5</t>
  </si>
  <si>
    <t>F.BOL-KN51</t>
  </si>
  <si>
    <t>BP GEL KENKO EASY 0.3</t>
  </si>
  <si>
    <t>F.STP-NB8</t>
  </si>
  <si>
    <t>F.PUN-KN11</t>
  </si>
  <si>
    <t>F.CRA-JK6</t>
  </si>
  <si>
    <t>F.BOL-TZ334</t>
  </si>
  <si>
    <t>F.CAL-JK8</t>
  </si>
  <si>
    <t>RENI(JATI MULYO)-KEBUMEN</t>
  </si>
  <si>
    <t>F.CUT-VN8</t>
  </si>
  <si>
    <t>F.PFA-JK4</t>
  </si>
  <si>
    <t>F.CAL-JK4</t>
  </si>
  <si>
    <t>F.GUN-GN32</t>
  </si>
  <si>
    <t>F.LAB-JK2</t>
  </si>
  <si>
    <t>F.BOL-KN24</t>
  </si>
  <si>
    <t>F.BIN-JK28</t>
  </si>
  <si>
    <t>F.BIN-JK25</t>
  </si>
  <si>
    <t>F.BIN-JK29</t>
  </si>
  <si>
    <t>F.BIN-JK26</t>
  </si>
  <si>
    <t>F.BIN-JK31</t>
  </si>
  <si>
    <t>F.BOL-TZ333</t>
  </si>
  <si>
    <t>F.PWA-KN18</t>
  </si>
  <si>
    <t>STABILLO JK HL-46</t>
  </si>
  <si>
    <t>F.BCL-JK6</t>
  </si>
  <si>
    <t>BENGAWAN MULTI TRENDING(LUWES)-PATI</t>
  </si>
  <si>
    <t>AZIS-KARANGANYAR</t>
  </si>
  <si>
    <t>BINA ILMU-SINGOSARI</t>
  </si>
  <si>
    <t>F.CUT-JK1</t>
  </si>
  <si>
    <t>STABILLO TY-SP 28</t>
  </si>
  <si>
    <t>F.DIS-JK6</t>
  </si>
  <si>
    <t>F.JAN-JK4</t>
  </si>
  <si>
    <t>DHIAN-BANJARNEGARA</t>
  </si>
  <si>
    <t>INDOBARU-TEMANGGUNG</t>
  </si>
  <si>
    <t>SISWA-PURBALINGGA</t>
  </si>
  <si>
    <t>MAS FAJRUL(MEDIA NAKULA)-KUDUS</t>
  </si>
  <si>
    <t>UTAMA-TULUNG AGUNG</t>
  </si>
  <si>
    <t>ASAHAN KENKO SP-71 S KECIL</t>
  </si>
  <si>
    <t>BENSIA SF 9925 A PLUIT (1 box=24 pcs)</t>
  </si>
  <si>
    <t>BENSIA SF 9925 B TANGAN (1 box=24 pcs)</t>
  </si>
  <si>
    <t>BENSIA SF 9925 C GARPU SENDOK (1 box=24 pcs)</t>
  </si>
  <si>
    <t>BENSIA SF 9927 W KINCIR</t>
  </si>
  <si>
    <t>BENSIA SF-9939 A DADU (1 box=32 pcs)</t>
  </si>
  <si>
    <t>BINDER CLIP JK 107</t>
  </si>
  <si>
    <t>BINDER CLIP JK 155</t>
  </si>
  <si>
    <t>BINDER CLIP JK 200</t>
  </si>
  <si>
    <t>BINDER CLIP JK 260</t>
  </si>
  <si>
    <t>BINDER CLIP JK 300</t>
  </si>
  <si>
    <t>BINDER CLIP KENKO NO. 105</t>
  </si>
  <si>
    <t>BINDER CLIP KENKO NO. 107</t>
  </si>
  <si>
    <t>BINDER CLIP KENKO NO. 111</t>
  </si>
  <si>
    <t>BINDER CLIP KENKO NO. 155</t>
  </si>
  <si>
    <t>BINDER CLIP KENKO NO. 200</t>
  </si>
  <si>
    <t>BINDER CLIP KENKO NO. 260</t>
  </si>
  <si>
    <t>BINDER CLIP KENKO NO. 280 (6PCS/BOX)</t>
  </si>
  <si>
    <t>BINDER CLIP KENKO NO. 300 (6PCS/BOX)</t>
  </si>
  <si>
    <t>BINDER JK TSAC-524 A5 ANIMAL FACE</t>
  </si>
  <si>
    <t>BINDER JK TSAC-M129 B5 ACADEMY</t>
  </si>
  <si>
    <t>BINDER JK TSAC-M477 A5</t>
  </si>
  <si>
    <t>BINDER JK TSAF-F511 A5 ANIMAL FACE</t>
  </si>
  <si>
    <t>BINDER JK TSAT-145 B5</t>
  </si>
  <si>
    <t>BINDER JK TSCL-M474 A5</t>
  </si>
  <si>
    <t>BINDER JK TSCL-M491 A5 COLLEGE</t>
  </si>
  <si>
    <t>BINDER JK TSFC-M132 B5 FACULTY</t>
  </si>
  <si>
    <t>BINDER JK TSIM-M114 B5 IMAGE</t>
  </si>
  <si>
    <t>BINDER JK TSKD-142 B5 KINDNESS</t>
  </si>
  <si>
    <t>BINDER JK TSSD-523 A5 SWEET DAY</t>
  </si>
  <si>
    <t>BINDER JK TSSR-M498 A5 SPIRIT</t>
  </si>
  <si>
    <t>BINDER JK TSTP-513 A5 TEMPORARY</t>
  </si>
  <si>
    <t>BINDER JK TSVY-522 A5 VOYAGE TO THE SEA</t>
  </si>
  <si>
    <t>BK KAS FOLIO</t>
  </si>
  <si>
    <t>BK KAS KWARTO</t>
  </si>
  <si>
    <t>BP AODM 010</t>
  </si>
  <si>
    <t>BP AODM 011</t>
  </si>
  <si>
    <t>BP GEL JK GP-266 ITECH BIRU</t>
  </si>
  <si>
    <t>BP GEL KENKO 3 IN 1 GP-30</t>
  </si>
  <si>
    <t>BP GEL KENKO EASY BIRU</t>
  </si>
  <si>
    <t>BP GEL KENKO EASY HITAM</t>
  </si>
  <si>
    <t>BP GEL KENKO EASY KLIK HITAM</t>
  </si>
  <si>
    <t>BP GEL KENKO K-1 MERAH</t>
  </si>
  <si>
    <t>BP GEL KENKO K-80 HITAM</t>
  </si>
  <si>
    <t>BP GEL KENKO KE 303 MERAH</t>
  </si>
  <si>
    <t>BP GEL KENKO KS-97 BIRU</t>
  </si>
  <si>
    <t>BP GEL VANCO VC-8005</t>
  </si>
  <si>
    <t>BP GEL WEIYADA 681 BIRU</t>
  </si>
  <si>
    <t>BP JK 224</t>
  </si>
  <si>
    <t>BP JK 249</t>
  </si>
  <si>
    <t xml:space="preserve">BP JK 254 MORA HITAM </t>
  </si>
  <si>
    <t>BP JK BP-241 HITAM</t>
  </si>
  <si>
    <t>BP JK BP-338 VOCUS HITAM</t>
  </si>
  <si>
    <t>BP JK BP-349-12 VOKUS TRANS HITAM</t>
  </si>
  <si>
    <t>BP JK GP-265 BIRU</t>
  </si>
  <si>
    <t>BP JK GP-265 HITAM</t>
  </si>
  <si>
    <t>BP JK GP-330 HITAM</t>
  </si>
  <si>
    <t>BP JK SPIRAL P5 BP 150</t>
  </si>
  <si>
    <t>BP KENKO 4 IN 1 BP-418</t>
  </si>
  <si>
    <t>BP KENKO FUN GEL HITAM</t>
  </si>
  <si>
    <t>BP KENKO HI-TECH 0.28MM BIRU</t>
  </si>
  <si>
    <t>BP KENKO HI-TECH 0.28MM HITAM</t>
  </si>
  <si>
    <t>BP KENKO K-1 BIRU</t>
  </si>
  <si>
    <t>BP KENKO K-1 ECO BIRU</t>
  </si>
  <si>
    <t>BP KENKO K-1 ECO HITAM</t>
  </si>
  <si>
    <t>BP KENKO K-1 ECO MERAH</t>
  </si>
  <si>
    <t>BP KENKO K-1 HITAM</t>
  </si>
  <si>
    <t>BP KENKO K-1 MINI HITAM</t>
  </si>
  <si>
    <t>BP KENKO KE-100 HITAM</t>
  </si>
  <si>
    <t>BP KENKO KE-200 HITAM</t>
  </si>
  <si>
    <t>BP KENKO KE-303 T-GEL BIRU</t>
  </si>
  <si>
    <t>BP KENKO KE-303 T-GEL HITAM</t>
  </si>
  <si>
    <t>BP KENKO MICROTEC 0.28 HITAM</t>
  </si>
  <si>
    <t>BP KENKO NK-7B HITAM</t>
  </si>
  <si>
    <t>BP KENKO PU 2 HT</t>
  </si>
  <si>
    <t>BP KENKO PU 3 HT</t>
  </si>
  <si>
    <t>BP KENKO PU 4 HT</t>
  </si>
  <si>
    <t>BP KENKO SG-1 SNOW GEL HITAM</t>
  </si>
  <si>
    <t>BP KENKO VOJI N-7</t>
  </si>
  <si>
    <t>BP TZ 501 HITAM</t>
  </si>
  <si>
    <t>BP VANCO 1609</t>
  </si>
  <si>
    <t>BP VANCO VC 6201 4W</t>
  </si>
  <si>
    <t>BP VANCO VC-559 0.28 HT</t>
  </si>
  <si>
    <t>BT KENKO BT-2920-01 KEMBANG</t>
  </si>
  <si>
    <t>BT KENKO BT-2920-BTK 02 BATIK</t>
  </si>
  <si>
    <t>BT KENKO BT-3224-BTK BATIK</t>
  </si>
  <si>
    <t>CALCULATOR JK CC 36</t>
  </si>
  <si>
    <t>CALCULATOR JK CC-12 CO BIRU</t>
  </si>
  <si>
    <t>CALCULATOR JK CC-12 CO HIJAU</t>
  </si>
  <si>
    <t>CALCULATOR JK CC-12 CO ORANGE</t>
  </si>
  <si>
    <t>CALCULATOR JK CC-15A</t>
  </si>
  <si>
    <t>CALCULATOR JK CC-19 A</t>
  </si>
  <si>
    <t>CALCULATOR JK CC-2</t>
  </si>
  <si>
    <t>CALCULATOR JK CC-23</t>
  </si>
  <si>
    <t>CALCULATOR JK CC-23 CO</t>
  </si>
  <si>
    <t>CALCULATOR JK CC-25</t>
  </si>
  <si>
    <t>CALCULATOR JK CC-35</t>
  </si>
  <si>
    <t>CALCULATOR JK CC-41</t>
  </si>
  <si>
    <t>CALCULATOR JK CC-45</t>
  </si>
  <si>
    <t>CALCULATOR JK CC-47 CO</t>
  </si>
  <si>
    <t>CALCULATOR JK CC-8 A</t>
  </si>
  <si>
    <t>CALCULATOR JK CC-8 CO BIRU</t>
  </si>
  <si>
    <t>CALCULATOR JK CC-8 CO HIJAU</t>
  </si>
  <si>
    <t>CALCULATOR JK CC-8 CO ORANGE</t>
  </si>
  <si>
    <t>CALCULATOR JK CC-800 CH</t>
  </si>
  <si>
    <t>CALCULATOR JK CC-868</t>
  </si>
  <si>
    <t>CALCULATOR JK DTC-1313 CH</t>
  </si>
  <si>
    <t>CALCULATOR JK DTC-1516</t>
  </si>
  <si>
    <t>CALCULATOR JK PKC-0711 HC</t>
  </si>
  <si>
    <t>CLIP KENKO NO. 5 JUMBO</t>
  </si>
  <si>
    <t>CLIP TRIGONAL JK NO. 1</t>
  </si>
  <si>
    <t>CLIP TRIGONAL KENKO NO. 1</t>
  </si>
  <si>
    <t>CLIP TRIGONAL KENKO NO. 3</t>
  </si>
  <si>
    <t>COLOR CLIP KENKO 3100</t>
  </si>
  <si>
    <t>COUNTER HAND TALLY KENKO HT-302</t>
  </si>
  <si>
    <t>COUNTER HAND TALLY KENKO HT-303</t>
  </si>
  <si>
    <t>CRAYON PUTAR JK 12W PANJANG</t>
  </si>
  <si>
    <t>CRAYON PUTAR JK 12W PENDEK/MINI</t>
  </si>
  <si>
    <t>CRAYON PUTAR JK 24W PANJANG</t>
  </si>
  <si>
    <t>CUTTER GUNINDO A 18 TRANS</t>
  </si>
  <si>
    <t>CUTTER GUNINDO SC08-C9A PUTIH</t>
  </si>
  <si>
    <t>CUTTER JK A-300A (AUTOLOCK)</t>
  </si>
  <si>
    <t>CUTTER JK L-500+ISI</t>
  </si>
  <si>
    <t>CUTTER KENKO A-300</t>
  </si>
  <si>
    <t>CUTTER KENKO K-200</t>
  </si>
  <si>
    <t>CUTTER VANCO KECIL 128 TRANS</t>
  </si>
  <si>
    <t>CUTTER VANCO V750</t>
  </si>
  <si>
    <t>DATE STAMP KENKO D-4 4MM</t>
  </si>
  <si>
    <t>DESK SET JK DS 0812</t>
  </si>
  <si>
    <t xml:space="preserve">DISPENSER MN-305 POLAR BEAR </t>
  </si>
  <si>
    <t>DOUBLE FOAM POLAR SP 015</t>
  </si>
  <si>
    <t>DOUBLE FOAM POLAR SP 016</t>
  </si>
  <si>
    <t>DOUBLE FOAM POLAR SP 017</t>
  </si>
  <si>
    <t>GARISAN BESI KENKO 30 CM</t>
  </si>
  <si>
    <t>GARISAN SET HZ-5012</t>
  </si>
  <si>
    <t>GARISAN SET HZ-5013</t>
  </si>
  <si>
    <t>GARISAN SET PS-9810</t>
  </si>
  <si>
    <t>GARISAN SET ZO-239</t>
  </si>
  <si>
    <t>GARISAN SET ZX 6116</t>
  </si>
  <si>
    <t>GUNTING GUNINDO HB-75</t>
  </si>
  <si>
    <t>GUNTING GUNINDO OLL GR16</t>
  </si>
  <si>
    <t>GUNTING GUNINDO OSS GR15</t>
  </si>
  <si>
    <t>GUNTING GUNINDO SPM COKLAT</t>
  </si>
  <si>
    <t>GUNTING JK SC-828</t>
  </si>
  <si>
    <t>GUNTING JK SC-838</t>
  </si>
  <si>
    <t>GUNTING JK SC-848</t>
  </si>
  <si>
    <t>GUNTING KENKO SC 838 N</t>
  </si>
  <si>
    <t>GUNTING KENKO SC 848 SG</t>
  </si>
  <si>
    <t>GUNTING KENKO SC-828</t>
  </si>
  <si>
    <t>GUNTING KENKO SC-848N</t>
  </si>
  <si>
    <t>ISI CUTTER JK L-150 AM BESAR</t>
  </si>
  <si>
    <t>ISI CUTTER KENKO A-100 KECIL</t>
  </si>
  <si>
    <t>ISI CUTTER KENKO L-150 BESAR</t>
  </si>
  <si>
    <t>ISI GEL WEIYADA 681</t>
  </si>
  <si>
    <t>ISI PENSIL JK PL-11 (2.0)</t>
  </si>
  <si>
    <t>ISI PENSIL JK PL-16 (2.0)</t>
  </si>
  <si>
    <t>ISI PENSIL KENKO PL-05 2B HI-POLYMER</t>
  </si>
  <si>
    <t>ISI STAPLER (STAPLES) KENKO 1210</t>
  </si>
  <si>
    <t>ISI STAPLER GW NO. 10</t>
  </si>
  <si>
    <t>ISI STAPLER GW NO. 369</t>
  </si>
  <si>
    <t>ISI STAPLER SDI 1210 (23/10)</t>
  </si>
  <si>
    <t>ISI STAPLER SDI 1213</t>
  </si>
  <si>
    <t>JANGKA SET JK MS-25</t>
  </si>
  <si>
    <t>JANGKA SET JK MS-55</t>
  </si>
  <si>
    <t>JANGKA SET JK MS-75</t>
  </si>
  <si>
    <t>JANGKA SET KENKO C-528</t>
  </si>
  <si>
    <t>KARTU STOCK FOLIO BIRU</t>
  </si>
  <si>
    <t>KARTU STOCK FOLIO HIJAU</t>
  </si>
  <si>
    <t>KARTU STOCK FOLIO KUNING</t>
  </si>
  <si>
    <t>KARTU STOCK FOLIO PINK</t>
  </si>
  <si>
    <t>KARTU STOCK FOLIO PUTIH</t>
  </si>
  <si>
    <t>KARTU STOCK KWARTO BIRU</t>
  </si>
  <si>
    <t>KARTU STOCK KWARTO HIJAU</t>
  </si>
  <si>
    <t>KARTU STOCK KWARTO KUNING</t>
  </si>
  <si>
    <t>KARTU STOCK KWARTO PINK</t>
  </si>
  <si>
    <t>KARTU STOCK KWARTO PUTIH</t>
  </si>
  <si>
    <t>KERTAS LIPAT ORIGAMI 14 X 14 ALFA</t>
  </si>
  <si>
    <t>KERTAS LIPAT ORIGAMI 16 X 16 ALFA</t>
  </si>
  <si>
    <t>KUAS SET JK BR-1</t>
  </si>
  <si>
    <t>KUAS SET JK BR-8</t>
  </si>
  <si>
    <t>LABEL HARGA KENKO 6001-2R (1 LINE)</t>
  </si>
  <si>
    <t>LABEL JK LB-1LY 1 LINE KUNING</t>
  </si>
  <si>
    <t>LABEL JK LB-2RL 1 BARIS PUTIH</t>
  </si>
  <si>
    <t>LABEL JK LB-3 (2 BARIS, YELLOW, FLOUR)</t>
  </si>
  <si>
    <t>LABEL JK LB-P2LN 2 LINE PUTIH</t>
  </si>
  <si>
    <t>LABEL KENKO 5002 (2 LINE)</t>
  </si>
  <si>
    <t>LAMINATING FILM JK LF100-2234 (F4)</t>
  </si>
  <si>
    <t>LEM JK GL-R50</t>
  </si>
  <si>
    <t>LEM KENKO LG-50</t>
  </si>
  <si>
    <t>LEM LIQUID KENKO LG-35 (35 ML)</t>
  </si>
  <si>
    <t>LEM STICK JK GS-104 (ANIMAL KINGDOM)</t>
  </si>
  <si>
    <t>LEM STICK KENKO 15GR TANGGUNG</t>
  </si>
  <si>
    <t>LEM STICK KENKO 25GR BESAR</t>
  </si>
  <si>
    <t>LEM STICK KENKO 8GR KECIL</t>
  </si>
  <si>
    <t>LEM SUPER KENKO SG-03 A</t>
  </si>
  <si>
    <t xml:space="preserve">LOOSE LEAF A5/ 40 POLOS </t>
  </si>
  <si>
    <t xml:space="preserve">LOOSE LEAF B5/ 40 POLOS </t>
  </si>
  <si>
    <t>LOOSE LEAF JA B5 50</t>
  </si>
  <si>
    <t>LOOSE LEAF KENKO 100-2070 A5</t>
  </si>
  <si>
    <t>LOOSE LEAF KENKO 100-2670 B5</t>
  </si>
  <si>
    <t>LOOSE LEAF KENKO A5 50</t>
  </si>
  <si>
    <t>MAP DLL-204 SA (A4)</t>
  </si>
  <si>
    <t>MAP DLL-229</t>
  </si>
  <si>
    <t>MAP DOC BAG 2541 JARING B6</t>
  </si>
  <si>
    <t>MAP DOC BAG 2542 JARING A5</t>
  </si>
  <si>
    <t>MAP DOC BAG 2543 JARING A4</t>
  </si>
  <si>
    <t>MAP DOC BAG T-518 (33X23) A4</t>
  </si>
  <si>
    <t>MAP DOC BAG T-618 (28X21) B5</t>
  </si>
  <si>
    <t>MAP DOC BAG+HANDLE 2544 JARING B6</t>
  </si>
  <si>
    <t>MAP DOC BAG+HANDLE 2545 JARING A5</t>
  </si>
  <si>
    <t>MAP DOC BAG+HANDLE 2546 JARING A4</t>
  </si>
  <si>
    <t>MAP DOC BAG+HANDLE 9381</t>
  </si>
  <si>
    <t>MAP KANCING YJ2201-1935/1937</t>
  </si>
  <si>
    <t>MECHPEN JK MP 19</t>
  </si>
  <si>
    <t>MECHPEN KENKO MP-07 (0.5MM)</t>
  </si>
  <si>
    <t>MESIN LABEL HARGA JK MX-5500 M</t>
  </si>
  <si>
    <t>MESIN LABEL HARGA KENKO MX-5500</t>
  </si>
  <si>
    <t>MESIN LABEL HARGA KENKO MX-5500 EOS</t>
  </si>
  <si>
    <t>MESIN LABEL HARGA KENKO MX-6600 A</t>
  </si>
  <si>
    <t>MIKA LAMINATING VANCO LF-100 FOLIO</t>
  </si>
  <si>
    <t>NOTEBOOK JK NB-680 HIJAU PASTEL</t>
  </si>
  <si>
    <t>NOTEBOOK JK NB-680 KUNING PASTEL</t>
  </si>
  <si>
    <t>NOTEBOOK JK NB-680 ORANGE PASTEL</t>
  </si>
  <si>
    <t>NOTEBOOK JK NB-680 UNGU PASTEL</t>
  </si>
  <si>
    <t>OIL PASTEL JK 12W OP-12CH HEXAGONAL</t>
  </si>
  <si>
    <t>OIL PASTEL JK OP-12S PP CASE SEA WORLD</t>
  </si>
  <si>
    <t>OIL PASTEL JK OP-18S PP CASE SEA WORLD</t>
  </si>
  <si>
    <t>OIL PASTEL JK OP-24S PP CASE SEA WORLD</t>
  </si>
  <si>
    <t>OIL PASTEL JK OP-36S PP CASE SEA WORLD</t>
  </si>
  <si>
    <t>OIL PASTEL JK OP-48S PP CASE SEA WORLD</t>
  </si>
  <si>
    <t>OIL PASTEL JK OP-55 S PP CASE SEA WORLD</t>
  </si>
  <si>
    <t>OIL PASTEL JK OP-72S PP CASE SEA WORLD</t>
  </si>
  <si>
    <t>OIL PASTEL KENKO 12C KOP</t>
  </si>
  <si>
    <t>OIL PASTEL TITI 12W TI-P-12S</t>
  </si>
  <si>
    <t>OIL PASTEL TITI 18W TI-P-18S</t>
  </si>
  <si>
    <t>OIL PASTEL TITI 24W TI-P-24S</t>
  </si>
  <si>
    <t>OIL PASTEL TITI 36W TI-P-36 S</t>
  </si>
  <si>
    <t>OIL PASTEL TITI 48W TI-P-48S</t>
  </si>
  <si>
    <t>OIL PASTEL TITI 55W TI-P-55 S</t>
  </si>
  <si>
    <t>PAPER FASTENER JK PF-50 PUTIH</t>
  </si>
  <si>
    <t>PAPER FASTENER JK PF-50 WARNA</t>
  </si>
  <si>
    <t>PAPER FASTENER KENKO PF-508 WARNA</t>
  </si>
  <si>
    <t>PC JK PC-0719AC-36A/F ANIMAL CALENDER</t>
  </si>
  <si>
    <t>PC JK PC-0719TV-33A/F TRAVEL</t>
  </si>
  <si>
    <t>PC KENKO 0719 FANCY</t>
  </si>
  <si>
    <t>PC KLG TY-552 MOBIL+ANAK 21X6.5</t>
  </si>
  <si>
    <t>PC KLG/ STUDY SET K-597 MOBIL 20.5X7</t>
  </si>
  <si>
    <t>PC MAGNIT AC-1762 (22X7.5)</t>
  </si>
  <si>
    <t>PC MAGNIT B 35145</t>
  </si>
  <si>
    <t>PC MAGNIT C-1755-1 (22X7.5)</t>
  </si>
  <si>
    <t>PC MAGNIT C-1756</t>
  </si>
  <si>
    <t>PC MAGNIT C-1758 (22X7.5)</t>
  </si>
  <si>
    <t>PC MAGNIT C-2755-1 (22X7.5)</t>
  </si>
  <si>
    <t>PC MAGNIT C-5212 3D (23X8.5)</t>
  </si>
  <si>
    <t>PC MAGNIT FC 1760 TIMBUL (FAKTUR)</t>
  </si>
  <si>
    <t>PC MAGNIT FC-1757 (22X7.5)</t>
  </si>
  <si>
    <t>PC MAGNIT FC-1758 (22X7.5)</t>
  </si>
  <si>
    <t>PC MAGNIT FC-5223 3D (23X8.5)</t>
  </si>
  <si>
    <t>PC MAGNIT FC-6295 (23X10)</t>
  </si>
  <si>
    <t>PC MAGNIT FX-2275 (22X7.5) METALIK</t>
  </si>
  <si>
    <t>PC MAGNIT FY-6822 (22X7.5)</t>
  </si>
  <si>
    <t>PC MAGNIT FY-6823</t>
  </si>
  <si>
    <t>PC MAGNIT JH-220 A (22X8.5)</t>
  </si>
  <si>
    <t>PC MAGNT LPY-6 (23X8)</t>
  </si>
  <si>
    <t>PENSIL 2B ZHONG HUA 6925 OVAL</t>
  </si>
  <si>
    <t>PENSIL GLASS JK PG-100 (HITAM)</t>
  </si>
  <si>
    <t>PENSIL GLASS JK PG-100 (PUTIH)</t>
  </si>
  <si>
    <t>PENSIL JK P-88 2B</t>
  </si>
  <si>
    <t>PENSIL KENKO 2B-0192</t>
  </si>
  <si>
    <t>PENSIL KENKO 2B-0810 FLUORESCENT</t>
  </si>
  <si>
    <t>PENSIL KENKO 2B-6120 DOODLE</t>
  </si>
  <si>
    <t>PENSIL KENKO 2B-6191 HIJAU CAP HITAM</t>
  </si>
  <si>
    <t>PENSIL KENKO 2B-6388 ZOO N ZOO</t>
  </si>
  <si>
    <t>PENSIL KENKO 2B-6393 FLUORESCENT</t>
  </si>
  <si>
    <t>PENSIL KENKO 6363</t>
  </si>
  <si>
    <t>PENSIL METALIK 2B NO. 69</t>
  </si>
  <si>
    <t>PENSIL TUKANG GW CARPENTER 500</t>
  </si>
  <si>
    <t>PLAKBAN KENKO BENING 48MM PLST MERAH</t>
  </si>
  <si>
    <t>PLAKBAN KENKO COKLAT</t>
  </si>
  <si>
    <t>POCKET NOTE KENKO PN-501</t>
  </si>
  <si>
    <t>PUNCH JK 30XL</t>
  </si>
  <si>
    <t>PUNCH KENKO 30</t>
  </si>
  <si>
    <t>PUNCH KENKO 30XL</t>
  </si>
  <si>
    <t>PUNCH KENKO 40</t>
  </si>
  <si>
    <t>PUNCH KENKO 85</t>
  </si>
  <si>
    <t>PUNCH KENKO 85XL</t>
  </si>
  <si>
    <t>PUSH PIN JK PP 30</t>
  </si>
  <si>
    <t>PUSH PIN KENKO PN-30 WARNA</t>
  </si>
  <si>
    <t>PW JK 12W CP-103</t>
  </si>
  <si>
    <t>PW JK 24W CP-S24 PENDEK</t>
  </si>
  <si>
    <t>PW JK CP-104</t>
  </si>
  <si>
    <t>PW JK CP-107</t>
  </si>
  <si>
    <t>PW JK CP-12PB PANJANG</t>
  </si>
  <si>
    <t>PW JK CP-24PB PANJANG</t>
  </si>
  <si>
    <t>PW KALENG (TIN CASE) KENKO CP-12</t>
  </si>
  <si>
    <t>PW KALENG (TIN CASE) KENKO CP-24</t>
  </si>
  <si>
    <t>PW KENKO 12W CP-12 HALF CLASSIC PENDEK</t>
  </si>
  <si>
    <t>PW KENKO 12W CP-12F CLASSIC PANJANG</t>
  </si>
  <si>
    <t>PW KENKO 24W CP-24F CLASSIC PANJANG</t>
  </si>
  <si>
    <t>PW KENKO BICOLOR 12W CP-12 FBC CLASSIC 12/24</t>
  </si>
  <si>
    <t>PW KENKO BICOLOR 24W CP-24FBC CLASSIC</t>
  </si>
  <si>
    <t>PW KENKO CP-12FNW NON WOOD 12W</t>
  </si>
  <si>
    <t>PW KENKO CP-24F SANDY BEAR PANJANG</t>
  </si>
  <si>
    <t>PW KENKO CP-36F SANDY BEAR 36W</t>
  </si>
  <si>
    <t>PW KENKO NEON COLOR PENCIL 12W NCP-12C</t>
  </si>
  <si>
    <t>PW VANCO 12W PANJANG 12L</t>
  </si>
  <si>
    <t>SAMPUL BOXY BATIK</t>
  </si>
  <si>
    <t>SAMPUL KWARTO BATIK ALFA</t>
  </si>
  <si>
    <t>SAMPUL KWARTO FANCY ALFA</t>
  </si>
  <si>
    <t>SPIDOL PERMANEN KENKO PM-100 HITAM</t>
  </si>
  <si>
    <t>SPIDOL W/B MARKER JK WM-65 HITAM</t>
  </si>
  <si>
    <t>STABILLO HIGHLIGHTER ERASABLE + STIP 935-6</t>
  </si>
  <si>
    <t>STABILLO HIGHLIGHTER KENKO HL-100 HIJAU</t>
  </si>
  <si>
    <t>STABILLO HIGHLIGHTER KENKO HL-100 KUNING</t>
  </si>
  <si>
    <t>STABILLO HIGHLIGHTER KENKO HL-100 PINK</t>
  </si>
  <si>
    <t>STABILLO HIGHLIGHTER KENKO HL-100 UNGU</t>
  </si>
  <si>
    <t>STABILLO HIGHLIGHTER VANCO HL-521</t>
  </si>
  <si>
    <t>STABILLO JK HL-2 HIJAU</t>
  </si>
  <si>
    <t>STABILLO SOFTLINER COOL HSL-6C</t>
  </si>
  <si>
    <t>STABILLO VANCO HL-520</t>
  </si>
  <si>
    <t>STABILLO ZRM 103 BIRU</t>
  </si>
  <si>
    <t>STAMP NOMER KENKO N-38</t>
  </si>
  <si>
    <t>STAMP PAD KENKO NO. 0</t>
  </si>
  <si>
    <t>STAMP PAD KENKO NO. 1</t>
  </si>
  <si>
    <t>STAMP PLATE DATER KENKO S-68 (LUNAS)</t>
  </si>
  <si>
    <t>STAPLER JK HD 50 CL</t>
  </si>
  <si>
    <t>STAPLER JK HD-10</t>
  </si>
  <si>
    <t>STAPLER JK HD-10 M</t>
  </si>
  <si>
    <t>STAPLER JK HD-12N/24</t>
  </si>
  <si>
    <t>STAPLER KENKO HD-10</t>
  </si>
  <si>
    <t>STAPLER KENKO HD-10 S MINI</t>
  </si>
  <si>
    <t>STAPLER KENKO HD-10D</t>
  </si>
  <si>
    <t>STAPLER KENKO HD-12L/24</t>
  </si>
  <si>
    <t>STAPLER KENKO HD-12N/ 24</t>
  </si>
  <si>
    <t>STAPLER KENKO HD-50</t>
  </si>
  <si>
    <t>STAPLER SDI 1104</t>
  </si>
  <si>
    <t>STAPLER SDI 1105</t>
  </si>
  <si>
    <t>STAPLER YUAN CHANG 414</t>
  </si>
  <si>
    <t>STIP JK 526-B20</t>
  </si>
  <si>
    <t>STIP JK 526-B40BL</t>
  </si>
  <si>
    <t>STIP JK 526-B40P</t>
  </si>
  <si>
    <t>STIP JK ER-B20BL</t>
  </si>
  <si>
    <t>STIP KENKO ERB-20SQ HITAM</t>
  </si>
  <si>
    <t>STIP KENKO ERW-20SQ PUTIH</t>
  </si>
  <si>
    <t>STIP KENKO ERW-40SQ PUTIH</t>
  </si>
  <si>
    <t>TAPE CUTTER JK TC-111</t>
  </si>
  <si>
    <t>TAPE CUTTER JK TC-113</t>
  </si>
  <si>
    <t>TAPE CUTTER JK TC-114</t>
  </si>
  <si>
    <t>TAPE CUTTER JK TD-09N</t>
  </si>
  <si>
    <t>TAPE CUTTER JK TD-101</t>
  </si>
  <si>
    <t>TAPE CUTTER JK TD-102</t>
  </si>
  <si>
    <t>TAPE CUTTER JK TD-103</t>
  </si>
  <si>
    <t>TAPE CUTTER JK TD-2S</t>
  </si>
  <si>
    <t>TAPE DISPENSER KENKO TD-201</t>
  </si>
  <si>
    <t>TAPE DISPENSER KENKO TD-321</t>
  </si>
  <si>
    <t>TAPE DISPENSER KENKO TD-323</t>
  </si>
  <si>
    <t>TIPEX JK CT-522</t>
  </si>
  <si>
    <t>TIPEX KENKO CT-1505 FC</t>
  </si>
  <si>
    <t>TIPEX KENKO CT-634DT</t>
  </si>
  <si>
    <t>TIPEX KENKO CT-809</t>
  </si>
  <si>
    <t>TIPEX KENKO CT-902</t>
  </si>
  <si>
    <t>TIPEX KENKO CT-902 CL</t>
  </si>
  <si>
    <t>TIPEX KENKO CT-903</t>
  </si>
  <si>
    <t>TIPEX KENKO CT-906</t>
  </si>
  <si>
    <t>TIPEX KENKO CT-909</t>
  </si>
  <si>
    <t>TIPEX KENKO CT-919</t>
  </si>
  <si>
    <t>TIPEX KENKO KE 301</t>
  </si>
  <si>
    <t>TIPEX KENKO KE-01</t>
  </si>
  <si>
    <t>TIPEX KENKO KE-107M</t>
  </si>
  <si>
    <t>TIPEX KENKO KE-108</t>
  </si>
  <si>
    <t>TIPEX KENKO KE-823M</t>
  </si>
  <si>
    <t>TIPEX KENKO KE-826M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</si>
</sst>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Rp]#,##0"/>
    <numFmt numFmtId="165" formatCode="d mmm yy"/>
    <numFmt numFmtId="166" formatCode="d mmm yyyy"/>
    <numFmt numFmtId="167" formatCode="d&quot; &quot;mmm&quot; &quot;yyyy"/>
    <numFmt numFmtId="168" formatCode="d mmmm yyyy"/>
    <numFmt numFmtId="169" formatCode="0.00000"/>
  </numFmts>
  <fonts count="11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u/>
      <color theme="1"/>
      <name val="Arial"/>
      <scheme val="minor"/>
    </font>
    <font/>
    <font>
      <color theme="1"/>
      <name val="Arial"/>
    </font>
    <font>
      <color rgb="FF000000"/>
      <name val="Arial"/>
    </font>
    <font>
      <b/>
      <color theme="1"/>
      <name val="Arial"/>
    </font>
    <font>
      <sz val="11.0"/>
      <color theme="1"/>
      <name val="Calibri"/>
    </font>
    <font>
      <sz val="9.0"/>
      <color theme="1"/>
      <name val="Arial"/>
    </font>
    <font>
      <sz val="11.0"/>
      <color theme="1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</fills>
  <borders count="11">
    <border/>
    <border>
      <left style="thin">
        <color rgb="FF000000"/>
      </left>
    </border>
    <border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left"/>
    </xf>
    <xf borderId="0" fillId="0" fontId="1" numFmtId="9" xfId="0" applyAlignment="1" applyFont="1" applyNumberFormat="1">
      <alignment horizontal="left"/>
    </xf>
    <xf borderId="0" fillId="0" fontId="1" numFmtId="164" xfId="0" applyFont="1" applyNumberFormat="1"/>
    <xf borderId="1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horizontal="left"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right" readingOrder="0"/>
    </xf>
    <xf borderId="0" fillId="0" fontId="2" numFmtId="0" xfId="0" applyAlignment="1" applyFont="1">
      <alignment horizontal="right" readingOrder="0"/>
    </xf>
    <xf borderId="0" fillId="0" fontId="1" numFmtId="0" xfId="0" applyAlignment="1" applyFont="1">
      <alignment horizontal="left" readingOrder="0"/>
    </xf>
    <xf borderId="1" fillId="0" fontId="1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Alignment="1" applyBorder="1" applyFont="1">
      <alignment horizontal="left" readingOrder="0"/>
    </xf>
    <xf borderId="2" fillId="0" fontId="2" numFmtId="164" xfId="0" applyAlignment="1" applyBorder="1" applyFont="1" applyNumberFormat="1">
      <alignment horizontal="left" readingOrder="0"/>
    </xf>
    <xf borderId="2" fillId="0" fontId="2" numFmtId="9" xfId="0" applyAlignment="1" applyBorder="1" applyFont="1" applyNumberFormat="1">
      <alignment horizontal="left" readingOrder="0"/>
    </xf>
    <xf borderId="2" fillId="0" fontId="2" numFmtId="164" xfId="0" applyAlignment="1" applyBorder="1" applyFont="1" applyNumberForma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9" xfId="0" applyAlignment="1" applyFont="1" applyNumberFormat="1">
      <alignment horizontal="left" readingOrder="0"/>
    </xf>
    <xf borderId="0" fillId="2" fontId="1" numFmtId="0" xfId="0" applyAlignment="1" applyFill="1" applyFont="1">
      <alignment readingOrder="0"/>
    </xf>
    <xf borderId="3" fillId="0" fontId="1" numFmtId="0" xfId="0" applyBorder="1" applyFont="1"/>
    <xf borderId="3" fillId="0" fontId="1" numFmtId="0" xfId="0" applyAlignment="1" applyBorder="1" applyFont="1">
      <alignment horizontal="left"/>
    </xf>
    <xf borderId="3" fillId="0" fontId="1" numFmtId="164" xfId="0" applyAlignment="1" applyBorder="1" applyFont="1" applyNumberFormat="1">
      <alignment horizontal="left"/>
    </xf>
    <xf borderId="3" fillId="0" fontId="1" numFmtId="9" xfId="0" applyAlignment="1" applyBorder="1" applyFont="1" applyNumberFormat="1">
      <alignment horizontal="left"/>
    </xf>
    <xf borderId="3" fillId="0" fontId="1" numFmtId="164" xfId="0" applyBorder="1" applyFont="1" applyNumberFormat="1"/>
    <xf borderId="0" fillId="0" fontId="2" numFmtId="0" xfId="0" applyAlignment="1" applyFont="1">
      <alignment readingOrder="0" shrinkToFit="0" wrapText="1"/>
    </xf>
    <xf borderId="4" fillId="0" fontId="2" numFmtId="0" xfId="0" applyAlignment="1" applyBorder="1" applyFont="1">
      <alignment readingOrder="0" shrinkToFit="0" wrapText="1"/>
    </xf>
    <xf borderId="5" fillId="0" fontId="1" numFmtId="9" xfId="0" applyAlignment="1" applyBorder="1" applyFont="1" applyNumberFormat="1">
      <alignment horizontal="left"/>
    </xf>
    <xf borderId="6" fillId="0" fontId="1" numFmtId="164" xfId="0" applyBorder="1" applyFont="1" applyNumberFormat="1"/>
    <xf borderId="7" fillId="0" fontId="4" numFmtId="0" xfId="0" applyBorder="1" applyFont="1"/>
    <xf borderId="0" fillId="0" fontId="1" numFmtId="0" xfId="0" applyAlignment="1" applyFont="1">
      <alignment readingOrder="0" shrinkToFit="0" wrapText="1"/>
    </xf>
    <xf borderId="0" fillId="0" fontId="2" numFmtId="164" xfId="0" applyAlignment="1" applyFont="1" applyNumberFormat="1">
      <alignment horizontal="right" readingOrder="0"/>
    </xf>
    <xf borderId="1" fillId="0" fontId="2" numFmtId="164" xfId="0" applyAlignment="1" applyBorder="1" applyFont="1" applyNumberFormat="1">
      <alignment horizontal="right" readingOrder="0"/>
    </xf>
    <xf borderId="8" fillId="0" fontId="1" numFmtId="164" xfId="0" applyAlignment="1" applyBorder="1" applyFont="1" applyNumberFormat="1">
      <alignment readingOrder="0"/>
    </xf>
    <xf borderId="9" fillId="0" fontId="1" numFmtId="9" xfId="0" applyAlignment="1" applyBorder="1" applyFont="1" applyNumberFormat="1">
      <alignment horizontal="left"/>
    </xf>
    <xf borderId="10" fillId="0" fontId="1" numFmtId="164" xfId="0" applyBorder="1" applyFont="1" applyNumberFormat="1"/>
    <xf borderId="2" fillId="0" fontId="2" numFmtId="0" xfId="0" applyAlignment="1" applyBorder="1" applyFont="1">
      <alignment readingOrder="0" shrinkToFit="0" wrapText="1"/>
    </xf>
    <xf borderId="0" fillId="3" fontId="1" numFmtId="0" xfId="0" applyFill="1" applyFont="1"/>
    <xf borderId="0" fillId="3" fontId="1" numFmtId="0" xfId="0" applyAlignment="1" applyFont="1">
      <alignment horizontal="left"/>
    </xf>
    <xf borderId="0" fillId="4" fontId="5" numFmtId="0" xfId="0" applyAlignment="1" applyFill="1" applyFont="1">
      <alignment vertical="bottom"/>
    </xf>
    <xf borderId="0" fillId="0" fontId="1" numFmtId="164" xfId="0" applyAlignment="1" applyFont="1" applyNumberFormat="1">
      <alignment horizontal="right" readingOrder="0"/>
    </xf>
    <xf borderId="0" fillId="2" fontId="1" numFmtId="164" xfId="0" applyAlignment="1" applyFont="1" applyNumberFormat="1">
      <alignment horizontal="right"/>
    </xf>
    <xf borderId="0" fillId="0" fontId="5" numFmtId="164" xfId="0" applyAlignment="1" applyFont="1" applyNumberFormat="1">
      <alignment horizontal="right" vertical="bottom"/>
    </xf>
    <xf borderId="0" fillId="2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5" numFmtId="0" xfId="0" applyAlignment="1" applyFont="1">
      <alignment vertical="bottom"/>
    </xf>
    <xf borderId="0" fillId="2" fontId="5" numFmtId="0" xfId="0" applyAlignment="1" applyFont="1">
      <alignment readingOrder="0" vertical="bottom"/>
    </xf>
    <xf borderId="0" fillId="0" fontId="6" numFmtId="0" xfId="0" applyAlignment="1" applyFont="1">
      <alignment readingOrder="0" shrinkToFit="0" vertical="bottom" wrapText="0"/>
    </xf>
    <xf borderId="0" fillId="3" fontId="5" numFmtId="0" xfId="0" applyAlignment="1" applyFont="1">
      <alignment horizontal="left" vertical="bottom"/>
    </xf>
    <xf borderId="0" fillId="3" fontId="5" numFmtId="0" xfId="0" applyAlignment="1" applyFont="1">
      <alignment vertical="bottom"/>
    </xf>
    <xf borderId="0" fillId="0" fontId="6" numFmtId="0" xfId="0" applyAlignment="1" applyFont="1">
      <alignment horizontal="right" readingOrder="0" shrinkToFit="0" vertical="bottom" wrapText="0"/>
    </xf>
    <xf borderId="0" fillId="0" fontId="6" numFmtId="164" xfId="0" applyAlignment="1" applyFont="1" applyNumberForma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5" numFmtId="166" xfId="0" applyAlignment="1" applyFont="1" applyNumberFormat="1">
      <alignment horizontal="right" vertical="bottom"/>
    </xf>
    <xf borderId="0" fillId="0" fontId="5" numFmtId="166" xfId="0" applyAlignment="1" applyFont="1" applyNumberFormat="1">
      <alignment vertical="bottom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2" fontId="7" numFmtId="0" xfId="0" applyAlignment="1" applyFont="1">
      <alignment readingOrder="0" vertical="bottom"/>
    </xf>
    <xf borderId="0" fillId="3" fontId="7" numFmtId="0" xfId="0" applyAlignment="1" applyFont="1">
      <alignment vertical="bottom"/>
    </xf>
    <xf borderId="0" fillId="3" fontId="7" numFmtId="49" xfId="0" applyAlignment="1" applyFont="1" applyNumberFormat="1">
      <alignment horizontal="left" vertical="bottom"/>
    </xf>
    <xf borderId="0" fillId="0" fontId="2" numFmtId="164" xfId="0" applyAlignment="1" applyFont="1" applyNumberFormat="1">
      <alignment readingOrder="0"/>
    </xf>
    <xf borderId="0" fillId="5" fontId="1" numFmtId="0" xfId="0" applyAlignment="1" applyFill="1" applyFont="1">
      <alignment readingOrder="0"/>
    </xf>
    <xf borderId="0" fillId="4" fontId="1" numFmtId="0" xfId="0" applyAlignment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2" fontId="5" numFmtId="0" xfId="0" applyAlignment="1" applyFont="1">
      <alignment vertical="bottom"/>
    </xf>
    <xf borderId="0" fillId="2" fontId="5" numFmtId="0" xfId="0" applyAlignment="1" applyFont="1">
      <alignment vertical="bottom"/>
    </xf>
    <xf borderId="0" fillId="8" fontId="5" numFmtId="0" xfId="0" applyAlignment="1" applyFill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5" numFmtId="10" xfId="0" applyAlignment="1" applyFont="1" applyNumberFormat="1">
      <alignment vertical="bottom"/>
    </xf>
    <xf borderId="0" fillId="0" fontId="5" numFmtId="167" xfId="0" applyAlignment="1" applyFont="1" applyNumberFormat="1">
      <alignment horizontal="right" vertical="bottom"/>
    </xf>
    <xf borderId="0" fillId="0" fontId="5" numFmtId="167" xfId="0" applyAlignment="1" applyFont="1" applyNumberFormat="1">
      <alignment vertical="bottom"/>
    </xf>
    <xf borderId="0" fillId="0" fontId="5" numFmtId="0" xfId="0" applyAlignment="1" applyFont="1">
      <alignment readingOrder="0" vertical="bottom"/>
    </xf>
    <xf borderId="0" fillId="8" fontId="5" numFmtId="0" xfId="0" applyAlignment="1" applyFont="1">
      <alignment shrinkToFit="0" vertical="bottom" wrapText="0"/>
    </xf>
    <xf borderId="0" fillId="2" fontId="5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5" fontId="1" numFmtId="0" xfId="0" applyFont="1"/>
    <xf borderId="0" fillId="2" fontId="5" numFmtId="0" xfId="0" applyAlignment="1" applyFont="1">
      <alignment horizontal="right" vertical="bottom"/>
    </xf>
    <xf borderId="0" fillId="0" fontId="5" numFmtId="10" xfId="0" applyAlignment="1" applyFont="1" applyNumberFormat="1">
      <alignment horizontal="right" vertical="bottom"/>
    </xf>
    <xf borderId="0" fillId="0" fontId="8" numFmtId="0" xfId="0" applyAlignment="1" applyFont="1">
      <alignment vertical="bottom"/>
    </xf>
    <xf borderId="0" fillId="4" fontId="5" numFmtId="0" xfId="0" applyAlignment="1" applyFont="1">
      <alignment readingOrder="0" vertical="bottom"/>
    </xf>
    <xf borderId="0" fillId="2" fontId="5" numFmtId="0" xfId="0" applyAlignment="1" applyFont="1">
      <alignment horizontal="right" vertical="bottom"/>
    </xf>
    <xf borderId="0" fillId="2" fontId="5" numFmtId="4" xfId="0" applyAlignment="1" applyFont="1" applyNumberFormat="1">
      <alignment horizontal="right" vertical="bottom"/>
    </xf>
    <xf borderId="0" fillId="2" fontId="5" numFmtId="10" xfId="0" applyAlignment="1" applyFont="1" applyNumberFormat="1">
      <alignment vertical="bottom"/>
    </xf>
    <xf borderId="0" fillId="2" fontId="5" numFmtId="167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0" fontId="5" numFmtId="167" xfId="0" applyAlignment="1" applyFont="1" applyNumberFormat="1">
      <alignment horizontal="right" readingOrder="0" vertical="bottom"/>
    </xf>
    <xf borderId="0" fillId="0" fontId="5" numFmtId="0" xfId="0" applyAlignment="1" applyFont="1">
      <alignment horizontal="right" readingOrder="0" vertical="bottom"/>
    </xf>
    <xf borderId="0" fillId="0" fontId="5" numFmtId="4" xfId="0" applyAlignment="1" applyFont="1" applyNumberFormat="1">
      <alignment horizontal="right" readingOrder="0" vertical="bottom"/>
    </xf>
    <xf borderId="0" fillId="2" fontId="6" numFmtId="0" xfId="0" applyAlignment="1" applyFont="1">
      <alignment horizontal="right" readingOrder="0" shrinkToFit="0" vertical="bottom" wrapText="0"/>
    </xf>
    <xf borderId="0" fillId="2" fontId="6" numFmtId="0" xfId="0" applyAlignment="1" applyFont="1">
      <alignment readingOrder="0" shrinkToFit="0" vertical="bottom" wrapText="0"/>
    </xf>
    <xf borderId="0" fillId="2" fontId="6" numFmtId="0" xfId="0" applyAlignment="1" applyFont="1">
      <alignment shrinkToFit="0" vertical="bottom" wrapText="0"/>
    </xf>
    <xf borderId="0" fillId="2" fontId="1" numFmtId="0" xfId="0" applyFont="1"/>
    <xf borderId="0" fillId="2" fontId="1" numFmtId="0" xfId="0" applyAlignment="1" applyFont="1">
      <alignment horizontal="left"/>
    </xf>
    <xf borderId="0" fillId="2" fontId="5" numFmtId="0" xfId="0" applyAlignment="1" applyFont="1">
      <alignment horizontal="right" readingOrder="0" vertical="bottom"/>
    </xf>
    <xf borderId="0" fillId="2" fontId="5" numFmtId="4" xfId="0" applyAlignment="1" applyFont="1" applyNumberFormat="1">
      <alignment horizontal="right" readingOrder="0" vertical="bottom"/>
    </xf>
    <xf borderId="0" fillId="2" fontId="5" numFmtId="164" xfId="0" applyAlignment="1" applyFont="1" applyNumberFormat="1">
      <alignment horizontal="right" vertical="bottom"/>
    </xf>
    <xf borderId="0" fillId="2" fontId="6" numFmtId="167" xfId="0" applyAlignment="1" applyFont="1" applyNumberFormat="1">
      <alignment horizontal="right" readingOrder="0" shrinkToFit="0" vertical="bottom" wrapText="0"/>
    </xf>
    <xf borderId="0" fillId="2" fontId="6" numFmtId="167" xfId="0" applyAlignment="1" applyFont="1" applyNumberFormat="1">
      <alignment shrinkToFit="0" vertical="bottom" wrapText="0"/>
    </xf>
    <xf borderId="0" fillId="2" fontId="6" numFmtId="0" xfId="0" applyAlignment="1" applyFont="1">
      <alignment shrinkToFit="0" vertical="bottom" wrapText="0"/>
    </xf>
    <xf borderId="0" fillId="2" fontId="6" numFmtId="4" xfId="0" applyAlignment="1" applyFont="1" applyNumberFormat="1">
      <alignment horizontal="right" readingOrder="0" shrinkToFit="0" vertical="bottom" wrapText="0"/>
    </xf>
    <xf borderId="0" fillId="2" fontId="6" numFmtId="10" xfId="0" applyAlignment="1" applyFont="1" applyNumberFormat="1">
      <alignment shrinkToFit="0" vertical="bottom" wrapText="0"/>
    </xf>
    <xf borderId="0" fillId="9" fontId="1" numFmtId="0" xfId="0" applyFill="1" applyFont="1"/>
    <xf borderId="0" fillId="2" fontId="6" numFmtId="10" xfId="0" applyAlignment="1" applyFont="1" applyNumberFormat="1">
      <alignment readingOrder="0" shrinkToFit="0" vertical="bottom" wrapText="0"/>
    </xf>
    <xf borderId="0" fillId="2" fontId="6" numFmtId="10" xfId="0" applyAlignment="1" applyFont="1" applyNumberFormat="1">
      <alignment horizontal="right" shrinkToFit="0" vertical="bottom" wrapText="0"/>
    </xf>
    <xf borderId="0" fillId="2" fontId="6" numFmtId="10" xfId="0" applyAlignment="1" applyFont="1" applyNumberFormat="1">
      <alignment horizontal="right" readingOrder="0" shrinkToFit="0" vertical="bottom" wrapText="0"/>
    </xf>
    <xf borderId="0" fillId="3" fontId="5" numFmtId="0" xfId="0" applyAlignment="1" applyFont="1">
      <alignment readingOrder="0" vertical="bottom"/>
    </xf>
    <xf borderId="0" fillId="0" fontId="6" numFmtId="4" xfId="0" applyAlignment="1" applyFont="1" applyNumberFormat="1">
      <alignment horizontal="right" readingOrder="0" shrinkToFit="0" vertical="bottom" wrapText="0"/>
    </xf>
    <xf borderId="0" fillId="0" fontId="5" numFmtId="167" xfId="0" applyAlignment="1" applyFont="1" applyNumberFormat="1">
      <alignment readingOrder="0" vertical="bottom"/>
    </xf>
    <xf borderId="0" fillId="0" fontId="5" numFmtId="10" xfId="0" applyAlignment="1" applyFont="1" applyNumberFormat="1">
      <alignment readingOrder="0" vertical="bottom"/>
    </xf>
    <xf borderId="0" fillId="0" fontId="6" numFmtId="4" xfId="0" applyAlignment="1" applyFont="1" applyNumberFormat="1">
      <alignment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horizontal="right" shrinkToFit="0" vertical="bottom" wrapText="0"/>
    </xf>
    <xf borderId="0" fillId="4" fontId="5" numFmtId="0" xfId="0" applyAlignment="1" applyFont="1">
      <alignment vertical="bottom"/>
    </xf>
    <xf borderId="0" fillId="0" fontId="5" numFmtId="166" xfId="0" applyAlignment="1" applyFont="1" applyNumberFormat="1">
      <alignment horizontal="right" readingOrder="0" vertical="bottom"/>
    </xf>
    <xf borderId="0" fillId="10" fontId="6" numFmtId="0" xfId="0" applyAlignment="1" applyFill="1" applyFont="1">
      <alignment horizontal="right" shrinkToFit="0" vertical="bottom" wrapText="0"/>
    </xf>
    <xf borderId="0" fillId="10" fontId="6" numFmtId="0" xfId="0" applyAlignment="1" applyFont="1">
      <alignment shrinkToFit="0" vertical="bottom" wrapText="0"/>
    </xf>
    <xf borderId="0" fillId="10" fontId="6" numFmtId="0" xfId="0" applyAlignment="1" applyFont="1">
      <alignment shrinkToFit="0" vertical="bottom" wrapText="0"/>
    </xf>
    <xf borderId="0" fillId="10" fontId="1" numFmtId="0" xfId="0" applyFont="1"/>
    <xf borderId="0" fillId="10" fontId="5" numFmtId="0" xfId="0" applyAlignment="1" applyFont="1">
      <alignment vertical="bottom"/>
    </xf>
    <xf borderId="0" fillId="10" fontId="1" numFmtId="0" xfId="0" applyAlignment="1" applyFont="1">
      <alignment horizontal="left"/>
    </xf>
    <xf borderId="0" fillId="10" fontId="5" numFmtId="0" xfId="0" applyAlignment="1" applyFont="1">
      <alignment horizontal="right" vertical="bottom"/>
    </xf>
    <xf borderId="0" fillId="10" fontId="5" numFmtId="10" xfId="0" applyAlignment="1" applyFont="1" applyNumberFormat="1">
      <alignment vertical="bottom"/>
    </xf>
    <xf borderId="0" fillId="10" fontId="5" numFmtId="164" xfId="0" applyAlignment="1" applyFont="1" applyNumberFormat="1">
      <alignment horizontal="right" vertical="bottom"/>
    </xf>
    <xf borderId="0" fillId="10" fontId="5" numFmtId="166" xfId="0" applyAlignment="1" applyFont="1" applyNumberFormat="1">
      <alignment horizontal="right" vertical="bottom"/>
    </xf>
    <xf borderId="0" fillId="10" fontId="5" numFmtId="166" xfId="0" applyAlignment="1" applyFont="1" applyNumberFormat="1">
      <alignment vertical="bottom"/>
    </xf>
    <xf borderId="0" fillId="10" fontId="5" numFmtId="0" xfId="0" applyAlignment="1" applyFont="1">
      <alignment readingOrder="0" vertical="bottom"/>
    </xf>
    <xf borderId="0" fillId="0" fontId="1" numFmtId="4" xfId="0" applyFont="1" applyNumberFormat="1"/>
    <xf borderId="0" fillId="2" fontId="7" numFmtId="0" xfId="0" applyAlignment="1" applyFont="1">
      <alignment vertical="bottom"/>
    </xf>
    <xf borderId="0" fillId="3" fontId="7" numFmtId="0" xfId="0" applyAlignment="1" applyFont="1">
      <alignment horizontal="left" readingOrder="0" vertical="bottom"/>
    </xf>
    <xf borderId="0" fillId="3" fontId="7" numFmtId="49" xfId="0" applyAlignment="1" applyFont="1" applyNumberFormat="1">
      <alignment vertical="bottom"/>
    </xf>
    <xf borderId="0" fillId="4" fontId="7" numFmtId="49" xfId="0" applyAlignment="1" applyFont="1" applyNumberFormat="1">
      <alignment vertical="bottom"/>
    </xf>
    <xf borderId="0" fillId="3" fontId="7" numFmtId="0" xfId="0" applyAlignment="1" applyFont="1">
      <alignment readingOrder="0" vertical="bottom"/>
    </xf>
    <xf borderId="0" fillId="2" fontId="2" numFmtId="164" xfId="0" applyAlignment="1" applyFont="1" applyNumberFormat="1">
      <alignment readingOrder="0"/>
    </xf>
    <xf borderId="0" fillId="2" fontId="2" numFmtId="0" xfId="0" applyAlignment="1" applyFont="1">
      <alignment readingOrder="0"/>
    </xf>
    <xf borderId="0" fillId="0" fontId="5" numFmtId="0" xfId="0" applyAlignment="1" applyFont="1">
      <alignment horizontal="right"/>
    </xf>
    <xf borderId="0" fillId="2" fontId="5" numFmtId="0" xfId="0" applyFont="1"/>
    <xf borderId="0" fillId="3" fontId="5" numFmtId="0" xfId="0" applyFont="1"/>
    <xf borderId="0" fillId="3" fontId="5" numFmtId="0" xfId="0" applyFont="1"/>
    <xf borderId="0" fillId="0" fontId="5" numFmtId="0" xfId="0" applyAlignment="1" applyFont="1">
      <alignment horizontal="right"/>
    </xf>
    <xf borderId="0" fillId="0" fontId="5" numFmtId="164" xfId="0" applyAlignment="1" applyFont="1" applyNumberFormat="1">
      <alignment horizontal="right"/>
    </xf>
    <xf borderId="0" fillId="0" fontId="5" numFmtId="10" xfId="0" applyFont="1" applyNumberFormat="1"/>
    <xf borderId="0" fillId="0" fontId="5" numFmtId="166" xfId="0" applyAlignment="1" applyFont="1" applyNumberFormat="1">
      <alignment horizontal="right"/>
    </xf>
    <xf borderId="0" fillId="0" fontId="5" numFmtId="166" xfId="0" applyFont="1" applyNumberFormat="1"/>
    <xf borderId="0" fillId="0" fontId="5" numFmtId="0" xfId="0" applyFont="1"/>
    <xf borderId="0" fillId="0" fontId="5" numFmtId="10" xfId="0" applyAlignment="1" applyFont="1" applyNumberFormat="1">
      <alignment horizontal="right"/>
    </xf>
    <xf borderId="0" fillId="3" fontId="5" numFmtId="0" xfId="0" applyAlignment="1" applyFont="1">
      <alignment horizontal="right"/>
    </xf>
    <xf borderId="0" fillId="3" fontId="5" numFmtId="0" xfId="0" applyAlignment="1" applyFont="1">
      <alignment horizontal="right"/>
    </xf>
    <xf borderId="0" fillId="3" fontId="5" numFmtId="164" xfId="0" applyAlignment="1" applyFont="1" applyNumberFormat="1">
      <alignment horizontal="right"/>
    </xf>
    <xf borderId="0" fillId="3" fontId="5" numFmtId="10" xfId="0" applyAlignment="1" applyFont="1" applyNumberFormat="1">
      <alignment horizontal="right"/>
    </xf>
    <xf borderId="0" fillId="3" fontId="5" numFmtId="166" xfId="0" applyAlignment="1" applyFont="1" applyNumberFormat="1">
      <alignment horizontal="right"/>
    </xf>
    <xf borderId="0" fillId="3" fontId="5" numFmtId="166" xfId="0" applyFont="1" applyNumberFormat="1"/>
    <xf borderId="0" fillId="2" fontId="5" numFmtId="0" xfId="0" applyFont="1"/>
    <xf borderId="0" fillId="11" fontId="5" numFmtId="0" xfId="0" applyAlignment="1" applyFill="1" applyFont="1">
      <alignment horizontal="right"/>
    </xf>
    <xf borderId="0" fillId="11" fontId="5" numFmtId="0" xfId="0" applyFont="1"/>
    <xf borderId="0" fillId="11" fontId="5" numFmtId="0" xfId="0" applyFont="1"/>
    <xf borderId="0" fillId="11" fontId="5" numFmtId="0" xfId="0" applyAlignment="1" applyFont="1">
      <alignment horizontal="right"/>
    </xf>
    <xf borderId="0" fillId="11" fontId="5" numFmtId="164" xfId="0" applyAlignment="1" applyFont="1" applyNumberFormat="1">
      <alignment horizontal="right"/>
    </xf>
    <xf borderId="0" fillId="11" fontId="5" numFmtId="10" xfId="0" applyAlignment="1" applyFont="1" applyNumberFormat="1">
      <alignment horizontal="right"/>
    </xf>
    <xf borderId="0" fillId="11" fontId="5" numFmtId="166" xfId="0" applyAlignment="1" applyFont="1" applyNumberFormat="1">
      <alignment horizontal="right"/>
    </xf>
    <xf borderId="0" fillId="11" fontId="5" numFmtId="166" xfId="0" applyFont="1" applyNumberFormat="1"/>
    <xf borderId="0" fillId="0" fontId="5" numFmtId="0" xfId="0" applyFont="1"/>
    <xf borderId="0" fillId="3" fontId="5" numFmtId="0" xfId="0" applyAlignment="1" applyFont="1">
      <alignment readingOrder="0"/>
    </xf>
    <xf borderId="0" fillId="0" fontId="5" numFmtId="49" xfId="0" applyAlignment="1" applyFont="1" applyNumberFormat="1">
      <alignment horizontal="right"/>
    </xf>
    <xf borderId="0" fillId="7" fontId="5" numFmtId="0" xfId="0" applyFont="1"/>
    <xf borderId="0" fillId="0" fontId="5" numFmtId="167" xfId="0" applyFont="1" applyNumberFormat="1"/>
    <xf borderId="0" fillId="11" fontId="5" numFmtId="0" xfId="0" applyAlignment="1" applyFont="1">
      <alignment readingOrder="0" shrinkToFit="0" wrapText="0"/>
    </xf>
    <xf borderId="0" fillId="0" fontId="8" numFmtId="10" xfId="0" applyAlignment="1" applyFont="1" applyNumberFormat="1">
      <alignment horizontal="right"/>
    </xf>
    <xf borderId="0" fillId="3" fontId="8" numFmtId="10" xfId="0" applyAlignment="1" applyFont="1" applyNumberFormat="1">
      <alignment horizontal="right"/>
    </xf>
    <xf borderId="0" fillId="0" fontId="5" numFmtId="4" xfId="0" applyAlignment="1" applyFont="1" applyNumberFormat="1">
      <alignment horizontal="right"/>
    </xf>
    <xf borderId="0" fillId="11" fontId="5" numFmtId="4" xfId="0" applyAlignment="1" applyFont="1" applyNumberFormat="1">
      <alignment horizontal="right"/>
    </xf>
    <xf borderId="0" fillId="11" fontId="5" numFmtId="10" xfId="0" applyFont="1" applyNumberFormat="1"/>
    <xf borderId="0" fillId="0" fontId="5" numFmtId="168" xfId="0" applyAlignment="1" applyFont="1" applyNumberFormat="1">
      <alignment horizontal="right"/>
    </xf>
    <xf borderId="0" fillId="3" fontId="8" numFmtId="0" xfId="0" applyFont="1"/>
    <xf borderId="0" fillId="3" fontId="5" numFmtId="4" xfId="0" applyAlignment="1" applyFont="1" applyNumberFormat="1">
      <alignment horizontal="right"/>
    </xf>
    <xf borderId="0" fillId="3" fontId="5" numFmtId="10" xfId="0" applyFont="1" applyNumberFormat="1"/>
    <xf borderId="0" fillId="0" fontId="8" numFmtId="0" xfId="0" applyFont="1"/>
    <xf borderId="0" fillId="0" fontId="5" numFmtId="0" xfId="0" applyAlignment="1" applyFont="1">
      <alignment horizontal="right" readingOrder="0"/>
    </xf>
    <xf borderId="0" fillId="0" fontId="9" numFmtId="0" xfId="0" applyAlignment="1" applyFont="1">
      <alignment horizontal="right"/>
    </xf>
    <xf borderId="0" fillId="3" fontId="5" numFmtId="0" xfId="0" applyAlignment="1" applyFont="1">
      <alignment horizontal="right" readingOrder="0"/>
    </xf>
    <xf borderId="0" fillId="0" fontId="5" numFmtId="164" xfId="0" applyAlignment="1" applyFont="1" applyNumberFormat="1">
      <alignment horizontal="right" readingOrder="0"/>
    </xf>
    <xf borderId="0" fillId="3" fontId="1" numFmtId="0" xfId="0" applyAlignment="1" applyFont="1">
      <alignment readingOrder="0"/>
    </xf>
    <xf borderId="0" fillId="11" fontId="10" numFmtId="0" xfId="0" applyFont="1"/>
    <xf borderId="0" fillId="12" fontId="5" numFmtId="0" xfId="0" applyFill="1" applyFont="1"/>
    <xf borderId="0" fillId="2" fontId="5" numFmtId="0" xfId="0" applyAlignment="1" applyFont="1">
      <alignment shrinkToFit="0" wrapText="0"/>
    </xf>
    <xf borderId="0" fillId="0" fontId="5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5" numFmtId="0" xfId="0" applyAlignment="1" applyFont="1">
      <alignment shrinkToFit="0" wrapText="0"/>
    </xf>
    <xf borderId="0" fillId="0" fontId="5" numFmtId="169" xfId="0" applyAlignment="1" applyFont="1" applyNumberFormat="1">
      <alignment horizontal="right"/>
    </xf>
    <xf borderId="0" fillId="2" fontId="5" numFmtId="0" xfId="0" applyAlignment="1" applyFont="1">
      <alignment shrinkToFit="0" wrapText="0"/>
    </xf>
    <xf borderId="0" fillId="0" fontId="5" numFmtId="164" xfId="0" applyFont="1" applyNumberFormat="1"/>
    <xf borderId="0" fillId="7" fontId="5" numFmtId="0" xfId="0" applyAlignment="1" applyFont="1">
      <alignment vertical="bottom"/>
    </xf>
    <xf borderId="0" fillId="4" fontId="5" numFmtId="0" xfId="0" applyFont="1"/>
    <xf borderId="0" fillId="3" fontId="5" numFmtId="0" xfId="0" applyAlignment="1" applyFont="1">
      <alignment horizontal="center"/>
    </xf>
    <xf borderId="0" fillId="12" fontId="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6223" sheet="Barang Keluar Untanna"/>
  </cacheSource>
  <cacheFields>
    <cacheField name="NOTA TOKO" numFmtId="0">
      <sharedItems containsString="0" containsBlank="1" containsNumber="1" containsInteger="1">
        <n v="4353.0"/>
        <n v="4040.0"/>
        <n v="39.0"/>
        <n v="793.0"/>
        <n v="4036.0"/>
        <n v="4035.0"/>
        <n v="4351.0"/>
        <n v="4198.0"/>
        <n v="4037.0"/>
        <n v="4313.0"/>
        <n v="4038.0"/>
        <n v="4039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092.0"/>
        <n v="4043.0"/>
        <n v="4356.0"/>
        <n v="4357.0"/>
        <n v="4354.0"/>
        <n v="4355.0"/>
        <n v="4200.0"/>
        <n v="4041.0"/>
        <n v="4358.0"/>
        <n v="4042.0"/>
        <n v="4401.0"/>
        <n v="4402.0"/>
        <n v="4403.0"/>
        <n v="4404.0"/>
        <n v="4405.0"/>
        <n v="4406.0"/>
        <n v="4199.0"/>
        <n v="4257.0"/>
        <n v="3886.0"/>
        <n v="3887.0"/>
        <n v="3888.0"/>
        <n v="3889.0"/>
        <n v="3890.0"/>
        <n v="3891.0"/>
        <n v="3892.0"/>
        <n v="3893.0"/>
        <n v="3894.0"/>
        <n v="3895.0"/>
        <n v="3897.0"/>
        <n v="3898.0"/>
        <n v="3899.0"/>
        <n v="3900.0"/>
        <n v="4334.0"/>
        <n v="4335.0"/>
        <n v="4336.0"/>
        <n v="4337.0"/>
        <n v="4338.0"/>
        <n v="4339.0"/>
        <n v="4340.0"/>
        <n v="4341.0"/>
        <n v="4342.0"/>
        <n v="4343.0"/>
        <n v="4359.0"/>
        <n v="4360.0"/>
        <n v="4409.0"/>
        <n v="4363.0"/>
        <n v="4364.0"/>
        <n v="4456.0"/>
        <n v="4258.0"/>
        <n v="4259.0"/>
        <n v="4408.0"/>
        <n v="4452.0"/>
        <n v="4451.0"/>
        <n v="4034.0"/>
        <n v="1574.0"/>
        <n v="4410.0"/>
        <n v="4416.0"/>
        <n v="4417.0"/>
        <n v="4418.0"/>
        <n v="4419.0"/>
        <n v="4420.0"/>
        <n v="4421.0"/>
        <n v="4422.0"/>
        <n v="4427.0"/>
        <n v="4424.0"/>
        <n v="4425.0"/>
        <n v="4426.0"/>
        <n v="4428.0"/>
        <n v="4429.0"/>
        <n v="4430.0"/>
        <n v="4431.0"/>
        <n v="4432.0"/>
        <n v="4433.0"/>
        <n v="3874.0"/>
        <n v="4407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4460.0"/>
        <n v="4461.0"/>
        <n v="4462.0"/>
        <n v="4463.0"/>
        <n v="4464.0"/>
        <n v="4465.0"/>
        <n v="9.0"/>
        <n v="10.0"/>
        <n v="11.0"/>
        <n v="12.0"/>
        <n v="13.0"/>
        <n v="1877.0"/>
        <n v="1878.0"/>
        <n v="1879.0"/>
        <n v="1880.0"/>
        <n v="4412.0"/>
        <n v="4413.0"/>
        <n v="4414.0"/>
        <n v="4262.0"/>
        <n v="4263.0"/>
        <n v="4205.0"/>
        <n v="4206.0"/>
        <n v="4454.0"/>
        <n v="4455.0"/>
        <n v="5.0"/>
        <n v="6.0"/>
        <n v="4458.0"/>
        <n v="4459.0"/>
        <n v="4045.0"/>
        <n v="4050.0"/>
        <n v="101.0"/>
        <n v="4207.0"/>
        <n v="4453.0"/>
        <n v="4203.0"/>
        <n v="4098.0"/>
        <n v="4204.0"/>
        <n v="2.0"/>
        <n v="4044.0"/>
        <n v="4049.0"/>
        <n v="4046.0"/>
        <n v="4362.0"/>
        <n v="4361.0"/>
        <n v="103.0"/>
        <n v="7.0"/>
        <n v="4415.0"/>
        <n v="4411.0"/>
        <n v="4047.0"/>
        <n v="4210.0"/>
        <n v="4211.0"/>
        <n v="4099.0"/>
        <n v="3.0"/>
        <n v="4.0"/>
        <n v="4209.0"/>
        <n v="4048.0"/>
        <n v="102.0"/>
        <n v="4260.0"/>
        <n v="4208.0"/>
        <n v="4457.0"/>
        <n v="4344.0"/>
        <n v="1881.0"/>
        <n v="1882.0"/>
        <n v="1883.0"/>
        <n v="1884.0"/>
        <n v="1885.0"/>
        <n v="1886.0"/>
        <n v="1887.0"/>
        <n v="1888.0"/>
        <n v="8.0"/>
        <n v="40.0"/>
        <n v="151.0"/>
        <n v="4345.0"/>
        <n v="4366.0"/>
        <n v="4434.0"/>
        <n v="66.0"/>
        <n v="153.0"/>
        <n v="152.0"/>
        <n v="4261.0"/>
        <n v="4100.0"/>
        <n v="4435.0"/>
        <n v="4365.0"/>
        <n v="4212.0"/>
        <n v="4367.0"/>
        <n v="104.0"/>
        <n v="4368.0"/>
        <n v="309.0"/>
        <n v="4466.0"/>
        <n v="4467.0"/>
        <n v="4468.0"/>
        <n v="4349.0"/>
        <n v="4371.0"/>
        <n v="4370.0"/>
        <n v="4369.0"/>
        <n v="14.0"/>
        <n v="4213.0"/>
        <n v="4442.0"/>
        <n v="105.0"/>
        <n v="106.0"/>
        <n v="154.0"/>
        <n v="155.0"/>
        <n v="156.0"/>
        <n v="107.0"/>
        <n v="108.0"/>
        <n v="3347.0"/>
        <n v="4348.0"/>
        <n v="67.0"/>
        <n v="68.0"/>
        <n v="69.0"/>
        <n v="70.0"/>
        <n v="71.0"/>
        <n v="72.0"/>
        <n v="73.0"/>
        <n v="4436.0"/>
        <n v="4437.0"/>
        <n v="4438.0"/>
        <n v="4439.0"/>
        <n v="4440.0"/>
        <n v="4441.0"/>
        <n v="74.0"/>
        <n v="75.0"/>
        <n v="76.0"/>
        <n v="77.0"/>
        <n v="78.0"/>
        <n v="79.0"/>
        <n v="80.0"/>
        <n v="81.0"/>
        <n v="82.0"/>
        <n v="83.0"/>
        <n v="84.0"/>
        <n v="163.0"/>
        <n v="164.0"/>
        <n v="165.0"/>
        <n v="384.0"/>
        <n v="385.0"/>
        <n v="386.0"/>
        <n v="387.0"/>
        <n v="4346.0"/>
        <n v="160.0"/>
        <n v="161.0"/>
        <n v="157.0"/>
        <n v="4214.0"/>
        <n v="158.0"/>
        <n v="4372.0"/>
        <n v="4373.0"/>
        <n v="4264.0"/>
        <n v="109.0"/>
        <n v="159.0"/>
        <n v="1540.0"/>
        <n v="85.0"/>
        <n v="86.0"/>
        <n v="87.0"/>
        <n v="88.0"/>
        <n v="89.0"/>
        <n v="90.0"/>
        <n v="166.0"/>
        <n v="167.0"/>
        <n v="168.0"/>
        <n v="169.0"/>
        <n v="170.0"/>
        <n v="171.0"/>
        <n v="172.0"/>
        <n v="15.0"/>
        <n v="16.0"/>
        <n v="17.0"/>
        <n v="18.0"/>
        <n v="19.0"/>
        <n v="20.0"/>
        <n v="21.0"/>
        <n v="118.0"/>
        <n v="119.0"/>
        <n v="120.0"/>
        <n v="121.0"/>
        <n v="4446.0"/>
        <n v="4447.0"/>
        <n v="4448.0"/>
        <n v="4449.0"/>
        <n v="4444.0"/>
        <n v="4445.0"/>
        <n v="4350.0"/>
        <n v="113.0"/>
        <n v="1889.0"/>
        <n v="308.0"/>
        <n v="310.0"/>
        <n v="4855.0"/>
        <n v="116.0"/>
        <n v="114.0"/>
        <n v="115.0"/>
        <n v="4375.0"/>
        <n v="4374.0"/>
        <n v="4443.0"/>
        <n v="173.0"/>
        <n v="110.0"/>
        <n v="111.0"/>
        <n v="92.0"/>
        <n v="91.0"/>
        <n v="93.0"/>
        <n v="94.0"/>
        <n v="95.0"/>
        <n v="96.0"/>
        <n v="97.0"/>
        <n v="98.0"/>
        <n v="99.0"/>
        <n v="100.0"/>
        <n v="201.0"/>
        <n v="202.0"/>
        <n v="203.0"/>
        <n v="204.0"/>
        <n v="205.0"/>
        <n v="179.0"/>
        <n v="180.0"/>
        <n v="181.0"/>
        <n v="182.0"/>
        <n v="183.0"/>
        <n v="184.0"/>
        <n v="185.0"/>
        <n v="186.0"/>
        <n v="187.0"/>
        <n v="174.0"/>
        <n v="175.0"/>
        <n v="176.0"/>
        <n v="177.0"/>
        <n v="122.0"/>
        <n v="123.0"/>
        <n v="4266.0"/>
        <n v="117.0"/>
        <n v="4215.0"/>
        <n v="4450.0"/>
        <n v="253.0"/>
        <n v="251.0"/>
        <n v="252.0"/>
        <n v="311.0"/>
        <n v="178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378.0"/>
        <n v="162.0"/>
        <n v="4379.0"/>
        <n v="4265.0"/>
        <n v="257.0"/>
        <n v="4216.0"/>
        <n v="22.0"/>
        <n v="4377.0"/>
        <n v="258.0"/>
        <n v="259.0"/>
        <n v="206.0"/>
        <n v="207.0"/>
        <n v="208.0"/>
        <n v="209.0"/>
        <n v="188.0"/>
        <n v="189.0"/>
        <n v="190.0"/>
        <n v="344.0"/>
        <n v="4383.0"/>
        <n v="4219.0"/>
        <n v="254.0"/>
        <n v="260.0"/>
        <n v="265.0"/>
        <n v="262.0"/>
        <n v="263.0"/>
        <n v="24.0"/>
        <n v="4380.0"/>
        <n v="125.0"/>
        <n v="126.0"/>
        <n v="266.0"/>
        <n v="267.0"/>
        <n v="1575.0"/>
        <n v="1576.0"/>
        <n v="27.0"/>
        <n v="28.0"/>
        <n v="312.0"/>
        <n v="210.0"/>
        <n v="191.0"/>
        <n v="4384.0"/>
        <n v="41.0"/>
        <n v="26.0"/>
        <n v="268.0"/>
        <n v="133.0"/>
        <n v="132.0"/>
        <n v="29.0"/>
        <n v="30.0"/>
        <n v="211.0"/>
        <n v="192.0"/>
        <n v="212.0"/>
        <n v="4218.0"/>
        <n v="269.0"/>
        <n v="31.0"/>
        <n v="4387.0"/>
        <n v="4386.0"/>
        <n v="4220.0"/>
        <n v="32.0"/>
        <n v="264.0"/>
        <n v="4385.0"/>
        <n v="4279.0"/>
        <n v="135.0"/>
        <n v="136.0"/>
        <n v="4469.0"/>
        <n v="4284.0"/>
        <n v="4285.0"/>
        <n v="4286.0"/>
        <n v="4391.0"/>
        <n v="137.0"/>
        <n v="138.0"/>
        <n v="139.0"/>
        <n v="315.0"/>
        <n v="398.0"/>
        <n v="214.0"/>
        <n v="4390.0"/>
        <n v="34.0"/>
        <n v="35.0"/>
        <n v="213.0"/>
        <n v="215.0"/>
        <n v="4222.0"/>
        <n v="319.0"/>
        <n v="271.0"/>
        <n v="199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4224.0"/>
        <n v="4223.0"/>
        <n v="794.0"/>
        <n v="4287.0"/>
        <n v="4470.0"/>
        <n v="4471.0"/>
        <n v="4225.0"/>
        <n v="141.0"/>
        <n v="4382.0"/>
        <n v="313.0"/>
        <n v="4289.0"/>
        <n v="4290.0"/>
        <n v="4226.0"/>
        <n v="4227.0"/>
        <n v="4288.0"/>
        <n v="216.0"/>
        <n v="275.0"/>
        <n v="4392.0"/>
        <n v="317.0"/>
        <n v="4217.0"/>
        <n v="4228.0"/>
        <n v="142.0"/>
        <n v="143.0"/>
        <n v="4291.0"/>
        <n v="38.0"/>
        <n v="277.0"/>
        <n v="278.0"/>
        <n v="272.0"/>
        <n v="217.0"/>
        <n v="42.0"/>
        <n v="43.0"/>
        <n v="44.0"/>
        <n v="4282.0"/>
        <n v="4281.0"/>
        <n v="140.0"/>
        <n v="4283.0"/>
        <n v="286.0"/>
        <n v="287.0"/>
        <n v="274.0"/>
        <n v="218.0"/>
        <n v="193.0"/>
        <n v="284.0"/>
        <n v="288.0"/>
        <n v="4473.0"/>
        <n v="4476.0"/>
        <n v="282.0"/>
        <n v="4293.0"/>
        <n v="4294.0"/>
        <n v="148.0"/>
        <n v="4295.0"/>
        <n v="146.0"/>
        <n v="4229.0"/>
        <n v="276.0"/>
        <n v="4475.0"/>
        <n v="283.0"/>
        <n v="145.0"/>
        <n v="2993.0"/>
        <n v="4221.0"/>
        <n v="4393.0"/>
        <n v="220.0"/>
        <n v="221.0"/>
        <n v="222.0"/>
        <n v="223.0"/>
        <n v="301.0"/>
        <n v="302.0"/>
        <n v="303.0"/>
        <n v="304.0"/>
        <n v="290.0"/>
        <n v="279.0"/>
        <n v="4479.0"/>
        <n v="4478.0"/>
        <n v="4480.0"/>
        <n v="321.0"/>
        <n v="4394.0"/>
        <n v="4103.0"/>
        <n v="4104.0"/>
        <n v="4105.0"/>
        <m/>
        <n v="293.0"/>
        <n v="4395.0"/>
        <n v="46.0"/>
      </sharedItems>
    </cacheField>
    <cacheField name="SALES" numFmtId="0">
      <sharedItems containsBlank="1">
        <s v="G"/>
        <s v="A"/>
        <m/>
        <s v="KO"/>
      </sharedItems>
    </cacheField>
    <cacheField name="TOKO-KOTA" numFmtId="0">
      <sharedItems containsBlank="1">
        <s v="PRISMA-YOGYA"/>
        <s v="AL IKHLAS-SOLO"/>
        <s v="SULUNG-SEMARANG"/>
        <s v="HANSA-SEMARANG"/>
        <s v="INDOGLOBAL-PATI"/>
        <s v="DR-PATI"/>
        <s v="SASA-BOJONEGORO"/>
        <s v="ANGKASA JAYA-BREBES"/>
        <s v="RATNA-WONOSOBO"/>
        <s v="INDOFOTOCOPY-PARAKAN"/>
        <s v="PUTRA MURIA-PATI"/>
        <s v="METRO-PURWOKERTO"/>
        <s v="MEMORY-BATANG"/>
        <s v="GLOBAL (IRAWAN)-PURWOKERTO"/>
        <s v="LARIS BARU-MUNTILAN"/>
        <s v="PUSTAKA BARU-TUBAN"/>
        <s v="ANDI STAR-SALATIGA"/>
        <s v="LESTARI *ARTOMORO)-YOGYA"/>
        <s v="SIDU-SALATIGA"/>
        <s v="MERDEKA-BOYOLALI"/>
        <s v="MERDEKA-KROYA"/>
        <s v="SISWA-KUTOARJO"/>
        <s v="SUMBER BUKIT-SALATIGA"/>
        <s v="NIKI SAE-TULUNGAGUNG"/>
        <s v="NAJIH-JEPARA"/>
        <s v="RITA-CILACAP"/>
        <s v="PANGLIMA BESAR-PURWOKERTO"/>
        <s v="MAKMUR JAYA-PURWODADI"/>
        <s v="PELAJAR-TEGAL"/>
        <s v="NABILA-TUBAN"/>
        <s v="CENTRAL-PURWOKERTO"/>
        <s v="AL ULYA-JOMBANG"/>
        <s v="REJO AGUNG-JOMBANG"/>
        <s v="DOREMI-TEMANGGUNG"/>
        <s v="SAHABAT BARU-PARAKAN"/>
        <s v="SUKSES-SALATIGA"/>
        <s v="RITA-WONOSOBO"/>
        <s v="SISWA-MUNTILAN"/>
        <s v="SINGKONG-PURWOREJO"/>
        <s v="RITA-PURWOKERTO"/>
        <s v="RITA-PURWW"/>
        <s v="INDRASARI-MRANGGEN"/>
        <s v="PUAS-PATI"/>
        <s v="BINA ILMU-BATU"/>
        <s v="MANGGALA SAKTI-MALANG"/>
        <s v="ANUGERAH BARU-JEPARA"/>
        <s v="WINARTI-TUBAN"/>
        <s v="BINTANG TOYS-JEPARA"/>
        <s v="ABC-MAGELANG"/>
        <s v="POJOK BLAURAN-SALATIGA"/>
        <s v="ANEKA-MALANG"/>
        <s v="HT JAYA-JUWANA"/>
        <s v="SIANA (PECINAN)-MALANG"/>
        <s v="SUKSES MAKMUR (GROSIR)-COMAL"/>
        <s v="DIAN ILMU-MALANG"/>
        <s v="AGUNG JAYA-TUBAN"/>
        <s v="CAHAYA-WANGON"/>
        <s v="CENDRAWASIH-SRAGEN"/>
        <s v="MITRA KAMPUS-KUDUS"/>
        <s v="TEMMY-JUWANA"/>
        <s v="GRAFIKA-JEPARA"/>
        <s v="MUDA JAYA-PURWOREJO"/>
        <s v="PANTES-BANTUL"/>
        <s v="PRESTASI-AJIBARANG"/>
        <s v="SUKSES 1-SIDOARJO"/>
        <s v="SUKSES 2-SIDOARJO"/>
        <s v="KONDANG-TEMANGGUNG"/>
        <s v="MENARA-BLORA"/>
        <s v="MEGARIA-PURWOKERTO"/>
        <s v="CAHAYA MANGON-WANGON"/>
        <s v="BRUK MENCENG-PURBALINGGA"/>
        <s v="LANCAR-MALANG"/>
        <s v="PERDANA-BREBES"/>
        <s v="AR-KUDUS"/>
        <s v="TERMINAL-CIREBON"/>
        <s v="IVONE-BUMIAYU"/>
        <s v="MAKMUR-TEGAL"/>
        <s v="SURYA-KUDUS"/>
        <s v="GARUDA-PURBALINGGA"/>
        <s v="TRIO PLAZA-MAGELANG"/>
        <s v="SBM-SEMARANG"/>
        <s v="SINAR KONDANG-PURWOREJO"/>
        <s v="PRIMA-MADIUN"/>
        <s v="CHAMPHION-YOGYA"/>
        <s v="MUBAROK-MRANGGEN"/>
        <s v="DIAN ILMU (MAS TEGUH)-MALANG"/>
        <s v="SINAR CAHAYA NIRMALA-BREBES"/>
        <s v="IMANUEL-TEMANGGUNG"/>
        <s v="ZIDANE-WONOGIRI"/>
        <s v="IHSAN-SOLO"/>
        <s v="PROGO-YOGYA"/>
        <s v="KURNIA-BANTUL"/>
        <s v="PANTES-PURWOREJO"/>
        <s v="PANTES-PURWOKERTO"/>
        <s v="LESTARI ADHI-MUNTILAN"/>
        <s v="RAMAI-UNGARAN"/>
        <s v="PERDANA-CIREBON"/>
        <s v="ENAM-CIREBON"/>
        <s v="SCORPIO-MALANG"/>
        <s v="WIJAYA KUSUMA-SLEMAN"/>
        <s v="CHAMPION-YOGYA"/>
        <s v="MAS TEGUH (PASTI BISA)-PURWODADI"/>
        <s v="DUTA ILAHI-LASEM"/>
        <s v="CV SINAR CAHAYA NIRMALA-BREBES"/>
        <s v="TAMBAH ILMU-KUDUS"/>
        <s v="GARUDA-PURBALINGA"/>
        <s v="BASA-PEMALANG"/>
        <s v="MITRAKAMPUS-KUDUS"/>
        <s v="AL HAMIDI-JEPARA"/>
        <s v="RENI (JATIMULYO)-KEBUMEN"/>
        <s v="TELADAN-TEGAL"/>
        <s v="BANJARAN PERMAI-TEGAL"/>
        <s v="BASA-TEGAL"/>
        <s v="81-GOMBONG"/>
        <s v="GUNUNG JATI-CIREBON"/>
        <s v="SANDI-CIREBON"/>
        <s v="TRISNO-PURWODADI"/>
        <s v="SISWA-PEKALONGAN"/>
        <s v="ABC-KEBUMEN"/>
        <s v="TERMINAL 2-CIREBON"/>
        <s v="GOMBONG-GOMBONG"/>
        <s v="BOBO-KLATEN"/>
        <s v="BENDAN-PEKALONGAN"/>
        <s v="ANUGRAH BARU-JEPARA"/>
        <s v="SISWA-WONOSOBO"/>
        <s v="SUKSES MAKMUR (INTAN)-COMAL"/>
        <s v="MEMORY-MAANG"/>
        <s v="INDOBARU-TEMANGGUGNG"/>
        <s v="SUKSES MAKMUR (INTAN)-SALATIGA"/>
        <s v="SALIKAH-BATANG"/>
        <s v="IKA-PURBALINGGA"/>
        <s v="MAS TEGUH (ATK PASTI BISA)-PURWODADI"/>
        <s v="PENAMAS-TRGAL"/>
        <s v="MIRACLE ABADI-SURABAYA"/>
        <s v="EKARIA-PURWOKERTO"/>
        <s v="AF TOYS-KENDAL"/>
        <s v="GRAND MEDIA-TEGAL"/>
        <s v="BAHTERA-YOGYA"/>
        <s v="SINAR ABADI-SURABAYA"/>
        <s v="ARDEN PRATAMA-CIREBON"/>
        <s v="SUMUR BATU-TEMBALANG"/>
        <s v="TOTEM-TEMBALANG"/>
        <s v="BERKAH-SEMARANG"/>
        <s v="SANUGERAH BARU-JEPARA"/>
        <s v="SINAR BHAKTI-YOGYA"/>
        <s v="EKARIA-PWURWOKERTO"/>
        <s v="SISWA-,UNTILAN"/>
        <s v="BENGAWAN RETAIL MANDIRI (LUWES)-PURWODADI"/>
        <s v="DIAN ILM-MALANG"/>
        <s v="ARTHAJAYA-BANJARNEGARA"/>
        <s v="SUMBER REJO-MAGELANG"/>
        <s v="TEJO MULYO-YOGYA"/>
        <s v="DIAN ILMU-SEMARANG"/>
        <s v="AL AMIN-WELAHAN"/>
        <s v="PRIMA JAYA-UNGARAN"/>
        <s v="ANEKA-JEPARA"/>
        <s v="PENAMAS-TEGAL"/>
        <s v="GLORIA-BLITAR"/>
        <s v="RAJA MURAH-PEKALONGAN"/>
        <s v="PIRMA-LASEM"/>
        <s v="GANESHA-WONOSOBO"/>
        <s v="EVERLYN-REMBANG"/>
        <s v="DUTA IOAHI-LASEM"/>
        <s v="MANGGALA SAKTI SAKTI-MALANG"/>
        <s v="BENGAWAN MULTI TRENDING (LUWES)-PATI"/>
        <s v="JUNIOR-PARE"/>
        <s v="SUMBER MAS-SOLO"/>
        <m/>
      </sharedItems>
    </cacheField>
    <cacheField name="KODE BARANG" numFmtId="0">
      <sharedItems containsBlank="1">
        <s v="OIL-DB2"/>
        <s v="OIL-DB6"/>
        <s v="PCA-NB131"/>
        <m/>
        <s v="IDC-IM22"/>
        <s v="DRA-IM13"/>
        <s v="STB-TF22"/>
        <s v="IGE-IM11"/>
        <s v="IGE-IM1"/>
        <s v="CBO-NB5"/>
        <s v="PCA-NB125"/>
        <s v="IDC-NB19"/>
        <s v="IDC-NB14"/>
        <s v="PCA-IM135"/>
        <s v="PCA-IM98"/>
        <s v="PCA-IM70"/>
        <s v="IST-IM1"/>
        <s v="STI-NB8"/>
        <s v="TIP-IM29"/>
        <s v="LEM-WM2"/>
        <s v="LEM-WM17"/>
        <s v="GAR-VO5"/>
        <s v="JAN-NB4"/>
        <s v="PEN-TF11"/>
        <s v="PEN-TF10"/>
        <s v="PEN-TF21"/>
        <s v="PEN-TF22"/>
        <s v="GAR-NB198"/>
        <s v="DIS-KE9"/>
        <s v="BOL-IM264"/>
        <s v="BOL-IM222"/>
        <s v="BOL-IM263"/>
        <s v="BOL-IM247"/>
        <s v="BOL-IM235"/>
        <s v="TAS-NB264"/>
        <s v="TAS-NB170"/>
        <s v="BOX-EN10"/>
        <s v="KAR-KJ1"/>
        <s v="BOX-MC2"/>
        <s v="BOX-MC3"/>
        <s v="KUA-IM24"/>
        <s v="MAP-TX13"/>
        <s v="NOT-IM57"/>
        <s v="NOT-IM27"/>
        <s v="NOT-IM43"/>
        <s v="NOT-IM39"/>
        <s v="KUA-TF1"/>
        <s v="BOL-TF330"/>
        <s v="BOL-TF344"/>
        <s v="BOL-TF27"/>
        <s v="BOL-TF337"/>
        <s v="BOL-IM308"/>
        <s v="BOL-IM311"/>
        <s v="BOL-IM309"/>
        <s v="TAS-NB149"/>
        <s v="TAS-NB147"/>
        <s v="TAS-NB82"/>
        <s v="TAS-NB81"/>
        <s v="TAS-IM122"/>
        <s v="TAS-NB208"/>
        <s v="TAS-NB209"/>
        <s v="TAS-IM23"/>
        <s v="TAS-IM237"/>
        <s v="TAS-NB214"/>
        <s v="TAS-IM360"/>
        <s v="TAS-IM252"/>
        <s v="TAS-IM251"/>
        <s v="TAS-IM254"/>
        <s v="TAS-110"/>
        <s v="TAS-IM187"/>
        <s v="TAS-NB216"/>
        <s v="TAS-NB213"/>
        <s v="TAS-IM234"/>
        <s v="BIN-NB4"/>
        <s v="TAS-294"/>
        <s v="NOT-IM99"/>
        <s v="KAR-LG1"/>
        <s v="NOT-IM49"/>
        <s v="NOT-IM48"/>
        <s v="NOT-IM50"/>
        <s v="NOT-IM20"/>
        <s v="BIN-WN2"/>
        <s v="BOL-TF343"/>
        <s v="BOL-VO123"/>
        <s v="BOL-VO132"/>
        <s v="BOL-HT358"/>
        <s v="BOL-NB310"/>
        <s v="BOL-VO122"/>
        <s v="BOL-VO125"/>
        <s v="BOL-VN24"/>
        <s v="STI-EN6"/>
        <s v="STI-EN14"/>
        <s v="STI-NB9"/>
        <s v="JAN-IM9"/>
        <s v="JAN-IM10"/>
        <s v="JAN-IM11"/>
        <s v="STI-KE13"/>
        <s v="GAR-EN37"/>
        <s v="GAR-EN8"/>
        <s v="GAR-EN253"/>
        <s v="GAR-YK155"/>
        <s v="GAR-BT28"/>
        <s v="GAR-BT30"/>
        <s v="GAR-NB84"/>
        <s v="GAR-NB63"/>
        <s v="GAR-NB74"/>
        <s v="GAR-KY173"/>
        <s v="GAR-KY174"/>
        <s v="GAR-KY172"/>
        <s v="GAR-KY176"/>
        <s v="GAR-TF249"/>
        <s v="GAR-TF250"/>
        <s v="GAR-TF251"/>
        <s v="GAR-TF111"/>
        <s v="GAR-IM216"/>
        <s v="GAR-IM225"/>
        <s v="GAR-IM235"/>
        <s v="GAR-IM238"/>
        <s v="GAR-IM236"/>
        <s v="GAR-NB68"/>
        <s v="GUN-TR88"/>
        <s v="GUN-TR86"/>
        <s v="GUN-TR89"/>
        <s v="GUN-NB80"/>
        <s v="GUN-ID35"/>
        <s v="GUN-GN1"/>
        <s v="GUN-TR87"/>
        <s v="GUN-NB85"/>
        <s v="GUN-DV14"/>
        <s v="BOL-ZX335"/>
        <s v="BOL-ZZ384"/>
        <s v="BOL-ZX148"/>
        <s v="GAR-BT27"/>
        <s v="CAT-TF7"/>
        <s v="CAT-TF15"/>
        <s v="CAT-TF14"/>
        <s v="BOL-IM240"/>
        <s v="BOL-CS99"/>
        <s v="BOL-IM287"/>
        <s v="BOL-IM286"/>
        <s v="BOL-IM238"/>
        <s v="BOL-IM283"/>
        <s v="BOL-IM284"/>
        <s v="BOL-IM282"/>
        <s v="TIP-IM18"/>
        <s v="TIP-IM35"/>
        <s v="TIP-IM15"/>
        <s v="BEN-PN17"/>
        <s v="BEN-NB10"/>
        <s v="BEN-PN23"/>
        <s v="BEN-PN18"/>
        <s v="BEN-PN25"/>
        <s v="BOL-NB380"/>
        <s v="BOL-IM364"/>
        <s v="BOL-IM230"/>
        <s v="BOL-IM232"/>
        <s v="BOL-IM234"/>
        <s v="BOL-IM236"/>
        <s v="BOL-IM242"/>
        <s v="BOL-IM245"/>
        <s v="BOL-IM248"/>
        <s v="BOL-IM251"/>
        <s v="CUT-TC7"/>
        <s v="CUT-TC8"/>
        <s v="TAP-IM6"/>
        <s v="ASA-PY130"/>
        <s v="ASA-PY131"/>
        <s v="ASA-PY135"/>
        <s v="ASA-PY129"/>
        <s v="ASA-PY136"/>
        <s v="ASA-PY134"/>
        <s v="LEM-NB6"/>
        <s v="ASA-IM53"/>
        <s v="ASA-IM59"/>
        <s v="ASA-NB110"/>
        <s v="ASA-IM72"/>
        <s v="LEM-NB10"/>
        <s v="PAL-NB3"/>
        <s v="PAL-NB4"/>
        <s v="PAL-IM6"/>
        <s v="PCA-IM121"/>
        <s v="PCA-IM95"/>
        <s v="PCA-IM44"/>
        <s v="PCA-IM36"/>
        <s v="PCA-IM32"/>
        <s v="PCA-XL7"/>
        <s v="PCA-IM114"/>
        <s v="PCA-IM111"/>
        <s v="PCA-IM41"/>
        <s v="PCA-IM112"/>
        <s v="PCA-NB166"/>
        <s v="PCA-IM136"/>
        <s v="PCA-IM49"/>
        <s v="PCA-IM50"/>
        <s v="PCA-IM62"/>
        <s v="PCA-IM53"/>
        <s v="PCA-NB161"/>
        <s v="PCA-IM47"/>
        <s v="PCA-IM66"/>
        <s v="GLI-NB2"/>
        <s v="GLI-IM1"/>
        <s v="BOL-TF336"/>
        <s v="BOL-TZ388"/>
        <s v="BOL-TZ385"/>
        <s v="BOL-TZ370"/>
        <s v="BOL-TZ349"/>
        <s v="BOL-TZ354"/>
        <s v="BOL-TZ353"/>
        <s v="BOL-TZ351"/>
        <s v="BOL-TZ397"/>
        <s v="KUA-IM58"/>
        <s v="KUA-IM29"/>
        <s v="KUA-IM22"/>
        <s v="KUA-TF2"/>
        <s v="TAS-IM115"/>
        <s v="TAS-IM116"/>
        <s v="TAS-NB64"/>
        <s v="CAT-VE9"/>
        <s v="PCA-NB134"/>
        <s v="BOL-IM221"/>
        <s v="BOL-IM268"/>
        <s v="BOL-IM273"/>
        <s v="BOL-IM269"/>
        <s v="BOL-IM275"/>
        <s v="BOL-IM266"/>
        <s v="BOL-IM249"/>
        <s v="BOL-IM243"/>
        <s v="BOL-IM223"/>
        <s v="BOL-IM229"/>
        <s v="BOL-IM265"/>
        <s v="BOL-IM277"/>
        <s v="CBO-TF4"/>
        <s v="CBO-TF2"/>
        <s v="CBO-TF1"/>
        <s v="CBO-TF3"/>
        <s v="BOL-TZ339"/>
        <s v="BOL-TZ363"/>
        <s v="MAP-SK84"/>
        <s v="MAP-SK78"/>
        <s v="PCA-NB162"/>
        <s v="PCA-NB163"/>
        <s v="PCA-NB164"/>
        <s v="PCA-NB165"/>
        <s v="MEC-NB2"/>
        <s v="PEN-TF23"/>
        <s v="PEN-TF12"/>
        <s v="BOL-TF408"/>
        <s v="MES-BX3"/>
        <s v="PEN-KY17"/>
        <s v="PEN-KY3"/>
        <s v="PEN-KY18"/>
        <s v="PEN-KY4"/>
        <s v="BOL-TJ121"/>
        <s v="SPA-HR2"/>
        <s v="GAR-BT25"/>
        <s v="BOL-NB136"/>
        <s v="BOL-NB139"/>
        <s v="GAR-EN2"/>
        <s v="TIP-MC1"/>
        <s v="IGE-TZ26"/>
        <s v="BOL-TZ333"/>
        <s v="GAR-EN1"/>
        <s v="GAR-EN38"/>
        <s v="GAR-TF158"/>
        <s v="MEC-NB9"/>
        <s v="MEC-TZ7"/>
        <s v="STB-TO17"/>
        <s v="BOL-TZ341"/>
        <s v="BOL-TZ342"/>
        <s v="CRA-NB1"/>
        <s v="MAP-GS119"/>
        <s v="KUA-IM10"/>
        <s v="MAP-SK74"/>
        <s v="MAP-SK75"/>
        <s v="MAP-SK77"/>
        <s v="NTS-NB1"/>
        <s v="MAP-SK98"/>
        <s v="MAP-SK99"/>
        <s v="SEM-NB1"/>
        <s v="SEL-NB1"/>
        <s v="PCA-IM80"/>
        <s v="PCA-NB141"/>
        <s v="PAP-NB3"/>
        <s v="STI-RC1"/>
        <s v="MEC-TZ6"/>
        <s v="MEC-TZ1"/>
        <s v="CAT-TF12"/>
        <s v="CAT-TF8"/>
        <s v="LOO-AL13"/>
        <s v="LOO-NB26"/>
        <s v="LOO-NB11"/>
        <s v="MAP-VO201"/>
        <s v="MAP-SK2"/>
        <s v="MAP-MC225"/>
        <s v="MAP-NB105"/>
        <s v="CBO-KO6"/>
        <s v="CBO-NB7"/>
        <s v="KUA-IM17"/>
        <s v="BUK-NB18"/>
        <s v="TAS-IM253"/>
        <s v="TAS-IM117"/>
        <s v="TAS-IM6"/>
        <s v="TAS-NB215"/>
        <s v="TAS-NB77"/>
        <s v="NOT-EN40"/>
        <s v="NOT-EN42"/>
        <s v="NOT-IM55"/>
        <s v="NOT-IM28"/>
        <s v="NOT-IM36"/>
        <s v="NOT-IM81"/>
        <s v="MAP-NB79"/>
        <s v="MAP-MC177"/>
        <s v="DOK-NB12"/>
        <s v="NOT-IM56"/>
        <s v="DOK-NB7"/>
        <s v="MAP-MC173"/>
        <s v="MAP-MC174"/>
        <s v="MAP-MC175"/>
        <s v="STC-IM6"/>
        <s v="STC-IM16"/>
        <s v="STC-IM7"/>
        <s v="STC-IM11"/>
        <s v="CRA-NB2"/>
        <s v="BOL-IM305"/>
        <s v="BOL-IM204"/>
        <s v="BOL-IM359"/>
        <s v="PEN-KY16"/>
        <s v="CAT-PC23"/>
        <s v="BOL-IM307"/>
        <s v="BOL-IM304"/>
        <s v="BOL-IM306"/>
        <s v="PEN-KY1"/>
        <s v="GUN-NB79"/>
        <s v="GUN-JN51"/>
        <s v="GUN-JN53"/>
        <s v="BOL-CS202"/>
        <s v="IPE-NB2"/>
        <s v="IGE-DB23"/>
        <s v="PWA-IM26"/>
        <s v="BOL-ZI367"/>
        <s v="BOL-TZ373"/>
        <s v="TIP-NB43"/>
        <s v="GAR-NB200"/>
        <s v="KAC-IM8"/>
        <s v="KAC-IM9"/>
        <s v="KAC-IM10"/>
        <s v="KAC-IM11"/>
        <s v="BOL-PL82"/>
        <s v="TIP-IM12"/>
        <s v="TIP-IM40"/>
        <s v="TIP-IM7"/>
        <s v="TIP-IM9"/>
        <s v="TIP-IM5"/>
        <s v="TIP-IM33"/>
        <s v="TIP-IM48"/>
        <s v="TIP-IM17"/>
        <s v="TIP-IM10"/>
        <s v="TIP-IM22"/>
        <s v="TIP-IM6"/>
        <s v="TIP-IM4"/>
        <s v="PCA-IM42"/>
        <s v="PCA-IM108"/>
        <s v="PCA-IM110"/>
        <s v="PCA-IM109"/>
        <s v="ASA-IM65"/>
        <s v="ASA-IM71"/>
        <s v="ASA-NB82"/>
        <s v="DRA-IM18"/>
        <s v="DRA-IM20"/>
        <s v="DRA-NB1"/>
        <s v="SEM-NB2"/>
        <s v="SEM-NB9"/>
        <s v="KEY-IM1"/>
        <s v="GLI-IM5"/>
        <s v="ASA-GL2"/>
        <s v="ASA-DM32"/>
        <s v="TAP-IM1"/>
        <s v="PCA-IM31"/>
        <s v="PCA-NB129"/>
        <s v="PCA-XL8"/>
        <s v="PCA-XL10"/>
        <s v="PCA-XL9"/>
        <s v="PCA-IM39"/>
        <s v="PCA-IM105"/>
        <s v="PCA-IM106"/>
        <s v="PCA-IM38"/>
        <s v="PCA-IM101"/>
        <s v="ASA-PY138"/>
        <s v="ASA-PY133"/>
        <s v="ASA-IM60"/>
        <s v="ASA-IM39"/>
        <s v="ASA-NB1"/>
        <s v="ASA-IM67"/>
        <s v="KRE-NB1"/>
        <s v="PCA-IM113"/>
        <s v="PCA-IM103"/>
        <s v="PCA-IM37"/>
        <s v="PCA-IM28"/>
        <s v="PCA-NB128"/>
        <s v="PCA-IM27"/>
        <s v="PCA-IM107"/>
        <s v="PCA-IM94"/>
        <s v="PCA-NB123"/>
        <s v="PCA-IM118"/>
        <s v="PCA-IM89"/>
        <s v="PCA-NB152"/>
        <s v="MAG-IM6"/>
        <s v="PAP-NB2"/>
        <s v="BEN-PN19"/>
        <s v="BEN-NB8"/>
        <s v="BEN-PN24"/>
        <s v="IGE-IM2"/>
        <s v="MAG-IM18"/>
        <s v="IGE-VO12"/>
        <s v="IGE-VO17"/>
        <s v="CBO-YS15"/>
        <s v="NOT-IM9"/>
        <s v="LOO-NB4"/>
        <s v="KUA-IM56"/>
        <s v="LOO-NB9"/>
        <s v="TAS-IM233"/>
        <s v="TAS-NB298"/>
        <s v="TAS-351"/>
        <s v="TAS-NB172"/>
        <s v="TAS-IM37"/>
        <s v="TAS-NB168"/>
        <s v="TAS-NB167"/>
        <s v="TAS-NB169"/>
        <s v="TAS-IM38"/>
        <s v="BAL-LK32"/>
        <s v="BAL-LK13"/>
        <s v="BAL-NCL20"/>
        <s v="BAL-LK8"/>
        <s v="MAP-TX23"/>
        <s v="MAP-TX156"/>
        <s v="MAP-KL54"/>
        <s v="DOK-NB11"/>
        <s v="DOK-NB9"/>
        <s v="DOK-NB5"/>
        <s v="PEN-CP19"/>
        <s v="JAN-NB1"/>
        <s v="BOL-NB212"/>
        <s v="JAN-NB7"/>
        <s v="JAN-IM6"/>
        <s v="PCA-IM13"/>
        <s v="PCA-NB170"/>
        <s v="BOL-NB360"/>
        <s v="BOL-IM290"/>
        <s v="BOL-IM279"/>
        <s v="BOL-IM227"/>
        <s v="ASA-NB007"/>
        <s v="PCA-NB171"/>
        <s v="PIA-NB1"/>
        <s v="TAS-NB47"/>
        <s v="STB-TF13"/>
        <s v="PEN-NB24"/>
        <s v="LIL-NB11"/>
        <s v="LIL-NB12"/>
        <s v="LIL-NB13"/>
        <s v="BOL-VO127"/>
        <s v="BOL-VO126"/>
        <s v="BOL-ZI366"/>
        <s v="BOL-ZI365"/>
        <s v="NOT-IM29"/>
        <s v="NOT-IM46"/>
        <s v="NOT-IM51"/>
        <s v="NOT-IM5"/>
        <s v="NOT-IM25"/>
        <s v="ASA-NB151"/>
        <s v="PCA-XL5"/>
        <s v="MES-PC1"/>
        <s v="PCA-IM24"/>
        <s v="PCA-IM40"/>
        <s v="PCA-IM132"/>
        <s v="PCA-NB4"/>
        <s v="PCA-IM48"/>
        <s v="PCA-IM57"/>
        <s v="PCA-IM30"/>
        <s v="PCA-IM51"/>
        <s v="PCA-IM52"/>
        <s v="PCA-NB172"/>
        <s v="PCA-NB173"/>
        <s v="PCA-NB130"/>
        <s v="PCA-NB140"/>
        <s v="STU-IM4"/>
        <s v="MEC-TZ4"/>
        <s v="IPE-NB1"/>
        <s v="BOL-WY13"/>
        <s v="MEC-NB3"/>
        <s v="MEJ-PL1"/>
        <s v="BOL-TF357"/>
        <s v="PAL-NB1"/>
        <s v="PAL-NB2"/>
        <s v="CUT-GL4"/>
        <s v="GAR-BT22"/>
        <s v="CLI-NB5"/>
        <s v="BUK-EN19"/>
        <s v="POS-NB5"/>
        <s v="TAS-125"/>
        <s v="TAS-NB4"/>
        <s v="STC-IM13"/>
        <s v="STC-IM8"/>
        <s v="STC-IM17"/>
        <s v="STC-IM9"/>
        <s v="STC-IM5"/>
        <s v="STC-IM15"/>
        <s v="NOT-IM4"/>
        <s v="NOT-IM74"/>
        <s v="NOT-IM61"/>
        <s v="NOT-IM67"/>
        <s v="BAL-NCL27"/>
        <s v="BAL-NCL26"/>
        <s v="BAL-NCL28"/>
        <s v="TAS-IM121"/>
        <s v="BAL-LK7"/>
        <s v="TAS-134"/>
        <s v="NOT-IM19"/>
        <s v="NOT-IM11"/>
        <s v="NOT-IM15"/>
        <s v="BIN-WN14"/>
        <s v="NOT-IM17"/>
        <s v="CBO-EN9"/>
        <s v="CBO-NB11"/>
        <s v="NOT-IM26"/>
        <s v="AGE-NB3"/>
        <s v="NOT-NB88"/>
        <s v="SPI-NB1"/>
        <s v="SPI-YK2"/>
        <s v="SPI-GL3"/>
        <s v="STB-TF12"/>
        <s v="STB-TZ16"/>
        <s v="GAR-NB17"/>
        <s v="BOL-CS22"/>
        <s v="IBE-LT1"/>
        <s v="BEN-PN21"/>
        <s v="ABJ-NB12"/>
        <s v="GAR-KY175"/>
        <s v="IGE-IM15"/>
        <s v="TIP-IM25"/>
        <s v="TIP-MC39"/>
        <s v="TIP-NB14"/>
        <s v="GAR-PY99"/>
        <s v="BEN-LN2"/>
        <s v="IGE-ES7"/>
        <s v="KUA-IM26"/>
        <s v="KUA-IM57"/>
        <s v="TAS-NB76"/>
        <s v="PWA-NB4"/>
        <s v="PWA-KK11"/>
        <s v="BOL-NB21"/>
        <s v="BOL-IM250"/>
        <s v="BOL-IM301"/>
        <s v="BOL-IM303"/>
        <s v="PWA-KO3"/>
        <s v="PEN-KY15"/>
        <s v="PEN-IM25"/>
        <s v="PEN-IM26"/>
        <s v="PEN-IM37"/>
        <s v="BOL-IM253"/>
        <s v="BOL-IM260"/>
        <s v="BOL-IM256"/>
        <s v="BOL-IM261"/>
        <s v="BOL-IM281"/>
        <s v="BOL-IM289"/>
        <s v="BOL-IM285"/>
        <s v="BOL-IM292"/>
        <s v="BOL-IM278"/>
        <s v="BOL-NB102"/>
        <s v="BOL-DB23"/>
        <s v="BOL-SK96"/>
        <s v="BOL-SK97"/>
        <s v="BOL-TZ340"/>
        <s v="GUN-NB76"/>
        <s v="MAG-IM4"/>
        <s v="MAG-IM3"/>
        <s v="ASA-IM68"/>
        <s v="ASA-DY34"/>
        <s v="ASA-NB76"/>
        <s v="STI-RC2"/>
        <s v="DIS-VE4"/>
        <s v="PIT-NB14"/>
        <s v="PIT-NB13"/>
        <s v="PIT-NB12"/>
        <s v="STI-RC3"/>
        <s v="ASA-NB106"/>
        <s v="ASA-NB77"/>
        <s v="ASA-TK147"/>
        <s v="ASA-IM44"/>
        <s v="ASA-IM40"/>
        <s v="ASA-IM56"/>
        <s v="ASA-DM31"/>
        <s v="ASA-IM51"/>
        <s v="DIS-KE5"/>
        <s v="PWA-VN5"/>
        <s v="CAT-PC19"/>
        <s v="IGE-VO18"/>
        <s v="PEN-KY5"/>
        <s v="STC-IM12"/>
        <s v="STC-IM10"/>
        <s v="STC-IM18"/>
        <s v="NOT-IM65"/>
        <s v="NOT-IM66"/>
        <s v="NOT-IM35"/>
        <s v="NOT-IM70"/>
        <s v="NOT-IM64"/>
        <s v="NOT-IM53"/>
        <s v="NOT-NB78"/>
        <s v="NOT-NB77"/>
        <s v="NOT-IM68"/>
        <s v="NOT-IM3"/>
        <s v="NOT-IM24"/>
        <s v="NOT-IM69"/>
        <s v="CBO-YS14"/>
        <s v="AGE-NB12"/>
        <s v="AGE-NB5"/>
        <s v="SAM-SK15"/>
        <s v="SAM-NB16"/>
        <s v="BWA-SK11"/>
        <s v="NOT-IM31"/>
        <s v="BIN-GS11"/>
        <s v="BWA-NB8"/>
        <s v="LOO-NB3"/>
        <s v="BOL-TZ375"/>
        <s v="BOL-DB208"/>
        <s v="BOL-DB381"/>
        <s v="BOL-TZ374"/>
        <s v="BOL-TZ378"/>
        <s v="BOL-TZ377"/>
        <s v="BOL-TZ379"/>
        <s v="BOL-ZI25"/>
        <s v="BOL-TO109"/>
        <s v="GAR-NB18"/>
        <s v="ORI-AL1"/>
        <s v="ORI-AL6"/>
        <s v="NOT-EN41"/>
        <s v="NOT-IM84"/>
        <s v="NOT-IM52"/>
        <s v="NOT-IM71"/>
        <s v="NOT-NB32"/>
        <s v="AGE-NB11"/>
        <s v="NOT-IM83"/>
        <s v="NOT-IM73"/>
        <s v="CBO-TR12"/>
        <s v="BAL-LK6"/>
        <s v="BAL-NCL25"/>
        <s v="BAL-NCL42"/>
        <s v="KAR-NB15"/>
        <s v="TAS-IM12"/>
        <s v="BUK-EC13"/>
        <s v="TAS-IM8"/>
        <s v="TIP-IM26"/>
        <s v="TIP-IM13"/>
        <s v="TIP-IM11"/>
        <s v="TIP-NB45"/>
        <s v="TIP-NB46"/>
        <s v="PWA-KY16"/>
        <s v="PWA-KK10"/>
        <s v="BOL-DB19"/>
        <s v="GAR-MC199"/>
        <s v="KUA-IM59"/>
        <s v="SPI-TF13"/>
        <s v="GUN-JN52"/>
        <s v="GUN-NB81"/>
        <s v="GUN-NB83"/>
        <s v="GUN-KB56"/>
        <s v="GAR-NB106"/>
        <s v="MAG-IM27"/>
        <s v="MAG-IM28"/>
        <s v="ABJ-NB14"/>
        <s v="ASA-IM61"/>
        <s v="PIT-IM2"/>
        <s v="PIT-IM11"/>
        <s v="PIT-IM37"/>
        <s v="SUL-TR1"/>
        <s v="IDC-IM8"/>
        <s v="STB-DB23"/>
        <s v="CRA-NB4"/>
        <s v="PWA-IM27"/>
        <s v="PEN-IM27"/>
        <s v="AGE-NB13"/>
        <s v="PEN-CH28"/>
        <s v="BIN-KO7"/>
        <s v="PCA-IM104"/>
        <s v="IDC-NB4"/>
        <s v="IDC-NB5"/>
        <s v="IDC-NB2"/>
        <s v="IDC-NB3"/>
        <s v="IDC-NB1"/>
        <s v="IDC-NB6"/>
        <s v="LEM-NB4"/>
        <s v="MAP-SK228"/>
        <s v="MAP-SK230"/>
        <s v="MAP-SK231"/>
        <s v="MAP-SK229"/>
        <s v="MAP-SK76"/>
        <s v="CEL-NB1"/>
        <s v="CEL-NB2"/>
        <s v="CEL-NB3"/>
        <s v="CEL-NB4"/>
        <s v="PAL-NB10"/>
        <s v="PCA-NB174"/>
        <s v="PCA-NB175"/>
        <s v="PCA-NB176"/>
        <s v="PCA-NB177"/>
        <s v="PCA-IM22"/>
        <s v="PCA-NB179"/>
        <s v="PCA-NB133"/>
        <s v="PCA-IM20"/>
        <s v="PCA-IM19"/>
        <s v="PCA-IM18"/>
        <s v="PCA-IM64"/>
        <s v="PCA-IM77"/>
        <s v="CAT-EN2"/>
        <s v="CAT-DR1"/>
        <s v="BOL-IM254"/>
        <s v="BOL-IM257"/>
        <s v="BOL-IM300"/>
        <s v="BOL-IM302"/>
        <s v="BOL-VO128"/>
        <s v="GUN-ID40"/>
        <s v="GUN-ID42"/>
        <s v="GUN-ID44"/>
        <s v="GUN-NB69"/>
        <s v="GUN-NB68"/>
        <s v="GUN-JN55"/>
        <s v="KUA-IM37"/>
        <s v="KUA-IM38"/>
        <s v="KUA-IM40"/>
        <s v="KUA-IM42"/>
        <s v="KUA-IM43"/>
        <s v="KUA-IM44"/>
        <s v="KUA-IM46"/>
        <s v="MAP-SK103"/>
        <s v="MAP-SK102"/>
        <s v="MAP-SK100"/>
        <s v="STI-GN7"/>
        <s v="GAR-BT21"/>
        <s v="TIP-IM21"/>
        <s v="TIP-IM16"/>
        <s v="CAT-OP5"/>
        <s v="CAT-OP6"/>
        <s v="IDC-IM9"/>
        <s v="IDC-NB15"/>
        <s v="IDC-NB18"/>
        <s v="LEM-NB15"/>
        <s v="MES-BS2"/>
        <s v="MAP-SK136"/>
        <s v="MAP-SK134"/>
        <s v="MAP-SK131"/>
        <s v="MAP-SK133"/>
        <s v="MAP-SK130"/>
        <s v="TAP-NB3"/>
        <s v="PEN-TF29"/>
        <s v="ASA-IM62"/>
        <s v="ASA-IM38"/>
        <s v="PCA-IM17"/>
        <s v="PCA-IM84"/>
        <s v="PCA-XL11"/>
        <s v="LEM-NB1"/>
        <s v="IGE-TZ16"/>
        <s v="STB-NB6"/>
        <s v="GAR-IM231"/>
        <s v="PEN-IM30"/>
        <s v="PEN-IM31"/>
        <s v="PEN-IM32"/>
        <s v="PEN-IM33"/>
        <s v="PEN-IM34"/>
        <s v="PEN-IM35"/>
        <s v="PEN-IM36"/>
        <s v="BAL-NB49"/>
        <s v="BAL-NB48"/>
        <s v="DIA-NB4"/>
        <s v="BOL-NB32"/>
        <s v="BOL-NB33"/>
        <s v="BAL-LK17"/>
        <s v="BOL-TZ391"/>
        <s v="BOL-TZ387"/>
        <s v="BOL-TZ350"/>
        <s v="IGE-ES8"/>
        <s v="IGE-ES3"/>
        <s v="IGE-ES4"/>
        <s v="IGE-ES5"/>
        <s v="IGE-ES9"/>
        <s v="BOL-VO131"/>
        <s v="BOL-VO130"/>
        <s v="BOL-ZI28"/>
        <s v="BOL-ZI47"/>
        <s v="BOL-ZI62"/>
        <s v="GAR-NB93"/>
        <s v="GAR-NB105"/>
        <s v="GAR-NB92"/>
        <s v="GAR-IM240"/>
        <s v="GAR-IM239"/>
        <s v="GAR-IM127"/>
        <s v="PCA-NB181"/>
        <s v="PCA-NB182"/>
        <s v="PCA-NB184"/>
        <s v="PCA-NB183"/>
        <s v="PCA-IM86"/>
        <s v="POS-TF13"/>
        <s v="BEN-LN1"/>
        <s v="BEN-PN20"/>
        <s v="BOL-KO398"/>
        <s v="BOL-KO399"/>
        <s v="BOL-KO400"/>
        <s v="BOL-KO401"/>
        <s v="BOL-KO402"/>
        <s v="BOL-KO403"/>
        <s v="BOL-KO404"/>
        <s v="BOL-KO405"/>
        <s v="BOL-KO406"/>
        <s v="BOL-KO407"/>
        <s v="PCA-IM67"/>
        <s v="SPA-HR3"/>
        <s v="LOO-BS14"/>
        <s v="ASA-PY2"/>
        <s v="ASA-PY137"/>
        <s v="ASA-PY139"/>
        <s v="LOO-KO5"/>
        <s v="IPE-NB3"/>
        <s v="POS-TF3"/>
        <s v="IDC-IM7"/>
        <s v="NOT-IM34"/>
        <s v="NOT-IM45"/>
        <s v="NOT-IM86"/>
        <s v="NOT-IM72"/>
        <s v="TAP-NB5"/>
        <s v="BOL-DB104"/>
        <s v="MAP-MC226"/>
        <s v="TAS-NB381"/>
        <s v="SUL-TR2"/>
        <s v="MAG-IM11"/>
        <s v="BOL-TZ396"/>
        <s v="ACR-KO9"/>
        <s v="BOL-TZ346"/>
        <s v="POS-TF12"/>
        <s v="LOO-AL12"/>
        <s v="BOL-IM262"/>
        <s v="BOL-NB55"/>
        <s v="ACR-KO8"/>
        <s v="PCA-IM82"/>
        <s v="CAT-TF13"/>
        <s v="CAT-VO11"/>
        <s v="MAP-VE125"/>
        <s v="STE-IM1"/>
        <s v="SPA-NB1"/>
        <s v="MAG-IM24"/>
        <s v="MAG-IM20"/>
        <s v="MAG-NB1"/>
        <s v="MAG-IM31"/>
        <s v="MAG-IM29"/>
        <s v="MAG-IM30"/>
        <s v="MAG-IM21"/>
        <s v="BIN-NB5"/>
        <s v="GAR-IM218"/>
        <s v="GUN-NB70"/>
        <s v="SPI-NB12"/>
        <s v="BOL-DB105"/>
        <s v="BOL-NB10"/>
        <s v="BOL-NB4"/>
        <s v="GAR-IM211"/>
        <s v="GAR-IM241"/>
        <s v="GAR-IM204"/>
        <s v="GAR-IM210"/>
        <s v="GAR-IM248"/>
        <s v="GAR-IM205"/>
        <s v="GAR-IM232"/>
        <s v="GAR-IM245"/>
        <s v="MEC-TZ8"/>
        <s v="BOL-NB7"/>
        <s v="MAG-IM13"/>
        <s v="MAG-IM12"/>
        <s v="STI-EN15"/>
        <s v="ASA-IM50"/>
        <s v="MAP-SK232"/>
        <s v="KUA-IM49"/>
        <s v="KUA-IM50"/>
        <s v="KUA-IM52"/>
        <s v="MAP-NB157"/>
        <s v="PCA-IM59"/>
        <s v="PIT-IM6"/>
        <s v="PIT-IM3"/>
        <s v="PIT-IM36"/>
        <s v="PIT-IM9"/>
        <s v="PIT-IM16"/>
        <s v="PIT-IM19"/>
        <s v="PIT-IM7"/>
        <s v="PIT-NB31"/>
        <s v="GUN-NB8"/>
        <s v="MEJ-NB2"/>
        <s v="PWA-NB1"/>
        <s v="MAP-VE207"/>
        <s v="MAP-SK220"/>
        <s v="MAP-SK218"/>
        <s v="MAP-SK219"/>
        <s v="BOL-PL85"/>
        <s v="PEN-CL14"/>
        <s v="PEN-CW7"/>
        <s v="PCA-IM15"/>
        <s v="PCA-IM35"/>
        <s v="PCA-IM29"/>
        <s v="PCA-IM93"/>
        <s v="BOL-ZI48"/>
        <s v="POS-TF14"/>
        <s v="BEN-NB13"/>
        <s v="CAT-TF22"/>
        <s v="STC-IM1"/>
        <s v="STC-IM2"/>
        <s v="DIS-MS2"/>
        <s v="DIS-MS8"/>
        <s v="LTR-MC11"/>
        <s v="LTR-MC12"/>
        <s v="LTR-MC13"/>
        <s v="GUN-JN54"/>
        <s v="GUN-NB7"/>
        <s v="STA-IM1"/>
        <s v="GAR-KO55"/>
        <s v="GAR-KO54"/>
        <s v="LTR-NB5"/>
        <s v="LTR-NB9"/>
        <s v="DIS-NB1"/>
        <s v="CLI-VE4"/>
        <s v="CLI-VE3"/>
        <s v="PCA-IM55"/>
        <s v="PCA-IM79"/>
        <s v="PCA-NB188"/>
        <s v="PCA-NB189"/>
        <s v="LOO-NB1"/>
        <s v="LOO-NB2"/>
        <s v="KUA-IM55"/>
        <s v="KUA-IM20"/>
        <s v="BIN-GS6"/>
        <s v="BAL-LK18"/>
        <s v="BAL-NCL44"/>
        <s v="NOT-IM60"/>
        <s v="NOT-IM82"/>
        <s v="NOT-IM59"/>
        <s v="NOT-NB80"/>
        <s v="NOT-NB33"/>
        <s v="GAR-DB36"/>
        <s v="GAR-NB161"/>
        <s v="GAR-NB166"/>
        <s v="GAR-NB113"/>
        <s v="NOT-NB23"/>
        <s v="LIL-NB7"/>
        <s v="TAS-IM28"/>
        <s v="KUA-IM16"/>
        <s v="STC-IM3"/>
        <s v="DOK-NB8"/>
        <s v="BAL-LK14"/>
        <s v="TUS-XN1"/>
        <s v="MAG-IM14"/>
        <s v="PAL-NB11"/>
        <s v="TAS-NB83"/>
        <s v="TIP-IM27"/>
        <s v="TIP-IM20"/>
        <s v="TIP-IM19"/>
        <s v="TIP-IM32"/>
        <s v="GUN-IM34"/>
        <s v="IGE-DB24"/>
        <s v="BOL-NB162"/>
        <s v="BOL-NB192"/>
        <s v="BOL-NB183"/>
        <s v="BOL-NB167"/>
        <s v="BOL-NB368"/>
        <s v="JAN-NB2"/>
        <s v="JAN-TO3"/>
        <s v="PEN-TF9"/>
        <s v="GAR-NB154"/>
        <s v="STC-IM19"/>
        <s v="MAP-TX153"/>
        <s v="MAP-NB94"/>
        <s v="POS-TF4"/>
        <s v="MAP-NB33"/>
        <s v="MAP-NB32"/>
        <s v="MAP-NB31"/>
        <s v="MAP-MC176"/>
        <s v="MAP-NB36"/>
        <s v="MAP-NB183"/>
        <s v="MAP-NB37"/>
        <s v="PEM-JS7"/>
        <s v="BAL-NCL23"/>
        <s v="BAL-NCL41"/>
        <s v="BAL-NCL22"/>
        <s v="BAN-NCL1"/>
        <s v="ASA-TT149"/>
        <s v="PCA-IM115"/>
        <s v="STI-TF12"/>
        <s v="MAG-IM25"/>
        <s v="BOL-IM218"/>
        <s v="BOL-IM219"/>
        <s v="LOO-NB17"/>
        <s v="PCA-KY139"/>
        <s v="DRA-NB6"/>
        <s v="GAR-IM145"/>
        <s v="GAR-NB162"/>
        <s v="GUN-NB59"/>
        <s v="ORI-AL4"/>
        <s v="STB-VN18"/>
        <s v="PCA-NB124"/>
        <s v="TAS-IM185"/>
        <s v="TIP-IM24"/>
        <s v="TIP-IM47"/>
        <s v="TIP-IM28"/>
        <s v="MAP-MC71"/>
        <s v="NOT-IM44"/>
        <s v="SEM-MS6"/>
        <s v="IGE-ES10"/>
        <s v="TIN-NB1"/>
        <s v="GAR-EN165"/>
        <s v="PCA-XL6"/>
        <s v="PCA-IM61"/>
        <s v="PCA-NB193"/>
        <s v="PCA-NB191"/>
        <s v="PCA-NB102"/>
        <s v="PCA-NB142"/>
        <s v="PCA-IM23"/>
        <s v="PCA-IM119"/>
        <s v="PCA-IM99"/>
        <s v="PCA-IM83"/>
        <s v="KUA-IM54"/>
        <s v="KUA-IM32"/>
        <s v="KUA-IM34"/>
        <s v="KUA-IM35"/>
        <s v="KUA-IM36"/>
        <s v="CAT-MR20"/>
        <s v="PAL-NB9"/>
        <s v="IDC-IM21"/>
        <s v="BUK-NB14"/>
        <s v="BUK-NB11"/>
        <s v="BUK-NB16"/>
        <s v="BUK-NB15"/>
        <s v="BUK-NB4"/>
        <s v="BUK-NB3"/>
        <s v="ORI-NB7"/>
        <s v="ORI-NB2"/>
        <s v="TAS-IM120"/>
        <s v="GAR-NB34"/>
        <s v="GUN-SS78"/>
        <s v="GUN-SS77"/>
        <s v="IPE-VO4"/>
        <s v="PWA-TF21"/>
        <s v="PEN-IM20"/>
        <s v="JAN-NB8"/>
        <s v="TIP-IM2"/>
        <s v="PCA-NB150"/>
        <s v="PCA-KY25"/>
        <s v="PCA-KY65"/>
        <s v="GAR-NB129"/>
        <s v="LIL-SH2"/>
        <s v="LIL-SH3"/>
        <s v="SAM-WR2"/>
        <s v="SAM-WR1"/>
        <s v="BOL-NB9"/>
        <s v="BOL-NB1"/>
        <s v="KUA-IM25"/>
        <s v="LOO-KO7"/>
        <s v="IDC-NB20"/>
        <s v="IDC-NB17"/>
        <s v="IDC-NB16"/>
        <s v="TIP-NB42"/>
        <s v="BOL-KO2"/>
        <s v="BOL-KO3"/>
        <s v="IGE-NB2"/>
        <s v="MAP-SK221"/>
        <s v="PIT-IM23"/>
        <s v="TIP-IM41"/>
        <s v="TIP-IM49"/>
        <s v="SAM-18"/>
        <s v="GUN-VN67"/>
        <s v="GAR-YK16"/>
        <s v="KAR-NB16"/>
        <s v="GAR-IM227"/>
        <s v="ASA-IM37"/>
        <s v="ASA-IM45"/>
        <s v="ASA-IM52"/>
        <s v="ASA-IM63"/>
        <s v="ASA-IM55"/>
        <s v="ASA-NB118"/>
        <s v="ASA-NB112"/>
        <s v="ASA-IM41"/>
        <s v="ASA-NB122"/>
        <s v="ASA-DY33"/>
        <s v="PIT-NB32"/>
        <s v="PIT-NB33"/>
        <s v="PIT-IM26"/>
        <s v="BWA-IM22"/>
        <s v="PIT-NB21"/>
        <s v="TAS-295"/>
        <s v="TAS-208"/>
        <s v="TAS-NB75"/>
        <s v="TAS-NB52"/>
        <s v="TAS-NB166"/>
        <s v="TAS-IM21"/>
        <s v="TAS-IM26"/>
        <s v="LOO-NB18"/>
        <s v="POS-IM2"/>
        <s v="BIN-WN10"/>
        <s v="MAP-NB21"/>
        <s v="BWA-IM13"/>
        <s v="SAM-DU14"/>
        <s v="SAM-DU23"/>
        <s v="SAM-DU24"/>
        <s v="NOT-IM8"/>
        <s v="BOL-NB54"/>
        <s v="BOL-TZ241"/>
        <s v="PEN-NB40"/>
        <s v="PEN-IM41"/>
        <s v="GAR-IM209"/>
        <s v="PEN-IM8"/>
        <s v="BOL-IM217"/>
        <s v="GAR-IM224"/>
        <s v="GAR-IM226"/>
        <s v="GAR-NB156"/>
        <s v="GAR-63"/>
        <s v="GAR-NB195"/>
        <s v="GAR-NB85"/>
        <s v="GAR-TF112"/>
        <s v="GAR-KJ124"/>
        <s v="GAR-KJ128"/>
        <s v="BOL-TX118"/>
        <s v="IGE-NB1"/>
        <s v="PEN-ZH44"/>
        <s v="PEN-NB38"/>
        <s v="GUN-ID41"/>
        <s v="GUN-ID37"/>
        <s v="GUN-IN46"/>
        <s v="GUN-IN47"/>
        <s v="GUN-IN45"/>
        <s v="SAM-AX19"/>
        <s v="MAP-MC152"/>
        <s v="MAP-NB27"/>
        <s v="TAS-NB61"/>
        <s v="BAL-LK16"/>
        <s v="KUA-IM51"/>
        <s v="STI-DB16"/>
        <s v="ASA-NB74"/>
        <s v="LEM-TF20"/>
        <s v="ASA-TK148"/>
        <s v="ASA-IM49"/>
        <s v="ASA-NB127"/>
        <s v="ASA-IM43"/>
        <s v="BOL-TZ376"/>
        <s v="TIP-IM37"/>
        <s v="GUN-NB75"/>
        <s v="BOL-OD76"/>
        <s v="GAR-174"/>
        <s v="GAR-IM223"/>
        <s v="PEN-NB42"/>
        <s v="PEN-NB13"/>
        <s v="GAR-92"/>
        <s v="PCA-IM90"/>
        <s v="PCA-IM33"/>
        <s v="SEM-NB5"/>
        <s v="PEN-TF43"/>
        <s v="TIP-NB8"/>
        <s v="TIP-IM3"/>
        <s v="BOL-VO129"/>
        <s v="BOL-130"/>
        <s v="BOL-128"/>
        <s v="DOK-NB1"/>
        <s v="DOK-NB3"/>
        <s v="GAR-155"/>
        <s v="MAG-IM2"/>
        <s v="PIT-NB22"/>
        <s v="PIT-IM18"/>
        <s v="PWA-TF6"/>
        <s v="BOL-TZ371"/>
        <s v="BOL-IM231"/>
        <s v="BOL-IM233"/>
        <s v="KUA-IM3"/>
        <s v="KUA-IM4"/>
        <s v="KUA-IM5"/>
        <s v="KUA-IM6"/>
        <s v="KUA-IM7"/>
        <s v="KUA-IM8"/>
        <s v="KUA-IM9"/>
        <s v="KUA-IM11"/>
        <s v="KUA-IM12"/>
        <s v="KUA-IM13"/>
        <s v="KUA-IM14"/>
        <s v="ACR-KO7"/>
        <s v="ACR-KO3"/>
        <s v="ACR-KO10"/>
        <s v="POS-IM7"/>
        <s v="GUN-GN31"/>
        <s v="GUN-GN20"/>
        <s v="GUN-GN21"/>
        <s v="GUN-ID43"/>
        <s v="GUN-IM9"/>
        <s v="TIP-IM23"/>
        <s v="TIP-IM36"/>
        <s v="CAT-MZ24"/>
        <s v="CAT-NB25"/>
        <s v="PWA-IN7"/>
        <s v="PWA-10"/>
        <s v="GAR-134"/>
        <s v="GAR-NB116"/>
        <s v="GAR-IM217"/>
        <s v="GAR-YK254"/>
        <s v="BOL-DB20"/>
        <s v="BWA-IM23"/>
        <s v="BOL-ZI42"/>
        <s v="BOL-ZI382"/>
        <s v="BOL-TZ394"/>
        <s v="BOL-TZ392"/>
        <s v="BOL-TZ393"/>
        <s v="TAS-SP30"/>
        <s v="PIT-IM24"/>
        <s v="PCA-IM16"/>
        <s v="GUN-NB73"/>
        <s v="BOL-TZ361"/>
        <s v="ACR-KO6"/>
        <s v="PCA-IM72"/>
        <s v="PCA-NB190"/>
        <s v="PIT-IM25"/>
        <s v="PIT-IM15"/>
        <s v="TAP-NT2"/>
        <s v="BOL-WY14"/>
        <s v="IGE-NB13"/>
        <s v="IGE-NB12"/>
        <s v="OIL-NB1"/>
        <s v="COU-NB1"/>
        <s v="STA-VE4"/>
        <s v="GAR-172"/>
        <s v="GAR-176"/>
        <s v="BOL-ZI43"/>
        <s v="MAP-TP110"/>
        <s v="GAR-165"/>
        <s v="MAP-VE208"/>
        <s v="STB-CS5"/>
        <s v="PEN-IM39"/>
        <s v="IGE-ES6"/>
        <s v="PCA-NB194"/>
        <s v="PCA-IM137"/>
        <s v="GAR-TF160"/>
        <s v="PCA-IM97"/>
        <s v="BOL-TF331"/>
        <s v="BOL-TF332"/>
        <s v="ASA-NB125"/>
        <s v="ASA-IM54"/>
        <s v="ASA-IM42"/>
        <s v="BUK-11"/>
        <s v="NOT-IM63"/>
        <s v="NOT-IM38"/>
        <s v="GAR-IM242"/>
        <s v="NOT-IM58"/>
        <s v="TAS-IM34"/>
        <s v="TAS-IM33"/>
        <s v="TAS-145"/>
        <s v="TAS-299"/>
        <s v="TAS-146"/>
        <s v="PCA-IM21"/>
        <s v="ASA-NB150"/>
        <s v="GUN-69"/>
        <s v="BOL-IM270"/>
        <s v="BOL-NB53"/>
        <s v="BOL-NB59"/>
        <s v="STB-VN2"/>
        <s v="BEN-NB9"/>
        <s v="BEN-NB11"/>
        <s v="BEN-PN22"/>
        <s v="MAP-IM227"/>
        <s v="MAP-156"/>
        <s v="STC-IM14"/>
        <s v="LOO-NB10"/>
        <s v="LOO-NR25"/>
        <s v="DRA-IM15"/>
        <s v="ASA-IM69"/>
        <s v="SEM-MS4"/>
        <s v="PCA-IM34"/>
        <s v="PCA-IM46"/>
        <s v="STI-RC10"/>
        <s v="ASA-RC142"/>
        <s v="STI-RC5"/>
        <s v="NOT-IM37"/>
        <s v="MAP-SK7"/>
        <s v="GAR-EN203"/>
        <s v="GAR-56"/>
        <s v="ASA-NB105"/>
        <s v="GAR-IM214"/>
        <s v="GAR-IM122"/>
        <s v="BOL-TZ352"/>
        <s v="GAR-NB157"/>
        <s v="BOL-IM267"/>
        <s v="MES-WM4"/>
        <s v="BOL-ZI44"/>
        <s v="BOL-ZI41"/>
        <s v="BOL-ZI40"/>
        <s v="BOL-ZI39"/>
        <s v="BOL-ZI38"/>
        <s v="BOL-ZI45"/>
        <s v="BOL-ZI63"/>
        <s v="BOL-ZI30"/>
        <s v="BOL-ZI66"/>
        <s v="BOL-ZI64"/>
        <s v="BOL-ZI65"/>
        <s v="BOL-TZ386"/>
        <s v="BOL-TZ31"/>
        <s v="TAL-NB1"/>
        <s v="KUA-IM63"/>
        <s v="PIA-NB2"/>
        <s v="BIN-WN3"/>
        <s v="BIN-WN1"/>
        <s v="AGE-NB10"/>
        <s v="MEC-TZ13"/>
        <s v="PCA-NB192"/>
        <s v="ASA-VA157"/>
        <s v="BOL-TZ395"/>
        <s v="TIP-IM44"/>
        <s v="KUA-IM62"/>
        <s v="KUA-IM27"/>
        <s v="PIS-NB2"/>
        <s v="KUA-IM41"/>
        <s v="KUA-IM39"/>
        <s v="BOL-ZI147"/>
        <s v="BOL-DB209"/>
        <s v="IST-NV2"/>
        <s v="GAR-IM215"/>
        <s v="BOL-NB161"/>
        <s v="BOL-IM271"/>
        <s v="MAL-SH1"/>
        <s v="MAL-SH2"/>
        <s v="CAT-MR3"/>
        <s v="NOT-IM93"/>
        <s v="NOT-IM87"/>
        <s v="NOT-IM89"/>
        <s v="NOT-IM88"/>
        <s v="MAP-IM248"/>
        <s v="MAP-IM244"/>
        <s v="MAP-IM245"/>
        <s v="DRA-IM12"/>
        <s v="GAN-IM1"/>
        <s v="IDC-IM24"/>
        <s v="GAR-KJ126"/>
        <s v="JAR-NB1"/>
        <s v="MEC-TZ11"/>
        <s v="MEC-TZ14"/>
        <s v="MEC-TZ16"/>
        <s v="MEC-TZ15"/>
        <s v="MEC-TZ20"/>
        <s v="MEC-TZ21"/>
        <s v="F.CUT-KN6"/>
        <s v="HOO-IM4"/>
        <s v="NAM-NB1"/>
        <s v="TAS-214"/>
        <s v="TAS-213"/>
        <s v="TAS-IM239"/>
        <s v="POS-TF9"/>
        <s v="NOT-IM91"/>
        <s v="NOT-IM90"/>
        <s v="MAP-IM247"/>
        <s v="MAP-IM246"/>
        <s v="NOT-IM94"/>
        <s v="PAL-NB5"/>
        <s v="PIT-NB27"/>
        <s v="PIT-NB28"/>
        <s v="ASA-PY132"/>
        <s v="BOL-TZ334"/>
        <s v="LAB-KJ2"/>
        <s v="LAB-KJ1"/>
        <s v="IDC-IM23"/>
        <s v="DOK-NB4"/>
        <s v="DOK-NB6"/>
        <s v="DOK-NB13"/>
        <s v="DOK-NB2"/>
      </sharedItems>
    </cacheField>
    <cacheField name="NAMA BARANG" numFmtId="0">
      <sharedItems containsBlank="1">
        <s v="OIL PASTEL DEBOZZ 12W"/>
        <s v="OIL PASTEL DEBOZZ 36W"/>
        <s v="PENCIL CASE KODE 3D 3 SUSUN 1299"/>
        <s v="CARRY FILE 8820 MIX"/>
        <s v="BK MEWARNAI BJ45"/>
        <s v="BK MEWARNAI BJP"/>
        <s v="BK MEWARNAI BJA"/>
        <s v="BK MEWARNAI BOTD"/>
        <s v="ID CARD B4 IMPORT"/>
        <s v="STUDY BOARD (BK MEWARNAI) JQ-1909"/>
        <s v="STABILLO BRUSH MARKER PEN WB TF-1050 12W"/>
        <s v="ISI GEL PEN DTIAN GR-088 (ISI 6 PCS TABUNG)"/>
        <s v="ISI GEL DTIAN GR-089 (12PCS TABUNG)"/>
        <s v="CLIPBOARD SQ KAYU KOTAK"/>
        <s v="PENCIL CASE MAGNET 8631 + CALL"/>
        <s v="TALI ID CARD PEONY MERAH"/>
        <s v="TALI ID CARD PEONY BIRU"/>
        <s v="PENCIL CASE 588-157 MAGNET"/>
        <s v="PENSIL CASE QY-2023 MOBIL"/>
        <s v="PENCIL CASE KALENG BH-20232"/>
        <s v="JARUM CASING"/>
        <s v="ISI STAPLER 13/8 JOSS"/>
        <s v="STIP W/B CLEAR B"/>
        <s v="TIPEX KERTAS NO.9443"/>
        <s v="LEM BAKAR STIK 7X30 WOMY PUTIH K"/>
        <s v="LEM BAKAR STIK 11X29 WOMY PUTIH B"/>
        <s v="GARISAN BESI V-TRO 30CM"/>
        <s v="JANGKA A5 3328 FANCY"/>
        <s v="PENSIL TF 688"/>
        <s v="PENSIL TF 488"/>
        <s v="PENSIL TF 888"/>
        <s v="PENSIL TF 168"/>
        <s v="GARISAN LIPAT 008 (40) 30 CM FANCY"/>
        <s v="DISPENSER KENJOY 50"/>
        <s v="ASAHAN PAYU"/>
        <s v="BP GEL DTIAN 923 "/>
        <s v="BP GEL DTIAN BIASA 6605"/>
        <s v="BP GEL 922"/>
        <s v="BP GEL 8805"/>
        <s v="BP GEL DTIAN 837 "/>
        <s v="BENSIA BONEKA MOTIF COWOK 90"/>
        <s v="BENSIA BONEKA MOTIF CEWEK 921"/>
        <s v="TAS KARUNG 60 X 45 X 20"/>
        <s v="TAS KARUNG 55X65"/>
        <s v="BOX FILE KANCING  LIPAT ENTER HITAM"/>
        <s v="KARTU ABSENSI KOJIKO DUS MERAH"/>
        <s v="BOX FILE MICROTOP A.618/ 3 SUSUN"/>
        <s v="BOX FILE MICROTOP A.648/ 4 SUSUN"/>
        <s v="STEMPEL FANCY 2000 G"/>
        <s v="KUAS SET WLT 6636"/>
        <s v="KUAS JOSS E-05"/>
        <s v="KUAS K7NIL"/>
        <s v="KUAS 21839-4"/>
        <s v="BUSINESS FILE SIKA"/>
        <s v="BUSINESS FILE ENTER"/>
        <s v="BUSINESS FILE BIG"/>
        <s v="BUSINESS FILE MICROTOP"/>
        <s v="MAP FILE EN 1020"/>
        <s v="NOTEBOOK 18100-62"/>
        <s v="NOTEBOOK SPIRAL 28850-65"/>
        <s v="NOTEBOOK SPIRAL 50100-71"/>
        <s v="NOTEBOOK SPIRAL 28850-61"/>
        <s v="KUAS TF-2620"/>
        <s v="KUAS 21839-5HB"/>
        <s v="KUAS SET WLT B 5795"/>
        <s v="KUAS SET 251-6CB"/>
        <s v="KUAS 21839-4Q"/>
        <s v="BP TF-3115 HIGHTECH KNOCK"/>
        <s v="BP TF G-3114 0.3MM HIGHTECH KNOCK"/>
        <s v="BP TF 1022"/>
        <s v="BP GEL TF-1190 0.3MM HIGHTECH (B)"/>
        <s v="BP HITECH JOSS GP-168 0.28MM"/>
        <s v="BP HITECH JOSS-188 B 0.28MM BIRU"/>
        <s v="BP GEL KOALA GP-168"/>
        <s v="TAS BRANDED 28 X 35.5"/>
        <s v="TAS JASMIN TANGGUNG"/>
        <s v="TAS JASMIN BESAR"/>
        <s v="TAS COKLAT TEBAL KECIL "/>
        <s v="TAS COKLAT TEBAL BESAR"/>
        <s v="TAS TALI GG-03 BESAR GLITTER"/>
        <s v="TAS SM L 2097-1"/>
        <s v="TAS HZD 9101 A-3 BESAR"/>
        <s v="TAS 1830 M GILAP TANGGUNG"/>
        <s v="TAS LY HD 148 B"/>
        <s v="TAS BI 3022 TANGGUNG"/>
        <s v="TAS LY HD 149 B"/>
        <s v="TAS GLITTER 690 TIMBUL TANGGUNG"/>
        <s v="TAS GM 1800 MT6 GILAP"/>
        <s v="TAS XM-M 2024-1 GLITTER TANGGUNG"/>
        <s v="TAS 2850-L (TANGGUNG TIMBUL GLITTER)"/>
        <s v="TAS SM 2835 TG GLITTER"/>
        <s v="TAS 2106 GLITTER K-2106"/>
        <s v="TAS NO-3026-L GLITTER TANGGUNG"/>
        <s v="TAS GM 1803-4 GILAP TANGGUNG"/>
        <s v="TAS LYSD 229 K"/>
        <s v="TAS 9155 GLITTER KECIL"/>
        <s v="TAS 6-1 BIASA KECIL MIX"/>
        <s v="TAS 203C GLITTER KECIL"/>
        <s v="TAS HZD 2133 GLITTER KECIL"/>
        <s v="TAS TUTUP PITA KADO FG-201 TANGGUNG"/>
        <s v="TAS TUTUP PITA KADO FG-101 KECIL"/>
        <s v="TAS TUTUP PITA KADO FG-401 JUMBO"/>
        <e v="#N/A"/>
        <s v="TAS KERTAS 8867A"/>
        <s v="TAS 3589-5-4 KECIL"/>
        <s v="TAS LYSD 572 K"/>
        <s v="TAS LYSD 154 K"/>
        <s v="TAS NO-1036-M/ K"/>
        <s v="BINDER NOTE B5-60 FPHY 002"/>
        <s v="TAS TIMBUL GLITTER KECIL 2905"/>
        <s v="TAS LYSD 234"/>
        <s v="TAS POLOS 131 K"/>
        <s v="TAS 2069 GLITTER TIMBUL BESAR"/>
        <s v="PEMBATAS L LEAF A5 UTN"/>
        <s v="PEMBATAS L LEAF B5 UTM"/>
        <s v="TAS SM 1035-4 GLITTER TIMBUL KECIL"/>
        <s v="N BOOK SPIRAL 76"/>
        <s v="KUAS SET 255-16"/>
        <s v="NOTEBOOK B1010 (A5)"/>
        <s v="KUAS 21839-5H"/>
        <s v="KUAS K-5 NIL"/>
        <s v="MAP TOPLA 3080"/>
        <s v="MAP TOPLA 3090"/>
        <s v="MAP KCG 2 WARNA"/>
        <s v="MAP KCG 2 DOP"/>
        <s v="MAP KCG 2 MOTIF"/>
        <s v="MAP ZIPPER REST WARNA"/>
        <s v="MAP ZIPPER REST SIKA"/>
        <s v="MAP ZIPPER REST-004 KECIL"/>
        <s v="MAP REST TOPLA 1383"/>
        <s v="KARET PENTIL LEGENDA KECIL"/>
        <s v="KARET PENTIL ESAR"/>
        <s v="BN WENGU A5-B 0164"/>
        <s v="NOTEBOOK B1012 (A5）"/>
        <s v="NOTEBOOK B1018 (B5）"/>
        <s v="NOTEBOOK B1019 (B5）"/>
        <s v="NOTEBOOK B0217 (B5）"/>
        <s v="BINDER NOTE WENGU A5 FPHY 002"/>
        <s v="BP TF-2037 6W"/>
        <s v="BP V-TRO 217"/>
        <s v="BP V-TRO 239"/>
        <s v="BP HILLTOP HT-1020"/>
        <s v="BP TEACH JOB TG 501"/>
        <s v="BP V-TRO 216"/>
        <s v="BP V-TRO 222"/>
        <s v="BP GELL VC 1602 BTS"/>
        <s v="STIP W/B ENTER 802K"/>
        <s v="STIP W/B ENTER 803 B"/>
        <s v="STIP W/B CLEAR K"/>
        <s v="JANGKA MS-403"/>
        <s v="JANGKA MS-404"/>
        <s v="JANGKA MS-405"/>
        <s v="STIP W/B KENJOY LUBANG K"/>
        <s v="BP KOXI KX-701 A"/>
        <s v="GARISAN MIKA 40CM ENTER"/>
        <s v="GARISAN MIKA 50CM ENTER"/>
        <s v="GARISAN MIKA ENTER 60 CM"/>
        <s v="PALETTE 21839-10"/>
        <s v="GARISAN BESI 30CM 5030 YOEKER ORANGE"/>
        <s v="GARISAN BT NO.10"/>
        <s v="GARISAN BT NO.12"/>
        <s v="GARISAN BT 740"/>
        <s v="GARISAN SET 7006"/>
        <s v="GARISAN KJ 003"/>
        <s v="GARISAN ROTARY 1020 (JOS) BSR"/>
        <s v="GARISAN SET BJ 20136"/>
        <s v="GARISAN 30CM KAYAGI 3122"/>
        <s v="GARISAN 30CM KAYAGI 3123"/>
        <s v="GARISAN 30CM KAYAGI 3121"/>
        <s v="GARISAN 30CM KAYAGI 3125"/>
        <s v="GARISAN TF 1989 LINGKARAN"/>
        <s v="GARISAN BUSUR TF 1991"/>
        <s v="GARISAN TF 1992"/>
        <s v="GARISAN 30CM 360 WR"/>
        <s v="GARISAN BUSUR TF 1988-180"/>
        <s v="GARISAN BC-6018"/>
        <s v="GARISAN KM-8833"/>
        <s v="GARISAN ZH-243"/>
        <s v="GARISAN ZH-251 20 CM"/>
        <s v="GARISAN 20CM ALUMINIUM"/>
        <s v="GARISAN 30CM ALUMINIUM"/>
        <s v="GARISAN ZH-248 "/>
        <s v="GARISAN SABLON 430"/>
        <s v="GUNTING TREND SS"/>
        <s v="GUNTING TREND LL"/>
        <s v="GUNTING TREND XL "/>
        <s v="GUNTING STAINLESS SQ 05 B HITAM"/>
        <s v="GUNTING IDEAL DR 5"/>
        <s v="GUNTING GUNINDO MM GU03"/>
        <s v="GUNTING TREND MM"/>
        <s v="GUNTING STAINLESS SQUEZZY SQ06C WARNA"/>
        <s v="GUNTING DAVIS DVL 6"/>
        <s v="BP GEL ZUI XUA HY-1020 HITAM"/>
        <s v="BP GEL ZUI ZHUA HY-1020 BIRU"/>
        <s v="BP GEL ZUI XUA HY-1020 MERAH"/>
        <s v="GARISAN BT NO 15 SEGITIGA"/>
        <s v="CAT ACRYLIC TF 001"/>
        <s v="CAT ACRYLIC COLOUR TF AC-006M METALIC"/>
        <s v="CAT ACRYLIC COLOUR TF AC-005P PASTEL"/>
        <s v="BP GEL DTIAN 8801"/>
        <s v="BP COSH CS 8601"/>
        <s v="ISI HITECH JOSS HITAM"/>
        <s v="BENSIA 711"/>
        <s v="BENSIA 950"/>
        <s v="BENSIA 925"/>
        <s v="BENSIA 938"/>
        <s v="BENSIA 953"/>
        <s v="BENSIA 948"/>
        <s v="BENSIA 917"/>
        <s v="BENSIA 947"/>
        <s v="BP GEL BP-8793"/>
        <s v="BP GEL BP-8783"/>
        <s v="BP GEL BP-8788"/>
        <s v="BP GEL 8789"/>
        <s v="BP GEL BP-8781"/>
        <s v="BP GEL BP-8782"/>
        <s v="BP GEL + GANTUNGAN A931"/>
        <s v="GEL 2801 + 6K"/>
        <s v="TIPEX KERTAS NO.8539"/>
        <s v="TIPEX KERTAS NO.8546"/>
        <s v="TIPEX KERTAS 8525"/>
        <s v="BENSIA 03LM4 (6202)"/>
        <s v="BENSIA ZC 9937 (50)"/>
        <s v="BENSIA 09LM1 (6213)"/>
        <s v="BENSIA CYLN 6203/ 5333"/>
        <s v="BENSIA 13LM1 (6212)"/>
        <s v="BP ST 500 LIGHT"/>
        <s v="BP GEL DTIAN A 93"/>
        <s v="MECHPEN TIZO 01730"/>
        <s v="GEL KOXI 704 A"/>
        <s v="BP GEL DTIAN DT-830 + STIP"/>
        <s v="BP GEL DTIAN DT-832 + STIP"/>
        <s v="BP GEL DTIAN DT-835 + STIP"/>
        <s v="BP GEL 837 + STIP"/>
        <s v="BP GEL 8801 + STIP"/>
        <s v="BP GEL 8803 + STIP"/>
        <s v="BP GEL 8805 + STIP"/>
        <s v="BP GEL 8807 + STIP"/>
        <s v="WC 12W MOZAKI"/>
        <s v="GARISAN ROTARY KCL"/>
        <s v="TEMPELAN KACA 6"/>
        <s v="TEMPELAN KACA 8"/>
        <s v="CUTTER TACO 78 KECIL TRANSPARAN"/>
        <s v="CUTTER TACO 88 BESAR"/>
        <s v="MAGNET T 3008"/>
        <s v="ISOLASI 1503-CD BIASA"/>
        <s v="ISOLASI 1503-CD PELANGI"/>
        <s v="TAPE 1505 FANCY"/>
        <s v="ISOLASI FANCY GRAFINDO"/>
        <s v="ISOLASI FANCY POLOS HANSA"/>
        <s v="ASAHAN PAYU 845 KEPITING"/>
        <s v="ASAHAN PAYU 846 KUDA GOYANG"/>
        <s v="ASAHAN PAYU 856 ANJING"/>
        <s v="ASAHAN PAYU 831 IKAN"/>
        <s v="ASAHAN PAYU 844"/>
        <s v="ASAHAN PAYU 823 AYAM"/>
        <s v="ASAHAN PAYU 851 PERMEN"/>
        <s v="ASAHAN XX-09"/>
        <s v="LEM CAIR BY 820 30ML (24)"/>
        <s v="ASAHAN 8095"/>
        <s v="ASAHAN 8809"/>
        <s v="ASAHAN TOPLES SP 8865 IKAN"/>
        <s v="ASAHAN NO.8807"/>
        <s v="LEM FANCY MY 105 (12)"/>
        <s v="PALET CAT AIR SAKURA TRANS"/>
        <s v="PALET SAKURA LKU"/>
        <s v="PALET SAKURA KEPITING"/>
        <s v="PALET CAT AIR SAKURA PUTIH UTN"/>
        <s v="PALET 21839-12"/>
        <s v="ID CARD ID-168"/>
        <s v="PC MIKA CERMIN PC 218"/>
        <s v="PC BOX P1036"/>
        <s v="PENSIL CASE ZL-178-1 MOBIL K"/>
        <s v="PC KLG 3348 MINION"/>
        <s v="PENSIL CASE PC-633-5 MOBIL K"/>
        <s v="PENSIL CASE 5872"/>
        <s v="PENSIL CASE 5851"/>
        <s v="PENSIL CASE 5842"/>
        <s v="PENCIL CASE XLG BD194-B"/>
        <s v="PENSIL CASE SH-8704"/>
        <s v="PENSIL CASE SH-8701"/>
        <s v="PPC REST PINK RABBIT4000"/>
        <s v="PENSIL CASE 5870"/>
        <s v="PENSIL CASE SH-8702"/>
        <s v="PC REST 1245 FROZEN"/>
        <s v="P CASE MAGNET XU 805"/>
        <s v="P CASE MAGNET 8300 SUSUN 3"/>
        <s v="PC MAGNIT CC 7808"/>
        <s v="PENCIL CASE DZ-0065 MAGNET"/>
        <s v="PENSIL CASE 8300AV TIMBUL"/>
        <s v="P CASE 8300-56-3"/>
        <s v="PC MAGNIT A 6682"/>
        <s v="PENSIL CASE 8300D TIMBUL"/>
        <s v="PENSIL CASE A-870"/>
        <s v="PENSIL CASE A-1037 + CAL"/>
        <s v="PC MAGNIT A853"/>
        <s v="PENSIL CASE 6A-26"/>
        <s v="PENSIL CASE AC-2893-3"/>
        <s v="ID CARD 501 P"/>
        <s v="ID CARD 501 B"/>
        <s v="PC KLG B-905 MOBIL"/>
        <s v="ID CARD SET DX 622 HITAM"/>
        <s v="ID CARD SET DX 622 PUTIH"/>
        <s v="ID CARD SET DX 622 ABU-1BU"/>
        <s v="GLITTER POWDER 15GR CC888"/>
        <s v="GLITER G 816 METALLIK"/>
        <s v="GLITTER GF-2012"/>
        <s v="GLITTER 785-12"/>
        <s v="GLITER PVC 12 (8891-7)"/>
        <s v="GLITTER 783-12"/>
        <s v="GLITTER GF 32"/>
        <s v="GLITER 806"/>
        <s v="GLITTER GF-88"/>
        <s v="GLITTER Y-01"/>
        <s v="GLITTER Y-02"/>
        <s v="GLITTER Y-03"/>
        <s v="GLITTER Y-04"/>
        <s v="SLIDE BINDER 7MM P"/>
        <s v="SLIDE BINDER 7MM K"/>
        <s v="BP GEL TF-1190 0.3MM HIGHTECH (H)"/>
        <s v="BP TIZO TG 30541F FANCY"/>
        <s v="BP GEL TIZO 30801F S3 FANCY"/>
        <s v="BP TIZO 31810F FANCY"/>
        <s v="BP GEL TIZO 30734F FANCY"/>
        <s v="BP GEL TIZO 31763F FANCY"/>
        <s v="BP GEL TIZO 31762F FANCY"/>
        <s v="BP GEL TIZO 31035F FANCY"/>
        <s v="BP GEL TIZO TG 348F FANCY"/>
        <s v="KUAS 21839-6H4"/>
        <s v="KUAS 251-6CJ"/>
        <s v="KUAS TF ART TF-2023"/>
        <s v="TAS TALI GG-02 TANGGUNG GILAP"/>
        <s v="TAS TALI GG-03 BESAR GILAP"/>
        <s v="TAS BATIK KC-B5 MH"/>
        <s v="TAS BATIK T ALPINDO "/>
        <s v="TAS BATIK BRS-ALP"/>
        <s v="CAT ACRYLIC V-TECH"/>
        <s v="PENCIL CASE KARTON KK 1299 3D/ 3 SUSUN"/>
        <s v="STANDART BK V TECH NO 7"/>
        <s v="BP GEL 6603"/>
        <s v="BP GEL 935"/>
        <s v="BP GEL DTIAN BIASA 959"/>
        <s v="BP GEL 936"/>
        <s v="BP GEL DT 9906"/>
        <s v="BP GEL 931"/>
        <s v="BP GEL 8807"/>
        <s v="BP GEL 8803"/>
        <s v="BP GEL 6608"/>
        <s v="BP GEL 830"/>
        <s v="BP GEL 925"/>
        <s v="BP GEL DTIAN BIASA 9908"/>
        <s v="CLIPBOARD ACRYLIC TF-016"/>
        <s v="CLIPBOARD ACRYLIC TF-013"/>
        <s v="CLIPBOARD ACRYLIC TF-012"/>
        <s v="CLIPBOARD ACRYLIC TF-015"/>
        <s v="BP GEL TIZO 1.0 TG630-A"/>
        <s v="BP TIZO KLIK TG 3300"/>
        <s v="MAP L SIKA AC-105 PUTIH"/>
        <s v="MAP KANCING SIKA AC-05 PUTIH"/>
        <s v="PENGHAPUS W/B ENTER 823 KECIL LUBANG"/>
        <s v="PC MAGNIT AZ 3300"/>
        <s v="PC MAGNIT 1151"/>
        <s v="PC MAGNIT AZ 3301"/>
        <s v="PC MAGNIT KM 5186-1"/>
        <s v="MECHPEN G-0938"/>
        <s v="MECHPEN G-09307"/>
        <s v="PENSIL TF 188"/>
        <s v="PENSIL TF 788"/>
        <s v="BINDING WIRE 10CM (EMAS)"/>
        <s v="BINDING WIRE 10CM (MERAH)"/>
        <s v="BINDING WIRE 10CM (BIRU)"/>
        <s v="BINDING WIRE 10CM (UNGU)"/>
        <s v="BALLPEN TF-729 4W"/>
        <s v="MESIN TEMBAK BIXDONE HE E2010 K (65 BLK) KECIL"/>
        <s v="PENSIL 2B KAYAGI 3053"/>
        <s v="PENSIL KAYAGI 2B PF3050"/>
        <s v="PENSIL 2B KAYAGI 3060"/>
        <s v="PENSIL KAYAGI 3062"/>
        <s v="PENSIL KAYAGI 3021"/>
        <s v="BP TIANJIAO TZ-501 HITAM"/>
        <s v="STAMP PAD HERO K"/>
        <s v="GARISAN BT 30 CM"/>
        <s v="BP X DATA M1"/>
        <s v="BP X DATA M2"/>
        <s v="GARISAN 30 CM ENTER 675"/>
        <s v="TIPEX MICROTOP MT 737"/>
        <s v="ISI GEL TZ-501 R HITAM"/>
        <s v="BP TIZO TG340 BIRU"/>
        <s v="GARISAN BUSUR ENTER 3.5 MIKA"/>
        <s v="GARISAN ENTER TEBAL NO.4"/>
        <s v="GARISAN BESI TF 100 CM"/>
        <s v="PENSIL 2.0 JOSS FANCY"/>
        <s v="MECHPEN DF 125"/>
        <s v="MECHPEN TIZO G 9001 A"/>
        <s v="STABILLO TOZCHA TZ 8001"/>
        <s v="BP GEL TIZO TG670"/>
        <s v="BP GEL TIZO TG690"/>
        <s v="CRAYON 12W PDK FANCY 1011"/>
        <s v="CRAYON PUTAR 12W PANJANG MIX 1012"/>
        <s v="BALLPEN ANTENA LASER LAMPU"/>
        <s v="BALLPEN SPIRAL 860"/>
        <s v="PEN HOLDER BULAT HITAM"/>
        <s v="PEN HOLDER KOTAK HITAM"/>
        <s v="MAP DATA FC 53"/>
        <s v="BALON MERAH"/>
        <s v="BALON PUTIH"/>
        <s v="KUAS YS-02"/>
        <s v="KUAS UTN 661-8"/>
        <s v="MAP KANCING SIKA AC-05 BIRU"/>
        <s v="MAP KANCING SIKA AC-05 HIJAU"/>
        <s v="MAP KANCING SIKA AC-05 MERAH"/>
        <s v="MAOPIE B"/>
        <s v="NOTES 156-80"/>
        <s v="MAP TALI SIKA BIRU"/>
        <s v="MAP TALI SIKA HIJAU"/>
        <s v="SEMPOA 8025"/>
        <s v="GLITTER 88 MIX"/>
        <s v="GLITTER 88 EMAS"/>
        <s v="SELANG PIANIKA SP 12 (1) 246"/>
        <s v="CALL BELL QJ125"/>
        <s v="JARUM PENTUL HIJAB"/>
        <s v="P CASE KLG K 905"/>
        <s v="PENSIL CASE C-8023"/>
        <s v="PENCIL CASE K-96"/>
        <s v="PC KLG LPY 99-12"/>
        <s v="PAPAN WB 25 X 35"/>
        <s v="PAPAN WHITE BOARD XG POLOS 30 X 40"/>
        <s v="STIP JK MER-01"/>
        <s v="STIP RENCAI RC 700"/>
        <s v="MECHPEN TM 030 A"/>
        <s v="MECHPEN TIZO TM 030-C"/>
        <s v="MEKANIK PENSIL 2.0 TIZO TM01800"/>
        <s v="CAT ACRYLIC COLOUR TF AC-002"/>
        <s v="CAT ACRYLIC TF 003"/>
        <s v="CRAYON PUTAR FANCY 12W PENDEK"/>
        <s v="CRAYON PUTAR FANCY 12W PANJANG"/>
        <s v="TAS SM 106 GLITTER BESAR"/>
        <s v="LOOSE LEAF HOLO ALFA A5 ZODIAK"/>
        <s v="LOOSE LEAF HOLO A5 SOFIA"/>
        <s v="LOOSE LEAF HOLO MOBILE LEGENDS A5"/>
        <s v="LOOSE LEAF BEE SMART COWOK"/>
        <s v="BUSSINES FILE ENTER K"/>
        <s v="MAP L MERAH VTRO"/>
        <s v="MAP KECIL MICROTOP 128"/>
        <s v="MAP ZIPPER JALA SIKA BIRU"/>
        <s v="EXPANDING FILE MICROTOP MT-632 F4"/>
        <s v="MAP TENTENG ZF 830"/>
        <s v="MAP REST A5 SIKA"/>
        <s v="MAP ZIPPER KANCING 2 SIKA"/>
        <s v="CLIP BOARD 6688-TR TRANSP KOALA"/>
        <s v="CLIPBOARD SQ FANCY HOLO 2 MUKA"/>
        <s v="MAP TALI KENJOY"/>
        <s v="MAP KANCING 4 UTN PINK"/>
        <s v="KUAS G 02"/>
        <s v="KUAS 21839-7H"/>
        <s v="BK TAMU BATIK"/>
        <s v="TAS TUTUP PITA KADO FG-301 BESAR"/>
        <s v="TAS TALI GG-01 KECIL TIMBUL"/>
        <s v="TAS GLITTER 1833M TG GLITTER"/>
        <s v="TAS GLITTER SM 1925 S GLITTER KECIL"/>
        <s v="TAS 8866 B TIMBUL GLITTER BESAR"/>
        <s v="TAS 1838-L (TANGGUNG GLITTER)"/>
        <s v="TAS LYSD 241 K"/>
        <s v="TAS GLITTER 9240 TG"/>
        <s v="TAS SMS-2904 GLITTER KECIL"/>
        <s v="TAS 2106 GLITTER KECIL"/>
        <s v="TAS GILAP LYH 804 MOTIF KECIL"/>
        <s v="TAS BRANDED TANGGUNG SB-116"/>
        <s v="TAS SM 926M TG GLITTER"/>
        <s v="TAS 106 6M TG GLITTER"/>
        <s v="TAS 6M 1841 TG GILAP"/>
        <s v="KUAS SET 255-6"/>
        <s v="BLOCK NOTE SPIRAL ENTER 403"/>
        <s v="BLOCK NOTE SPIRAL ENTER 404"/>
        <s v="NOTEBOOK 18100-36"/>
        <s v="NOTEBOOK SPIRAL 28850-67"/>
        <s v="DIARY Q 32K- S002 FR"/>
        <s v="NOTEBOOK SPIRAL 25100-67"/>
        <s v="NOTEBOOK 28825-62"/>
        <s v="DIARY Q 64K- S002 PR"/>
        <s v="MAP KANCING 4 UTN MERAH"/>
        <s v="MAP REST BIO K SIKA"/>
        <s v="MAP REST BIO M SIKA"/>
        <s v="MAP REST 1928 TOPLA"/>
        <s v="MAP DATA MICROTOP BS-57 B4"/>
        <s v="DOKUMEN RISLETING BOX BATIK"/>
        <s v="NOTEBOOK 18100-61"/>
        <s v="BNS XB 72K 1400"/>
        <s v="DOKUMEN HD64"/>
        <s v="DOKUMEN RST HD-55"/>
        <s v="MAP DATA MICROTOP BS-53 A6"/>
        <s v="MAP DATA MICROTOP BS-54 A5"/>
        <s v="MAP DATA MICROTOP BS-55 B5"/>
        <s v="STICKER 954 MIX"/>
        <s v="STICKER QJF-A"/>
        <s v="STICKER 955 MIX"/>
        <s v="STICKER JBE-34"/>
        <s v="STICKER XTQ-F"/>
        <s v="STICKER XTQ-E"/>
        <s v="CRAYON PUTAR DB 777 18W"/>
        <s v="BP GEL DT-236"/>
        <s v="BP D TIAN 108"/>
        <s v="BP GEL DTIAN DT-612"/>
        <s v="PENSIL 2B TF 995"/>
        <s v="P WARNA 12W PANJANG TB 8891"/>
        <s v="PENSIL 2B KAYAGI 3056"/>
        <s v="OIL COLOR 12W VTRO"/>
        <s v="WATER COLOR + KUAS PACMAN"/>
        <s v="BP GEL DT-239"/>
        <s v="BP GEL DTIAN DT-233"/>
        <s v="BP GEL DT-238"/>
        <s v="P WARNA 24W KY CP 0724"/>
        <s v="PENSIL 2B KAYAGI PF3051L"/>
        <s v="GUNTING STAINLESS SQ 04 C WARNA"/>
        <s v="GEL ODEMI 989"/>
        <s v="GEL ODEMI 977"/>
        <s v="GUNTING JUNIOR J 100"/>
        <s v="GUNTING JUNIOR J-300"/>
        <s v="GEL SIKA GP 340"/>
        <s v="BP COSH CS 8501"/>
        <s v="ISI MECHPEN MFF-188"/>
        <s v="W COLOR 21839"/>
        <s v="ISI PENSIL KNOW 2270"/>
        <s v="GEL LANTU LT 210C"/>
        <s v="ISI GELL DEBOZZ DB GR 550 (24)"/>
        <s v="PENSIL KAYAGI 3055"/>
        <s v="P WARNA PANJANG TB-9022-12"/>
        <s v="PENSIL WARNA KY CP 1224"/>
        <s v="PW 8880-12"/>
        <s v="BP GEL ZHIXIN G 5025"/>
        <s v="BP TIZO TG 313B"/>
        <s v="GEL TG 33404-2"/>
        <s v="TIPEX DT 5050-4"/>
        <s v="MECHPEN TIZO TM 030-A"/>
        <s v="GARISAN 30CM LIPAT CV-5012 (24)"/>
        <s v="PENSIL 2B+ASAHAN 2116"/>
        <s v="PENSIL+STIP MOBIL"/>
        <s v="GEL GP 3125"/>
        <s v="MAGNIFIER LW-60"/>
        <s v="MAGNIFIER LW-70"/>
        <s v="MAGNIFIER LW-80"/>
        <s v="MAGNIFIER LW-90"/>
        <s v="CRAYON PUTAR 12W PANJANG M 1012"/>
        <s v="BP PELNA ULIR 01 HT"/>
        <s v="BP TG 501 B"/>
        <s v="TIPEX KERTAS NO.8528"/>
        <s v="TIPEX KERTAS 91033HG"/>
        <s v="TIPEX KERTAS XB-B255"/>
        <s v="TIPEX KERTAS 8538"/>
        <s v="TIPEX KERTAS NO.5026"/>
        <s v="TIPEX KERTAS NO.8017"/>
        <s v="TIPEX KERTAS DY-8240"/>
        <s v="TIPEX KERTAS NO.8527"/>
        <s v="TIPEX KERTAS 9458"/>
        <s v="TIPEX KERTAS NO.5031"/>
        <s v="TIPEX KERTAS NO.5039"/>
        <s v="TIPEX KERTAS NO.6080"/>
        <s v="P CASE REST B 123"/>
        <s v="P CASE REST B 124"/>
        <s v="PENSIL CASE 5871"/>
        <s v="PC RET KY 6197"/>
        <s v="PENSIL CASE SH-8602"/>
        <s v="PENSIL CASE SH-8604"/>
        <s v="PENSIL CASE SH-8603"/>
        <s v="ASAHAN 344"/>
        <s v="ASAHAN 371"/>
        <s v="ASAHAN HIPPO X357"/>
        <s v="STUDY BOARD DJ3017"/>
        <s v="STUDY BOARD DJ3020"/>
        <s v="DRAWING BOARD DJ 103"/>
        <s v="MAGIC BOARD TK 901"/>
        <s v="JARUM PENTOL CASING"/>
        <s v="JARUM PUNTUL HIJAB"/>
        <s v="SEMPOA 8023"/>
        <s v="SEMPOA 8022"/>
        <s v="SIPOA SEDANG 8590"/>
        <s v="SIPOA 8012"/>
        <s v="SEMPOA MOSHI-MOSHI JUMBO 1803"/>
        <s v="TALI YOYO B TRANSPARAN"/>
        <s v="TALI YOYO M TRANSPARAN"/>
        <s v="TALI YOYO HJ TRANSPARAN"/>
        <s v="KEY RING KC-008"/>
        <s v="GLITTER GF-32"/>
        <s v="GLITTER G-01"/>
        <s v="ASAHAN TOPLES GOLDEN (24)"/>
        <s v="ASAHAN DMS 038"/>
        <s v="TAPE LK-22305"/>
        <s v="PENSIL CASE 5840"/>
        <s v="P CASE 8109"/>
        <s v="P CASE K98"/>
        <s v="PENCIL CASE B-136"/>
        <s v="PENCIL CASE XLG BD838"/>
        <s v="PENCIL CASE XLG BD860"/>
        <s v="PENCIL CASE XLG BD954"/>
        <s v="P CASE REST 9907"/>
        <s v="PENCIL CASE 5866"/>
        <s v="PENSIL CASE SH-15"/>
        <s v="PENSIL CASE SH-16"/>
        <s v="PENCIL CASE 5864"/>
        <s v="PENSIL CASE SH-02 (HARUS DIPISAH, ADA 6 MACAM)"/>
        <s v="PITA KAIN EMAS B"/>
        <s v="ASAHAN PAYU 827 ANGSA"/>
        <s v="ASAHAN PAYU 849 STROBERI"/>
        <s v="ASAHAN 8810"/>
        <s v="ASAHAN TR-3006"/>
        <s v="ASAHAN BOX 166 BEBEK"/>
        <s v="ASAHAN DY-347"/>
        <s v="KERTAS KREP M/P"/>
        <s v="KERTAS KREP POTONGAN JERSY"/>
        <s v="N BOOK A5 8C 020"/>
        <s v="PC RET KY 6186"/>
        <s v="PENSIL CASE SH-8703"/>
        <s v="P CASE REST SH 10"/>
        <s v="P CASE REST SH 06"/>
        <s v="PC RET IMITASI 252"/>
        <s v="PENSIL CASE SH-04"/>
        <s v="PENSIL CASE 5853"/>
        <s v="P CASE 1502 IF"/>
        <s v="P CASE 1504 IF"/>
        <s v="PENSIL CASE 5813"/>
        <s v="PENCIL CASE B-135"/>
        <s v="PENCIL CASE 5811"/>
        <s v="PENSIL CASE SH-8601"/>
        <s v="PENSIL CASE PC-619-3 MOBIL + KODE"/>
        <s v="PENCIL CASE KALENG B233 MOBIL"/>
        <s v="PC RET JX-5626 MM"/>
        <s v="PC BOX MY 003"/>
        <s v="PENSIL CASE WLT9902"/>
        <s v="PC BOX FY 58M"/>
        <s v="PENSIL CASE KW-1717"/>
        <s v="ISOLASI FANCY 1503 PELANGI"/>
        <s v="ISOLASI FANCY 1503 BIASA"/>
        <s v="MAGNET 034"/>
        <s v="PAPAN WHITE BOARD XG POLOS 25 X 35"/>
        <s v="GLITTER GF-88 EMAS"/>
        <s v="GLITTER GF 88 SI;VER"/>
        <s v="GLITTER GF 88 MIX"/>
        <s v="KUAS Y-01"/>
        <s v="KUAS Y-02"/>
        <s v="KUAS Y-03"/>
        <s v="KUAS Y-04"/>
        <s v="HOOKS 3CM"/>
        <s v="HOOKS 3.5CM"/>
        <s v="HOOKS 4CM"/>
        <s v="HOOKS 4.5CM"/>
        <s v="P CASE 3579-19"/>
        <s v="ISI BENSIA"/>
        <s v="BENSIA 04LM1 (5921"/>
        <s v="BENSIA ZC 105 PLUIT"/>
        <s v="BENSIA 10LM1 (6209)"/>
        <s v="ISI GEL DTIAN DT-090 (20PCS TABUNG)"/>
        <s v="JANGKA JOSS MS-403"/>
        <s v="JANGKA JOSS MS-404"/>
        <s v="JANGKA JOSS MS-405"/>
        <s v="MAGNET 8011-6"/>
        <s v="KEMOCHENG KOMPUTER"/>
        <s v="ISI GEL V-TRO VRG-2022 TRANSFORMER"/>
        <s v="ISI GEL V-TRO 2020 HIJAB"/>
        <s v="CLIP FILE YUSHINCA 323"/>
        <s v="CLIP FILE YUSHINCA 318 BIRU TUA"/>
        <s v="BN A5 RABBIT/ KOALA"/>
        <s v="BN B5 WARNA KOALA"/>
        <s v="NOTEBOOK 05202"/>
        <s v="L LEAF A5-100LBR DOTED TITIK"/>
        <s v="LOOSE LEAF BIASA TSUM A5 (100GSM)"/>
        <s v="ISI L LEAF A5 BEE SMART COWOK"/>
        <s v="MAOPLE K"/>
        <s v="MAOPLE B"/>
        <s v="AGENDA 100 5674"/>
        <s v="KUAS VANART NO.1"/>
        <s v="KUAS VANART NO.2"/>
        <s v="KUAS VANART NO.3"/>
        <s v="LOOSE LEAF HOLO FROZEN A5"/>
        <s v="ISI L LEAF A5 STICKER LLP 80"/>
        <s v="BUKU MEWARNAI SPS"/>
        <s v="BUKU MEWARNAI DM 2206"/>
        <s v="BUKU MEWARNAI 878"/>
        <s v="BUKU MEWARNAI HT 604"/>
        <s v="BUKU MEWARNAI IF BJA"/>
        <s v="BUKU MEWARNAI JQ 990"/>
        <s v="BUKU MEWARNAI 23"/>
        <s v="BUKU MEWARNAI 68A41"/>
        <s v="STAMPAD 1000 G"/>
        <s v="TAS BATIK MJ-1 MERAH"/>
        <s v="TAS NO-1036-M BIASA KECIL"/>
        <s v="TAS XMS-52083 G;ITTER KECIL"/>
        <s v="TAS SM 3589-4 KECIL BIASA"/>
        <s v="TAS 1545 KECIL BIASA"/>
        <s v="TAS SB-117 PARIS KECIL"/>
        <s v="TAS SM 1916 GILAP BESAR"/>
        <s v="TAS XM-2019-L GLITTER TANGGUNG"/>
        <s v="TAS 280 GLITTER TIMBUL TG"/>
        <s v="TAS BATIK EMAS K"/>
        <s v="TAS KARUNG BG13-023"/>
        <s v="TAS KARUNG 70X70"/>
        <s v="TAS KARUNG TIDUR 40X30"/>
        <s v="TAS KARUNG 45X50"/>
        <s v="TAS KARUNG 40X45 "/>
        <s v="TAS KARUNG 50X55"/>
        <s v="TAS KARUNG 45X33"/>
        <s v="TAS KARUNG 70 X 53"/>
        <s v="MAP REST BN-55"/>
        <s v="MAP REST BN-53"/>
        <s v="BALON BL 100178 M/ P"/>
        <s v="BALON BL 10023"/>
        <s v="BALON BL 10022"/>
        <s v="BALON FS POLKADOT LKF 3200 PP"/>
        <s v="BALON LKF 3200 M"/>
        <s v="BALON BL 10092"/>
        <s v="MAP FILE EN 1105 F"/>
        <s v="MAP/ ZIPPER BAG TRIX EN 1101"/>
        <s v="BALON WOMY MERAH"/>
        <s v="BALON WOMY PUTIH"/>
        <s v="ZIPPER POCKET A5 GANDORI"/>
        <s v="BOX FILE 3SSN HUAJIE 618"/>
        <s v="MAP CLEAR HOLDER KALUBI CH A5"/>
        <s v="DOKUMEN RISLETING OPTIMA"/>
        <s v="DOKUMEN RISLETING BRILLIANT"/>
        <s v="DOKUMEN RISLETING STATEMENT"/>
        <s v="SLIDE BINDER 7MM B"/>
        <s v="PENSIL CARPENTER 500"/>
        <s v="MAP REST A6 UTN PARIS"/>
        <s v="TEMPELAN KACA 5"/>
        <s v="JANGKA SET STARMOON 856"/>
        <s v="WATER COLOUR VTRO"/>
        <s v="OIL COLOUR VTRO 12W-6ML"/>
        <s v="BP E 8805 MULTI WARNA (24)"/>
        <s v="P WARNA TB 8891-12"/>
        <s v="JANGKA MT 2506"/>
        <s v="JANGKA MS-4001 KOALA"/>
        <s v="TAS BATIK MJ-1 HIJAU"/>
        <s v="PENSIL CASE 168-18"/>
        <s v="PC MAGNIT KY 779"/>
        <s v="BP MAINAN + GANTUNGAN 9082"/>
        <s v="BP GEL BP-A8010"/>
        <s v="BP GEL A8015"/>
        <s v="BP GEL 7502 / 3211"/>
        <s v="ASAHAN 007"/>
        <s v="PC MAGNIT MINION KT 535"/>
        <s v="PIANIKA LOVELY BIRU"/>
        <s v="TAS BATIK MJ1 HIJAU"/>
        <s v="TAS BATIK B ALPINDO"/>
        <s v="PITA KADO 30MM RENDA"/>
        <s v="AGENDA 25K GB35-25"/>
        <s v="STABILLO TF-1145 LIVE COLOUR PASTEL"/>
        <s v="PENSIL DM 5188"/>
        <s v="LILIN GOLD NO.0"/>
        <s v="LILIN GOLD NO.1"/>
        <s v="LILIN GOLD NO.2"/>
        <s v="LILIN GOLD NO.3"/>
        <s v="LILIN GOLD NO.4"/>
        <s v="LILIN GOLD NO.5"/>
        <s v="LILIN GOLD NO.6"/>
        <s v="LILIN GOLD NO.7"/>
        <s v="LILIN GOLD NO.8"/>
        <s v="LILIN GOLD NO.9"/>
        <s v="BP ZHIXIN K-15"/>
        <s v="BP V-TRO 231"/>
        <s v="BP V-TRO 225"/>
        <s v="BP GEL ZHIXIN G 3164"/>
        <s v="BP GEL ZHIXIN G 3122"/>
        <s v="NOTEBOOK SPIRAL 28850-68"/>
        <s v="NOTEBOOK  A5-UN"/>
        <s v="NOTEBOOK  707-19"/>
        <s v="NOTEBOOK  A5-106"/>
        <s v="NOTEBOOK  707-44"/>
        <s v="ASAHAN TOPLES KITTY R-5842"/>
        <s v="PENCIL CASE XLG BD786"/>
        <s v="KAWAT ROLL 504 KUNING"/>
        <s v="GUNTING GUNINDO HB65"/>
        <s v="MESIN LEM KECIL 20W PACMAN 82"/>
        <s v="PENSIL CASE 17-01A"/>
        <s v="PENCIL CASE KALENG H-9888"/>
        <s v="P CASE KLG K-905"/>
        <s v="PENCIL CASE H-9905 KLG"/>
        <s v="PENCIL CASE LPY99-3"/>
        <s v="PENSIL CASE 6A-28"/>
        <s v="PENSIL CASE A-207"/>
        <s v="PENCIL CASE DZ-8057 MAGNET"/>
        <s v="PENSIL CASE 8300SG TIMBUL"/>
        <s v="PENSIL CASE 8300TK TIMBUL"/>
        <s v="PC MAGNIT AZ 3302"/>
        <s v="PC MAGNIT B 3513-15 (BIASA)"/>
        <s v="P CASE REST IF 1502"/>
        <s v="P CASE REST 777"/>
        <s v="P CASE B 122"/>
        <s v="PENCIL CASE B-118"/>
        <s v="PENCIL CASE B-126"/>
        <s v="P CASE REST 1504"/>
        <s v="STATIONERY SET 8898"/>
        <s v="LILIN ULTAH 33;"/>
        <s v="KARET KECIL"/>
        <s v="BKGAMBAR SIKA"/>
        <s v="MECHPEN TIZO TM 01500"/>
        <s v="MECHPEN TIZO TM 030-H"/>
        <s v="ISI PENSIL 2B 2.0 DB-IMP062"/>
        <s v="BP WEIYADA E 681 HITAM"/>
        <s v="BP WEIYADA 681 BIRU"/>
        <s v="BP 994 4 WARNA"/>
        <s v="MECHPEN G-09309"/>
        <s v="PELNA LAPTOP TABLE"/>
        <s v="MESIN TEMBAK 188 JUMBO"/>
        <s v="BP GEL TF-1191 BODY WR 0.3MM HIGHTECH"/>
        <s v="KAWAT POTONG EMAS TIPIS"/>
        <s v="PALET ANGGUR"/>
        <s v="PALET APEL"/>
        <s v="CUTTER GOLDEN 888 B"/>
        <s v="GARISAN BT 20 CM"/>
        <s v="CLIP BOARD 2 MUKA WB CEWEK"/>
        <s v="CLIP BOARD 2 MUKA WB COWOK"/>
        <s v="CLIP CANDY NO 1"/>
        <s v="BUKU TAMU BUNGA SPIRAL ENTER"/>
        <s v="MIKA ROLL KCL"/>
        <s v="MIKA ROLL TG"/>
        <s v="MIKA ROLL BSR"/>
        <s v="N BOOK 2560"/>
        <s v="BK TABUNGAN ENTER"/>
        <s v="STICK NOTE WLT 9018"/>
        <s v="POST IT WALITO WLT-8921"/>
        <s v="POST IT WALITO WLT-8846"/>
        <s v="STICK NOTE POST A"/>
        <s v="STICK NOTE WLT 8961"/>
        <s v="TAS BATIK MOTIF KAYU S"/>
        <s v="TAS BATIK EMAS KECIL"/>
        <s v="TAS BATIK MICROTOP KECIL"/>
        <s v="TAS H-4007-M BIASA KECIL"/>
        <s v="TAS KADO 4007 S-4 KECIL"/>
        <s v="TAS 61 GLITTER KECIL MIX"/>
        <s v="TAS 35895-4K KECIL"/>
        <s v="TAS 1925 GLITTER KECIL"/>
        <s v="TAS 16 X 21"/>
        <s v="STICKER 333"/>
        <s v="STICKER JBE-30"/>
        <s v="STICKER JBE-SV"/>
        <s v="STICKER KL-63"/>
        <s v="STICKER JBE-35"/>
        <s v="STICKER JBE-SA"/>
        <s v="STICKER JBE-24"/>
        <s v="STICK NOTE WLT 8803"/>
        <s v="STICK NOTE WLT 8963"/>
        <s v="NOTEBOOK SPIRAL 28825-61 A5"/>
        <s v="BTS GASTA HA 32-8213/ A5-50 FR"/>
        <s v="BTS 60 404"/>
        <s v="NOTEBOOK 28850-64"/>
        <s v="N BOOK A6 190402 FLAMINGO"/>
        <s v="NOTEBOOK 50100-71"/>
        <s v="N BOOK A5 LUCKY NOTES 365"/>
        <s v="N BOOK Q 64 K 5-001"/>
        <s v="NOTEBOOK 25100-71"/>
        <s v="NOTEBOOK 7025-31"/>
        <s v="BN TALI AA 0321-13/A7-80/BALLOON"/>
        <s v="N BOOK SPIRAL 76 BATIK"/>
        <s v="BALON LMP 2200"/>
        <s v="BALON LKM 2800"/>
        <s v="BALON LOVE 1022 20X5 LKL 2200"/>
        <s v="BALON LKP 2200"/>
        <s v="BALON LKP 3000"/>
        <s v="TAS TALI 263 GLITTER TANGGUNG"/>
        <s v="TAS KADO 249 A BSR"/>
        <s v="TAS TALI GG-02 TANGGUNG GLITTER"/>
        <s v="TAS HZD 9101 A3 BSR"/>
        <s v="TAS 6603 HZD 9192 BESAR GLITTER TIMBUL"/>
        <s v="TAS XM-1 2097-1 BESAR GLITTER"/>
        <s v="BALON BL 1009"/>
        <s v="TAS HD 234"/>
        <s v="NOTEBOOK B0200 (A5）"/>
        <s v="NOTEBOOK 05204"/>
        <s v="NOTEBOOK 76205"/>
        <s v="BN WENGU A5-B 0164 (4W)"/>
        <s v="NOTEBOOK 93846"/>
        <s v="CLIPBOARD ENTER ANTI PECAH (GAP 03)"/>
        <s v="CLIP BOARD KWALITAS / ENTER ANTI API"/>
        <s v="CLIP BOARD 303 (CLIP BESAR)"/>
        <s v="NOTEBOOK  A5-103"/>
        <s v="STICK NOTE WLT 8894"/>
        <s v="AGENDA 25K (BC 510)"/>
        <s v="BN 7102 A5-20"/>
        <s v="BENSIA RUMBAL GLITTER"/>
        <s v="BENSIA RUMBAL METALIK"/>
        <s v="BALLPEN JOSS JS-7B"/>
        <s v="GEL GP 3155"/>
        <s v="SPIDOL 12W + KUAS DB 218-12"/>
        <s v="SPIDOL 12W 555 YOEKER"/>
        <s v="SPIDOL GOLDEN 838 12W"/>
        <s v="STABILLO TF MINI 105"/>
        <s v="STABILLO TIZO TF610"/>
        <s v="GARISAN ABC 250"/>
        <s v="GARISAN BESI 30CM FANCY A 300"/>
        <s v="GARISAN 15CM SET 7505"/>
        <s v="GARISAN SET 20 CM ZX-022"/>
        <s v="GEL 2518"/>
        <s v="BP COSH CS 8503"/>
        <s v="ISI BENSIA LANTU LT 1132"/>
        <s v="P WARNA 12W PENDEK IF"/>
        <s v="CRAYON PUTAR FANCY 1011/2011 PENDEK CEWEK COWOK 12W"/>
        <s v="STAPLER V TECH HDZ 10M"/>
        <s v="BENSIA 06LM1 (6034)"/>
        <s v="ALPHABET MAGNIT HURUF AK 17/ 005"/>
        <s v="GARISAN KAYAGI 3124 30CM"/>
        <s v="ISI GEL JOSS-268 HITAM"/>
        <s v="GARISAN SET 20 CM ZX-021"/>
        <s v="TIPEX KERTAS NO.9304"/>
        <s v="TIPEX KERTAS NO.8458"/>
        <s v="TIPEX MICROTOP MT-767"/>
        <s v="TIPEX KERTAS NO.9462"/>
        <s v="TIPEX KERTAS NO.0847"/>
        <s v="TIPEX KY DB 7001"/>
        <s v="TIPEX KY DB 7002"/>
        <s v="TIPEX KERTAS 7013 MINI"/>
        <s v="GARISAN SET PAYU 9810 20CM"/>
        <s v="BENSIA 940"/>
        <s v="BENSIA 941"/>
        <s v="BENSIA 921"/>
        <s v="BENSIA 9938 CERMIN KACA (32)"/>
        <s v="BENSIA LT 1311 SISIR BIASA"/>
        <s v="ISI GEL ELSON ES-226 SANRIO"/>
        <s v="KUAS SET 577-6"/>
        <s v="KUAS 251-6TB"/>
        <s v="KUAS 21839-6HP"/>
        <s v="KUAS 21839-4S"/>
        <s v="KUAS SHINING A5-1"/>
        <s v="TAS BRANDED KECIL SB 115"/>
        <s v="PENSIL 09308"/>
        <s v="OIL PASTEL USAGI 12W"/>
        <s v="ISI PENSIL DB IMP-096"/>
        <s v="PW 12W PANJANG BTS"/>
        <s v="PW KIKO 12/24W"/>
        <s v="ISI PENSIL 2.0 HB K-166"/>
        <s v="P WARNA 12W PANJANG 8881"/>
        <s v="PENSIL 2B KAYAGI 2025"/>
        <s v="BP 7054"/>
        <s v="BP D TIAN GP 529"/>
        <s v="BP D TIAN 1015"/>
        <s v="BP GEL DTIAN DT-222"/>
        <s v="BP GEL DTIAN DT-227"/>
        <s v="GEL D TIAN GP 619"/>
        <s v="PW 12W PANJANG KOALA"/>
        <s v="PENSIL 2B KY 3038"/>
        <s v="PENSIL 2B KAYAGI 3041"/>
        <s v="PENSIL DW9022-12"/>
        <s v="PENSIL DW9019-12"/>
        <s v="PENSIL 8891-12"/>
        <s v="GEL + GK 99085"/>
        <s v="BP GEL 9165"/>
        <s v="BP GEL + GANTUNGAN 9173"/>
        <s v="BP GEL + GANTUNGAN 9169"/>
        <s v="BP GEL 9176"/>
        <s v="BP GEL A8028"/>
        <s v="BP GEL BP-A8005"/>
        <s v="BP GEL BP-8785"/>
        <s v="BP GEL BP-A8025"/>
        <s v="BP GEL A8001"/>
        <s v="BP SPRAY GP-218"/>
        <s v="PENSIL TM 090 A"/>
        <s v="BP DB 550"/>
        <s v="BP SIKA GP 001 HT"/>
        <s v="BP SIKA GP 002 HT"/>
        <s v="BP GEL TIZO 1.0 TG31580"/>
        <s v="GENERAL 220"/>
        <s v="GUNTING SH-2302 PLST MINI 1X52"/>
        <s v="JARUM PENTUL CASING"/>
        <s v="DISPENSER BTS"/>
        <s v="BINDER CLIP 155 OUQIOER"/>
        <s v="BINDER CLIP 111 OUQIER"/>
        <s v="JARUM B POLOS 1206"/>
        <s v="MAGNET 8203 ANGKA"/>
        <s v="MAGNET 8201 HURUF"/>
        <s v="ASAHAN GOZTAR GS 387"/>
        <s v="ASAHAN DY-349B"/>
        <s v="ASAHAN 395 B"/>
        <s v="ASAHAN CL-113/2H 1X48"/>
        <s v="ASAHAN XL 378"/>
        <s v="STIP RENCAI RC 6008"/>
        <s v="DISPENSER KEONG V-TECH 216"/>
        <s v="ISOLASI FANCY TBG (50)"/>
        <s v="PITA JEPANG ROLL MOTIF WOMY"/>
        <s v="PITA JEPANG ROLL POLOS WOMY"/>
        <s v="PITA JEPANG GARIS EMAS (LISMAS)"/>
        <s v="STIP RENCAI RC 6016"/>
        <s v="ASAHAN AKROBAT"/>
        <s v="ASAHAN SC 6023"/>
        <s v="SOLASI MINI SET"/>
        <s v="STIP KAPSUL 966"/>
        <s v="CUTTER SDI 0406"/>
        <s v="ASAHAN DINOSAURUS 8188"/>
        <s v="ASAHAN TIKO 0531"/>
        <s v="PALET JOSS 009"/>
        <s v="PALET KEPITING DOP"/>
        <s v="ASAHAN 340 KUNING"/>
        <s v="ASAHAN XXY-1868"/>
        <s v="ASAHAN TY808"/>
        <s v="ASAHAN 8608"/>
        <s v="ASAHAN DMS 030"/>
        <s v="ASAHAN 722B"/>
        <s v="DISPENSER KENJOY 25"/>
        <s v="ISOLASI FANCY 612"/>
        <s v="ISOLASI FANCY POLOS TRANSPARAN"/>
        <s v="TAPE 1503-CD"/>
        <s v="ISOLASI 1503"/>
        <s v="KAWAT POTONG"/>
        <s v="CEPITAN KAYU"/>
        <s v="BALLPEN HITECH VANCO 0.28 B"/>
        <s v="PW VANCO 12W PJG ZOO"/>
        <s v="CAT ACRYLIC PACMAN"/>
        <s v="ISI GEL V-TRO 2018 TSUM"/>
        <s v="PENSIL KAYAGI 2B PF3093"/>
        <s v="STICKER JBE-SD"/>
        <s v="STICKER KL 68"/>
        <s v="STICKER KL-70"/>
        <s v="NOTEBOOK 7025-18"/>
        <s v="NOTEBOOK 7025-29"/>
        <s v="NOTEBOOK 7025-28"/>
        <s v="NOTEBOOK 7025-30"/>
        <s v="NOTEBOOK 7025-27"/>
        <s v="NOTEBOOK 7025-16"/>
        <s v="NOTEBOOK A5-511"/>
        <s v="NOTEBOOK  A5-105"/>
        <s v="BN TALI AA 0321-18/A7-80/LUCU"/>
        <s v="BN TALI AA 0321-20/A7-80/SR"/>
        <s v="NOTEBOOK 7050-19"/>
        <s v="NOTEBOOK 7050-11"/>
        <s v="NOTEBOOK 7050-18"/>
        <s v="NOTEBOOK 7050-20"/>
        <s v="N BOOK A5 68-10"/>
        <s v="CLIP FILE YUSHINCA 318 HT"/>
        <s v="AGENDA 5674"/>
        <s v="AGENDA 25K MB 35-25"/>
        <s v="NB POCKET 25-10"/>
        <s v="AGENDA 7025-25K (BC 333)"/>
        <s v="NB POCKET 2507"/>
        <s v="AGENDA 48K HITAM 513"/>
        <s v="AGENDA 100K 5685"/>
        <s v="AGENDA 35-50"/>
        <s v="SAMPUL BUKU BOXY SIKA BATIK"/>
        <s v="SAMPUL SAMSON KWARTO BATIK"/>
        <s v="BK MEWARNAI / FANCY BJ45"/>
        <s v="BUKU MEWARNAI HT-018"/>
        <s v="BUKU MEWARNAI ZQ 990-2"/>
        <s v="BUKU MEWARNAI JUMBO SPS"/>
        <s v="BUKU MEEWARNAI HT 016"/>
        <s v="BK MEWARNAI SIKA JUMBO"/>
        <s v="BK MEWARNAI JUMBO KODE 8A4-1"/>
        <s v="B NOTE JHYB-0502"/>
        <s v="NOTEBOOK B0196 (A5）"/>
        <s v="BN A5 GASTA HP 2006 T"/>
        <s v="BK MEWARNAI JUMBO SJ"/>
        <s v="BUKU MEWARNAI ANGKA SPS"/>
        <s v="LOOSE LEAF BIASA UNTANO BIODATA A5 MIX"/>
        <s v="BP TIZO TG 30630"/>
        <s v="BP DEBOZZ 0.28 DB-GP 800 HI-Q"/>
        <s v="BP DEBOZZ DB-530"/>
        <s v="BP TIZO TG 346 C"/>
        <s v="BP TIZO TG 346 B"/>
        <s v="BP TIZO TG 346 D"/>
        <s v="BP TIZO TG 395F"/>
        <s v="BP TIZO TG 3302 KLIK"/>
        <s v="BP ZHIXIN 3568"/>
        <s v="PENSIL G 9008 A"/>
        <s v="PENSIL G 9001 A"/>
        <s v="MECHPEN G 9005"/>
        <s v="BP YOEKER 4W 2357"/>
        <s v="BP SIKA GP 340"/>
        <s v="BP 4W TOZCHA 8401"/>
        <s v="GARISAN 15CM 536-750 CARTOON NETWORK (48)"/>
        <s v="GARISAN 30CM LIPAT"/>
        <s v="KERTAS LIPAT ORIGAMI ALFA FLUORESCENT 12 X 12"/>
        <s v="KERTAS LIPAT ORIGAMI ALFA FLUORESCENT 20 X 20"/>
        <s v="TALI YOYO K BUTEK"/>
        <s v="BLOCK NOTE SPIRAL ENTER 501"/>
        <s v="MEMO PAD SPIRAL ALFA 403 BATIK"/>
        <s v="MEMO PAD SPIRAL ALFA 404 BATIK"/>
        <s v="N BOOK SPIRAL A6 114"/>
        <s v="NOTEBOOK  707-24"/>
        <s v="NOTEBOOK  707-45"/>
        <s v="NOTEBOOK  A5-107"/>
        <s v="BN TALI AA 0321-16/ 17 A7-80"/>
        <s v="AGENDA 60K 2960"/>
        <s v="AGENDA 100K 72100"/>
        <s v="AGENDA 90K 5211"/>
        <s v="NOTEBOOK 18100-67"/>
        <s v="NOTEBOOK 28850-62"/>
        <s v="N BOOK A6 6801"/>
        <s v="N BOOK A5 32-X019"/>
        <s v="N BOOK 32 8166"/>
        <s v="CLIP BOARD TRANS FOLIO FANCY TR 2335"/>
        <s v="CLIP BOARD W/B HOLO 2 MK"/>
        <s v="BALON BL 10082"/>
        <s v="BALON LKM 2200"/>
        <s v="BALON METALIK LMP 2800"/>
        <s v="BK MEWARNAI SPS"/>
        <s v="BK MEWARNAI JQ 990-2"/>
        <s v="BK MEWARNAI HT 604 A"/>
        <s v="STUDY BOARD JQ-969"/>
        <s v="STUDY BOARD 878"/>
        <s v="KARTU UNDANGAN UTN PANJANG"/>
        <s v="TAS 1842-L  (TANGGUNG)"/>
        <s v="TAS SM 3589 S-4 KECIL"/>
        <s v="N BOOK A5 32X 052"/>
        <s v="BK TAMU ECO LOVE"/>
        <s v="TAS SM 180L-1 BESAR GLITTER"/>
        <s v="TAS XM L-2097-1 GLITTER BESAR"/>
        <s v="TAS 1839-L  (TANGGUNG)"/>
        <s v="TIPEX KERTAS NO.9458"/>
        <s v="TIPEX KERTAS NO.9446"/>
        <s v="TIPEX KERTAS NO.8522"/>
        <s v="PW KY CF 1224"/>
        <s v="PW KIKO 12/12W"/>
        <s v="PENSIL NB06"/>
        <s v="PENSIL NB04"/>
        <s v="BP DEBOZZ 0.28 DB-GP 800 BIRU"/>
        <s v="GARISAN 30CM MICROTOP 930"/>
        <s v="PENSIL 947"/>
        <s v="PENSIL 917"/>
        <s v="PENSIL 950"/>
        <s v="KUAS 21839-W"/>
        <s v="ACRYLIC MARKER TF-AM 301-12"/>
        <s v="GUNTING JUNIOR J 200"/>
        <s v="GUNTING STAINLESS SQ 08 B HITAM"/>
        <s v="GUNTING STAINLESS SQ 5006 C WARNA"/>
        <s v="GUNTING KAIBO"/>
        <s v="GARISAN SET ZX 6138"/>
        <s v="HURUF MAGNIT 349 A"/>
        <s v="HURUF MAGNIT 349 B"/>
        <s v="MAGNET 8101"/>
        <s v="MAGNET 8102"/>
        <s v="HURUF MAGNIT 8550 A"/>
        <s v="HURUF MAGNIT 8550 B"/>
        <s v="ALPHABET HURUF ABC 8714"/>
        <s v="ALPHABET HURUF ABC 8715"/>
        <s v="ASAHAN 8811"/>
        <s v="ASAHAN XXY 1868"/>
        <s v="PITA TARIK/KADO 50 LS -1 RENDA"/>
        <s v="PITA TARIK/KADO 30 TH -1"/>
        <s v="PITA SJ-50"/>
        <s v="SULING TREND 900"/>
        <s v="ID CARD A1"/>
        <s v="ID CARD B1 IMPORT"/>
        <s v="DISPENSER DTD 888/ 889"/>
        <s v="PENSIL 933"/>
        <s v="STABILO DEBOZZ SB 007"/>
        <s v="P WARNA KAYAGI 24W CP-0724"/>
        <s v="GARISAN 20 CM SET SLO 0192"/>
        <s v="CRAYON PUTAR FANCY 1012/2012 PANJANG "/>
        <s v="PW 9999-12"/>
        <s v="PENSIL 8009-12"/>
        <s v="KARET GELANG BSR UTN"/>
        <s v="STAPLES 13/ 6 JOSS (ISI)"/>
        <s v="AGENDA PRO DELUXE PC-121 WK KECIL"/>
        <s v="PENSIL CHUNG HWA 6161 2B"/>
        <s v="AGENDA KCG 25K MB 35-25"/>
        <s v="BN RABBIT KOALA A5"/>
        <s v="PENSIL CASE SH-10"/>
        <s v="PENSIL CASE SH-07"/>
        <s v="PENSIL CASE SH-06"/>
        <s v="ID CARD 2 SISI TRANSPARANT MERAH"/>
        <s v="ID CARD 2 SISI TRANSPARANT KUNING"/>
        <s v="ID CARD 2 SISI TRANSPARANT HIJAU"/>
        <s v="ID CARD 2 SISI TRANSPARANT PUTIH"/>
        <s v="ID CARD 2 SISI TRANSPARANT HITAM"/>
        <s v="ID CARD 2 SISI TRANSPARANT BIRU"/>
        <s v="KARET GELANG KECIL"/>
        <s v="LEM CAIR B.GLUE 75ML T"/>
        <s v="TAS S/B 223 M TIKAR"/>
        <s v="TAS TIDUR SB 120 BRANDED"/>
        <s v="TAS TIDUR BATIK SB/XXL 0121"/>
        <s v="SAMPUL ROLL MIKA 25CM"/>
        <s v="BUSINESS FILE SIKA AC-106 BIRU"/>
        <s v="BUSINESS FILE SIKA AC-106 KUNING"/>
        <s v="BUSINESS FILE SIKA AC-106 MERAH"/>
        <s v="BUSINESS FILE SIKA AC-106 HIJAU"/>
        <s v="MAP KANCING SIKA AC-05 KUNING"/>
        <s v="P WARNA KAYAGI 12W CP 1210"/>
        <s v="GARISAN 20CM RENTENG SPD"/>
        <s v="GARISAN 20CM RENTENG PRETTY WHITE"/>
        <s v="GARISAN 20CM RENTENG SUPERMAN"/>
        <s v="GARISAN 20CM RENTENG CAT MOUSE"/>
        <s v="GARISAN 20CM RENTENG FANCY MOUSE"/>
        <s v="COIN BANK S"/>
        <s v="COIN BANK M"/>
        <s v="COIN BANK L"/>
        <s v="COIN BANK XL"/>
        <s v="JARUM CASING KOTAK 1.5"/>
        <s v="PLASTIK PARCEL TRANSP POLOS"/>
        <s v="PALET CAT AIR SAKURA BIASA DOF"/>
        <s v="PC MAGNIT JUMBO 3575-19"/>
        <s v="PC MAGNIT 9363"/>
        <s v="PC MAGNIT MC 8088 TIMBUL"/>
        <s v="PC MAGNIT XU 0084"/>
        <s v="PC PB 22"/>
        <s v="PENSIL CASE 168-35"/>
        <s v="PC MAGNIT CC 7806 + CALL"/>
        <s v="PENCIL CASE MAGNIT AC 2829-5"/>
        <s v="PENSIL CASE 168-27"/>
        <s v="PENSIL CASE 168-26"/>
        <s v="PENSIL CASE 168-25"/>
        <s v="PENSIL CASE AC-2860-3"/>
        <s v="PENSIL CASE BH-278"/>
        <s v="CAT ACRYLIC ENTER A 912"/>
        <s v="CAT ACRYLIC A12 - 9 12W"/>
        <s v="BP GEL + GANTUNGAN 9166"/>
        <s v="BP GEL + GANTUNGAN 9170"/>
        <s v="BP GEL DTIAN DT-221"/>
        <s v="BP GEL DTIAN DT-225"/>
        <s v="BP V-TRO 235"/>
        <s v="GUNTING IDEAL K 100"/>
        <s v="GUNTING IDEAL K-300"/>
        <s v="GUNTING IDEAL K-500"/>
        <s v="GUNTING LIPAT HT KECIL"/>
        <s v="GUNTING LIPAT BESAR"/>
        <s v="GUNTING JUNIOR J-500"/>
        <s v="MECHPEN TIZO G 9007 A"/>
        <s v="MECHPEN TIZO G 9006 A"/>
        <s v="MECHPEN TIZO G 9008 A"/>
        <s v="MECHPEN TIZO G 9000 A"/>
        <s v="MECHPEN TIZO G 9005 A"/>
        <s v="MECHPEN TIZO G 9009 A"/>
        <s v="KUAS 929-1 ETERNA YIJIAYI"/>
        <s v="KUAS 929-2 ETERNA YIJIAYI"/>
        <s v="KUAS 929-4 ETERNA YIJIAYI"/>
        <s v="KUAS 929-6 ETERNA YIJIAYI"/>
        <s v="KUAS 929-7 ETERNA YIJIAYI"/>
        <s v="KUAS 929-8 ETERNA YIJIAYI"/>
        <s v="KUAS 929-10 ETERNA YIJIAYI"/>
        <s v="MAP TALI SIKA PUTIH"/>
        <s v="MAP TALI SIKA MERAH"/>
        <s v="MAP TALI SIKA KUNING"/>
        <s v="STIP W/B GUNINDO 803"/>
        <s v="GARISAN BT 15CM"/>
        <s v="TIPEX KERTAS DP-902"/>
        <s v="TIPEX KERTAS DP-912"/>
        <s v="CAT AIR OPINI 110"/>
        <s v="CAT AIR OPINI 120"/>
        <s v="ALAT GUNTACKER"/>
        <s v="ID CARD B2 IMPORT"/>
        <s v="TALI ID CARD PEONY KUNING"/>
        <s v="TALI ID CARD PEONY HITAM"/>
        <s v="LEM TEMBAK K PUTIH MS"/>
        <s v="MESIN LEM TEMBAK BOSCO 5538"/>
        <s v="MAP ZIPPER JALA A5 SIKA MR"/>
        <s v="MAP ZIPPER JALA A5 SIKA KN"/>
        <s v="MAP ZIPPER JALA A5 SIKA HJ"/>
        <s v="MAP ZIPPER JALA A5 SIKA HT"/>
        <s v="MAP ZIPPER JALA A5 SIKA BR"/>
        <s v="DOUBLE TAPE FOAM 24MM"/>
        <s v="PENSIL 2B KAYAGI 2029"/>
        <s v="PENSIL 2B KAYAGI 3057"/>
        <s v="PENSIL 2B TF 88 BTK"/>
        <s v="PENSIL TF 99 S"/>
        <s v="ASAHAN 9022"/>
        <s v="ASAHAN TG3695"/>
        <s v="MIKA ENTER 12 X 18"/>
        <s v="PENSIL 2B +STIP 2116"/>
        <s v="PENSIL CASE 168-22 KALENG"/>
        <s v="PENSIL CASE DZ-32 KALENG"/>
        <s v="PENCIL CASE XLG BD861"/>
        <s v="LEM BAKAR K 7X29 H 538 A POLOS"/>
        <s v="ISI GEL TIZO TG 308-AR"/>
        <s v="HIGHLIGHTER Q1313 STAR-STAMP ISI 5"/>
        <s v="GARISAN MAL 270 ANGKA + HURUF"/>
        <s v="GARISAN MAL 280 ANGKA + HURUF"/>
        <s v="GARISAN TW-8068"/>
        <s v="BENSIA LT 1311 KACA SISIR"/>
        <s v="PENSIL 951"/>
        <s v="PENSIL 7027"/>
        <s v="PENSIL 938"/>
        <s v="PENSIL 903"/>
        <s v="BALON DOF 12'' RI MERAH"/>
        <s v="BALON DOF 12&quot; RI PUTIH"/>
        <s v="N BOOK 005 STICKER"/>
        <s v="DIARY CK64-6031 HAHA (112LBR)"/>
        <s v="BP GP 1016 GOLD"/>
        <s v="BP GP 1016 SILVER"/>
        <s v="PC PLST KOTAK B 1F 1502"/>
        <s v="BALON BL 1006"/>
        <s v="BP TIZO TG 30802F S3 FANCY"/>
        <s v="BP TIZO TG 31475F FANCY"/>
        <s v="BP GEL TIZO 30900F FANCY"/>
        <s v="REFIL GEL TIZO 1.0"/>
        <s v="MECHPEN G 9005 A"/>
        <s v="MECHPEN G 9008 A"/>
        <s v="MECHPEN G 9006 A"/>
        <s v="BALLPEN KENKO KR-6 NANOTIP"/>
        <s v="ISI GEL ELSON ES-227 TAYO"/>
        <s v="ISI GEL ELSON ES-220 BTS"/>
        <s v="ISI GEL ELSON ES-222 DORAEMON"/>
        <s v="ISI GEL ELSON ES-223"/>
        <s v="ISI GEL ELSON ES-228 SUPER HEROES"/>
        <s v="BP V-TRO 238"/>
        <s v="BP V-TRO 237"/>
        <s v="BP GEL ZHIXIN G 3139"/>
        <s v="BP GEL ZHIXIN G 3150"/>
        <s v="BP GEL ZHIXIN G 3162"/>
        <s v="BP ZHIXIN 5014"/>
        <s v="BP GEL ZHIXIN G 5017"/>
        <s v="BP GEL ZHIXIN G 3051"/>
        <s v="BP GEL ZHIXIN G 5013"/>
        <s v="BP GEL ZHIXIN G 3137"/>
        <s v="BP GEL ZHIXIN G 3109"/>
        <s v="GARISAN SET 20CM 0122"/>
        <s v="GARISAN SET LM 0190 HERO"/>
        <s v="GARISAN SET ZX 6110/ 20CM PPK"/>
        <s v="GARISAN SET FS 9810 UNICORN"/>
        <s v="GARISAN SET 019"/>
        <s v="GARISAN SET ZX-022 20 CM"/>
        <s v="GARISAN SET ZX-018 20 CM"/>
        <s v="GARISAN SET ZX-021 20 CM"/>
        <s v="BALLPEN ZHIXIN CLICK K 15"/>
        <s v="PENSIL TUKANG GREATWALL"/>
        <s v="ISOLASI FANCY"/>
        <s v="ASAHAN TOPLES PAYU MIX"/>
        <s v="PC MAGNIT B 120 S 8065"/>
        <s v="PC MAGNIT 35145 (BIASA)"/>
        <s v="PC MAGNIT B 0011"/>
        <s v="PC MAGNIT C 9962"/>
        <s v="PENSIL CASE KD-50J"/>
        <s v="STICK NOTE TF 654 5C"/>
        <s v="ID CARD T 017"/>
        <s v="BENSIA 9935 PLUIT (42)"/>
        <s v="BENSIA 05LM2 (6021)"/>
        <s v="TIPEX KOALA 001"/>
        <s v="BP GEL KOALA GP-168-A MERAH"/>
        <s v="BP GEL KOALA GP-168-B BR"/>
        <s v="BP GEL KOALA GP-168-C HJ"/>
        <s v="BP GEL KOALA GP-168-D VL"/>
        <s v="BP GEL KOALA GP-168-E OR"/>
        <s v="BP GEL KOALA GP-168-F BR TUA"/>
        <s v="BP GEL KOALA GP-168-G PK"/>
        <s v="BP GEL KOALA GP-168-H HJ MUDA"/>
        <s v="BP GEL KOALA GP-168-I COKLAT"/>
        <s v="BP GEL KOALA GP-168-J KNG"/>
        <s v="PENSIL CASE AD-062"/>
        <s v="STAMP PAD HERO BESAR"/>
        <s v="LOOSE LEAF HOLO BEE SMART A5 MIX"/>
        <s v="ASAHAN PAYU 825 KUDA"/>
        <s v="ASAHAN PAYU 830 KUPU-KUPU"/>
        <s v="NAME TAG DOS BIRU"/>
        <s v="LOOSE LEAF A5-50LBR DOTED TITIK"/>
        <s v="KARET PENTIL B"/>
        <s v="TAS BATIK KC MICROTOP PB S0218 A"/>
        <s v="TAS BATIK TG MICROTOP PB S0218 Q"/>
        <s v="ISI PENSIL MEKANIK 801 2,0"/>
        <s v="PC RET KY 1196"/>
        <s v="PC RET KY 6173"/>
        <s v="KAWAT 504 MIX"/>
        <s v="BALLPEN 12W"/>
        <s v="BALLPEN DTIAN BIASA 812"/>
        <s v="STICK NOTE TF-010"/>
        <s v="ID CARD B3 IMPORT"/>
        <s v="TALI ID CARD 1.5 MERAH"/>
        <s v="NOTEBOOK 70100-2"/>
        <s v="NOTEBOOK 70100-11"/>
        <s v="KAWAT POTONG MIX"/>
        <s v="NOTEBOOK  A5-508"/>
        <s v="NOTEBOOK  A5-104"/>
        <s v="NOTEBOOK  A5-521"/>
        <s v="ISOLASI WARNA POLOS KECIL (BO 5076)"/>
        <s v="MEJA BELAJAR FANCY"/>
        <s v="ID CARD BEKNN PUTIH"/>
        <s v="ID CARD 501 BIRU"/>
        <s v="BENDERA PLST RENTENG TRISULA TALI"/>
        <s v="BP DEBOZZ DB G 05"/>
        <s v="EXPANDING FILE MICROTOP MT-625 FOLIO"/>
        <s v="CEPITAN SAJA"/>
        <s v="TAS KARUNG 60X70"/>
        <s v="SULING YAMAHA"/>
        <s v="MAGNET 504"/>
        <s v="BP KLIK DEBOZZ FANCY DB-GF 10"/>
        <s v="GUNTACKER R-23"/>
        <s v="MINI DIARY 120"/>
        <s v="ACRYLIC NT 7X20"/>
        <s v="CLIP KAYU 8 GAMBAR MIX"/>
        <s v="KAWAT POTONG TIPIS 7 MACAM"/>
        <s v="BULLDOG CLIP T-4"/>
        <s v="BULLDOG CLIP B-6"/>
        <s v="TAS BATIK MICROTOP 0218 TANGGUNG"/>
        <s v="TAS BATIK MICROTOP 0218 BESAR"/>
        <s v="TINTA ROLL 20MM"/>
        <s v="REFILL GEL TECHJOB 1.0"/>
        <s v="BP GEL TIZO TG31220"/>
        <s v="ISOLASI FANCY 15 X 2"/>
        <s v="STICK NOTE TF 0246"/>
        <s v="LOOSE LEAF HOLO ALFA A5 HELLO KITTY"/>
        <s v="ZIPPER FILE CLEAR HOLDER TOPLA 555 20 FILE"/>
        <s v="ZIPPER FILE CLEAR HOLDER TOPLA 555 40 FILE"/>
        <s v="ZIPPER FILE CLEAR HOLDER TOPLA 555 60 FILE"/>
        <s v="OIL COLOR V-TRO 12W 6ML"/>
        <s v="BP GEL 9177"/>
        <s v="BP MAINAN 99096"/>
        <s v="ACRYLIC 8 X 20"/>
        <s v="PENSIL CASE C-9960"/>
        <s v="DESK SET BULAT 802 HT"/>
        <s v="DESK SET KOTAK 804 HT"/>
        <s v="CAT ACRYLIC COLOUR TF AC-004N NEON"/>
        <s v="CAT ACRYLIC COLOUR PAINT V-TRO"/>
        <s v="TAK SUSUN 3 SSN BESI"/>
        <s v="KUAS K5NIL"/>
        <s v="BK MEWARNAI IF BJ45"/>
        <s v="BK MEWARNAI IF BJA"/>
        <s v="BK MEWARNAI SIKA"/>
        <s v="BK MEWARNAI 016"/>
        <s v="ISI L LEAF A5 LLP 15 A-006 MIX"/>
        <s v="ISI L LEAF A5 PAPER STAR"/>
        <s v="MAP V-TECH W209 A3"/>
        <s v="STAMP 1000"/>
        <s v="STEMPEL 2000"/>
        <s v="STAMP PAD SK 1602 FANCY"/>
        <s v="STEMPEL SK1617"/>
        <s v="STEMPEL SK 849K"/>
        <s v="STAMPAD FANCY 25090"/>
        <s v="MAGNET X3510"/>
        <s v="MAGNET  3010J SMILE WARNA"/>
        <s v="MAGNET X-3008"/>
        <s v="MAGNET 2012"/>
        <s v="MAGNET 2010T"/>
        <s v="MAGNET ZRM 0840"/>
        <s v="MAGNET X3006"/>
        <s v="MAGNET 3012"/>
        <s v="MAGNET  X3010 SMILE KUNING"/>
        <s v="MAGNET G-05"/>
        <s v="MAGNET 2008"/>
        <s v="MAHKOTA EMAS"/>
        <s v="MAHKOTA PERAK"/>
        <s v="SLIDE BINDER 7MM K PUTIH"/>
        <s v="MATERAI 25861"/>
        <s v="PENSIL TM 00521"/>
        <s v="BRUSH PEN SH-764"/>
        <s v="GARISAN BESI 15CM (ALUMINIUM)"/>
        <s v="GARISAN ABC 350"/>
        <s v="GARISAN ABC 300"/>
        <s v="GARISAN ABC 270"/>
        <s v="GARISAN ABC 280"/>
        <s v="HITEC CS-651"/>
        <s v="TIPEX PEN 001 C7061"/>
        <s v="PENSIL 2B KYPF 2029"/>
        <s v="PENSIL 2B KYPF 3057"/>
        <s v="GUNTING LIPAT TANGGUNG"/>
        <s v="SPIDOL WARNA BRUSH PEN MK 833-12"/>
        <s v="MECHPEN G 9009 A"/>
        <s v="MECHPEN G 9007 A"/>
        <s v="BP DEBOZZ DB G 07"/>
        <s v="BP GEL CS-G208"/>
        <s v="BP GEL (706) GP-189"/>
        <s v="GEL KOALA GP 708"/>
        <s v="STABILLO TOPI"/>
        <s v="GARISAN ROTARY"/>
        <s v="GARISAN 30CM ALUMINIUM GLITTER"/>
        <s v="GARISAN 9443"/>
        <s v="GARISAN 1896"/>
        <s v="GARISAN TF-1191"/>
        <s v="GARISAN 4311"/>
        <s v="GARISAN KT-005"/>
        <s v="GARISAN KT-006"/>
        <s v="GARISAN 8418"/>
        <s v="GARISAN 2540"/>
        <s v="GARISAN 4317"/>
        <s v="GARISAN 1890"/>
        <s v="GARISAN 050 (SABLON)"/>
        <s v="GARISAN 24CM LIPAT ALUMINIUM SO-7233"/>
        <s v="BP GEL WM-7200 CETEK2"/>
        <s v="STANDARD BUKU FANCY MIX"/>
        <s v="GARISAN 20CM JK RL P20"/>
        <s v="MAGNET 006"/>
        <s v="MAGNET 002"/>
        <s v="STIP W/B ENTER 823 K"/>
        <s v="ISI GEL 1.0 HITAM"/>
        <s v="ASAHAN 722A"/>
        <s v="SELONGSONG PENTEL ENTER"/>
        <s v="BUSINESS FILE SIKA AC-106 PUTIH"/>
        <s v="TALI JEPITAN BIRU"/>
        <s v="KUAS 251-1 PAGODA"/>
        <s v="KUAS 251-2 PAGODA"/>
        <s v="KUAS 251-4 PAGODA"/>
        <s v="MAP HUTANG PIUTANG"/>
        <s v="CLEAR HOLDER RET TOPLA 40LB"/>
        <s v="CLEAR HOLDER RET TOPLA 20LB"/>
        <s v="PENSIL CASE A-6500"/>
        <s v="PITA TARIK/KADO 30 LS"/>
        <s v="PITA TARIK/KADO 30 THT -1"/>
        <s v="PITA KADO 30MM BIASA"/>
        <s v="PITA KADO 23MM GARIS EMAS"/>
        <s v="PITA CH-30-1"/>
        <s v="PITA KADO 23MM BIASA"/>
        <s v="PITA CH-30"/>
        <s v="PITA TARIK/KADO 30 JC"/>
        <s v="PITA TARIK/KADO 23 LS"/>
        <s v="PITA KADO 18MM RENDA"/>
        <s v="PULL RIBBON HC-30"/>
        <s v="PITA KADO 30MM GARIS EMAS"/>
        <s v="PITA TARIK/KADO 30 THT"/>
        <s v="PITA TARIK/KADO 30 LS -1"/>
        <s v="AGENDA 25 K MB 35 25"/>
        <s v="TAS TALI SB-223 KC TIKAR"/>
        <s v="TAS SB 120 BRANDED COWK"/>
        <s v="PC MAGNIT DKK 9907"/>
        <s v="GUNTING 8 (B 021)"/>
        <s v="KARET GELANG BESAR"/>
        <s v="LEM BAKAR KECIL"/>
        <s v="SIMPOA 17 BARIS JAYA"/>
        <s v="SEMPOA JAYA 13 BARIS"/>
        <s v="MEJA BELAJAR POLOS JUMBO (DOS MERAH)"/>
        <s v="PW 12W PANJANG DEMO CLASSIC"/>
        <s v="EXPANDING FILE V-TECH 4511 B5"/>
        <s v="MAP KC 335 ENTER"/>
        <s v="MAP ZIPPER KANCING 2 SIKA MERAH"/>
        <s v="MAP ZIPPER KANCING 2 SIKA BIRU"/>
        <s v="MAP ZIPPER KANCING 2 SIKA HIJAU"/>
        <s v="BP PELNA 05 HT"/>
        <s v="PENSIL COLLEN 2B"/>
        <s v="PENSIL 2B COWRY FANCY"/>
        <s v="PENSIL CASE 168-20"/>
        <s v="P CASE MAGNET D 20065"/>
        <s v="PENSIL CASE 5850"/>
        <s v="PENCIL CASE 5815"/>
        <s v="P CASE MAGNET 16822"/>
        <s v="PENSIL CASE PC-613-7 KALENG"/>
        <s v="BP ZHIXIN ZH 102"/>
        <s v="STICK NOTE TF 654-8C-M"/>
        <s v="ISI PENSIL VTRO"/>
        <s v="PITA KADO 18 BIASA"/>
        <s v="BENSIA 909"/>
        <s v="BENSIA 903"/>
        <s v="CLIP BOARD TRIFELO"/>
        <s v="W COLOUR 21839"/>
        <s v="WATER COLOR TF 1331 PP"/>
        <s v="STICKER JN-H"/>
        <s v="STICKER YLD"/>
        <s v="DISPENSER PLAKBAND BESI A 806 MOSHI-MOSHI"/>
        <s v="DISPENSER PLAKBAND PLASTIK A 805 MOSHI-MOSHI"/>
        <s v="ELEVATED TRAY MICROTOP 602 BESI"/>
        <s v="ELEVATED TRAY MICROTOP 603"/>
        <s v="ELEVATED TRAY MICROTOP 604"/>
        <s v="MIKA ROLL K"/>
        <s v="NAME PLATE 10,5X16"/>
        <s v="PITA KADO 50 RENDA"/>
        <s v="STAPLER V TECH STANDY 10"/>
        <s v="GUNTING JUNIOR J 400"/>
        <s v="GUNTING 6 (B 023)"/>
        <s v="STAPLER (GUN TACKER) 1008F JOSS"/>
        <s v="PEN HOLDER HITAM KOTAK"/>
        <s v="PEN HOLDER HITAM BULAT"/>
        <s v="KACA PEMBESAR 50"/>
        <s v="KACA PEMBESAR 75"/>
        <s v="KACA PEMBESAR 100"/>
        <s v="GARISAN SET ACRYLIC 30CM GR-180456"/>
        <s v="GARISAN SET ACRYLIC 20CM GR-180455"/>
        <s v="LETTER TRAY BESI 3 SUSUN (2003)"/>
        <s v="LETTER TRAY SUSUN 4 (2004) BESI"/>
        <s v="DISPENSER CAMAT"/>
        <s v="BULDOG CLIP 3 V-TECH (24) 0024"/>
        <s v="BULDOG CLIP 4 V-TECH (18) 0023"/>
        <s v="CLIP BULLDOG 6"/>
        <s v="PENSIL CASE A-1301"/>
        <s v="PENSIL CASE BX-3971"/>
        <s v="PC MAGNIT JUMBO KALKULATOR PB33"/>
        <s v="PC MAGNIT B 3513-24"/>
        <s v="LOOSE LEAF BIASA HELLO KITTY A5 (100GSM)"/>
        <s v="LOOSE LEAF BIASA FROZEN A5 (100GSM) "/>
        <s v="KUAS A-1"/>
        <s v="KUAS A-2"/>
        <s v="KUAS A-3"/>
        <s v="KUAS A-4"/>
        <s v="KUAS A-5"/>
        <s v="KUAS A-6"/>
        <s v="KUAS A-7"/>
        <s v="KUAS A-8"/>
        <s v="KUAS A-9"/>
        <s v="KUAS A-10"/>
        <s v="KUAS A-11"/>
        <s v="KUAS A-12"/>
        <s v="KUAS SET B-6636"/>
        <s v="KUAS 21839-7"/>
        <s v="KUAS 251-6HB"/>
        <s v="KUAS YM-006"/>
        <s v="KUAS SHINING SET A5-1"/>
        <s v="BINDER NOTE GASTA HP 2008 A5"/>
        <s v="BN B5 GASTA HP 2607 F"/>
        <s v="B NOTE A5 MINION MIX"/>
        <s v="B NOTE B5 GASTA L1909"/>
        <s v="BALON BL 1007"/>
        <s v="BALON LKP 3200"/>
        <s v="BALON LKF 3200 M1"/>
        <s v="N BOOK SPIRAL Q32K S002"/>
        <s v="NOTEBOOK 25100-62"/>
        <s v="NOTEBOOK 28825-63"/>
        <s v="NOTEBOOK 25100-64"/>
        <s v="NOTEBOOK 25100-56"/>
        <s v="NB SPIRAL A6 SQY 190402"/>
        <s v="NB SPIRAL A6-801 LUCKY NOTE"/>
        <s v="NOTEBOOK 18100-52"/>
        <s v="PEMBATAS A5 UTN"/>
        <s v="PEMBATAS B5 UTN"/>
        <s v="AGENDA DIARY 0"/>
        <s v="GARISAN DB P 072 30CM"/>
        <s v="GARISAN ELASTIS 15CM GR-2301 (WALITO)"/>
        <s v="GARISAN ELASTIS 30CM GR-2303 (WALITO)"/>
        <s v="GARISAN UMPTN (50)"/>
        <s v="CAT ACRYLIC 12W VTRO"/>
        <s v="NB MINI POCKET MB 120 WARNA KULIT"/>
        <s v="N BOOK A 0321 17 K MIX"/>
        <s v="N BOOK 1003575"/>
        <s v="LILIN TY 018 MAGIC"/>
        <s v="TAS KADO 804 SILVER KECIL"/>
        <s v="TAS KADO 804 GUCI KECIL"/>
        <s v="TAS KADO BSR SM L 2097 GLITER"/>
        <s v="TAS SM 1802 M-17 TG GILAP"/>
        <s v="TAS KADO BATIK PANJANG"/>
        <s v="TAS COKLAT POLOS KECIL"/>
        <s v="TAS COKLAT POLOS BESAR"/>
        <s v="TAS 30X23"/>
        <s v="TAS KARUNG B614-001"/>
        <s v="TAS KARUNG SPOON MOTIF MUKENA"/>
        <s v="KUAS 21839-6Q"/>
        <s v="STICKY XTQ（333）"/>
        <s v="CLEAR HOLDER CH 020 UTN"/>
        <s v="CLEAR HOLDER UTN CH 040"/>
        <s v="DOKUMEN HD62"/>
        <s v="BALON BL 10025"/>
        <s v="TALI JEPITAN 5WR"/>
        <s v="ISOLASI FANCY CP R"/>
        <s v="TUSUK SURAT XINGLI XL-001"/>
        <s v="JARUM PENTUL CASING 1 1/4"/>
        <s v="PALET KUMBANG 1101"/>
        <s v="MAGNET 009"/>
        <s v="PALET KEPITING DOP PKD 202"/>
        <s v="TAS COKLAT TEBAL TANGGUNG "/>
        <s v="TAS MJ-1 KCL HIJAU"/>
        <s v="P CASE REST SH 05"/>
        <s v="TIPEX KERTAS NO.9461"/>
        <s v="TIPEX KERTAS NO.9459"/>
        <s v="TIPEX KERTAS NO.9442"/>
        <s v="TIPEX KERTAS NO.9473"/>
        <s v="BP KENKO KR 6 NANOTIP"/>
        <s v="GUNTING HY011"/>
        <s v="PENSIL HB FANCY"/>
        <s v="ISI GELL RETRACT DB GR-900"/>
        <s v="BP 7026"/>
        <s v="BP B155 (0366)"/>
        <s v="BP 9892"/>
        <s v="GEL 1088"/>
        <s v="BP 7064"/>
        <s v="BP GELL 585"/>
        <s v="GEL 9101"/>
        <s v="GEL SM 910"/>
        <s v="JANGKA BESI 4001 BOFA"/>
        <s v="JANGKA TOZCHA TZ 8186"/>
        <s v="PENSIL TF 288"/>
        <s v="PENSIL HOROSCOPE"/>
        <s v="PENSIL TUKANG GEPENG"/>
        <s v="GARISAN ALUMINIUM 30CM 1530"/>
        <s v="PENSIL 2B GLX"/>
        <s v="KOMPAS VTECH 45-3"/>
        <s v="STICKER JN-S"/>
        <s v="MAP FILE EN 0103F"/>
        <s v="CLIP BOARD 2 MUKA WB"/>
        <s v="EXPANDING FILE TZ 2012"/>
        <s v="MAP SMILE JNT 8077 NO B6 5014 F"/>
        <s v="STICK NOTE TF 654-8C"/>
        <s v="MAP FILE RET 1802-3 B5"/>
        <s v="MAP FILE RET 1802-2 A5"/>
        <s v="MAP FILE RET 1802-1 A6"/>
        <s v="MAP ZIPPER REST A6 16C"/>
        <s v="MAP ZIPPER REST A5 16C"/>
        <s v="MAP ZIPPER REST B5 234561-2"/>
        <s v="MAP ZIPPER REST A4 16C"/>
        <s v="MAP ZIPPER REST B4 NCL"/>
        <s v="MAP DATA MICROTOP BS-56 A4"/>
        <s v="MAP FILE RET 1804-1 A6"/>
        <s v="CLEAR HOLDER UTN CH 040 BIRU"/>
        <s v="MAP FILE RET 1804-3 B5"/>
        <s v="MAP REST VZ/ A6"/>
        <s v="MAP REST VZ/ B5"/>
        <s v="MAP REST BX55"/>
        <s v="BOOK END SB-8899"/>
        <s v="STANDART BUKU FANCY"/>
        <s v="ISI L LEAF A5 BIODATA UTN"/>
        <s v="B NOTE A5 RABBIT"/>
        <s v="B NOTE B5 RABBIT"/>
        <s v="BALON LJ 1836 JUMBO"/>
        <s v="BALON LMP 2800"/>
        <s v="BALON METALIK HB LMS 2800 HB"/>
        <s v="BALON HB LKF 4W LKF 3200 HB4"/>
        <s v="MAP ZIPPER A5 MOSHI"/>
        <s v="MAP ZIPPER POCKET GAMDORI A5"/>
        <s v="MAP ZIPPER POCKET GAMDORI B5"/>
        <s v="BANNER BALLET B312 BS"/>
        <s v="BANNER B 311"/>
        <s v="ASAHAN YM 052"/>
        <s v="ASAHAN TT 910 (48)"/>
        <s v="PENSIL CASE SH-8705"/>
        <s v="PC RET BD 861"/>
        <s v="SERBUK EMAS"/>
        <s v="GLITTER 786-12"/>
        <s v="STIP TRIFELLO TF-377 (24)"/>
        <s v="PAYET"/>
        <s v="PC PLST KOTAK B 1F 1504"/>
        <s v="P CASE B 132"/>
        <s v="P CASE B 133"/>
        <s v="ASAHAN EX 09 ESELON"/>
        <s v="PENSIL X 001"/>
        <s v="PENSIL KY*3041"/>
        <s v="BP GEL 223"/>
        <s v="BP GEL 224"/>
        <s v="BP GANTUNGAN KUNCY 280"/>
        <s v="LOOSE LEAF BIASA A5 HELLO KITTY + PUZZLE DINO"/>
        <s v="ISI L LEAF HOLO ZODIAC"/>
        <s v="ISI L LEAF LLP HOLO FANCY"/>
        <s v="PENCIL CASE RET KY 1203"/>
        <s v="P CASE REST B-123"/>
        <s v="GARISAN BESI 1M TP"/>
        <s v="BP EXELENT 2079"/>
        <s v="MAGIC BOARD 106"/>
        <s v="GARISAN 308"/>
        <s v="GARISAN 30CM DF 3109"/>
        <s v="GLITTER RENTENG 8891"/>
        <s v="GUNTING KUKU 777 H 211 B"/>
        <s v="ID CARD KULIT BIRU"/>
        <s v="ISI BENSIA LT 11-3"/>
        <s v="K LIPAT FLUORESCENT 14X14"/>
        <s v="N BOOK WEEK 005 + STICKER"/>
        <s v="SIMPOA 8012"/>
        <s v="STABILLO VANCO 2W HL 219 ZENDI"/>
        <s v="STABILLO 220"/>
        <s v="STICK NOTE WLT 8923"/>
        <s v="STICKER DINDING 5210"/>
        <s v="PENCIL CASE SET RS 3000 FANCY"/>
        <s v="TAS KERTAS 8853A"/>
        <s v="TAS BATIK TG SBS MICROTOP"/>
        <s v="TIPEX KERTAS NO.8557"/>
        <s v="TIPEX KERTAS 91040HG"/>
        <s v="TIPEX KERTAS NO.9480"/>
        <s v="KARET KECI"/>
        <s v="L LEAF A5-50 KOTAK BESAR"/>
        <s v="L LEAF A5-50 KOTAK KECIL"/>
        <s v="MAP KANCING 2 MICROTOP A6 PARIS"/>
        <s v="MAP A-54 MICROTOP"/>
        <s v="NOTEBOOK 7050-2"/>
        <s v="ISI PENSIL DEBOZZ DB 096"/>
        <s v="PENSIL TUKANG GEPENG MERAH"/>
        <s v="P CASE SET 3348"/>
        <s v="SIPOA KAKI B 808 MOSHI MOSHI"/>
        <s v="ISI GEL ELSON ES-230 DINO"/>
        <s v="PC MAGNIT 7806"/>
        <s v="TINTA 20MM (1 LINE)"/>
        <s v="TINTA 18MM"/>
        <s v="N BOOK 25K MB 35-25"/>
        <s v="PENCIL CASE XLG BD814"/>
        <s v="PENSIL CASE A-777 + CAL"/>
        <s v="PC XM 7222 HK"/>
        <s v="P CASE SH 06"/>
        <s v="P CASE GA 26"/>
        <s v="PC GP 9315"/>
        <s v="P CASE GA 25"/>
        <s v="P CASE GA 28"/>
        <s v="PC MAGNIT CALL MC 7121"/>
        <s v="PC MAGNIT 9340"/>
        <s v="P CASE KK 22 COWOK"/>
        <s v="P CASE KK 22 CEWEK"/>
        <s v="PC K 93"/>
        <s v="PC RET IMITASI 385"/>
        <s v="P CASE H 466"/>
        <s v="P CASE K 98"/>
        <s v="PC TOPLA 2879 B"/>
        <s v="PC KLG SET KT 6601 (BLK)"/>
        <s v="PENSIL CASE 168-69-3"/>
        <s v="P CASE KLG LPY 99-2"/>
        <s v="P CASE BOX MAGNIT MY 004"/>
        <s v="PENSIL CASE WLT9903"/>
        <s v="P CASE KLG 3348"/>
        <s v="PENSIL CASE S-300"/>
        <s v="P CASE REST GS 3219"/>
        <s v="PENSIL CASE DZ-0061-3"/>
        <s v="P CASE REST B 109"/>
        <s v="PC KODE 1 SUSUN KALKULATOR 8003"/>
        <s v="PC KODE 1 SUSUN BIASA 8003"/>
        <s v="KUAS B-11"/>
        <s v="TAS KARUNG 60 X 45"/>
        <s v="CLIPBOARD ACRYLIC TF MIX"/>
        <s v="TAS KADO SM 2902 KECIL BIASA"/>
        <s v="TAS KADO GGS SM 105 GLITTER KECIL"/>
        <s v="TAS KADO SM 1925L-4 GLITTER KECIL"/>
        <s v="TAS KADO GGS 1833-5 GLITTER KECIL"/>
        <s v="TAS GM-M 106 GLITTER TANGGUNG"/>
        <s v="TAS 1833 M GLITTER TG"/>
        <s v="TAS 1803 M TG GILAP"/>
        <s v="TAS TALI GLITTER TG 105"/>
        <s v="TAS SM 105 BESAR"/>
        <s v="KUAS 251-6 PAGODA"/>
        <s v="KUAS 251-8 PAGODA"/>
        <s v="KUAS 251-10 PAGODA"/>
        <s v="KUAS 251-11 PAGODA"/>
        <s v="KUAS 251-12 PAGODA"/>
        <s v="CAT AIR MARRIES 1325 12W GM &amp; BT"/>
        <s v="BP TG 346 B"/>
        <s v="STABILLO DB ST 007"/>
        <s v="BENSIA 923"/>
        <s v="MECHPEB CO 0938"/>
        <s v="PALET PLT 006 JOSS"/>
        <s v="TALI JEPITAN MERAH"/>
        <s v="TALI JEPITAN HIJAU"/>
        <s v="TALI JEPITAN KUNING"/>
        <s v="TALI JEPITAN HITAM"/>
        <s v="TALI JEPITAN ORANGE"/>
        <s v="MIKA 10.5 X 16"/>
        <s v="ID CARD A2"/>
        <s v="ID CARD A3"/>
        <s v="BK/ NB A 343K(1)"/>
        <s v="BK/ NB A 326K(4)"/>
        <s v="BK/ NB A 342K"/>
        <s v="BK/ NB A 331B"/>
        <s v="BNS XB 72K 1352"/>
        <s v="BNS XB 72K 1273"/>
        <s v="N BOOK SPIRAL XB 72K 1397"/>
        <s v="BTS 60-404/A5-45 DEPAN"/>
        <s v="BK/ NB SPIRAL A6-120 TAB"/>
        <s v="KERTAS LIPAT ORIGAMI C 037"/>
        <s v="KARET GELANG BESAR UTN"/>
        <s v="KARET GELANG ECIL 1 ONS"/>
        <s v="KERTAS LIPAT ORIGAMI HL 305"/>
        <s v="AGENDA 25K MB 35-2S"/>
        <s v="NAME CARD 2 PC FANCY (BARBIE/P. HANA) PP-A282"/>
        <s v="BUKU TAMU ENTER BUNGA"/>
        <s v="TAS KADO TALI KECIL"/>
        <s v="TAS KADO TALI TANGGUNG"/>
        <s v="TAS KADO TALI BESAR"/>
        <s v="TAS TALI GG-01 KECIL GLITTER"/>
        <s v="GARISAN BUSUR 180/ 10CM NEW"/>
        <s v="M PENSIL TIZO G 9007 A"/>
        <s v="BN A5 FANCY 0913 (MINION)"/>
        <s v="PENSIL DM 7812"/>
        <s v="GUNTING SISTER MFM"/>
        <s v="GUNTING SISTER MFL "/>
        <s v="ISI PENSIL VTRO 20 2B"/>
        <s v="PW TF 194 24W"/>
        <s v="GARISAN SET 20CM SLO 0192"/>
        <s v="PENSIL 8894-12"/>
        <s v="JANGKA JF 8021"/>
        <s v="CRAYON 1012 12W PUTAR PANJANG"/>
        <s v="KAWAT ROLL 504 5W"/>
        <s v="PENCIL CASE RET KY 6159"/>
        <s v="PENCIL CASE RET KY 1123"/>
        <s v="MESIN LEM TEMBAK WOMY 60WATT"/>
        <s v="ID CARD 501 MERAH"/>
        <s v="ID CARD 501 PUTIH"/>
        <s v="GARISAN 18CM 322 (84) TRANSFORMER"/>
        <s v="GUNTING MPL"/>
        <s v="TOPI ULTAH KERUCUT 11A"/>
        <s v="TOPI ULTAH KERUCUT 3D HT MIX"/>
        <s v="TOPI ULTAH DISNRY ETJ"/>
        <s v="SIPOA 8010"/>
        <s v="LILIN ANGKA SHINTOENG NO. 1"/>
        <s v="LILIN ANGKA SHINTOENG NO. 2"/>
        <s v="SAMPUL METALIK KWARTO WORRY (2)"/>
        <s v="SAMPUL METALIK BOXY WORRY (20)"/>
        <s v="BALLPEN CS-651"/>
        <s v="HIGHLIGHTER PEN XL-102-6"/>
        <s v="BP GEL CS-H764 6WR + STABILLO"/>
        <s v="BALLPEN KOALA GP-303"/>
        <s v="BP GEL 708"/>
        <s v="KUAS WLT 5796"/>
        <s v="KUAS 21839-10B"/>
        <s v="L LEAF A5 LLP 15 BIASA"/>
        <s v="LOOSE LEAF A5-50LBR RAINBOW POLOS"/>
        <s v="TALI ID CARD PEONY PUTIH"/>
        <s v="TALI ID CARD PEONY HIJAU"/>
        <s v="TALI ID CARD PEONY ORANYE"/>
        <s v="TIPEX (706) 001"/>
        <s v="BP GEL GP-801 NEW KOALA HTM"/>
        <s v="BP GEL GP-801 NEW KOALA MRH"/>
        <s v="PC RET KY 1194"/>
        <s v="ID CARD 501 KUNING"/>
        <s v="TAS GLITTER SM 105 L BESAR"/>
        <s v="BUKU MEWARNAI 6-8 04"/>
        <s v="BUKU MEWARNAI HT 604 A"/>
        <s v="BUKU MEARNAI SPS"/>
        <s v="BUKU MEWARNAI SIKA"/>
        <s v="ISI GEL GR 090 (20PCS TABUNG)"/>
        <s v="NOTEBOOK A5-ME"/>
        <s v="P WARNA 12W PJG 8891"/>
        <s v="TAS GG 1 1833 L BESAR"/>
        <s v="LILIN ULTAH 12W SHINTOENG"/>
        <s v="MAP ZIPPER KANCING 2 SIKA KUNING"/>
        <s v="PITA TARIK/KADO 30 CM BIASA"/>
        <s v="TIPEX KERTAS 91038HG"/>
        <s v="TIPEX KERTAS NO.8018"/>
        <s v="SAMPUL HUTANG PIUTANG"/>
        <s v="SAMPUL BOXY FANCY (STOK 26)"/>
        <s v="OIL PASTEL BB 12/ HW 12"/>
        <s v="Pc B 124"/>
        <s v="GUNTING KUKU VANCO GK 605"/>
        <s v="KUAS MONTANA NO 1"/>
        <s v="KUAS MONTANA NO 2"/>
        <s v="GARISAN BESI YOEKER (5030) 30 CM"/>
        <s v="CUTTER KENKO L 500"/>
        <s v="ID CARD UTN 501 PUTIH"/>
        <s v="POST IT PLASTIK GAMBAR (FANCY) BIASA/ HOLO"/>
        <s v="POST IT MAGNIT"/>
        <s v="TOPI ULTAH KERUCUT VITA"/>
        <s v="KARTU UNDANGAN ANAK BESAR A1100"/>
        <s v="TAS BATIK TANGGUNG"/>
        <s v="POMPA BALON"/>
        <s v="STICK MARKER PF-2368"/>
        <s v="STICK MARKER PF-2899"/>
        <s v="STICK MARKER PF-4368"/>
        <s v="STICK MARKER PF-3899"/>
        <s v="STICK MARKER PF-6368"/>
        <s v="GARISAN KT005"/>
        <s v="KAWAT 504 6WR"/>
        <s v="ASAHAN SH 002"/>
        <s v="ASAHAN MEJA 5530"/>
        <s v="ASAHAN TG3086A"/>
        <s v="ASAHAN 655"/>
        <s v="ASAHAN 7712"/>
        <s v="ASAHAN 906"/>
        <s v="ASAHAN 814"/>
        <s v="ASAHAN 103 PH (1X24)"/>
        <s v="ASAHAN KM 9105 F/ FR"/>
        <s v="ASAHAN TOPLES TR 385 HIPPO (54)"/>
        <s v="ASAHAN UC-128A"/>
        <s v="ASAHAN 888 H (24)"/>
        <s v="ASAHAN 888 J"/>
        <s v="ASAHAN DY 393 B"/>
        <s v="PITA TARIK/KADO 23 LIST GOLD (LISMAS)"/>
        <s v="PITA TARIK/KADO 30 LIST EMAS (LISMAS)"/>
        <s v="PITA TARIK/KADO 50-1 RENDA"/>
        <s v="DRAWING BOARD SH 0902 D/ 20X30"/>
        <s v="STUDY BOARD DJ3022"/>
        <s v="STUDY BOARD XG-105"/>
        <s v="DRAWING BOARD BT 21 NO.216"/>
        <s v="PITA JEPANG POLOS"/>
        <s v="PITA JEPANG MOTIF"/>
        <s v="PITA JEPANG LIST EMAS"/>
        <s v="N BOOK 005 + STICKER"/>
        <s v="TAS POLOS 804/ 832/ 838"/>
        <s v="TAS BRANDED BUKA SAMPING BESAR SB-120"/>
        <s v="TAS BATIK MJ 1 KECIL"/>
        <s v="TAS BATIK SB XXL-0121"/>
        <s v="TAS KARUNG BG14-001"/>
        <s v="TAS KARUNG 33X27"/>
        <s v="TAS 24X20"/>
        <s v="TAS 30X20"/>
        <s v="MAP KC 1 SIKA"/>
        <s v="LOOSE LEAF BIASA MINION A5"/>
        <s v="ISI L LEAF HOLO HK 100 GRAM"/>
        <s v="M BOOK 76 BATIK"/>
        <s v="POST IT WALITO WLT-8909"/>
        <s v="STICK NOTE WLT 8877"/>
        <s v="BN A5 MICROTOP BT 36 BATIK"/>
        <s v="BN B5 GASTA CL 1909 COLLEGE"/>
        <s v="BN WENGU A5-B 0164 (3W)"/>
        <s v="MAP FABRIC CASE"/>
        <s v="BK MEWARNA + CERITA"/>
        <s v="STUDY BOARD 604"/>
        <s v="SAMPUL ROLL DUST 254"/>
        <s v="SAMPUL ROLL DUST 344"/>
        <s v="SAMPUL ROLL DUST 454"/>
        <s v="NOTEBOOK 83100"/>
        <s v="AGENDA MB35-50"/>
        <s v="PEMBATAS A5 UTN ISI 5"/>
        <s v="KUAS K3NIL"/>
        <s v="BP TG 346 E"/>
        <s v="BP TIZO TB SG 09"/>
        <s v="GEL GP 340 SIKA"/>
        <s v="PENSIL 2B KY 2029"/>
        <s v="PENSIL 2B KY 2025"/>
        <s v="PENSIL TF 995"/>
        <s v="PENSIL TF 885 BATIK"/>
        <s v="PENSIL DW9021-12"/>
        <s v="P WARNA 12W JOSS PANJANG"/>
        <s v="TIPEX KERTAS 0888 MINI MIX"/>
        <s v="GARISAN 6606"/>
        <s v="PENSIL 1921116-8"/>
        <s v="BP GEL + GANTUNGAN 221"/>
        <s v="GARISAN KM-7733L"/>
        <s v="GARISAN KM-8833L"/>
        <s v="GARISAN BESI 30CM GLITER HS 1906 (9030)"/>
        <s v="GARISAN AURA"/>
        <s v="GARISAN LENTUR 30CM FANCY 0030"/>
        <s v="GARISAN SET 8020"/>
        <s v="GARISAN TF-360"/>
        <s v="GARISAN SEGITIGA KOJIKO NO.10"/>
        <s v="GARISAN SEGITIGA KOJIKO NO.12"/>
        <s v="BP TRIX 150"/>
        <s v="BENSIA SISIR 1311"/>
        <s v="ISI GEL GR 089 (12PCS TABUNG)"/>
        <s v="GEL GP 9101"/>
        <s v="PENSIL ZHONG HWA 69 2B"/>
        <s v="PENSIL 2B FLOUREN+STIP 388(36)"/>
        <s v="GUNTING IDEAL K-200"/>
        <s v="GUNTING IDEAL DR 7"/>
        <s v="GUNTING TREND 555"/>
        <s v="GUNTING INFICO SC 40"/>
        <s v="GUNTING INFICO SC 50"/>
        <s v="GUNTING INFICO SC 100"/>
        <s v="GUNTING YOEKER 706"/>
        <s v="SAMPUL BOXY OPP ALEXANDER"/>
        <s v="BALLPEN JK 224"/>
        <s v="LILIN TY 1020"/>
        <s v="MAP KCG 2 SIKA"/>
        <s v="MAP REST TN 15"/>
        <s v="AMPLOP MICROTOP DATA F 54 A5"/>
        <s v="MAP FILE RET 1801-2"/>
        <s v="TAS BG14 001"/>
        <s v="TAS BATIK MOTIF TG 25 X 9 X 35"/>
        <s v="BUKU TAMU SPIRAL BUNGA ENTER"/>
        <s v="BUKU TAMU BUNGA ENTER"/>
        <s v="TAS HZD 9101 A BSR BIASA"/>
        <s v="BALON BL 1005"/>
        <s v="KUAS 251-3 PAGODA"/>
        <s v="KAWAT MIX"/>
        <s v="STIP DEBOZZ DB B40 P"/>
        <s v="ASAHAN BEAR 839"/>
        <s v="LEM WATER GLUE TF 6038"/>
        <s v="PITA KADO TH-50"/>
        <s v="STIP TB 1602 (30)"/>
        <s v="PC PLS 408"/>
        <s v="PC PLS 9008 SC"/>
        <s v="PC RET KY 1114"/>
        <s v="PC RET BEILE DOG 8882 RESTLETING"/>
        <s v="PC MAGNIT S 30"/>
        <s v="ASAHAN TIKO 544 (24)"/>
        <s v="ASAHAN 717A"/>
        <s v="ASAHAN MEJA 9040 A RUMAH"/>
        <s v="PITA JEPANG NCL"/>
        <s v="TINTA DAISHEN B"/>
        <s v="ASAHAN XH8082"/>
        <s v="ASAHAN DY 395 B"/>
        <s v="ASAHAN 0310 WTP 103"/>
        <s v="CUTTER KENKO 918 C"/>
        <s v="OP DB 12W"/>
        <s v="JARUM PENTIL HIJAB"/>
        <s v="CRAYON PUTAR 12W PANJANG"/>
        <s v="BP TIZO TG 31060"/>
        <s v="TIPEX KERTAS 8243"/>
        <s v="GUNTING SET SC-826"/>
        <s v="GUNTING CUKUR JB-004"/>
        <s v="PENSIL HB 04"/>
        <s v="PENSIL HB 09"/>
        <s v="BP ODOMEI GP-9932"/>
        <s v="GEL LANTU LT 2108"/>
        <s v="CRAYON 12W HW"/>
        <s v="GARISAN KM-7733"/>
        <s v="PENSIL JUMBO + ASAHAN (458)"/>
        <s v="PENSIL + STIP BONEKA"/>
        <s v="PENSIL UNICORN P588 (50)"/>
        <s v="STABILLO CS 8108"/>
        <s v="STABILLO JK J-356"/>
        <s v="TAS BATIK BESAR"/>
        <s v="BUKU MEWARNAI 6-8 A4"/>
        <s v="PENSIL CASE KW-1919"/>
        <s v="PENSIL CASE 5843"/>
        <s v="SIPOA 8013"/>
        <s v="TAS TALI GILAP MIX BESAR"/>
        <s v="TAS 2066-1 B GLITTER"/>
        <s v="TAS 1833 L GLITTER BESAR"/>
        <s v="TAS GLITTER SM 105 BESAR"/>
        <s v="UNDANGAN ULTAH ANAK PON 233"/>
        <s v="PENSIL TF 88 S"/>
        <s v="P WARNA 36W KYCP 0736"/>
        <s v="TIPEX MINI FANCY 0846"/>
        <s v="TIPEX KERTAS 0821"/>
        <s v="TIPEX MINI FANCY 0857"/>
        <s v="TIPEX KERTAS 0831 DISNEY"/>
        <s v="TIPEX MINI FANCY 0888"/>
        <s v="BP V-TRO 236"/>
        <s v="STANDART BK V-TEC ST-065/ 6.5"/>
        <s v="TAS KADO/ TALI KCL 5 MOTIF"/>
        <s v="TAS KADO/ TALI TG 5 MOTIF"/>
        <s v="TAS KADO/ TALI BSR 5 MOTIF"/>
        <s v="TAS GILAP TG 5 MOTIF"/>
        <s v="TAS GILAP BSR MIX"/>
        <s v="TAS GLITTER KCL 5 MOTIF"/>
        <s v="TAS GLITTER TG 5 MOTIF"/>
        <s v="TAS GLITTER BSR 5 MOTIF"/>
        <s v="TAS BATIK KECIL"/>
        <s v="TAS BATIK TG"/>
        <s v="TAS BATIK BSR"/>
        <s v="DOKUMEN RISLETING INFINITY"/>
        <s v="DOKUMEN RISLETING PRESTIGE"/>
        <s v="KACA PEMBESAR TF BIASA 50"/>
        <s v="KUAS MAOPI KECIL"/>
        <s v="GARISAN 30CM BESI 5030 YOEKER ORANGE"/>
        <s v="MAGNET 003"/>
        <s v="PITA TARIK/KADO 23 BIASA"/>
        <s v="PITA TARIK/KADO 18 BIASA"/>
        <s v="PITA TARIK/KADO 18 LS"/>
        <s v="KARET GELANG KCL"/>
        <s v="BENDERA PLST BIASA"/>
        <s v="BENDERA PLST TALI"/>
        <s v="PW PASTEL TF 195 12W"/>
        <s v="BP GEL TIZO 30900E FANCY"/>
        <s v="BP GEL 832"/>
        <s v="BP GEL 835"/>
        <s v="KUAS UTN 661-1"/>
        <s v="KUAS UTN 661-2"/>
        <s v="KUAS UTN 661-3"/>
        <s v="KUAS UTN 661-4"/>
        <s v="KUAS UTN 661-5"/>
        <s v="KUAS UTN 661-6"/>
        <s v="KUAS UTN 661-7"/>
        <s v="KUAS UTN 661-9"/>
        <s v="KUAS UTN 661-10"/>
        <s v="KUAS UTN 661-11"/>
        <s v="KUAS UTN 661-12"/>
        <s v="KUAS E01"/>
        <s v="KUAS CAT H 4 POAI"/>
        <s v="ACRYLIC 8 X 25"/>
        <s v="ACRYLIC 7X25"/>
        <s v="ACRYLIC A6 11X16"/>
        <s v="ACRYLIC 11X21.5"/>
        <s v="N BOOK MAGNIT A6 CR 64"/>
        <s v="N BOOK 005 SET STICKER"/>
        <s v="STUDY BOARD 3180"/>
        <s v="BUKU MEWARNAI 8 DESAIN KECIL"/>
        <s v="POST IT WALITO WLT-8838"/>
        <s v="AGENDA 48K-1"/>
        <s v="AGENDA MB 35-50"/>
        <s v="SKETCH BOOK A5-3555"/>
        <s v="KUAS SET 889"/>
        <s v="GUNTING GUNINDO SPL COKLAT"/>
        <s v="GUNTING GUNINDO FM GA-07 COKLAT"/>
        <s v="GUNTING GUNINDO FL GA-10 COKLAT"/>
        <s v="GUNTING IDEAL K-400"/>
        <s v="GUNTING 9002A"/>
        <s v="TIPEX KERTAS XB-B221"/>
        <s v="TIPEX SET 0857"/>
        <s v="TIPEX KERTAS NO.5037"/>
        <s v="WATER COLOUR ACRYLIC 12W MOZAKI"/>
        <s v="WATER COLOUR TFWC-010 (12X6ML)"/>
        <s v="ISI MECHPEN COLLEN GOLD G-2000 HB (1 BOX=40 TUBE/ 1 TUBE=20 PC)"/>
        <s v="PW INFICO 12W PDK 1235"/>
        <s v="CRAYON PUTAR PJG 12W OUQIER"/>
        <s v="GARISAN GR 2302"/>
        <s v="GARISAN 20CM 2011(10)/ 2010(2)"/>
        <s v="GARISAN YS 2020"/>
        <s v="GARISAN BC-8996"/>
        <s v="GARISAN 30CM FANCY"/>
        <s v="GARISAN BESI YOEKER 40 CM"/>
        <s v="GARISAN MAL 280 ABJAD"/>
        <s v="GARISAN MAL 190 ABJAD"/>
        <s v="GARISAN ALUMINIUM KOALA 30CM"/>
        <s v="GARISAN 100CM BESI"/>
        <s v="BP DEBOZZ DB G 09"/>
        <s v="BP ODEMI BATIK 9933"/>
        <s v="BP MINI FISH 7200"/>
        <s v="BP KOALA GP 303"/>
        <s v="STUDY BOARD XG-106"/>
        <s v="GLITTER RENTENG EMAS"/>
        <s v="GLITTER RENTENG SILVER"/>
        <s v="CAT ACRYLIC MARIES ISI 8"/>
        <s v="CLIP BOARD TRIFELO MIS"/>
        <s v="GEL ZHIXIN K-15"/>
        <s v="MALAM Y4 KG TG 1 WARNA"/>
        <s v="BP GEL ZHIXIN G 3128"/>
        <s v="BP GEL ZHIXIN G 3156"/>
        <s v="BP GEL ZHIXIN G 3165"/>
        <s v="BP GEL ZHIXIN G 3167"/>
        <s v="BP TIZO TG 31142 F"/>
        <s v="CLIP BOARD KAYU ENTER"/>
        <s v="MINYAK MARIES 718 SURABAYA"/>
        <s v="CLEAR HOLDER TOPLA 40 LB"/>
        <s v="BP EXCELENY"/>
        <s v="P WARNA 24 W KYCP 0724"/>
        <s v="BP TIZO TG 31975F FANCY"/>
        <s v="BALLPEN GEL TIZO 31037 F"/>
        <s v="BP TIZO TG 31590F FANCY"/>
        <s v="BALLPEN GEL TIZO 31780 F"/>
        <s v="BP TIZO TG 31035F FANCY"/>
        <s v="TAS SPUNBOUND POLOS 30 X 40 TANGGUNG"/>
        <s v="GEL D TIAN 615"/>
        <s v="PENSIL 2B FANCY SET"/>
        <s v="GARISAN 30CM FANCY GLITTER"/>
        <s v="GARISAN STENSIL BESAR"/>
        <s v="GARISAN 30CM KM 1105 MIX"/>
        <s v="PITA TARIK/KADO 30-1 RENDA"/>
        <s v="PENSIL CASE 168-21"/>
        <s v="KARET PENTIL KECIL"/>
        <s v="KUAS ENTER 12"/>
        <s v="KUAS ENTER 11"/>
        <s v="ISI GEL 1.0"/>
        <s v="PENSIL 2B X 001 FANCY"/>
        <s v="PENSIL 2B DM 5188"/>
        <s v="PENSIL 2B KY 3055"/>
        <s v="GUNTING RAMBUT TG 690"/>
        <s v="BP TIZO TG501"/>
        <s v="ACRYLIC PLASTIK KOALA 11X2.5"/>
        <s v="ACRYLIC PLASTIK KOALA 8X30"/>
        <s v="ACRYLIC PLASTIK KOALA 7X30"/>
        <s v="ACRYLIC PLASTIK KOALA 7X25"/>
        <s v="ACRYLIC PLASTIK KOALA 7X20"/>
        <s v="P CASE MAGNET XU-805"/>
        <s v="O PASTEL TITI 55W"/>
        <s v="PENSIL CASE BH-227"/>
        <s v="PC MAGNIT + KUNCI KOMBINASI B 35113-20"/>
        <s v="LEM TEMBAK B MS PUTIH"/>
        <s v="CUTTER ZRM A 300"/>
        <s v="PITA TARIK/KADO 50 CM BIASA"/>
        <s v="PITA TARIK/KADO 12 HC"/>
        <s v="ISOLASI NATIONAL 20M"/>
        <s v="PENGHAPUS WB CLEAR KCL"/>
        <s v="PENGHAPUS WB CLEAR BESAR"/>
        <s v="LILIN ANGKA SHINTOENG NO. 4"/>
        <s v="LILIN ANGKA SHINTOENG NO. 5"/>
        <s v="LILIN ANGKA SHINTOENG NO. 6"/>
        <s v="LILIN ANGKA SHINTOENG NO. 8"/>
        <s v="LILIN ANGKA SHINTOENG NO. 9"/>
        <s v="BP WEIYADA 681 HITAM"/>
        <s v="GEL ZHIXIN 3165"/>
        <s v="BP ZHIXIN 3129"/>
        <s v="GEL ZHIXIN 5005"/>
        <s v="ISI GEL DOS 20PCS VTRO 2020"/>
        <s v="ISI GEL 2017 SUPER HERO 20 DOZ"/>
        <s v="ISI GEL 2022 TRANSFORMER 20 DOZ"/>
        <s v="PENSIL 2B KY 3057"/>
        <s v="PC MAGNIT + CALL 7806"/>
        <s v="PENSIL BOX ISI 100"/>
        <s v="OIL PASTEL HW 12"/>
        <s v="P CASE GUNINDO PC 6"/>
        <s v="MAP A4 6-J-018"/>
        <s v="HAND COUNTER DIGITAL1011"/>
        <s v="DESK SET GASTA 8312"/>
        <s v="STAPLER V TECH MOD-10M"/>
        <s v="BP GEL ZHIXIN 3167"/>
        <s v="BP GEL ZHIXIN 3162"/>
        <s v="BP GEL ZHIXIN 5005"/>
        <s v="BP GEL ZHIXIN 3119"/>
        <s v="BP GEL ZHIXIN 3125"/>
        <s v="BP GEL ZHIXIN G 3129"/>
        <s v="BP GEL ZJIXIN 3118"/>
        <s v="PITA KADO 12MM BIASA MIX"/>
        <s v="PITA KADO 30MM TH 30"/>
        <s v="PITA KADO 30MM TH 30 1"/>
        <s v="PITA KADO 30MM THT 30"/>
        <s v="PITA KADO 30MM THT 30 1"/>
        <s v="PITA KADO 30MM JC30"/>
        <s v="PITA KADO 50MM THT 50 1"/>
        <s v="PITA KADO 30MM LS 30"/>
        <s v="PULL RIBBON LS-30-1"/>
        <s v="PITA KADO 50MM LS 50"/>
        <s v="PITA KADO 50MM LS 50-1"/>
        <s v="PITA KADO 50MM TH 50"/>
        <s v="MAP KANCING TOPLA 3080 HITAM"/>
        <s v="GARISAN 30CM ENTER"/>
        <s v="EXPANDING FILE V-TECH 4512 B5"/>
        <s v="STABILLO HL 520"/>
        <s v="STABILLO CS 2001 COSH"/>
        <s v="TALI TAMBANG 2808 GLITTER TIMBUL TANGGUNG"/>
        <s v="PENSIL 921"/>
        <s v="ISI GEL ELSON ES-225 UNICORN"/>
        <s v="PC MAGNIT DKK 9910"/>
        <s v="PENCIL CASE 588-181-1 MAGNET"/>
        <s v="GARISAN BESI TF 30CM"/>
        <s v="PENSIL 2.0 FANCY 0300"/>
        <s v="PENSIL CASE QC-771"/>
        <s v="BP VULLPEN TF 801"/>
        <s v="BP VULLPEN TF 802"/>
        <s v="FULPEN HERO"/>
        <s v="GARISAN SET 15CM 7505"/>
        <s v="ASAHAN CL 082"/>
        <s v="ASAHAN 3006 PESAWAT (45)"/>
        <s v="ASAHAN 8096"/>
        <s v="ASAHAN XH8077"/>
        <s v="N BOOK SPIRAL PL-090 (A)"/>
        <s v="AGENDA 25K-35-25"/>
        <s v="TAS TUTUP PITA MINI"/>
        <s v="ISI PENSIL COLLEN GOLD"/>
        <s v="BENSIA 915"/>
        <s v="NOTEBOOK 50100-67"/>
        <s v="P CASE REST SH 08"/>
        <s v="P WARNA KAYAGI 12W 1210"/>
        <s v="NOTEBOOK 25100-60"/>
        <s v="NOTEBOOK SPIRAL 28825-67"/>
        <s v="NOTEBOOK 25100-68"/>
        <s v="N BOOK A5 60 404"/>
        <s v="NOTEBOOK 18100-59"/>
        <s v="NOTEBOOK 18100-68"/>
        <s v="NOTEBOOK 18100-72"/>
        <s v="AGENDA 25K 35 25"/>
        <s v="AGENDA 50K 35 50"/>
        <s v="TIPEX KERTAS DY-8242"/>
        <s v="TIPEX KERTAS NO.726"/>
        <s v="GARISAN 030-3"/>
        <s v="NOTEBOOK 18100-71"/>
        <s v="TAS 33X27 L TIDUR"/>
        <s v="TAS 33X27 B"/>
        <s v="TAS J 1706"/>
        <s v="TAS SEP 194"/>
        <s v="TAS J 2729"/>
        <s v="BALLPEN TF 31780 F"/>
        <s v="BALLPEN G 3167"/>
        <s v="BALLPEN G 3125"/>
        <s v="BALLPEN G 3128"/>
        <s v="BALLPEN G 3162"/>
        <s v="BALLPEN G 3165"/>
        <s v="TIPEX 0847"/>
        <s v="TIPEX 0857"/>
        <s v="TIPEX 0888HIJAU"/>
        <s v="PENSIL CASE 168-28"/>
        <s v="TALI ID CARD SET 168 HIJAU"/>
        <s v="TALI ID CARD SET 168 BR MUDA"/>
        <s v="TALI ID CARD SET 168 BR TUA"/>
        <s v="TALI ID CARD SET 168 MERAH"/>
        <s v="TALI ID CARD SET 168 PUTIH"/>
        <s v="TALI ID CARD SET 168 ABU ABU"/>
        <s v="CUTTER KENKO L-500"/>
        <s v="SAMPUL JERSY KWARTO"/>
        <s v="ASAHAN TOPLES 25PCS XLG R-5861"/>
        <s v="PIANIKA MARVEL BOX KAIN KOPER"/>
        <s v="BALLPEN DTIAN 812"/>
        <s v="BP GEL 955"/>
        <s v="BP STAND PEN B 9212"/>
        <s v="BP MEJA BPS 202 FOOT"/>
        <s v="BALLPEN MEJA 851"/>
        <s v="BALLPEN MEJA 860"/>
        <s v="PENSIL KAYAGI 2029"/>
        <s v="PENSIL KAYAGI 3057"/>
        <s v="PENSIL TF 88 BATIK"/>
        <s v="BP FANCY SANMAO 9950"/>
        <s v="BP FANCY SANMAO 9917"/>
        <s v="BP FANCY SANMAO 9891"/>
        <s v="BP FANCY SANMAO 9892"/>
        <s v="STABILLO HL 220"/>
        <s v="STABILLO 2W HL 221"/>
        <s v="ISI PENSIL MEKANIK 0,5 0913 A"/>
        <s v="BENSIA ZC 131 FAN (30 BOX) ISI 48"/>
        <s v="BENSIA 06 LMH 4M-3 HATI METALIK PENDEK"/>
        <s v="BENSIA 08LM1 (6221)"/>
        <s v="BENSIA 951"/>
        <s v="BENSIA 933"/>
        <s v="MAP REST SIKA 5 WR"/>
        <s v="MAP REST WARNA 4WR"/>
        <s v="MAP REST SIKA KWARTO 4WR"/>
        <s v="MAP REST ENTER KWARTO 4WR"/>
        <s v="STICKER KARAKTER"/>
        <s v="MAP KCG 1 SIKA 5WR"/>
        <s v="MAP KCG SIKA 3WR"/>
        <s v="MAP KANCING BF-19 WARNA MIX"/>
        <s v="STICKER JBE-43"/>
        <s v="L LEAF CEWEK LLP HOLO BARBIE"/>
        <s v="LOOSE LEAF HOLO PRINCESS A5"/>
        <s v="L LEAF CEWEK LLP 15 BIASA"/>
        <s v="PEMBATAS LOOSE LEAF NARIKO 690"/>
        <s v="POST IT FANCY PLASTIK"/>
        <s v="POST IT MAGNIT MIX"/>
        <s v="BK ABSEN"/>
        <s v="BK GAMBAR A4 SIKA"/>
        <s v="PAPAN WB FANCY 0902"/>
        <s v="WRITING BOARD JQ-666"/>
        <s v="ASAHAN MEJA CL 204"/>
        <s v="ASAHAN HC2907"/>
        <s v="ASAHAN EX 09"/>
        <s v="SIPOA 8011 APEL"/>
        <s v="SIPOA ANGEL STRAWBERRY"/>
        <s v="SIPOA MOSHI-MOSHI K"/>
        <s v="SIPOA MOSHI2 B"/>
        <s v="PENCIL CASE 5848"/>
        <s v="SIPOA YM 011"/>
        <s v="PENSIL CASE 6A-25"/>
        <s v="PC KLG 9888 MOBIL 3SS"/>
        <s v="GANTUNGAN KUNCI 706"/>
        <s v="STIP RENCAI RC 6031 (48)"/>
        <s v="ASAHAN RC 8042"/>
        <s v="STIP RC 6034"/>
        <s v="STIP FANCY TF 358"/>
        <s v="CREATIVE PRINTING THT-S-6"/>
        <s v="CREATIVE PRINTING CP-1"/>
        <s v="B NOTE B5T JHYB 03306"/>
        <s v="B NOTE B5T JHYB 03303"/>
        <s v="B NOTE B5 HYB 03305"/>
        <s v="B NOTE B5 HYB 15802"/>
        <s v="B NOTE B5 HYB 15803"/>
        <s v="B NOTE A5T JHYB 89706"/>
        <s v="B NOTE A5T JHYB 86801"/>
        <s v="B NOTE A5T JHYB 64840"/>
        <s v="B NOTE A5T JHYB 86802"/>
        <s v="B NOTE A5T JHYB 86803"/>
        <s v="B NOTE A5T JHYB 86804"/>
        <s v="EXPANDING FILE DKFQB-5901"/>
        <s v="EXPANDING FILE FQB-95308"/>
        <s v="EXPANDING FILE QLFQB-55333"/>
        <s v="EXPANDING FILE FQB-38710"/>
        <s v="EXPANDING FILE FQB-95309"/>
        <s v="N BOOK SPIRAL JF-36A (001/002/003)"/>
        <s v="N BOOK SPIRAL JF-36B (004/005/006)"/>
        <s v="N BOOK SPIRAL JF-36C (007/008/009)"/>
        <s v="N BOOK SPIRAL JF-36D (010/011/012)"/>
        <s v="KANTONG BUAH KENJOY"/>
        <s v="NOTEBOOK SPIRAL 28825-65"/>
        <s v="GLITTER G-08"/>
        <s v="GLITTER G56B00-7"/>
        <s v="TAS KARUNG 40 X 50 WIN/ LS"/>
        <s v="MAP BATIK SIKA"/>
        <s v="KERTAS MEWARNAI CP5"/>
        <s v="KERTAS MEWARNAI THT5-6"/>
        <s v="GARISAN KAYU ENTER 1 METER"/>
        <s v="CLIP FILE YUSHINCA C-322"/>
        <s v="ASAHAN 006 IKAN (48)"/>
        <s v="GARISAN 95"/>
        <s v="GARISAN SET ZX-015 20 CM"/>
        <s v="BP GEL TIZO 31590E FANCY"/>
        <s v="GEL TG 31780 F"/>
        <s v="GARISAN BESI 30CM JOS (PETI) IMPORTER"/>
        <s v="BP GEL 933"/>
        <s v="PENSIL KY 3055"/>
        <s v="PENSIL KY 3021"/>
        <s v="MESIN LEM TEMBAK 189 WOMY 60WATT"/>
        <s v="BP GEL ZHIXIN G 3125"/>
        <s v="BP GEL ZHIXIN G 3118"/>
        <s v="BP GEL ZHIXIN G 3119"/>
        <s v="BP GEL ZHIXIN G 5005"/>
        <s v="BP ZHIXIN 3150"/>
        <s v="BP ZHIXIN 3151"/>
        <s v="BALLPEN ZHIXIN 5019"/>
        <s v="BP ZHIXIN 5037"/>
        <s v="BP ZHIXIN 5035"/>
        <s v="BP ZHIXIN 3154"/>
        <s v="BP ZHIXIN 3155"/>
        <s v="BP ZHIXIN 3161"/>
        <s v="BP GEL TIZO 31037F FANCY"/>
        <s v="BP GEL TIZO TG 31780F"/>
        <s v="PUZZLE S 6663"/>
        <s v="PUZZLE M 6662"/>
        <s v="PUZZZLE B 6661"/>
        <s v="TALI YOYO BUTEK BIRU"/>
        <s v="TALI YOYO MERAH"/>
        <s v="TALI YOYO HIJAU"/>
        <s v="TALI YOYO HITAM"/>
        <s v="TALI YOYO [INK"/>
        <s v="TAS TG GILAP 1832 (BARU)"/>
        <s v="TAS TG GILAP 1865 (BARU)"/>
        <s v="TAS TG GILAP 1929 (BARU)"/>
        <s v="TAS TG GILAP 1873 (BARU)"/>
        <s v="TAS TG GILAP 1802 (BARU)"/>
        <s v="TAS TG GILAP 109 (LAMA)"/>
        <s v="TAS TG GILAP 1803 (LAMA)"/>
        <s v="TAS TG GILAP 1842 (LAMA)"/>
        <s v="TAS TG GILAP 1841 (LAMA)"/>
        <s v="TAS TG GILAP 1839 (LAMA)"/>
        <s v="PIANIKA LOVELY PINK"/>
        <s v="BINDER NOTE WENGU A5-60 FPHY 001"/>
        <s v="BINDER NOTE B5-60 FPHY 001"/>
        <s v="AGENDA CK POLOS"/>
        <s v="PC MAGNIT B 35165"/>
        <s v="ASAHAN MEJA S 5227"/>
        <s v="N BOOK SPIRAL JF 390 MIX"/>
        <s v="BP TIZO TG 30600F FANCY"/>
        <s v="KUAS 21839-16"/>
        <s v="PISAU UKIR 8"/>
        <s v="KUAS CAT 251-163 A"/>
        <s v="KUAS 929-5 ETERNA YIJIAYI"/>
        <s v="KUAS 929-3 ETERNA YIJIAYI"/>
        <s v="PALLETE 850"/>
        <s v="KERTAS KADO GLITTER POLOS"/>
        <s v="KERTAS KADO GLITTER MOTIF"/>
        <s v="PENSIL 2B KY122 COKLAT"/>
        <s v="BP ZHIXIN G 212 WARNA + ISI MINI"/>
        <s v="ISI BALLOEN GEL 1.0"/>
        <s v="BENSIA DINO 08 LM1"/>
        <s v="BENSIA LANTU LT 1311"/>
        <s v="BP DEBOZZ DB G 028 CLICK"/>
        <s v="ISI STAPLER NOVUS NO.10"/>
        <s v="GARISAN 984"/>
        <s v="BP 7022 KUNCI"/>
        <s v="BP GEL DTIAN DT 956"/>
        <s v="P CASE SH 10"/>
        <s v="PC M XU 0080"/>
        <s v="P CASE B133 OFF ROAD"/>
        <s v="B NOTE A5 FANCY 1603"/>
        <s v="L LEAF A5 FANCY"/>
        <s v="STICKER NAMA"/>
        <s v="MALAM SHINTOENG 1W POLOS K"/>
        <s v="MALAM SHINTOENG 6-12W K"/>
        <s v="ASAHAN 9910"/>
        <s v="CAT ACRYLIC MARRIES 812/ 12W BIASA (BT)"/>
        <s v="N BOOK SPIRAL A6 MIX"/>
        <s v="WC 110N/ 120 OSAMA"/>
        <s v="TAS GG 03 SM 1865 MIX"/>
        <s v="TAS KADO MINI MIX TUTUP"/>
        <s v="TAS KADO GILAP 804 EMAS"/>
        <s v="TAS KAIN POLOS 38 X 45"/>
        <s v="TAS KAIN POLOS 30 X 40"/>
        <s v="BINDER NOTE JHYB - 03306 B5"/>
        <s v="BINDER NOTE HYB - 86803 A5"/>
        <s v="ACARRY FILE TOPLA 8830 MIX"/>
        <s v="PITA KADO METALIK 15/ 8 MERAH TUA"/>
        <s v="PITA KADO METALIK 15/ 8 PUTIH"/>
        <s v="PITA KADO METALIK 15/ 8 UNGU"/>
        <s v="PITA KADO METALIK 15/ 8 BIRU"/>
        <s v="PITA KADO METALIK 15/ 8 EMAS"/>
        <s v="COLOURING PAPER THTS-06 MIX"/>
        <s v="COLOURING PAPER CP-01 MIX"/>
        <s v="BINDER NOTE HYB - 15802 B5"/>
        <s v="BINDER NOTE HYB - 86804 A5"/>
        <s v="CLIP BOARD KAYU"/>
        <s v="EXPANDING FILE 8LFQB - 55333 + GANTUNGAN"/>
        <s v="KERTAS MEWARNAI COLORING PAPER CP-1"/>
        <s v="GANTUNGAN KUNCI + AIR GLITER 706-1"/>
        <s v="GARISAN SEGITIGA KOJIKO NO.6"/>
        <s v="N BOOK TALI A7 AA 0321"/>
        <s v="JARUM PENTOL BUNGA NO.1 (SERUNI)"/>
        <s v="AGENDA MB 35-50 50K"/>
        <s v="MECHPEN TIZO G 09308 24PCS"/>
        <s v="MECHPEN TIZO G 09309 24PCS"/>
        <s v="KEMUCHING KOMPUTER"/>
        <s v="HOOKS 4.5CM GANTUNGAN BAJU"/>
        <s v="NAME TAG DUS MERAH 301"/>
        <s v="P CASE MAGNIT CC 7810"/>
        <s v="PENCIL CASE B-122"/>
        <s v="P CASE SH-10"/>
        <s v="P CASE SH-06"/>
        <s v="P CASE SH-02"/>
        <s v="P CASE SH-08"/>
        <s v="BINDER NOTE JHYB - 89706 A5"/>
        <s v="MAP ZIPPER A5-16C 5 MACAM"/>
        <s v="TAS GMS 2904-5 GLITTER KECIL"/>
        <s v="TAS KADO 804 EMAS KECIL"/>
        <s v="TAS C 808 GLITTER KECIL"/>
        <s v="TAS NO-3026-M GLITTER KECIL"/>
        <s v="LLP HOLO PUZZLE"/>
        <s v="LLP HOLO CEWEK"/>
        <s v="LOOSE LEAF A5100 MIX"/>
        <s v="STICK NOTE TF 0243"/>
        <s v="BP GEL GP 303 KOALA"/>
        <s v="N BOOK MAGNIT A6 CK64"/>
        <s v="BINDER NOTE JHYB - 03303 B5"/>
        <s v="BINDER NOTE HYB - 15803 B5"/>
        <s v="NOTEBOOK SPIRAL JF-39A 001-003"/>
        <s v="PALET PLT 009"/>
        <s v="PALET KUMBANG 1011"/>
        <s v="PITA KAIN GOLD 1CM-19/ GOLD GLITTER"/>
        <s v="PITA KAIN SILVER 1CM-19/ SILVER GLITTER"/>
        <s v="ASAHAN PAYU 847 KURA-KURA"/>
        <s v="BP TIZO TG340 HITAM"/>
        <s v="GARISAN SABLON 270"/>
        <s v="GARISAN SABLON 300"/>
        <s v="GARISAN SABLON 380"/>
        <s v="GARISAN ENTER 180"/>
        <s v="MIKA SAMPUL 34 X 5 TANGGUNG"/>
        <s v="LABEL HARGA KOJIKO 112"/>
        <s v="LABEL HARGA KOJIKO 103"/>
        <s v="ID CARD B2"/>
        <s v="JARUM PENTUL CASE"/>
        <m/>
        <s v="DOKUMEN RISTLETING BATIK KAIN"/>
        <s v="DOKUMEN RISLETING NEW DIPLOMAT"/>
        <s v="DOKUMEN HD55"/>
        <s v="DOKUMEN RISLETING DK-520"/>
        <s v="DOKUMEN RISLETING DK 512 AUTENTIK"/>
      </sharedItems>
    </cacheField>
    <cacheField name="UKURAN" numFmtId="0">
      <sharedItems containsBlank="1">
        <m/>
        <s v="PCA-NB131"/>
        <s v="IDC-IM22"/>
        <s v="BWA-IM13"/>
        <s v="STB-TF22"/>
        <s v="IGE-IM11"/>
        <s v="IGE-NB1"/>
        <s v="CBO-NB5"/>
        <s v="PCA-NB125"/>
        <s v="IDC-NB19"/>
        <s v="IDC-NB14"/>
        <s v="PCA-IM135"/>
        <s v="PCA-IM98"/>
        <s v="PCA-IM70"/>
        <s v="IST-IM1"/>
        <s v="STI-NB8"/>
        <s v="TIP-IM29"/>
        <s v="LEM-WM2"/>
        <s v="LEM-WM17"/>
        <s v="GAR-VO5"/>
        <s v="JAN-NB4"/>
        <s v="PEN-TF11"/>
        <s v="PEN-TF10"/>
        <s v="GAR-NB198"/>
        <s v="BOL-IM264"/>
        <s v="BOL-IM222"/>
        <s v="BOL-IM263"/>
        <s v="BOL-IM247"/>
        <s v="BOL-IM235"/>
        <s v="TAS-170"/>
        <s v="BOX-EN10"/>
        <s v="KAR-KJ1"/>
        <s v="BOX-MC2"/>
        <s v="BOX-MC3"/>
        <s v="KUA-IM24"/>
        <s v="MAP-TX13"/>
        <s v="NOT-IM57"/>
        <s v="NOT-IM27"/>
        <s v="NOT-IM43"/>
        <s v="NOT-IM39"/>
        <s v="KUA-TF1"/>
        <s v="BOL-TF330"/>
        <s v="BOL-TF344"/>
        <s v="BOL-TF27"/>
        <s v="BOL-TF337"/>
        <s v="BOL-IM308"/>
        <s v="BOL-IM311"/>
        <s v="BOL-IM309"/>
        <s v="TAS-NB149"/>
        <s v="TAS-NB147"/>
        <s v="TAS-NB82"/>
        <s v="TAS-NB81"/>
        <s v="TAS-IM122"/>
        <s v="TAS-208"/>
        <s v="TAS-NB209"/>
        <s v="TAS-IM23"/>
        <s v="TAS-IM237"/>
        <s v="TAS-214"/>
        <s v="TAS-IM360"/>
        <s v="TAS-IM252"/>
        <s v="TAS-IM251"/>
        <s v="TAS-IM254"/>
        <s v="TAS-110"/>
        <s v="TAS-IM187"/>
        <s v="TAS-216"/>
        <s v="TAS-213"/>
        <s v="TAS-IM234"/>
        <s v="BIN-NB4"/>
        <s v="TAS-294"/>
        <s v="NOT-IM49"/>
        <s v="NOT-IM48"/>
        <s v="NOT-IM50"/>
        <s v="NOT-IM20"/>
        <s v="BIN-WN2"/>
        <s v="BOL-TF343"/>
        <s v="BOL-VO123"/>
        <s v="BOL-VO132"/>
        <s v="BOL-HT358"/>
        <s v="BOL-NB310"/>
        <s v="BOL-VO122"/>
        <s v="BOL-VO125"/>
        <s v="STI-EN6"/>
        <s v="STI-EN14"/>
        <s v="STI-NB9"/>
        <s v="STI-KE13"/>
        <s v="GAR-EN37"/>
        <s v="GAR-EN8"/>
        <s v="GAR-EN253"/>
        <s v="GAR-155"/>
        <s v="GAR-28"/>
        <s v="GAR-30"/>
        <s v="GAR-84"/>
        <s v="GAR-63"/>
        <s v="GAR-NB74"/>
        <s v="GAR-KY173"/>
        <s v="GAR-174"/>
        <s v="GAR-172"/>
        <s v="GAR-176"/>
        <s v="GAR-TF249"/>
        <s v="GAR-TF250"/>
        <s v="GAR-TF251"/>
        <s v="GAR-TF111"/>
        <s v="GAR-IM216"/>
        <s v="GAR-IM225"/>
        <s v="GAR-IM235"/>
        <s v="GAR-IM238"/>
        <s v="GAR-IM236"/>
        <s v="GAR-68"/>
        <s v="GUN-TR88"/>
        <s v="GUN-TR86"/>
        <s v="GUN-89"/>
        <s v="GUN-80"/>
        <s v="GUN-ID35"/>
        <s v="GUN-GN1"/>
        <s v="GUN-TR87"/>
        <s v="GUN-85"/>
        <s v="GUN-DV14"/>
        <s v="BOL-ZX335"/>
        <s v="BOL-ZZ384"/>
        <s v="BOL-ZX148"/>
        <s v="GAR-27"/>
        <s v="CAT-TF7"/>
        <s v="CAT-TF15"/>
        <s v="CAT-TF14"/>
        <s v="BOL-IM240"/>
        <s v="BOL-CS99"/>
        <s v="BOL-IM287"/>
        <s v="BOL-IM286"/>
        <s v="BOL-IM238"/>
        <s v="BOL-IM283"/>
        <s v="BOL-IM284"/>
        <s v="BOL-IM282"/>
        <s v="TIP-IM18"/>
        <s v="TIP-IM35"/>
        <s v="TIP-IM15"/>
        <s v="BEN-PN17"/>
        <s v="BEN-NB10"/>
        <s v="BEN-PN23"/>
        <s v="BEN-PN18"/>
        <s v="BEN-PN25"/>
        <s v="BOL-NB380"/>
        <s v="BOL-IM364"/>
        <s v="BOL-IM230"/>
        <s v="BOL-IM232"/>
        <s v="BOL-IM234"/>
        <s v="BOL-IM236"/>
        <s v="BOL-IM242"/>
        <s v="BOL-IM245"/>
        <s v="BOL-IM248"/>
        <s v="BOL-IM251"/>
        <s v="CUT-TC7"/>
        <s v="CUT-TC8"/>
        <s v="TAP-IM6"/>
        <s v="ASA-PY130"/>
        <s v="ASA-PY131"/>
        <s v="ASA-PY135"/>
        <s v="ASA-PY129"/>
        <s v="ASA-PY136"/>
        <s v="ASA-PY134"/>
        <s v="LEM-NB6"/>
        <s v="ASA-IM53"/>
        <s v="ASA-IM59"/>
        <s v="ASA-NB110"/>
        <s v="ASA-IM72"/>
        <s v="LEM-NB10"/>
        <s v="PAL-NB3"/>
        <s v="PAL-NB4"/>
        <s v="PAL-IM6"/>
        <s v="PCA-IM121"/>
        <s v="PCA-IM95"/>
        <s v="PCA-IM44"/>
        <s v="PCA-IM36"/>
        <s v="PCA-IM32"/>
        <s v="PCA-XL7"/>
        <s v="PCA-IM114"/>
        <s v="PCA-IM111"/>
        <s v="PCA-IM41"/>
        <s v="PCA-IM112"/>
        <s v="PCA-IM136"/>
        <s v="PCA-IM49"/>
        <s v="PCA-IM50"/>
        <s v="PCA-IM62"/>
        <s v="PCA-IM53"/>
        <s v="PCA-IM47"/>
        <s v="PCA-IM66"/>
        <s v="GLI-NB2"/>
        <s v="GLI-IM1"/>
        <s v="BOL-TF336"/>
        <s v="BOL-TZ388"/>
        <s v="BOL-TZ385"/>
        <s v="BOL-TZ370"/>
        <s v="BOL-TZ349"/>
        <s v="BOL-TZ354"/>
        <s v="BOL-TZ353"/>
        <s v="BOL-TZ351"/>
        <s v="KUA-IM58"/>
        <s v="KUA-IM29"/>
        <s v="KUA-IM22"/>
        <s v="KUA-TF2"/>
        <s v="TAS-IM115"/>
        <s v="TAS-IM116"/>
        <s v="CAT-VE9"/>
        <s v="PCA-NB134"/>
        <s v="BOL-IM221"/>
        <s v="BOL-IM268"/>
        <s v="BOL-IM273"/>
        <s v="BOL-IM269"/>
        <s v="BOL-IM275"/>
        <s v="BOL-IM266"/>
        <s v="BOL-IM249"/>
        <s v="BOL-IM243"/>
        <s v="BOL-IM223"/>
        <s v="BOL-IM229"/>
        <s v="BOL-IM265"/>
        <s v="BOL-IM277"/>
        <s v="CBO-TF4"/>
        <s v="CBO-TF2"/>
        <s v="CBO-TF1"/>
        <s v="CBO-TF3"/>
        <s v="BOL-TZ339"/>
        <s v="BOL-TZ363"/>
        <s v="MAP-SK84"/>
        <s v="MAP-SK78"/>
        <s v="MEC-NB2"/>
        <s v="PEN-TF12"/>
        <s v="MES-BX3"/>
        <s v="PEN-KY17"/>
        <s v="PEN-KY3"/>
        <s v="PEN-KY18"/>
        <s v="PEN-KY4"/>
        <s v="BOL-TJ121"/>
        <s v="SPA-HR2"/>
        <s v="GAR-BT25"/>
        <s v="BOL-NB136"/>
        <s v="GAR-165"/>
        <s v="TIP-MC1"/>
        <s v="BOL-TZ333"/>
        <s v="GAR-EN1"/>
        <s v="GAR-38"/>
        <s v="GAR-TF158"/>
        <s v="MEC-NB9"/>
        <s v="MEC-TZ7"/>
        <s v="STB-TO17"/>
        <s v="BOL-TZ341"/>
        <s v="BOL-TZ342"/>
        <s v="MAP-GS119"/>
        <s v="KUA-IM10"/>
        <s v="MAP-SK74"/>
        <s v="MAP-SK75"/>
        <s v="MAP-SK77"/>
        <s v="NTS-NB1"/>
        <s v="MAP-98"/>
        <s v="MAP-99"/>
        <s v="SEM-NB1"/>
        <s v="SEL-NB1"/>
        <s v="PCA-IM80"/>
        <s v="PCA-NB141"/>
        <s v="PAP-NB3"/>
        <s v="STI-RC1"/>
        <s v="MEC-TZ6"/>
        <s v="MEC-TZ1"/>
        <s v="CAT-TF12"/>
        <s v="CAT-TF8"/>
        <s v="LOO-AL13"/>
        <s v="LOO-NB26"/>
        <s v="LOO-NB11"/>
        <s v="MAP-201"/>
        <s v="MAP-SK2"/>
        <s v="MAP-MC225"/>
        <s v="MAP-105"/>
        <s v="CLI-KO6"/>
        <s v="CBO-NB7"/>
        <s v="KUA-IM17"/>
        <s v="BUK-NB18"/>
        <s v="TAS-IM253"/>
        <s v="TAS-IM117"/>
        <s v="TAS-IM6"/>
        <s v="TAS-215"/>
        <s v="TAS-NB77"/>
        <s v="NOT-EN40"/>
        <s v="NOT-EN42"/>
        <s v="NOT-IM55"/>
        <s v="NOT-IM28"/>
        <s v="NOT-IM36"/>
        <s v="NOT-IM81"/>
        <s v="MAP-NB79"/>
        <s v="MAP-MC177"/>
        <s v="DOK-NB12"/>
        <s v="NOT-IM56"/>
        <s v="DOK-NB7"/>
        <s v="MAP-MC173"/>
        <s v="MAP-MC174"/>
        <s v="MAP-MC175"/>
        <s v="STC-IM6"/>
        <s v="STC-IM16"/>
        <s v="STC-IM7"/>
        <s v="STC-IM11"/>
        <s v="CRA-NB2"/>
        <s v="BOL-IM305"/>
        <s v="BOL-IM204"/>
        <s v="BOL-IM359"/>
        <s v="PEN-KY16"/>
        <s v="CAT-PC23"/>
        <s v="BOL-IM307"/>
        <s v="BOL-IM304"/>
        <s v="BOL-IM306"/>
        <s v="PEN-KY1"/>
        <s v="GUN-79"/>
        <s v="GUN-JN51"/>
        <s v="GUN-JN53"/>
        <s v="PWA-IM26"/>
        <s v="BOL-ZI367"/>
        <s v="BOL-TZ373"/>
        <s v="GAR-200"/>
        <s v="KAC-IM8"/>
        <s v="KAC-IM9"/>
        <s v="KAC-IM10"/>
        <s v="KAC-IM11"/>
        <s v="BOL-PL82"/>
        <s v="TIP-IM12"/>
        <s v="TIP-IM40"/>
        <s v="TIP-IM7"/>
        <s v="TIP-IM9"/>
        <s v="TIP-IM5"/>
        <s v="TIP-IM33"/>
        <s v="TIP-IM17"/>
        <s v="TIP-IM10"/>
        <s v="TIP-IM22"/>
        <s v="TIP-IM6"/>
        <s v="TIP-IM4"/>
        <s v="PCA-IM42"/>
        <s v="PCA-IM108"/>
        <s v="PCA-IM110"/>
        <s v="PCA-IM109"/>
        <s v="ASA-IM65"/>
        <s v="ASA-IM71"/>
        <s v="ASA-NB82"/>
        <s v="BWA-IM18"/>
        <s v="BWA-IM20"/>
        <s v="DRA-NB1"/>
        <s v="SEM-NB2"/>
        <s v="SEM-NB9"/>
        <s v="KEY-IM1"/>
        <s v="GLI-IM5"/>
        <s v="ASA-GL2"/>
        <s v="ASA-DM32"/>
        <s v="TAP-IM1"/>
        <s v="PCA-IM31"/>
        <s v="PCA-NB129"/>
        <s v="PCA-XL8"/>
        <s v="PCA-XL10"/>
        <s v="PCA-XL9"/>
        <s v="PCA-IM39"/>
        <s v="PCA-IM105"/>
        <s v="PCA-IM106"/>
        <s v="PCA-IM38"/>
        <s v="PCA-IM101"/>
        <s v="ASA-PY138"/>
        <s v="ASA-PY133"/>
        <s v="ASA-IM60"/>
        <s v="ASA-IM39"/>
        <s v="ASA-NB1"/>
        <s v="ASA-IM67"/>
        <s v="KRE-NB1"/>
        <s v="PCA-IM113"/>
        <s v="PCA-103"/>
        <s v="PCA-IM37"/>
        <s v="PCA-IM28"/>
        <s v="PCA-NB128"/>
        <s v="PCA-IM27"/>
        <s v="PCA-IM107"/>
        <s v="PCA-IM94"/>
        <s v="PCA-NB123"/>
        <s v="PCA-IM118"/>
        <s v="PCA-IM89"/>
        <s v="MAG-IM6"/>
        <s v="PAP-NB2"/>
        <s v="BEN-PN19"/>
        <s v="BEN-NB8"/>
        <s v="BEN-PN24"/>
        <s v="IGE-NB2"/>
        <s v="MAG-IM18"/>
        <s v="IGE-NB12"/>
        <s v="CLI-YS2"/>
        <s v="NOT-IM9"/>
        <s v="LOO-NB4"/>
        <s v="KUA-IM56"/>
        <s v="LOO-NB9"/>
        <s v="TAS-NB64"/>
        <s v="TAS-IM233"/>
        <s v="TAS-351"/>
        <s v="TAS-NB172"/>
        <s v="TAS-IM37"/>
        <s v="TAS-NB168"/>
        <s v="TAS-NB167"/>
        <s v="TAS-NB169"/>
        <s v="TAS-IM38"/>
        <s v="TAS-NB170"/>
        <s v="BAL-LK32"/>
        <s v="BAL-LK13"/>
        <s v="BAL-NCL20"/>
        <s v="BAL-LK8"/>
        <s v="MAP-TX23"/>
        <s v="MAP-156"/>
        <s v="MAP-KL54"/>
        <s v="DOK-NB11"/>
        <s v="DOK-NB9"/>
        <s v="DOK-NB5"/>
        <s v="PEN-CP19"/>
        <s v="JAN-NB1"/>
        <s v="BOL-NB212"/>
        <s v="JAN-NB7"/>
        <s v="JAN-IM6"/>
        <s v="PCA-IM13"/>
        <s v="BOL-NB360"/>
        <s v="BOL-IM290"/>
        <s v="BOL-IM279"/>
        <s v="BOL-IM227"/>
        <s v="ASA-NB007"/>
        <s v="PIA-NB1"/>
        <s v="TAS-NB47"/>
        <s v="STB-TF13"/>
        <s v="LIL-NB11"/>
        <s v="LIL-NB12"/>
        <s v="LIL-NB13"/>
        <s v="BOL-VO127"/>
        <s v="BOL-VO126"/>
        <s v="BOL-ZI366"/>
        <s v="BOL-ZI365"/>
        <s v="NOT-IM29"/>
        <s v="NOT-IM46"/>
        <s v="NOT-IM51"/>
        <s v="NOT-IM5"/>
        <s v="NOT-IM25"/>
        <s v="ASA-NB151"/>
        <s v="PCA-XL5"/>
        <s v="MES-PC1"/>
        <s v="PCA-IM24"/>
        <s v="PCA-IM40"/>
        <s v="PCA-IM132"/>
        <s v="PCA-NB4"/>
        <s v="PCA-IM48"/>
        <s v="PCA-IM57"/>
        <s v="PCA-IM30"/>
        <s v="PCA-IM51"/>
        <s v="PCA-IM52"/>
        <s v="PCA-NB130"/>
        <s v="PCA-NB140"/>
        <s v="STU-IM4"/>
        <s v="MEC-TZ4"/>
        <s v="MEC-NB3"/>
        <s v="MEJ-PL1"/>
        <s v="BOL-TF357"/>
        <s v="PAL-NB1"/>
        <s v="PAL-NB2"/>
        <s v="CUT-GL4"/>
        <s v="GAR-BT22"/>
        <s v="CLI-NB5"/>
        <s v="BUK-EN19"/>
        <s v="POS-NB5"/>
        <s v="TAS-125"/>
        <s v="TAS-NB4"/>
        <s v="STC-IM13"/>
        <s v="STC-IM8"/>
        <s v="STC-IM17"/>
        <s v="STC-IM9"/>
        <s v="STC-IM5"/>
        <s v="STC-IM15"/>
        <s v="NOT-IM4"/>
        <s v="NOT-IM74"/>
        <s v="NOT-IM61"/>
        <s v="NOT-IM67"/>
        <s v="BAL-NCL27"/>
        <s v="BAL-NCL26"/>
        <s v="BAL-NCL28"/>
        <s v="TAS-IM121"/>
        <s v="BAL-LK7"/>
        <s v="TAS-134"/>
        <s v="NOT-IM19"/>
        <s v="NOT-IM11"/>
        <s v="NOT-IM15"/>
        <s v="BIN-WN"/>
        <s v="NOT-IM17"/>
        <s v="CBO-EN9"/>
        <s v="CLI-NB11"/>
        <s v="NOT-IM26"/>
        <s v="AGE-NB3"/>
        <s v="NOT-NB88"/>
        <s v="SPI-1"/>
        <s v="SPI-YK2"/>
        <s v="SPI-GL3"/>
        <s v="STB-TF12"/>
        <s v="STB-TZ16"/>
        <s v="GAR-17"/>
        <s v="IBE-LT1"/>
        <s v="CRA-NB1"/>
        <s v="BEN-PN21"/>
        <s v="ABJ-NB12"/>
        <s v="GAR-KY175"/>
        <s v="IGE-IM15"/>
        <s v="TIP-IM25"/>
        <s v="TIP-MC39"/>
        <s v="TIP-NB14"/>
        <s v="GAR-PY99"/>
        <s v="BEN-LN2"/>
        <s v="IGE-ES7"/>
        <s v="KUA-IM26"/>
        <s v="KUA-IM57"/>
        <s v="TAS-NB76"/>
        <s v="PWA-NB4"/>
        <s v="PWA-11"/>
        <s v="BOL-IM250"/>
        <s v="BOL-IM301"/>
        <s v="BOL-IM303"/>
        <s v="PWA-KO3"/>
        <s v="PEN-KY15"/>
        <s v="BOL-IM253"/>
        <s v="BOL-IM260"/>
        <s v="BOL-IM256"/>
        <s v="BOL-IM261"/>
        <s v="BOL-IM281"/>
        <s v="BOL-IM289"/>
        <s v="BOL-IM285"/>
        <s v="BOL-IM292"/>
        <s v="BOL-IM278"/>
        <s v="BOL-SK96"/>
        <s v="BOL-SK97"/>
        <s v="BOL-TZ340"/>
        <s v="GUN-76"/>
        <s v="MAG-IM4"/>
        <s v="MAG-IM3"/>
        <s v="ASA-IM68"/>
        <s v="ASA-DY34"/>
        <s v="ASA-NB76"/>
        <s v="STI-RC2"/>
        <s v="DIS-VE4"/>
        <s v="PIT-NB14"/>
        <s v="PIT-NB13"/>
        <s v="PIT-NB12"/>
        <s v="STI-RC3"/>
        <s v="ASA-NB106"/>
        <s v="ASA-NB77"/>
        <s v="ASA-TK147"/>
        <s v="ASA-IM44"/>
        <s v="ASA-IM40"/>
        <s v="ASA-IM56"/>
        <s v="ASA-DM31"/>
        <s v="ASA-IM51"/>
        <s v="DIS-KE5"/>
        <s v="PWA-VN5"/>
        <s v="CAT-PC19"/>
        <s v="PEN-KY5"/>
        <s v="STC-IM12"/>
        <s v="STC-IM10"/>
        <s v="STC-IM18"/>
        <s v="NOT-IM65"/>
        <s v="NOT-IM66"/>
        <s v="NOT-IM35"/>
        <s v="NOT-IM70"/>
        <s v="NOT-IM64"/>
        <s v="NOT-IM53"/>
        <s v="NOT-NB78"/>
        <s v="NOT-NB77"/>
        <s v="NOT-IM68"/>
        <s v="NOT-IM3"/>
        <s v="NOT-IM24"/>
        <s v="NOT-IM69"/>
        <s v="CLI-YS1"/>
        <s v="AGE-NB12"/>
        <s v="AGE-NB5"/>
        <s v="SAM-SK15"/>
        <s v="SAM-16"/>
        <s v="BWA-SK11"/>
        <s v="NOT-IM31"/>
        <s v="BIN-GS"/>
        <s v="BWA-NB8"/>
        <s v="LOO-NB3"/>
        <s v="BOL-TZ375"/>
        <s v="BOL-DB208"/>
        <s v="BOL-DB381"/>
        <s v="BOL-TZ374"/>
        <s v="BOL-TZ378"/>
        <s v="BOL-TZ377"/>
        <s v="BOL-TZ379"/>
        <s v="BOL-139"/>
        <s v="BOL-TO109"/>
        <s v="GAR-18"/>
        <s v="ORI-AL1"/>
        <s v="ORI-AL6"/>
        <s v="NOT-EN41"/>
        <s v="NOT-IM84"/>
        <s v="NOT-IM52"/>
        <s v="NOT-IM71"/>
        <s v="NOT-NB32"/>
        <s v="AGE-NB11"/>
        <s v="NOT-IM83"/>
        <s v="NOT-IM73"/>
        <s v="CLI-TR12"/>
        <s v="BAL-LK6"/>
        <s v="BAL-NCL25"/>
        <s v="BAL-NCL42"/>
        <s v="KAR-NB15"/>
        <s v="TAS-IM12"/>
        <s v="BUK-EC13"/>
        <s v="TAS-IM8"/>
        <s v="TIP-IM26"/>
        <s v="TIP-IM13"/>
        <s v="TIP-IM11"/>
        <s v="PWA-16"/>
        <s v="PWA-10"/>
        <s v="GAR-199"/>
        <s v="KUA-IM59"/>
        <s v="SPI-TF13"/>
        <s v="GUN-JN52"/>
        <s v="GUN-81"/>
        <s v="GUN-83"/>
        <s v="GUN-KB56"/>
        <s v="GAR-106"/>
        <s v="ABJ-NB14"/>
        <s v="ASA-IM61"/>
        <s v="PIT-IM2"/>
        <s v="PIT-IM11"/>
        <s v="SUL-TR1"/>
        <s v="IDC-IM8"/>
        <s v="STB-DB23"/>
        <s v="CRA-NB4"/>
        <s v="PWA-IM27"/>
        <s v="AGE-NB13"/>
        <s v="BIN-KO7"/>
        <s v="PCA-IM104"/>
        <s v="IDC-NB4"/>
        <s v="IDC-NB5"/>
        <s v="IDC-NB2"/>
        <s v="IDC-NB3"/>
        <s v="IDC-NB1"/>
        <s v="IDC-NB6"/>
        <s v="LEM-NB4"/>
        <s v="MAP-SK228"/>
        <s v="MAP-SK230"/>
        <s v="MAP-SK231"/>
        <s v="MAP-SK229"/>
        <s v="MAP-SK76"/>
        <s v="CEL-NB1"/>
        <s v="CEL-NB2"/>
        <s v="CEL-NB3"/>
        <s v="CEL-NB4"/>
        <s v="PAL-NB10"/>
        <s v="PCA-IM22"/>
        <s v="PCA-NB133"/>
        <s v="PCA-IM20"/>
        <s v="PCA-IM19"/>
        <s v="PCA-IM18"/>
        <s v="PCA-IM64"/>
        <s v="PCA-IM77"/>
        <s v="CAT-EN2"/>
        <s v="CAT-DR1"/>
        <s v="BOL-IM254"/>
        <s v="BOL-IM257"/>
        <s v="BOL-IM300"/>
        <s v="BOL-IM302"/>
        <s v="BOL-128"/>
        <s v="GUN-ID40"/>
        <s v="GUN-ID42"/>
        <s v="GUN-ID44"/>
        <s v="GUN-69"/>
        <s v="GUN-NB68"/>
        <s v="GUN-JN55"/>
        <s v="KUA-IM37"/>
        <s v="KUA-IM38"/>
        <s v="KUA-IM40"/>
        <s v="KUA-IM42"/>
        <s v="KUA-IM43"/>
        <s v="KUA-IM44"/>
        <s v="KUA-IM46"/>
        <s v="MAP-SK103"/>
        <s v="MAP-102"/>
        <s v="MAP-100"/>
        <s v="STI-GN7"/>
        <s v="GAR-BT21"/>
        <s v="TIP-IM21"/>
        <s v="TIP-IM16"/>
        <s v="CAT-OP5"/>
        <s v="CAT-OP6"/>
        <s v="IDC-IM9"/>
        <s v="IDC-NB15"/>
        <s v="IDC-NB18"/>
        <s v="LEM-NB15"/>
        <s v="MES-BS2"/>
        <s v="MAP-136"/>
        <s v="MAP-134"/>
        <s v="MAP-131"/>
        <s v="MAP-133"/>
        <s v="MAP-130"/>
        <s v="TAP-NB3"/>
        <s v="ASA-IM62"/>
        <s v="ASA-IM38"/>
        <s v="PCA-IM17"/>
        <s v="PCA-IM84"/>
        <s v="PCA-XL11"/>
        <s v="LEM-NB1"/>
        <s v="IGE-TZ16"/>
        <s v="STB-NB6"/>
        <s v="GAR-IM231"/>
        <s v="BAL-NB49"/>
        <s v="BAL-NB48"/>
        <s v="DIA-NB4"/>
        <s v="BAL-LK17"/>
        <s v="BOL-TZ391"/>
        <s v="BOL-TZ387"/>
        <s v="BOL-TZ397"/>
        <s v="BOL-TZ350"/>
        <s v="IGE-ES8"/>
        <s v="IGE-ES3"/>
        <s v="IGE-ES4"/>
        <s v="IGE-ES5"/>
        <s v="IGE-ES9"/>
        <s v="BOL-VO131"/>
        <s v="BOL-126"/>
        <s v="BOL-130"/>
        <s v="GAR-93"/>
        <s v="GAR-105"/>
        <s v="GAR-92"/>
        <s v="GAR-IM240"/>
        <s v="GAR-IM239"/>
        <s v="GAR-IM127"/>
        <s v="PCA-IM86"/>
        <s v="POS-TF13"/>
        <s v="BEN-LN1"/>
        <s v="BEN-PN20"/>
        <s v="BOL-KO398"/>
        <s v="BOL-KO399"/>
        <s v="BOL-KO400"/>
        <s v="BOL-KO401"/>
        <s v="BOL-KO402"/>
        <s v="BOL-KO403"/>
        <s v="BOL-KO404"/>
        <s v="BOL-KO405"/>
        <s v="BOL-KO406"/>
        <s v="BOL-KO407"/>
        <s v="PCA-IM67"/>
        <s v="SPA-HR3"/>
        <s v="LOO-BS14"/>
        <s v="ASA-PY137"/>
        <s v="ASA-PY139"/>
        <s v="LOO-KO5"/>
        <s v="POS-TF3"/>
        <s v="IDC-IM7"/>
        <s v="NOT-IM34"/>
        <s v="NOT-IM45"/>
        <s v="NOT-IM86"/>
        <s v="NOT-IM72"/>
        <s v="TAP-NB5"/>
        <s v="BOL-DB104"/>
        <s v="MAP-MC226"/>
        <s v="TAS-381"/>
        <s v="SUL-TR2"/>
        <s v="MAG-IM11"/>
        <s v="BOL-TZ396"/>
        <s v="ACR-KO9"/>
        <s v="BOL-TZ346"/>
        <s v="POS-TF12"/>
        <s v="LOO-AL12"/>
        <s v="BOL-IM262"/>
        <s v="BOL-NB55"/>
        <s v="ACR-KO8"/>
        <s v="PCA-IM82"/>
        <s v="CAT-TF13"/>
        <s v="CAT-VO11"/>
        <s v="MAP-VE125"/>
        <s v="STE-IM1"/>
        <s v="SPA-NB1"/>
        <s v="MAG-IM20"/>
        <s v="MAG-NB1"/>
        <s v="MAG-IM21"/>
        <s v="BIN-NB5"/>
        <s v="GAR-IM218"/>
        <s v="GUN-NB70"/>
        <s v="SPI-NB12"/>
        <s v="BOL-NB10"/>
        <s v="BOL-NB4"/>
        <s v="GAR-IM211"/>
        <s v="GAR-IM241"/>
        <s v="GAR-IM204"/>
        <s v="GAR-IM210"/>
        <s v="GAR-IM248"/>
        <s v="GAR-IM205"/>
        <s v="GAR-IM232"/>
        <s v="GAR-IM245"/>
        <s v="MEC-TZ8"/>
        <s v="BOL-NB7"/>
        <s v="MAG-IM13"/>
        <s v="MAG-IM12"/>
        <s v="STI-EN15"/>
        <s v="ASA-IM50"/>
        <s v="BOL-TF408"/>
        <s v="MAP-SK232"/>
        <s v="KUA-IM49"/>
        <s v="KUA-IM50"/>
        <s v="KUA-IM52"/>
        <s v="MAP-NB157"/>
        <s v="PCA-IM59"/>
        <s v="PIT-IM6"/>
        <s v="PIT-IM3"/>
        <s v="PIT-IM9"/>
        <s v="PIT-IM16"/>
        <s v="PIT-IM19"/>
        <s v="PIT-IM7"/>
        <s v="GUN-8"/>
        <s v="MEJ-NB2"/>
        <s v="PWA-NB1"/>
        <s v="MAP-VE207"/>
        <s v="MAP-SK220"/>
        <s v="MAP-SK218"/>
        <s v="MAP-SK219"/>
        <s v="BOL-85"/>
        <s v="PEN-CL14"/>
        <s v="PEN-CW7"/>
        <s v="PCA-IM15"/>
        <s v="PCA-IM35"/>
        <s v="PCA-IM29"/>
        <s v="PCA-IM93"/>
        <s v="POS-TF14"/>
        <s v="BEN-NB13"/>
        <s v="CAT-TF22"/>
        <s v="STC-IM1"/>
        <s v="STC-IM2"/>
        <s v="DIS-MS2"/>
        <s v="DIS-MS8"/>
        <s v="LTR-MC11"/>
        <s v="LTR-MC12"/>
        <s v="LTR-MC13"/>
        <s v="GUN-JN54"/>
        <s v="GUN-NB7"/>
        <s v="STA-IM1"/>
        <s v="GAR-KO55"/>
        <s v="GAR-KO54"/>
        <s v="LTR-5"/>
        <s v="LTR-9"/>
        <s v="DIS-NB1"/>
        <s v="CLI-VE4"/>
        <s v="CLI-VE3"/>
        <s v="PCA-IM55"/>
        <s v="PCA-IM79"/>
        <s v="LOO-NB1"/>
        <s v="LOO-NB2"/>
        <s v="CLI-TF1"/>
        <s v="CLI-TF2"/>
        <s v="CLI-TF3"/>
        <s v="CLI-TF4"/>
        <s v="KUA-IM55"/>
        <s v="KUA-IM20"/>
        <s v="BIN-GS6"/>
        <s v="BAL-LK18"/>
        <s v="BAL-NCL44"/>
        <s v="NOT-IM60"/>
        <s v="NOT-IM82"/>
        <s v="NOT-IM59"/>
        <s v="NOT-NB80"/>
        <s v="NOT-NB33"/>
        <s v="GAR-DB36"/>
        <s v="GAR-NB161"/>
        <s v="GAR-NB166"/>
        <s v="GAR-113"/>
        <s v="NOT-NB23"/>
        <s v="LIL-NB7"/>
        <s v="CLI-NB7"/>
        <s v="TAS-IM28"/>
        <s v="KUA-IM16"/>
        <s v="STC-IM3"/>
        <s v="DOK-NB8"/>
        <s v="BAL-LK14"/>
        <s v="TUS-XN1"/>
        <s v="MAG-IM14"/>
        <s v="PAL-NB11"/>
        <s v="TAS-NB83"/>
        <s v="TIP-IM27"/>
        <s v="TIP-IM20"/>
        <s v="TIP-IM19"/>
        <s v="TIP-IM32"/>
        <s v="GUN-IM34"/>
        <s v="BOL-NB162"/>
        <s v="BOL-NB167"/>
        <s v="BOL-NB368"/>
        <s v="JAN-NB2"/>
        <s v="JAN-TO3"/>
        <s v="PEN-TF9"/>
        <s v="GAR-154"/>
        <s v="STC-IM19"/>
        <s v="MAP-TX153"/>
        <s v="MAP-94"/>
        <s v="POS-TF4"/>
        <s v="MAP-NB33"/>
        <s v="MAP-NB32"/>
        <s v="MAP-NB31"/>
        <s v="MAP-MC176"/>
        <s v="MAP-NB36"/>
        <s v="MAP-183"/>
        <s v="MAP-NB37"/>
        <s v="PEM-JS7"/>
        <s v="BAL-NCL23"/>
        <s v="BAL-NCL41"/>
        <s v="BAL-NCL22"/>
        <s v="BAN-NCL1"/>
        <s v="ASA-TT149"/>
        <s v="PCA-IM115"/>
        <s v="STI-TF12"/>
        <s v="BOL-IM218"/>
        <s v="BOL-IM219"/>
        <s v="LOO-NB17"/>
        <s v="PCA-KY139"/>
        <s v="DRA-NB6"/>
        <s v="GAR-145"/>
        <s v="GAR-162"/>
        <s v="GUN-NB59"/>
        <s v="ORI-AL4"/>
        <s v="STB-18"/>
        <s v="PCA-NB124"/>
        <s v="TAS-IM185"/>
        <s v="TIP-IM24"/>
        <s v="TIP-IM28"/>
        <s v="MAP-MC71"/>
        <s v="NOT-IM44"/>
        <s v="SEM-MS6"/>
        <s v="IGE-ES10"/>
        <s v="TIN-NB1"/>
        <s v="PCA-XL6"/>
        <s v="PCA-IM61"/>
        <s v="PCA-NB102"/>
        <s v="PCA-NB142"/>
        <s v="PCA-IM23"/>
        <s v="PCA-IM119"/>
        <s v="PCA-IM99"/>
        <s v="PCA-IM83"/>
        <s v="KUA-IM54"/>
        <s v="KUA-IM32"/>
        <s v="KUA-IM34"/>
        <s v="KUA-IM35"/>
        <s v="KUA-IM36"/>
        <s v="CAT-MR20"/>
        <s v="GAR-EN2"/>
        <s v="PAL-NB9"/>
        <s v="IDC-IM21"/>
        <s v="BUK-14"/>
        <s v="BUK-11"/>
        <s v="BUK-16"/>
        <s v="BUK-15"/>
        <s v="BUK-4"/>
        <s v="BUK-3"/>
        <s v="ORI-NB7"/>
        <s v="ORI-NB2"/>
        <s v="TAS-IM120"/>
        <s v="GAR-34"/>
        <s v="GUN-SS78"/>
        <s v="GUN-SS77"/>
        <s v="PWA-TF21"/>
        <s v="PEN-IM20"/>
        <s v="JAN-NB8"/>
        <s v="TIP-IM2"/>
        <s v="18 MM"/>
      </sharedItems>
    </cacheField>
    <cacheField name="WARNA/MOTIF" numFmtId="0">
      <sharedItems containsBlank="1">
        <s v="CRAYON DEBOZ 12W"/>
        <s v="CRAYON DEBOZ 36W"/>
        <s v="PENCIL CASE KODE 3D 3 SUSUN 1299"/>
        <s v="CARRY FILE 8820 MIX"/>
        <s v="BK MEWARNAI BJ45"/>
        <s v="BK MEWARNAI BJP"/>
        <s v="BK MEWARNAI BJA"/>
        <s v="BK MEWARNAI BOTD"/>
        <s v="ID CARD B4 IMPORT"/>
        <s v="STUDY BOARD (BK MEWARNAI) JQ-1909"/>
        <s v="STABILLO BRUSH MARKER PEN WB TF-1050 12W"/>
        <s v="REFILL PEN GR-089 (ISI 6 PCS)"/>
        <s v="ISI GEL GR 089 (12PCS TABUNG)"/>
        <s v="CLIPBOARD SQ KAYU KOTAK"/>
        <s v="PENCIL CASE MAGNET 8631 + CALL"/>
        <s v="TALI ID CARD PEONY MERAH"/>
        <s v="TALI ID CARD PEONY BIRU"/>
        <s v="PENCIL CASE 588-157 MAGNET"/>
        <s v="PENSIL CASE QY-2023 MOBIL"/>
        <s v="PENCIL CASE KALENG BH-20232"/>
        <s v="JARUM CASING"/>
        <s v="ISI STAPLER 13/8 JOSS"/>
        <s v="STIP W/B CLEAR B"/>
        <s v="TIPEX KERTAS NO.9443"/>
        <s v="LEM BAKAR STIK 7X30 WOMY PUTIH K"/>
        <s v="LEM BAKAR STIK 11X29 WOMY PUTIH B"/>
        <s v="GARISAN BESI V-TRO 30CM"/>
        <s v="JANGKA A5 3328 FANCY"/>
        <s v="PENSIL TF 688"/>
        <s v="PENSIL TF 488"/>
        <s v="PENSIL TF 888"/>
        <s v="PENSIL TF 168"/>
        <s v="GARISAN LIPAT 008 (40) 30 CM FANCY"/>
        <s v="DISPENSER KENJOY 50"/>
        <s v="ASAHAN PAYU"/>
        <s v="BP GEL DTIAN 923"/>
        <s v="BP GEL DTIAN BIASA 6605"/>
        <s v="BP GEL 922"/>
        <s v="BP GEL 8805"/>
        <s v="BP GEL DTIAN 837"/>
        <s v="BENSIA BONEKA MOTIF COWOK 90"/>
        <s v="BENSIA BONEKA MOTIF CEWEK 921"/>
        <s v="TAS KARUNG 60X45"/>
        <s v="TAS KARUNG 55X65"/>
        <s v="BOX FILE KANCING LIPAT ENTER HITAM"/>
        <s v="KARTU ABSENSI KOJIKO DUS MERAH"/>
        <s v="BOX FILE MICROTOP A.618/ 3 SUSUN"/>
        <s v="BOX FILE MICROTOP A.648/ 4 SUSUN"/>
        <s v="STEMPEL FANCY 2000 G"/>
        <s v="KUAS SET WLT 6636"/>
        <s v="KUAS JOSS E-05"/>
        <s v="KUAS K7NIL"/>
        <s v="KUAS 21839-4"/>
        <s v="BUSINESS FILE SIKA"/>
        <s v="BUSINESS FILE ENTER"/>
        <s v="BUSINESS FILE BIG"/>
        <s v="BUSINESS FILE MICROTOP"/>
        <s v="MAP FILE EN 1020"/>
        <s v="NOTEBOOK 18100-62"/>
        <s v="NOTEBOOK SPIRAL 28850-65"/>
        <s v="NOTEBOOK SPIRAL 50100-71"/>
        <s v="NOTEBOOK SPIRAL 28850-61"/>
        <s v="KUAS TF-2620"/>
        <s v="KUAS 21839-5HB"/>
        <s v="KUAS SET WLT B 5795"/>
        <s v="KUAS SET 251-6CB"/>
        <s v="KUAS 21839-4Q"/>
        <s v="BP TF-3115 HIGHTECH KNOCK"/>
        <s v="BP TF G-3114 0.3MM HIGHTECH KNOCK"/>
        <s v="BP TF 1022"/>
        <s v="BP GEL TF-1190 0.3MM HIGHTECH (B)"/>
        <s v="BP HITECH JOSS GP-168 0.28MM"/>
        <s v="BP HITECH JOSS-188 B 0.28MM BIRU"/>
        <s v="BP GEL KOALA GP-168"/>
        <s v="TAS BRANDED 28 X 35.5"/>
        <s v="TAS JASMIN TANGGUNG"/>
        <s v="TAS JASMIN BESAR"/>
        <s v="TAS COKLAT TEBAL KECIL"/>
        <s v="TAS COKLAT TEBAL BESAR"/>
        <s v="TAS TALI GG-03 BESAR GLITTER"/>
        <s v="TAS SM L 2097-1"/>
        <s v="TAS HZD 9101 A-3 BESAR"/>
        <s v="TAS 1830 M GILAP TANGGUNG"/>
        <s v="TAS LY HD 148 B"/>
        <s v="TAS BI 3022 TANGGUNG"/>
        <s v="TAS LY HD 149 B"/>
        <s v="TAS GLITTER 690 TIMBUL TANGGUNG"/>
        <s v="TAS GM 1800 MT6 GILAP"/>
        <s v="TAS XM-M 2024-1 GLITTER TANGGUNG"/>
        <s v="TAS 2850-L (TANGGUNG TIMBUL GLITTER)"/>
        <s v="TAS SM 2835 TG GLITTER"/>
        <s v="TAS 2106 GLITTER K-2106"/>
        <s v="TAS NO-3026-L GLITTER TANGGUNG"/>
        <s v="TAS GM 1803-4 GILAP TANGGUNG"/>
        <s v="TAS LYSD 229 K"/>
        <s v="TAS 9155 GLITTER KECIL"/>
        <s v="TAS 6-1 BIASA KECIL MIX"/>
        <s v="TAS 203C GLITTER KECIL"/>
        <s v="TAS HZD 2133 GLITTER KECIL"/>
        <s v="TAS TUTUP PITA KADO FG-201 TANGGUNG"/>
        <s v="TAS TUTUP PITA KADO FG-101 KECIL"/>
        <s v="TAS TUTUP PITA KADO FG-401 JUMBO"/>
        <s v="TAS GG 03 9060"/>
        <s v="TAS KERTAS 8867A"/>
        <s v="TAS 3589-5-4 KECIL"/>
        <s v="TAS LYSD 572 K"/>
        <s v="TAS LYSD 154 K"/>
        <s v="TAS NO-1036-M/ K"/>
        <s v="BINDER NOTE B5-60 FPHY 002"/>
        <s v="TAS TIMBUL GLITTER KECIL 2905"/>
        <s v="TAS LYSD 234"/>
        <s v="TAS POLOS 131 K"/>
        <s v="TAS 2069 GLITTER TIMBUL BESAR"/>
        <s v="PEMBATAS L LEAF A5 UTN"/>
        <s v="PEMBATAS L LEAF B5 UTM"/>
        <s v="TAS SM 1035-4 GLITTER TIMBUL KECIL"/>
        <s v="N BOOK SPIRAL 76"/>
        <s v="KUAS SET 255-16"/>
        <s v="NOTEBOOK B1010 (A5)"/>
        <s v="KUAS 21839-5H"/>
        <s v="KUAS K-5 NIL"/>
        <s v="MAP TOPLA 3080"/>
        <s v="MAP TOPLA 3090"/>
        <s v="MAP KCG 2 WARNA"/>
        <s v="MAP KCG 2 DOP"/>
        <s v="MAP KCG 2 MOTIF"/>
        <s v="MAP ZIPPER REST WARNA"/>
        <s v="MAP ZIPPER REST SIKA"/>
        <s v="MAP ZIPPER REST-004 KECIL"/>
        <s v="MAP REST TOPLA 1383"/>
        <s v="KARET PENTIL KECIL"/>
        <s v="KARET PENTIL ESAR"/>
        <s v="BN WENGU A5-B 0164"/>
        <s v="NOTEBOOK B1012 (A5)"/>
        <s v="NOTEBOOK B1018 (B5)"/>
        <s v="NOTEBOOK B1019 (B5)"/>
        <s v="NOTEBOOK B0217 (B5)"/>
        <s v="BINDER NOTE WENGU A5 FPHY 002"/>
        <s v="BP TF-2037 6W"/>
        <s v="BP V-TRO 217"/>
        <s v="BP V-TRO 239"/>
        <s v="BP HILLTOP HT-1020"/>
        <s v="BP TEACH JOB TG 501"/>
        <s v="BP V-TRO 216"/>
        <s v="BP V-TRO 222"/>
        <s v="BP GELL VC 1602 BTS"/>
        <s v="STIP W/B ENTER 802K"/>
        <s v="STIP W/B ENTER 803 B"/>
        <s v="STIP W/B CLEAR K"/>
        <s v="JANGKA MS-403"/>
        <s v="JANGKA MS-404"/>
        <s v="JANGKA MS-405"/>
        <s v="STIP W/B KENJOY LUBANG K"/>
        <s v="BP KOXI KX-701 A"/>
        <s v="GARISAN MIKA ENTER 40CM"/>
        <s v="GARISAN MIKA ENTER 50CM"/>
        <s v="GARISAN MIKA ENTER 60 CM"/>
        <s v="PALETTE 21839-10"/>
        <s v="GARISAN 30CM BESI 5030 YOEKER ORANGE"/>
        <s v="GARISAN BT NO.10"/>
        <s v="GARISAN BT NO.12"/>
        <s v="GARISAN BT 740"/>
        <s v="GARISAN SET 7006 BLK"/>
        <s v="GARISAN KJ 003"/>
        <s v="GARISAN ROTARY 1020 (JOS) BSR"/>
        <s v="GARISAN SET BJ 20136"/>
        <s v="GARISAN 30CM KAYAGI 3122"/>
        <s v="GARISAN 30CM KAYAGI 3123"/>
        <s v="GARISAN 30CM KAYAGI 3121"/>
        <s v="GARISAN 30CM KAYAGI 3125"/>
        <s v="GARISAN TF 1989 LINGKARAN"/>
        <s v="GARISAN BUSUR TF 1991"/>
        <s v="GARISAN TF 1992"/>
        <s v="GARISAN 30CM 360 WR"/>
        <s v="GARISAN BUSUR TF 1988-180"/>
        <s v="GARISAN BC-6018"/>
        <s v="GARISAN KM-8833"/>
        <s v="GARISAN ZH-243"/>
        <s v="GARISAN ZH-251 20 CM"/>
        <s v="GARISAN 20CM ALUMINIUM"/>
        <s v="GARISAN 30CM ALUMINIUM"/>
        <s v="GARISAN ZH-248"/>
        <s v="GARISAN SABLON 430"/>
        <s v="GUNTING TREND SS"/>
        <s v="GUNTING TREND LL"/>
        <s v="GUNTING TREND XL"/>
        <s v="GUNTING STAINLESS SQ 05 B HITAM"/>
        <s v="GUNTING IDEAL DR 5"/>
        <s v="GUNTING GUNINDO MM GU03"/>
        <s v="GUNTING TREND MM"/>
        <s v="GUNTING STAINLESS SQUEZZY SQ06C WARNA"/>
        <s v="GUNTING DAVIS DVL 6"/>
        <s v="BP GEL ZUI ZHUA HY-1020 HITAM"/>
        <s v="BP GEL ZUI ZHUA HY-1020 BIRU"/>
        <s v="BP GEL ZUI ZHUA HY-1020 MERAH"/>
        <s v="GARISAN BT NO 15 SEGITIGA"/>
        <s v="CAT ACRYLIC TF 001"/>
        <s v="CAT ACRYLIC COLOUR TF AC-006M METALIC"/>
        <s v="CAT ACRYLIC COLOUR TF AC-005P PASTEL"/>
        <s v="BP GEL DTIAN 8801"/>
        <s v="BP COSH CS 8601"/>
        <s v="ISI HITECH JOSS HITAM"/>
        <s v="BENSIA 711"/>
        <s v="BENSIA 950"/>
        <s v="BENSIA 925"/>
        <s v="BENSIA 938"/>
        <s v="BENSIA 953"/>
        <s v="BENSIA 948"/>
        <s v="BENSIA 917"/>
        <s v="BENSIA 947"/>
        <s v="BP GEL BP-8793"/>
        <s v="BP GEL BP-8783"/>
        <s v="BP GEL BP-8788"/>
        <s v="BP GEL 8789"/>
        <s v="BP GEL BP-8781"/>
        <s v="BP GEL BP-8782"/>
        <s v="BP GEL + GANTUNGAN A931"/>
        <s v="GEL 2801 + 6K"/>
        <s v="TIPEX KERTAS NO.8539"/>
        <s v="TIPEX KERTAS NO.8546"/>
        <s v="TIPEX KERTAS 8525"/>
        <s v="BENSIA 03LM4 (6202)"/>
        <s v="BENSIA ZC 9937 (50)"/>
        <s v="BENSIA 09LM1 (6213)"/>
        <s v="BENSIA CYLN 6203/ 5333"/>
        <s v="BENSIA 13LM1 (6212)"/>
        <s v="BP ST 500 LIGHT"/>
        <s v="BP GEL DTIAN A 93"/>
        <s v="MECHPEN TIZO 01730"/>
        <s v="GEL KOXI 704 A"/>
        <s v="BP GEL DTIAN DT-830 + STIP"/>
        <s v="BP GEL DTIAN DT-832 + STIP"/>
        <s v="BP GEL DTIAN DT-835 + STIP"/>
        <s v="BP GEL 837 + STIP"/>
        <s v="BP GEL 8801 + STIP"/>
        <s v="BP GEL 8803 + STIP"/>
        <s v="BP GEL 8805 + STIP"/>
        <s v="BP GEL 8807 + STIP"/>
        <s v="WC 12W MOZAKI"/>
        <s v="GARISAN ROTARY KCL"/>
        <s v="TEMPELAN KACA 6"/>
        <s v="TEMPELAN KACA 8"/>
        <s v="CUTTER TACO 78 KECIL TRANSPARAN"/>
        <s v="CUTTER TACO 88 BESAR"/>
        <s v="MAGNET T 3008"/>
        <s v="ISOLASI 1503-CD BIASA"/>
        <s v="ISOLASI 1503-CD PELANGI"/>
        <s v="TAPE 1505 FANCY"/>
        <s v="ISOLASI FANCY GRAFINDO"/>
        <s v="ISOLASI FANCY POLOS HANSA"/>
        <s v="ASAHAN PAYU 845 KEPITING"/>
        <s v="ASAHAN PAYU 846 KUDA GOYANG"/>
        <s v="ASAHAN PAYU 856 ANJING"/>
        <s v="ASAHAN PAYU 831 IKAN"/>
        <s v="ASAHAN PAYU 844"/>
        <s v="ASAHAN PAYU 823 AYAM"/>
        <s v="ASAHAN PAYU 851 PERMEN"/>
        <s v="ASAHAN XX-09"/>
        <s v="LEM CAIR BY 820 30ML (24)"/>
        <s v="ASAHAN 8095"/>
        <s v="ASAHAN 8809"/>
        <s v="ASAHAN TOPLES SP 8865 IKAN"/>
        <s v="ASAHAN NO.8807"/>
        <s v="LEM FANCY MY 105 (12)"/>
        <s v="PALET CAT AIR SAKURA TRANS"/>
        <s v="PALET SAKURA LKU"/>
        <s v="PALET SAKURA KEPITING"/>
        <s v="PALET CAT AIR SAKURA PUTIH UTN"/>
        <s v="PALET 21839-12"/>
        <s v="ID CARD ID-168"/>
        <s v="PC MIKA CERMIN PC 218"/>
        <s v="PC BOX P1036"/>
        <s v="PENSIL CASE ZL-178-1 MOBIL K"/>
        <s v="PC KLG 3348 MINION"/>
        <s v="PENSIL CASE PC-633-5 MOBIL K"/>
        <s v="PENSIL CASE 5872"/>
        <s v="PENSIL CASE 5851"/>
        <s v="PENSIL CASE 5842"/>
        <s v="PENCIL CASE XLG BD194-B"/>
        <s v="PENSIL CASE SH-8704"/>
        <s v="PENSIL CASE SH-8701"/>
        <s v="PPC REST PINK RABBIT4000"/>
        <s v="PENSIL CASE 5870"/>
        <s v="PENSIL CASE SH-8702"/>
        <s v="PC REST 1245 FROZEN"/>
        <s v="P CASE MAGNET XU 805"/>
        <s v="P CASE MAGNET 8300 SUSUN 3"/>
        <s v="PC MAGNIT CC 7808"/>
        <s v="PENCIL CASE DZ-0065 MAGNET"/>
        <s v="PENSIL CASE 8300AV TIMBUL"/>
        <s v="P CASE 8300-56-3"/>
        <s v="PC MAGNIT A 6682"/>
        <s v="PENSIL CASE 8300D TIMBUL"/>
        <s v="PENSIL CASE A-870"/>
        <s v="PENSIL CASE A-1037 + CAL"/>
        <s v="PC MAGNIT A853"/>
        <s v="PENSIL CASE 6A-26"/>
        <s v="PENSIL CASE AC-2893-3"/>
        <s v="ID CARD 501 P"/>
        <s v="ID CARD 501 B"/>
        <s v="PC KLG B-905 MOBIL"/>
        <s v="ID CARD SET DX 622 HITAM"/>
        <s v="ID CARD SET DX 622 PUTIH"/>
        <s v="ID CARD SET DX 622 ABU-1BU"/>
        <s v="GLITER POWDER 15GR CC888"/>
        <s v="GLITER G 816 METALLIK"/>
        <s v="GLITTER GF-2012"/>
        <s v="GLITTER 785-12"/>
        <s v="GLITER PVC 12 (8891-7)"/>
        <s v="GLITTER 783-12"/>
        <s v="GLITTER GF 32"/>
        <s v="GLITER 806"/>
        <s v="GLITTER GF-88"/>
        <s v="GLITTER Y-01"/>
        <s v="GLITTER Y-02"/>
        <s v="GLITTER Y-03"/>
        <s v="GLITTER Y-04"/>
        <s v="SLIDE BINDER 7MM P"/>
        <s v="SLIDE BINDER 7MM K"/>
        <s v="BP GEL TF-1190 0.3MM HIGHTECH (H)"/>
        <s v="BP TIZO TG 30541F FANCY"/>
        <s v="BP GEL TIZO 30801F S3 FANCY"/>
        <s v="BP TIZO 31810F FANCY"/>
        <s v="BP GEL TIZO 30734F FANCY"/>
        <s v="BP GEL TIZO 31763F FANCY"/>
        <s v="BP GEL TIZO 31762F FANCY"/>
        <s v="BP GEL TIZO 31035F FANCY"/>
        <s v="BP GEL TIZO TG 348"/>
        <s v="KUAS 21839-6H4"/>
        <s v="KUAS 251-6CJ"/>
        <s v="KUAS TF ART TF-2023"/>
        <s v="TAS TALI GG-02 TANGGUNG GILAP"/>
        <s v="TAS TALI GG-03 BESAR GILAP"/>
        <s v="TAS BATIK KC-B5 MH"/>
        <s v="TAS BATIK TG-B5 ALP"/>
        <s v="TAS BATIK BRS-ALP"/>
        <s v="CAT ACRYLIC V-TECH"/>
        <s v="PENCIL CASE KARTON KK 1299 3D/ 3 SUSUN"/>
        <s v="STANDART BK V TECH NO 7"/>
        <s v="BP GEL 6603"/>
        <s v="BP GEL 935"/>
        <s v="BP GEL DTIAN BIASA 959"/>
        <s v="BP GEL 936"/>
        <s v="BP GEL DT 9906"/>
        <s v="BP GEL 931"/>
        <s v="BP GEL 8807"/>
        <s v="BP GEL 8803"/>
        <s v="BP GEL 6608"/>
        <s v="BP GEL 830"/>
        <s v="BP GEL 925"/>
        <s v="BP GEL DTIAN BIASA 9908"/>
        <s v="CLIPBOARD ACRYLIC TF-016"/>
        <s v="CLIPBOARD ACRILIC TF-013"/>
        <s v="CLIPBOARD ACRYLIC TF-012"/>
        <s v="CLIPBOARD ACRYLIC TF-015"/>
        <s v="BP GEL TIZO 1.0 TG630-A"/>
        <s v="BP TIZO KLIK TG 3300"/>
        <s v="MAP L SIKA AC-105 PUTIH"/>
        <s v="MAP KANCING SIKA AC-05 PUTIH"/>
        <s v="PENGHAPUS W/B ENTER 823 KECIL LUBANG"/>
        <s v="PC MAGNIT AZ 3300 BLK"/>
        <s v="PC MAGNIT 1151"/>
        <s v="PC MAGNIT AZ 3301 BLK"/>
        <s v="PC MAGNIT KM 5186-1"/>
        <s v="MECHPEN G-0938"/>
        <s v="MECHPEN G-09307"/>
        <s v="PENSIL TF 188"/>
        <s v="PENSIL TF 788"/>
        <s v="BINDING WIRE 10CM (EMAS)"/>
        <s v="BINDING WIRE 10CM (MERAH)"/>
        <s v="BINDING WIRE 10CM (BIRU)"/>
        <s v="BINDING WIRE 10CM (UNGU)"/>
        <s v="BP TF 729"/>
        <s v="MESIN TEMBAK BIXDONE HE E2010 K (65 BLK) KECIL"/>
        <s v="PENSIL 2B KAYAGI 3053"/>
        <s v="PENSIL KAYAGI 2B PF3050"/>
        <s v="PENSIL 2B KAYAGI 3060"/>
        <s v="PENSIL KAYAGI 3062"/>
        <s v="PENSIL KAYAGI 3021"/>
        <s v="BP TIANJIAO TZ-501 HITAM"/>
        <s v="STAMP PAD HERO K"/>
        <s v="GARISAN BT 30 CM"/>
        <s v="BP X DATA M1"/>
        <s v="BP X DATA M2"/>
        <s v="GARISAN 30CM ENTER"/>
        <s v="TIPEX MICROTOP MT 737"/>
        <s v="ISI GEL TZ-501 R HITAM"/>
        <s v="BP TIZO TG340 BIRU"/>
        <s v="GARISAN BUSUR ENTER 3.5 MIKA"/>
        <s v="GARISAN ENTER TEBAL NO.4"/>
        <s v="GARISAN BESI TF 100 CM"/>
        <s v="PENSIL 2.0 JOSS FANCY"/>
        <s v="MECHPEN DF 125"/>
        <s v="MECHPEN TIZO G 9001 A"/>
        <s v="STABILLO TOZCHA TZ 8001"/>
        <s v="BP GEL TIZO TG670"/>
        <s v="BP GEL TIZO TG690"/>
        <s v="CRAYON 12W PDK FANCY 1011"/>
        <s v="CRAYON PUTAR 12W PANJANG MIX 1012"/>
        <s v="BALLPEN ANTENA LASER LAMPU"/>
        <s v="BALLPEN SPIRAL 860"/>
        <s v="PEN HOLDER BULAT HITAM"/>
        <s v="PEN HOLDER KOTAK HITAM"/>
        <s v="MAP DATA FC 53"/>
        <s v="BALON MERAH"/>
        <s v="BALON PUTIH"/>
        <s v="KUAS YS-02"/>
        <s v="KUAS UTN 661-8"/>
        <s v="MAP KANCING SIKA AC-05 BIRU"/>
        <s v="MAP KANCING SIKA AC-05 HIJAU"/>
        <s v="MAP KANCING SIKA AC-05 MERAH"/>
        <s v="MAOPIE B"/>
        <s v="NOTES 156-80"/>
        <s v="MAP TALI SIKA BIRU"/>
        <s v="MAP TALI SIKA HIJAU"/>
        <s v="SEMPOA 8025"/>
        <s v="GLITTER 88 MIX"/>
        <s v="GLITTER 88 EMAS"/>
        <s v="SELANG PIANIKA SP 12 (1) 246"/>
        <s v="CALL BELL QJ125"/>
        <s v="JARUM PENTUL HIJAB"/>
        <s v="P CASE KLG K 905"/>
        <s v="PENSIL CASE C-8023"/>
        <s v="PC KLG WB 1008 + ISI CAL 1008"/>
        <s v="PC KLG LPY 99-12"/>
        <s v="PAPAN WB 25 X 35"/>
        <s v="PAPAN WHITE BOARD XG POLOS 30 X 40"/>
        <s v="STIP JK MER-01"/>
        <s v="STIP RENCAI RC 700"/>
        <s v="MECHPEN TM 030 A"/>
        <s v="MECHPEN TIZO TM 030-C"/>
        <s v="MEKANIK PENSIL 2.0 TIZO TM01800"/>
        <s v="CAT ACRYLIC COLOUR TF AC-002"/>
        <s v="CAT ACRYLIC TF 003"/>
        <s v="CRAYON PUTAR FANCY 12W PENDEK"/>
        <s v="CRAYON PUTAR FANCY 12W PANJANG"/>
        <s v="TAS SM 106 GLITTER BESAR"/>
        <s v="LOOSE LEAF HOLO ALFA A5 ZODIAK"/>
        <s v="LOOSE LEAF HOLO A5 SOFIA"/>
        <s v="LOOSE LEAF HOLO MOBILE LEGENDS A5"/>
        <s v="LOOSE LEAF BEE SMART COWOK"/>
        <s v="BUSSINES FILE ENTER K"/>
        <s v="MAP L MERAH VTRO"/>
        <s v="MAP KECIL MICROTOP 128"/>
        <s v="MAP ZIPPER JALA SIKA BIRU"/>
        <s v="EXPANDING FILE MICROTOP MT-632 F4"/>
        <s v="MAP TENTENG ZF 830"/>
        <s v="MAP REST A5 SIKA"/>
        <s v="MAP ZIPPER KANCING 2 SIKA"/>
        <s v="CLIP BOARD 6688-TR TRANSP KOALA"/>
        <s v="CLIPBOARD SQ FANCY HOLO 2 MUKA"/>
        <s v="MAP TALI KENJOY"/>
        <s v="MAP KANCING 4 UTN PINK"/>
        <s v="KUAS G 02"/>
        <s v="KUAS 21839-7H"/>
        <s v="BK TAMU BATIK"/>
        <s v="TAS TUTUP PITA KADO FG-301 BESAR"/>
        <s v="TAS TALI GG-01 KECIL TIMBUL"/>
        <s v="TAS GLITTER 1833M TG GLITTER"/>
        <s v="TAS GLITTER SM 1925 S GLITTER KECIL"/>
        <s v="TAS 8866 B TIMBUL GLITTER BESAR"/>
        <s v="TAS 1838-L (TANGGUNG GLITTER)"/>
        <s v="TAS LYSD 241 K"/>
        <s v="TAS GLITTER 9240 TG"/>
        <s v="TAS SMS-2904 GLITTER KECIL"/>
        <s v="TAS 2106 GLITTER KECIL"/>
        <s v="TAS GILAP LYH 804 MOTIF KECIL"/>
        <s v="TAS BRANDED TANGGUNG SB-116"/>
        <s v="TAS SM 926M TG GLITTER"/>
        <s v="TAS 106 6M TG GLITTER"/>
        <s v="TAS 6M 1841 TG GILAP"/>
        <s v="KUAS SET 255-6"/>
        <s v="BLOCK NOTE SPIRAL ENTER 403"/>
        <s v="BLOCK NOTE SPIRAL ENTER 404"/>
        <s v="NOTEBOOK 18100-36"/>
        <s v="NOTEBOOK SPIRAL 28850-67"/>
        <s v="DIARY Q 32K- S002 FR"/>
        <s v="NOTEBOOK SPIRAL 25100-67"/>
        <s v="NOTEBOOK 28825-62"/>
        <s v="DIARY Q 64K- S002 PR"/>
        <s v="MAP KANCING 4 UTN MERAH"/>
        <s v="MAP REST BIO K SIKA"/>
        <s v="MAP REST BIO M SIKA"/>
        <s v="MAP REST 1928 TOPLA"/>
        <s v="MAP DATA MICROTOP BS-57 B4"/>
        <s v="DOKUMEN RISLETING BOX BATIK"/>
        <s v="NOTEBOOK 18100-61"/>
        <s v="BNS XB 72K 1400"/>
        <s v="DOKUMEN HD64"/>
        <s v="DOKUMEN RST HD-55"/>
        <s v="MAP DATA MICROTOP BS-53 A6"/>
        <s v="MAP DATA MICROTOP BS-54 A5"/>
        <s v="MAP DATA MICROTOP BS-55 B5"/>
        <s v="STICKER 954 MIX"/>
        <s v="STICKER QJF-A"/>
        <s v="STICKER 955 MIX"/>
        <s v="STICKER JBE-34"/>
        <s v="STICKER XTQ-F"/>
        <s v="STICKER XTQ-E"/>
        <s v="CRAYON PUTAR DB 777 18W"/>
        <s v="BP GEL DT-236"/>
        <s v="BP D TIAN 108"/>
        <s v="BP GEL DTIAN DT-612"/>
        <s v="PENSIL 2B TF 995"/>
        <s v="P WARNA 12W PANJANG TB 8891"/>
        <s v="PENSIL 2B KAYAGI 3056"/>
        <s v="OIL COLOR 12W VTRO"/>
        <s v="WATER COLOR + KUAS PACMAN"/>
        <s v="BP GEL DT-239"/>
        <s v="BP GEL DTIAN DT-233"/>
        <s v="BP GEL DT-238"/>
        <s v="P WARNA 24W KY CP 0724"/>
        <s v="PENSIL 2B KAYAGI PF3051L"/>
        <s v="GUNTING STAINLESS SQ 04 C WARNA"/>
        <s v="GEL ODEMI 989"/>
        <s v="GEL ODEMI 977"/>
        <s v="GUNTING JUNIOR J 100"/>
        <s v="GUNTING JUNIOR J-300"/>
        <s v="GEL SIKA GP 340"/>
        <s v="BP COSH CS 8501"/>
        <s v="ISI MECHPEN MFF-188"/>
        <s v="W COLOR 21839"/>
        <s v="ISI PENSIL KNOW 2270"/>
        <s v="GEL LANTU LT 210C"/>
        <s v="ISI GELL DEBOZZ DB GR 550 (24)"/>
        <s v="PENSIL KAYAGI 3055"/>
        <s v="P WARNA PANJANG TB-9022-12"/>
        <s v="PENSIL WARNA KY CP 1224"/>
        <s v="PW 8880-12"/>
        <s v="BP GEL ZHIXIN G 5025"/>
        <s v="BP TIZO TG 313B"/>
        <s v="GEL TG 33404-2"/>
        <s v="TIPEX DT 5050-4"/>
        <s v="MECHPEN TIZO TM 030-A"/>
        <s v="GARISAN 30CM LIPAT CV-5012 (24)"/>
        <s v="PENSIL 2B+ASAHAN 2116"/>
        <s v="PENSIL+STIP MOBIL"/>
        <s v="GEL GP 3125"/>
        <s v="MAGNIFIER LW-60"/>
        <s v="MAGNIFIER LW-70"/>
        <s v="MAGNIFIER LW-80"/>
        <s v="MAGNIFIER LW-90"/>
        <s v="CRAYON PUTAR 12W PANJANG M 1012"/>
        <s v="BP PELNA ULIR 01 HT"/>
        <s v="BP TG 501 B"/>
        <s v="TIPEX KERTAS NO.8528"/>
        <s v="TIPEX KERTAS 91033HG"/>
        <s v="TIPEX KERTAS XB-B255"/>
        <s v="TIPEX KERTAS 8538"/>
        <s v="TIPEX KERTAS NO.5026"/>
        <s v="TIPEX KERTAS NO.8017"/>
        <s v="TIPEX KERTAS DY-8240"/>
        <s v="TIPEX KERTAS NO.8527"/>
        <s v="TIPEX KERTAS 9458"/>
        <s v="TIPEX KERTAS NO.5031"/>
        <s v="TIPEX KERTAS NO.5039"/>
        <s v="TIPEX KERTAS NO.6080"/>
        <s v="P CASE REST B 123"/>
        <s v="P CASE REST B 124"/>
        <s v="PENSIL CASE 5871"/>
        <s v="PC RET KY 6197"/>
        <s v="PENSIL CASE SH-8602"/>
        <s v="PENSIL CASE SH-8604"/>
        <s v="PENSIL CASE SH-8603"/>
        <s v="ASAHAN 344"/>
        <s v="ASAHAN 371"/>
        <s v="ASAHAN HIPPO X357"/>
        <s v="STUDY BOARD DJ3017"/>
        <s v="STUDY BOARD DJ3020"/>
        <s v="DRAWING BOARD DJ 103"/>
        <s v="MAGIC BOARD TK 901"/>
        <s v="JARUM PENTOL CASING"/>
        <s v="JARUM PUNTUL HIJAB"/>
        <s v="SEMPOA 8023"/>
        <s v="SEMPOA 8022"/>
        <s v="SIPOA SEDANG 8590"/>
        <s v="SIPOA 8012"/>
        <s v="SEMPOA MOSHI-MOSHI JUMBO 1803"/>
        <s v="TALI YOYO B TRANSPARAN"/>
        <s v="TALI YOYO M TRANSPARAN"/>
        <s v="TALI YOYO HJ TRANSPARAN"/>
        <s v="KEY RING KC-008"/>
        <s v="GLITTER GF-32"/>
        <s v="GLITTER G-01"/>
        <s v="ASAHAN TOPLES GOLDEN (24)"/>
        <s v="ASAHAN DMS 038"/>
        <s v="TAPE LK-22305"/>
        <s v="PENSIL CASE 5840"/>
        <s v="P CASE 8109"/>
        <s v="P CASE K98"/>
        <s v="PENCIL CASE B-136"/>
        <s v="PENCIL CASE XLG BD838"/>
        <s v="PENCIL CASE XLG BD860"/>
        <s v="PENCIL CASE XLG BD954"/>
        <s v="P CASE REST 9907"/>
        <s v="PENCIL CASE 5866"/>
        <s v="PENSIL CASE SH-15"/>
        <s v="PENSIL CASE SH-16"/>
        <s v="PENCIL CASE 5864"/>
        <s v="PENSIL CASE SH-02 (HARUS DIPISAH, ADA 6 MACAM)"/>
        <s v="PITA KAIN EMAS B"/>
        <s v="ASAHAN PAYU 827 ANGSA"/>
        <s v="ASAHAN PAYU 849 STROBERI"/>
        <s v="ASAHAN 8810"/>
        <s v="ASAHAN TR-3006"/>
        <s v="ASAHAN BOX 166 BEBEK"/>
        <s v="ASAHAN DY-347"/>
        <s v="KERTAS KREP M/P"/>
        <s v="KERTAS KREP POTONGAN JERSY"/>
        <s v="N BOOK A5 8C 020"/>
        <s v="PC RET KY 6186"/>
        <s v="PENSIL CASE SH-8703"/>
        <s v="P CASE REST SH 10"/>
        <s v="P CASE REST SH 06"/>
        <s v="PC RET IMITASI 252"/>
        <s v="PENSIL CASE SH-04"/>
        <s v="PENSIL CASE 5853"/>
        <s v="P CASE 1502 IF"/>
        <s v="P CASE 1504 IF"/>
        <s v="PENSIL CASE 5813"/>
        <s v="PENCIL CASE B-135"/>
        <s v="PENCIL CASE 5811"/>
        <s v="PENSIL CASE SH-8601"/>
        <s v="PENSIL CASE PC-619-3 MOBIL + KODE"/>
        <s v="PENCIL CASE KALENG B233 MOBIL"/>
        <s v="PC RET JX-5626 MM"/>
        <s v="PC BOX MY 003"/>
        <s v="PENSIL CASE WLT9902"/>
        <s v="PC BOX FY 58M"/>
        <s v="PENSIL CASE KW-1717"/>
        <s v="ISOLASI FANCY 1503 PELANGI"/>
        <s v="ISOLASI FANCY 1503 BIASA"/>
        <s v="MAGNET 034"/>
        <s v="PAPAN WHITE BOARD XG POLOS 25 X 35"/>
        <s v="GLITTER GF-88 EMAS"/>
        <s v="GLITTER GF 88 SI;VER"/>
        <s v="GLITTER GF 88 MIX"/>
        <s v="KUAS Y-01"/>
        <s v="KUAS Y-02"/>
        <s v="KUAS Y-03"/>
        <s v="KUAS Y-04"/>
        <s v="HOOKS 3CM"/>
        <s v="HOOKS 3.5CM"/>
        <s v="HOOKS 4CM"/>
        <s v="HOOKS 4.5CM"/>
        <s v="P CASE 3579-19"/>
        <s v="ISI BENSIA"/>
        <s v="BENSIA 04LM1 (5921"/>
        <s v="BENSIA ZC 105 PLUIT"/>
        <s v="BENSIA 10LM1 (6209)"/>
        <s v="ISI GEL GR 090 (20PCS TABUNG)"/>
        <s v="JANGKA JOSS MS-403"/>
        <s v="JANGKA JOSS MS-404"/>
        <s v="JANGKA JOSS MS-405"/>
        <s v="MAGNET 8011-6"/>
        <s v="KEMOCHENG KOMPUTER"/>
        <s v="ISI GEL 2022 TRANSFORMER 20 DOZ"/>
        <s v="ISI GEL 20 DOS 2020"/>
        <s v="CLIP FILE YUSHINCA 323"/>
        <s v="CLIP FILE YUSHINCA 318 BIRU TUA"/>
        <s v="BN A5 RABBIT/ KOALA"/>
        <s v="BN B5 WARNA KOALA"/>
        <s v="NOTEBOOK B0217 (B5ï¼‰"/>
        <s v="NOTEBOOK B1018 (B5ï¼‰"/>
        <s v="NOTEBOOK 05202"/>
        <s v="L LEAF A5-100LBR DOTED TITIK"/>
        <s v="LOOSE LEAF BIASA TSUM A5 (100GSM)"/>
        <s v="ISI L LEAF A5 BEE SMART COWOK"/>
        <s v="MAOPLE K"/>
        <s v="MAOPLE B"/>
        <s v="AGENDA 100 5674"/>
        <s v="KUAS VANART NO.1"/>
        <s v="KUAS VANART NO.2"/>
        <s v="KUAS VANART NO.3"/>
        <s v="LOOSE LEAF HOLO FROZEN A5"/>
        <s v="ISI L LEAF A5 STICKER LLP 80"/>
        <s v="BUKU MEWARNAI SPS"/>
        <s v="BUKU MEWARNAI DM 2206"/>
        <s v="BUKU MEWARNAI 878"/>
        <s v="BUKU MEWARNAI HT 604"/>
        <s v="BUKU MEWARNAI IF BJA"/>
        <s v="BUKU MEWARNAI JQ 990"/>
        <s v="BWA-IM13"/>
        <s v="BUKU MEWARNAI 23"/>
        <s v="BUKU MEWARNAI 68A41"/>
        <s v="STAMPAD 1000 G"/>
        <s v="TAS BATIK MJ-1 MERAH"/>
        <s v="TAS BATIK T ALPINDO"/>
        <s v="TAS NO-1036-M BIASA KECIL"/>
        <s v="TAS XMS-52083 G;ITTER KECIL"/>
        <s v="TAS SM 3589-4 KECIL BIASA"/>
        <s v="TAS 1545 KECIL BIASA"/>
        <s v="TAS 1175 PARIS KECIL"/>
        <s v="TAS SM 1916 GILAP BESAR"/>
        <s v="TAS XM-2019-L GLITTER TANGGUNG"/>
        <s v="TAS 280 GLITTER TIMBUL TG"/>
        <s v="TAS BATIK EMAS K"/>
        <s v="TAS KARUNG BG13-023"/>
        <s v="TAS KARUNG 70X70"/>
        <s v="TAS KARUNG TIDUR 40X30"/>
        <s v="TAS KARUNG 45X50"/>
        <s v="TAS KARUNG 40X45"/>
        <s v="TAS KARUNG 50X55"/>
        <s v="TAS KARUNG 45X33"/>
        <s v="TAS KARUNG 60 X 45"/>
        <s v="TAS KARUNG 70 X 53"/>
        <s v="MAP REST BN-55"/>
        <s v="MAP REST BN-53"/>
        <s v="BALON BL 100178 M/ P"/>
        <s v="BALON BL 10023"/>
        <s v="BALON BL 10022"/>
        <s v="BALON FS POLKADOT LKF 3200 PP"/>
        <s v="BALON LKF 3200 M"/>
        <s v="BALON BL 10092"/>
        <s v="MAP FILE EN 1105 F"/>
        <s v="MAP/ ZIPPER BAG TRIX EN 1101"/>
        <s v="BALON WOMY MERAH"/>
        <s v="BALON WOMY PUTIH"/>
        <s v="ZIPPER POCKET A5 GANDORI"/>
        <s v="BOX FILE 3SSN HUAJIE 618"/>
        <s v="MAP CLEAR HOLDER KALUBI CH A5"/>
        <s v="DOKUMEN RISLETING OPTIMA"/>
        <s v="DOKUMEN RISLETING BRILLIANT"/>
        <s v="DOKUMEN RISLETING STATEMENT"/>
        <s v="SLIDE BINDER 7MM B"/>
        <s v="PENSIL CARPENTER 500"/>
        <s v="MAP REST A6 UTN PARIS"/>
        <s v="TEMPELAN KACA 5"/>
        <s v="JANGKA SET STARMOON 856"/>
        <s v="WATER COLOUR VTRO"/>
        <s v="OIL COLOUR VTRO 12W-6ML"/>
        <s v="BP E 8805 MULTI WARNA (24)"/>
        <s v="P WARNA TB 8891-12"/>
        <s v="JANGKA MT 2506"/>
        <s v="JANGKA MS-4001 KOALA"/>
        <s v="TAS BATIK MJ-1 HIJAU"/>
        <s v="PENSIL CASE 168-18"/>
        <s v="PC MAGNIT KY 779 BLK"/>
        <s v="BP MAINAN + GANTUNGAN 9082"/>
        <s v="BP GEL BP-A8010"/>
        <s v="BP GEL A8015"/>
        <s v="BP GEL 7502 / 3211"/>
        <s v="ASAHAN 007"/>
        <s v="PC MAGNIT MINION KT 535"/>
        <s v="PIANIKA LOVELY BIRU"/>
        <s v="TAS BATIK MJ1 HIJAU"/>
        <s v="TAS BATIK B ALPINDO"/>
        <s v="PITA KADO 30MM RENDA"/>
        <s v="AGENDA 25K GB35-25"/>
        <s v="STABILLO TF-1145 LIVE COLOUR PASTEL"/>
        <s v="PENSIL DM 5188"/>
        <s v="LILIN GOLD NO.0"/>
        <s v="LILIN GOLD NO.1"/>
        <s v="LILIN GOLD NO.2"/>
        <s v="LILIN GOLD NO.3"/>
        <s v="LILIN GOLD NO.4"/>
        <s v="LILIN GOLD NO.5"/>
        <s v="LILIN GOLD NO.6"/>
        <s v="LILIN GOLD NO.7"/>
        <s v="LILIN GOLD NO.8"/>
        <s v="LILIN GOLD NO.9"/>
        <s v="BP ZHIXIN K-15"/>
        <s v="BP V-TRO 231"/>
        <s v="BP V-TRO 225"/>
        <s v="BP GEL ZHIXIN G 3164"/>
        <s v="BP GEL ZHIXIN G 3122"/>
        <s v="NOTEBOOK SPIRAL 28850-68"/>
        <s v="NOTEBOOK A5-UN"/>
        <s v="NOTEBOOK 707-19"/>
        <s v="NOTEBOOK A5-106"/>
        <s v="NOTEBOOK 707-44"/>
        <s v="ASAHAN TOPLES KITTY R-5842"/>
        <s v="PENCIL CASE XLG BD786"/>
        <s v="KAWAT ROLL 504 KUNING"/>
        <s v="GUNTING GUNINDO HB65"/>
        <s v="MESIN LEM KECIL 20W PACMAN 82"/>
        <s v="PENSIL CASE 17-01A"/>
        <s v="PENCIL CASE KALENG H-9888"/>
        <s v="P CASE KLG K-905"/>
        <s v="PENCIL CASE H-9905 KLG"/>
        <s v="PENCIL CASE LPY99-3"/>
        <s v="PENSIL CASE 6A-28"/>
        <s v="PENSIL CASE A-207"/>
        <s v="PENCIL CASE DZ-8057 MAGNET"/>
        <s v="PENSIL CASE 8300SG TIMBUL"/>
        <s v="PENSIL CASE 8300TK TIMBUL"/>
        <s v="PC MAGNIT AZ 3302 BLK"/>
        <s v="PC MAGNIT B 3513-15 (BIASA)"/>
        <s v="P CASE REST IF 1502"/>
        <s v="P CASE REST 777"/>
        <s v="P CASE B 122"/>
        <s v="PENCIL CASE B-118"/>
        <s v="PENCIL CASE B-126"/>
        <s v="P CASE REST 1504"/>
        <s v="STATIONERY SET 8898"/>
        <s v="LILIN ULTAH 33;"/>
        <s v="KARET KECIL"/>
        <s v="BKGAMBAR SIKA"/>
        <s v="MECHPEN TIZO TM 01500"/>
        <s v="MECHPEN TIZO TM 030-H"/>
        <s v="ISI PENSIL DB 062"/>
        <s v="BP WEIYADA E 681 HITAM"/>
        <s v="BP WEIYADA E 681 BIRU"/>
        <s v="BP 994 4 WARNA"/>
        <s v="MECHPEN G-09309"/>
        <s v="PELNA LAPTOP TABLE"/>
        <s v="MESIN TEMBAK 188 JUMBO"/>
        <s v="BP GEL TF-1191 BODY WR 0.3MM HIGHTECH"/>
        <s v="KAWAT POTONG EMAS TIPIS"/>
        <s v="PALET ANGGUR"/>
        <s v="PALET APEL"/>
        <s v="CUTTER GOLDEN 888 B"/>
        <s v="GARISAN BT 20 CM"/>
        <s v="CLIP BOARD 2 MUKA WB CEWEK"/>
        <s v="CLIP BOARD 2 MUKA WB COWOK"/>
        <s v="CLIP CANDY NO 1"/>
        <s v="BUKU TAMU BUNGA SPIRAL ENTER"/>
        <s v="MIKA ROLL KCL"/>
        <s v="MIKA ROLL TG"/>
        <s v="MIKA ROLL BSR"/>
        <s v="N BOOK 2560"/>
        <s v="BK TABUNGAN ENTER"/>
        <s v="STICK NOTE WLT 9018"/>
        <s v="POST IT WALITO WLT-8921"/>
        <s v="POST IT WALITO WLT-8846"/>
        <s v="POST IT WALITO WLT-8952"/>
        <s v="STICK NOTE WLT 8961"/>
        <s v="TAS BATIK MOTIF KAYU S"/>
        <s v="TAS BATIK EMAS KECIL"/>
        <s v="TAS BATIK MICROTOP KECIL"/>
        <s v="TAS H-4007-M BIASA KECIL"/>
        <s v="TAS KADO 4007 S-4 KECIL"/>
        <s v="TAS 61 GLITTER KECIL MIX"/>
        <s v="TAS 35895-4K KECIL"/>
        <s v="TAS 1925 GLITTER KECIL"/>
        <s v="TAS 16 X 21"/>
        <s v="STICKER 333"/>
        <s v="STICKER JBE-30"/>
        <s v="STICKER JBE-SV"/>
        <s v="STICKER KL-63"/>
        <s v="STICKER JBE-35"/>
        <s v="STICKER JBE-SA"/>
        <s v="STICKER JBE-24"/>
        <s v="STICK NOTE WLT 8803"/>
        <s v="STICK NOTE WLT 8963"/>
        <s v="NOTEBOOK SPIRAL 28825-61 A5"/>
        <s v="BTS GASTA HA 32-8213/ A5-50 FR"/>
        <s v="BTS 60 404"/>
        <s v="NOTEBOOK 28850-64"/>
        <s v="N BOOK A6 190402 FLAMINGO"/>
        <s v="NOTEBOOK 50100-71"/>
        <s v="N BOOK A5 LUCKY NOTES 365"/>
        <s v="N BOOK Q 64 K 5-001"/>
        <s v="NOTEBOOK 25100-71"/>
        <s v="NOTEBOOK 7025-31"/>
        <s v="BN TALI AA 0321-13/A7-80/BALLOON"/>
        <s v="N BOOK SPIRAL 76 BATIK"/>
        <s v="BALON LMP 2200"/>
        <s v="BALON LKM 2800"/>
        <s v="BALON LOVE 1022 20X5 LKL 2200"/>
        <s v="BALON LKP 2200"/>
        <s v="BALON LKP 3000"/>
        <s v="TAS TALI 263 GLITTER TANGGUNG"/>
        <s v="TAS KADO 249 A BSR"/>
        <s v="TAS TALI GG-02 TANGGUNG GLITTER"/>
        <s v="TAS HZD 9101 A3 BSR"/>
        <s v="TAS 6603 HZD 9192 BESAR GLITTER TIMBUL"/>
        <s v="TAS XM-1 2097-1 BESAR GLITTER"/>
        <s v="BALON BL 1009"/>
        <s v="TAS HD 234"/>
        <s v="NOTEBOOK B0200 (A5ï¼‰"/>
        <s v="NOTEBOOK 05204"/>
        <s v="NOTEBOOK 76205"/>
        <s v="NOTEBOOK B1019 (B5ï¼‰"/>
        <s v="BN WENGU A5-B 0164 (3W)"/>
        <s v="NOTEBOOK 93846"/>
        <s v="CLIPBOARD ENTER ANTI PECAH (GAP 03)"/>
        <s v="CLIP BOARD KWALITAS / ENTER ANTI API"/>
        <s v="CLIP BOARD 303 (CLIP BESAR)"/>
        <s v="NOTEBOOK A5-103"/>
        <s v="STICK NOTE WLT 8894"/>
        <s v="AGENDA 25K (BC 510)"/>
        <s v="BN 7102 A5-20"/>
        <s v="BENSIA RUMBAL GLITTER"/>
        <s v="BENSIA RUMBAL METALIK"/>
        <s v="BALLPEN JOSS JS-7B"/>
        <s v="GEL GP 3155"/>
        <s v="SPIDOL 12W + KUAS DB 218-12"/>
        <s v="SPIDOL 12W 555 YOEKER"/>
        <s v="SPIDOL GOLDEN 838 12W"/>
        <s v="STABILLO TF MINI 105(4)"/>
        <s v="STABILLO TIZO TF610"/>
        <s v="GARISAN ABC 250"/>
        <s v="GARISAN BESI 30CM FANCY A 300"/>
        <s v="GARISAN 15CM SET 7505"/>
        <s v="GARISAN SET 20 CM ZX-022"/>
        <s v="GEL 2518"/>
        <s v="BP COSH CS 8503"/>
        <s v="ISI BENSIA LANTU LT 1132"/>
        <s v="P WARNA 12W PENDEK IF"/>
        <s v="CRAYON PUTAR FANCY 1011/2011 PENDEK CEWEK COWOK 12W"/>
        <s v="STAPLER V TECH HDZ 10M"/>
        <s v="BENSIA 06LM1 (6034)"/>
        <s v="ALPHABET MAGNIT HURUF AK 17/ 005"/>
        <s v="GARISAN KAYAGI 3124 30CM"/>
        <s v="REFILL GEL JOSS-268 HITAM"/>
        <s v="GARISAN SET 20 CM ZX-021"/>
        <s v="TIPEX KERTAS NO.9304"/>
        <s v="TIPEX KERTAS NO.8458"/>
        <s v="TIPEX MICROTOP MT-767"/>
        <s v="TIPEX KERTAS NO.9462"/>
        <s v="TIPEX KERTAS NO.0847"/>
        <s v="TIPEX KY DB 7001"/>
        <s v="TIPEX KY DB 7002"/>
        <s v="TIPEX KERTAS 7013 MINI"/>
        <s v="GARISAN SET PAYU 9810 20CM"/>
        <s v="BENSIA 940"/>
        <s v="BENSIA 941"/>
        <s v="BENSIA 921"/>
        <s v="BENSIA 9938 CERMIN KACA (32)"/>
        <s v="BENSIA LT 1311 SISIR BIASA"/>
        <s v="ISI GEL ELSON ES-226 SANRIO"/>
        <s v="KUAS SET 577-6"/>
        <s v="KUAS 251-6TB"/>
        <s v="KUAS 21839-6HP"/>
        <s v="KUAS 21839-4S"/>
        <s v="KUAS SHINING A5-1"/>
        <s v="TAS BRANDED KECIL SB 115"/>
        <s v="PENSIL 09308"/>
        <s v="OIL PASTEL USAGI 12W"/>
        <s v="ISI PENSIL DB IMP-096"/>
        <s v="PW 12W PANJANG BTS"/>
        <s v="PW KIKO 12/24W"/>
        <s v="ISI PENSIL 2.0 HB K-166"/>
        <s v="P WARNA 12W PANJANG 8881"/>
        <s v="PENSIL 2B KAYAGI 2025"/>
        <s v="BP 7054"/>
        <s v="BP D TIAN GP 529"/>
        <s v="BP D TIAN 1015"/>
        <s v="BP GEL DTIAN DT-222"/>
        <s v="BP GEL DTIAN DT-227"/>
        <s v="GEL D TIAN GP 619"/>
        <s v="PW 12W PANJANG KOALA"/>
        <s v="PENSIL 2B KY 3038"/>
        <s v="PENSIL 2B KAYAGI 3041"/>
        <s v="PENSIL DW-9022-12"/>
        <s v="PENSIL DW9019-12"/>
        <s v="PENSIL 8891-12"/>
        <s v="GEL + GK 99085"/>
        <s v="BP GEL 9165"/>
        <s v="BP GEL + GANTUNGAN 9173"/>
        <s v="BP GEL + GANTUNGAN 9169"/>
        <s v="BP GEL 9176"/>
        <s v="BP GEL A8028"/>
        <s v="BP GEL BP-A8005"/>
        <s v="BP GEL BP-8785"/>
        <s v="BP GEL BP-A8025"/>
        <s v="BP GEL A8001"/>
        <s v="BP SPRAY GP-218"/>
        <s v="PENSIL TM 090 A"/>
        <s v="BP DB 550"/>
        <s v="BP SIKA GP 001 HT"/>
        <s v="BP SIKA GP 002 HT"/>
        <s v="BP GEL TIZO 1.0 TG31580"/>
        <s v="GENERAL 220"/>
        <s v="GUNTING SH-2302 PLST MINI 1X52"/>
        <s v="JARUM PENTUL CASING"/>
        <s v="DISPENSER BTS"/>
        <s v="BINDER CLIP 155 OUQIOER"/>
        <s v="BINDER CLIP 111 OUQIER"/>
        <s v="JARUM B POLOS 1206"/>
        <s v="MAGNET 8203 ANGKA"/>
        <s v="MAGNET 8201 HURUF"/>
        <s v="ASAHAN GOZTAR GS 387"/>
        <s v="ASAHAN DY-349B"/>
        <s v="ASAHAN 395 B"/>
        <s v="ASAHAN CL-113/2H 1X48"/>
        <s v="ASAHAN XL 378"/>
        <s v="STIP RENCAI RC 6008"/>
        <s v="DISPENSER KEONG V-TECH 216"/>
        <s v="ISOLASI FANCY TBG (50)"/>
        <s v="PITA JEPANG MOTIF"/>
        <s v="PITA JEPANG POLOS B"/>
        <s v="PITA JEPANG GARIS EMAS (LISMAS)"/>
        <s v="STIP RENCAI RC 6016"/>
        <s v="ASAHAN AKROBAT"/>
        <s v="ASAHAN SC 6023"/>
        <s v="SOLASI MINI SET"/>
        <s v="STIP KAPSUL 966"/>
        <s v="CUTTER SDI 0406"/>
        <s v="ASAHAN DINOSAURUS 8188"/>
        <s v="ASAHAN TIKO 0531"/>
        <s v="PALET JOSS 009"/>
        <s v="PALET KEPITING DOP"/>
        <s v="ASAHAN 340 KUNING"/>
        <s v="ASAHAN XXY-1868"/>
        <s v="ASAHAN TY808"/>
        <s v="ASAHAN 8608"/>
        <s v="ASAHAN DMS 030"/>
        <s v="ASAHAN 722B"/>
        <s v="DISPENSER KENJOY 25"/>
        <s v="ISOLASI FANCY 612"/>
        <s v="ISOLASI FANCY POLOS TRANSPARAN"/>
        <s v="TAPE 1503-CD"/>
        <s v="ISOLASI 1503"/>
        <s v="KAWAT POTONG"/>
        <s v="CEPITAN KAYU"/>
        <s v="BALLPEN HITECH VANCO 0.28 B"/>
        <s v="PW VANCO 12W PJG ZOO"/>
        <s v="CAT ACRYLIC PACMAN"/>
        <s v="ISI GEL FANCY VTRO 2018"/>
        <s v="PENSIL KAYAGI 2B PF3093"/>
        <s v="STICKER JBE-SD"/>
        <s v="STICKER KL 68"/>
        <s v="STICKER KL-70"/>
        <s v="NOTEBOOK 7025-18"/>
        <s v="NOTEBOOK 7025-29"/>
        <s v="NOTEBOOK 7025-28"/>
        <s v="NOTEBOOK 7025-30"/>
        <s v="NOTEBOOK 7025-27"/>
        <s v="NOTEBOOK 7025-16"/>
        <s v="NOTEBOOK A5-511"/>
        <s v="NOTEBOOK A5-105"/>
        <s v="BN TALI AA 0321-18/A7-80/LUCU"/>
        <s v="BN TALI AA 0321-20/A7-80/SR"/>
        <s v="NOTEBOOK 7050-19"/>
        <s v="NOTEBOOK 7050-11"/>
        <s v="NOTEBOOK 7050-18"/>
        <s v="NOTEBOOK 7050-20"/>
        <s v="N BOOK A5 68-10"/>
        <s v="CLIP FILE YUSHINCA 318 HT"/>
        <s v="AGENDA 5674"/>
        <s v="AGENDA 25K MB 35-25"/>
        <s v="NB POCKET 25-10"/>
        <s v="AGENDA 7025-25K (BC 333)"/>
        <s v="NB POCKET 2507"/>
        <s v="AGENDA 48K HITAM 513"/>
        <s v="AGENDA 100K 5685"/>
        <s v="AGENDA 35-50"/>
        <s v="SAMPUL BUKU BOXY SIKA BATIK"/>
        <s v="SAMPUL SAMSON KWARTO BATIK"/>
        <s v="BK MEWARNAI / FANCY BJ45"/>
        <s v="BUKU MEWARNAI HT-018"/>
        <s v="BUKU MEWARNAI ZQ 990-2"/>
        <s v="BUKU MEWARNAI JUMBO SPS"/>
        <s v="BUKU MEEWARNAI HT 016"/>
        <s v="BK MEWARNAI SIKA JUMBO"/>
        <s v="BK MEWARNAI JUMBO KODE 8A4-1"/>
        <s v="B NOTE JHYB-0502"/>
        <s v="NOTEBOOK B0200 (A5)"/>
        <s v="NOTEBOOK B0196 (A5)"/>
        <s v="BN A5 GASTA HP 2006 T"/>
        <s v="BUKU MEWARNAI ANGKA SPS"/>
        <s v="LOOSE LEAF BIASA UNTANO BIODATA A5 MIX"/>
        <s v="BP TIZO TG 30630"/>
        <s v="BP DEBOZZ 0.28 DB-GP 800 HI-Q"/>
        <s v="BP DEBOZZ DB-530"/>
        <s v="BP TIZO TG 346 C"/>
        <s v="BP TIZO TG 346 B"/>
        <s v="BP TIZO TG 346 D"/>
        <s v="BP TIZO TG 395F"/>
        <s v="BP TIZO TG 3302 KLIK"/>
        <s v="BP XDATA X2"/>
        <s v="BP ZHIXIN 3568"/>
        <s v="PENSIL G 9008 A"/>
        <s v="PENSIL G 9001 A"/>
        <s v="MECHPEN G 9005"/>
        <s v="BP YOEKER 4W 2357"/>
        <s v="BP SIKA GP 340"/>
        <s v="BP 4W TOZCHA 8401"/>
        <s v="GARISAN 15CM 536-750 CARTOON NETWORK (48)"/>
        <s v="GARISAN 30CM LIPAT"/>
        <s v="KERTAS LIPAT ORIGAMI ALFA FLUORESCENT 12 X 12"/>
        <s v="KERTAS LIPAT ORIGAMI ALFA FLUORESCENT 20 X 20"/>
        <s v="TALI YOYO K BUTEK"/>
        <s v="BLOCK NOTE SPIRAL ENTER 501"/>
        <s v="MEMO PAD SPIRAL ALFA 403 BATIK"/>
        <s v="MEMO PAD SPIRAL ALFA 404 BATIK"/>
        <s v="N BOOK SPIRAL A6 114"/>
        <s v="NOTEBOOK 707-24"/>
        <s v="NOTEBOOK 707-45"/>
        <s v="NOTEBOOK A5-107"/>
        <s v="BN TALI AA 0321-16/ 17 A7-80"/>
        <s v="AGENDA 60K 2960"/>
        <s v="AGENDA 100K 72100"/>
        <s v="AGENDA 90K 5211"/>
        <s v="NOTEBOOK 18100-67"/>
        <s v="NOTEBOOK 28850-62"/>
        <s v="N BOOK A6 6801"/>
        <s v="N BOOK A5 32-X019"/>
        <s v="N BOOK 32 8166"/>
        <s v="CLIP BOARD TRANS FOLIO FANCY TR 2335"/>
        <s v="CLIP BOARD W/B HOLO 2 MK"/>
        <s v="BALON BL 10082"/>
        <s v="BALON LKM 2200"/>
        <s v="BALON METALIK LMP 2800"/>
        <s v="BK MEWARNAI SPS"/>
        <s v="BK MEWARNAI JQ 990-2"/>
        <s v="BK MEWARNAI HT 604 A"/>
        <s v="STUDY BOARD JQ-969"/>
        <s v="STUDY BOARD 878"/>
        <s v="KARTU UNDANGAN UTN PANJANG"/>
        <s v="TAS 1842-L (TANGGUNG)"/>
        <s v="TAS SM 3589 S-4 KECIL"/>
        <s v="N BOOK A5 32X 052"/>
        <s v="BK TAMU ECO LOVE"/>
        <s v="TAS SM 180L-1 BESAR GLITTER"/>
        <s v="TAS XM L-2097-1 GLITTER BESAR"/>
        <s v="TAS 1839-L (TANGGUNG)"/>
        <s v="TIPEX KERTAS NO.9458"/>
        <s v="TIPEX KERTAS NO.9446"/>
        <s v="TIPEX KERTAS NO.8522"/>
        <s v="PW KY CF 1224"/>
        <s v="PW KIKO 12/12W"/>
        <s v="PENSIL NB06"/>
        <s v="PENSIL NB04"/>
        <s v="BP DEBOZZ 0.28 DB-GP 800 BL BIRU"/>
        <s v="GARISAN 30CM MICROTOP 930"/>
        <s v="PENSIL 947"/>
        <s v="PENSIL 917"/>
        <s v="PENSIL 950"/>
        <s v="KUAS 21839-W"/>
        <s v="ACRYLIC MARKER TF-AM 301-12"/>
        <s v="GUNTING JUNIOR J 200"/>
        <s v="GUNTING STAINLESS SQ 08 B HITAM"/>
        <s v="GUNTING STAINLESS SQ 5006 C WARNA"/>
        <s v="GUNTING KAIBO"/>
        <s v="GARISAN SET ZX 6138"/>
        <s v="HURUF MAGNIT 349 A"/>
        <s v="HURUF MAGNIT 349 B"/>
        <s v="MAGNET 8101"/>
        <s v="MAGNET 8102"/>
        <s v="HURUF MAGNIT 8550 A"/>
        <s v="HURUF MAGNIT 8550 B"/>
        <s v="ALPHABET HURUF ABC 8714"/>
        <s v="ALPHABET HURUF ABC 8715"/>
        <s v="ASAHAN 8811"/>
        <s v="ASAHAN XXY 1868"/>
        <s v="PITA KADO LS50-1"/>
        <s v="PITA TH-30-1"/>
        <s v="PITA SJ-50"/>
        <s v="SULING TREND 900"/>
        <s v="ID CARD A1"/>
        <s v="ID CARD B1 IMPORT"/>
        <s v="DISPENSER DTD 888/ 889"/>
        <s v="PENSIL 933"/>
        <s v="STABILO DEBOZZ SB 007"/>
        <s v="P WARNA KAYAGI 24W CP-0724"/>
        <s v="GARISAN 20 CM SET SLO 0192"/>
        <s v="CRAYON PUTAR FANCY 1012/2012 PANJANG"/>
        <s v="PW 9999-12"/>
        <s v="PENSIL 8009-12"/>
        <s v="KARET GELANG BSR UTN"/>
        <s v="STAPLES 13/ 6 JOSS (ISI)"/>
        <s v="AGENDA PRO DELUXE PC-121 WK KECIL"/>
        <s v="PENSIL CHUNG HWA 6161 2B"/>
        <s v="AGENDA KCG 25K MB 35-25"/>
        <s v="BN KOALA A5"/>
        <s v="PENSIL CASE SH-10"/>
        <s v="PENSIL CASE SH-07"/>
        <s v="PENSIL CASE SH-06"/>
        <s v="ID CARD 2 SISI TRANSPARANT MERAH"/>
        <s v="ID CARD 2 SISI TRANSPARANT KUNING"/>
        <s v="ID CARD 2 SISI TRANSPARANT HIJAU"/>
        <s v="ID CARD 2 SISI TRANSPARANT PUTIH"/>
        <s v="ID CARD 2 SISI TRANSPARANT HITAM"/>
        <s v="ID CARD 2 SISI TRANSPARANT BIRU"/>
        <s v="KARET GELANG KECIL"/>
        <s v="LEM CAIR B.GLUE 75ML T"/>
        <s v="TAS S/B 223 M TIKAR"/>
        <s v="TAS TIDUR SB 120 BRANDED"/>
        <s v="TAS TIDUR BATIK SB/XXL 0121"/>
        <s v="SAMPUL ROLL MIKA 25CM"/>
        <s v="BUSINESS FILE SIKA AC-106 BIRU"/>
        <s v="BUSINESS FILE SIKA AC-106 KUNING"/>
        <s v="BUSINESS FILE SIKA AC-106 MERAH"/>
        <s v="BUSINESS FILE SIKA AC-106 HIJAU"/>
        <s v="MAP KANCING SIKA AC-05 KUNING"/>
        <s v="P WARNA KAYAGI 12W CP 1210"/>
        <s v="GARISAN 20CM RENTENG SPD"/>
        <s v="GARISAN 20CM RENTENG PRETTY WHITE"/>
        <s v="GARISAN 20CM RENTENG SUPERMAN"/>
        <s v="GARISAN 20CM RENTENG CAT MOUSE"/>
        <s v="GARISAN 20CM RENTENG FANCY MOUSE"/>
        <s v="COIN BANK S"/>
        <s v="COIN BANK M"/>
        <s v="COIN BANK L"/>
        <s v="COIN BANK XL"/>
        <s v="JARUM CASING KOTAK 1.5"/>
        <s v="PLASTIK PARCEL TRANSP POLOS"/>
        <s v="PALET CAT AIR SAKURA BIASA DOF"/>
        <s v="PC MAGNIT JUMBO 3575-19"/>
        <s v="PC MAGNIT 9363"/>
        <s v="PC MAGNIT MC 8088 TIMBUL"/>
        <s v="PC MAGNIT XU 0084"/>
        <s v="PC PB 22"/>
        <s v="PENSIL CASE 168-35"/>
        <s v="PC MAGNIT CC 7806 + CALL"/>
        <s v="PENCIL CASE MAGNIT AC 2829-5"/>
        <s v="PENSIL CASE 168-27"/>
        <s v="PENSIL CASE 168-26"/>
        <s v="PENSIL CASE 168-25"/>
        <s v="PENSIL CASE AC-2860-3"/>
        <s v="PENSIL CASE BH-278"/>
        <s v="CAT ACRYLIC ENTER A 912"/>
        <s v="CAT ACRYLIC A12 - 9 12W"/>
        <s v="BP GEL + GANTUNGAN 9166"/>
        <s v="BP GEL + GANTUNGAN 9170"/>
        <s v="BP GEL DTIAN DT-221"/>
        <s v="BP GEL DTIAN DT-225"/>
        <s v="BP V-TRO 235"/>
        <s v="GUNTING IDEAL K 100"/>
        <s v="GUNTING IDEAL K-300"/>
        <s v="GUNTING IDEAL K-500"/>
        <s v="GUNTING LIPAT HT KECIL"/>
        <s v="GUNTING LIPAT BESAR"/>
        <s v="GUNTING JUNIOR J-500"/>
        <s v="MECHPEN TIZO G 9007 A"/>
        <s v="MECHPEN TIZO G 9006 A"/>
        <s v="MECHPEN TIZO G 9008 A"/>
        <s v="MECHPEN TIZO G 9000 A"/>
        <s v="MECHPEN TIZO G 9005 A"/>
        <s v="MECHPEN TIZO G 9009 A"/>
        <s v="KUAS 929-1 ETERNA YIJIAYI"/>
        <s v="KUAS 929-2 ETERNA YIJIAYI"/>
        <s v="KUAS 929-4 ETERNA YIJIAYI"/>
        <s v="KUAS 929-6 ETERNA YIJIAYI"/>
        <s v="KUAS 929-7 ETERNA YIJIAYI"/>
        <s v="KUAS 929-8 ETERNA YIJIAYI"/>
        <s v="KUAS 929-10 ETERNA YIJIAYI"/>
        <s v="MAP TALI SIKA PUTIH"/>
        <s v="MAP TALI SIKA MERAH"/>
        <s v="MAP TALI SIKA KUNING"/>
        <s v="STIP W/B GUNINDO 803"/>
        <s v="GARISAN BT 15CM"/>
        <s v="TIPEX KERTAS DP-902"/>
        <s v="TIPEX KERTAS DP-912"/>
        <s v="CAT AIR OPINI 110"/>
        <s v="CAT AIR OPINI 120"/>
        <s v="ALAT GUNTACKER"/>
        <s v="ID CARD B2 IMPORT"/>
        <s v="TALI ID CARD PEONY KUNING"/>
        <s v="TALI ID CARD PEONY HITAM"/>
        <s v="LEM TEMBAK K PUTIH MS"/>
        <s v="MESIN LEM TEMBAK BOSCO 5538"/>
        <s v="MAP ZIPPER JALA A5 SIKA MR"/>
        <s v="MAP ZIPPER JALA A5 SIKA KN"/>
        <s v="MAP ZIPPER JALA A5 SIKA HJ"/>
        <s v="MAP ZIPPER JALA A5 SIKA HT"/>
        <s v="MAP ZIPPER JALA A5 SIKA BR"/>
        <s v="DOUBLE TAPE FOAM 24MM"/>
        <s v="PENSIL 2B KAYAGI 2029"/>
        <s v="PENSIL 2B KAYAGI 3057"/>
        <s v="PENSIL 2B TF 88 BTK"/>
        <s v="PENSIL TF 99 S"/>
        <s v="ASAHAN 9022"/>
        <s v="ASAHAN TG3695"/>
        <s v="MIKA ENTER 12 X 18"/>
        <s v="PENSIL 2B +STIP 2116"/>
        <s v="PENSIL CASE 168-22 KALENG"/>
        <s v="PENSIL CASE DZ-32 KALENG"/>
        <s v="PENCIL CASE XLG BD861"/>
        <s v="LEM BAKAR K 7X29 H 538 A POLOS"/>
        <s v="ISI GEL TIZO TG 308-AR"/>
        <s v="HIGHLIGHTER Q1313 STAR-STAMP ISI 5"/>
        <s v="GARISAN MAL 270 ANGKA + HURUF"/>
        <s v="GARISAN MAL 280 ANGKA + HURUF"/>
        <s v="GARISAN TW-8068"/>
        <s v="BENSIA LT 1311 KACA SISIR"/>
        <s v="PENSIL 951"/>
        <s v="PENSIL 7027"/>
        <s v="PENSIL 938"/>
        <s v="PENSIL 903"/>
        <s v="BALON DOF 12'' RI MERAH"/>
        <s v="BALON DOF 12&quot; RI PUTIH"/>
        <s v="N BOOK 005 STICKER"/>
        <s v="DIARY CK64-6031 HAHA (112LBR)"/>
        <s v="BP GP 1016 GOLD"/>
        <s v="BP GP 1016 SILVER"/>
        <s v="PC PLST KOTAK B 1F 1502"/>
        <s v="BALON BL 1006"/>
        <s v="BP TIZO TG 30802F S3 FANCY"/>
        <s v="BP TIZO TG 31475F FANCY"/>
        <s v="BP GEL TIZO TG 348F FANCY"/>
        <s v="BP GEL TIZO 30900F FANCY"/>
        <s v="REFIL GEL TIZO 1.0"/>
        <s v="MECHPEN G 9005 A"/>
        <s v="MECHPEN G 9008 A"/>
        <s v="MECHPEN G 9006 A"/>
        <s v="BALLPEN KENKO KR-6 NANOTIP"/>
        <s v="ISI GEL ELSON ES-227 TAYO"/>
        <s v="ISI GEL ELSON ES-220 BTS"/>
        <s v="ISI GEL ELSON ES-222 DORAEMON"/>
        <s v="ISI GEL ELSON ES-223"/>
        <s v="ISI GEL ELSON ES-228 SUPER HEROES"/>
        <s v="BP V-TRO 238"/>
        <s v="BP V-TRO 237"/>
        <s v="BP GEL ZHIXIN G 3139"/>
        <s v="BP GEL ZHIXIN G 3150"/>
        <s v="BP GEL ZHIXIN G 3162"/>
        <s v="BP GEL ZHIXIN G 5014"/>
        <s v="BP GEL ZHIXIN G 5017"/>
        <s v="BP GEL ZHIXIN G 3051"/>
        <s v="BP GEL ZHIXIN G 5013"/>
        <s v="BP GEL ZHIXIN G 3137"/>
        <s v="BP GEL ZHIXIN G 3109"/>
        <s v="GARISAN SET 20CM 0122"/>
        <s v="GARISAN SET LM 0190 HERO"/>
        <s v="GARISAN SET ZX 6110/ 20CM PPK"/>
        <s v="GARISAN SET FS 9810 UNICORN"/>
        <s v="GARISAN SET 019"/>
        <s v="GARISAN SET ZX-022 20 CM"/>
        <s v="GARISAN SET ZX-018 20 CM"/>
        <s v="GARISAN SET ZX-021 20 CM"/>
        <s v="BALLPEN ZHIXIN CLICK K 15"/>
        <s v="PENSIL TUKANG GREATWALL"/>
        <s v="ISOLASI FANCY"/>
        <s v="ASAHAN TOPLES PAYU MIX"/>
        <s v="PC MAGNIT B 120 S 8065"/>
        <s v="PC MAGNIT 35145 (BIASA)"/>
        <s v="PC MAGNIT B 0011"/>
        <s v="PC MAGNIT C 9962 BLK SET"/>
        <s v="PENSIL CASE KD-50J"/>
        <s v="STICK NOTE TF 654 5C"/>
        <s v="ID CARD T 017"/>
        <s v="BENSIA 9935 PLUIT (42)"/>
        <s v="BENSIA 05LM2 (6021)"/>
        <s v="TIPEX KOALA 001"/>
        <s v="BP GEL KOALA GP-168-A MERAH"/>
        <s v="BP GEL KOALA GP-168-B BR"/>
        <s v="BP GEL KOALA GP-168-C HJ"/>
        <s v="BP GEL KOALA GP-168-D VL"/>
        <s v="BP GEL KOALA GP-168-E OR"/>
        <s v="BP GEL KOALA GP-168-F BR TUA"/>
        <s v="BP GEL KOALA GP-168-G PK"/>
        <s v="BP GEL KOALA GP-168-H HJ MUDA"/>
        <s v="BP GEL KOALA GP-168-I COKLAT"/>
        <s v="BP GEL KOALA GP-168-J KNG"/>
        <s v="PENSIL CASE AD-062"/>
        <s v="STAMP PAD HERO BESAR"/>
        <s v="LOOSE LEAF HOLO BEE SMART A5 MIX"/>
        <s v="ASAHAN PAYU 825 KUDA"/>
        <s v="ASAHAN PAYU 830 KUPU-KUPU"/>
        <s v="NAME TAG DOS BIRU"/>
        <s v="LOOSE LEAF A5-50LBR DOTED TITIK"/>
        <s v="KARET PENTIL B"/>
        <s v="TAS BATIK KC MICROTOP PB S0218 A"/>
        <s v="TAS BATIK TG MICROTOP PB S0218 Q"/>
        <s v="ISI PENSIL MEKANIK 801 2,0"/>
        <s v="PC RET KY 1196"/>
        <s v="PC RET KY 6173"/>
        <s v="KAWAT 504 MIX"/>
        <s v="BALLPEN 12W"/>
        <s v="BALLPEN DTIAN BIASA 812"/>
        <s v="STICK NOTE TF-010"/>
        <s v="ID CARD B3 IMPORT"/>
        <s v="TALI ID CARD 1.5 MERAH"/>
        <s v="NOTEBOOK 70100-2"/>
        <s v="NOTEBOOK 70100-11"/>
        <s v="KAWAT POTONG MIX"/>
        <s v="NOTEBOOK A5-508"/>
        <s v="NOTEBOOK A5-104"/>
        <s v="NOTEBOOK A5-521"/>
        <s v="ISOLASI WARNA POLOS KECIL (BO 5076)"/>
        <s v="MEJA BELAJAR FANCY"/>
        <s v="ID CARD BEKNN PUTIH"/>
        <s v="ID CARD 501 PUTIH"/>
        <s v="ID CARD 501 BIRU"/>
        <s v="BENDERA PLST RENTENG TRISULA TALI"/>
        <s v="BP DEBOZZ DB G 05"/>
        <s v="EXPANDING FILE MICROTOP MT-625 FOLIO"/>
        <s v="CEPITAN SAJA"/>
        <s v="TAS KARUNG 60X70"/>
        <s v="SULING YAMAHA"/>
        <s v="MAGNET 504"/>
        <s v="BP KLIK DEBOZZ FANCY DB-GF 10"/>
        <s v="GUNTACKER R-23"/>
        <s v="MINI DIARY 120"/>
        <s v="ACRYLIC NT 7X20"/>
        <s v="CLIP KAYU 8 GAMBAR MIX"/>
        <s v="KAWAT POTONG TIPIS 7 MACAM"/>
        <s v="BULLDOG CLIP T-4"/>
        <s v="BULLDOG CLIP B-6"/>
        <s v="TAS BATIK MICROTOP 0218 TANGGUNG"/>
        <s v="TAS BATIK MICROTOP 0218 BESAR"/>
        <s v="TINTA ROLL 20MM"/>
        <s v="REFILL GEL TECHJOB 1.0"/>
        <s v="BP GEL TIZO TG31220"/>
        <s v="ISOLASI FANCY 15 X 2"/>
        <s v="STICK NOTE TF 0246"/>
        <s v="LOOSE LEAF HOLO ALFA A5 HELLO KITTY"/>
        <s v="ZIPPER FILE CLEAR HOLDER TOPLA 555 20 FILE"/>
        <s v="ZIPPER FILE CLEAR HOLDER TOPLA 555 40 FILE"/>
        <s v="ZIPPER FILE CLEAR HOLDER TOPLA 555 60 FILE"/>
        <s v="OIL COLOR V-TRO 12W 6ML"/>
        <s v="BP GEL 9177"/>
        <s v="BP MAINAN 99096"/>
        <s v="ACRYLIC 8 X 20"/>
        <s v="PENSIL CASE C-9960"/>
        <s v="DESK SET BULAT 802 HT"/>
        <s v="DESK SET KOTAK 804 HT"/>
        <s v="CAT ACRYLIC COLOUR TF AC-004N NEON"/>
        <s v="CAT ACRYLIC COLOUR PAINT V-TRO"/>
        <s v="TAK SUSUN 3 SSN BESI"/>
        <s v="KUAS K5NIL"/>
        <s v="BK MEWARNAI IF BJ45"/>
        <s v="BK MEWARNAI IF BJA"/>
        <s v="BK MEWARNAI SIKA"/>
        <s v="BK MEWARNAI JUMBO SJ"/>
        <s v="BK MEWARNAI 016"/>
        <s v="ISI L LEAF A5 LLP 15 A-006 MIX"/>
        <s v="ISI L LEAF A5 PAPER STAR"/>
        <s v="MAP V-TECH W209 A3"/>
        <s v="STAMP 1000"/>
        <s v="STEMPEL 2000"/>
        <s v="STAMP PAD SK 1602 FANCY"/>
        <s v="STEMPEL SK1617"/>
        <s v="STEMPEL SK 849K"/>
        <s v="STAMPAD FANCY 25090"/>
        <s v="MAGNET X3510"/>
        <s v="MAGNET 3010J SMILE WARNA"/>
        <s v="MAGNET X-3008"/>
        <s v="MAGNIT 2012"/>
        <s v="MAGNET 2010T"/>
        <s v="MAGNET ZRM 0840"/>
        <s v="MAGNET X3006"/>
        <s v="MAGNET 3012"/>
        <s v="MAGNET X3010 SMILE KUNING"/>
        <s v="MAGNET G-05"/>
        <s v="MAGNET 2008"/>
        <s v="MAHKOTA EMAS"/>
        <s v="MAHKOTA PERAK"/>
        <s v="SLIDE BINDER 7MM K PUTIH"/>
        <s v="MATERAI 25861"/>
        <s v="PENSIL TM 00521"/>
        <s v="BRUSH PEN SH-764"/>
        <s v="GARISAN BESI 15CM (ALUMINIUM)"/>
        <s v="GARISAN ABC 350"/>
        <s v="GARISAN ABC 300"/>
        <s v="GARISAN ABC 270"/>
        <s v="GARISAN ABC 280"/>
        <s v="HITEC CS-651"/>
        <s v="TIPEX PEN 001 C7061"/>
        <s v="PENSIL 2B KYPF 2029"/>
        <s v="PENSIL 2B KYPF 3057"/>
        <s v="GUNTING LIPAT TANGGUNG"/>
        <s v="SPIDOL WARNA BRUSH PEN MK 833-12"/>
        <s v="MECHPEN G 9009 A"/>
        <s v="MECHPEN G 9007 A"/>
        <s v="BP DEBOZZ DB G 07"/>
        <s v="BP GEL CS-G208"/>
        <s v="BP GEL (706) GP-189"/>
        <s v="GEL KOALA GP 708"/>
        <s v="STABILLO TOPI"/>
        <s v="GARISAN ROTARY"/>
        <s v="GARISAN 30CM ALUMINIUM GLITTER"/>
        <s v="GARISAN 9443"/>
        <s v="GARISAN 1896"/>
        <s v="GARISAN TF-1191"/>
        <s v="GARISAN 4311"/>
        <s v="GARISAN KT-005"/>
        <s v="GARISAN KT-006"/>
        <s v="GARISAN 8418"/>
        <s v="GARISAN 2540"/>
        <s v="GARISAN 4317"/>
        <s v="GARISAN 1890"/>
        <s v="GARISAN 050 (SABLON)"/>
        <s v="GARISAN 24CM LIPAT ALUMINIUM SO-7233"/>
        <s v="BP GEL WM-7200 CETEK2"/>
        <s v="STANDARD BUKU FANCY MIX"/>
        <s v="GARISAN 20CM JK RL P20"/>
        <s v="MAGNET 006"/>
        <s v="MAGNET 002"/>
        <s v="STIP W/B ENTER 823 K"/>
        <s v="ISI GEL 1.0 HITAM"/>
        <s v="ASAHAN 722A"/>
        <s v="BALLPEN TF-729 4W"/>
        <s v="SELONGSONG PENTEL ENTER"/>
        <s v="BUSINESS FILE SIKA AC-106 PUTIH"/>
        <s v="TALI JEPITAN BIRU"/>
        <s v="KUAS 251-1 PAGODA"/>
        <s v="KUAS 251-2 PAGODA"/>
        <s v="KUAS 251-4 PAGODA"/>
        <s v="MAP HUTANG PIUTANG"/>
        <s v="CLEAR HOLDER RET TOPLA 40LB"/>
        <s v="CLEAR HOLDER RET TOPLA 20LB"/>
        <s v="PENSIL CASE A-6500"/>
        <s v="PITA KADO LS-30"/>
        <s v="PITA THT-30-1"/>
        <s v="PITA KADO 30MM BIASA"/>
        <s v="PITA KADO 23MM GARIS EMAS"/>
        <s v="PITA CH-30-1"/>
        <s v="PITA KADO 23MM BIASA"/>
        <s v="PITA CH-30"/>
        <s v="PITA JC-30"/>
        <s v="PULL RIBBON LS-23"/>
        <s v="PITA KADO 18MM RENDA"/>
        <s v="PULL RIBBON HC-30"/>
        <s v="PITA KADO 30MM GARIS EMAS"/>
        <s v="PITA KADO THT-30"/>
        <s v="PITA KADO LS 30-1"/>
        <s v="AGENDA 25 K MB 35 25"/>
        <s v="TAS TALI SB-223 KC TIKAR"/>
        <s v="TAS SB 120 BRANDED COWK"/>
        <s v="PC MAGNIT DKK 9907"/>
        <s v="GUNTING 8 (B 021)"/>
        <s v="KARET GELANG BESAR"/>
        <s v="LEM BAKAR KECIL"/>
        <s v="SIMPOA 17 BARIS JAYA"/>
        <s v="SEMPOA JAYA 13 BARIS"/>
        <s v="MEJA BELAJAR POLOS JUMBO (DOS MERAH)"/>
        <s v="PW 12W PANJANG DEMO CLASSIC"/>
        <s v="EXPANDING FILE V-TECH 4511 B5"/>
        <s v="MAP KC 335 ENTER"/>
        <s v="MAP ZIPPER KANCING 2 SIKA MERAH"/>
        <s v="MAP ZIPPER KANCING 2 SIKA BIRU"/>
        <s v="MAP ZIPPER KANCING 2 SIKA HIJAU"/>
        <s v="BP PELNA 05 HT"/>
        <s v="PENSIL COLLEN 2B"/>
        <s v="PENSIL 2B COWRY FANCY"/>
        <s v="PENSIL CASE 168-20"/>
        <s v="P CASE MAGNET D 20065"/>
        <s v="PENSIL CASE 5850"/>
        <s v="PENCIL CASE 5815"/>
        <s v="P CASE MAGNET 16822"/>
        <s v="PENSIL CASE PC-613-7 KALENG"/>
        <s v="BP ZHIXIN ZH 102"/>
        <s v="STICK NOTE TF 654-8C-M"/>
        <s v="ISI PENSIL VTRO"/>
        <s v="PITA KADO 18 BIASA"/>
        <s v="BENSIA 909"/>
        <s v="BENSIA 903"/>
        <s v="CLIP BOARD TRIFELO"/>
        <s v="W COLOUR 21839"/>
        <s v="WATER COLOR TF 1331 PP"/>
        <s v="STICKER JN-H"/>
        <s v="STICKER YLD"/>
        <s v="DISPENSER PLAKBAND BESI A 806 MOSHI-MOSHI"/>
        <s v="DISPENSER PLAKBAND PLASTIK A 805 MOSHI-MOSHI"/>
        <s v="ELEVATED TRAY MICROTOP 602 BESI"/>
        <s v="ELEVATED TRAY MICROTOP 603"/>
        <s v="ELEVATED TRAY MICROTOP 604"/>
        <s v="MIKA ROLL K"/>
        <s v="NAME PLATE 10,5X16"/>
        <s v="PITA KADO 50 RENDA"/>
        <s v="STAPLER V TECH STANDY 10"/>
        <s v="GUNTING JUNIOR J 400"/>
        <s v="GUNTING 6 (B 023)"/>
        <s v="STAPLER (GUN TACKER) 1008F JOSS"/>
        <s v="PEN HOLDER HITAM KOTAK"/>
        <s v="PEN HOLDER HITAM BULAT"/>
        <s v="KACA PEMBESAR 50"/>
        <s v="KACA PEMBESAR 75"/>
        <s v="KACA PEMBESAR 100"/>
        <s v="GARISAN SET ACRYLIC 30CM GR-180456"/>
        <s v="GARISAN SET ACRYLIC 20CM GR-180455"/>
        <s v="LETTER TRAY BESI 3 SUSUN (2003)"/>
        <s v="LETTER TRAY SUSUN 4 (2004) BESI"/>
        <s v="DISPENSER CAMAT"/>
        <s v="BULDOG CLIP 3 V-TECH (24) 0024"/>
        <s v="BULDOG CLIP 4 V-TECH (18) 0023"/>
        <s v="CLIP BULLDOG 6"/>
        <s v="PENSIL CASE A-1301"/>
        <s v="PENSIL CASE BX-3971"/>
        <s v="PC MAGNIT JUMBO KALKULATOR PB33"/>
        <s v="PC MAGNIT B 3513-24"/>
        <s v="LOOSE LEAF BIASA HELLO KITTY A5 (100GSM)"/>
        <s v="LOOSE LEAF BIASA FROZEN A5 (100GSM)"/>
        <s v="KUAS A-1"/>
        <s v="KUAS A-2"/>
        <s v="KUAS A-3"/>
        <s v="KUAS A-4"/>
        <s v="KUAS A-5"/>
        <s v="KUAS A-6"/>
        <s v="KUAS A-7"/>
        <s v="KUAS A-8"/>
        <s v="KUAS A-9"/>
        <s v="KUAS A-10"/>
        <s v="KUAS A-11"/>
        <s v="KUAS A-12"/>
        <s v="CLIPBOARD ACRYLIC TF-013"/>
        <s v="KUAS SET B-6636"/>
        <s v="KUAS 21839-7"/>
        <s v="KUAS 251-6HB"/>
        <s v="KUAS YM-006"/>
        <s v="KUAS SHINING SET A5-1"/>
        <s v="NOTEBOOK B1012 (A5ï¼‰"/>
        <s v="BINDER NOTE GASTA HP 2008 A5"/>
        <s v="BN B5 GASTA HP 2607 F"/>
        <s v="B NOTE A5 MINION MIX"/>
        <s v="B NOTE B5 GASTA L1909"/>
        <s v="BALON BL 1007"/>
        <s v="BALON LKP 3200"/>
        <s v="BALON LKF 3200 M1"/>
        <s v="N BOOK SPIRAL Q32K S002"/>
        <s v="NOTEBOOK 25100-62"/>
        <s v="NOTEBOOK 28825-63"/>
        <s v="NOTEBOOK 25100-64"/>
        <s v="NOTEBOOK 25100-56"/>
        <s v="NB SPIRAL A6 SQY 190402"/>
        <s v="NB SPIRAL A6-801 LUCKY NOTE"/>
        <s v="NOTEBOOK 18100-52"/>
        <s v="PEMBATAS A5 UTN"/>
        <s v="PEMBATAS B5 UTN"/>
        <s v="AGENDA DIARY 0"/>
        <s v="GARISAN DB P 072 30CM"/>
        <s v="GARISAN ELASTIS 15CM GR-2301 (WALITO)"/>
        <s v="GARISAN ELASTIS 30CM GR-2303 (WALITO)"/>
        <s v="GARISAN UMPTN (50)"/>
        <s v="CAT ACRYLIC 12W VTRO"/>
        <s v="NB MINI POCKET MB 120 WARNA KULIT"/>
        <s v="N BOOK A 0321 17 K MIX"/>
        <s v="N BOOK 1003575"/>
        <s v="LILIN TY 018 MAGIC"/>
        <s v="TAS KADO 804 SILVER KECIL"/>
        <s v="TAS KADO 804 GUCI KECIL"/>
        <s v="TAS KADO BSR SM L 2097 GLITER"/>
        <s v="TAS SM 1802 M-17 TG GILAP"/>
        <s v="TAS KADO BATIK PANJANG"/>
        <s v="TAS COKLAT POLOS KECIL"/>
        <s v="TAS COKLAT POLOS BESAR"/>
        <s v="TAS 30X23"/>
        <s v="TAS KARUNG B614-001"/>
        <s v="TAS KARUNG SPOON MOTIF MUKENA"/>
        <s v="KUAS 21839-6Q"/>
        <s v="STICKY XTQï¼ˆ333ï¼‰"/>
        <s v="CLEAR HOLDER CH 020 UTN"/>
        <s v="CLEAR HOLDER UTN CH 040"/>
        <s v="DOKUMEN HD62"/>
        <s v="BALON BL 10025"/>
        <s v="TALI JEPITAN 5WR"/>
        <s v="ISOLASI FANCY CP R"/>
        <s v="TUSUK SURAT XINGLI XL-001"/>
        <s v="JARUM PENTUL CASING 1 1/4"/>
        <s v="PALET KUMBANG 1101"/>
        <s v="MAGNET 009"/>
        <s v="PALET KEPITING DOP PKD 202"/>
        <s v="TAS COKLAT TEBAL TANGGUNG"/>
        <s v="TAS MJ-1 KCL HIJAU"/>
        <s v="P CASE REST SH 05"/>
        <s v="TIPEX KERTAS NO.9461"/>
        <s v="TIPEX KERTAS NO.9459"/>
        <s v="TIPEX KERTAS NO.9442"/>
        <s v="TIPEX KERTAS NO.9473"/>
        <s v="BP KENKO KR 6 NANOTIP"/>
        <s v="GUNTING HY011"/>
        <s v="PENSIL HB FANCY"/>
        <s v="ISI GELL RETRACT DB GR-900"/>
        <s v="BP 7026"/>
        <s v="BP B155 (0366)"/>
        <s v="BP 9892"/>
        <s v="GEL 1088"/>
        <s v="BP 7064"/>
        <s v="BP GELL 585"/>
        <s v="GEL 9101"/>
        <s v="GEL SM 910"/>
        <s v="JANGKA BESI 4001 BOFA"/>
        <s v="JANGKA TOZCHA TZ 8186"/>
        <s v="PENSIL TF 288"/>
        <s v="PENSIL HOROSCOPE"/>
        <s v="PENSIL TUKANG GEPENG"/>
        <s v="GARISAN 30CM ALUMINIUM 1530"/>
        <s v="PENSIL 2B GLX"/>
        <s v="KOMPAS VTECH 45-3"/>
        <s v="STICKER JN-S"/>
        <s v="MAP FILE EN 0103F"/>
        <s v="CLIP BOARD 2 MUKA WB"/>
        <s v="EXPANDING FILE TZ 2012"/>
        <s v="MAP SMILE JNT 8077 NO B6 5014 F"/>
        <s v="STICK NOTE TF 654-8C"/>
        <s v="MAP FILE RET 1802-3 B5"/>
        <s v="MAP FILE RET 1802-2 A5"/>
        <s v="MAP FILE RET 1802-1 A6"/>
        <s v="MAP ZIPPER REST A6 16C"/>
        <s v="MAP ZIPPER REST A5 16C"/>
        <s v="MAP ZIPPER REST B5 234561-2"/>
        <s v="MAP ZIPPER REST A4 16C"/>
        <s v="MAP ZIPPER REST B4 NCL"/>
        <s v="MAP DATA MICROTOP BS-56 A4"/>
        <s v="MAP FILE RET 1804-1 A6"/>
        <s v="MAP FILE RET 1804-2 A5"/>
        <s v="MAP FILE RET 1804-3 B5"/>
        <s v="MAP REST VZ/ A6"/>
        <s v="MAP REST VZ/ B5"/>
        <s v="MAP REST BX55"/>
        <s v="BOOK END SB-8899"/>
        <s v="STANDART BUKU FANCY"/>
        <s v="ISI L LEAF A5 BIODATA UTN"/>
        <s v="B NOTE A5 RABBIT"/>
        <s v="B NOTE B5 RABBIT"/>
        <s v="BALON LJ 1836 JUMBO"/>
        <s v="BALON LMP 2800"/>
        <s v="BALON METALIK HB LMS 2800 HB"/>
        <s v="BALON HB LKF 4W LKF 3200 HB4"/>
        <s v="MAP ZIPPER A5 MOSHI"/>
        <s v="MAP ZIPPER POCKET GAMDORI A5"/>
        <s v="MAP ZIPPER POCKET GAMDORI B5"/>
        <s v="BANNER BALLET B312 BS"/>
        <s v="BANNER B 311"/>
        <s v="ASAHAN YM 052"/>
        <s v="ASAHAN TT 910 (48)"/>
        <s v="PENSIL CASE SH-8705"/>
        <s v="PC RET BD 861"/>
        <s v="SERBUK EMAS"/>
        <s v="GLITTER 786-12"/>
        <s v="STIP TRIFELLO TF-377 (24)"/>
        <s v="PAYET"/>
        <s v="PC PLST KOTAK B 1F 1504"/>
        <s v="P CASE B 132"/>
        <s v="P CASE B 133"/>
        <s v="ASAHAN EX 09 ESELON"/>
        <s v="PENSIL X 001"/>
        <s v="PENSIL KY*3041"/>
        <s v="BP GEL 223"/>
        <s v="BP GEL 224"/>
        <s v="BP GANTUNGAN KUNCY 280"/>
        <s v="LOOSE LEAF BIASA A5 HELLO KITTY + PUZZLE DINO"/>
        <s v="ISI L LEAF HOLO ZODIAC"/>
        <s v="ISI L LEAF LLP HOLO FANCY"/>
        <s v="PENCIL CASE RET KY 1203"/>
        <s v="P CASE REST B-123"/>
        <s v="GARISAN BESI 1M TP"/>
        <s v="BP EXELENT 2079"/>
        <s v="MAGIC BOARD 106"/>
        <s v="GARISAN 308"/>
        <s v="GARISAN 30CM DF 3109"/>
        <s v="GLITTER RENTENG 8891"/>
        <s v="GUNTING KUKU 777 H 211 B"/>
        <s v="ID CARD KULIT BIRU"/>
        <s v="ISI BENSIA LT 11-3"/>
        <s v="K LIPAT FLUORESCENT 14X14"/>
        <s v="N BOOK WEEK 005 + STICKER"/>
        <s v="SIMPOA 8012"/>
        <s v="STABILLO VANCO 2W HL 219 ZENDI"/>
        <s v="STABILLO 220"/>
        <s v="STICK NOTE WLT 8923"/>
        <s v="STICKER DINDING 5210"/>
        <s v="PENCIL CASE SET RS 3000 FANCY"/>
        <s v="TAS KERTAS 8853A"/>
        <s v="TAS BATIK TG SBS MICROTOP"/>
        <s v="TIPEX KERTAS NO.8557"/>
        <s v="TIPEX KERTAS 91040HG"/>
        <s v="TIPEX KERTAS NO.9480"/>
        <s v="KARET KECI"/>
        <s v="L LEAF A5-50 KOTAK BESAR"/>
        <s v="L LEAF A5-50 KOTAK KECIL"/>
        <s v="MAP KANCING 2 MICROTOP A6 PARIS"/>
        <s v="MAP A-54 MICROTOP"/>
        <s v="NOTEBOOK 7050-2"/>
        <s v="ISI PENSIL DEBOZZ DB 096"/>
        <s v="PENSIL TUKANG GEPENG MERAH"/>
        <s v="P CASE SET 3348"/>
        <s v="SIPOA KAKI B 808 MOSHI MOSHI"/>
        <s v="ISI GEL ELSON ES-230 DINO"/>
        <s v="PC MAGNIT 7806"/>
        <s v="TINTA 20MM (1 LINE)"/>
        <s v="TINTA 18MM"/>
        <s v="N BOOK 25K MB 35-25"/>
        <s v="PENCIL CASE XLG BD814"/>
        <s v="PENSIL CASE A-777 + CAL"/>
        <s v="PC XM 7222 HK"/>
        <s v="P CASE SH 06"/>
        <s v="P CASE GA 26"/>
        <s v="PC GP 9315"/>
        <s v="P CASE GA 25"/>
        <s v="P CASE GA 28"/>
        <s v="PC MAGNIT CALL MC 7121 BLK"/>
        <s v="PC MAGNIT 9340"/>
        <s v="P CASE KK 22 COWOK"/>
        <s v="P CASE KK 22 CEWEK"/>
        <s v="PC K 93"/>
        <s v="PC RET IMITASI 385"/>
        <s v="P CASE H 466"/>
        <s v="P CASE K 98"/>
        <s v="PC TOPLA 2879 B"/>
        <s v="PC KLG SET KT 6601 (BLK)"/>
        <s v="PENSIL CASE 168-69-3"/>
        <s v="P CASE KLG LPY 99-2"/>
        <s v="P CASE BOX MAGNIT MY 004"/>
        <s v="PENSIL CASE WLT9903"/>
        <s v="P CASE KLG 3348"/>
        <s v="PENSIL CASE S-300"/>
        <s v="P CASE REST GS 3219"/>
        <s v="PENSIL CASE DZ-0061-3"/>
        <s v="P CASE REST B 109"/>
        <s v="PC KODE 1 SUSUN KALKULATOR 8003"/>
        <s v="PC KODE 1 SUSUN BIASA 8003"/>
        <s v="KUAS B-11"/>
        <s v="CLIPBOARD ACRYLIC TF MIX"/>
        <s v="TAS KADO SM 2902 KECIL BIASA"/>
        <s v="TAS KADO GGS SM 105 GLITTER KECIL"/>
        <s v="TAS KADO SM 1925L-4 GLITTER KECIL"/>
        <s v="TAS KADO GGS 1833-5 GLITTER KECIL"/>
        <s v="TAS GM-M 106 GLITTER TANGGUNG"/>
        <s v="TAS 1833 M GLITTER TG"/>
        <s v="TAS 1803 M TG GILAP"/>
        <s v="TAS TALI GLITTER TG 105"/>
        <s v="TAS SM 105 BESAR"/>
        <s v="KUAS 251-6 PAGODA"/>
        <s v="KUAS 251-8 PAGODA"/>
        <s v="KUAS 251-10 PAGODA"/>
        <s v="KUAS 251-11 PAGODA"/>
        <s v="KUAS 251-12 PAGODA"/>
        <s v="CAT AIR MARRIES 1325 12W GM &amp; BT"/>
        <s v="GARISAN ENTER 675 30 CM"/>
        <s v="BP TG 346 B"/>
        <s v="STABILLO DB ST 007"/>
        <s v="BENSIA 923"/>
        <s v="MECHPEB CO 0938"/>
        <s v="PALET PLT 006 JOSS"/>
        <s v="TALI JEPITAN MERAH"/>
        <s v="TALI JEPITAN HIJAU"/>
        <s v="TALI JEPITAN KUNING"/>
        <s v="TALI JEPITAN HITAM"/>
        <s v="TALI JEPITAN ORANGE"/>
        <s v="MIKA 10.5 X 16"/>
        <s v="ID CARD A2"/>
        <s v="ID CARD A3"/>
        <s v="BK/ NB A 343K(1)"/>
        <s v="BK/ NB A 326K(4)"/>
        <s v="BK/ NB A 342K"/>
        <s v="BK/ NB A 331B"/>
        <s v="BNS XB 72K 1352"/>
        <s v="BNS XB 72K 1273"/>
        <s v="N BOOK SPIRAL XB 72K 1397"/>
        <s v="BTS 60-404/A5-45 DEPAN"/>
        <s v="BK/ NB SPIRAL A6-120 TAB"/>
        <s v="KERTAS LIPAT ORIGAMI C 037"/>
        <s v="KARET GELANG BESAR UTN"/>
        <s v="KARET GELANG ECIL 1 ONS"/>
        <s v="KERTAS LIPAT ORIGAMI HL 305"/>
        <s v="AGENDA 25K MB 35-2S"/>
        <s v="NAME CARD 2 PC FANCY (BARBIE/P. HANA) PP-A282"/>
        <s v="BUKU TAMU ENTER BUNGA"/>
        <s v="TAS KADO TALI KECIL"/>
        <s v="TAS KADO TALI TANGGUNG"/>
        <s v="TAS KADO TALI BESAR"/>
        <s v="TAS TALI GG-01 KECIL GLITTER"/>
        <s v="GARISAN BUSUR 180/ 10CM NEW"/>
        <s v="M PENSIL TIZO G 9007 A"/>
        <s v="BN A5 FANCY 0913 (MINION)"/>
        <s v="PENSIL DM 7812"/>
        <s v="GUNTING SISTER MFM"/>
        <s v="GUNTING SISTER MFL"/>
        <s v="ISI PENSIL VTRO 20 2B"/>
        <s v="PW TF 194 24W"/>
        <s v="GARISAN SET 20CM SLO 0192"/>
        <s v="PENSIL 8894-12"/>
        <s v="JANGKA JF 8021"/>
        <s v="CRAYON 1012 12W PUTAR PANJANG"/>
        <m/>
      </sharedItems>
    </cacheField>
    <cacheField name="MERK" numFmtId="0">
      <sharedItems containsBlank="1">
        <s v="DB"/>
        <s v="NB"/>
        <e v="#N/A"/>
        <s v="IM"/>
        <s v="TF"/>
        <s v="WM"/>
        <s v="VO"/>
        <s v="KE"/>
        <s v="EN"/>
        <s v="KJ"/>
        <s v="MC"/>
        <s v="TX"/>
        <m/>
        <s v="LG"/>
        <s v="WN"/>
        <s v="HT"/>
        <s v="VN"/>
        <s v="YK"/>
        <s v="BT"/>
        <s v="KY"/>
        <s v="TR"/>
        <s v="ID"/>
        <s v="GN"/>
        <s v="DV"/>
        <s v="ZX"/>
        <s v="ZZ"/>
        <s v="CS"/>
        <s v="PN"/>
        <s v="TC"/>
        <s v="PY"/>
        <s v="XL"/>
        <s v="KN"/>
      </sharedItems>
    </cacheField>
    <cacheField name="SERI">
      <sharedItems containsBlank="1" containsMixedTypes="1" containsNumber="1" containsInteger="1">
        <m/>
        <s v="1299"/>
        <e v="#N/A"/>
        <s v="JQ-1909"/>
        <s v="TF-1050"/>
        <s v="GR-088"/>
        <s v="GR 089"/>
        <s v="SQ"/>
        <s v="8631"/>
        <s v="BH-20232"/>
        <s v="13/8"/>
        <s v="9443"/>
        <s v="3328"/>
        <n v="888.0"/>
        <n v="168.0"/>
        <s v="008"/>
        <s v="50"/>
        <s v="DT 923"/>
        <s v="6605"/>
        <s v="DT-837"/>
        <s v="WIN'S SENTOSA"/>
        <s v="A.618"/>
        <s v="A.648"/>
        <s v="K7NIL"/>
        <s v="1020"/>
        <s v="18100-62"/>
        <s v="28850-65"/>
        <s v="50100-71"/>
        <s v="28850-61"/>
        <s v="TF-2620"/>
        <s v="TF-3115"/>
        <s v="G-3114"/>
        <s v="TF-1022"/>
        <s v="TF-1190"/>
        <s v="GP-168"/>
        <s v="188 B"/>
        <s v="148 B"/>
        <s v="149 B"/>
        <s v="229"/>
        <s v="203C"/>
        <s v="FG-201"/>
        <s v="FG-101"/>
        <s v="FG-401"/>
        <n v="572.0"/>
        <s v="154"/>
        <s v="002"/>
        <s v="B1010"/>
        <s v="1012"/>
        <s v="1018"/>
        <s v="1019"/>
        <s v="B0217"/>
        <s v="TF-2037"/>
        <s v="217"/>
        <s v="239"/>
        <s v="HT-1020"/>
        <s v="216"/>
        <s v="222"/>
        <n v="1602.0"/>
        <s v="802K"/>
        <s v="803"/>
        <s v="403"/>
        <s v="404"/>
        <s v="405"/>
        <n v="5030.0"/>
        <n v="10.0"/>
        <n v="12.0"/>
        <s v="7006"/>
        <s v="BJ-20136"/>
        <n v="3122.0"/>
        <s v="3123"/>
        <s v="3121"/>
        <s v="3125"/>
        <s v="1988-180"/>
        <s v="BC-6018"/>
        <s v="ZH-251"/>
        <s v="ZH-248"/>
        <n v="430.0"/>
        <s v="SS"/>
        <s v="LL"/>
        <s v="SQ 05 B"/>
        <s v="DR-5"/>
        <s v="GU03"/>
        <s v="MM"/>
        <s v="SQ06C"/>
        <s v="DUL 6"/>
        <s v="HY-1020"/>
        <n v="5.0"/>
        <s v="001"/>
        <s v="AC-006M"/>
        <s v="AC-005P"/>
        <s v="8801"/>
        <s v="CS-8601"/>
        <s v="A931"/>
        <s v="8539"/>
        <s v="8546"/>
        <s v="8525"/>
        <s v="6202"/>
        <s v="9937"/>
        <s v="6213"/>
        <s v="6203"/>
        <s v="6212"/>
        <s v="A 93"/>
        <s v="DT-830"/>
        <s v="DT-832"/>
        <s v="DT-835"/>
        <s v="8807"/>
        <s v="1505"/>
        <s v="845"/>
        <s v="846"/>
        <s v="856"/>
        <s v="831"/>
        <s v="823"/>
        <s v="851"/>
        <s v="820"/>
        <s v="8095"/>
        <s v="8809"/>
        <s v="8865"/>
        <s v="BD194-B"/>
        <s v="7808"/>
        <s v="A853"/>
        <s v="CC888"/>
        <s v="CTR-007"/>
      </sharedItems>
    </cacheField>
    <cacheField name="ADA DI DAFTAR STOCK?" numFmtId="0">
      <sharedItems containsBlank="1">
        <s v="ADA"/>
        <s v="TIDAK ADA"/>
        <m/>
      </sharedItems>
    </cacheField>
    <cacheField name="JUMLAH" numFmtId="0">
      <sharedItems containsString="0" containsBlank="1" containsNumber="1">
        <n v="2.0"/>
        <n v="1.0"/>
        <n v="288.0"/>
        <n v="12.0"/>
        <n v="25.0"/>
        <n v="500.0"/>
        <n v="24.0"/>
        <n v="160.0"/>
        <n v="10000.0"/>
        <n v="5000.0"/>
        <n v="120.0"/>
        <n v="144.0"/>
        <n v="1000.0"/>
        <n v="200.0"/>
        <n v="10.0"/>
        <n v="5.0"/>
        <n v="3.0"/>
        <n v="15.0"/>
        <n v="4.0"/>
        <n v="6.0"/>
        <n v="20.0"/>
        <n v="50.0"/>
        <n v="8.0"/>
        <n v="96.0"/>
        <n v="100.0"/>
        <n v="36.0"/>
        <n v="48.0"/>
        <n v="60.0"/>
        <n v="192.0"/>
        <n v="30.0"/>
        <n v="72.0"/>
        <n v="180.0"/>
        <n v="18.0"/>
        <n v="0.5"/>
        <n v="40.0"/>
        <n v="6.66667"/>
        <n v="0.66667"/>
        <n v="32.0"/>
        <n v="56.0"/>
        <n v="0.16667"/>
        <n v="3.5"/>
        <n v="400.0"/>
        <n v="34.0"/>
        <n v="31.0"/>
        <n v="17.0"/>
        <n v="600.0"/>
        <n v="42.0"/>
        <n v="7.0"/>
        <n v="80.0"/>
        <n v="300.0"/>
        <n v="250.0"/>
        <n v="240.0"/>
        <n v="360.0"/>
        <n v="0.91667"/>
        <n v="800.0"/>
        <n v="2000.0"/>
        <n v="4000.0"/>
        <n v="125.0"/>
        <n v="384.0"/>
        <n v="140.0"/>
        <n v="92.0"/>
        <n v="65.0"/>
        <n v="38.0"/>
        <n v="21.0"/>
        <n v="150.0"/>
        <n v="35.0"/>
        <n v="320.0"/>
        <n v="235.0"/>
        <n v="432.0"/>
        <n v="82.0"/>
        <n v="26.0"/>
        <n v="11.0"/>
        <n v="64.0"/>
        <n v="0.25"/>
        <n v="16.0"/>
        <n v="166.0"/>
        <n v="9.0"/>
        <n v="0.166666667"/>
        <n v="28.0"/>
        <n v="23.0"/>
        <n v="58.0"/>
        <n v="0.75"/>
        <n v="0.916666667"/>
        <n v="66.0"/>
        <n v="16500.0"/>
        <n v="576.0"/>
        <n v="90.0"/>
        <n v="143.0"/>
        <n v="14.0"/>
        <n v="210.0"/>
        <n v="0.666666667"/>
        <n v="51.996"/>
        <n v="168.0"/>
        <n v="75.0"/>
        <n v="84.0"/>
        <n v="960.0"/>
        <n v="292.0"/>
        <n v="480.0"/>
        <n v="640.0"/>
        <n v="13.0"/>
        <n v="290.0"/>
        <n v="0.333333333"/>
        <n v="0.583333333"/>
        <n v="178.0"/>
        <n v="224.0"/>
        <n v="720.0"/>
        <n v="62.0"/>
        <n v="41.0"/>
        <n v="27.0"/>
        <n v="840.0"/>
        <n v="1800.0"/>
        <n v="8.75"/>
        <n v="19.0"/>
        <n v="1450.0"/>
        <n v="1400.0"/>
        <n v="0.416666667"/>
        <m/>
      </sharedItems>
    </cacheField>
    <cacheField name="SATUAN" numFmtId="0">
      <sharedItems containsBlank="1">
        <s v="LSN"/>
        <s v="PCS"/>
        <s v="SET"/>
        <s v="BOX"/>
        <s v="PAK"/>
        <s v="GRS"/>
        <s v="PAK (10)"/>
        <s v="BOX (24)"/>
        <s v="PAK (100)"/>
        <s v="PAK (20)"/>
        <s v="TOP"/>
        <s v="ROL"/>
        <s v="PSK"/>
        <s v="DISP"/>
        <s v="BOX (36)"/>
        <s v="BOX (60)"/>
        <s v="SLOP"/>
        <s v="BOX (12)"/>
        <s v="BOX (40)"/>
        <s v="BOX (100)"/>
        <s v="DISP (36)"/>
        <s v="LBR"/>
        <s v="BOX (30)"/>
        <s v="RENT"/>
        <s v="POT"/>
        <s v="PCSN"/>
        <m/>
      </sharedItems>
    </cacheField>
    <cacheField name="HARGA" numFmtId="4">
      <sharedItems containsString="0" containsBlank="1" containsNumber="1">
        <n v="110000.0"/>
        <n v="497000.0"/>
        <n v="19500.0"/>
        <n v="13000.0"/>
        <n v="3000.0"/>
        <n v="575.0"/>
        <n v="150000.0"/>
        <n v="15000.0"/>
        <n v="84000.0"/>
        <n v="138000.0"/>
        <n v="35000.0"/>
        <n v="12750.0"/>
        <n v="450.0"/>
        <n v="14167.0"/>
        <n v="10625.0"/>
        <n v="7792.0"/>
        <n v="1750.0"/>
        <n v="18500.0"/>
        <n v="42000.0"/>
        <n v="45000.0"/>
        <n v="50000.0"/>
        <n v="17000.0"/>
        <n v="60000.0"/>
        <n v="100000.0"/>
        <n v="17500.0"/>
        <n v="12500.0"/>
        <n v="12000.0"/>
        <n v="1000.0"/>
        <n v="105600.0"/>
        <n v="270000.0"/>
        <n v="20000.0"/>
        <n v="175000.0"/>
        <n v="30625.0"/>
        <n v="43750.0"/>
        <n v="180000.0"/>
        <n v="16500.0"/>
        <n v="8000.0"/>
        <n v="30000.0"/>
        <n v="31500.0"/>
        <n v="225000.0"/>
        <n v="95000.0"/>
        <n v="18000.0"/>
        <n v="9000.0"/>
        <n v="13500.0"/>
        <n v="10000.0"/>
        <n v="7500.0"/>
        <n v="33000.0"/>
        <n v="28000.0"/>
        <n v="55000.0"/>
        <n v="25000.0"/>
        <n v="135000.0"/>
        <n v="105000.0"/>
        <n v="8750.0"/>
        <n v="115500.0"/>
        <n v="70000.0"/>
        <n v="9625.0"/>
        <n v="5000.0"/>
        <n v="63000.0"/>
        <n v="40000.0"/>
        <n v="4250.0"/>
        <n v="200000.0"/>
        <n v="210000.0"/>
        <n v="120000.0"/>
        <n v="195000.0"/>
        <n v="26500.0"/>
        <n v="27500.0"/>
        <n v="22000.0"/>
        <n v="36500.0"/>
        <n v="52500.0"/>
        <n v="185000.0"/>
        <n v="240000.0"/>
        <n v="1250.0"/>
        <n v="7000.0"/>
        <n v="2625.0"/>
        <n v="184000.0"/>
        <n v="78000.0"/>
        <n v="47500.0"/>
        <n v="4600.0"/>
        <n v="2500.0"/>
        <n v="1600.0"/>
        <n v="32500.0"/>
        <n v="42500.0"/>
        <n v="65000.0"/>
        <n v="3542.0"/>
        <n v="75000.0"/>
        <n v="325000.0"/>
        <n v="262500.0"/>
        <n v="300000.0"/>
        <n v="22500.0"/>
        <n v="2600.0"/>
        <n v="4375.0"/>
        <n v="73500.0"/>
        <n v="87500.0"/>
        <n v="1667.0"/>
        <n v="415000.0"/>
        <n v="125000.0"/>
        <n v="9500.0"/>
        <n v="900.0"/>
        <n v="2250.0"/>
        <n v="108000.0"/>
        <n v="10500.0"/>
        <n v="38500.0"/>
        <n v="16000.0"/>
        <n v="3400.0"/>
        <n v="13750.0"/>
        <n v="27083.0"/>
        <n v="22917.0"/>
        <n v="250000.0"/>
        <n v="9167.0"/>
        <n v="275000.0"/>
        <n v="375000.0"/>
        <n v="425000.0"/>
        <n v="13333.0"/>
        <n v="35417.0"/>
        <n v="350000.0"/>
        <n v="1500.0"/>
        <n v="165000.0"/>
        <n v="4000.0"/>
        <n v="4583.0"/>
        <n v="71500.0"/>
        <n v="24000.0"/>
        <n v="11500.0"/>
        <n v="46000.0"/>
        <n v="29000.0"/>
        <n v="33500.0"/>
        <n v="198000.0"/>
        <n v="21000.0"/>
        <n v="183500.0"/>
        <n v="1083.0"/>
        <n v="3125.0"/>
        <n v="186000.0"/>
        <n v="190000.0"/>
        <n v="178000.0"/>
        <n v="90000.0"/>
        <n v="2750.0"/>
        <n v="47000.0"/>
        <n v="52000.0"/>
        <n v="26780.0"/>
        <n v="19000.0"/>
        <n v="1400.0"/>
        <n v="15833.0"/>
        <n v="15600.0"/>
        <n v="312000.0"/>
        <n v="14500.0"/>
        <n v="182000.0"/>
        <n v="3250.0"/>
        <n v="10833.0"/>
        <n v="25417.0"/>
        <n v="115000.0"/>
        <n v="4167.0"/>
        <n v="157500.0"/>
        <n v="85000.0"/>
        <n v="93500.0"/>
        <n v="170000.0"/>
        <n v="7083.0"/>
        <n v="14000.0"/>
        <n v="6667.0"/>
        <n v="16667.0"/>
        <n v="130000.0"/>
        <n v="400000.0"/>
        <n v="140000.0"/>
        <n v="8500.0"/>
        <n v="6250.0"/>
        <n v="147000.0"/>
        <n v="27000.0"/>
        <n v="1875.0"/>
        <n v="168000.0"/>
        <n v="145000.0"/>
        <n v="57500.0"/>
        <n v="92500.0"/>
        <n v="450000.0"/>
        <n v="2000.0"/>
        <n v="46500.0"/>
        <n v="31250.0"/>
        <n v="37500.0"/>
        <n v="41667.0"/>
        <n v="29167.0"/>
        <n v="360000.0"/>
        <n v="33333.0"/>
        <n v="18750.0"/>
        <n v="144000.0"/>
        <n v="45833.0"/>
        <n v="14583.0"/>
        <n v="330000.0"/>
        <n v="162000.0"/>
        <n v="80000.0"/>
        <n v="8333.0"/>
        <n v="58333.0"/>
        <n v="5417.0"/>
        <n v="215000.0"/>
        <n v="525000.0"/>
        <n v="102000.0"/>
        <n v="156000.0"/>
        <n v="228000.0"/>
        <n v="2400.0"/>
        <n v="155000.0"/>
        <n v="290000.0"/>
        <n v="285000.0"/>
        <n v="23000.0"/>
        <n v="1917.0"/>
        <n v="1375.0"/>
        <n v="72000.0"/>
        <n v="3208.0"/>
        <n v="48000.0"/>
        <n v="24500.0"/>
        <n v="36000.0"/>
        <n v="67500.0"/>
        <n v="10417.0"/>
        <n v="11250.0"/>
        <n v="11000.0"/>
        <n v="4792.0"/>
        <n v="6500.0"/>
        <n v="216000.0"/>
        <n v="30500.0"/>
        <n v="39000.0"/>
        <n v="3100.0"/>
        <n v="21380.0"/>
        <n v="5500.0"/>
        <n v="6000.0"/>
        <n v="5250.0"/>
        <n v="143000.0"/>
        <n v="58000.0"/>
        <n v="132000.0"/>
        <n v="220000.0"/>
        <n v="137500.0"/>
        <n v="3600.0"/>
        <n v="117000.0"/>
        <n v="37000.0"/>
        <n v="96000.0"/>
        <n v="15500.0"/>
        <n v="21500.0"/>
        <n v="136500.0"/>
        <n v="174000.0"/>
        <n v="348000.0"/>
        <n v="372000.0"/>
        <n v="66000.0"/>
        <n v="1100.0"/>
        <n v="31000.0"/>
        <n v="28500.0"/>
        <n v="3500.0"/>
        <n v="34000.0"/>
        <n v="11375.0"/>
        <n v="6750.0"/>
        <n v="43000.0"/>
        <n v="148500.0"/>
        <n v="17083.0"/>
        <n v="20833.0"/>
        <n v="13125.0"/>
        <n v="202000.0"/>
        <n v="5833.0"/>
        <n v="500.0"/>
        <n v="385000.0"/>
        <n v="243000.0"/>
        <n v="25500.0"/>
        <n v="106000.0"/>
        <n v="230000.0"/>
        <n v="26000.0"/>
        <n v="41000.0"/>
        <n v="121500.0"/>
        <n v="81000.0"/>
        <n v="114000.0"/>
        <n v="625000.0"/>
        <n v="62000.0"/>
        <n v="87000.0"/>
        <n v="133000.0"/>
        <n v="53000.0"/>
        <n v="82000.0"/>
        <n v="61000.0"/>
        <n v="550.0"/>
        <n v="800.0"/>
        <n v="650.0"/>
        <n v="750.0"/>
        <n v="26250.0"/>
        <n v="24167.0"/>
        <n v="17750.0"/>
        <n v="8300.0"/>
        <n v="126000.0"/>
        <n v="4500.0"/>
        <n v="288000.0"/>
        <n v="67200.0"/>
        <n v="675.0"/>
        <n v="5750.0"/>
        <n v="5400.0"/>
        <n v="600.0"/>
        <n v="77500.0"/>
        <n v="3750.0"/>
        <n v="28750.0"/>
        <n v="400.0"/>
        <n v="315000.0"/>
        <n v="236500.0"/>
        <n v="160000.0"/>
        <n v="4750.0"/>
        <n v="317500.0"/>
        <n v="407500.0"/>
        <n v="490000.0"/>
        <n v="157000.0"/>
        <n v="18625.0"/>
        <n v="18333.0"/>
        <n v="255000.0"/>
        <n v="24750.0"/>
        <n v="264000.0"/>
        <n v="1350.0"/>
        <n v="15417.0"/>
        <n v="3958.0"/>
        <n v="2560.0"/>
        <n v="19200.0"/>
        <n v="3167.0"/>
        <n v="18250.0"/>
        <n v="23500.0"/>
        <n v="1076.0"/>
        <n v="121986.0"/>
        <n v="36996.0"/>
        <n v="39600.0"/>
        <n v="24996.0"/>
        <n v="32496.0"/>
        <n v="44000.0"/>
        <n v="1700.0"/>
        <n v="1800.0"/>
        <n v="86400.0"/>
        <n v="1850.0"/>
        <n v="475.0"/>
        <n v="15750.0"/>
        <n v="51500.0"/>
        <n v="97500.0"/>
        <n v="9583.0"/>
        <n v="62500.0"/>
        <n v="72500.0"/>
        <n v="7750.0"/>
        <n v="222000.0"/>
        <n v="277200.0"/>
        <n v="300.0"/>
        <n v="252000.0"/>
        <n v="7917.0"/>
        <n v="142000.0"/>
        <n v="950.0"/>
        <n v="340000.0"/>
        <n v="193500.0"/>
        <n v="11667.0"/>
        <n v="2917.0"/>
        <n v="2125.0"/>
        <n v="2083.0"/>
        <n v="12996.0"/>
        <n v="1150.0"/>
        <n v="2167.0"/>
        <n v="1542.0"/>
        <n v="36504.0"/>
        <n v="1450.0"/>
        <n v="114996.0"/>
        <n v="144996.0"/>
        <n v="126996.0"/>
        <n v="50004.0"/>
        <n v="57504.0"/>
        <n v="35004.0"/>
        <n v="174996.0"/>
        <n v="101952.0"/>
        <n v="19583.0"/>
        <n v="37800.0"/>
        <n v="1389.0"/>
        <n v="1910.0"/>
        <n v="1181.0"/>
        <n v="54000.0"/>
        <n v="350.0"/>
        <n v="63800.0"/>
        <n v="276000.0"/>
        <n v="19166.7"/>
        <n v="22916.7"/>
        <n v="232500.0"/>
        <n v="16666.7"/>
        <n v="14583.3"/>
        <n v="7083.33"/>
        <n v="444000.0"/>
        <n v="318000.0"/>
        <n v="192000.0"/>
        <n v="29166.7"/>
        <n v="11666.7"/>
        <n v="194000.0"/>
        <n v="147600.0"/>
        <n v="78500.0"/>
        <n v="3333.33"/>
        <n v="2083.33"/>
        <n v="79500.0"/>
        <n v="34500.0"/>
        <n v="7916.67"/>
        <n v="6666.67"/>
        <n v="38000.0"/>
        <n v="1166.67"/>
        <n v="1666.67"/>
        <n v="13333.3"/>
        <n v="3541.67"/>
        <n v="2291.67"/>
        <n v="2916.67"/>
        <n v="2100.0"/>
        <n v="324000.0"/>
        <n v="380000.0"/>
        <n v="74000.0"/>
        <n v="69000.0"/>
        <n v="57000.0"/>
        <n v="22200.0"/>
        <n v="5416.67"/>
        <n v="1458.33"/>
        <n v="3300.0"/>
        <n v="132500.0"/>
        <n v="650000.0"/>
        <n v="27083.3"/>
        <n v="252500.0"/>
        <n v="20833.3"/>
        <n v="265000.0"/>
        <n v="4166.67"/>
        <n v="3208.33"/>
        <n v="2208.33"/>
        <n v="236000.0"/>
        <n v="10416.7"/>
        <n v="148100.0"/>
        <n v="675000.0"/>
        <n v="32000.0"/>
        <n v="23750.0"/>
        <n v="33333.3"/>
        <n v="15833.3"/>
        <n v="68750.0"/>
        <n v="1041.67"/>
        <n v="425.0"/>
        <m/>
        <n v="4583.33"/>
        <n v="342000.0"/>
        <n v="14166.7"/>
        <n v="7250.0"/>
        <n v="6800.0"/>
        <n v="2200.0"/>
        <n v="98000.0"/>
        <n v="420000.0"/>
        <n v="56400.0"/>
        <n v="81600.0"/>
        <n v="177000.0"/>
        <n v="20500.0"/>
        <n v="127000.0"/>
        <n v="146500.0"/>
        <n v="10750.0"/>
        <n v="94500.0"/>
        <n v="112500.0"/>
        <n v="1145.83"/>
        <n v="4400.0"/>
        <n v="32083.3"/>
        <n v="36666.7"/>
        <n v="20625.0"/>
        <n v="19583.3"/>
        <n v="10083.3"/>
        <n v="172000.0"/>
        <n v="16250.0"/>
        <n v="35750.0"/>
        <n v="550000.0"/>
        <n v="235000.0"/>
        <n v="5700.0"/>
        <n v="11400.0"/>
        <n v="119500.0"/>
        <n v="48500.0"/>
        <n v="375.0"/>
        <n v="196000.0"/>
        <n v="273000.0"/>
        <n v="8400.0"/>
        <n v="17250.0"/>
        <n v="51000.0"/>
        <n v="2291.0"/>
        <n v="1550.0"/>
        <n v="2375.0"/>
        <n v="42500.4"/>
        <n v="45600.0"/>
        <n v="59796.0"/>
        <n v="81636.0"/>
        <n v="1125.0"/>
        <n v="93996.0"/>
        <n v="10992.0"/>
        <n v="79992.0"/>
        <n v="1925.0"/>
        <n v="575000.0"/>
        <n v="570000.0"/>
        <n v="88000.0"/>
        <n v="694.444"/>
        <n v="396000.0"/>
        <n v="8333.33"/>
        <n v="9166.67"/>
        <n v="700.0"/>
        <n v="56500.0"/>
        <n v="45833.3"/>
        <n v="833.333"/>
        <n v="260000.0"/>
        <n v="316500.0"/>
        <n v="41500.0"/>
      </sharedItems>
    </cacheField>
    <cacheField name="DISKON" numFmtId="0">
      <sharedItems containsString="0" containsBlank="1" containsNumber="1">
        <m/>
        <n v="0.1"/>
        <n v="0.145"/>
        <n v="0.2"/>
        <n v="0.05"/>
        <n v="0.175"/>
        <n v="0.125"/>
        <n v="0.15"/>
        <n v="0.13"/>
      </sharedItems>
    </cacheField>
    <cacheField name="TOTAL" numFmtId="4">
      <sharedItems containsString="0" containsBlank="1" containsNumber="1">
        <n v="220000.0"/>
        <n v="497000.0"/>
        <n v="5616000.0"/>
        <n v="156000.0"/>
        <n v="75000.0"/>
        <n v="287500.0"/>
        <n v="150000.0"/>
        <n v="180000.0"/>
        <n v="2016000.0"/>
        <n v="3312000.0"/>
        <n v="420000.0"/>
        <n v="2040000.0"/>
        <n v="4500000.0"/>
        <n v="2250000.0"/>
        <n v="1700040.0"/>
        <n v="1530000.0"/>
        <n v="1122048.0"/>
        <n v="1750000.0"/>
        <n v="3700000.0"/>
        <n v="225000.0"/>
        <n v="500000.0"/>
        <n v="255000.0"/>
        <n v="120000.0"/>
        <n v="100000.0"/>
        <n v="200000.0"/>
        <n v="105000.0"/>
        <n v="250000.0"/>
        <n v="144000.0"/>
        <n v="105600.0"/>
        <n v="270000.0"/>
        <n v="240000.0"/>
        <n v="175000.0"/>
        <n v="400000.0"/>
        <n v="183750.0"/>
        <n v="262500.0"/>
        <n v="198000.0"/>
        <n v="96000.0"/>
        <n v="157500.0"/>
        <n v="95000.0"/>
        <n v="216000.0"/>
        <n v="108000.0"/>
        <n v="162000.0"/>
        <n v="90000.0"/>
        <n v="540000.0"/>
        <n v="396000.0"/>
        <n v="336000.0"/>
        <n v="110000.0"/>
        <n v="300000.0"/>
        <n v="125000.0"/>
        <n v="135000.0"/>
        <n v="115500.0"/>
        <n v="70000.0"/>
        <n v="60000.0"/>
        <n v="63000.0"/>
        <n v="480000.0"/>
        <n v="212500.0"/>
        <n v="375000.0"/>
        <n v="190000.0"/>
        <n v="360000.0"/>
        <n v="350000.0"/>
        <n v="600000.0"/>
        <n v="550000.0"/>
        <n v="390000.0"/>
        <n v="160000.0"/>
        <n v="265000.0"/>
        <n v="330000.0"/>
        <n v="204000.0"/>
        <n v="222000.0"/>
        <n v="159000.0"/>
        <n v="66000.0"/>
        <n v="109500.0"/>
        <n v="462500.0"/>
        <n v="30000.0"/>
        <n v="80000.0"/>
        <n v="185000.0"/>
        <n v="370000.0"/>
        <n v="184000.0"/>
        <n v="312000.0"/>
        <n v="280000.0"/>
        <n v="35000.0"/>
        <n v="50000.0"/>
        <n v="230000.0"/>
        <n v="256000.0"/>
        <n v="700000.0"/>
        <n v="153600.0"/>
        <n v="65000.0"/>
        <n v="85000.0"/>
        <n v="130000.0"/>
        <n v="85008.0"/>
        <n v="444000.0"/>
        <n v="325000.0"/>
        <n v="78000.0"/>
        <n v="54000.0"/>
        <n v="249600.0"/>
        <n v="147000.0"/>
        <n v="60012.0"/>
        <n v="12000.0"/>
        <n v="415000.0"/>
        <n v="45000.0"/>
        <n v="55000.0"/>
        <n v="52500.0"/>
        <n v="20000.0"/>
        <n v="32000.0"/>
        <n v="170000.0"/>
        <n v="165000.0"/>
        <n v="324996.0"/>
        <n v="275004.0"/>
        <n v="110004.0"/>
        <n v="275000.0"/>
        <n v="425000.0"/>
        <n v="159996.0"/>
        <n v="425004.0"/>
        <n v="54996.0"/>
        <n v="44000.0"/>
        <n v="47500.0"/>
        <n v="71500.0"/>
        <n v="48000.0"/>
        <n v="39000.0"/>
        <n v="87500.0"/>
        <n v="2208000.0"/>
        <n v="1380000.0"/>
        <n v="840000.0"/>
        <n v="630000.0"/>
        <n v="243000.0"/>
        <n v="324000.0"/>
        <n v="405000.0"/>
        <n v="210000.0"/>
        <n v="648000.0"/>
        <n v="290000.0"/>
        <n v="335000.0"/>
        <n v="1188000.0"/>
        <n v="917500.0"/>
        <n v="4176000.0"/>
        <n v="77976.0"/>
        <n v="252000.0"/>
        <n v="1850000.0"/>
        <n v="450000.0"/>
        <n v="558000.0"/>
        <n v="570000.0"/>
        <n v="356000.0"/>
        <n v="1350000.0"/>
        <n v="137500.0"/>
        <n v="564000.0"/>
        <n v="260000.0"/>
        <n v="636000.0"/>
        <n v="1440000.0"/>
        <n v="2410200.0"/>
        <n v="1500000.0"/>
        <n v="1800000.0"/>
        <n v="4032000.0"/>
        <n v="3510000.0"/>
        <n v="2880000.0"/>
        <n v="27000.0"/>
        <n v="130500.0"/>
        <n v="37500.0"/>
        <n v="40008.0"/>
        <n v="228000.0"/>
        <n v="42000.0"/>
        <n v="189996.0"/>
        <n v="46800.0"/>
        <n v="32500.0"/>
        <n v="3564000.0"/>
        <n v="4050000.0"/>
        <n v="2400000.0"/>
        <n v="2784000.0"/>
        <n v="55575.0"/>
        <n v="89775.0"/>
        <n v="333450.0"/>
        <n v="311220.0"/>
        <n v="128250.0"/>
        <n v="166725.0"/>
        <n v="138937.5"/>
        <n v="96187.5"/>
        <n v="171000.0"/>
        <n v="93622.5"/>
        <n v="44887.5"/>
        <n v="70537.5"/>
        <n v="111146.58"/>
        <n v="513000.0"/>
        <n v="260778.42"/>
        <n v="76950.0"/>
        <n v="149625.0"/>
        <n v="98325.0"/>
        <n v="98752.5"/>
        <n v="85506.84"/>
        <n v="25650.0"/>
        <n v="158175.0"/>
        <n v="123120.0"/>
        <n v="184680.0"/>
        <n v="205200.0"/>
        <n v="342000.0"/>
        <n v="269325.0"/>
        <n v="145350.0"/>
        <n v="159885.0"/>
        <n v="290700.0"/>
        <n v="145343.16"/>
        <n v="143640.0"/>
        <n v="94053.42"/>
        <n v="68403.42"/>
        <n v="213750.0"/>
        <n v="153900.0"/>
        <n v="171003.42"/>
        <n v="85500.0"/>
        <n v="111150.0"/>
        <n v="94050.0"/>
        <n v="235125.0"/>
        <n v="106875.0"/>
        <n v="363375.0"/>
        <n v="119700.0"/>
        <n v="87210.0"/>
        <n v="246240.0"/>
        <n v="102600.0"/>
        <n v="192375.0"/>
        <n v="299250.0"/>
        <n v="125685.0"/>
        <n v="148770.0"/>
        <n v="138510.0"/>
        <n v="115425.0"/>
        <n v="230850.0"/>
        <n v="287280.0"/>
        <n v="123975.0"/>
        <n v="42750.0"/>
        <n v="38475.0"/>
        <n v="161595.0"/>
        <n v="49162.5"/>
        <n v="79087.5"/>
        <n v="47025.0"/>
        <n v="384750.0"/>
        <n v="410400.0"/>
        <n v="359100.0"/>
        <n v="133380.0"/>
        <n v="68400.0"/>
        <n v="307800.0"/>
        <n v="179550.0"/>
        <n v="282150.0"/>
        <n v="39757.5"/>
        <n v="171000.08550000002"/>
        <n v="256500.0"/>
        <n v="138935.79"/>
        <n v="160312.5"/>
        <n v="213751.71"/>
        <n v="277875.0"/>
        <n v="159030.0"/>
        <n v="478800.0"/>
        <n v="492480.0"/>
        <n v="196650.0"/>
        <n v="324900.0"/>
        <n v="99750.49875"/>
        <n v="598506.84"/>
        <n v="615600.0"/>
        <n v="683993.16"/>
        <n v="170998.29"/>
        <n v="48093.75"/>
        <n v="51300.0"/>
        <n v="71820.0"/>
        <n v="684000.0"/>
        <n v="855006.84"/>
        <n v="940493.16"/>
        <n v="666900.0"/>
        <n v="564300.0"/>
        <n v="299243.16000000003"/>
        <n v="64125.0"/>
        <n v="29070.0"/>
        <n v="97470.0"/>
        <n v="350004.0"/>
        <n v="200004.0"/>
        <n v="99996.0"/>
        <n v="699996.0"/>
        <n v="65004.0"/>
        <n v="18000.0"/>
        <n v="195000.0"/>
        <n v="215000.0"/>
        <n v="525000.0"/>
        <n v="437500.0"/>
        <n v="367500.0"/>
        <n v="276000.0"/>
        <n v="102000.0"/>
        <n v="378000.0"/>
        <n v="900000.0"/>
        <n v="950000.0"/>
        <n v="162500.0"/>
        <n v="140000.0"/>
        <n v="84000.0"/>
        <n v="36000.0"/>
        <n v="625000.0"/>
        <n v="750000.0"/>
        <n v="40000.0"/>
        <n v="57500.0"/>
        <n v="155000.0"/>
        <n v="45000.9"/>
        <n v="285000.0"/>
        <n v="522000.0"/>
        <n v="594000.0"/>
        <n v="138000.0"/>
        <n v="138024.0"/>
        <n v="461952.0"/>
        <n v="168000.0"/>
        <n v="1200000.0"/>
        <n v="1360000.0"/>
        <n v="729000.0"/>
        <n v="588000.0"/>
        <n v="67500.0"/>
        <n v="629000.0"/>
        <n v="573500.0"/>
        <n v="127500.0"/>
        <n v="80340.0"/>
        <n v="750024.0"/>
        <n v="468000.0"/>
        <n v="504000.0"/>
        <n v="1008000.0"/>
        <n v="720000.0"/>
        <n v="359996.4"/>
        <n v="315000.0"/>
        <n v="230016.0"/>
        <n v="1600000.0"/>
        <n v="1300000.0"/>
        <n v="960000.0"/>
        <n v="5856000.0"/>
        <n v="2928000.0"/>
        <n v="8784000.0"/>
        <n v="1620000.0"/>
        <n v="3744000.0"/>
        <n v="4320000.0"/>
        <n v="3168000.0"/>
        <n v="1944000.0"/>
        <n v="972000.0"/>
        <n v="650000.0"/>
        <n v="1218000.0"/>
        <n v="310000.0"/>
        <n v="1920000.0"/>
        <n v="810000.0"/>
        <n v="132000.0"/>
        <n v="428480.0"/>
        <n v="342080.0"/>
        <n v="50004.0"/>
        <n v="115000.0"/>
        <n v="62500.0"/>
        <n v="114000.0"/>
        <n v="84996.0"/>
        <n v="93500.0"/>
        <n v="576000.0"/>
        <n v="288000.0"/>
        <n v="174996.0"/>
        <n v="143000.0"/>
        <n v="182000.0"/>
        <n v="58000.0"/>
        <n v="73000.0"/>
        <n v="116000.0"/>
        <n v="189000.0"/>
        <n v="264000.0"/>
        <n v="15000.0"/>
        <n v="22000.0"/>
        <n v="432000.0"/>
        <n v="117000.0"/>
        <n v="148000.0"/>
        <n v="24000.0"/>
        <n v="192000.0"/>
        <n v="31000.0"/>
        <n v="126000.0"/>
        <n v="258000.0"/>
        <n v="129000.0"/>
        <n v="145000.0"/>
        <n v="136500.0"/>
        <n v="1080000.0"/>
        <n v="348000.0"/>
        <n v="696000.0"/>
        <n v="372000.0"/>
        <n v="22500.0"/>
        <n v="27500.0"/>
        <n v="56000.0"/>
        <n v="106000.0"/>
        <n v="53000.0"/>
        <n v="46500.0"/>
        <n v="74000.0"/>
        <n v="219984.0"/>
        <n v="17500.0"/>
        <n v="62000.0"/>
        <n v="16000.0"/>
        <n v="94500.0"/>
        <n v="19000.0"/>
        <n v="23000.0"/>
        <n v="136000.0"/>
        <n v="81000.0"/>
        <n v="4680000.0"/>
        <n v="43000.0"/>
        <n v="925000.0"/>
        <n v="742500.0"/>
        <n v="274980.0"/>
        <n v="86000.0"/>
        <n v="700008.0"/>
        <n v="330012.0"/>
        <n v="240012.0"/>
        <n v="409992.0"/>
        <n v="142500.0"/>
        <n v="249996.0"/>
        <n v="294000.0"/>
        <n v="400008.0"/>
        <n v="874980.0"/>
        <n v="693000.0"/>
        <n v="575000.0"/>
        <n v="850000.0"/>
        <n v="1100000.0"/>
        <n v="1575000.0"/>
        <n v="1485000.0"/>
        <n v="1000000.0"/>
        <n v="945000.0"/>
        <n v="561000.0"/>
        <n v="510000.0"/>
        <n v="1170000.0"/>
        <n v="560000.0"/>
        <n v="808000.0"/>
        <n v="546000.0"/>
        <n v="1260000.0"/>
        <n v="660000.0"/>
        <n v="780000.0"/>
        <n v="800016.0"/>
        <n v="172500.0"/>
        <n v="209988.0"/>
        <n v="277020.0"/>
        <n v="584820.0"/>
        <n v="692550.0"/>
        <n v="369360.0"/>
        <n v="658350.0"/>
        <n v="306000.0"/>
        <n v="321360.0"/>
        <n v="174000.0"/>
        <n v="175002.0"/>
        <n v="208000.0"/>
        <n v="82000.0"/>
        <n v="92000.0"/>
        <n v="380000.0"/>
        <n v="60750.0"/>
        <n v="104500.38"/>
        <n v="649992.0"/>
        <n v="675000.0"/>
        <n v="799992.0"/>
        <n v="495000.0"/>
        <n v="414000.0"/>
        <n v="1050000.0"/>
        <n v="749988.0"/>
        <n v="524988.0"/>
        <n v="1098000.0"/>
        <n v="552000.0"/>
        <n v="552096.0"/>
        <n v="240048.0"/>
        <n v="176700.0"/>
        <n v="247950.0"/>
        <n v="379050.0"/>
        <n v="82500.0"/>
        <n v="246000.0"/>
        <n v="186000.0"/>
        <n v="122000.0"/>
        <n v="430000.0"/>
        <n v="440000.0"/>
        <n v="555000.0"/>
        <n v="640000.0"/>
        <n v="880032.0"/>
        <n v="740000.0"/>
        <n v="290004.0"/>
        <n v="1187500.0"/>
        <n v="250020.0"/>
        <n v="124000.0"/>
        <n v="6628050.0"/>
        <n v="2400048.0"/>
        <n v="7656250.0"/>
        <n v="852000.0"/>
        <n v="426000.0"/>
        <n v="639000.0"/>
        <n v="1980000.0"/>
        <n v="2112000.0"/>
        <n v="871500.0"/>
        <n v="445500.0"/>
        <n v="891000.0"/>
        <n v="1392000.0"/>
        <n v="624000.0"/>
        <n v="2304000.0"/>
        <n v="1728000.0"/>
        <n v="990000.0"/>
        <n v="800000.0"/>
        <n v="672000.0"/>
        <n v="1125000.0"/>
        <n v="888000.0"/>
        <n v="4418700.0"/>
        <n v="2000000.0"/>
        <n v="2099952.0"/>
        <n v="1400000.0"/>
        <n v="1566000.0"/>
        <n v="2700000.0"/>
        <n v="2343250.0"/>
        <n v="3000000.0"/>
        <n v="3125000.0"/>
        <n v="2500000.0"/>
        <n v="232500.0"/>
        <n v="3024000.0"/>
        <n v="3750000.0"/>
        <n v="1344000.0"/>
        <n v="798000.0"/>
        <n v="1950000.0"/>
        <n v="125001.0"/>
        <n v="475000.0"/>
        <n v="236500.0"/>
        <n v="57000.0"/>
        <n v="434000.0"/>
        <n v="1375000.0"/>
        <n v="635000.0"/>
        <n v="815000.0"/>
        <n v="980000.0"/>
        <n v="314000.0"/>
        <n v="447000.0"/>
        <n v="580000.0"/>
        <n v="1250000.0"/>
        <n v="1099980.0"/>
        <n v="875000.0"/>
        <n v="1512000.0"/>
        <n v="2970000.0"/>
        <n v="1488000.0"/>
        <n v="113750.0"/>
        <n v="170004.0"/>
        <n v="193750.0"/>
        <n v="555012.0"/>
        <n v="930000.0"/>
        <n v="712440.0"/>
        <n v="768000.0"/>
        <n v="384000.0"/>
        <n v="608000.0"/>
        <n v="1026000.0"/>
        <n v="456000.0"/>
        <n v="864000.0"/>
        <n v="130008.0"/>
        <n v="499992.0"/>
        <n v="637500.0"/>
        <n v="1425000.0"/>
        <n v="311040.0"/>
        <n v="456048.0"/>
        <n v="8569600.0"/>
        <n v="1732500.0"/>
        <n v="2415000.0"/>
        <n v="1320000.0"/>
        <n v="870000.0"/>
        <n v="2160000.0"/>
        <n v="4752000.0"/>
        <n v="219000.0"/>
        <n v="72000.0"/>
        <n v="470000.0"/>
        <n v="235000.0"/>
        <n v="705000.0"/>
        <n v="610000.0"/>
        <n v="1645000.0"/>
        <n v="154944.0"/>
        <n v="4608000.0"/>
        <n v="382500.0"/>
        <n v="7500000.0"/>
        <n v="121986.0"/>
        <n v="147984.0"/>
        <n v="158400.0"/>
        <n v="99984.0"/>
        <n v="129984.0"/>
        <n v="19500.0"/>
        <n v="349992.0"/>
        <n v="319992.0"/>
        <n v="492000.0"/>
        <n v="187500.0"/>
        <n v="1075000.0"/>
        <n v="738000.0"/>
        <n v="8750000.0"/>
        <n v="1150000.0"/>
        <n v="2750000.0"/>
        <n v="438000.0"/>
        <n v="2875000.0"/>
        <n v="25000.0"/>
        <n v="2592000.0"/>
        <n v="825000.0"/>
        <n v="1584000.0"/>
        <n v="5400000.0"/>
        <n v="5184000.0"/>
        <n v="202500.0"/>
        <n v="46250.0"/>
        <n v="787500.0"/>
        <n v="154500.0"/>
        <n v="97500.0"/>
        <n v="114996.0"/>
        <n v="399996.0"/>
        <n v="68000.0"/>
        <n v="112500.0"/>
        <n v="554400.0"/>
        <n v="206250.0"/>
        <n v="37000.0"/>
        <n v="95004.0"/>
        <n v="111000.0"/>
        <n v="142000.0"/>
        <n v="41000.0"/>
        <n v="10000.0"/>
        <n v="340000.0"/>
        <n v="133330.0"/>
        <n v="139992.0"/>
        <n v="218750.0"/>
        <n v="124800.0"/>
        <n v="337500.0"/>
        <n v="193500.0"/>
        <n v="112000.0"/>
        <n v="164988.0"/>
        <n v="370008.0"/>
        <n v="20000.1"/>
        <n v="64000.0"/>
        <n v="140004.0"/>
        <n v="140016.0"/>
        <n v="149976.0"/>
        <n v="81250.0"/>
        <n v="56250.0"/>
        <n v="51984.0"/>
        <n v="70008.0"/>
        <n v="55200.0"/>
        <n v="104016.0"/>
        <n v="18504.0"/>
        <n v="109512.0"/>
        <n v="17400.0"/>
        <n v="64992.0"/>
        <n v="49992.0"/>
        <n v="144996.0"/>
        <n v="126996.0"/>
        <n v="100008.0"/>
        <n v="35004.0"/>
        <n v="25488.0"/>
        <n v="1760000.0"/>
        <n v="2100000.0"/>
        <n v="2142400.0"/>
        <n v="3888000.0"/>
        <n v="4224000.0"/>
        <n v="723060.0"/>
        <n v="1494000.0"/>
        <n v="8208000.0"/>
        <n v="702000.0"/>
        <n v="4104000.0"/>
        <n v="219996.0"/>
        <n v="234996.0"/>
        <n v="199992.0"/>
        <n v="37800.0"/>
        <n v="87000.0"/>
        <n v="124998.0"/>
        <n v="58500.0"/>
        <n v="121500.0"/>
        <n v="200016.0"/>
        <n v="275040.0"/>
        <n v="299952.0"/>
        <n v="340128.0"/>
        <n v="164250.0"/>
        <n v="585812.5"/>
        <n v="93537.5"/>
        <n v="42500.0"/>
        <n v="49998.0"/>
        <n v="5000.0"/>
        <n v="43500.0"/>
        <n v="127600.0"/>
        <n v="230000.40000000002"/>
        <n v="275000.4"/>
        <n v="14000.0"/>
        <n v="465000.0"/>
        <n v="400000.80000000005"/>
        <n v="174999.59999999998"/>
        <n v="169999.91999999998"/>
        <n v="74000.00014799999"/>
        <n v="318000.0"/>
        <n v="182500.0"/>
        <n v="350000.4"/>
        <n v="280000.80000000005"/>
        <n v="97000.0"/>
        <n v="237500.0"/>
        <n v="1550000.0"/>
        <n v="3080000.0"/>
        <n v="17104.0"/>
        <n v="2583000.0"/>
        <n v="1800003.6"/>
        <n v="1632000.0"/>
        <n v="345000.0"/>
        <n v="2430000.0"/>
        <n v="1570000.0"/>
        <n v="2484000.0"/>
        <n v="2600000.0"/>
        <n v="959999.04"/>
        <n v="31500.0"/>
        <n v="99000.0"/>
        <n v="74999.88"/>
        <n v="79500.0"/>
        <n v="94000.0"/>
        <n v="69000.0"/>
        <n v="190000.08000000002"/>
        <n v="80000.04000000001"/>
        <n v="143750.0"/>
        <n v="168750.0"/>
        <n v="76000.0"/>
        <n v="84000.24"/>
        <n v="120000.24"/>
        <n v="84999.95999999999"/>
        <n v="159999.59999999998"/>
        <n v="85000.08"/>
        <n v="110000.16"/>
        <n v="159999.84"/>
        <n v="35000.04"/>
        <n v="49500.0"/>
        <n v="58900.0"/>
        <n v="65550.0"/>
        <n v="54150.0"/>
        <n v="74100.0"/>
        <n v="3600000.0"/>
        <n v="59940.0"/>
        <n v="65000.04"/>
        <n v="104999.76"/>
        <n v="47000.0"/>
        <n v="324999.6"/>
        <n v="252500.0"/>
        <n v="249999.59999999998"/>
        <n v="100000.08"/>
        <n v="101250.0"/>
        <n v="33000.0"/>
        <n v="55500.0"/>
        <n v="187499.69999999998"/>
        <n v="153999.84"/>
        <n v="366666.6668"/>
        <n v="349999.19999999995"/>
        <n v="52999.92"/>
        <n v="2280000.0"/>
        <n v="1650000.0"/>
        <n v="3420000.0"/>
        <n v="690000.0"/>
        <n v="3.0525E7"/>
        <n v="247500.0"/>
        <n v="292500.0"/>
        <n v="472500.0"/>
        <n v="607500.0"/>
        <n v="1180000.0"/>
        <n v="6624000.0"/>
        <n v="1520000.0"/>
        <n v="1680000.0"/>
        <n v="33750.0"/>
        <n v="34000.0"/>
        <n v="12500.0"/>
        <n v="104000.0"/>
        <n v="209999.52"/>
        <n v="93000.0"/>
        <n v="583200.0"/>
        <n v="234000.0"/>
        <n v="665000.0"/>
        <n v="250000.80000000002"/>
        <n v="403200.0"/>
        <n v="314999.27999999997"/>
        <n v="25500.0"/>
        <n v="444300.0"/>
        <n v="1859000.0"/>
        <n v="2376000.0"/>
        <n v="954000.0"/>
        <n v="756000.0"/>
        <n v="314500.0"/>
        <n v="259000.0"/>
        <n v="997500.0"/>
        <n v="666000.0"/>
        <n v="271666.66680249997"/>
        <n v="199999.80000000002"/>
        <n v="765000.0"/>
        <n v="3240000.0"/>
        <n v="3816000.0"/>
        <n v="54750.0"/>
        <n v="432000.864"/>
        <n v="128000.0"/>
        <n v="173319.82668"/>
        <n v="21000.0"/>
        <n v="28500.0"/>
        <n v="625002.0"/>
        <n v="1000002.0"/>
        <n v="874998.0"/>
        <n v="1750002.0"/>
        <n v="2279995.1999999997"/>
        <n v="309375.0"/>
        <n v="150000.48"/>
        <n v="0.0"/>
        <n v="1450000.0"/>
        <n v="366000.0"/>
        <n v="486000.0"/>
        <n v="17000.0"/>
        <n v="2879997.12"/>
        <n v="27499.98"/>
        <n v="850002.0"/>
        <n v="4200000.0"/>
        <n v="1012500.0"/>
        <n v="2175000.0"/>
        <n v="3900000.0"/>
        <n v="479998.8"/>
        <n v="974998.7999999999"/>
        <n v="524998.7999999999"/>
        <n v="1152000.0"/>
        <n v="2628000.0"/>
        <n v="4590000.0"/>
        <n v="4698000.0"/>
        <n v="4462505.1"/>
        <n v="5355000.0"/>
        <n v="5220010.44"/>
        <n v="5872500.0"/>
        <n v="2976000.0"/>
        <n v="7200000.0"/>
        <n v="845000.0"/>
        <n v="6480000.0"/>
        <n v="490000.0"/>
        <n v="507500.0"/>
        <n v="83999.999916"/>
        <n v="175000.2"/>
        <n v="56400.0"/>
        <n v="81600.0"/>
        <n v="115499.999934"/>
        <n v="157000.0"/>
        <n v="177000.0"/>
        <n v="127000.0"/>
        <n v="146500.0"/>
        <n v="105999.84"/>
        <n v="2568240.0"/>
        <n v="2118200.0"/>
        <n v="6048000.0"/>
        <n v="7728000.0"/>
        <n v="6192000.0"/>
        <n v="2520000.0"/>
        <n v="54999.84"/>
        <n v="176000.0"/>
        <n v="528000.0"/>
        <n v="88000.0"/>
        <n v="92500.0"/>
        <n v="1539998.4"/>
        <n v="962499.0"/>
        <n v="440000.39999999997"/>
        <n v="391666.0"/>
        <n v="201666.0"/>
        <n v="172000.0"/>
        <n v="429000.0"/>
        <n v="385000.0"/>
        <n v="4125000.0"/>
        <n v="8250000.0"/>
        <n v="3250000.0"/>
        <n v="70000.14"/>
        <n v="136800.0"/>
        <n v="119500.0"/>
        <n v="1020000.0"/>
        <n v="1625000.0"/>
        <n v="1710000.0"/>
        <n v="195000.12"/>
        <n v="805000.0"/>
        <n v="2650000.0"/>
        <n v="1116000.0"/>
        <n v="1656000.0"/>
        <n v="3749994.0"/>
        <n v="3000009.6"/>
        <n v="145500.0"/>
        <n v="1470000.0"/>
        <n v="1960000.0"/>
        <n v="2730000.0"/>
        <n v="5250000.0"/>
        <n v="6300000.0"/>
        <n v="1.512E7"/>
        <n v="1.035E7"/>
        <n v="2200000.0"/>
        <n v="75600.0"/>
        <n v="153000.0"/>
        <n v="51000.0"/>
        <n v="27492.0"/>
        <n v="18600.0"/>
        <n v="42500.4"/>
        <n v="45600.0"/>
        <n v="59796.0"/>
        <n v="81636.0"/>
        <n v="40500.0"/>
        <n v="93996.0"/>
        <n v="10992.0"/>
        <n v="399999.60000000003"/>
        <n v="28750.0"/>
        <n v="79992.0"/>
        <n v="23100.0"/>
        <n v="69300.0"/>
        <n v="612000.0"/>
        <n v="1725000.0"/>
        <n v="1175000.0"/>
        <n v="2850000.0"/>
        <n v="2240000.0"/>
        <n v="180200.0"/>
        <n v="63750.0"/>
        <n v="165750.0"/>
        <n v="178500.0"/>
        <n v="161500.0"/>
        <n v="26000.0"/>
        <n v="22750.0"/>
        <n v="9936000.0"/>
        <n v="1968750.0"/>
        <n v="201000.0"/>
        <n v="212000.0"/>
        <n v="1.2672E7"/>
        <n v="1900000.0"/>
        <n v="2736000.0"/>
        <n v="2862000.0"/>
        <n v="5750000.0"/>
        <n v="2247500.0"/>
        <n v="148500.0"/>
        <n v="1.225E7"/>
        <n v="1.2915E7"/>
        <n v="199999.87199999997"/>
        <n v="103500.0"/>
        <n v="148500.0001188"/>
        <n v="99999.95999999999"/>
        <n v="110000.04000000001"/>
        <n v="58500.036"/>
        <n v="91666.6667"/>
        <n v="45833.33337"/>
        <n v="123000.0"/>
        <n v="169500.0"/>
        <n v="352000.0"/>
        <n v="214500.0"/>
        <n v="96249.9"/>
        <n v="137499.90000000002"/>
        <n v="11500.0"/>
        <n v="1.08E7"/>
        <n v="1.2312E7"/>
        <n v="2232000.0"/>
        <n v="2703000.0"/>
        <n v="882000.0"/>
        <n v="2544000.0"/>
        <n v="2760000.0"/>
        <n v="2035200.0"/>
        <n v="2900000.0"/>
        <n v="174999.93"/>
        <m/>
        <n v="460000.0"/>
        <n v="520000.0"/>
        <n v="388000.0"/>
        <n v="633000.0"/>
        <n v="249000.0"/>
      </sharedItems>
    </cacheField>
    <cacheField name="CONCAT HARGA" numFmtId="164">
      <sharedItems containsBlank="1">
        <s v="Rp110,000-2 LSN-0.00%"/>
        <s v="Rp497,000-1 LSN-0.00%"/>
        <s v="Rp19,500-288 PCS-0.00%"/>
        <s v="Rp13,000-12 PCS-0.00%"/>
        <s v="Rp3,000-25 PCS-0.00%"/>
        <s v="Rp575-500 PCS-0.00%"/>
        <s v="Rp150,000-1 LSN-0.00%"/>
        <s v="Rp15,000-12 SET-0.00%"/>
        <s v="Rp84,000-24 BOX-0.00%"/>
        <s v="Rp138,000-24 BOX-0.00%"/>
        <s v="Rp35,000-12 LSN-0.00%"/>
        <s v="Rp12,750-160 PCS-0.00%"/>
        <s v="Rp450-10000 PCS-0.00%"/>
        <s v="Rp450-5000 PCS-0.00%"/>
        <s v="Rp14,167-120 PCS-0.00%"/>
        <s v="Rp10,625-144 PCS-0.00%"/>
        <s v="Rp7,792-144 PCS-0.00%"/>
        <s v="Rp1,750-1000 PCS-0.00%"/>
        <s v="Rp18,500-200 PAK-0.00%"/>
        <s v="Rp42,000-10 LSN-0.00%"/>
        <s v="Rp45,000-5 LSN-0.00%"/>
        <s v="Rp50,000-10 PAK-0.00%"/>
        <s v="Rp50,000-3 PAK-0.00%"/>
        <s v="Rp17,000-15 LSN-0.00%"/>
        <s v="Rp60,000-2 LSN-0.00%"/>
        <s v="Rp100,000-1 GRS-0.00%"/>
        <s v="Rp50,000-4 BOX-0.00%"/>
        <s v="Rp17,500-6 PCS-0.00%"/>
        <s v="Rp12,500-20 BOX-0.00%"/>
        <s v="Rp12,000-12 LSN-0.00%"/>
        <s v="Rp1,000-144 PCS-0.00%"/>
        <s v="Rp105,600-1 BOX-0.00%"/>
        <s v="Rp270,000-1 LSN-0.00%"/>
        <s v="Rp20,000-12 PCS-0.00%"/>
        <s v="Rp175,000-1 LSN-0.00%"/>
        <s v="Rp20,000-20 PAK-0.00%"/>
        <s v="Rp30,625-6 PCS-0.00%"/>
        <s v="Rp43,750-6 PCS-0.00%"/>
        <s v="Rp180,000-1 LSN-0.00%"/>
        <s v="Rp16,500-12 SET-0.00%"/>
        <s v="Rp12,500-12 SET-0.00%"/>
        <s v="Rp8,000-12 SET-0.00%"/>
        <s v="Rp30,000-5 LSN-0.00%"/>
        <s v="Rp31,500-5 LSN-0.00%"/>
        <s v="Rp50,000-2 LSN-0.00%"/>
        <s v="Rp225,000-1 LSN-0.00%"/>
        <s v="Rp95,000-1 LSN-0.00%"/>
        <s v="Rp18,000-12 SET-0.00%"/>
        <s v="Rp9,000-12 SET-0.00%"/>
        <s v="Rp13,500-12 SET-0.00%"/>
        <s v="Rp10,000-12 SET-0.00%"/>
        <s v="Rp7,500-12 SET-0.00%"/>
        <s v="Rp45,000-12 LSN-0.00%"/>
        <s v="Rp20,000-12 LSN-0.00%"/>
        <s v="Rp33,000-12 LSN-0.00%"/>
        <s v="Rp28,000-12 LSN-0.00%"/>
        <s v="Rp55,000-2 LSN-0.00%"/>
        <s v="Rp50,000-5 LSN-0.00%"/>
        <s v="Rp60,000-5 LSN-0.00%"/>
        <s v="Rp25,000-5 LSN-0.00%"/>
        <s v="Rp35,000-5 LSN-0.00%"/>
        <s v="Rp135,000-1 LSN-0.00%"/>
        <s v="Rp105,000-1 LSN-0.00%"/>
        <s v="Rp8,750-12 PCS-0.00%"/>
        <s v="Rp115,500-1 LSN-0.00%"/>
        <s v="Rp70,000-1 LSN-0.00%"/>
        <s v="Rp9,625-12 PCS-0.00%"/>
        <s v="Rp5,000-12 PCS-0.00%"/>
        <s v="Rp60,000-1 LSN-0.00%"/>
        <s v="Rp63,000-1 LSN-0.00%"/>
        <s v="Rp40,000-12 PCS-0.00%"/>
        <s v="Rp4,250-50 PAK-0.00%"/>
        <s v="Rp7,500-50 PAK-0.00%"/>
        <s v="Rp95,000-2 LSN-0.00%"/>
        <s v="Rp12,000-12 SET-0.00%"/>
        <s v="Rp30,000-12 PCS-0.00%"/>
        <s v="Rp200,000-2 LSN-0.00%"/>
        <s v="Rp210,000-2 LSN-0.00%"/>
        <s v="Rp175,000-2 LSN-0.00%"/>
        <s v="Rp180,000-2 LSN-0.00%"/>
        <s v="Rp120,000-5 LSN-0.00%"/>
        <s v="Rp110,000-5 LSN-0.00%"/>
        <s v="Rp195,000-2 LSN-0.00%"/>
        <s v="Rp8,000-20 PAK-0.00%"/>
        <s v="Rp26,500-10 PAK-0.00%"/>
        <s v="Rp27,500-12 PAK-0.00%"/>
        <s v="Rp35,000-12 PCS-0.00%"/>
        <s v="Rp28,000-12 PCS-0.00%"/>
        <s v="Rp60,000-6 LSN-0.00%"/>
        <s v="Rp17,000-12 LSN-0.00%"/>
        <s v="Rp18,500-12 LSN-0.00%"/>
        <s v="Rp26,500-6 LSN-0.00%"/>
        <s v="Rp15,000-12 LSN-0.00%"/>
        <s v="Rp22,000-3 LSN-0.00%"/>
        <s v="Rp36,500-3 LSN-0.00%"/>
        <s v="Rp35,000-3 LSN-0.00%"/>
        <s v="Rp52,500-3 LSN-0.00%"/>
        <s v="Rp30,000-10 PCS-0.00%"/>
        <s v="Rp35,000-10 PCS-0.00%"/>
        <s v="Rp50,000-10 PCS-0.00%"/>
        <s v="Rp18,500-25 PAK-0.00%"/>
        <s v="Rp45,000-3 LSN-0.00%"/>
        <s v="Rp15,000-2 LSN-0.00%"/>
        <s v="Rp40,000-2 LSN-0.00%"/>
        <s v="Rp45,000-2 LSN-0.00%"/>
        <s v="Rp185,000-1 LSN-0.00%"/>
        <s v="Rp40,000-5 LSN-0.00%"/>
        <s v="Rp185,000-2 LSN-0.00%"/>
        <s v="Rp240,000-1 LSN-0.00%"/>
        <s v="Rp1,250-24 SET-0.00%"/>
        <s v="Rp7,000-25 PCS-0.00%"/>
        <s v="Rp2,625-24 PCS-0.00%"/>
        <s v="Rp184,000-1 BOX-0.00%"/>
        <s v="Rp78,000-4 BOX-0.00%"/>
        <s v="Rp35,000-8 LSN-0.00%"/>
        <s v="Rp17,500-2 LSN-0.00%"/>
        <s v="Rp35,000-2 LSN-0.00%"/>
        <s v="Rp47,500-2 LSN-0.00%"/>
        <s v="Rp25,000-2 LSN-0.00%"/>
        <s v="Rp4,600-50 PCS-0.00%"/>
        <s v="Rp2,500-96 PCS-0.00%"/>
        <s v="Rp1,600-100 PCS-0.00%"/>
        <s v="Rp1,600-160 PCS-0.00%"/>
        <s v="Rp70,000-10 LSN-0.00%"/>
        <s v="Rp1,600-96 PCS-0.00%"/>
        <s v="Rp32,500-2 LSN-0.00%"/>
        <s v="Rp42,500-2 LSN-0.00%"/>
        <s v="Rp52,500-2 LSN-0.00%"/>
        <s v="Rp65,000-2 LSN-0.00%"/>
        <s v="Rp3,542-24 PCS-0.00%"/>
        <s v="Rp75,000-2 LSN-0.00%"/>
        <s v="Rp18,500-24 LSN-0.00%"/>
        <s v="Rp110,000-1 GRS-0.00%"/>
        <s v="Rp325,000-1 LSN-0.00%"/>
        <s v="Rp262,500-1 LSN-0.00%"/>
        <s v="Rp300,000-1 LSN-0.00%"/>
        <s v="Rp13,000-6 LSN-0.00%"/>
        <s v="Rp22,500-6 LSN-0.00%"/>
        <s v="Rp18,000-3 LSN-0.00%"/>
        <s v="Rp2,600-96 PCS-0.00%"/>
        <s v="Rp4,375-36 PCS-0.00%"/>
        <s v="Rp120,000-2 LSN-0.00%"/>
        <s v="Rp73,500-2 BOX-0.00%"/>
        <s v="Rp35,000-2 BOX-0.00%"/>
        <s v="Rp87,500-2 BOX-0.00%"/>
        <s v="Rp25,000-6 LSN-0.00%"/>
        <s v="Rp15,000-6 LSN-0.00%"/>
        <s v="Rp20,000-3 LSN-0.00%"/>
        <s v="Rp1,667-36 PCS-0.00%"/>
        <s v="Rp300,000-2 LSN-0.00%"/>
        <s v="Rp12,000-1 LSN-0.00%"/>
        <s v="Rp300,000-1 GRS-0.00%"/>
        <s v="Rp415,000-1 GRS-0.00%"/>
        <s v="Rp125,000-1 LSN-0.00%"/>
        <s v="Rp9,500-10 PAK-0.00%"/>
        <s v="Rp9,500-10 PAK (10)-0.00%"/>
        <s v="Rp900-100 PCS-0.00%"/>
        <s v="Rp8,000-10 PAK (10)-0.00%"/>
        <s v="Rp5,000-10 PAK-0.00%"/>
        <s v="Rp15,000-3 BOX-0.00%"/>
        <s v="Rp50,000-2 BOX-0.00%"/>
        <s v="Rp2,250-48 PCS-0.00%"/>
        <s v="Rp2,250-60 PCS-0.00%"/>
        <s v="Rp108,000-1 BOX-0.00%"/>
        <s v="Rp27,500-2 LSN-0.00%"/>
        <s v="Rp10,500-5 LSN-0.00%"/>
        <s v="Rp38,500-3 LSN-0.00%"/>
        <s v="Rp10,000-2 LSN-0.00%"/>
        <s v="Rp16,000-2 LSN-0.00%"/>
        <s v="Rp2,250-24 PCS-0.00%"/>
        <s v="Rp3,400-50 PCS-0.00%"/>
        <s v="Rp100,000-1 LSN-0.00%"/>
        <s v="Rp12,500-12 PCS-0.00%"/>
        <s v="Rp13,750-12 PCS-0.00%"/>
        <s v="Rp27,083-12 PCS-0.00%"/>
        <s v="Rp25,000-12 PCS-0.00%"/>
        <s v="Rp22,917-12 PCS-0.00%"/>
        <s v="Rp250,000-1 LSN-0.00%"/>
        <s v="Rp9,167-12 PCS-0.00%"/>
        <s v="Rp275,000-1 LSN-0.00%"/>
        <s v="Rp375,000-1 LSN-0.00%"/>
        <s v="Rp425,000-1 LSN-0.00%"/>
        <s v="Rp13,333-12 PCS-0.00%"/>
        <s v="Rp35,417-12 PCS-0.00%"/>
        <s v="Rp350,000-1 LSN-0.00%"/>
        <s v="Rp15,000-12 PCS-0.00%"/>
        <s v="Rp1,500-100 PCS-0.00%"/>
        <s v="Rp165,000-1 LSN-0.00%"/>
        <s v="Rp4,000-50 PCS-0.00%"/>
        <s v="Rp4,583-12 PCS-0.00%"/>
        <s v="Rp22,000-2 SET-0.00%"/>
        <s v="Rp65,000-1 LSN-0.00%"/>
        <s v="Rp47,500-1 LSN-0.00%"/>
        <s v="Rp50,000-1 LSN-0.00%"/>
        <s v="Rp71,500-1 BOX-0.00%"/>
        <s v="Rp24,000-2 SET-0.00%"/>
        <s v="Rp19,500-2 LSN-0.00%"/>
        <s v="Rp1,750-50 PCS-0.00%"/>
        <s v="Rp11,500-192 LSN-0.00%"/>
        <s v="Rp46,000-30 LSN-0.00%"/>
        <s v="Rp17,500-48 LSN-0.00%"/>
        <s v="Rp17,500-36 LSN-0.00%"/>
        <s v="Rp17,500-24 LSN-0.00%"/>
        <s v="Rp9,000-30 PCS-10.00%"/>
        <s v="Rp12,000-30 PCS-10.00%"/>
        <s v="Rp10,000-30 SET-10.00%"/>
        <s v="Rp15,000-30 SET-10.00%"/>
        <s v="Rp7,000-30 SET-0.00%"/>
        <s v="Rp100,000-6 LSN-10.00%"/>
        <s v="Rp120,000-6 LSN-10.00%"/>
        <s v="Rp17,500-10 LSN-0.00%"/>
        <s v="Rp29,000-10 LSN-0.00%"/>
        <s v="Rp33,500-10 LSN-0.00%"/>
        <s v="Rp198,000-6 LSN-0.00%"/>
        <s v="Rp21,000-96 PCS-0.00%"/>
        <s v="Rp183,500-5 LSN-0.00%"/>
        <s v="Rp29,000-144 LSN-0.00%"/>
        <s v="Rp17,500-12 PCS-0.00%"/>
        <s v="Rp1,083-72 PCS-0.00%"/>
        <s v="Rp27,500-6 LSN-0.00%"/>
        <s v="Rp10,500-24 LSN-0.00%"/>
        <s v="Rp20,000-24 LSN-0.00%"/>
        <s v="Rp18,500-100 PAK-0.00%"/>
        <s v="Rp3,125-144 PCS-0.00%"/>
        <s v="Rp20,000-10 LSN-0.00%"/>
        <s v="Rp186,000-3 LSN-0.00%"/>
        <s v="Rp150,000-3 LSN-0.00%"/>
        <s v="Rp190,000-3 LSN-0.00%"/>
        <s v="Rp178,000-2 LSN-0.00%"/>
        <s v="Rp27,500-6 BOX (24)-0.00%"/>
        <s v="Rp27,500-6 PAK-0.00%"/>
        <s v="Rp90,000-15 GRS-0.00%"/>
        <s v="Rp90,000-3 GRS-0.00%"/>
        <s v="Rp2,750-50 PCS-0.00%"/>
        <s v="Rp47,000-12 LSN-0.00%"/>
        <s v="Rp52,000-5 BOX-0.00%"/>
        <s v="Rp26,500-24 PCS-0.00%"/>
        <s v="Rp100,000-2 GRS-0.00%"/>
        <s v="Rp25,000-24 LSN-0.00%"/>
        <s v="Rp60,000-24 LSN-0.00%"/>
        <s v="Rp26,780-100 LSN-10.00%"/>
        <s v="Rp75,000-20 GRS-0.00%"/>
        <s v="Rp9,000-200 LSN-0.00%"/>
        <s v="Rp84,000-48 LSN-0.00%"/>
        <s v="Rp19,500-180 LSN-0.00%"/>
        <s v="Rp10,000-288 LSN-0.00%"/>
        <s v="Rp15,000-5 LSN-0.00%"/>
        <s v="Rp9,000-3 LSN-0.00%"/>
        <s v="Rp29,000-5 LSN-10.00%"/>
        <s v="Rp90,000-5 LSN-0.00%"/>
        <s v="Rp27,500-5 LSN-0.00%"/>
        <s v="Rp12,500-3 LSN-0.00%"/>
        <s v="Rp17,500-3 LSN-0.00%"/>
        <s v="Rp15,000-3 LSN-0.00%"/>
        <s v="Rp25,000-3 LSN-0.00%"/>
        <s v="Rp12,500-6 LSN-0.00%"/>
        <s v="Rp30,000-6 PCS-0.00%"/>
        <s v="Rp90,000-1 LSN-0.00%"/>
        <s v="Rp1,667-24 PCS-0.00%"/>
        <s v="Rp45,000-1 PAK (100)-0.00%"/>
        <s v="Rp21,000-12 SET-0.00%"/>
        <s v="Rp19,000-12 SET-0.00%"/>
        <s v="Rp21,000-10 LSN-0.00%"/>
        <s v="Rp21,000-2 LSN-0.00%"/>
        <s v="Rp1,400-50 PCS-0.00%"/>
        <s v="Rp90,000-2 LSN-0.00%"/>
        <s v="Rp3,000-20 PCS-0.00%"/>
        <s v="Rp20,000-3 PCS-0.00%"/>
        <s v="Rp15,833-12 PCS-0.00%"/>
        <s v="Rp22,500-6 PCS-0.00%"/>
        <s v="Rp27,500-6 PCS-0.00%"/>
        <s v="Rp15,600-3 LSN-0.00%"/>
        <s v="Rp12,500-4 LSN-10.00%"/>
        <s v="Rp32,500-1 LSN-0.00%"/>
        <s v="Rp198,000-18 LSN-0.00%"/>
        <s v="Rp270,000-15 LSN-0.00%"/>
        <s v="Rp312,000-18 LSN-0.00%"/>
        <s v="Rp12,500-192 PCS-0.00%"/>
        <s v="Rp14,500-192 PCS-0.00%"/>
        <s v="Rp32,500-2 LSN-14.50%"/>
        <s v="Rp52,500-2 LSN-14.50%"/>
        <s v="Rp195,000-2 LSN-14.50%"/>
        <s v="Rp182,000-2 LSN-14.50%"/>
        <s v="Rp75,000-2 LSN-14.50%"/>
        <s v="Rp3,250-60 PAK-14.50%"/>
        <s v="Rp3,250-50 PAK-14.50%"/>
        <s v="Rp2,250-50 PAK-14.50%"/>
        <s v="Rp4,000-50 PAK-14.50%"/>
        <s v="Rp36,500-3 LSN-14.50%"/>
        <s v="Rp17,500-3 LSN-14.50%"/>
        <s v="Rp27,500-3 LSN-14.50%"/>
        <s v="Rp10,833-12 PCS-14.50%"/>
        <s v="Rp50,000-12 PCS-14.50%"/>
        <s v="Rp25,417-12 PCS-14.50%"/>
        <s v="Rp90,000-1 LSN-14.50%"/>
        <s v="Rp175,000-1 LSN-14.50%"/>
        <s v="Rp115,000-1 LSN-14.50%"/>
        <s v="Rp115,500-1 LSN-14.50%"/>
        <s v="Rp4,167-24 PCS-14.50%"/>
        <s v="Rp30,000-1 LSN-14.50%"/>
        <s v="Rp185,000-1 LSN-14.50%"/>
        <s v="Rp12,000-12 SET-14.50%"/>
        <s v="Rp18,000-12 SET-14.50%"/>
        <s v="Rp240,000-1 LSN-14.50%"/>
        <s v="Rp200,000-2 LSN-14.50%"/>
        <s v="Rp157,500-2 LSN-14.50%"/>
        <s v="Rp85,000-2 LSN-14.50%"/>
        <s v="Rp93,500-2 LSN-14.50%"/>
        <s v="Rp170,000-2 LSN-14.50%"/>
        <s v="Rp7,083-24 PCS-14.50%"/>
        <s v="Rp170,000-1 LSN-14.50%"/>
        <s v="Rp14,000-12 SET-14.50%"/>
        <s v="Rp9,167-12 PCS-14.50%"/>
        <s v="Rp6,667-12 PCS-14.50%"/>
        <s v="Rp250,000-1 LSN-14.50%"/>
        <s v="Rp180,000-1 LSN-14.50%"/>
        <s v="Rp150,000-1 LSN-14.50%"/>
        <s v="Rp16,667-12 PCS-14.50%"/>
        <s v="Rp100,000-1 LSN-14.50%"/>
        <s v="Rp130,000-1 LSN-14.50%"/>
        <s v="Rp110,000-1 LSN-14.50%"/>
        <s v="Rp275,000-1 LSN-14.50%"/>
        <s v="Rp250,000-0.5 LSN-14.50%"/>
        <s v="Rp425,000-1 LSN-14.50%"/>
        <s v="Rp400,000-1 LSN-14.50%"/>
        <s v="Rp140,000-1 LSN-14.50%"/>
        <s v="Rp8,500-12 PAK-14.50%"/>
        <s v="Rp24,000-12 PAK-14.50%"/>
        <s v="Rp10,000-12 PAK-14.50%"/>
        <s v="Rp6,250-24 PCS-14.50%"/>
        <s v="Rp6,250-36 PCS-14.50%"/>
        <s v="Rp350,000-1 LSN-14.50%"/>
        <s v="Rp20,000-12 LSN-14.50%"/>
        <s v="Rp147,000-1 GRS-14.50%"/>
        <s v="Rp29,000-6 LSN-14.50%"/>
        <s v="Rp27,000-6 LSN-14.50%"/>
        <s v="Rp2,250-72 PCS-14.50%"/>
        <s v="Rp22,500-6 LSN-14.50%"/>
        <s v="Rp1,875-72 PCS-14.50%"/>
        <s v="Rp22,500-12 LSN-14.50%"/>
        <s v="Rp168,000-2 LSN-14.50%"/>
        <s v="Rp145,000-1 GRS-14.50%"/>
        <s v="Rp20,000-12 PCS-14.50%"/>
        <s v="Rp50,000-1 LSN-14.50%"/>
        <s v="Rp45,000-1 LSN-14.50%"/>
        <s v="Rp31,500-6 LSN-14.50%"/>
        <s v="Rp57,500-1 LSN-14.50%"/>
        <s v="Rp92,500-1 LSN-14.50%"/>
        <s v="Rp50,000-12 LSN-14.50%"/>
        <s v="Rp20,000-5 LSN-14.50%"/>
        <s v="Rp200,000-1 LSN-14.50%"/>
        <s v="Rp27,500-2 LSN-14.50%"/>
        <s v="Rp20,000-6 LSN-14.50%"/>
        <s v="Rp24,000-6 BOX (24)-14.50%"/>
        <s v="Rp450,000-1 LSN-14.50%"/>
        <s v="Rp135,000-2 LSN-14.50%"/>
        <s v="Rp240,000-2 LSN-14.50%"/>
        <s v="Rp210,000-2 LSN-14.50%"/>
        <s v="Rp3,250-48 PCS-14.50%"/>
        <s v="Rp2,000-40 PCS-14.50%"/>
        <s v="Rp30,000-12 LSN-14.50%"/>
        <s v="Rp35,000-6 LSN-14.50%"/>
        <s v="Rp55,000-6 LSN-14.50%"/>
        <s v="Rp120,000-2 LSN-14.50%"/>
        <s v="Rp46,500-1 LSN-14.50%"/>
        <s v="Rp30,000-6.66667 LSN-14.50%"/>
        <s v="Rp100,000-6 BOX (24)-14.50%"/>
        <s v="Rp24,000-6 LSN-14.50%"/>
        <s v="Rp25,000-12 LSN-14.50%"/>
        <s v="Rp27,083-6 PCS-14.50%"/>
        <s v="Rp31,250-6 PCS-14.50%"/>
        <s v="Rp37,500-6 PCS-14.50%"/>
        <s v="Rp41,667-6 PCS-14.50%"/>
        <s v="Rp325,000-1 LSN-14.50%"/>
        <s v="Rp60,000-6 LSN-14.50%"/>
        <s v="Rp90,000-1 GRS-14.50%"/>
        <s v="Rp46,500-4 LSN-14.50%"/>
        <s v="Rp140,000-4 LSN-14.50%"/>
        <s v="Rp60,000-4 LSN-14.50%"/>
        <s v="Rp12,000-48 PCS-14.50%"/>
        <s v="Rp105,000-2 LSN-14.50%"/>
        <s v="Rp57,500-4 LSN-14.50%"/>
        <s v="Rp47,500-8 LSN-14.50%"/>
        <s v="Rp175,000-2 LSN-14.50%"/>
        <s v="Rp175,000-0.66667 LSN-14.50%"/>
        <s v="Rp29,167-24 PCS-14.50%"/>
        <s v="Rp360,000-2 LSN-14.50%"/>
        <s v="Rp33,333-24 PCS-14.50%"/>
        <s v="Rp33,333-6 PCS-14.50%"/>
        <s v="Rp30,000-6 LSN-14.50%"/>
        <s v="Rp2,500-72 PCS-14.50%"/>
        <s v="Rp30,000-3 LSN-14.50%"/>
        <s v="Rp27,500-12 PCS-14.50%"/>
        <s v="Rp300,000-1 LSN-14.50%"/>
        <s v="Rp17,500-12 PCS-14.50%"/>
        <s v="Rp3,250-20 PCS-14.50%"/>
        <s v="Rp15,000-2 LSN-14.50%"/>
        <s v="Rp135,000-1 LSN-14.50%"/>
        <s v="Rp225,000-1 LSN-14.50%"/>
        <s v="Rp18,750-3 PCS-14.50%"/>
        <s v="Rp2,250-100 PCS-14.50%"/>
        <s v="Rp27,500-4 BOX-14.50%"/>
        <s v="Rp2,500-32 PCS-14.50%"/>
        <s v="Rp60,000-1 LSN-14.50%"/>
        <s v="Rp25,000-2 BOX-14.50%"/>
        <s v="Rp90,000-2 PAK-14.50%"/>
        <s v="Rp2,625-32 PCS-14.50%"/>
        <s v="Rp144,000-4 BOX-14.50%"/>
        <s v="Rp400,000-2 LSN-14.50%"/>
        <s v="Rp41,667-24 PCS-14.50%"/>
        <s v="Rp45,833-24 PCS-14.50%"/>
        <s v="Rp32,500-24 PCS-14.50%"/>
        <s v="Rp27,500-24 PCS-14.50%"/>
        <s v="Rp225,000-2 LSN-14.50%"/>
        <s v="Rp14,583-24 PCS-14.50%"/>
        <s v="Rp75,000-1 PAK-14.50%"/>
        <s v="Rp17,000-2 BOX-14.50%"/>
        <s v="Rp2,500-56 PCS-14.50%"/>
        <s v="Rp125,000-1 BOX-14.50%"/>
        <s v="Rp4,000-50 PCS-14.50%"/>
        <s v="Rp9,500-12 PAK-14.50%"/>
        <s v="Rp330,000-1 LSN-0.00%"/>
        <s v="Rp162,000-1 LSN-0.00%"/>
        <s v="Rp13,500-12 PCS-0.00%"/>
        <s v="Rp29,167-12 PCS-0.00%"/>
        <s v="Rp80,000-1 LSN-0.00%"/>
        <s v="Rp16,667-12 PCS-0.00%"/>
        <s v="Rp55,000-1 LSN-0.00%"/>
        <s v="Rp8,333-12 PCS-0.00%"/>
        <s v="Rp22,500-12 PCS-0.00%"/>
        <s v="Rp58,333-12 PCS-0.00%"/>
        <s v="Rp9,000-10 PAK-0.00%"/>
        <s v="Rp5,417-12 PCS-0.00%"/>
        <s v="Rp25,000-6 PCS-0.00%"/>
        <s v="Rp18,000-1 LSN-0.00%"/>
        <s v="Rp175,000-1 GRS-0.00%"/>
        <s v="Rp195,000-1 GRS-0.00%"/>
        <s v="Rp215,000-1 GRS-0.00%"/>
        <s v="Rp240,000-1 GRS-0.00%"/>
        <s v="Rp525,000-1 LSN-0.00%"/>
        <s v="Rp2,750-200 PCS-0.00%"/>
        <s v="Rp87,500-5 BOX-0.00%"/>
        <s v="Rp73,500-5 BOX-0.00%"/>
        <s v="Rp80,000-2 BOX-0.00%"/>
        <s v="Rp11,500-24 LSN-0.00%"/>
        <s v="Rp102,000-1 BOX-0.00%"/>
        <s v="Rp156,000-1 BOX-0.00%"/>
        <s v="Rp228,000-1 BOX-0.00%"/>
        <s v="Rp250,000-2 LSN-0.00%"/>
        <s v="Rp50,000-12 PCS-0.00%"/>
        <s v="Rp63,000-6 LSN-0.00%"/>
        <s v="Rp7,500-6 BOX-0.00%"/>
        <s v="Rp135,000-2 LSN-0.00%"/>
        <s v="Rp240,000-2 LSN-0.00%"/>
        <s v="Rp25,000-24 PCS-0.00%"/>
        <s v="Rp37,500-24 PCS-0.00%"/>
        <s v="Rp32,500-12 PCS-0.00%"/>
        <s v="Rp9,500-100 PAK-0.00%"/>
        <s v="Rp2,400-50 PAK-0.00%"/>
        <s v="Rp3,250-50 PAK-0.00%"/>
        <s v="Rp1,400-100 PCS-0.00%"/>
        <s v="Rp7,500-12 PCS-0.00%"/>
        <s v="Rp7,000-12 SET-0.00%"/>
        <s v="Rp7,000-12 PCS-0.00%"/>
        <s v="Rp2,400-15 PCS-0.00%"/>
        <s v="Rp125,000-5 LSN-0.00%"/>
        <s v="Rp100,000-5 LSN-0.00%"/>
        <s v="Rp80,000-5 LSN-0.00%"/>
        <s v="Rp150,000-5 LSN-0.00%"/>
        <s v="Rp75,000-5 LSN-0.00%"/>
        <s v="Rp170,000-1 LSN-0.00%"/>
        <s v="Rp20,000-2 LSN-0.00%"/>
        <s v="Rp30,000-2 LSN-0.00%"/>
        <s v="Rp120,000-1 LSN-0.00%"/>
        <s v="Rp57,500-1 LSN-0.00%"/>
        <s v="Rp140,000-1 LSN-0.00%"/>
        <s v="Rp200,000-1 LSN-0.00%"/>
        <s v="Rp155,000-1 LSN-0.00%"/>
        <s v="Rp290,000-1 LSN-0.00%"/>
        <s v="Rp85,000-1 LSN-0.00%"/>
        <s v="Rp70,000-5 PAK-0.00%"/>
        <s v="Rp70,000-3 PAK-0.00%"/>
        <s v="Rp125,000-3 PAK-0.00%"/>
        <s v="Rp90,000-3 PAK-0.00%"/>
        <s v="Rp50,000-2 PAK-0.00%"/>
        <s v="Rp350,000-0.5 LSN-0.00%"/>
        <s v="Rp1,750-30 PCS-0.00%"/>
        <s v="Rp1,750-40 PCS-0.00%"/>
        <s v="Rp270,000-0.16667 GRS-0.00%"/>
        <s v="Rp285,000-1 GRS-0.00%"/>
        <s v="Rp14,500-36 PCS-0.00%"/>
        <s v="Rp16,500-36 PCS-0.00%"/>
        <s v="Rp168,000-2 BOX-0.00%"/>
        <s v="Rp55,000-6 BOX-0.00%"/>
        <s v="Rp140,000-6 LSN-0.00%"/>
        <s v="Rp85,000-3 LSN-0.00%"/>
        <s v="Rp12,500-12 LSN-0.00%"/>
        <s v="Rp18,750-12 PCS-0.00%"/>
        <s v="Rp225,000-6 LSN-0.00%"/>
        <s v="Rp23,000-6 LSN-0.00%"/>
        <s v="Rp2,500-72 PCS-0.00%"/>
        <s v="Rp1,917-72 PCS-0.00%"/>
        <s v="Rp16,500-12 LSN-0.00%"/>
        <s v="Rp1,375-144 PCS-0.00%"/>
        <s v="Rp72,000-2 BOX-0.00%"/>
        <s v="Rp120,000-12 LSN-0.00%"/>
        <s v="Rp3,208-144 PCS-0.00%"/>
        <s v="Rp48,000-3.5 GRS-0.00%"/>
        <s v="Rp100,000-12 PCS-0.00%"/>
        <s v="Rp30,000-3 LSN-0.00%"/>
        <s v="Rp3,400-400 PAK-0.00%"/>
        <s v="Rp22,500-36 PCS-10.00%"/>
        <s v="Rp24,500-24 LSN-0.00%"/>
        <s v="Rp100,000-6 GRS-0.00%"/>
        <s v="Rp36,000-1 PAK (20)-0.00%"/>
        <s v="Rp36,000-1 BOX-0.00%"/>
        <s v="Rp22,500-3 LSN-0.00%"/>
        <s v="Rp18,500-34 LSN-0.00%"/>
        <s v="Rp18,500-31 LSN-0.00%"/>
        <s v="Rp198,000-1 LSN-0.00%"/>
        <s v="Rp16,500-12 PCS-0.00%"/>
        <s v="Rp67,500-1 TOP-0.00%"/>
        <s v="Rp25,000-30 PCS-0.00%"/>
        <s v="Rp7,500-17 ROL-0.00%"/>
        <s v="Rp70,000-10 LSN-10.00%"/>
        <s v="Rp9,000-12 PCS-0.00%"/>
        <s v="Rp26,780-3 LSN-0.00%"/>
        <s v="Rp16,000-6 PCS-0.00%"/>
        <s v="Rp10,417-72 PCS-0.00%"/>
        <s v="Rp13,000-36 PCS-0.00%"/>
        <s v="Rp11,250-36 PCS-0.00%"/>
        <s v="Rp18,000-36 PCS-0.00%"/>
        <s v="Rp11,000-36 PCS-0.00%"/>
        <s v="Rp14,000-36 PCS-0.00%"/>
        <s v="Rp12,500-36 PCS-0.00%"/>
        <s v="Rp14,000-72 PCS-0.00%"/>
        <s v="Rp200,000-4 LSN-10.00%"/>
        <s v="Rp33,333-12 PCS-10.00%"/>
        <s v="Rp27,500-12 PCS-0.00%"/>
        <s v="Rp75,000-4 LSN-0.00%"/>
        <s v="Rp105,000-3 LSN-0.00%"/>
        <s v="Rp9,000-36 PCS-0.00%"/>
        <s v="Rp60,000-4 LSN-0.00%"/>
        <s v="Rp4,792-48 PCS-0.00%"/>
        <s v="Rp80,000-20 LSN-0.00%"/>
        <s v="Rp60,000-10 LSN-0.00%"/>
        <s v="Rp18,000-10 LSN-0.00%"/>
        <s v="Rp6,500-200 PAK-0.00%"/>
        <s v="Rp1,600-600 PAK-0.00%"/>
        <s v="Rp19,500-20 PAK-0.00%"/>
        <s v="Rp216,000-3 BOX-0.00%"/>
        <s v="Rp14,500-288 LSN-0.00%"/>
        <s v="Rp30,500-192 LSN-0.00%"/>
        <s v="Rp30,500-96 LSN-0.00%"/>
        <s v="Rp30,500-288 LSN-0.00%"/>
        <s v="Rp13,500-120 LSN-0.00%"/>
        <s v="Rp39,000-96 LSN-0.00%"/>
        <s v="Rp45,000-96 LSN-0.00%"/>
        <s v="Rp33,000-96 LSN-0.00%"/>
        <s v="Rp27,000-72 PAK-0.00%"/>
        <s v="Rp27,000-36 PAK-0.00%"/>
        <s v="Rp65,000-10 PCS-0.00%"/>
        <s v="Rp55,000-6 PCS-0.00%"/>
        <s v="Rp29,000-42 LSN-0.00%"/>
        <s v="Rp3,100-100 PCS-0.00%"/>
        <s v="Rp9,500-30 LSN-0.00%"/>
        <s v="Rp10,000-192 LSN-0.00%"/>
        <s v="Rp22,500-36 LSN-0.00%"/>
        <s v="Rp100,000-4 LSN-0.00%"/>
        <s v="Rp11,000-12 LSN-0.00%"/>
        <s v="Rp26,780-20 LSN-20.00%"/>
        <s v="Rp21,380-20 LSN-20.00%"/>
        <s v="Rp2,250-120 PAK-0.00%"/>
        <s v="Rp4,167-12 PCS-0.00%"/>
        <s v="Rp115,000-1 LSN-0.00%"/>
        <s v="Rp125,000-0.5 LSN-0.00%"/>
        <s v="Rp9,500-12 PCS-0.00%"/>
        <s v="Rp11,000-12 PCS-0.00%"/>
        <s v="Rp1,000-200 PCS-0.00%"/>
        <s v="Rp11,000-20 PCS-0.00%"/>
        <s v="Rp5,500-100 PCS-0.00%"/>
        <s v="Rp6,000-30 PCS-0.00%"/>
        <s v="Rp5,250-40 PCS-0.00%"/>
        <s v="Rp157,500-1 LSN-0.00%"/>
        <s v="Rp20,000-1 LSN-0.00%"/>
        <s v="Rp7,083-12 PCS-0.00%"/>
        <s v="Rp93,500-1 LSN-0.00%"/>
        <s v="Rp12,500-24 PCS-0.00%"/>
        <s v="Rp24,000-24 PAK-0.00%"/>
        <s v="Rp6,250-36 PCS-0.00%"/>
        <s v="Rp24,000-12 PAK-0.00%"/>
        <s v="Rp5,000-48 PCS-0.00%"/>
        <s v="Rp25,000-12 PAK-0.00%"/>
        <s v="Rp10,000-12 PAK-0.00%"/>
        <s v="Rp14,583-12 PCS-0.00%"/>
        <s v="Rp7,500-24 PCS-0.00%"/>
        <s v="Rp9,000-40 PCS-0.00%"/>
        <s v="Rp147,000-1 LSN-0.00%"/>
        <s v="Rp30,000-12 PSK-0.00%"/>
        <s v="Rp90,000-1 DISP-0.00%"/>
        <s v="Rp100,000-1 DISP-0.00%"/>
        <s v="Rp90,000-1 PAK-0.00%"/>
        <s v="Rp143,000-1 PAK-0.00%"/>
        <s v="Rp52,500-1 LSN-0.00%"/>
        <s v="Rp182,000-1 LSN-0.00%"/>
        <s v="Rp75,000-1 LSN-0.00%"/>
        <s v="Rp195,000-1 LSN-0.00%"/>
        <s v="Rp115,000-1 DISP-0.00%"/>
        <s v="Rp37,500-12 PCS-0.00%"/>
        <s v="Rp27,000-12 PCS-0.00%"/>
        <s v="Rp42,000-2 BOX-0.00%"/>
        <s v="Rp29,000-2 LSN-0.00%"/>
        <s v="Rp36,500-2 LSN-0.00%"/>
        <s v="Rp58,000-2 LSN-0.00%"/>
        <s v="Rp27,000-7 LSN-0.00%"/>
        <s v="Rp132,000-2 BOX-0.00%"/>
        <s v="Rp15,000-1 LSN-0.00%"/>
        <s v="Rp22,000-1 LSN-0.00%"/>
        <s v="Rp220,000-1 BOX-0.00%"/>
        <s v="Rp137,500-1 BOX-0.00%"/>
        <s v="Rp30,000-1 LSN-0.00%"/>
        <s v="Rp3,600-120 PCS-0.00%"/>
        <s v="Rp117,000-1 BOX-0.00%"/>
        <s v="Rp40,000-4 LSN-0.00%"/>
        <s v="Rp6,000-50 PCS-0.00%"/>
        <s v="Rp2,000-50 PCS-0.00%"/>
        <s v="Rp22,500-12 LSN-0.00%"/>
        <s v="Rp57,500-2 LSN-0.00%"/>
        <s v="Rp140,000-2 LSN-0.00%"/>
        <s v="Rp105,000-2 LSN-0.00%"/>
        <s v="Rp35,000-4 LSN-0.00%"/>
        <s v="Rp100,000-2 LSN-0.00%"/>
        <s v="Rp37,000-4 LSN-0.00%"/>
        <s v="Rp3,250-48 PCS-0.00%"/>
        <s v="Rp24,000-1 LSN-0.00%"/>
        <s v="Rp96,000-2 BOX-0.00%"/>
        <s v="Rp95,000-2 BOX-0.00%"/>
        <s v="Rp15,500-2 BOX-0.00%"/>
        <s v="Rp15,000-6 SET-0.00%"/>
        <s v="Rp12,500-6 SET-0.00%"/>
        <s v="Rp21,000-6 PCS-0.00%"/>
        <s v="Rp35,000-6 SET-0.00%"/>
        <s v="Rp40,000-1 LSN-0.00%"/>
        <s v="Rp42,000-1 PAK-0.00%"/>
        <s v="Rp220,000-1 LSN-0.00%"/>
        <s v="Rp30,000-2 PAK-0.00%"/>
        <s v="Rp21,500-12 LSN-0.00%"/>
        <s v="Rp21,500-6 LSN-0.00%"/>
        <s v="Rp145,000-1 GRS-0.00%"/>
        <s v="Rp22,500-4 LSN-0.00%"/>
        <s v="Rp22,500-2 LSN-0.00%"/>
        <s v="Rp27,000-2 LSN-0.00%"/>
        <s v="Rp136,500-1 LSN-0.00%"/>
        <s v="Rp147,000-1 GRS-0.00%"/>
        <s v="Rp168,000-1 LSN-0.00%"/>
        <s v="Rp22,500-10 PAK-0.00%"/>
        <s v="Rp2,500-12 PCS-0.00%"/>
        <s v="Rp45,000-24 LSN-0.00%"/>
        <s v="Rp45,000-6 LSN-0.00%"/>
        <s v="Rp30,000-4 LSN-0.00%"/>
        <s v="Rp52,500-4 LSN-0.00%"/>
        <s v="Rp35,000-6 LSN-0.00%"/>
        <s v="Rp30,000-6 LSN-0.00%"/>
        <s v="Rp60,000-0.5 LSN-0.00%"/>
        <s v="Rp100,000-1 BOX-0.00%"/>
        <s v="Rp174,000-2 BOX-0.00%"/>
        <s v="Rp348,000-2 BOX-0.00%"/>
        <s v="Rp372,000-1 BOX-0.00%"/>
        <s v="Rp22,500-1 LSN-0.00%"/>
        <s v="Rp3,250-20 PCS-0.00%"/>
        <s v="Rp27,500-1 LSN-0.00%"/>
        <s v="Rp27,500-2 BOX-0.00%"/>
        <s v="Rp30,000-1 PAK-0.00%"/>
        <s v="Rp45,000-1 PAK-0.00%"/>
        <s v="Rp2,250-12 PCS-0.00%"/>
        <s v="Rp28,000-2 LSN-0.00%"/>
        <s v="Rp25,000-4 LSN-0.00%"/>
        <s v="Rp66,000-1 BOX (36)-0.00%"/>
        <s v="Rp26,500-4 LSN-0.00%"/>
        <s v="Rp144,000-3 BOX-0.00%"/>
        <s v="Rp60,000-2 BOX (60)-0.00%"/>
        <s v="Rp1,100-50 PCS-0.00%"/>
        <s v="Rp55,000-1 SLOP-0.00%"/>
        <s v="Rp26,500-2 LSN-0.00%"/>
        <s v="Rp46,500-1 BOX (12)-0.00%"/>
        <s v="Rp37,000-2 LSN-0.00%"/>
        <s v="Rp11,000-12 SET-0.00%"/>
        <s v="Rp52,500-1 BOX-0.00%"/>
        <s v="Rp4,583-48 PCS-0.00%"/>
        <s v="Rp155,000-2 LSN-0.00%"/>
        <s v="Rp17,500-1 LSN-0.00%"/>
        <s v="Rp31,000-2 LSN-0.00%"/>
        <s v="Rp16,000-1 PAK-0.00%"/>
        <s v="Rp2,500-42 PCS-0.00%"/>
        <s v="Rp2,500-48 PCS-0.00%"/>
        <s v="Rp28,500-6 PCS-0.00%"/>
        <s v="Rp31,500-3 LSN-0.00%"/>
        <s v="Rp18,000-6 PCS-0.00%"/>
        <s v="Rp9,500-2 PAK-0.00%"/>
        <s v="Rp8,000-2 PAK-0.00%"/>
        <s v="Rp11,500-2 PAK-0.00%"/>
        <s v="Rp1,000-20 PCS-0.00%"/>
        <s v="Rp3,500-12 PCS-0.00%"/>
        <s v="Rp34,000-4 LSN-0.00%"/>
        <s v="Rp11,375-12 PCS-0.00%"/>
        <s v="Rp216,000-2 BOX-0.00%"/>
        <s v="Rp6,750-12 BOX-0.00%"/>
        <s v="Rp96,000-1 GRS-0.00%"/>
        <s v="Rp32,500-144 LSN-0.00%"/>
        <s v="Rp24,000-12 BOX-0.00%"/>
        <s v="Rp25,000-12 BOX-0.00%"/>
        <s v="Rp300,000-1 PAK-0.00%"/>
        <s v="Rp15,000-12 BOX-0.00%"/>
        <s v="Rp43,000-1 LSN-0.00%"/>
        <s v="Rp31,500-12 PCS-0.00%"/>
        <s v="Rp24,000-12 PCS-0.00%"/>
        <s v="Rp15,000-100 PAK-0.00%"/>
        <s v="Rp10,000-30 PAK-0.00%"/>
        <s v="Rp55,000-5 LSN-0.00%"/>
        <s v="Rp185,000-5 LSN-0.00%"/>
        <s v="Rp85,000-5 LSN-0.00%"/>
        <s v="Rp148,500-5 LSN-0.00%"/>
        <s v="Rp4,583-60 PCS-0.00%"/>
        <s v="Rp3,000-50 PAK-0.00%"/>
        <s v="Rp37,000-6 LSN-0.00%"/>
        <s v="Rp40,000-12 LSN-0.00%"/>
        <s v="Rp21,500-4 LSN-0.00%"/>
        <s v="Rp30,000-12 LSN-0.00%"/>
        <s v="Rp42,000-6 LSN-0.00%"/>
        <s v="Rp40,000-6 LSN-0.00%"/>
        <s v="Rp70,000-3 LSN-0.00%"/>
        <s v="Rp37,500-12 LSN-0.00%"/>
        <s v="Rp132,000-1 GRS-0.00%"/>
        <s v="Rp120,000-1 GRS-0.00%"/>
        <s v="Rp10,000-12 LSN-0.00%"/>
        <s v="Rp21,000-6 LSN-0.00%"/>
        <s v="Rp37,500-6 LSN-0.00%"/>
        <s v="Rp50,000-6 LSN-0.00%"/>
        <s v="Rp240,000-2 BOX-0.00%"/>
        <s v="Rp15,000-4 LSN-0.00%"/>
        <s v="Rp2,000-80 PCS-0.00%"/>
        <s v="Rp100,000-2 BOX (40)-0.00%"/>
        <s v="Rp3,500-25 PAK-0.00%"/>
        <s v="Rp7,000-25 PAK-0.00%"/>
        <s v="Rp2,250-100 PCS-0.00%"/>
        <s v="Rp29,167-24 PCS-0.00%"/>
        <s v="Rp9,167-36 PCS-0.00%"/>
        <s v="Rp6,667-36 PCS-0.00%"/>
        <s v="Rp17,083-24 PCS-0.00%"/>
        <s v="Rp60,000-3 LSN-0.00%"/>
        <s v="Rp47,500-3 LSN-0.00%"/>
        <s v="Rp110,000-3 LSN-0.00%"/>
        <s v="Rp22,500-24 PCS-0.00%"/>
        <s v="Rp270,000-2 LSN-0.00%"/>
        <s v="Rp11,000-24 PCS-0.00%"/>
        <s v="Rp4,000-72 PCS-0.00%"/>
        <s v="Rp9,000-72 PCS-0.00%"/>
        <s v="Rp10,000-42 PCS-0.00%"/>
        <s v="Rp225,000-2 LSN-0.00%"/>
        <s v="Rp18,750-24 PCS-0.00%"/>
        <s v="Rp43,000-6 LSN-0.00%"/>
        <s v="Rp20,833-12 PCS-0.00%"/>
        <s v="Rp147,000-2 LSN-0.00%"/>
        <s v="Rp16,667-24 PCS-0.00%"/>
        <s v="Rp25,000-24 BOX-0.00%"/>
        <s v="Rp14,583-60 PCS-0.00%"/>
        <s v="Rp200,000-6 LSN-0.00%"/>
        <s v="Rp115,500-6 LSN-0.00%"/>
        <s v="Rp115,000-5 DISP-0.00%"/>
        <s v="Rp90,000-5 DISP-0.00%"/>
        <s v="Rp55,000-10 LSN-0.00%"/>
        <s v="Rp85,000-10 LSN-0.00%"/>
        <s v="Rp110,000-10 LSN-0.00%"/>
        <s v="Rp157,500-10 LSN-0.00%"/>
        <s v="Rp148,500-10 LSN-0.00%"/>
        <s v="Rp100,000-10 LSN-0.00%"/>
        <s v="Rp1,100-300 PAK-0.00%"/>
        <s v="Rp157,500-6 LSN-0.00%"/>
        <s v="Rp52,500-6 LSN-0.00%"/>
        <s v="Rp93,500-6 LSN-0.00%"/>
        <s v="Rp85,000-6 LSN-0.00%"/>
        <s v="Rp195,000-6 LSN-0.00%"/>
        <s v="Rp65,000-6 LSN-0.00%"/>
        <s v="Rp13,125-72 PCS-0.00%"/>
        <s v="Rp25,000-24 SET-0.00%"/>
        <s v="Rp105,000-4 LSN-0.00%"/>
        <s v="Rp140,000-4 LSN-0.00%"/>
        <s v="Rp240,000-4 LSN-0.00%"/>
        <s v="Rp202,000-4 LSN-0.00%"/>
        <s v="Rp210,000-4 LSN-0.00%"/>
        <s v="Rp11,375-48 PCS-0.00%"/>
        <s v="Rp73,500-5 BOX (100)-0.00%"/>
        <s v="Rp52,500-24 LSN-0.00%"/>
        <s v="Rp27,500-24 LSN-0.00%"/>
        <s v="Rp40,000-24 LSN-0.00%"/>
        <s v="Rp6,000-250 PCS-0.00%"/>
        <s v="Rp31,500-6 LSN-0.00%"/>
        <s v="Rp3,250-240 PCS-0.00%"/>
        <s v="Rp16,667-48 PCS-0.00%"/>
        <s v="Rp425,000-2 LSN-0.00%"/>
        <s v="Rp29,167-24 SET-0.00%"/>
        <s v="Rp275,000-2 LSN-0.00%"/>
        <s v="Rp57,500-3 LSN-0.00%"/>
        <s v="Rp80,000-2 LSN-0.00%"/>
        <s v="Rp50,000-3 LSN-0.00%"/>
        <s v="Rp90,000-3 LSN-0.00%"/>
        <s v="Rp5,833-36 PCS-0.00%"/>
        <s v="Rp240,000-3 BOX-0.00%"/>
        <s v="Rp11,500-10 PAK-0.00%"/>
        <s v="Rp125,000-5 BOX-0.00%"/>
        <s v="Rp2,500-360 PCS-0.00%"/>
        <s v="Rp105,000-5 BOX-0.00%"/>
        <s v="Rp2,500-240 PCS-0.00%"/>
        <s v="Rp20,000-50 PAK-0.00%"/>
        <s v="Rp11,000-50 PAK-0.00%"/>
        <s v="Rp500-100 PCS-14.50%"/>
        <s v="Rp9,000-36 PCS-14.50%"/>
        <s v="Rp19,000-36 PCS-14.50%"/>
        <s v="Rp22,500-36 PCS-14.50%"/>
        <s v="Rp12,000-36 PCS-14.50%"/>
        <s v="Rp3,250-240 PCS-14.50%"/>
        <s v="Rp385,000-2 LSN-14.50%"/>
        <s v="Rp168,000-1 BOX-0.00%"/>
        <s v="Rp48,000-6 LSN-0.00%"/>
        <s v="Rp243,000-1 LSN-0.00%"/>
        <s v="Rp150,000-1 BOX-0.00%"/>
        <s v="Rp138,000-2 LSN-0.00%"/>
        <s v="Rp25,500-12 PCS-0.00%"/>
        <s v="Rp16,500-24 PCS-0.00%"/>
        <s v="Rp106,000-1 GRS-0.00%"/>
        <s v="Rp25,000-10 PAK-0.00%"/>
        <s v="Rp18,500-12 PAK-0.00%"/>
        <s v="Rp17,500-12 PAK-0.00%"/>
        <s v="Rp14,000-10 LSN-0.00%"/>
        <s v="Rp26,780-12 LSN-0.00%"/>
        <s v="Rp14,500-12 PCS-0.00%"/>
        <s v="Rp230,000-1 LSN-0.00%"/>
        <s v="Rp26,000-12 PCS-0.00%"/>
        <s v="Rp29,167-6 PCS-0.00%"/>
        <s v="Rp10,000-4 LSN-0.00%"/>
        <s v="Rp26,000-8 LSN-0.00%"/>
        <s v="Rp1,250-50 PCS-0.00%"/>
        <s v="Rp7,000-10 PAK-0.00%"/>
        <s v="Rp37,000-6 BOX-0.00%"/>
        <s v="Rp21,000-12 LSN-0.00%"/>
        <s v="Rp41,000-2 LSN-0.00%"/>
        <s v="Rp46,000-2 LSN-0.00%"/>
        <s v="Rp48,000-2 LSN-0.00%"/>
        <s v="Rp2,500-24 PCS-0.00%"/>
        <s v="Rp5,500-12 PCS-0.00%"/>
        <s v="Rp18,000-15 LSN-0.00%"/>
        <s v="Rp19,000-20 LSN-0.00%"/>
        <s v="Rp19,000-10 LSN-0.00%"/>
        <s v="Rp165,000-2 LSN-0.00%"/>
        <s v="Rp121,500-0.5 LSN-0.00%"/>
        <s v="Rp22,500-1 DISP (36)-0.00%"/>
        <s v="Rp7,000-12 BOX-0.00%"/>
        <s v="Rp66,000-2 LSN-0.00%"/>
        <s v="Rp81,000-2 LSN-0.00%"/>
        <s v="Rp114,000-0.91667 LSN-0.00%"/>
        <s v="Rp40,000-10 BOX-0.00%"/>
        <s v="Rp1,250-200 LBR-0.00%"/>
        <s v="Rp10,000-10 LSN-0.00%"/>
        <s v="Rp9,000-10 LSN-0.00%"/>
        <s v="Rp27,083-24 PCS-0.00%"/>
        <s v="Rp225,000-3 LSN-0.00%"/>
        <s v="Rp33,333-24 PCS-0.00%"/>
        <s v="Rp13,750-36 PCS-0.00%"/>
        <s v="Rp625,000-1 LSN-0.00%"/>
        <s v="Rp138,000-3 LSN-0.00%"/>
        <s v="Rp140,000-3 LSN-0.00%"/>
        <s v="Rp270,000-3 LSN-0.00%"/>
        <s v="Rp350,000-3 LSN-0.00%"/>
        <s v="Rp12,000-36 PCS-0.00%"/>
        <s v="Rp15,000-36 PCS-0.00%"/>
        <s v="Rp20,833-36 PCS-0.00%"/>
        <s v="Rp18,750-36 PCS-0.00%"/>
        <s v="Rp14,583-36 PCS-0.00%"/>
        <s v="Rp7,500-24 SET-0.00%"/>
        <s v="Rp5,000-36 PCS-0.00%"/>
        <s v="Rp10,000-48 PCS-0.00%"/>
        <s v="Rp4,000-48 PCS-0.00%"/>
        <s v="Rp15,500-36 PCS-0.00%"/>
        <s v="Rp16,000-36 PCS-0.00%"/>
        <s v="Rp30,500-36 LSN-0.00%"/>
        <s v="Rp23,000-24 LSN-0.00%"/>
        <s v="Rp1,917-288 PCS-0.00%"/>
        <s v="Rp1,667-144 PCS-0.00%"/>
        <s v="Rp1,500-144 PCS-0.00%"/>
        <s v="Rp62,000-3 LSN-5.00%"/>
        <s v="Rp87,000-3 LSN-5.00%"/>
        <s v="Rp133,000-3 LSN-5.00%"/>
        <s v="Rp27,500-3 LSN-0.00%"/>
        <s v="Rp42,000-3 LSN-0.00%"/>
        <s v="Rp53,000-3 LSN-0.00%"/>
        <s v="Rp82,000-3 LSN-0.00%"/>
        <s v="Rp15,500-12 LSN-0.00%"/>
        <s v="Rp14,000-6 LSN-0.00%"/>
        <s v="Rp17,500-6 LSN-0.00%"/>
        <s v="Rp27,000-6 LSN-0.00%"/>
        <s v="Rp31,000-6 LSN-0.00%"/>
        <s v="Rp34,000-6 LSN-0.00%"/>
        <s v="Rp41,000-6 LSN-0.00%"/>
        <s v="Rp24,000-25 LSN-0.00%"/>
        <s v="Rp24,000-15 LSN-0.00%"/>
        <s v="Rp27,000-10 LSN-0.00%"/>
        <s v="Rp24,000-6 LSN-0.00%"/>
        <s v="Rp20,000-10 PAK-0.00%"/>
        <s v="Rp61,000-2 LSN-0.00%"/>
        <s v="Rp27,000-25 LSN-0.00%"/>
        <s v="Rp21,500-20 LSN-0.00%"/>
        <s v="Rp36,000-12 LSN-0.00%"/>
        <s v="Rp13,500-24 LSN-0.00%"/>
        <s v="Rp12,500-24 LSN-0.00%"/>
        <s v="Rp110,000-4 LSN-0.00%"/>
        <s v="Rp120,000-4 LSN-0.00%"/>
        <s v="Rp18,500-30 PAK-0.00%"/>
        <s v="Rp75,000-6 PCS-0.00%"/>
        <s v="Rp550-800 PCS-0.00%"/>
        <s v="Rp800-800 PCS-0.00%"/>
        <s v="Rp650-300 PCS-0.00%"/>
        <s v="Rp650-600 PCS-0.00%"/>
        <s v="Rp33,000-10 LSN-0.00%"/>
        <s v="Rp23,000-10 LSN-0.00%"/>
        <s v="Rp70,000-10 PAK-0.00%"/>
        <s v="Rp10,000-12 PCS-0.00%"/>
        <s v="Rp9,167-96 PCS-0.00%"/>
        <s v="Rp18,500-40 PCS-0.00%"/>
        <s v="Rp90,000-1 GRS-0.00%"/>
        <s v="Rp20,000-6 PCS-0.00%"/>
        <s v="Rp750-2000 PCS-0.00%"/>
        <s v="Rp70,000-3 BOX-0.00%"/>
        <s v="Rp18,500-20 PAK-0.00%"/>
        <s v="Rp26,250-12 PCS-0.00%"/>
        <s v="Rp24,167-12 PCS-0.00%"/>
        <s v="Rp12,000-4 BOX-0.00%"/>
        <s v="Rp47,500-25 PAK-0.00%"/>
        <s v="Rp21,000-50 LSN-0.00%"/>
        <s v="Rp10,500-100 LSN-0.00%"/>
        <s v="Rp25,000-3 PAK-0.00%"/>
        <s v="Rp4,167-60 PCS-0.00%"/>
        <s v="Rp25,000-12 LSN-0.00%"/>
        <s v="Rp62,000-2 BOX-0.00%"/>
        <s v="Rp108,000-2 BOX-0.00%"/>
        <s v="Rp45,000-5 DISP-0.00%"/>
        <s v="Rp26,780-300 LSN-17.50%"/>
        <s v="Rp16,667-144 PCS-0.00%"/>
        <s v="Rp10,000-144 LSN-0.00%"/>
        <s v="Rp60,000-20 LSN-0.00%"/>
        <s v="Rp87,500-100 DISP-12.50%"/>
        <s v="Rp17,750-48 LSN-0.00%"/>
        <s v="Rp17,750-24 LSN-0.00%"/>
        <s v="Rp17,750-36 LSN-0.00%"/>
        <s v="Rp15,000-24 LSN-0.00%"/>
        <s v="Rp27,500-72 LSN-0.00%"/>
        <s v="Rp11,000-192 LSN-0.00%"/>
        <s v="Rp8,300-120 LSN-12.50%"/>
        <s v="Rp33,000-15 LSN-10.00%"/>
        <s v="Rp6,500-48 BOX-0.00%"/>
        <s v="Rp10,000-24 LSN-0.00%"/>
        <s v="Rp18,500-20 LSN-0.00%"/>
        <s v="Rp18,500-10 LSN-0.00%"/>
        <s v="Rp33,000-30 LSN-10.00%"/>
        <s v="Rp29,000-96 LSN-0.00%"/>
        <s v="Rp29,000-48 LSN-0.00%"/>
        <s v="Rp11,500-25 LSN-0.00%"/>
        <s v="Rp132,000-1 BOX-0.00%"/>
        <s v="Rp26,000-24 LSN-0.00%"/>
        <s v="Rp22,500-30 LSN-0.00%"/>
        <s v="Rp126,000-4 LSN-0.00%"/>
        <s v="Rp33,000-20 LSN-0.00%"/>
        <s v="Rp225,000-2 GRS-0.00%"/>
        <s v="Rp32,500-24 PCS-0.00%"/>
        <s v="Rp24,500-24 PCS-0.00%"/>
        <s v="Rp4,500-100 SLOP-0.00%"/>
        <s v="Rp12,000-120 BOX-0.00%"/>
        <s v="Rp12,000-192 LSN-0.00%"/>
        <s v="Rp12,000-144 BOX-0.00%"/>
        <s v="Rp10,500-36 LSN-0.00%"/>
        <s v="Rp135,000-3 LSN-0.00%"/>
        <s v="Rp125,000-3 LSN-0.00%"/>
        <s v="Rp288,000-1 LSN-0.00%"/>
        <s v="Rp180,000-3 LSN-0.00%"/>
        <s v="Rp30,000-36 PCS-0.00%"/>
        <s v="Rp11,500-36 PCS-0.00%"/>
        <s v="Rp120,000-5 BOX-0.00%"/>
        <s v="Rp16,000-36 SET-0.00%"/>
        <s v="Rp16,500-60 SET-0.00%"/>
        <s v="Rp4,000-200 PCS-0.00%"/>
        <s v="Rp48,000-12 LSN-0.00%"/>
        <s v="Rp120,000-10 BOX-0.00%"/>
        <s v="Rp2,500-200 PCS-10.00%"/>
        <s v="Rp25,000-48 PCS-0.00%"/>
        <s v="Rp52,500-10 BOX-0.00%"/>
        <s v="Rp67,200-10 BOX-0.00%"/>
        <s v="Rp80,000-10 BOX-0.00%"/>
        <s v="Rp45,000-25 PAK-0.00%"/>
        <s v="Rp37,000-24 SET-0.00%"/>
        <s v="Rp26,780-200 LSN-17.50%"/>
        <s v="Rp12,500-160 PCS-0.00%"/>
        <s v="Rp14,583-144 PCS-0.00%"/>
        <s v="Rp12,000-120 PCS-0.00%"/>
        <s v="Rp70,000-20 LSN-0.00%"/>
        <s v="Rp29,000-60 LSN-10.00%"/>
        <s v="Rp2,000-600 PAK-0.00%"/>
        <s v="Rp2,500-144 PAK-0.00%"/>
        <s v="Rp50,000-40 BOX-0.00%"/>
        <s v="Rp11,000-12 BOX-0.00%"/>
        <s v="Rp675-4000 PCS-0.00%"/>
        <s v="Rp5,750-50 LSN-0.00%"/>
        <s v="Rp26,780-100 LSN-12.50%"/>
        <s v="Rp5,000-600 PCS-0.00%"/>
        <s v="Rp5,400-200 PCS-0.00%"/>
        <s v="Rp25,000-125 PAK-0.00%"/>
        <s v="Rp25,000-100 BOX-0.00%"/>
        <s v="Rp25,000-10 LSN-0.00%"/>
        <s v="Rp31,000-10 LSN-0.00%"/>
        <s v="Rp47,500-4 LSN-0.00%"/>
        <s v="Rp12,000-60 LSN-0.00%"/>
        <s v="Rp7,500-36 ROL-0.00%"/>
        <s v="Rp24,000-125 PAK-0.00%"/>
        <s v="Rp7,000-288 PCS-0.00%"/>
        <s v="Rp4,500-20 PCS-0.00%"/>
        <s v="Rp6,000-20 PCS-0.00%"/>
        <s v="Rp600-500 PCS-0.00%"/>
        <s v="Rp77,500-3 GRS-0.00%"/>
        <s v="Rp1,100-200 PCS-0.00%"/>
        <s v="Rp14,500-24 PCS-0.00%"/>
        <s v="Rp10,500-288 PCS-0.00%"/>
        <s v="Rp3,750-1000 SLOP-0.00%"/>
        <s v="Rp42,000-32 LSN-0.00%"/>
        <s v="Rp3,500-384 PCS-0.00%"/>
        <s v="Rp28,750-10 LSN-0.00%"/>
        <s v="Rp25,000-40 SLOP-0.00%"/>
        <s v="Rp3,000-200 PAK-0.00%"/>
        <s v="Rp168,000-5 LSN-5.00%"/>
        <s v="Rp14,000-60 PCS-5.00%"/>
        <s v="Rp126,000-8 LSN-0.00%"/>
        <s v="Rp10,500-96 PCS-0.00%"/>
        <s v="Rp3,750-600 PCS-0.00%"/>
        <s v="Rp65,000-30 PCS-0.00%"/>
        <s v="Rp55,000-10 PCS-0.00%"/>
        <s v="Rp12,500-10 BOX-0.00%"/>
        <s v="Rp4,000-300 PAK-10.00%"/>
        <s v="Rp50,000-5 PAK-0.00%"/>
        <s v="Rp41,667-3 PCS-0.00%"/>
        <s v="Rp400-500 PCS-0.00%"/>
        <s v="Rp19,000-25 LSN-0.00%"/>
        <s v="Rp315,000-1 LSN-0.00%"/>
        <s v="Rp184,000-1 LSN-0.00%"/>
        <s v="Rp236,500-1 LSN-0.00%"/>
        <s v="Rp400,000-1 LSN-0.00%"/>
        <s v="Rp160,000-1 LSN-0.00%"/>
        <s v="Rp19,000-3 LSN-0.00%"/>
        <s v="Rp70,000-6 PCS-0.00%"/>
        <s v="Rp16,000-144 PCS-0.00%"/>
        <s v="Rp7,500-96 PCS-0.00%"/>
        <s v="Rp3,100-140 PCS-0.00%"/>
        <s v="Rp27,000-6 PCS-0.00%"/>
        <s v="Rp275,000-5 LSN-0.00%"/>
        <s v="Rp25,000-20 LSN-0.00%"/>
        <s v="Rp30,000-15 LSN-0.00%"/>
        <s v="Rp5,000-50 PCS-10.00%"/>
        <s v="Rp13,000-12 LSN-0.00%"/>
        <s v="Rp24,500-12 LSN-0.00%"/>
        <s v="Rp8,000-10 SLOP-0.00%"/>
        <s v="Rp4,750-10 SLOP-0.00%"/>
        <s v="Rp28,500-12 LSN-0.00%"/>
        <s v="Rp15,500-12 PCS-0.00%"/>
        <s v="Rp2,750-100 PAK-0.00%"/>
        <s v="Rp3,500-50 PAK-0.00%"/>
        <s v="Rp317,500-2 LSN-0.00%"/>
        <s v="Rp407,500-2 LSN-0.00%"/>
        <s v="Rp490,000-2 LSN-0.00%"/>
        <s v="Rp7,000-20 PAK-0.00%"/>
        <s v="Rp48,000-3 LSN-0.00%"/>
        <s v="Rp16,500-5 PCS-0.00%"/>
        <s v="Rp24,000-2 LSN-0.00%"/>
        <s v="Rp2,000-24 PCS-0.00%"/>
        <s v="Rp18,500-24 PCS-0.00%"/>
        <s v="Rp157,000-2 LSN-0.00%"/>
        <s v="Rp18,625-24 PCS-0.00%"/>
        <s v="Rp290,000-2 LSN-0.00%"/>
        <s v="Rp270,000-5 LSN-0.00%"/>
        <s v="Rp250,000-5 LSN-0.00%"/>
        <s v="Rp18,333-60 PCS-0.00%"/>
        <s v="Rp175,000-5 LSN-0.00%"/>
        <s v="Rp7,000-240 PCS-10.00%"/>
        <s v="Rp6,000-48 BOX-0.00%"/>
        <s v="Rp96,000-1 LSN-0.00%"/>
        <s v="Rp255,000-6 LSN-0.00%"/>
        <s v="Rp15,000-92 PCS-0.00%"/>
        <s v="Rp24,750-120 LSN-0.00%"/>
        <s v="Rp70,000-12 PCS-0.00%"/>
        <s v="Rp57,500-24 LSN-0.00%"/>
        <s v="Rp67,500-20 LSN-0.00%"/>
        <s v="Rp31,000-48 LSN-0.00%"/>
        <s v="Rp11,000-36 SET-0.00%"/>
        <s v="Rp10,000-36 SET-0.00%"/>
        <s v="Rp15,000-36 SET-0.00%"/>
        <s v="Rp15,000-24 PCS-0.00%"/>
        <s v="Rp40,000-10 LSN-0.00%"/>
        <s v="Rp40,000-20 LSN-0.00%"/>
        <s v="Rp40,000-25 LSN-0.00%"/>
        <s v="Rp40,000-15 LSN-0.00%"/>
        <s v="Rp135,000-10 LSN-0.00%"/>
        <s v="Rp2,250-100 PAK-0.00%"/>
        <s v="Rp1,750-65 PAK-0.00%"/>
        <s v="Rp125,000-4 LSN-0.00%"/>
        <s v="Rp150,000-2 LSN-0.00%"/>
        <s v="Rp14,167-12 PCS-0.00%"/>
        <s v="Rp130,000-1 LSN-0.00%"/>
        <s v="Rp264,000-1 LSN-0.00%"/>
        <s v="Rp1,350-50 PCS-0.00%"/>
        <s v="Rp175,000-3 LSN-0.00%"/>
        <s v="Rp10,000-36 PCS-0.00%"/>
        <s v="Rp100,000-3 LSN-0.00%"/>
        <s v="Rp6,250-31 PCS-0.00%"/>
        <s v="Rp110,000-1 LSN-0.00%"/>
        <s v="Rp15,417-36 PCS-0.00%"/>
        <s v="Rp95,000-3 LSN-0.00%"/>
        <s v="Rp20,000-36 LSN-0.00%"/>
        <s v="Rp120,000-6 BOX-0.00%"/>
        <s v="Rp17,500-36 SET-0.00%"/>
        <s v="Rp42,000-12 LSN-0.00%"/>
        <s v="Rp52,500-12 LSN-0.00%"/>
        <s v="Rp77,500-12 LSN-0.00%"/>
        <s v="Rp3,958-180 PCS-0.00%"/>
        <s v="Rp30,000-24 LSN-0.00%"/>
        <s v="Rp7,500-4 LSN-0.00%"/>
        <s v="Rp17,500-4 LSN-0.00%"/>
        <s v="Rp27,000-4 LSN-0.00%"/>
        <s v="Rp45,000-4 LSN-0.00%"/>
        <s v="Rp22,500-36 SET-0.00%"/>
        <s v="Rp35,000-36 SET-0.00%"/>
        <s v="Rp105,000-6 GRS-0.00%"/>
        <s v="Rp1,600-300 PCS-0.00%"/>
        <s v="Rp2,560-300 PCS-0.00%"/>
        <s v="Rp1,600-240 PCS-0.00%"/>
        <s v="Rp32,500-6 LSN-0.00%"/>
        <s v="Rp42,500-6 LSN-0.00%"/>
        <s v="Rp210,000-3 LSN-0.00%"/>
        <s v="Rp17,500-24 PCS-0.00%"/>
        <s v="Rp16,000-30 LSN-0.00%"/>
        <s v="Rp16,000-38 LSN-0.00%"/>
        <s v="Rp16,000-36 LSN-0.00%"/>
        <s v="Rp24,000-12 LSN-0.00%"/>
        <s v="Rp50,000-12 LSN-0.00%"/>
        <s v="Rp50,000-21 LSN-0.00%"/>
        <s v="Rp28,500-36 LSN-0.00%"/>
        <s v="Rp19,000-24 LSN-0.00%"/>
        <s v="Rp24,000-36 LSN-0.00%"/>
        <s v="Rp75,000-10 LSN-0.00%"/>
        <s v="Rp10,500-24 PCS-0.00%"/>
        <s v="Rp5,417-24 PCS-0.00%"/>
        <s v="Rp6,500-25 PCS-0.00%"/>
        <s v="Rp20,833-24 PCS-0.00%"/>
        <s v="Rp4,250-150 PCS-0.00%"/>
        <s v="Rp20,000-35 LSN-0.00%"/>
        <s v="Rp15,000-10 LSN-0.00%"/>
        <s v="Rp45,000-36 LSN-0.00%"/>
        <s v="Rp285,000-5 LSN-0.00%"/>
        <s v="Rp19,200-18 LSN-10.00%"/>
        <s v="Rp18,000-24 LSN-0.00%"/>
        <s v="Rp18,000-12 LSN-0.00%"/>
        <s v="Rp3,167-144 PCS-0.00%"/>
        <s v="Rp19,500-60 LSN-0.00%"/>
        <s v="Rp26,780-400 LSN-20.00%"/>
        <s v="Rp33,000-60 LSN-12.50%"/>
        <s v="Rp23,000-120 LSN-12.50%"/>
        <s v="Rp55,000-24 LSN-0.00%"/>
        <s v="Rp6,000-320 LSN-0.00%"/>
        <s v="Rp14,500-60 PCS-0.00%"/>
        <s v="Rp22,500-96 PCS-0.00%"/>
        <s v="Rp33,000-144 LSN-0.00%"/>
        <s v="Rp47,500-6 LSN-0.00%"/>
        <s v="Rp18,250-12 LSN-0.00%"/>
        <s v="Rp12,000-6 LSN-0.00%"/>
        <s v="Rp23,500-20 LSN-0.00%"/>
        <s v="Rp23,500-10 LSN-0.00%"/>
        <s v="Rp23,500-30 LSN-0.00%"/>
        <s v="Rp27,000-10 BOX-0.00%"/>
        <s v="Rp75,000-6 GRS-0.00%"/>
        <s v="Rp35,000-24 LSN-0.00%"/>
        <s v="Rp61,000-10 LSN-0.00%"/>
        <s v="Rp7,000-235 PAK-0.00%"/>
        <s v="Rp1,500-432 PCS-0.00%"/>
        <s v="Rp1,076-144 PCS-0.00%"/>
        <s v="Rp1,250-144 PCS-0.00%"/>
        <s v="Rp24,000-192 LSN-0.00%"/>
        <s v="Rp4,750-20 PAK-0.00%"/>
        <s v="Rp156,000-5 BOX-0.00%"/>
        <s v="Rp25,500-15 PCS-0.00%"/>
        <s v="Rp75,000-100 GRS-0.00%"/>
        <s v="Rp96,000-24 BOX-0.00%"/>
        <s v="Rp121,986-1 BOX-0.00%"/>
        <s v="Rp36,996-4 LSN-0.00%"/>
        <s v="Rp39,600-4 LSN-0.00%"/>
        <s v="Rp24,996-4 LSN-0.00%"/>
        <s v="Rp200,000-2 BOX-0.00%"/>
        <s v="Rp114,000-2 BOX-0.00%"/>
        <s v="Rp32,496-4 LSN-0.00%"/>
        <s v="Rp19,500-1 LSN-0.00%"/>
        <s v="Rp14,583-24 PCS-0.00%"/>
        <s v="Rp13,333-24 PCS-0.00%"/>
        <s v="Rp12,000-24 PCS-0.00%"/>
        <s v="Rp41,000-12 LSN-0.00%"/>
        <s v="Rp6,500-50 PAK-0.00%"/>
        <s v="Rp10,000-50 PAK-0.00%"/>
        <s v="Rp4,000-50 PAK-0.00%"/>
        <s v="Rp9,000-50 PAK-0.00%"/>
        <s v="Rp3,750-50 PAK-0.00%"/>
        <s v="Rp5,000-50 PAK-0.00%"/>
        <s v="Rp8,500-50 PAK-0.00%"/>
        <s v="Rp20,000-24 PCS-0.00%"/>
        <s v="Rp18,500-30 PCS-0.00%"/>
        <s v="Rp42,500-5 DISP-0.00%"/>
        <s v="Rp25,000-7 LSN-0.00%"/>
        <s v="Rp44,000-3 LSN-0.00%"/>
        <s v="Rp7,500-240 PCS-0.00%"/>
        <s v="Rp43,000-25 PCS-0.00%"/>
        <s v="Rp9,000-82 LSN-0.00%"/>
        <s v="Rp25,000-2 PAK-0.00%"/>
        <s v="Rp6,750-10 PAK-0.00%"/>
        <s v="Rp8,750-1000 LSN-0.00%"/>
        <s v="Rp12,000-384 LSN-0.00%"/>
        <s v="Rp46,000-25 PAK-0.00%"/>
        <s v="Rp12,500-180 PCS-0.00%"/>
        <s v="Rp12,500-72 LSN-0.00%"/>
        <s v="Rp55,000-50 PCS-0.00%"/>
        <s v="Rp70,000-20 PCS-0.00%"/>
        <s v="Rp20,000-96 PCS-0.00%"/>
        <s v="Rp36,500-12 LSN-0.00%"/>
        <s v="Rp45,000-25 DISP-0.00%"/>
        <s v="Rp17,500-50 PCS-0.00%"/>
        <s v="Rp21,000-12 PCS-0.00%"/>
        <s v="Rp156,000-2 LSN-0.00%"/>
        <s v="Rp48,000-1 LSN-0.00%"/>
        <s v="Rp23,000-50 PCS-0.00%"/>
        <s v="Rp23,000-125 PAK-0.00%"/>
        <s v="Rp25,000-1 LSN-0.00%"/>
        <s v="Rp85,000-2 LSN-0.00%"/>
        <s v="Rp27,500-12 LSN-0.00%"/>
        <s v="Rp13,500-12 LSN-0.00%"/>
        <s v="Rp25,000-72 LSN-0.00%"/>
        <s v="Rp225,000-2 BOX-0.00%"/>
        <s v="Rp50,000-1 GRS-0.00%"/>
        <s v="Rp18,500-4 LSN-0.00%"/>
        <s v="Rp90,000-12 PCS-0.00%"/>
        <s v="Rp10,500-12 PCS-0.00%"/>
        <s v="Rp216,000-12 BOX-0.00%"/>
        <s v="Rp13,500-50 PCS-0.00%"/>
        <s v="Rp16,500-50 PCS-0.00%"/>
        <s v="Rp8,500-50 PCS-0.00%"/>
        <s v="Rp8,500-60 LSN-0.00%"/>
        <s v="Rp13,500-60 LSN-0.00%"/>
        <s v="Rp144,000-6 BOX-0.00%"/>
        <s v="Rp15,000-36 LSN-0.00%"/>
        <s v="Rp15,000-32 LSN-0.00%"/>
        <s v="Rp15,000-26 LSN-0.00%"/>
        <s v="Rp1,700-50 PCS-0.00%"/>
        <s v="Rp1,800-240 PCS-0.00%"/>
        <s v="Rp86,400-5 BOX-0.00%"/>
        <s v="Rp16,500-96 PCS-0.00%"/>
        <s v="Rp100,000-60 PCS-10.00%"/>
        <s v="Rp16,500-50 LSN-0.00%"/>
        <s v="Rp12,000-432 BOX-0.00%"/>
        <s v="Rp7,000-50 PCS-0.00%"/>
        <s v="Rp10,000-6 PCS-0.00%"/>
        <s v="Rp67,500-3 PCS-0.00%"/>
        <s v="Rp85,000-3 PCS-0.00%"/>
        <s v="Rp150,000-3 PCS-0.00%"/>
        <s v="Rp6,000-25 PCS-0.00%"/>
        <s v="Rp10,000-25 PCS-0.00%"/>
        <s v="Rp650-120 PCS-0.00%"/>
        <s v="Rp750-120 PCS-0.00%"/>
        <s v="Rp1,850-25 PCS-0.00%"/>
        <s v="Rp475-200 PCS-0.00%"/>
        <s v="Rp37,500-6 PCS-0.00%"/>
        <s v="Rp15,750-50 PCS-0.00%"/>
        <s v="Rp190,000-1 LSN-0.00%"/>
        <s v="Rp51,500-3 LSN-0.00%"/>
        <s v="Rp42,500-3 LSN-0.00%"/>
        <s v="Rp40,000-3 LSN-0.00%"/>
        <s v="Rp97,500-1 LSN-0.00%"/>
        <s v="Rp9,583-12 PCS-0.00%"/>
        <s v="Rp16,667-12 SET-0.00%"/>
        <s v="Rp13,333-12 SET-0.00%"/>
        <s v="Rp80,000-6 PCS-0.00%"/>
        <s v="Rp105,000-6 PCS-0.00%"/>
        <s v="Rp17,000-12 PCS-0.00%"/>
        <s v="Rp14,000-12 PCS-0.00%"/>
        <s v="Rp1,500-50 PCS-0.00%"/>
        <s v="Rp25,000-6 BOX-0.00%"/>
        <s v="Rp33,333-12 PCS-0.00%"/>
        <s v="Rp12,000-12 PCS-0.00%"/>
        <s v="Rp2,250-60 PAK-0.00%"/>
        <s v="Rp31,500-2 PAK-0.00%"/>
        <s v="Rp34,000-2 PAK-0.00%"/>
        <s v="Rp37,500-2 PAK-0.00%"/>
        <s v="Rp42,500-2 PAK-0.00%"/>
        <s v="Rp45,000-2 PAK-0.00%"/>
        <s v="Rp47,500-2 PAK-0.00%"/>
        <s v="Rp52,500-2 PAK-0.00%"/>
        <s v="Rp55,000-2 PAK-0.00%"/>
        <s v="Rp57,500-2 PAK-0.00%"/>
        <s v="Rp62,500-2 PAK-0.00%"/>
        <s v="Rp67,500-2 PAK-0.00%"/>
        <s v="Rp72,500-2 PAK-0.00%"/>
        <s v="Rp18,750-6 PCS-0.00%"/>
        <s v="Rp17,000-12 SET-0.00%"/>
        <s v="Rp23,000-12 SET-0.00%"/>
        <s v="Rp16,000-12 SET-0.00%"/>
        <s v="Rp24,000-12 SET-0.00%"/>
        <s v="Rp20,000-10 PCS-0.00%"/>
        <s v="Rp10,000-24 PCS-0.00%"/>
        <s v="Rp70,000-5 DISP-0.00%"/>
        <s v="Rp130,000-5 DISP-0.00%"/>
        <s v="Rp130,000-1 DISP-0.00%"/>
        <s v="Rp85,000-5 DISP-0.00%"/>
        <s v="Rp5,250-50 PCS-0.00%"/>
        <s v="Rp7,750-24 PCS-0.00%"/>
        <s v="Rp222,000-1 LSN-0.00%"/>
        <s v="Rp18,500-12 PCS-0.00%"/>
        <s v="Rp18,000-50 PAK-0.00%"/>
        <s v="Rp138,000-2 BOX-0.00%"/>
        <s v="Rp277,200-2 BOX-0.00%"/>
        <s v="Rp1,750-80 PCS-0.00%"/>
        <s v="Rp14,500-24 LSN-0.00%"/>
        <s v="Rp300-50 PCS-0.00%"/>
        <s v="Rp252,000-1 LSN-0.00%"/>
        <s v="Rp18,750-11 PCS-0.00%"/>
        <s v="Rp80,000-1 DISP-0.00%"/>
        <s v="Rp5,250-12 PCS-0.00%"/>
        <s v="Rp37,000-1 LSN-0.00%"/>
        <s v="Rp7,917-12 PCS-0.00%"/>
        <s v="Rp222,000-0.5 LSN-0.00%"/>
        <s v="Rp3,750-24 PCS-0.00%"/>
        <s v="Rp750-1000 PCS-0.00%"/>
        <s v="Rp37,000-12 PCS-0.00%"/>
        <s v="Rp66,000-1 LSN-0.00%"/>
        <s v="Rp142,000-1 LSN-0.00%"/>
        <s v="Rp132,000-1 LSN-0.00%"/>
        <s v="Rp50,000-1 DISP-0.00%"/>
        <s v="Rp135,000-1 DISP-0.00%"/>
        <s v="Rp90,000-2 GRS-0.00%"/>
        <s v="Rp650-200 PCS-0.00%"/>
        <s v="Rp750-200 PCS-0.00%"/>
        <s v="Rp650-500 PCS-0.00%"/>
        <s v="Rp72,000-3 PAK-0.00%"/>
        <s v="Rp72,000-1 PAK-0.00%"/>
        <s v="Rp650-50 PCS-0.00%"/>
        <s v="Rp9,000-5 PAK-0.00%"/>
        <s v="Rp9,500-5 PAK-0.00%"/>
        <s v="Rp950-50 PCS-0.00%"/>
        <s v="Rp48,000-3 PAK-0.00%"/>
        <s v="Rp22,000-3 PAK-0.00%"/>
        <s v="Rp41,000-1 LSN-0.00%"/>
        <s v="Rp120,000-1 BOX-0.00%"/>
        <s v="Rp10,000-1 LSN-0.00%"/>
        <s v="Rp28,500-2 LSN-0.00%"/>
        <s v="Rp80,000-10 PCS-0.00%"/>
        <s v="Rp340,000-1 LSN-0.00%"/>
        <s v="Rp31,250-12 PCS-0.00%"/>
        <s v="Rp13,333-10 PCS-0.00%"/>
        <s v="Rp62,500-4 LSN-0.00%"/>
        <s v="Rp105,000-3 GRS-0.00%"/>
        <s v="Rp90,000-6 GRS-0.00%"/>
        <s v="Rp9,500-24 LSN-0.00%"/>
        <s v="Rp20,000-6 LSN-0.00%"/>
        <s v="Rp37,000-24 LSN-0.00%"/>
        <s v="Rp17,500-12 LSN-0.00%"/>
        <s v="Rp32,500-2 PAK-0.00%"/>
        <s v="Rp14,583-12 SET-0.00%"/>
        <s v="Rp37,500-1 LSN-0.00%"/>
        <s v="Rp40,000-6 PAK-0.00%"/>
        <s v="Rp65,000-2 BOX-0.00%"/>
        <s v="Rp28,000-6 BOX-0.00%"/>
        <s v="Rp20,000-3 BOX-0.00%"/>
        <s v="Rp115,000-1 GRS-0.00%"/>
        <s v="Rp60,000-1 GRS-0.00%"/>
        <s v="Rp5,833-24 PCS-0.00%"/>
        <s v="Rp4,375-50 PCS-0.00%"/>
        <s v="Rp35,000-3 BOX-0.00%"/>
        <s v="Rp2,600-48 PCS-0.00%"/>
        <s v="Rp130,000-1 BOX-0.00%"/>
        <s v="Rp32,500-1 PAK-0.00%"/>
        <s v="Rp5,500-50 PCS-0.00%"/>
        <s v="Rp6,750-50 PCS-0.00%"/>
        <s v="Rp5,000-50 PCS-0.00%"/>
        <s v="Rp4,000-144 PCS-0.00%"/>
        <s v="Rp3,750-72 PCS-0.00%"/>
        <s v="Rp193,500-1 LSN-0.00%"/>
        <s v="Rp11,500-12 PCS-0.00%"/>
        <s v="Rp2,750-50 PAK-0.00%"/>
        <s v="Rp5,250-50 PAK-0.00%"/>
        <s v="Rp3,750-48 PCS-0.00%"/>
        <s v="Rp24,000-4 LSN-0.00%"/>
        <s v="Rp28,000-4 LSN-0.00%"/>
        <s v="Rp65,000-5 LSN-0.00%"/>
        <s v="Rp3,750-36 PCS-0.00%"/>
        <s v="Rp4,583-36 PCS-0.00%"/>
        <s v="Rp84,000-2 LSN-0.00%"/>
        <s v="Rp15,417-24 PCS-0.00%"/>
        <s v="Rp3,000-25 PAK-0.00%"/>
        <s v="Rp80,000-2 PAK-0.00%"/>
        <s v="Rp105,000-2 DISP-0.00%"/>
        <s v="Rp135,000-2 DISP-0.00%"/>
        <s v="Rp80,000-3 DISP-0.00%"/>
        <s v="Rp30,000-0.66667 LSN-0.00%"/>
        <s v="Rp2,000-32 PCS-0.00%"/>
        <s v="Rp50,000-1 BOX-0.00%"/>
        <s v="Rp2,250-72 PCS-0.00%"/>
        <s v="Rp27,000-3 PCS-0.00%"/>
        <s v="Rp48,000-2 PAK-0.00%"/>
        <s v="Rp11,667-12 PCS-0.00%"/>
        <s v="Rp2,917-48 PCS-0.00%"/>
        <s v="Rp1,875-12 PCS-0.00%"/>
        <s v="Rp2,125-64 PCS-0.00%"/>
        <s v="Rp950-100 PCS-0.00%"/>
        <s v="Rp24,000-2 BOX-0.00%"/>
        <s v="Rp20,000-1 PAK-0.00%"/>
        <s v="Rp16,000-4 BOX-0.00%"/>
        <s v="Rp13,500-4 BOX-0.00%"/>
        <s v="Rp1,500-200 PCS-0.00%"/>
        <s v="Rp2,083-72 PCS-0.00%"/>
        <s v="Rp3,250-25 PAK-0.00%"/>
        <s v="Rp2,250-25 PAK-0.00%"/>
        <s v="Rp2,500-25 PAK-0.00%"/>
        <s v="Rp2,250-24 PAK-0.00%"/>
        <s v="Rp5,000-24 PCS-0.00%"/>
        <s v="Rp252,000-0.5 LSN-0.00%"/>
        <s v="Rp12,996-4 LSN-0.00%"/>
        <s v="Rp1,000-36 PCS-0.00%"/>
        <s v="Rp2,917-24 PCS-0.00%"/>
        <s v="Rp4,375-60 PCS-0.00%"/>
        <s v="Rp1,150-48 PCS-0.00%"/>
        <s v="Rp2,167-48 PCS-0.00%"/>
        <s v="Rp1,542-12 PCS-0.00%"/>
        <s v="Rp36,000-2 LSN-0.00%"/>
        <s v="Rp36,504-3 LSN-0.00%"/>
        <s v="Rp1,450-12 PCS-0.00%"/>
        <s v="Rp2,750-40 PCS-0.00%"/>
        <s v="Rp2,000-60 PCS-0.00%"/>
        <s v="Rp3,250-24 PCS-0.00%"/>
        <s v="Rp900-20 PCS-0.00%"/>
        <s v="Rp114,996-1 LSN-0.00%"/>
        <s v="Rp4,500-12 PCS-0.00%"/>
        <s v="Rp15,000-6 PCS-0.00%"/>
        <s v="Rp105,000-0.5 LSN-0.00%"/>
        <s v="Rp32,496-2 LSN-0.00%"/>
        <s v="Rp3,750-12 PCS-0.00%"/>
        <s v="Rp4,500-24 PCS-0.00%"/>
        <s v="Rp7,750-6 PCS-0.00%"/>
        <s v="Rp2,083-24 PCS-0.00%"/>
        <s v="Rp144,996-1 LSN-0.00%"/>
        <s v="Rp126,996-1 LSN-0.00%"/>
        <s v="Rp4,167-24 PCS-0.00%"/>
        <s v="Rp50,004-2 LSN-0.00%"/>
        <s v="Rp50,004-1 LSN-0.00%"/>
        <s v="Rp57,504-4 LSN-0.00%"/>
        <s v="Rp13,500-6 PCS-0.00%"/>
        <s v="Rp35,004-1 LSN-0.00%"/>
        <s v="Rp210,000-1 LSN-0.00%"/>
        <s v="Rp174,996-1 LSN-0.00%"/>
        <s v="Rp101,952-0.25 GRS-0.00%"/>
        <s v="Rp17,000-5 LSN-0.00%"/>
        <s v="Rp50,000-10 LSN-0.00%"/>
        <s v="Rp15,000-160 PCS-0.00%"/>
        <s v="Rp110,000-16 LSN-0.00%"/>
        <s v="Rp35,000-60 LSN-0.00%"/>
        <s v="Rp26,780-100 LSN-20.00%"/>
        <s v="Rp12,500-144 PCS-0.00%"/>
        <s v="Rp100,000-24 LSN-0.00%"/>
        <s v="Rp7,500-96 BOX-0.00%"/>
        <s v="Rp13,500-288 PCS-0.00%"/>
        <s v="Rp11,000-384 LSN-0.00%"/>
        <s v="Rp26,780-30 LSN-10.00%"/>
        <s v="Rp19,000-12 LSN-0.00%"/>
        <s v="Rp5,000-20 PCS-10.00%"/>
        <s v="Rp5,000-10 PCS-10.00%"/>
        <s v="Rp18,500-50 PAK-0.00%"/>
        <s v="Rp9,000-166 LSN-0.00%"/>
        <s v="Rp28,500-288 LSN-0.00%"/>
        <s v="Rp13,000-60 SET-10.00%"/>
        <s v="Rp16,500-60 SET-10.00%"/>
        <s v="Rp15,000-60 PCS-0.00%"/>
        <s v="Rp65,000-6 PCS-0.00%"/>
        <s v="Rp28,500-144 LSN-0.00%"/>
        <s v="Rp18,333-12 PCS-0.00%"/>
        <s v="Rp19,583-12 PCS-0.00%"/>
        <s v="Rp8,333-24 PCS-0.00%"/>
        <s v="Rp16,000-12 PCS-0.00%"/>
        <s v="Rp70,000-2 LSN-0.00%"/>
        <s v="Rp11,250-12 PCS-0.00%"/>
        <s v="Rp8,500-12 PCS-0.00%"/>
        <s v="Rp37,800-1 LSN-0.00%"/>
        <s v="Rp81,000-1 LSN-0.00%"/>
        <s v="Rp87,000-1 LSN-0.00%"/>
        <s v="Rp225,000-0.5 LSN-0.00%"/>
        <s v="Rp20,833-6 PCS-0.00%"/>
        <s v="Rp60,000-1 LSN-10.00%"/>
        <s v="Rp5,000-12 PCS-10.00%"/>
        <s v="Rp65,000-1 LSN-10.00%"/>
        <s v="Rp95,000-1 LSN-10.00%"/>
        <s v="Rp105,000-1 LSN-10.00%"/>
        <s v="Rp100,000-1 LSN-10.00%"/>
        <s v="Rp95,000-0.5 LSN-10.00%"/>
        <s v="Rp135,000-1 LSN-10.00%"/>
        <s v="Rp17,500-5 LSN-0.00%"/>
        <s v="Rp1,389-144 PCS-0.00%"/>
        <s v="Rp1,910-144 PCS-0.00%"/>
        <s v="Rp2,083-144 PCS-0.00%"/>
        <s v="Rp1,181-288 PCS-0.00%"/>
        <s v="Rp18,250-9 LSN-0.00%"/>
        <s v="Rp9,000-50 LSN-0.00%"/>
        <s v="Rp26,780-25 LSN-12.50%"/>
        <s v="Rp21,380-5 LSN-12.50%"/>
        <s v="Rp36,000-6 LSN-0.00%"/>
        <s v="Rp115,000-1 BOX-0.00%"/>
        <s v="Rp2,000-96 PCS-0.00%"/>
        <s v="Rp24,000-3 BOX-0.00%"/>
        <s v="Rp18,000-6 LSN-0.00%"/>
        <s v="Rp54,000-4 LSN-0.00%"/>
        <s v="Rp57,500-4 LSN-0.00%"/>
        <s v="Rp27,500-2 PAK-0.00%"/>
        <s v="Rp8,500-5 LSN-0.00%"/>
        <s v="Rp450-1000 PCS-0.00%"/>
        <s v="Rp450-500 PCS-0.00%"/>
        <s v="Rp400-1000 PCS-0.00%"/>
        <s v="Rp350-100 PCS-0.00%"/>
        <s v="Rp450-100 PCS-0.00%"/>
        <s v="Rp550-100 PCS-0.00%"/>
        <s v="Rp26,000-6 PCS-0.00%"/>
        <s v="Rp40,000-2 PAK-0.00%"/>
        <s v="Rp4,000-10 PAK-0.00%"/>
        <s v="Rp12,000-5 LSN-0.00%"/>
        <s v="Rp8,333-6 PCS-0.00%"/>
        <s v="Rp12,500-6 PCS-0.00%"/>
        <s v="Rp6,250-6 PCS-0.00%"/>
        <s v="Rp75,000-0.5 LSN-0.00%"/>
        <s v="Rp95,000-0.5 LSN-0.00%"/>
        <s v="Rp144,000-0.5 LSN-0.00%"/>
        <s v="Rp4,500-25 PAK-0.00%"/>
        <s v="Rp7,500-25 PAK-0.00%"/>
        <s v="Rp10,000-0.5 LSN-0.00%"/>
        <s v="Rp14,500-3 LSN-0.00%"/>
        <s v="Rp102,000-2 BOX-0.00%"/>
        <s v="Rp27,500-3 BOX-0.00%"/>
        <s v="Rp15,500-3 LSN-0.00%"/>
        <s v="Rp62,500-1 BOX-0.00%"/>
        <s v="Rp252,000-1 BOX-0.00%"/>
        <s v="Rp63,800-2 LSN-0.00%"/>
        <s v="Rp10,000-6 LSN-0.00%"/>
        <s v="Rp276,000-1 LSN-0.00%"/>
        <s v="Rp55,000-2 BOX-0.00%"/>
        <s v="Rp45,000-1 LSN-0.00%"/>
        <s v="Rp26,000-3 LSN-0.00%"/>
        <s v="Rp24,500-6 LSN-0.00%"/>
        <s v="Rp19,167-12 PCS-0.00%"/>
        <s v="Rp8,000-15 ROL-0.00%"/>
        <s v="Rp4,250-60 PCS-0.00%"/>
        <s v="Rp13,000-6 BOX-0.00%"/>
        <s v="Rp1,400-10 PCS-0.00%"/>
        <s v="Rp4,000-20 PAK-0.00%"/>
        <s v="Rp7,500-20 PAK-0.00%"/>
        <s v="Rp1,500-20 PAK-0.00%"/>
        <s v="Rp232,500-2 LSN-0.00%"/>
        <s v="Rp14,000-10 PAK-0.00%"/>
        <s v="Rp16,500-10 PAK-0.00%"/>
        <s v="Rp120,000-3 BOX-0.00%"/>
        <s v="Rp18,000-24 SET-0.00%"/>
        <s v="Rp30,000-3 PAK-0.00%"/>
        <s v="Rp16,500-40 SET-0.00%"/>
        <s v="Rp16,500-24 SET-0.00%"/>
        <s v="Rp22,000-12 LSN-0.00%"/>
        <s v="Rp475-400 PCS-0.00%"/>
        <s v="Rp17,500-6 SET-0.00%"/>
        <s v="Rp10,000-6 SET-0.00%"/>
        <s v="Rp25,000-6 SET-0.00%"/>
        <s v="Rp11,000-6 SET-0.00%"/>
        <s v="Rp2,500-40 PCS-0.00%"/>
        <s v="Rp2,500-10 PCS-0.00%"/>
        <s v="Rp7,000-10 PCS-0.00%"/>
        <s v="Rp7,083-24 PCS-0.00%"/>
        <s v="Rp444,000-0.166666667 LSN-0.00%"/>
        <s v="Rp318,000-1 LSN-0.00%"/>
        <s v="Rp18,250-6 LSN-0.00%"/>
        <s v="Rp18,250-10 LSN-0.00%"/>
        <s v="Rp12,000-25 BOX-0.00%"/>
        <s v="Rp40,000-6 DISP-0.00%"/>
        <s v="Rp1,250-20 PCS-0.00%"/>
        <s v="Rp90,000-6 LSN-0.00%"/>
        <s v="Rp192,000-3 BOX-0.00%"/>
        <s v="Rp175,000-6 LSN-0.00%"/>
        <s v="Rp11,667-24 PCS-0.00%"/>
        <s v="Rp194,000-0.5 LSN-0.00%"/>
        <s v="Rp4,500-50 PCS-0.00%"/>
        <s v="Rp126,000-1 LSN-0.00%"/>
        <s v="Rp50,000-4 LSN-0.00%"/>
        <s v="Rp4,750-50 PAK-0.00%"/>
        <s v="Rp1,400-200 PCS-0.00%"/>
        <s v="Rp4,000-10 BOX-0.00%"/>
        <s v="Rp60,000-10 PCS-0.00%"/>
        <s v="Rp7,750-200 PAK-0.00%"/>
        <s v="Rp70,000-12 LSN-0.00%"/>
        <s v="Rp110,000-28 LSN-0.00%"/>
        <s v="Rp12,500-2 LSN-0.00%"/>
        <s v="Rp19,000-1 LSN-0.00%"/>
        <s v="Rp21,380-1 LSN-20.00%"/>
        <s v="Rp24,000-3 PCS-0.00%"/>
        <s v="Rp147,600-20 LSN-12.50%"/>
        <s v="Rp150,000-10 LSN-10.00%"/>
        <s v="Rp16,667-120 PCS-10.00%"/>
        <s v="Rp20,000-96 PCS-15.00%"/>
        <s v="Rp1,250-500 PCS-0.00%"/>
        <s v="Rp3,000-600 PCS-0.00%"/>
        <s v="Rp15,000-23 LSN-0.00%"/>
        <s v="Rp9,000-300 DISP-10.00%"/>
        <s v="Rp3,500-300 PCS-0.00%"/>
        <s v="Rp78,500-20 LSN-0.00%"/>
        <s v="Rp23,000-120 LSN-10.00%"/>
        <s v="Rp25,000-50 LSN-0.00%"/>
        <s v="Rp650-4000 PCS-0.00%"/>
        <s v="Rp5,000-50 PCS-12.50%"/>
        <s v="Rp9,000-24 PCS-0.00%"/>
        <s v="Rp3,500-20 PCS-0.00%"/>
        <s v="Rp18,000-48 LSN-0.00%"/>
        <s v="Rp18,000-36 LSN-0.00%"/>
        <s v="Rp30,000-48 BOX-0.00%"/>
        <s v="Rp3,333-288 PCS-0.00%"/>
        <s v="Rp15,000-1 BOX-0.00%"/>
        <s v="Rp31,500-1 BOX-0.00%"/>
        <s v="Rp19,500-6 PCS-0.00%"/>
        <s v="Rp16,500-6 PCS-0.00%"/>
        <s v="Rp18,500-6 PCS-0.00%"/>
        <s v="Rp24,000-6 PCS-0.00%"/>
        <s v="Rp75,000-1 BOX-0.00%"/>
        <s v="Rp2,083-36 PCS-0.00%"/>
        <s v="Rp79,500-1 BOX-0.00%"/>
        <s v="Rp2,250-42 PCS-0.00%"/>
        <s v="Rp54,000-1 BOX-0.00%"/>
        <s v="Rp2,250-58 PCS-0.00%"/>
        <s v="Rp45,000-1 BOX-0.00%"/>
        <s v="Rp4,500-50 PAK-0.00%"/>
        <s v="Rp15,000-50 PAK-0.00%"/>
        <s v="Rp9,500-50 PAK-0.00%"/>
        <s v="Rp22,500-2 BOX-0.00%"/>
        <s v="Rp47,000-2 PAK-0.00%"/>
        <s v="Rp47,000-2 SLOP-0.00%"/>
        <s v="Rp34,500-2 LSN-0.00%"/>
        <s v="Rp42,000-2 LSN-0.00%"/>
        <s v="Rp7,917-24 PCS-0.00%"/>
        <s v="Rp2,000-25 PAK-0.00%"/>
        <s v="Rp2,500-24 PAK-0.00%"/>
        <s v="Rp6,667-12 PCS-0.00%"/>
        <s v="Rp6,000-12 PCS-0.00%"/>
        <s v="Rp5,500-8 PCS-0.00%"/>
        <s v="Rp16,000-5 LSN-0.00%"/>
        <s v="Rp5,750-25 ROL-0.00%"/>
        <s v="Rp6,750-25 ROL-0.00%"/>
        <s v="Rp8,500-25 ROL-0.00%"/>
        <s v="Rp38,000-2 LSN-0.00%"/>
        <s v="Rp6,000-24 PCS-0.00%"/>
        <s v="Rp5,500-12 SET-0.00%"/>
        <s v="Rp14,000-12 LSN-0.00%"/>
        <s v="Rp27,000-3 LSN-0.00%"/>
        <s v="Rp11,500-6 LSN-0.00%"/>
        <s v="Rp32,500-3 LSN-0.00%"/>
        <s v="Rp24,000-3 LSN-0.00%"/>
        <s v="Rp16,000-3 LSN-0.00%"/>
        <s v="Rp126,000-1 GRS-0.00%"/>
        <s v="Rp275,000-1 BOX-0.00%"/>
        <s v="Rp1,167-72 PCS-0.00%"/>
        <s v="Rp1,667-72 PCS-0.00%"/>
        <s v="Rp180,000-1 BOX-0.00%"/>
        <s v="Rp2,292-48 PCS-0.00%"/>
        <s v="Rp3,333-48 PCS-0.00%"/>
        <s v="Rp1,600-50 PCS-0.00%"/>
        <s v="Rp16,500-5 LSN-0.00%"/>
        <s v="Rp2,917-12 PCS-0.00%"/>
        <s v="Rp2,100-50 PCS-0.00%"/>
        <s v="Rp16,500-3 LSN-0.00%"/>
        <s v="Rp324,000-2 BOX-0.00%"/>
        <s v="Rp380,000-1 BOX-0.00%"/>
        <s v="Rp40,000-2 BOX-0.00%"/>
        <s v="Rp74,000-1 BOX-0.00%"/>
        <s v="Rp13,500-5 BOX-0.00%"/>
        <s v="Rp62,000-1 LSN-5.00%"/>
        <s v="Rp69,000-1 LSN-5.00%"/>
        <s v="Rp57,000-1 LSN-5.00%"/>
        <s v="Rp78,000-1 LSN-5.00%"/>
        <s v="Rp12,000-300 PAK-0.00%"/>
        <s v="Rp22,200-3 LSN-10.00%"/>
        <s v="Rp58,000-1 LSN-0.00%"/>
        <s v="Rp5,500-25 PCS-0.00%"/>
        <s v="Rp9,000-150 PCS-0.00%"/>
        <s v="Rp95,000-1 DISP-0.00%"/>
        <s v="Rp1,250-72 PCS-0.00%"/>
        <s v="Rp1,458-72 PCS-0.00%"/>
        <s v="Rp66,000-1 BOX-0.00%"/>
        <s v="Rp950-20 PCS-0.00%"/>
        <s v="Rp3,300-50 PAK-0.00%"/>
        <s v="Rp23,500-2 BOX-0.00%"/>
        <s v="Rp1,500-30 PCS-0.00%"/>
        <s v="Rp24,000-1 BOX-0.00%"/>
        <s v="Rp35,000-1 LSN-0.00%"/>
        <s v="Rp16,000-50 PCS-0.00%"/>
        <s v="Rp4,750-50 PCS-0.00%"/>
        <s v="Rp132,500-2 LSN-0.00%"/>
        <s v="Rp650,000-1 LSN-0.00%"/>
        <s v="Rp252,500-1 BOX-0.00%"/>
        <s v="Rp19,000-6 PCS-0.00%"/>
        <s v="Rp40,000-2 SLOP-0.00%"/>
        <s v="Rp27,000-2 PAK-0.00%"/>
        <s v="Rp48,000-1 BOX-0.00%"/>
        <s v="Rp31,500-6 PCS-0.00%"/>
        <s v="Rp10,000-50 PCS-0.00%"/>
        <s v="Rp37,500-1 BOX-0.00%"/>
        <s v="Rp265,000-1 LSN-0.00%"/>
        <s v="Rp288,000-2 BOX-0.00%"/>
        <s v="Rp19,500-6 LSN-0.00%"/>
        <s v="Rp28,000-3 LSN-0.00%"/>
        <s v="Rp33,000-6 LSN-0.00%"/>
        <s v="Rp84,000-1 BOX-0.00%"/>
        <s v="Rp60,000-1 BOX-0.00%"/>
        <s v="Rp135,000-0.75 LSN-0.00%"/>
        <s v="Rp33,000-4 LSN-0.00%"/>
        <s v="Rp33,000-1 LSN-0.00%"/>
        <s v="Rp22,500-1 BOX (30)-0.00%"/>
        <s v="Rp18,500-3 LSN-0.00%"/>
        <s v="Rp170,000-1 BOX-0.00%"/>
        <s v="Rp15,000-2 BOX-0.00%"/>
        <s v="Rp18,750-2 BOX-0.00%"/>
        <s v="Rp262,500-2 LSN-0.00%"/>
        <s v="Rp20,833-9 PCS-0.00%"/>
        <s v="Rp3,208-48 PCS-0.00%"/>
        <s v="Rp192,000-2 BOX-0.00%"/>
        <s v="Rp62,500-12 PCS-0.00%"/>
        <s v="Rp1,000-100 PAK-0.00%"/>
        <s v="Rp105,000-1 GRS-0.00%"/>
        <s v="Rp400,000-0.916666667 LSN-0.00%"/>
        <s v="Rp25,000-24 PAK-0.00%"/>
        <s v="Rp12,500-36 LSN-0.00%"/>
        <s v="Rp2,208-24 PCS-0.00%"/>
        <s v="Rp95,000-24 PCS-0.00%"/>
        <s v="Rp25,000-66 PAK-0.00%"/>
        <s v="Rp95,000-40 LSN-10.00%"/>
        <s v="Rp138,000-5 LSN-0.00%"/>
        <s v="Rp450-600 PCS-0.00%"/>
        <s v="Rp1,850-16500 PCS-0.00%"/>
        <s v="Rp55,000-5 LSN-10.00%"/>
        <s v="Rp90,000-5 LSN-10.00%"/>
        <s v="Rp100,000-5 LSN-10.00%"/>
        <s v="Rp120,000-2 LSN-10.00%"/>
        <s v="Rp65,000-5 LSN-10.00%"/>
        <s v="Rp105,000-5 LSN-10.00%"/>
        <s v="Rp135,000-5 LSN-10.00%"/>
        <s v="Rp126,000-5 LSN-0.00%"/>
        <s v="Rp236,000-5 LSN-0.00%"/>
        <s v="Rp26,000-10 LSN-0.00%"/>
        <s v="Rp170,000-5 LSN-0.00%"/>
        <s v="Rp200,000-5 LSN-0.00%"/>
        <s v="Rp11,500-576 LSN-0.00%"/>
        <s v="Rp16,000-90 LSN-0.00%"/>
        <s v="Rp30,000-50 LSN-0.00%"/>
        <s v="Rp190,000-8 LSN-0.00%"/>
        <s v="Rp210,000-8 LSN-0.00%"/>
        <s v="Rp75,000-0.5 LSN-10.00%"/>
        <s v="Rp34,000-1 LSN-0.00%"/>
        <s v="Rp12,500-1 LSN-0.00%"/>
        <s v="Rp20,000-15 PAK-0.00%"/>
        <s v="Rp52,000-2 BOX-0.00%"/>
        <s v="Rp10,000-3 LSN-0.00%"/>
        <s v="Rp2,250-36 PCS-0.00%"/>
        <s v="Rp5,000-6 PCS-0.00%"/>
        <s v="Rp125,000-2 DISP-0.00%"/>
        <s v="Rp100,000-2 DISP-0.00%"/>
        <s v="Rp25,000-6 PAK-0.00%"/>
        <s v="Rp2,000-40 PCS-0.00%"/>
        <s v="Rp3,500-40 PCS-0.00%"/>
        <s v="Rp1,700-40 PCS-0.00%"/>
        <s v="Rp3,250-40 PCS-0.00%"/>
        <s v="Rp6,500-10 PCS-0.00%"/>
        <s v="Rp3,500-50 PCS-0.00%"/>
        <s v="Rp22,500-5 LSN-0.00%"/>
        <s v="Rp18,000-18 LSN-0.00%"/>
        <s v="Rp18,000-9 LSN-0.00%"/>
        <s v="Rp18,000-2 LSN-0.00%"/>
        <s v="Rp1,458-144 PCS-0.00%"/>
        <s v="Rp8,000-6 SET-0.00%"/>
        <s v="Rp9,000-6 SET-0.00%"/>
        <s v="Rp11,500-6 SET-0.00%"/>
        <s v="Rp13,000-6 SET-0.00%"/>
        <s v="Rp15,500-6 SET-0.00%"/>
        <s v="Rp17,000-6 SET-0.00%"/>
        <s v="Rp19,000-6 SET-0.00%"/>
        <s v="Rp21,000-6 SET-0.00%"/>
        <s v="Rp23,000-6 SET-0.00%"/>
        <s v="Rp27,000-6 SET-0.00%"/>
        <s v="Rp19,000-36 PCS-0.00%"/>
        <s v="Rp18,000-36 SET-10.00%"/>
        <s v="Rp11,000-60 SET-10.00%"/>
        <s v="Rp10,000-24 SET-0.00%"/>
        <s v="Rp12,000-24 SET-0.00%"/>
        <s v="Rp19,500-12 PCS-0.00%"/>
        <s v="Rp135,000-1 PAK-0.00%"/>
        <s v="Rp1,000-50 PCS-0.00%"/>
        <s v="Rp18,000-4 PCS-0.00%"/>
        <s v="Rp30,000-12 SET-0.00%"/>
        <s v="Rp120,000-3 LSN-0.00%"/>
        <s v="Rp37,500-3 LSN-0.00%"/>
        <s v="Rp62,000-2 LSN-0.00%"/>
        <s v="Rp69,000-5 LSN-0.00%"/>
        <s v="Rp87,000-2 LSN-0.00%"/>
        <s v="Rp133,000-5 LSN-0.00%"/>
        <s v="Rp52,000-2 LSN-0.00%"/>
        <s v="Rp10,417-24 PCS-0.00%"/>
        <s v="Rp7,500-36 PCS-0.00%"/>
        <s v="Rp67,200-6 BOX-0.00%"/>
        <s v="Rp80,000-6 BOX-0.00%"/>
        <s v="Rp52,500-6 BOX-0.00%"/>
        <s v="Rp108,000-1 LSN-0.00%"/>
        <s v="Rp26,500-3 LSN-0.00%"/>
        <s v="Rp14,583-24 PCS-10.00%"/>
        <s v="Rp18,500-10 PAK-0.00%"/>
        <s v="Rp108,000-3 BOX-0.00%"/>
        <s v="Rp55,000-1 PAK-0.00%"/>
        <s v="Rp8,500-3 PAK-0.00%"/>
        <s v="Rp13,500-2 PAK-0.00%"/>
        <s v="Rp6,250-12 BOX-0.00%"/>
        <s v="Rp148,100-3 LSN-0.00%"/>
        <s v="Rp150,000-6 LSN-0.00%"/>
        <s v="Rp13,000-143 SET-0.00%"/>
        <s v="Rp16,500-144 SET-0.00%"/>
        <s v="Rp5,500-24 PCS-0.00%"/>
        <s v="Rp50,000-12 BOX-0.00%"/>
        <s v="Rp18,000-5 LSN-0.00%"/>
        <s v="Rp4,250-120 PCS-0.00%"/>
        <s v="Rp87,500-3 BOX-0.00%"/>
        <s v="Rp70,000-5 LSN-0.00%"/>
        <s v="Rp170,000-2 LSN-0.00%"/>
        <s v="Rp28,500-24 LSN-0.00%"/>
        <s v="Rp28,500-6 LSN-0.00%"/>
        <s v="Rp12,500-48 LSN-0.00%"/>
        <s v="Rp26,500-36 LSN-0.00%"/>
        <s v="Rp27,000-36 LSN-0.00%"/>
        <s v="Rp11,000-36 LSN-0.00%"/>
        <s v="Rp21,000-36 LSN-0.00%"/>
        <s v="Rp11,000-5 LSN-0.00%"/>
        <s v="Rp17,500-60 PCS-0.00%"/>
        <s v="Rp33,000-3 LSN-0.00%"/>
        <s v="Rp23,000-3 LSN-0.00%"/>
        <s v="Rp18,000-2 RENT-0.00%"/>
        <s v="Rp7,000-36 PCS-0.00%"/>
        <s v="Rp675,000-1 LSN-0.00%"/>
        <s v="Rp198,000-8 LSN-0.00%"/>
        <s v="Rp22,500-20 LSN-0.00%"/>
        <s v="Rp18,500-48 LSN-0.00%"/>
        <s v="Rp18,500-17 LSN-0.00%"/>
        <s v="Rp18,500-14 LSN-0.00%"/>
        <s v="Rp67,500-2 TOP-0.00%"/>
        <s v="Rp13,500-192 LSN-0.00%"/>
        <s v="Rp4,750-210 PCS-0.00%"/>
        <s v="Rp18,500-36 LSN-0.00%"/>
        <s v="Rp32,000-2 LSN-0.00%"/>
        <s v="Rp39,000-8 LSN-0.00%"/>
        <s v="Rp21,000-10 PCS-0.00%"/>
        <s v="Rp407,500-0.666666667 LSN-0.00%"/>
        <s v="Rp23,750-6 PCS-0.00%"/>
        <s v="Rp26,250-6 PCS-0.00%"/>
        <s v="Rp31,250-6 PCS-0.00%"/>
        <s v="Rp33,333-6 PCS-0.00%"/>
        <s v="Rp85,000-10 LSN-10.00%"/>
        <s v="Rp270,000-12 LSN-0.00%"/>
        <s v="Rp11,000-144 LSN-0.00%"/>
        <s v="Rp26,500-144 LSN-0.00%"/>
        <s v="Rp6,000-500 ROL-0.00%"/>
        <s v="Rp18,250-3 LSN-0.00%"/>
        <s v="Rp20,000-24 LSN-10.00%"/>
        <s v="Rp1,667-288 PCS-10.00%"/>
        <s v="Rp15,000-24 LSN-10.00%"/>
        <s v="Rp1,250-288 PCS-10.00%"/>
        <s v="Rp105,000-2 GRS-0.00%"/>
        <s v="Rp50,000-2 GRS-0.00%"/>
        <s v="Rp150,000-12 LSN-0.00%"/>
        <s v="Rp50,000-10 BOX-0.00%"/>
        <s v="Rp4,250-50 PCS-0.00%"/>
        <s v="Rp1,600-80 PCS-0.00%"/>
        <s v="Rp3,333-51.996 PCS-0.00%"/>
        <s v="Rp30,000-16 LSN-0.00%"/>
        <s v="Rp35,000-10 LSN-0.00%"/>
        <s v="Rp7,000-3 LSN-0.00%"/>
        <s v="Rp9,500-3 LSN-0.00%"/>
        <s v="Rp17,500-40 LSN-0.00%"/>
        <s v="Rp10,417-60 PCS-0.00%"/>
        <s v="Rp150,000-3.5 LSN-0.00%"/>
        <s v="Rp25,000-36 PCS-0.00%"/>
        <s v="Rp1,750-288 PCS-0.00%"/>
        <s v="Rp1,750-240 PCS-0.00%"/>
        <s v="Rp1,750-168 PCS-0.00%"/>
        <s v="Rp40,000-6 BOX-0.00%"/>
        <s v="Rp20,000-20 LSN-10.00%"/>
        <s v="Rp16,667-60 PCS-0.00%"/>
        <s v="Rp18,750-60 PCS-0.00%"/>
        <s v="Rp29,167-60 PCS-0.00%"/>
        <s v="Rp13,000-60 PCS-0.00%"/>
        <s v="Rp55,000-20 PCS-0.00%"/>
        <s v="Rp15,833-144 PCS-0.00%"/>
        <s v="Rp6,000-30 PAK-0.00%"/>
        <s v="Rp43,000-2 LSN-0.00%"/>
        <s v="Rp75,000-5 DISP-10.00%"/>
        <s v="Rp68,750-5 DISP-10.00%"/>
        <s v="Rp85,000-5 DISP-10.00%"/>
        <s v="Rp25,000-2 BOX-0.00%"/>
        <s v="Rp102,000-2 GRS-0.00%"/>
        <s v="Rp11,500-36 LSN-0.00%"/>
        <s v="Rp1,042-144 PCS-0.00%"/>
        <s v="Rp23,000-24 PCS-0.00%"/>
        <s v="Rp19,000-24 PCS-0.00%"/>
        <s v="Rp18,000-24 PCS-0.00%"/>
        <s v="Rp15,500-24 PCS-0.00%"/>
        <s v="Rp425-500 PCS-0.00%"/>
        <s v="Rp425-300 PCS-0.00%"/>
        <s v="Rp0-1 PCS-0.00%"/>
        <s v="Rp0-2 PCS-0.00%"/>
        <s v="Rp0-3 PCS-0.00%"/>
        <s v="Rp72,000-12 LSN-0.00%"/>
        <s v="Rp14,500-100 LSN-0.00%"/>
        <s v="Rp70,000-10 PCS-0.00%"/>
        <s v="Rp70,000-15 PCS-0.00%"/>
        <s v="Rp61,000-6 LSN-0.00%"/>
        <s v="Rp9,500-50 PCS-0.00%"/>
        <s v="Rp5,500-50 ROL-0.00%"/>
        <s v="Rp13,500-36 LSN-0.00%"/>
        <s v="Rp65,000-20 GRS-0.00%"/>
        <s v="Rp11,000-75 PCS-0.00%"/>
        <s v="Rp42,000-15 LSN-0.00%"/>
        <s v="Rp7,750-200 PCS-0.00%"/>
        <s v="Rp17,000-1 LSN-0.00%"/>
        <s v="Rp8,000-84 LSN-0.00%"/>
        <s v="Rp18,250-24 LSN-0.00%"/>
        <s v="Rp1,500-20 PCS-0.00%"/>
        <s v="Rp4,000-200 PAK-20.00%"/>
        <s v="Rp4,500-200 PAK-20.00%"/>
        <s v="Rp120,000-4 LSN-10.00%"/>
        <s v="Rp87,500-20 GRS-0.00%"/>
        <s v="Rp180,000-12 LSN-0.00%"/>
        <s v="Rp50,000-24 LSN-0.00%"/>
        <s v="Rp3,333-960 PCS-10.00%"/>
        <s v="Rp50,000-48 PCS-0.00%"/>
        <s v="Rp70,000-24 LSN-0.00%"/>
        <s v="Rp1,250-432 PCS-0.00%"/>
        <s v="Rp1,250-288 PCS-0.00%"/>
        <s v="Rp15,000-11 PCS-0.00%"/>
        <s v="Rp225,000-0.25 LSN-0.00%"/>
        <s v="Rp4,583-6 PCS-0.00%"/>
        <s v="Rp342,000-0.5 LSN-0.00%"/>
        <s v="Rp20,000-60 LSN-0.00%"/>
        <s v="Rp27,500-16 LSN-0.00%"/>
        <s v="Rp27,500-8 LSN-0.00%"/>
        <s v="Rp17,500-100 LSN-0.00%"/>
        <s v="Rp14,167-60 PCS-0.00%"/>
        <s v="Rp13,750-60 PCS-0.00%"/>
        <s v="Rp87,500-48 LSN-0.00%"/>
        <s v="Rp15,000-60 PCS-10.00%"/>
        <s v="Rp225,000-5 LSN-10.00%"/>
        <s v="Rp180,000-5 LSN-10.00%"/>
        <s v="Rp900-500 PAK-0.00%"/>
        <s v="Rp3,000-300 PAK-0.00%"/>
        <s v="Rp4,000-300 PAK-0.00%"/>
        <s v="Rp7,250-300 PAK-0.00%"/>
        <s v="Rp8,000-300 PAK-0.00%"/>
        <s v="Rp6,000-300 PAK-0.00%"/>
        <s v="Rp6,500-300 PAK-0.00%"/>
        <s v="Rp14,000-300 PAK-0.00%"/>
        <s v="Rp2,250-300 PAK-0.00%"/>
        <s v="Rp5,250-300 PAK-0.00%"/>
        <s v="Rp6,800-300 PAK-0.00%"/>
        <s v="Rp7,500-300 PAK-0.00%"/>
        <s v="Rp13,500-300 PAK-0.00%"/>
        <s v="Rp190,000-0.25 LSN-0.00%"/>
        <s v="Rp37,500-60 LSN-0.00%"/>
        <s v="Rp65,000-60 LSN-0.00%"/>
        <s v="Rp18,750-72 PCS-0.00%"/>
        <s v="Rp13,333-36 PCS-0.00%"/>
        <s v="Rp160,000-3 LSN-0.00%"/>
        <s v="Rp27,083-36 PCS-0.00%"/>
        <s v="Rp18,500-50 LSN-0.00%"/>
        <s v="Rp96,000-12 LSN-0.00%"/>
        <s v="Rp25,000-36 LSN-0.00%"/>
        <s v="Rp9,000-292 LSN-0.00%"/>
        <s v="Rp270,000-0.5 LSN-0.00%"/>
        <s v="Rp2,200-48 PCS-0.00%"/>
        <s v="Rp2,500-120 PCS-0.00%"/>
        <s v="Rp12,000-6 BOX-0.00%"/>
        <s v="Rp57,000-2 LSN-0.00%"/>
        <s v="Rp24,000-40 LSN-0.00%"/>
        <s v="Rp11,000-24 SET-0.00%"/>
        <s v="Rp12,500-24 SET-0.00%"/>
        <s v="Rp14,500-24 SET-0.00%"/>
        <s v="Rp6,000-120 BOX-0.00%"/>
        <s v="Rp6,000-24 BOX-0.00%"/>
        <s v="Rp6,000-72 BOX-0.00%"/>
        <s v="Rp150,000-36 LSN-15.00%"/>
        <s v="Rp12,500-432 PCS-13.00%"/>
        <s v="Rp29,167-180 PCS-15.00%"/>
        <s v="Rp12,500-480 PCS-10.00%"/>
        <s v="Rp10,500-600 PCS-15.00%"/>
        <s v="Rp16,667-360 PCS-13.00%"/>
        <s v="Rp18,750-360 PCS-13.00%"/>
        <s v="Rp675-1000 PCS-0.00%"/>
        <s v="Rp475-1000 PCS-0.00%"/>
        <s v="Rp5,250-120 ROL-0.00%"/>
        <s v="Rp95,000-24 LSN-0.00%"/>
        <s v="Rp31,000-96 LSN-0.00%"/>
        <s v="Rp65,000-20 PCS-0.00%"/>
        <s v="Rp18,000-400 PAK-0.00%"/>
        <s v="Rp9,500-36 PCS-0.00%"/>
        <s v="Rp19,000-50 LSN-0.00%"/>
        <s v="Rp90,000-30 LSN-0.00%"/>
        <s v="Rp3,300-640 PCS-0.00%"/>
        <s v="Rp65,000-13 PCS-0.00%"/>
        <s v="Rp216,000-24 BOX-0.00%"/>
        <s v="Rp22,500-288 LSN-0.00%"/>
        <s v="Rp26,500-24 LSN-0.00%"/>
        <s v="Rp100,000-14 LSN-0.00%"/>
        <s v="Rp1,750-300 PCS-0.00%"/>
        <s v="Rp126,000-5 BOX-0.00%"/>
        <s v="Rp1,458-360 PCS-0.00%"/>
        <s v="Rp98,000-5 POT-0.00%"/>
        <s v="Rp1,750-360 PCS-0.00%"/>
        <s v="Rp1,750-210 PCS-0.00%"/>
        <s v="Rp1,750-290 PCS-0.00%"/>
        <s v="Rp1,750-400 PCS-0.00%"/>
        <s v="Rp84,000-5 BOX-0.00%"/>
        <s v="Rp252,000-0.333333333 LSN-0.00%"/>
        <s v="Rp57,500-6 LSN-0.00%"/>
        <s v="Rp95,000-6 LSN-0.00%"/>
        <s v="Rp420,000-0.5 LSN-0.00%"/>
        <s v="Rp1,000-100 PCS-0.00%"/>
        <s v="Rp2,000-48 PCS-0.00%"/>
        <s v="Rp12,000-6 PCS-0.00%"/>
        <s v="Rp198,000-0.5 LSN-0.00%"/>
        <s v="Rp195,000-0.5 LSN-0.00%"/>
        <s v="Rp210,000-0.5 LSN-0.00%"/>
        <s v="Rp56,400-1 LSN-0.00%"/>
        <s v="Rp81,600-1 LSN-0.00%"/>
        <s v="Rp198,000-0.583333333 LSN-0.00%"/>
        <s v="Rp157,000-1 LSN-0.00%"/>
        <s v="Rp177,000-1 LSN-0.00%"/>
        <s v="Rp20,500-12 PCS-0.00%"/>
        <s v="Rp127,000-1 LSN-0.00%"/>
        <s v="Rp146,500-1 LSN-0.00%"/>
        <s v="Rp15,000-24 SET-0.00%"/>
        <s v="Rp198,000-5 LSN-0.00%"/>
        <s v="Rp2,208-48 PCS-0.00%"/>
        <s v="Rp10,500-384 LSN-0.00%"/>
        <s v="Rp3,000-100 PCS-10.00%"/>
        <s v="Rp3,000-50 PCS-10.00%"/>
        <s v="Rp175,000-0.5 LSN-20.00%"/>
        <s v="Rp147,600-20 LSN-13.00%"/>
        <s v="Rp14,000-178 PAK-15.00%"/>
        <s v="Rp21,000-288 LSN-0.00%"/>
        <s v="Rp34,500-224 LSN-0.00%"/>
        <s v="Rp22,000-144 LSN-0.00%"/>
        <s v="Rp125,000-2 TOP-0.00%"/>
        <s v="Rp10,750-576 LSN-0.00%"/>
        <s v="Rp17,500-30 PCS-0.00%"/>
        <s v="Rp210,000-12 PCS-0.00%"/>
        <s v="Rp110,000-3 PAK-0.00%"/>
        <s v="Rp138,000-1 GRS-0.00%"/>
        <s v="Rp135,000-1 GRS-0.00%"/>
        <s v="Rp17,000-6 LSN-0.00%"/>
        <s v="Rp94,500-1 BOX-0.00%"/>
        <s v="Rp112,500-1 BOX-0.00%"/>
        <s v="Rp1,146-48 PCS-0.00%"/>
        <s v="Rp1,500-24 PCS-0.00%"/>
        <s v="Rp2,500-50 PCS-0.00%"/>
        <s v="Rp28,500-5 LSN-0.00%"/>
        <s v="Rp11,500-24 PCS-0.00%"/>
        <s v="Rp23,000-8 PAK-0.00%"/>
        <s v="Rp23,000-12 PAK-0.00%"/>
        <s v="Rp5,500-36 PCS-0.00%"/>
        <s v="Rp4,375-48 PCS-0.00%"/>
        <s v="Rp22,000-8 PAK-0.00%"/>
        <s v="Rp13,500-4 PAK-0.00%"/>
        <s v="Rp4,400-120 PCS-0.00%"/>
        <s v="Rp22,000-4 PAK-0.00%"/>
        <s v="Rp9,500-12 PAK-0.00%"/>
        <s v="Rp3,000-12 PAK-0.00%"/>
        <s v="Rp4,000-12 PAK-0.00%"/>
        <s v="Rp7,500-24 ROL-0.00%"/>
        <s v="Rp11,000-24 ROL-0.00%"/>
        <s v="Rp6,000-200 PCS-0.00%"/>
        <s v="Rp11,000-12 PSK-0.00%"/>
        <s v="Rp45,000-1 DISP-0.00%"/>
        <s v="Rp3,000-50 PCS-0.00%"/>
        <s v="Rp18,000-12 PCS-0.00%"/>
        <s v="Rp17,000-1 BOX-0.00%"/>
        <s v="Rp185,000-0.5 LSN-0.00%"/>
        <s v="Rp300,000-0.5 LSN-0.00%"/>
        <s v="Rp130,000-0.5 LSN-0.00%"/>
        <s v="Rp200,000-0.5 LSN-0.00%"/>
        <s v="Rp150,000-0.5 LSN-0.00%"/>
        <s v="Rp90,000-0.5 LSN-0.00%"/>
        <s v="Rp132,000-0.5 LSN-0.00%"/>
        <s v="Rp27,500-48 PCS-0.00%"/>
        <s v="Rp32,083-48 PCS-0.00%"/>
        <s v="Rp32,083-30 PCS-0.00%"/>
        <s v="Rp36,667-12 PCS-0.00%"/>
        <s v="Rp16,500-20 PCS-0.00%"/>
        <s v="Rp20,625-24 PCS-0.00%"/>
        <s v="Rp19,583-20 PCS-0.00%"/>
        <s v="Rp10,083-20 PCS-0.00%"/>
        <s v="Rp172,000-1 LSN-0.00%"/>
        <s v="Rp9,000-6 PCS-0.00%"/>
        <s v="Rp25,000-3 BOX-0.00%"/>
        <s v="Rp16,250-6 LSN-0.00%"/>
        <s v="Rp60,000-3 BOX-0.00%"/>
        <s v="Rp100,000-3 BOX-0.00%"/>
        <s v="Rp40,000-3 BOX-0.00%"/>
        <s v="Rp22,500-3 BOX-0.00%"/>
        <s v="Rp35,750-12 PCS-0.00%"/>
        <s v="Rp550,000-1 LSN-0.00%"/>
        <s v="Rp385,000-1 LSN-0.00%"/>
        <s v="Rp55,000-75 ROL-0.00%"/>
        <s v="Rp27,500-300 PCS-0.00%"/>
        <s v="Rp6,500-500 PAK-0.00%"/>
        <s v="Rp22,500-24 LSN-0.00%"/>
        <s v="Rp18,500-6 PAK-0.00%"/>
        <s v="Rp85,000-4 LSN-0.00%"/>
        <s v="Rp93,500-1 POT-0.00%"/>
        <s v="Rp1,667-42 PCS-0.00%"/>
        <s v="Rp75,000-1 PAK-0.00%"/>
        <s v="Rp50,000-1 PAK-0.00%"/>
        <s v="Rp95,000-4 LSN-0.00%"/>
        <s v="Rp235,000-2 LSN-0.00%"/>
        <s v="Rp20,000-12 PAK-0.00%"/>
        <s v="Rp5,700-12 PAK-0.00%"/>
        <s v="Rp11,400-12 PAK-0.00%"/>
        <s v="Rp192,000-4 LSN-0.00%"/>
        <s v="Rp119,500-1 BOX-0.00%"/>
        <s v="Rp1,500-600 PCS-0.00%"/>
        <s v="Rp5,000-720 PCS-0.00%"/>
        <s v="Rp7,500-720 PCS-0.00%"/>
        <s v="Rp8,500-120 PCS-0.00%"/>
        <s v="Rp325,000-5 LSN-0.00%"/>
        <s v="Rp450-4000 PCS-0.00%"/>
        <s v="Rp2,500-60 PCS-0.00%"/>
        <s v="Rp5,250-36 PCS-0.00%"/>
        <s v="Rp10,500-36 PCS-0.00%"/>
        <s v="Rp47,500-36 PCS-0.00%"/>
        <s v="Rp5,417-36 PCS-0.00%"/>
        <s v="Rp3,500-36 PCS-0.00%"/>
        <s v="Rp35,000-23 LSN-0.00%"/>
        <s v="Rp53,000-5 LSN-0.00%"/>
        <s v="Rp20,000-5 LSN-0.00%"/>
        <s v="Rp500-1000 PCS-0.00%"/>
        <s v="Rp106,000-3 GRS-0.00%"/>
        <s v="Rp90,000-0.25 LSN-0.00%"/>
        <s v="Rp26,500-100 PCS-0.00%"/>
        <s v="Rp35,000-24 PCS-0.00%"/>
        <s v="Rp18,000-62 LSN-0.00%"/>
        <s v="Rp18,000-41 LSN-0.00%"/>
        <s v="Rp18,000-27 LSN-0.00%"/>
        <s v="Rp18,000-35 LSN-0.00%"/>
        <s v="Rp18,000-26 LSN-0.00%"/>
        <s v="Rp18,000-8 LSN-0.00%"/>
        <s v="Rp18,000-14 LSN-0.00%"/>
        <s v="Rp18,000-4 LSN-0.00%"/>
        <s v="Rp50,000-36 LSN-0.00%"/>
        <s v="Rp130,000-6 LSN-0.00%"/>
        <s v="Rp6,000-100 LSN-0.00%"/>
        <s v="Rp160,000-10 LSN-0.00%"/>
        <s v="Rp1,500-300 PCS-0.00%"/>
        <s v="Rp7,500-10 SET-0.00%"/>
        <s v="Rp9,000-10 PCS-0.00%"/>
        <s v="Rp10,000-10 SET-0.00%"/>
        <s v="Rp12,500-10 PCS-0.00%"/>
        <s v="Rp12,000-10 PCS-0.00%"/>
        <s v="Rp25,000-10 SLOP-10.00%"/>
        <s v="Rp1,250-10 PCS-0.00%"/>
        <s v="Rp1,500-288 PCS-0.00%"/>
        <s v="Rp11,500-144 BOX-0.00%"/>
        <s v="Rp65,000-10 PCSN-0.00%"/>
        <s v="Rp100,000-24 PCS-0.00%"/>
        <s v="Rp100,000-8 PCS-0.00%"/>
        <s v="Rp58,000-5 LSN-0.00%"/>
        <s v="Rp28,000-6 PCS-0.00%"/>
        <s v="Rp40,000-6 PCS-0.00%"/>
        <s v="Rp15,000-240 PCS-0.00%"/>
        <s v="Rp34,000-2 LSN-0.00%"/>
        <s v="Rp15,000-144 LSN-0.00%"/>
        <s v="Rp75,000-40 GRS-0.00%"/>
        <s v="Rp20,833-180 PCS-0.00%"/>
        <s v="Rp240,000-8 LSN-0.00%"/>
        <s v="Rp17,500-120 PCS-0.00%"/>
        <s v="Rp12,500-360 PCS-10.00%"/>
        <s v="Rp10,417-288 PCS-0.00%"/>
        <s v="Rp48,500-3 LSN-0.00%"/>
        <s v="Rp4,000-12 PCS-0.00%"/>
        <s v="Rp375-120 PCS-0.00%"/>
        <s v="Rp675-400 PCS-0.00%"/>
        <s v="Rp7,500-6 SET-0.00%"/>
        <s v="Rp16,500-6 SET-0.00%"/>
        <s v="Rp16,000-6 SET-0.00%"/>
        <s v="Rp26,000-5 LSN-0.00%"/>
        <s v="Rp14,000-3 LSN-0.00%"/>
        <s v="Rp31,000-3 LSN-0.00%"/>
        <s v="Rp16,667-24 LSN-0.00%"/>
        <s v="Rp2,250-500 PCS-0.00%"/>
        <s v="Rp147,000-10 LSN-0.00%"/>
        <s v="Rp196,000-10 LSN-0.00%"/>
        <s v="Rp273,000-10 LSN-0.00%"/>
        <s v="Rp6,250-840 PCS-0.00%"/>
        <s v="Rp7,500-840 PCS-0.00%"/>
        <s v="Rp8,400-1800 LSN-0.00%"/>
        <s v="Rp17,250-600 LSN-0.00%"/>
        <s v="Rp19,500-100 LSN-0.00%"/>
        <s v="Rp550-4000 PCS-0.00%"/>
        <s v="Rp1,250-100 PCS-0.00%"/>
        <s v="Rp1,750-100 PCS-0.00%"/>
        <s v="Rp25,000-1 BOX-0.00%"/>
        <s v="Rp5,000-50 PCS-15.00%"/>
        <s v="Rp25,000-1 PAK-0.00%"/>
        <s v="Rp1,400-300 PCS-0.00%"/>
        <s v="Rp2,100-36 PCS-0.00%"/>
        <s v="Rp51,000-3 LSN-0.00%"/>
        <s v="Rp24,996-6 LSN-0.00%"/>
        <s v="Rp51,000-1 LSN-0.00%"/>
        <s v="Rp25,500-6 LSN-0.00%"/>
        <s v="Rp1,000-40 PCS-0.00%"/>
        <s v="Rp2,291-12 PCS-0.00%"/>
        <s v="Rp1,550-12 PCS-0.00%"/>
        <s v="Rp2,375-12 PCS-0.00%"/>
        <s v="Rp2,625-12 PCS-0.00%"/>
        <s v="Rp42,500-1 LSN-0.00%"/>
        <s v="Rp45,600-1 LSN-0.00%"/>
        <s v="Rp59,796-1 LSN-0.00%"/>
        <s v="Rp81,636-1 LSN-0.00%"/>
        <s v="Rp19,500-3 LSN-0.00%"/>
        <s v="Rp13,500-2 LSN-0.00%"/>
        <s v="Rp13,500-3 LSN-0.00%"/>
        <s v="Rp1,125-24 PCS-0.00%"/>
        <s v="Rp1,875-24 PCS-0.00%"/>
        <s v="Rp15,000-3 PCS-0.00%"/>
        <s v="Rp18,000-3 PCS-0.00%"/>
        <s v="Rp93,996-1 LSN-0.00%"/>
        <s v="Rp10,992-1 LSN-0.00%"/>
        <s v="Rp2,500-20 PCS-0.00%"/>
        <s v="Rp57,500-0.5 LSN-0.00%"/>
        <s v="Rp7,500-6 PCS-0.00%"/>
        <s v="Rp750-50 PCS-0.00%"/>
        <s v="Rp79,992-1 LSN-0.00%"/>
        <s v="Rp102,000-1 LSN-0.00%"/>
        <s v="Rp1,925-12 PCS-0.00%"/>
        <s v="Rp1,925-36 PCS-0.00%"/>
        <s v="Rp28,500-8 LSN-0.00%"/>
        <s v="Rp24,000-36 PCS-0.00%"/>
        <s v="Rp17,000-36 PCS-0.00%"/>
        <s v="Rp21,000-36 PCS-0.00%"/>
        <s v="Rp575,000-3 LSN-0.00%"/>
        <s v="Rp235,000-5 LSN-0.00%"/>
        <s v="Rp23,000-30 LSN-0.00%"/>
        <s v="Rp570,000-5 LSN-0.00%"/>
        <s v="Rp14,000-160 PCS-0.00%"/>
        <s v="Rp450,000-3 LSN-0.00%"/>
        <s v="Rp235,000-3 LSN-0.00%"/>
        <s v="Rp70,000-10 TOP-0.00%"/>
        <s v="Rp120,000-3 LSN-15.00%"/>
        <s v="Rp106,000-2 LSN-15.00%"/>
        <s v="Rp120,000-2 LSN-15.00%"/>
        <s v="Rp25,000-3 LSN-15.00%"/>
        <s v="Rp60,000-3 LSN-15.00%"/>
        <s v="Rp65,000-3 LSN-15.00%"/>
        <s v="Rp100,000-2 LSN-15.00%"/>
        <s v="Rp8,750-24 PCS-15.00%"/>
        <s v="Rp95,000-2 LSN-15.00%"/>
        <s v="Rp30,000-24 PCS-0.00%"/>
        <s v="Rp13,500-30 PCS-0.00%"/>
        <s v="Rp12,500-12 PCS-10.00%"/>
        <s v="Rp150,000-1 LSN-10.00%"/>
        <s v="Rp3,250-8 PCS-0.00%"/>
        <s v="Rp3,250-7 PCS-0.00%"/>
        <s v="Rp7,500-60 PCS-0.00%"/>
        <s v="Rp5,500-60 PCS-0.00%"/>
        <s v="Rp90,000-10 LSN-0.00%"/>
        <s v="Rp106,000-1 LSN-0.00%"/>
        <s v="Rp34,500-288 LSN-0.00%"/>
        <s v="Rp225,000-8.75 LSN-0.00%"/>
        <s v="Rp225,000-12 LSN-0.00%"/>
        <s v="Rp33,500-6 LSN-0.00%"/>
        <s v="Rp26,500-12 LSN-0.00%"/>
        <s v="Rp5,500-48 PCS-0.00%"/>
        <s v="Rp106,000-2 LSN-0.00%"/>
        <s v="Rp4,000-40 PCS-0.00%"/>
        <s v="Rp88,000-144 LSN-0.00%"/>
        <s v="Rp62,500-48 LSN-0.00%"/>
        <s v="Rp475-4000 PCS-0.00%"/>
        <s v="Rp20,000-144 PCS-0.00%"/>
        <s v="Rp19,000-144 PCS-0.00%"/>
        <s v="Rp106,000-30 LSN-10.00%"/>
        <s v="Rp100,000-40 LSN-10.00%"/>
        <s v="Rp120,000-30 LSN-10.00%"/>
        <s v="Rp57,500-100 LSN-0.00%"/>
        <s v="Rp30,000-20 LSN-0.00%"/>
        <s v="Rp20,000-19 LSN-0.00%"/>
        <s v="Rp15,000-48 PCS-0.00%"/>
        <s v="Rp32,500-10 LSN-0.00%"/>
        <s v="Rp1,550-1450 PCS-0.00%"/>
        <s v="Rp26,000-24 PCS-0.00%"/>
        <s v="Rp33,000-5 LSN-10.00%"/>
        <s v="Rp27,000-144 LSN-0.00%"/>
        <s v="Rp8,750-1400 LSN-0.00%"/>
        <s v="Rp147,600-100 LSN-12.50%"/>
        <s v="Rp150,000-16 LSN-0.00%"/>
        <s v="Rp694-288 PCS-0.00%"/>
        <s v="Rp12,500-2 BOX-0.00%"/>
        <s v="Rp6,250-4 LSN-0.00%"/>
        <s v="Rp250,000-1 BOX-0.00%"/>
        <s v="Rp47,500-5 LSN-0.00%"/>
        <s v="Rp23,000-5 LSN-10.00%"/>
        <s v="Rp396,000-0.416666667 GRS-10.00%"/>
        <s v="Rp700-250 PCS-0.00%"/>
        <s v="Rp5,417-12 PCS-10.00%"/>
        <s v="Rp100,000-0.916666667 LSN-0.00%"/>
        <s v="Rp110,000-0.416666667 LSN-0.00%"/>
        <s v="Rp132,000-2 LSN-0.00%"/>
        <s v="Rp20,500-6 SET-0.00%"/>
        <s v="Rp56,500-3 LSN-0.00%"/>
        <s v="Rp36,000-3 LSN-0.00%"/>
        <s v="Rp22,000-16 PCS-0.00%"/>
        <s v="Rp5,000-20 PCS-0.00%"/>
        <s v="Rp10,500-10 PCS-0.00%"/>
        <s v="Rp35,750-6 PCS-0.00%"/>
        <s v="Rp32,083-3 PCS-0.00%"/>
        <s v="Rp45,833-3 PCS-0.00%"/>
        <s v="Rp11,500-1 LSN-0.00%"/>
        <s v="Rp14,000-1 LSN-0.00%"/>
        <s v="Rp35,000-1 SLOP-0.00%"/>
        <s v="Rp65,000-10 LSN-0.00%"/>
        <s v="Rp22,500-480 PCS-0.00%"/>
        <s v="Rp28,500-432 LSN-0.00%"/>
        <s v="Rp23,000-96 PCS-0.00%"/>
        <s v="Rp31,000-72 PCS-0.00%"/>
        <s v="Rp106,000-30 LSN-15.00%"/>
        <s v="Rp32,500-36 PCS-0.00%"/>
        <s v="Rp24,500-36 PCS-0.00%"/>
        <s v="Rp120,000-30 LSN-20.00%"/>
        <s v="Rp106,000-30 LSN-20.00%"/>
        <s v="Rp57,500-60 LSN-20.00%"/>
        <s v="Rp57,500-48 LSN-20.00%"/>
        <s v="Rp106,000-24 LSN-20.00%"/>
        <s v="Rp32,000-1 LSN-0.00%"/>
        <s v="Rp7,000-250 PCS-0.00%"/>
        <s v="Rp2,600-50 PCS-0.00%"/>
        <s v="Rp11,000-48 PCS-0.00%"/>
        <s v="Rp70,000-15 PAK-0.00%"/>
        <s v="Rp550-600 PCS-0.00%"/>
        <s v="Rp800-600 PCS-0.00%"/>
        <s v="Rp14,500-200 LSN-0.00%"/>
        <s v="Rp833-210 LSN-0.00%"/>
        <s v="Rp10,000-8 PCS-0.00%"/>
        <m/>
        <s v="Rp1,500-500 PCS-0.00%"/>
        <s v="Rp18,000-100 PAK-0.00%"/>
        <s v="Rp230,000-2 LSN-0.00%"/>
        <s v="Rp260,000-2 LSN-0.00%"/>
        <s v="Rp194,000-2 LSN-0.00%"/>
        <s v="Rp316,500-2 LSN-0.00%"/>
        <s v="Rp276,000-2 LSN-0.00%"/>
        <s v="Rp41,500-6 LSN-0.00%"/>
        <s v="Rp44,000-6 LSN-0.00%"/>
        <s v="Rp53,000-6 LSN-0.00%"/>
        <s v="Rp92,500-6 LSN-0.00%"/>
      </sharedItems>
    </cacheField>
    <cacheField name="TGL NOTA" numFmtId="167">
      <sharedItems containsDate="1" containsString="0" containsBlank="1">
        <d v="2024-04-26T00:00:00Z"/>
        <d v="2024-04-27T00:00:00Z"/>
        <d v="2024-04-29T00:00:00Z"/>
        <d v="2024-04-30T00:00:00Z"/>
        <d v="2024-04-23T00:00:00Z"/>
        <d v="2024-05-02T00:00:00Z"/>
        <d v="2024-05-03T00:00:00Z"/>
        <d v="2024-05-04T00:00:00Z"/>
        <d v="2024-05-06T00:00:00Z"/>
        <d v="2024-05-07T00:00:00Z"/>
        <d v="2024-05-08T00:00:00Z"/>
        <d v="2024-05-10T00:00:00Z"/>
        <d v="2024-05-11T00:00:00Z"/>
        <d v="2024-05-13T00:00:00Z"/>
        <d v="2024-05-14T00:00:00Z"/>
        <d v="2024-05-15T00:00:00Z"/>
        <d v="2024-05-16T00:00:00Z"/>
        <d v="2024-05-17T00:00:00Z"/>
        <d v="2024-05-18T00:00:00Z"/>
        <d v="2024-05-20T00:00:00Z"/>
        <d v="2024-05-21T00:00:00Z"/>
        <d v="2024-05-22T00:00:00Z"/>
        <d v="2024-05-24T00:00:00Z"/>
        <d v="2024-05-25T00:00:00Z"/>
        <m/>
        <d v="2024-05-27T00:00:00Z"/>
      </sharedItems>
    </cacheField>
    <cacheField name="TGL GUDANG/ORDER" numFmtId="0">
      <sharedItems containsDate="1" containsString="0" containsBlank="1">
        <m/>
        <d v="2024-04-27T00:00:00Z"/>
        <d v="2024-04-26T00:00:00Z"/>
        <d v="2024-04-22T00:00:00Z"/>
        <d v="2024-04-25T00:00:00Z"/>
        <d v="2024-05-02T00:00:00Z"/>
        <d v="2024-05-03T00:00:00Z"/>
        <d v="2024-05-04T00:00:00Z"/>
        <d v="2024-05-06T00:00:00Z"/>
        <d v="2024-05-07T00:00:00Z"/>
        <d v="2024-05-08T00:00:00Z"/>
        <d v="2024-05-10T00:00:00Z"/>
        <d v="2024-05-11T00:00:00Z"/>
        <d v="2024-05-13T00:00:00Z"/>
      </sharedItems>
    </cacheField>
    <cacheField name="TGL KOMP" numFmtId="167">
      <sharedItems containsDate="1" containsString="0" containsBlank="1">
        <d v="2024-05-04T00:00:00Z"/>
        <d v="2024-05-06T00:00:00Z"/>
        <d v="2024-05-07T00:00:00Z"/>
        <d v="2024-05-08T00:00:00Z"/>
        <d v="2024-05-10T00:00:00Z"/>
        <d v="2024-05-11T00:00:00Z"/>
        <d v="2024-05-13T00:00:00Z"/>
        <d v="2024-05-14T00:00:00Z"/>
        <d v="2024-05-17T00:00:00Z"/>
        <d v="2024-05-18T00:00:00Z"/>
        <d v="2024-05-20T00:00:00Z"/>
        <d v="2024-05-21T00:00:00Z"/>
        <d v="2024-05-24T00:00:00Z"/>
        <d v="2024-05-25T00:00:00Z"/>
        <d v="2024-05-27T00:00:00Z"/>
        <d v="2024-05-29T00:00:00Z"/>
        <d v="2024-05-30T00:00:00Z"/>
        <m/>
      </sharedItems>
    </cacheField>
    <cacheField name="KOMENTAR" numFmtId="0">
      <sharedItems containsBlank="1">
        <m/>
        <s v="JELASIN MIXNYA PA"/>
        <s v="BEDA SATUAN"/>
        <s v="STOCK BELUM LENGKAP"/>
        <s v="HITAM"/>
        <s v="PUTIH"/>
        <s v="ABU-ABU"/>
        <s v="BARANG LAWAS, BELUM MASUK PAJAK"/>
        <s v="KODE BARANG DOBEL SAMA PC KLG B 652"/>
        <s v="KODE BARANG DOBEL SAMA STICK NOTE POST A"/>
        <s v="KODE BARANG DOBEL SAMA ID CARD B4 IMPORT"/>
        <s v="BARANG LAWAS"/>
        <s v="PINK/ CEWEK"/>
        <s v="BIRU/ COWOK"/>
        <s v="ISI PENSIL KNOW 2270"/>
        <s v="KODE BARANG BENTROK"/>
        <s v="KODE BARANG BENTROK SAMA ID CARD B4 IMPORT"/>
        <s v="WARNA PINK/ CEWEK"/>
        <s v="WARNA BIRU/ COWOK"/>
        <s v="MOTIF COWOK"/>
        <s v="MOTIF CEWEK"/>
        <s v="KODE BENTROK SAMA PC KLG B 652"/>
        <s v="KODE BENTROK"/>
        <s v="BARANG LAMA, BUKAN FAKTUR"/>
        <s v="PC PLST KOTAK B 1F 1504"/>
        <s v="BEDA SATUAM"/>
        <s v="KODE BENTROK SAMA PENCIL CASE B-126"/>
        <s v="BARANG TUKAR"/>
        <s v="BARANG TUKAR, STOCK BELUM LENGKAP"/>
        <s v="BUKAN FAKTUR"/>
        <s v="ASAHAN + STIP"/>
        <s v="KODE BENTROK SAMA NOTEBOOK 707-24"/>
        <s v="PINDAH DARI FAKTUR KE NON"/>
        <s v="KODE BARANG BENTROK SAMA NOTEBOOK 18100-67"/>
        <s v="KODE BARANG BENTROK SAMA NOTEBOOK 707-2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239" sheet="Barang Keluar Faktur"/>
  </cacheSource>
  <cacheFields>
    <cacheField name="NOTA TOKO">
      <sharedItems containsBlank="1" containsMixedTypes="1" containsNumber="1" containsInteger="1">
        <n v="4645.0"/>
        <n v="2920.0"/>
        <n v="3113.0"/>
        <n v="3114.0"/>
        <n v="4644.0"/>
        <n v="4651.0"/>
        <n v="4669.0"/>
        <n v="4654.0"/>
        <n v="4649.0"/>
        <n v="4648.0"/>
        <n v="1539.0"/>
        <n v="4653.0"/>
        <n v="4650.0"/>
        <n v="4652.0"/>
        <n v="4675.0"/>
        <n v="4668.0"/>
        <n v="2980.0"/>
        <n v="4667.0"/>
        <n v="2921.0"/>
        <n v="4662.0"/>
        <n v="4659.0"/>
        <n v="4661.0"/>
        <n v="4660.0"/>
        <n v="4666.0"/>
        <n v="4665.0"/>
        <n v="4664.0"/>
        <n v="4657.0"/>
        <n v="4656.0"/>
        <n v="4655.0"/>
        <n v="4148.0"/>
        <n v="4676.0"/>
        <n v="4670.0"/>
        <s v="2983"/>
        <s v="2982"/>
        <s v="2923"/>
        <s v="4671"/>
        <n v="2922.0"/>
        <n v="4678.0"/>
        <n v="2981.0"/>
        <n v="4646.0"/>
        <n v="4663.0"/>
        <n v="4687.0"/>
        <n v="4686.0"/>
        <n v="232.0"/>
        <n v="4674.0"/>
        <n v="4691.0"/>
        <n v="4672.0"/>
        <n v="4692.0"/>
        <n v="4683.0"/>
        <n v="4673.0"/>
        <n v="4685.0"/>
        <n v="2984.0"/>
        <n v="4694.0"/>
        <n v="4684.0"/>
        <n v="3115.0"/>
        <n v="2987.0"/>
        <n v="4698.0"/>
        <n v="4633.0"/>
        <n v="2985.0"/>
        <n v="132.0"/>
        <n v="750.0"/>
        <n v="4688.0"/>
        <n v="4690.0"/>
        <n v="2925.0"/>
        <n v="2926.0"/>
        <n v="2924.0"/>
        <n v="4604.0"/>
        <n v="4647.0"/>
        <n v="4658.0"/>
        <n v="4679.0"/>
        <n v="2990.0"/>
        <n v="2989.0"/>
        <n v="2991.0"/>
        <n v="4699.0"/>
        <n v="4704.0"/>
        <n v="4705.0"/>
        <n v="233.0"/>
        <n v="4689.0"/>
        <n v="4695.0"/>
        <n v="2927.0"/>
        <n v="4696.0"/>
        <n v="2986.0"/>
        <n v="4701.0"/>
        <n v="2988.0"/>
        <n v="4703.0"/>
        <n v="4697.0"/>
        <n v="4702.0"/>
        <n v="4711.0"/>
        <n v="4709.0"/>
        <n v="4700.0"/>
        <n v="4706.0"/>
        <n v="4708.0"/>
        <n v="4707.0"/>
        <n v="2928.0"/>
        <n v="4710.0"/>
        <n v="4681.0"/>
        <n v="4680.0"/>
        <n v="4677.0"/>
        <n v="4682.0"/>
        <n v="234.0"/>
        <n v="3116.0"/>
        <n v="4714.0"/>
        <n v="4713.0"/>
        <n v="4712.0"/>
        <n v="4715.0"/>
        <n v="2992.0"/>
        <n v="4716.0"/>
        <n v="4717.0"/>
        <n v="2929.0"/>
        <n v="235.0"/>
        <n v="4718.0"/>
        <n v="4719.0"/>
        <n v="4720.0"/>
        <n v="2931.0"/>
        <n v="2932.0"/>
        <n v="4721.0"/>
        <n v="3117.0"/>
        <n v="2994.0"/>
        <n v="2995.0"/>
        <n v="4723.0"/>
        <n v="3119.0"/>
        <n v="3121.0"/>
        <n v="2993.0"/>
        <n v="3118.0"/>
        <n v="3122.0"/>
        <n v="2930.0"/>
        <n v="2999.0"/>
        <n v="2998.0"/>
        <n v="2997.0"/>
        <n v="2996.0"/>
        <n v="3120.0"/>
        <n v="4724.0"/>
        <n v="4801.0"/>
        <n v="4802.0"/>
        <n v="236.0"/>
        <n v="4730.0"/>
        <n v="4728.0"/>
        <n v="4729.0"/>
        <n v="4726.0"/>
        <n v="4853.0"/>
        <n v="4854.0"/>
        <n v="4855.0"/>
        <n v="3000.0"/>
        <n v="4852.0"/>
        <n v="4851.0"/>
        <n v="4725.0"/>
        <n v="237.0"/>
        <n v="4727.0"/>
        <n v="4731.0"/>
        <n v="4804.0"/>
        <n v="134.0"/>
        <n v="135.0"/>
        <n v="4732.0"/>
        <n v="4861.0"/>
        <n v="4862.0"/>
        <n v="4860.0"/>
        <n v="4856.0"/>
        <n v="4858.0"/>
        <n v="4859.0"/>
        <n v="4857.0"/>
        <n v="4735.0"/>
        <n v="4734.0"/>
        <n v="4805.0"/>
        <n v="4806.0"/>
        <n v="4808.0"/>
        <n v="4748.0"/>
        <n v="4809.0"/>
        <n v="4902.0"/>
        <n v="4750.0"/>
        <n v="4742.0"/>
        <n v="4737.0"/>
        <n v="4740.0"/>
        <n v="4739.0"/>
        <n v="4741.0"/>
        <n v="4746.0"/>
        <n v="4738.0"/>
        <n v="4749.0"/>
        <n v="4747.0"/>
        <n v="4733.0"/>
        <n v="4803.0"/>
        <n v="4905.0"/>
        <n v="4906.0"/>
        <n v="4744.0"/>
        <n v="4901.0"/>
        <n v="4904.0"/>
        <n v="4810.0"/>
        <n v="4811.0"/>
        <n v="4912.0"/>
        <n v="238.0"/>
        <n v="4909.0"/>
        <n v="4910.0"/>
        <n v="4913.0"/>
        <n v="4914.0"/>
        <n v="4908.0"/>
        <n v="4907.0"/>
        <n v="4812.0"/>
        <n v="4911.0"/>
        <n v="4149.0"/>
        <n v="4150.0"/>
        <n v="4915.0"/>
        <n v="137.0"/>
        <n v="4916.0"/>
        <n v="4918.0"/>
        <n v="4813.0"/>
        <n v="4925.0"/>
        <n v="4917.0"/>
        <n v="2933.0"/>
        <n v="4923.0"/>
        <n v="4903.0"/>
        <n v="4921.0"/>
        <n v="239.0"/>
        <n v="4920.0"/>
        <n v="4922.0"/>
        <n v="4930.0"/>
        <n v="4814.0"/>
        <n v="4931.0"/>
        <n v="4932.0"/>
        <n v="4926.0"/>
        <n v="4928.0"/>
        <n v="4927.0"/>
        <n v="4924.0"/>
        <n v="4938.0"/>
        <n v="2934.0"/>
        <n v="4933.0"/>
        <n v="4935.0"/>
        <n v="4937.0"/>
        <n v="4817.0"/>
        <n v="139.0"/>
        <n v="4745.0"/>
        <n v="4947.0"/>
        <n v="4943.0"/>
        <n v="4944.0"/>
        <n v="4945.0"/>
        <n v="241.0"/>
        <n v="4919.0"/>
        <n v="4946.0"/>
        <n v="4952.0"/>
        <n v="4936.0"/>
        <n v="2935.0"/>
        <n v="140.0"/>
        <n v="4948.0"/>
        <n v="4950.0"/>
        <n v="4819.0"/>
        <n v="4956.0"/>
        <n v="4954.0"/>
        <n v="2939.0"/>
        <n v="2937.0"/>
        <n v="4957.0"/>
        <n v="1606.0"/>
        <n v="1607.0"/>
        <n v="240.0"/>
        <n v="4929.0"/>
        <n v="242.0"/>
        <n v="2940.0"/>
        <n v="4963.0"/>
        <n v="4965.0"/>
        <n v="4964.0"/>
        <n v="4961.0"/>
        <n v="4962.0"/>
        <n v="2941.0"/>
        <n v="4821.0"/>
        <n v="4953.0"/>
        <n v="4959.0"/>
        <n v="4824.0"/>
        <n v="4823.0"/>
        <n v="4966.0"/>
        <n v="4960.0"/>
        <n v="4955.0"/>
        <n v="4971.0"/>
        <n v="243.0"/>
        <n v="4822.0"/>
        <n v="4982.0"/>
        <n v="4820.0"/>
        <n v="4958.0"/>
        <n v="4934.0"/>
        <n v="4979.0"/>
        <n v="4976.0"/>
        <n v="4983.0"/>
        <n v="4951.0"/>
        <n v="4980.0"/>
        <n v="2942.0"/>
        <n v="4974.0"/>
        <n v="4973.0"/>
        <n v="4981.0"/>
        <n v="4970.0"/>
        <n v="4826.0"/>
        <n v="4978.0"/>
        <n v="4825.0"/>
        <n v="270.0"/>
        <n v="4827.0"/>
        <n v="4977.0"/>
        <n v="2943.0"/>
        <n v="2944.0"/>
        <n v="4986.0"/>
        <n v="2938.0"/>
        <n v="2945.0"/>
        <n v="4988.0"/>
        <n v="4994.0"/>
        <n v="1608.0"/>
        <n v="4830.0"/>
        <n v="4991.0"/>
        <n v="2936.0"/>
        <n v="4743.0"/>
        <n v="4485.0"/>
        <n v="4949.0"/>
        <n v="4940.0"/>
        <n v="4751.0"/>
        <n v="141.0"/>
        <n v="4985.0"/>
        <n v="4984.0"/>
        <n v="4972.0"/>
        <n v="4992.0"/>
        <n v="4987.0"/>
        <n v="4829.0"/>
        <n v="4828.0"/>
        <n v="4815.0"/>
        <n v="4975.0"/>
        <n v="4995.0"/>
        <n v="4477.0"/>
        <m/>
      </sharedItems>
    </cacheField>
    <cacheField name="SALES" numFmtId="0">
      <sharedItems containsBlank="1">
        <s v="A"/>
        <s v="H"/>
        <s v="G"/>
        <s v=""/>
        <m/>
        <s v="-"/>
        <e v="#REF!"/>
      </sharedItems>
    </cacheField>
    <cacheField name="TOKO-KOTA" numFmtId="0">
      <sharedItems containsBlank="1">
        <s v="PUTRA MURIA-PATI"/>
        <s v="24-MALANG"/>
        <s v="LANCAR-MALANG"/>
        <s v="ANEKA-MALANG"/>
        <s v="SASA-BOJONEGORO"/>
        <s v="INDOGLOBAL-PATI"/>
        <s v="METRO-PURWOKERTO"/>
        <s v="SISWA-KUTOARJO"/>
        <s v="SUMBER BUKIT-SALATIGA"/>
        <s v="PUSTAKA BARU-TUBAN"/>
        <s v="MERDEKA-BOYOLALI"/>
        <s v="PRISMA-YOGYA"/>
        <s v="MEDIA-CILACAP"/>
        <s v="CENTRAL-PURWOKERTO"/>
        <s v="KADAR BUDHI-KROYA"/>
        <s v="SISWA-WONOSOBO"/>
        <s v="METRO JAYA-KROYA"/>
        <s v="PUAS-PATI"/>
        <s v="REJO AGUNG-JOMBANG"/>
        <s v="SIDU-SALATIGA"/>
        <s v="DOREMI-TEMANGGUNG"/>
        <s v="ARMADA-PURWOKERTO"/>
        <s v="BENDAN-PEKALONGAN"/>
        <s v="SAHABAT BARU-PARAKAN"/>
        <s v="MAKMUR JAYA-PURWODADI"/>
        <s v="HOKY-GOMBONG"/>
        <s v="MENARA-BLORA"/>
        <s v="SIANA(PECINAN)-MALANG"/>
        <s v="PERDANA-BREBES"/>
        <s v="MERPATI-MALANG"/>
        <s v="AGUNG JAYA-TUBAN"/>
        <s v="DR-PATI"/>
        <s v="NABILA-TUBAN"/>
        <s v="SBM"/>
        <s v="SUKSES-SALATIGA"/>
        <s v="PANGLIMA BESAR-PURWOKERTO"/>
        <s v="AYP-SOLO"/>
        <s v="CENDRAWASIH-SRAGEN"/>
        <s v="AL IKHLAS-SOLO"/>
        <s v="ANUGERAH BARU-JEPARA"/>
        <s v="MITRA KAMPUS-KUDUS"/>
        <s v="WINARTI-TUBAN"/>
        <s v="BINTANG TOYS-JEPARA"/>
        <s v="TEMMY-JUWANA"/>
        <s v="BINA ILMU-BATU"/>
        <s v="GRAFIKA JEPARA"/>
        <s v="RITA-WONOSOBO"/>
        <s v="UTAMA-TULUNGAGUNG"/>
        <s v="RITA-CILACAP"/>
        <s v="SULUNG-SEMARANG"/>
        <s v="RITA-PURWOKERTO"/>
        <s v="DIAN ILMU-MALANG"/>
        <s v="MANGGALA SAKTI-MALANG"/>
        <s v="KONDANG-TEMANGGUNG"/>
        <s v="IRAWAN-PURWOKERTO"/>
        <s v="SISWA-PEKALONGAN"/>
        <s v="TELADAN-TEGAL"/>
        <s v="INDRASARI-MRANGGEN"/>
        <s v="ENAM-CIREBON"/>
        <s v="SINKONG-PURWOREJO"/>
        <s v="IVONE-BUMIAYU"/>
        <s v="MEMORY-BATANG"/>
        <s v="SISWA-MUNTILAN"/>
        <s v="AR-KUDUS"/>
        <s v="HT JAYA-JUWANA"/>
        <s v="GARUDA-PURBALINGGA"/>
        <s v="PUSTAKA-TUBAN"/>
        <s v="ANUGRAH SEJAHTERA-PURWOKERTO"/>
        <s v="PANTES-BANTUL"/>
        <s v="MUDA JAYA-PURWOREJO"/>
        <s v="TRIO PLAZA-MAGELANG"/>
        <s v="ZIDANE-WONOGIRI"/>
        <s v="KURNIA-BANTUL"/>
        <s v="PROGO-YOGYA"/>
        <s v="PANTES-PURWOREJO"/>
        <s v="MUDAJAYA-PURWOREJO"/>
        <s v="SCORPIO-MALANG"/>
        <s v="PERDANA-CIREBON"/>
        <s v="WIJAYA KUSUMA-SLEMAN"/>
        <s v="MAS TEGUH(PASTI BISA)-PURWODADI"/>
        <s v="107-MALANG"/>
        <s v="LESTARI ADHI-MUNTILAN"/>
        <s v="BRUK MENCENG-PURBALINGGA"/>
        <s v="BASA-PEMALANG"/>
        <s v="CV SINAR CAHAYA NIRMALA-BREBES"/>
        <m/>
        <s v=""/>
        <s v="MAKMUR-TEGAL"/>
        <s v="81-GOMBONG"/>
        <s v="CV. SINAR CAHAYA NIRMALA-BREBES"/>
        <s v="ABC-KEBUMEN"/>
        <s v="RENI(JATIMULYO)-KEBUMEN"/>
        <s v="SINAR KONDANG-PURWOREJO"/>
        <s v="TAMBAH ILMU-KUDUS"/>
        <s v="BANJARAN PERMAI-TEGAL"/>
        <s v="SURYA-KUDUS"/>
        <s v="PRESTASI-AJIBARANG"/>
        <s v="BASA-TEGAL"/>
        <s v="SUKSES MAKMUR(INTAN)-COMAL"/>
        <s v="SALIKAH-BATANG"/>
        <s v="ATLANTIK-PONOROGO"/>
        <s v="IKA-PURBALINGGA"/>
        <s v="UD MEDIA FC-KUDUS"/>
        <s v="RINGAN-TULUNGAGUNG"/>
        <s v="GUNUNG JATI-CIREBON"/>
        <s v="MIRACLE ABADI-SURABAYA"/>
        <s v="SANDI-CIREBON"/>
        <s v="MUBAROK-MRANGGEN"/>
        <s v="BAHTERA-YOGYA"/>
        <s v="TOTEM-TEMBALANG"/>
        <s v="SUMUR BOTO-TEMBALANG"/>
        <s v="BERKAH-SEMARANG"/>
        <s v="MAS TEGUH(ATK PASTI BISA)-PURWODADI"/>
        <s v="INDOFOTOCOPY-PARAKAN"/>
        <s v="HANSA-SEMARANG"/>
        <s v="EKARIA-PURWOKERTO"/>
        <s v="TEJO MULYO-YOGYA"/>
        <s v="SUMBER REJO-MAGELANG"/>
        <s v="BENGAWAN RETAIL MANDIRI (LUWES)-PURWODADI"/>
        <s v="DUTA ILAHI-LASEM"/>
        <s v="ANEKA-JEPARA"/>
        <s v="RENI(JATI MULYO)-KEBUMEN"/>
        <s v="GANESHA-WONOSOBO"/>
        <s v="SINAR CAHAYA NIRMALA-BREBES"/>
        <s v="LARIS BARU-MUNTILAN"/>
        <s v="EVERLYN-REMBANG"/>
        <s v="BENGAWAN MULTI TRENDING(LUWES)-PATI"/>
        <s v="NAJIH-JEPARA"/>
        <s v="AZIS-KARANGANYAR"/>
        <s v="BINA ILMU-SINGOSARI"/>
        <e v="#REF!"/>
        <s v="DHIAN-BANJARNEGARA"/>
        <s v="INDOBARU-TEMANGGUNG"/>
        <s v="SISWA-PURBALINGGA"/>
        <s v="MAS FAJRUL(MEDIA NAKULA)-KUDUS"/>
        <s v="UTAMA-TULUNG AGUNG"/>
      </sharedItems>
    </cacheField>
    <cacheField name="KODE BARANG" numFmtId="0">
      <sharedItems containsBlank="1">
        <s v="F.PEN-ZH22"/>
        <s v="F.CUT-KN6"/>
        <s v="F.PCA-NB14"/>
        <s v="F.PCA-NB18"/>
        <s v="F.OIL-JK3"/>
        <s v="F.BOL-KN20"/>
        <s v="F.PCA-JK28"/>
        <s v="F.PCA-JK11"/>
        <s v="F.OIL-JK5"/>
        <s v="F.OIL-JK7"/>
        <s v="F.CRA-JK4"/>
        <s v="F.CRA-JK5"/>
        <s v="F.STP-KN12"/>
        <s v="F.TIP-KN56"/>
        <s v="F.ICU-KN5"/>
        <s v="F.PWA-KN15"/>
        <s v="F.PWA-KN12"/>
        <s v="F.BOL-KN55"/>
        <s v="F.OIL-JK9"/>
        <s v="F.BEN-NB3"/>
        <s v="F.BEN-NB1"/>
        <s v="F.BUK-NB2"/>
        <s v="F.BUK-NB1"/>
        <s v="F.KAR-NB1"/>
        <s v="F.KAR-NB2"/>
        <s v="F.KAR-NB3"/>
        <s v="F.KAR-NB4"/>
        <s v="F.KAR-NB5"/>
        <s v="F.PCA-NB5"/>
        <s v="F.PCA-NB16"/>
        <s v="F.PEN-JK6"/>
        <s v="F.PEN-JK7"/>
        <s v="F.BOL-KN25"/>
        <s v="F.BOL-KN30"/>
        <s v="F.KUA-JK3"/>
        <s v="F.BOL-WY54"/>
        <s v="F.STP-KN13"/>
        <s v="F.LEM-KN3"/>
        <s v="F.BOL-KN65"/>
        <s v="F.BOL-KN64"/>
        <s v="F.BOL-KN23"/>
        <s v="F.BOL-KN71"/>
        <s v="F.STB-NB13"/>
        <s v="F.PEN-KN26"/>
        <s v="F.IST-GW6"/>
        <s v="F.TIP-KN55"/>
        <s v="F.LEM-KN18"/>
        <s v="F.MES-KN2"/>
        <s v="F.PWA-JK5"/>
        <s v="F.PWA-JK4"/>
        <s v="F.PWA-KN11"/>
        <s v="F.STP-KN14"/>
        <s v="F.STP-KN15"/>
        <s v="F.SPA-KN1"/>
        <s v="F.BCL-KN13"/>
        <s v="F.GUN-KN9"/>
        <s v="F.CUT-KN4"/>
        <s v="F.CUT-KN5"/>
        <s v="F.CAL-JK7"/>
        <s v="F.CAL-JK20"/>
        <s v="F.PCA-NB6"/>
        <s v="F.PCA-NB26"/>
        <s v="F.PCA-NB19"/>
        <s v="F.KAR-NB6"/>
        <s v="F.KAR-NB7"/>
        <s v="F.KAR-NB8"/>
        <s v="F.KAR-NB9"/>
        <s v="F.KAR-NB10"/>
        <s v="F.MES-JK1"/>
        <s v="F.OIL-TT14"/>
        <s v="F.PEN-KN16"/>
        <s v="F.ICU-KN4"/>
        <s v="F.STI-KN15"/>
        <s v="F.TIP-KN58"/>
        <s v="F.GUN-GN26"/>
        <s v="F.GUN-GN29"/>
        <s v="F.STI-GN7"/>
        <s v="F.STP-KN10"/>
        <s v="F.DIS-KN7"/>
        <s v="F.DIS-JK2"/>
        <s v="F.DIS-JK11"/>
        <s v="F. DIS-JK13"/>
        <s v="F. DIS-JK14"/>
        <s v="F. DIS-JK12"/>
        <s v="F. DIS-JK15"/>
        <s v="F.STA-KN2"/>
        <s v="F.COU-KN1"/>
        <s v="F.CAL-JK18"/>
        <s v="F.CAL-JK19"/>
        <s v="F.OIL-TT13"/>
        <s v="F.OIL-TT15"/>
        <s v="F.STI-JK22"/>
        <s v="F.CAL-JK22"/>
        <s v="F.LEM-KN16"/>
        <s v="F.LEM-KN17"/>
        <s v="F.STB-VN11"/>
        <s v="F.MES-KN4"/>
        <s v="F.LAB-KN1"/>
        <s v="F.LAB-KN6"/>
        <s v="F.IGE-WY2"/>
        <s v="F.MAP-CR4"/>
        <s v="F.MAP-CR7"/>
        <s v="F.MAP-CR5"/>
        <s v="F.MAP-CR9"/>
        <s v="F.ICU-JK2"/>
        <s v="F.PEN-JK3"/>
        <s v="F.BCL-JK8"/>
        <s v="F.OIL-JK6"/>
        <s v="F.LEM-JK9"/>
        <s v="F.BOL-JK74"/>
        <s v="F.PWA-JK1"/>
        <s v="F.BOL-JK13"/>
        <s v="F.TIP-KN60"/>
        <s v="F.BOL-KN18"/>
        <s v="F.BOL-KN67"/>
        <s v="F.DIS-KN5"/>
        <s v="F.STP-JK2"/>
        <s v="F.BOL-KN56"/>
        <s v="F.BOL-VN46"/>
        <s v="F.CUT-VN7"/>
        <s v="F.STA-KN1"/>
        <s v="F.CAL-JK10"/>
        <s v="F.IST-SDI3"/>
        <s v="F.PEN-GW21"/>
        <s v="F.PCA-NB23"/>
        <s v="F.DIS-NB10"/>
        <s v="F.BOL-TZ44"/>
        <s v="F.BOL-KN28"/>
        <s v="F.BOL-KN59"/>
        <s v="F.PWA-JK3"/>
        <s v="F.BCL-KN16"/>
        <s v="F.BCL-KN15"/>
        <s v="F. BOL-DB385"/>
        <s v="F.PCA-NB17"/>
        <s v="F.BOL-VN42"/>
        <s v="F.PWA-VN8"/>
        <s v="F.MAP-CR6"/>
        <s v="F.BOL-NB3"/>
        <s v="F.STB-NB1"/>
        <s v="F.STB-VN12"/>
        <s v="F.BOL-VN1"/>
        <s v="F.ORI-AL1"/>
        <s v="F.ORI-AL2"/>
        <s v="F.PLA-PO6"/>
        <s v="F.PLA-PO7"/>
        <s v="F.PLA-PO8"/>
        <s v="F.GAR-ZX10"/>
        <s v="F.MAP-NB20"/>
        <s v="F.MAP-NB21"/>
        <s v="F.BOL-KN17"/>
        <s v="F.TIP-KN47"/>
        <s v="F.IST-GW7"/>
        <s v="F.BOL-JK12"/>
        <s v="F.PUN-KN8"/>
        <s v="F.MAP-CR8"/>
        <s v="F.PCA-NB20"/>
        <s v="F.PCA-NB21"/>
        <s v="F.PCA-NB10"/>
        <s v="F.PCA-NB25"/>
        <s v="F.GAR-NB6"/>
        <s v="F.GAR-NB4"/>
        <s v="F.PWA-JK2"/>
        <s v="F.PEN-KN9"/>
        <s v="F.PEN-KN12"/>
        <s v="F.PEN-KN17"/>
        <s v="F.PEN-KN10"/>
        <s v="F.PEN-KN13"/>
        <s v="F.OIL-JK10"/>
        <s v="F.OIL-JK8"/>
        <s v="F.OIL-TT17"/>
        <s v="F.PWA-KN20"/>
        <s v="F.GUN-KN5"/>
        <s v="F.GUN-KN7"/>
        <s v="F.BOL-KN19"/>
        <s v="F.LAB-JK3"/>
        <s v="F.LOO-KN7"/>
        <s v="F.LOO-KN6"/>
        <s v="F.IPE-KN5"/>
        <s v="F.STI-JK23"/>
        <s v="F.STI-KN17"/>
        <s v="F.GUN-GN31"/>
        <s v="F.GUN-JK1"/>
        <s v="F.KUA-JK2"/>
        <s v="F.OIL-TT12"/>
        <s v="F.IPE-JK3"/>
        <s v="F.PWA-KN13"/>
        <s v="F.OIL-JK4"/>
        <s v="F.PNO-KN3"/>
        <s v="F.GUN-JK2"/>
        <s v="F.GUN-JK4"/>
        <s v="F.BOL-KN35"/>
        <s v="F.STB-KN5"/>
        <s v="F.STB-KN4"/>
        <s v="F.PPI-KN3"/>
        <s v="F.LAB-JK7"/>
        <s v="F.IST-KN1"/>
        <s v="F.STP-JK9"/>
        <s v="F.PEN-ZH20"/>
        <s v="F.BUK-KN4"/>
        <s v="F.MIK-VN1"/>
        <s v="F.CLI-KN5"/>
        <s v="F.STI-KN14"/>
        <s v="F.PUN-KN7"/>
        <s v="F.BOL-KN70"/>
        <s v="F.BOL-KN75"/>
        <s v="F.BOL-KN72"/>
        <s v="F.MEC-JK3"/>
        <s v="F.SPI-KN1"/>
        <s v="F.SPI-JK15"/>
        <s v="F.BOL-JK9"/>
        <s v="F.STB-KN10"/>
        <s v="F.PCA-NB7"/>
        <s v="F.BOL-DB396"/>
        <s v="F.COU-KN2"/>
        <s v="F.GUN-KN10"/>
        <s v="F.STP-KN11"/>
        <s v="F.BCL-KN19"/>
        <s v="F.CLI-KN6"/>
        <s v="F.TIP-KN39"/>
        <s v="F.TIP-KN48"/>
        <s v="F.TIP-KN51"/>
        <s v="F.MES-KN3"/>
        <s v="F.PWA-JK7"/>
        <s v="F.SAM-NB2"/>
        <s v="F.BCL-JK7"/>
        <s v="F.CLI-JK2"/>
        <s v="F.CAL-JK5"/>
        <s v="F.PPI-JK1"/>
        <s v="F.BIN-JK22"/>
        <s v="F.BIN-JK43"/>
        <s v="F.BIN-JK23"/>
        <s v="F.BIN-JK19"/>
        <s v="F.BIN-JK24"/>
        <s v="F.LEM-JK14"/>
        <s v="F.STP-JK1"/>
        <s v="F.CAL-JK11"/>
        <s v="F.CAL-JK9"/>
        <s v="F.TIP-JK17"/>
        <s v="F.STI-JK20"/>
        <s v="F.PUN-JK2"/>
        <s v="F.CUT-JK2"/>
        <s v="F.TBO-JK2"/>
        <s v="F. DIS-JK16"/>
        <s v="F.CAL-JK3"/>
        <s v="F.CAL-JK14"/>
        <s v="F.CAL-JK15"/>
        <s v="F.CAL-JK16"/>
        <s v="F.CAL-JK12"/>
        <s v="F.CAL-JK13"/>
        <s v="F.STP-JK6"/>
        <s v="F.IPE-JK4"/>
        <s v="F.TIP-KN53"/>
        <s v="F.OIL-TT16"/>
        <s v="F.BUK-KN5"/>
        <s v="F.BUK-KN6"/>
        <s v="F.LOO-JA2"/>
        <s v="F.PFA-JK1"/>
        <s v="F.BOL-JK69"/>
        <s v="F.BOL-JK7"/>
        <s v="F.NOT-JK1"/>
        <s v="F.NOT-JK2"/>
        <s v="F.NOT-JK3"/>
        <s v="F.NOT-JK4"/>
        <s v="F.TIP-KN57"/>
        <s v="F.BOL-TF49"/>
        <s v="F.BEN-NB2"/>
        <s v="F.GAR-NB3"/>
        <s v="F.MAP-NB30"/>
        <s v="F.BOL-KN37"/>
        <s v="F.BOL-KN38"/>
        <s v="F.BOL-KN39"/>
        <s v="F.BOL-JK5"/>
        <s v="F.LEM-KN5"/>
        <s v="F.BCL-JK3"/>
        <s v="F.ASA-KN2"/>
        <s v="F.PUN-KN6"/>
        <s v="F.STB-JK19"/>
        <s v="F.PWA-KN14"/>
        <s v="F.BCL-KN12"/>
        <s v="F.BCL-KN14"/>
        <s v="F.SAM-NB3"/>
        <s v="F.SAM-NB1"/>
        <s v="F.TIP-KN59"/>
        <s v="F.TIP-KN54"/>
        <s v="F.TIP-KN52"/>
        <s v="F.CAL-JK6"/>
        <s v="F.PCA-NB29"/>
        <s v="F.PCA-NB24"/>
        <s v="F.PCA-NB9"/>
        <s v="F.PCA-KN3"/>
        <s v="F.PLA-KN2"/>
        <s v="F.PLA-KN1"/>
        <m/>
        <s v="F.BOL-JK77"/>
        <s v="F.BOL-JK63"/>
        <s v="F.CLI-KN7"/>
        <s v="F.PUN-KN10"/>
        <s v="F.CUT-GN10"/>
        <s v="F.CUT-GN9"/>
        <s v="F.LOO-KN8"/>
        <s v="F.STB-KN7"/>
        <s v="F.STB-KN3"/>
        <s v="F.BOL-KN73"/>
        <s v="F.CLI-KN8"/>
        <s v="F.GUN-GN21"/>
        <s v="F.GUN-GN27"/>
        <s v="F.PCA-NB15"/>
        <s v="F.BEN-NB4"/>
        <s v="F.BEN-NB5"/>
        <s v="F.MAP-NB3"/>
        <s v="F.BOL-JK8"/>
        <s v="F.BCL-KN18"/>
        <s v="F.PWA-KN24"/>
        <s v="F.SPA-KN2"/>
        <s v="F.LOO-NB10"/>
        <s v="F.GAR-NB5"/>
        <s v="F.PCA-NB30"/>
        <s v="F.BOL-VC79"/>
        <s v="F.BOL-KN80"/>
        <s v="F.JAN-KN12"/>
        <s v="F.TIP-KN49"/>
        <s v="F.MAP-NB10"/>
        <s v="F.OIL-KN18"/>
        <s v="F.BOL-KN40"/>
        <s v="F.BCL-KN11"/>
        <s v="F. DST-KN1"/>
        <s v="F.BOL-JK78"/>
        <s v="F.PFA-KN2"/>
        <s v="F.IST-SDI8"/>
        <s v="F.BOL-NB2"/>
        <s v="F.BOL-KN27"/>
        <s v="F.DIS-KN4"/>
        <s v="F.STI-JK19"/>
        <s v="F.MEC-KN1"/>
        <s v="F.PWA-KN9"/>
        <s v="F.LEM-LG6"/>
        <s v="F.JAN-JK1"/>
        <s v="F.JAN-JK3"/>
        <s v="F.BIN-JK38"/>
        <s v="F.BIN-JK39"/>
        <s v="F.BIN-JK40"/>
        <s v="F.BIN-JK20"/>
        <s v="F.MAP-NB1"/>
        <s v="F.CAL-JK17"/>
        <s v="F.CAL-JK23"/>
        <s v="F.CAL-JK25"/>
        <s v="F.CAL-JK24"/>
        <s v="F.MIK-JK3"/>
        <s v="F.GUN-GN22"/>
        <s v="F.BOL-TZ346"/>
        <s v="F.TIP-KN43"/>
        <s v="F.LAB-JK8"/>
        <s v="F.PWA-KN22"/>
        <s v="F.PWA-KN21"/>
        <s v="F.PWA-KN23"/>
        <s v="F.PWA-KN19"/>
        <s v="F.PWA-KN26"/>
        <s v="F.BOL-KN76"/>
        <s v="F.CAL-JK21"/>
        <s v="F.STP-SDI17"/>
        <s v="F.STP-SDI18"/>
        <s v="F.LOO-NB11"/>
        <s v="F.LAB-JK5"/>
        <s v="F.BCL-JK10"/>
        <s v="F.GAR-KN2"/>
        <s v="F.BOL-KN51"/>
        <s v="F.STP-NB8"/>
        <s v="F.PUN-KN11"/>
        <s v="F.CRA-JK6"/>
        <s v="F.BOL-TZ334"/>
        <s v="F.CAL-JK8"/>
        <s v="F.CUT-VN8"/>
        <s v="F.PFA-JK4"/>
        <s v="F.CAL-JK4"/>
        <s v="F.GUN-GN32"/>
        <s v="F.LAB-JK2"/>
        <s v="F.BOL-KN24"/>
        <s v="F.BIN-JK28"/>
        <s v="F.BIN-JK25"/>
        <s v="F.BIN-JK29"/>
        <s v="F.BIN-JK26"/>
        <s v="F.BIN-JK31"/>
        <s v="F.BOL-TZ333"/>
        <s v="F.PWA-KN18"/>
        <s v="F.BCL-JK6"/>
        <s v="F.CUT-JK1"/>
        <s v="F.DIS-JK6"/>
        <s v="F.JAN-JK4"/>
      </sharedItems>
    </cacheField>
    <cacheField name="NAMA BARANG" numFmtId="0">
      <sharedItems containsBlank="1">
        <s v="PENSIL 2B ZHONG HUA 6925 OVAL"/>
        <s v="CUTTER KENKO L-500"/>
        <s v="PC MAGNIT C-1755-1 (22X7.5)"/>
        <s v="PC MAGNIT FC-1757 (22X7.5)"/>
        <s v="OIL PASTEL JK OP-12S PP CASE SEA WORLD"/>
        <s v="BP KENKO HI-TECH 0.28MM HITAM"/>
        <s v="PC JK PC-0719TV-33A/F TRAVEL"/>
        <s v="PC JK PC-0719AC-36A/F ANIMAL CALENDER"/>
        <s v="OIL PASTEL JK OP-18S PP CASE SEA WORLD"/>
        <s v="OIL PASTEL JK OP-36S PP CASE SEA WORLD"/>
        <s v="CRAYON PUTAR JK 12W PANJANG"/>
        <s v="CRAYON PUTAR JK 12W PENDEK/MINI"/>
        <s v="STAPLER KENKO HD-10"/>
        <s v="TIPEX KENKO KE-107M"/>
        <s v="ISI CUTTER KENKO L-150 BESAR"/>
        <s v="PW KENKO 12W CP-12F CLASSIC PANJANG"/>
        <s v="PW KENKO 12W CP-12 HALF CLASSIC PENDEK"/>
        <s v="BP GEL KENKO EASY HITAM"/>
        <s v="OIL PASTEL JK OP-55 S PP CASE SEA WORLD"/>
        <s v="BENSIA SF 9925 B TANGAN (1 box=24 pcs)"/>
        <s v="BENSIA SF 9925 A PLUIT (1 box=24 pcs)"/>
        <s v="BK KAS KWARTO"/>
        <s v="BK KAS FOLIO"/>
        <s v="KARTU STOCK KWARTO PINK"/>
        <s v="KARTU STOCK KWARTO HIJAU"/>
        <s v="KARTU STOCK KWARTO KUNING"/>
        <s v="KARTU STOCK KWARTO PUTIH"/>
        <s v="KARTU STOCK KWARTO BIRU"/>
        <s v="PC KLG TY-552 MOBIL+ANAK 21X6.5"/>
        <s v="PC MAGNIT C-2755-1 (22X7.5)"/>
        <s v="PENSIL GLASS JK PG-100 (HITAM)"/>
        <s v="PENSIL GLASS JK PG-100 (PUTIH)"/>
        <s v="BP KENKO K-1 HITAM"/>
        <s v="BP KENKO KE-303 T-GEL HITAM"/>
        <s v="KUAS SET JK BR-8"/>
        <s v="BP GEL WEIYADA 681 BIRU"/>
        <s v="STAPLER KENKO HD-10D"/>
        <s v="LEM KENKO LG-50"/>
        <s v="BP KENKO K-1 ECO MERAH"/>
        <s v="BP KENKO K-1 ECO BIRU"/>
        <s v="BP KENKO K-1 MINI HITAM"/>
        <s v="BP GEL KENKO KS-97 BIRU"/>
        <s v="STABILLO HIGHLIGHTER ERASABLE + STIP 935-6"/>
        <s v="PENSIL KENKO 2B-6388 ZOO N ZOO"/>
        <s v="ISI STAPLER GW NO. 10"/>
        <s v="TIPEX KENKO KE-01"/>
        <s v="LEM STICK KENKO 8GR KECIL"/>
        <s v="MESIN LABEL HARGA KENKO MX-5500"/>
        <s v="PW JK CP-24PB PANJANG"/>
        <s v="PW JK CP-12PB PANJANG"/>
        <s v="PW KENKO 24W CP-24F CLASSIC PANJANG"/>
        <s v="STAPLER KENKO HD-10 S MINI"/>
        <s v="STAPLER KENKO HD-50"/>
        <s v="STAMP PAD KENKO NO. 0"/>
        <s v="BINDER CLIP KENKO NO. 111"/>
        <s v="GUNTING KENKO SC-848N"/>
        <s v="CUTTER KENKO A-300"/>
        <s v="CUTTER KENKO K-200"/>
        <s v="CALCULATOR JK CC-45"/>
        <s v="CALCULATOR JK DTC-1516"/>
        <s v="PC KLG/ STUDY SET K-597 MOBIL 20.5X7"/>
        <s v="PC MAGNIT FC-1758 (22X7.5)"/>
        <s v="PC MAGNIT AC-1762 (22X7.5)"/>
        <s v="KARTU STOCK FOLIO BIRU"/>
        <s v="KARTU STOCK FOLIO HIJAU"/>
        <s v="KARTU STOCK FOLIO KUNING"/>
        <s v="KARTU STOCK FOLIO PINK"/>
        <s v="KARTU STOCK FOLIO PUTIH"/>
        <s v="MESIN LABEL HARGA JK MX-5500 M"/>
        <s v="OIL PASTEL TITI 24W TI-P-24S"/>
        <s v="PENSIL KENKO 2B-6191 HIJAU CAP HITAM"/>
        <s v="ISI CUTTER KENKO A-100 KECIL"/>
        <s v="STIP KENKO ERW-20SQ PUTIH"/>
        <s v="TIPEX KENKO KE-823M"/>
        <s v="GUNTING GUNINDO OLL GR16"/>
        <s v="GUNTING GUNINDO OSS GR15"/>
        <s v="STIP W/B GUNINDO 803"/>
        <s v="STAPLER KENKO HD-12N/ 24"/>
        <s v="TAPE DISPENSER KENKO TD-201"/>
        <s v="TAPE CUTTER JK TD-103"/>
        <s v="TAPE CUTTER JK TD-102"/>
        <s v="TAPE CUTTER JK TC-111"/>
        <s v="TAPE CUTTER JK TC-113"/>
        <s v="TAPE CUTTER JK TD-101"/>
        <s v="TAPE CUTTER JK TC-114"/>
        <s v="STAMP PLATE DATER KENKO S-68 (LUNAS)"/>
        <s v="COUNTER HAND TALLY KENKO HT-302"/>
        <s v="CALCULATOR JK CC-8 A"/>
        <s v="CALCULATOR JK DTC-1313 CH"/>
        <s v="OIL PASTEL TITI 18W TI-P-18S"/>
        <s v="OIL PASTEL TITI 36W TI-P-36 S"/>
        <s v="STIP JK ER-B20BL"/>
        <s v="CALCULATOR JK CC-35"/>
        <s v="LEM STICK KENKO 15GR TANGGUNG"/>
        <s v="LEM STICK KENKO 25GR BESAR"/>
        <s v="STABILLO VANCO HL-520"/>
        <s v="MESIN LABEL HARGA KENKO MX-6600 A"/>
        <s v="LABEL HARGA KENKO 6001-2R (1 LINE)"/>
        <s v="LABEL KENKO 5002 (2 LINE)"/>
        <s v="ISI GEL WEIYADA 681"/>
        <s v="MAP DOC BAG 2541 JARING B6"/>
        <s v="MAP DOC BAG+HANDLE 2544 JARING B6"/>
        <s v="MAP DOC BAG 2542 JARING A5"/>
        <s v="MAP DOC BAG+HANDLE 2546 JARING A4"/>
        <s v="ISI CUTTER JK L-150 AM BESAR"/>
        <s v="PENSIL JK P-88 2B"/>
        <s v="BINDER CLIP JK 260"/>
        <s v="OIL PASTEL JK OP-24S PP CASE SEA WORLD"/>
        <s v="LEM JK GL-R50"/>
        <s v="BP JK SPIRAL P5 BP 150"/>
        <s v="PW JK 12W CP-103"/>
        <s v="BP JK BP-349-12 VOKUS TRANS HITAM"/>
        <s v="TIPEX KENKO CT-634DT"/>
        <s v="BP KENKO FUN GEL HITAM"/>
        <s v="BP KENKO SG-1 SNOW GEL HITAM"/>
        <s v="TAPE DISPENSER KENKO TD-323"/>
        <s v="STAPLER JK HD-10 M"/>
        <s v="BP KENKO K-1 ECO HITAM"/>
        <s v="BP VANCO 1609"/>
        <s v="CUTTER VANCO KECIL 128 TRANS"/>
        <s v="STAMP NOMER KENKO N-38"/>
        <s v="CALCULATOR JK CC-25"/>
        <s v="ISI STAPLER SDI 1210 (23/10)"/>
        <s v="PENSIL TUKANG GW CARPENTER 500"/>
        <s v="PC MAGNIT FY-6822 (22X7.5)"/>
        <s v="DISPENSER MN-305 POLAR BEAR "/>
        <s v="BP TZ 501 HITAM"/>
        <s v="BP KENKO KE-100 HITAM"/>
        <s v="BP KENKO NK-7B HITAM"/>
        <s v="PW JK CP-107"/>
        <s v="BINDER CLIP KENKO NO. 260"/>
        <s v="BINDER CLIP KENKO NO. 200"/>
        <s v="BP DEBOZZ DB G 05"/>
        <s v="PC MAGNIT C-5212 3D (23X8.5)"/>
        <s v="BP VANCO VC-559 0.28 HT"/>
        <s v="PW VANCO 12W PANJANG 12L"/>
        <s v="MAP DOC BAG 2543 JARING A4"/>
        <s v="BP AODM 011"/>
        <s v="STABILLO ZRM 103 BIRU"/>
        <s v="STABILLO HIGHLIGHTER VANCO HL-521"/>
        <s v="BP VANCO VC 6201 4W"/>
        <s v="KERTAS LIPAT ORIGAMI 14 X 14 ALFA"/>
        <s v="KERTAS LIPAT ORIGAMI 16 X 16 ALFA"/>
        <s v="DOUBLE FOAM POLAR SP 015"/>
        <s v="DOUBLE FOAM POLAR SP 016"/>
        <s v="DOUBLE FOAM POLAR SP 017"/>
        <s v="GARISAN SET ZX 6116"/>
        <s v="MAP DLL-229"/>
        <s v="MAP DLL-204 SA (A4)"/>
        <s v="BP GEL KENKO EASY KLIK HITAM"/>
        <s v="TIPEX KENKO CT-902"/>
        <s v="ISI STAPLER GW NO. 369"/>
        <s v="BP JK BP-338 VOCUS HITAM"/>
        <s v="PUNCH KENKO 40"/>
        <s v="MAP DOC BAG+HANDLE 2545 JARING A5"/>
        <s v="PC MAGNIT FC-6295 (23X10)"/>
        <s v="PC MAGNIT FC-5223 3D (23X8.5)"/>
        <s v="PC MAGNIT FX-2275 (22X7.5) METALIK"/>
        <s v="PC MAGNT LPY-6 (23X8)"/>
        <s v="GARISAN SET PS-9810"/>
        <s v="GARISAN SET HZ-5012"/>
        <s v="PW JK CP-104"/>
        <s v="PENSIL KENKO 2B-6393 FLUORESCENT"/>
        <s v="PENSIL KENKO 2B-6120 DOODLE"/>
        <s v="PENSIL KENKO 6363"/>
        <s v="PENSIL KENKO 2B-0810 FLUORESCENT"/>
        <s v="PENSIL KENKO 2B-0192"/>
        <s v="OIL PASTEL JK OP-72S PP CASE SEA WORLD"/>
        <s v="OIL PASTEL JK OP-48S PP CASE SEA WORLD"/>
        <s v="OIL PASTEL TITI 55W TI-P-55 S"/>
        <s v="PW KALENG (TIN CASE) KENKO CP-12"/>
        <s v="GUNTING KENKO SC-828"/>
        <s v="GUNTING KENKO SC 838 N"/>
        <s v="BP KENKO HI-TECH 0.28MM BIRU"/>
        <s v="LABEL JK LB-2RL 1 BARIS PUTIH"/>
        <s v="LOOSE LEAF KENKO A5 50"/>
        <s v="LOOSE LEAF KENKO 100-2070 A5"/>
        <s v="ISI PENSIL KENKO PL-05 2B HI-POLYMER"/>
        <s v="STIP JK 526-B40BL"/>
        <s v="STIP KENKO ERW-40SQ PUTIH"/>
        <s v="GUNTING GUNINDO SPL COKLAT"/>
        <s v="GUNTING JK SC-828"/>
        <s v="KUAS SET JK BR-1"/>
        <s v="OIL PASTEL TITI 12W TI-P-12S"/>
        <s v="ISI PENSIL JK PL-11 (2.0)"/>
        <s v="PW KENKO CP-12FNW NON WOOD 12W"/>
        <s v="OIL PASTEL JK 12W OP-12CH HEXAGONAL"/>
        <s v="POCKET NOTE KENKO PN-501"/>
        <s v="GUNTING JK SC-838"/>
        <s v="GUNTING JK SC-848"/>
        <s v="BP GEL KENKO EASY BIRU"/>
        <s v="STABILLO HIGHLIGHTER KENKO HL-100 HIJAU"/>
        <s v="STABILLO HIGHLIGHTER KENKO HL-100 PINK"/>
        <s v="PUSH PIN KENKO PN-30 WARNA"/>
        <s v="LABEL JK LB-3 (2 BARIS, YELLOW, FLOUR)"/>
        <s v="ISI STAPLER (STAPLES) KENKO 1210"/>
        <s v="STAPLER JK HD-12N/24"/>
        <s v="PENSIL METALIK 2B NO. 69"/>
        <s v="BT KENKO BT-2920-01 KEMBANG"/>
        <s v="MIKA LAMINATING VANCO LF-100 FOLIO"/>
        <s v="COLOR CLIP KENKO 3100"/>
        <s v="STIP KENKO ERB-20SQ HITAM"/>
        <s v="PUNCH KENKO 30XL"/>
        <s v="BP KENKO KE-303 T-GEL BIRU"/>
        <s v="BP GEL KENKO KE 303 MERAH"/>
        <s v="BP GEL KENKO K-1 MERAH"/>
        <s v="MECHPEN JK MP 19"/>
        <s v="SPIDOL PERMANEN KENKO PM-100 HITAM"/>
        <s v="SPIDOL W/B MARKER JK WM-65 HITAM"/>
        <s v="BP JK GP-330 HITAM"/>
        <s v="STABILLO SOFTLINER COOL HSL-6C"/>
        <s v="PC MAGNIT B 35145"/>
        <s v="BP KLIK DEBOZZ FANCY DB-GF 10"/>
        <s v="COUNTER HAND TALLY KENKO HT-303"/>
        <s v="GUNTING KENKO SC 848 SG"/>
        <s v="STAPLER KENKO HD-12L/24"/>
        <s v="BINDER CLIP KENKO NO. 300 (6PCS/BOX)"/>
        <s v="CLIP TRIGONAL KENKO NO. 1"/>
        <s v="TIPEX KENKO CT-1505 FC"/>
        <s v="TIPEX KENKO CT-902 CL"/>
        <s v="TIPEX KENKO CT-903"/>
        <s v="MESIN LABEL HARGA KENKO MX-5500 EOS"/>
        <s v="PW JK 24W CP-S24 PENDEK"/>
        <s v="SAMPUL KWARTO BATIK ALFA"/>
        <s v="BINDER CLIP JK 200"/>
        <s v="CLIP TRIGONAL JK NO. 1"/>
        <s v="CALCULATOR JK CC-41"/>
        <s v="PUSH PIN JK PP 30"/>
        <s v="BINDER JK TSSR-M498 A5 SPIRIT"/>
        <s v="BINDER JK TSTP-513 A5 TEMPORARY"/>
        <s v="BINDER JK TSAC-M477 A5"/>
        <s v="BINDER JK TSCL-M474 A5"/>
        <s v="BINDER JK TSCL-M491 A5 COLLEGE"/>
        <s v="LEM STICK JK GS-104 (ANIMAL KINGDOM)"/>
        <s v="STAPLER JK HD-10"/>
        <s v="CALCULATOR JK CC-8 CO BIRU"/>
        <s v="CALCULATOR JK CC-868"/>
        <s v="TIPEX JK CT-522"/>
        <s v="STIP JK 526-B40P"/>
        <s v="PUNCH JK 30XL"/>
        <s v="CUTTER JK L-500+ISI"/>
        <s v="DESK SET JK DS 0812"/>
        <s v="TAPE CUTTER JK TD-09N"/>
        <s v="CALCULATOR JK CC-15A"/>
        <s v="CALCULATOR JK CC-12 CO BIRU"/>
        <s v="CALCULATOR JK CC-12 CO HIJAU"/>
        <s v="CALCULATOR JK CC-12 CO ORANGE"/>
        <s v="CALCULATOR JK CC-8 CO HIJAU"/>
        <s v="CALCULATOR JK CC-8 CO ORANGE"/>
        <s v="STAPLER JK HD 50 CL"/>
        <s v="ISI PENSIL JK PL-16 (2.0)"/>
        <s v="TIPEX KENKO CT-909"/>
        <s v="OIL PASTEL TITI 48W TI-P-48S"/>
        <s v="BT KENKO BT-2920-BTK 02 BATIK"/>
        <s v="BT KENKO BT-3224-BTK BATIK"/>
        <s v="LOOSE LEAF JA B5 50"/>
        <s v="PAPER FASTENER JK PF-50 PUTIH"/>
        <s v="BP JK 254 MORA HITAM "/>
        <s v="BP JK GP-265 BIRU"/>
        <s v="NOTEBOOK JK NB-680 HIJAU PASTEL"/>
        <s v="NOTEBOOK JK NB-680 ORANGE PASTEL"/>
        <s v="NOTEBOOK JK NB-680 UNGU PASTEL"/>
        <s v="NOTEBOOK JK NB-680 KUNING PASTEL"/>
        <s v="TIPEX KENKO KE-108"/>
        <s v="BP GEL TF-1190 0.3MM HIGHTECH (H)"/>
        <s v="BENSIA SF-9939 A DADU (1 box=32 pcs)"/>
        <s v="GARISAN SET ZO-239"/>
        <s v="MAP KANCING YJ2201-1935/1937"/>
        <s v="BP KENKO PU 2 HT"/>
        <s v="BP KENKO PU 3 HT"/>
        <s v="BP KENKO PU 4 HT"/>
        <s v="BP JK 249"/>
        <s v="LEM SUPER KENKO SG-03 A"/>
        <s v="BINDER CLIP JK 107"/>
        <s v="ASAHAN KENKO SP-71 S KECIL"/>
        <s v="PUNCH KENKO 30"/>
        <s v="STABILLO JK HL-2 HIJAU"/>
        <s v="PW KENKO BICOLOR 12W CP-12 FBC CLASSIC 12/24"/>
        <s v="BINDER CLIP KENKO NO. 107"/>
        <s v="BINDER CLIP KENKO NO. 155"/>
        <s v="SAMPUL KWARTO FANCY ALFA"/>
        <s v="SAMPUL BOXY BATIK"/>
        <s v="TIPEX KENKO KE-826M"/>
        <s v="TIPEX KENKO CT-919"/>
        <s v="TIPEX KENKO CT-906"/>
        <s v="CALCULATOR JK CC-47 CO"/>
        <s v="PC MAGNIT FY-6823"/>
        <s v="PC MAGNIT JH-220 A (22X8.5)"/>
        <s v="PC MAGNIT FC 1760 TIMBUL (FAKTUR)"/>
        <s v="PC KENKO 0719 FANCY"/>
        <s v="PLAKBAN KENKO COKLAT"/>
        <s v="PLAKBAN KENKO BENING 48MM PLST MERAH"/>
        <s v="MONEY COUNTER MACHINE JK MCM-2"/>
        <s v="BP JK 224"/>
        <s v="BP JK BP-241 HITAM"/>
        <s v="CLIP TRIGONAL KENKO NO. 3"/>
        <s v="PUNCH KENKO 85"/>
        <s v="CUTTER GUNINDO SC08-C9A PUTIH"/>
        <s v="CUTTER GUNINDO A 18 TRANS"/>
        <s v="LOOSE LEAF KENKO 100-2670 B5"/>
        <s v="STABILLO HIGHLIGHTER KENKO HL-100 UNGU"/>
        <s v="STABILLO HIGHLIGHTER KENKO HL-100 KUNING"/>
        <s v="BP KENKO 4 IN 1 BP-418"/>
        <s v="CLIP KENKO NO. 5 JUMBO"/>
        <s v="GUNTING GUNINDO FL GA-10 COKLAT"/>
        <s v="GUNTING GUNINDO OMM GR19"/>
        <s v="PC MAGNIT C-1758 (22X7.5)"/>
        <s v="BENSIA SF 9925 C GARPU SENDOK (1 box=24 pcs)"/>
        <s v="BENSIA SF 9927 W KINCIR"/>
        <s v="MAP DOC BAG T-618 (28X21) B5"/>
        <s v="BP JK GP-265 HITAM"/>
        <s v="BINDER CLIP KENKO NO. 280 (6PCS/BOX)"/>
        <s v="PW KALENG (TIN CASE) KENKO CP-24"/>
        <s v="STAMP PAD KENKO NO. 1"/>
        <s v="LOOSE LEAF A5/ 40 POLOS "/>
        <s v="GARISAN SET HZ-5013"/>
        <s v="PC MAGNIT C-1756"/>
        <s v="BP GEL VANCO VC-8005"/>
        <s v="BP KENKO VOJI N-7"/>
        <s v="JANGKA SET KENKO C-528"/>
        <s v="TIPEX KENKO CT-809"/>
        <s v="MAP DOC BAG T-518 (33X23) A4"/>
        <s v="OIL PASTEL KENKO 12C KOP"/>
        <s v="BP KENKO MICROTEC 0.28 HITAM"/>
        <s v="BINDER CLIP KENKO NO. 105"/>
        <s v="DATE STAMP KENKO D-4 4MM"/>
        <s v="BP GEL JK GP-266 ITECH BIRU"/>
        <s v="PAPER FASTENER KENKO PF-508 WARNA"/>
        <s v="ISI STAPLER SDI 1213"/>
        <s v="BP AODM 010"/>
        <s v="BP KENKO KE-200 HITAM"/>
        <s v="TAPE DISPENSER KENKO TD-321"/>
        <s v="STIP JK 526-B20"/>
        <s v="MECHPEN KENKO MP-07 (0.5MM)"/>
        <s v="PW KENKO CP-12F SANDY BEAR"/>
        <s v="LEM LIQUID KENKO LG-35 (35 ML)"/>
        <s v="JANGKA SET JK MS-25"/>
        <s v="JANGKA SET JK MS-55"/>
        <s v="BINDER JK TSVY-522 A5 VOYAGE TO THE SEA"/>
        <s v="BINDER JK TSSD-523 A5 SWEET DAY"/>
        <s v="BINDER JK TSAC-524 A5 ANIMAL FACE"/>
        <s v="BINDER JK TSAF-F511 A5 ANIMAL FACE"/>
        <s v="MAP DOC BAG+HANDLE 9381"/>
        <s v="CALCULATOR JK CC-800 CH"/>
        <s v="CALCULATOR JK CC 36"/>
        <s v="CALCULATOR JK CC-2"/>
        <s v="CALCULATOR JK CC-19 A"/>
        <s v="LAMINATING FILM JK LF100-2234 (F4)"/>
        <s v="GUNTING GUNINDO HB-75"/>
        <s v="BP GEL TIZO TG31220"/>
        <s v="TIPEX KENKO KE 301"/>
        <s v="LABEL STICKER PAPER JK LSP-09"/>
        <s v="PW KENKO METALLIC 12W CP-12FMC CLASSIC"/>
        <s v="PW KENKO BICOLOR 12W NMCP-12FBC"/>
        <s v="PW KENKO 12W NEON COLOR PENCIL NCP-12C"/>
        <s v="PW KENKO CP-24F SANDY BEAR PANJANG"/>
        <s v="PW KENKO BI-COLOR 24W CP-24FBC CLASSIC"/>
        <s v="BP GEL KENKO K-80 HITAM"/>
        <s v="CALCULATOR JK PKC-0711 HC"/>
        <s v="STAPLER SDI 1104"/>
        <s v="STAPLER SDI 1105"/>
        <s v="PW KENKO NEON COLOR PENCIL 12W NCP-12C"/>
        <s v="PW KENKO BICOLOR 24W CP-24FBC CLASSIC"/>
        <s v="LOOSE LEAF B5/ 40 POLOS "/>
        <s v="LABEL JK LB-P2LN 2 LINE PUTIH"/>
        <s v="BINDER CLIP JK 300"/>
        <s v="GARISAN BESI KENKO 30 CM"/>
        <s v="BP GEL KENKO K-5"/>
        <s v="BP GEL KENKO 3 IN 1 GP-30"/>
        <s v="BP GEL KENKO EASY 0.3"/>
        <s v="STAPLER YUAN CHANG 414"/>
        <s v="PUNCH KENKO 85XL"/>
        <s v="CRAYON PUTAR JK 24W PANJANG"/>
        <s v="BP TIZO TG340 HITAM"/>
        <s v="CALCULATOR JK CC-23 CO"/>
        <s v="CUTTER VANCO V750"/>
        <s v="PAPER FASTENER JK PF-50 WARNA"/>
        <s v="CALCULATOR JK CC-23"/>
        <s v="GUNTING GUNINDO SPM COKLAT"/>
        <s v="LABEL JK LB-1LY 1 LINE KUNING"/>
        <s v="BP KENKO K-1 BIRU"/>
        <s v="BINDER JK TSFC-M132 B5 FACULTY"/>
        <s v="BINDER JK TSIM-M114 B5 IMAGE"/>
        <s v="BINDER JK TSAC-M129 B5 ACADEMY"/>
        <s v="BINDER JK TSKD-142 B5 KINDNESS"/>
        <s v="BINDER JK TSAT-145 B5"/>
        <s v="BP TIZO TG340 BIRU"/>
        <s v="PW KENKO CP-36F SANDY BEAR 36W"/>
        <s v="STABILLO JK HL-46"/>
        <s v="BINDER CLIP JK 155"/>
        <s v="CUTTER JK A-300A (AUTOLOCK)"/>
        <s v="STABILLO TY-SP 28"/>
        <s v="TAPE CUTTER JK TD-2S"/>
        <s v="JANGKA SET JK MS-75"/>
        <m/>
      </sharedItems>
    </cacheField>
    <cacheField name="UKURAN" numFmtId="0">
      <sharedItems containsBlank="1">
        <m/>
        <s v="18 MM"/>
        <s v="A4"/>
        <s v="F4"/>
        <s v="K"/>
        <s v="M"/>
        <s v="9 MM"/>
        <s v="T"/>
        <s v="B"/>
        <s v="B6"/>
        <s v="A5"/>
        <s v="B5"/>
        <s v="12 M X 5 MM"/>
        <e v="#N/A"/>
        <s v="J"/>
        <s v="4 MM"/>
        <s v="0.5 MM"/>
        <s v="35 ML"/>
        <s v="8 M X 5 MM"/>
        <s v="30 CM"/>
      </sharedItems>
    </cacheField>
    <cacheField name="WARNA/MOTIF" numFmtId="0">
      <sharedItems containsBlank="1">
        <m/>
        <s v="12W"/>
        <s v="HITAM"/>
        <s v="18W"/>
        <s v="36W"/>
        <s v="55W"/>
        <s v="TANGAN"/>
        <s v="PLUIT"/>
        <s v="PINK"/>
        <s v="HIJAU"/>
        <s v="KUNING"/>
        <s v="PUTIH"/>
        <s v="BIRU"/>
        <s v="24W"/>
        <s v="4W"/>
        <s v="72W"/>
        <s v="48W"/>
        <s v="MERAH"/>
        <s v="ORANYE"/>
        <s v="BATIK"/>
        <s v="UNGU"/>
        <s v="DADU"/>
        <s v="COKLAT"/>
        <s v="BENING"/>
        <e v="#N/A"/>
        <s v="GARPU"/>
        <s v="KINCIR"/>
        <s v="3W"/>
        <s v="MIX"/>
        <s v="WARNA"/>
      </sharedItems>
    </cacheField>
    <cacheField name="MERK" numFmtId="0">
      <sharedItems containsBlank="1">
        <s v="ZH"/>
        <s v="KN"/>
        <s v="NB"/>
        <s v="JK"/>
        <s v="WY"/>
        <s v="GW"/>
        <s v="TT"/>
        <s v="GN"/>
        <s v="VN"/>
        <s v="CR"/>
        <s v="SDI"/>
        <s v="TZ"/>
        <s v="DB"/>
        <s v="AL"/>
        <s v="PO"/>
        <s v="ZX"/>
        <s v="JA"/>
        <s v="TF"/>
        <e v="#N/A"/>
        <s v="VC"/>
        <s v="LG"/>
        <m/>
      </sharedItems>
    </cacheField>
    <cacheField name="SERI" numFmtId="0">
      <sharedItems containsBlank="1">
        <s v="6925"/>
        <s v="CTR-007"/>
        <m/>
        <s v="OP-12S"/>
        <s v="GPT-018B"/>
        <s v="0719TV-33A/F"/>
        <s v="PC-0719AC-36A/F"/>
        <s v="OP-18S"/>
        <s v="OP-36S"/>
        <s v="HD-10"/>
        <s v="CFL-002"/>
        <s v="CTB-002"/>
        <s v="CP-12F"/>
        <s v="CP-12"/>
        <s v="GPT-005B"/>
        <s v="9925B"/>
        <s v="9925A"/>
        <s v="GPR-003B"/>
        <s v="KE-303"/>
        <s v="BR-8"/>
        <s v="E681B"/>
        <s v="STR-005"/>
        <s v="LG-50"/>
        <s v="KS-97"/>
        <s v="935-6"/>
        <s v="6388"/>
        <s v="10"/>
        <s v="CFL-001"/>
        <s v="GST-001GA"/>
        <s v="PLR-001"/>
        <s v="CP-24PB"/>
        <s v="CP-12PB"/>
        <s v="CP-24F"/>
        <s v="HD-10S"/>
        <s v="HD-50"/>
        <s v="STD-001"/>
        <s v="BCL-003QH"/>
        <s v="SCS-003GO"/>
        <s v="CTR-004"/>
        <s v="CTR-003"/>
        <s v="CC-45"/>
        <s v="DTC-1516"/>
        <s v="AC-1762"/>
        <s v="MX-5500M"/>
        <s v="OPS-009"/>
        <s v="PCL-008AK"/>
        <s v="CTB-001"/>
        <s v="ERS-002"/>
        <s v="CFL-006"/>
        <s v="GR16"/>
        <s v="GR15"/>
        <s v="803"/>
        <s v="12N/24"/>
        <s v="TPD-004"/>
        <s v="TD-103"/>
        <s v="TD-102"/>
        <s v="TD-111"/>
        <s v="TD-113"/>
        <s v="TD-101"/>
        <s v="TD-114"/>
        <s v="STM-003"/>
        <s v="HTC-001"/>
        <s v="CC-8A"/>
        <s v="DTC-1313 CH"/>
        <s v="OPS-008"/>
        <s v="20 BL"/>
        <s v="CC-35"/>
        <s v="GST-002GA"/>
        <s v="GST-003GA"/>
        <s v="HL-520"/>
        <s v="PLR-003A"/>
        <s v="PLB-001"/>
        <s v="5002"/>
        <s v="E-681R"/>
        <s v="2541"/>
        <s v="2544"/>
        <s v="2542"/>
        <s v="2546"/>
        <s v="L-150 AM"/>
        <s v="P-88"/>
        <s v="260"/>
        <s v="OP-24S"/>
        <s v="GL-R50"/>
        <s v="P5 150"/>
        <s v="CP-103"/>
        <s v="349-12"/>
        <s v="CT-634DT"/>
        <s v="SG-1"/>
        <s v="TPD-006"/>
        <s v="HD-10 M"/>
        <s v="GPR-025B"/>
        <s v="1609"/>
        <s v="128"/>
        <s v="N-38"/>
        <s v="CC-25"/>
        <s v="1210"/>
        <s v="500"/>
        <s v="MN-305"/>
        <s v="GPT-001B"/>
        <s v="BNK-006B"/>
        <s v="CP-107"/>
        <s v="BCL-006QH"/>
        <s v="BCL-005QH"/>
        <s v="G-05"/>
        <s v="12L"/>
        <s v="2543"/>
        <s v="011"/>
        <s v="103"/>
        <s v="HL-521"/>
        <s v="6201"/>
        <s v="SP 015"/>
        <s v="SP 016"/>
        <s v="SP 017"/>
        <s v="6116"/>
        <s v="DLL-229"/>
        <s v="DLL-204"/>
        <s v="GPR-023B"/>
        <s v="CT-902"/>
        <s v="369"/>
        <s v="BP-338"/>
        <s v="40"/>
        <s v="2545"/>
        <s v="FX-2275"/>
        <s v="9810"/>
        <s v="HZ-5012"/>
        <s v="CP-104"/>
        <s v="6120"/>
        <s v="6363"/>
        <s v="0192"/>
        <s v="OP-72S"/>
        <s v="OP-48S"/>
        <s v="SCS-001GO"/>
        <s v="SCS-002GO"/>
        <s v="GPT-018BL"/>
        <s v="LB-2RL"/>
        <s v="50-2070"/>
        <s v="LLF-002"/>
        <s v="40 BL"/>
        <s v="ERS-005"/>
        <s v="SPL"/>
        <s v="SC-828"/>
        <s v="BR-1"/>
        <s v="OPS-007"/>
        <s v="PL-11"/>
        <s v="CP-12FNW"/>
        <s v="PN-501"/>
        <s v="SC-838"/>
        <s v="SC-848"/>
        <s v="PN-30"/>
        <s v="LB-3"/>
        <s v="STS-004QH"/>
        <s v="69"/>
        <s v="LF-100"/>
        <s v="CLP-004"/>
        <s v="ERS-001"/>
        <s v="PNC-006"/>
        <s v="K-1"/>
        <s v="MP-19"/>
        <s v="WM-65"/>
        <s v="GP-330"/>
        <s v="HSL-6C"/>
        <s v="DB-GF10"/>
        <s v="HD-12L"/>
        <s v="BCL-008"/>
        <s v="CLP-001"/>
        <s v="CT-1505"/>
        <s v="CT-903"/>
        <s v="MX-5500"/>
        <s v="CP-S24"/>
        <s v="200"/>
        <s v="01"/>
        <s v="CC-41"/>
        <s v="TSSR-M498"/>
        <s v="TSTP-513"/>
        <s v="TSAC-M477"/>
        <s v="TSAL-M474"/>
        <s v="TSCL-M491"/>
        <s v="GS-104"/>
        <s v="CC-8"/>
        <s v="CC-868"/>
        <s v="CT-522"/>
        <s v="40 P"/>
        <s v="30XL"/>
        <s v="L-500"/>
        <s v="DS-0812"/>
        <s v="TD-09N"/>
        <s v="CC-15A"/>
        <s v="CC-12"/>
        <s v="HD-50CL"/>
        <s v="PL-16"/>
        <s v="CTP-035"/>
        <s v="OPS-011"/>
        <s v="2920"/>
        <s v="3224"/>
        <s v="PF-50"/>
        <s v="254"/>
        <s v="GP-265"/>
        <s v="NB-680"/>
        <s v="CFL-003"/>
        <s v="TF-1190"/>
        <s v="SF-9939"/>
        <s v="ZO-239"/>
        <s v="YJ2201"/>
        <s v="249"/>
        <s v="SG-03 A"/>
        <s v="107"/>
        <s v="PNC-002"/>
        <s v="HL-2"/>
        <s v="BCL-002QH"/>
        <s v="BCL-004QH"/>
        <s v="KE-826M"/>
        <s v="CT-919"/>
        <s v="CT-906"/>
        <s v="FY-6823"/>
        <e v="#N/A"/>
        <s v="224"/>
        <s v="BP-241"/>
        <s v="CLP-002"/>
        <s v="PNC-008"/>
        <s v="SC08-C9A"/>
        <s v="SC01-A18"/>
        <s v="LLF-004"/>
        <s v="HLT-001V"/>
        <s v="BP-418"/>
        <s v="CLP-003"/>
        <s v="GA10"/>
        <s v="GR19"/>
        <s v="9925C"/>
        <s v="9927 W"/>
        <s v="T-618"/>
        <s v="BCL-007"/>
        <s v="CP-24"/>
        <s v="STD-002"/>
        <s v="HZ-5013"/>
        <s v="C-1756"/>
        <s v="VC-8005"/>
        <s v="N-7"/>
        <s v="T-518"/>
        <s v="BCL-001QH"/>
        <s v="D-4"/>
        <s v="266"/>
        <s v="FST-002"/>
        <s v="1213"/>
        <s v="010"/>
        <s v="GPT-003B"/>
        <s v="TPD-005"/>
        <s v="20 P"/>
        <s v="MPC-004"/>
        <s v="GLQ-001GA"/>
        <s v="MS-25"/>
        <s v="MS-55"/>
        <s v="TSVY-522"/>
        <s v="TSSD-523"/>
        <s v="TSAC-524"/>
        <s v="TSAF-F511"/>
        <s v="9381"/>
        <s v="CC-800"/>
        <s v="CC-36"/>
        <s v="CC-2"/>
        <s v="CC-19 A"/>
        <s v="LF100-2234"/>
        <s v="GR11"/>
        <s v="TG31220"/>
        <s v="KE 301"/>
        <s v="LSP-09"/>
        <s v="CP-12FMC"/>
        <s v="NMCP-12FBC"/>
        <s v="NCP-12C"/>
        <s v="CP-24FBC"/>
        <s v="K-80"/>
        <s v="PKC-0711"/>
        <s v="300"/>
        <s v="GPR-024"/>
        <s v="TWCR-24S"/>
        <s v="TG340"/>
        <s v="CC-23"/>
        <s v="V750"/>
        <s v="SPM"/>
        <s v="LB-1LY"/>
        <s v="GPR-003BL"/>
        <s v="TSFC-M132"/>
        <s v="TSIM-M114"/>
        <s v="TSAC-M129"/>
        <s v="TSKD-142"/>
        <s v="TSAT-145"/>
        <s v="CPC-004A"/>
        <s v="155"/>
        <s v="A-300A"/>
        <s v="TD-2S"/>
      </sharedItems>
    </cacheField>
    <cacheField name="ADA DI DAFTAR STOCK?" numFmtId="0">
      <sharedItems containsBlank="1">
        <s v="ADA"/>
        <s v="TIDAK ADA"/>
        <m/>
      </sharedItems>
    </cacheField>
    <cacheField name="JUMLAH" numFmtId="0">
      <sharedItems containsString="0" containsBlank="1" containsNumber="1">
        <n v="6.0"/>
        <n v="2.0"/>
        <n v="12.0"/>
        <n v="144.0"/>
        <n v="1440.0"/>
        <n v="720.0"/>
        <n v="360.0"/>
        <n v="216.0"/>
        <n v="36.0"/>
        <n v="20.0"/>
        <n v="60.0"/>
        <n v="24.0"/>
        <n v="48.0"/>
        <n v="72.0"/>
        <n v="288.0"/>
        <n v="4.0"/>
        <n v="0.5"/>
        <n v="3.0"/>
        <n v="5.0"/>
        <n v="1.0"/>
        <n v="500.0"/>
        <n v="10.0"/>
        <n v="18.0"/>
        <n v="30.0"/>
        <n v="15.0"/>
        <n v="80.0"/>
        <n v="120.0"/>
        <n v="100.0"/>
        <n v="240.0"/>
        <n v="13.0"/>
        <n v="192.0"/>
        <n v="40.0"/>
        <n v="300.0"/>
        <n v="25.0"/>
        <n v="69.0"/>
        <n v="9.0"/>
        <n v="50.0"/>
        <n v="800.0"/>
        <n v="210.0"/>
        <n v="1584.0"/>
        <n v="150.0"/>
        <n v="200.0"/>
        <n v="0.4166666666666667"/>
        <n v="22.0"/>
        <n v="432.0"/>
        <n v="480.0"/>
        <n v="108.0"/>
        <n v="11.0"/>
        <n v="27.0"/>
        <n v="26.0"/>
        <n v="5.416666666666667"/>
        <n v="7.5"/>
        <n v="160.0"/>
        <n v="0.08333333333333333"/>
        <n v="0.3333333333333333"/>
        <n v="0.16666666666666666"/>
        <n v="19.0"/>
        <n v="1200.0"/>
        <n v="960.0"/>
        <n v="400.0"/>
        <n v="180.0"/>
        <n v="96.0"/>
        <n v="1.5"/>
        <n v="46.0"/>
        <n v="1.8333333333333333"/>
        <n v="8.666666666666666"/>
        <n v="12.416666666666666"/>
        <n v="0.8333333333333334"/>
        <n v="8.0"/>
        <n v="16.0"/>
        <n v="17.0"/>
        <n v="1000.0"/>
        <n v="0.041666666666666664"/>
        <n v="0.25"/>
        <n v="57.0"/>
        <n v="33.0"/>
        <n v="576.0"/>
        <n v="63.0"/>
        <n v="71.0"/>
        <n v="91.0"/>
        <m/>
      </sharedItems>
    </cacheField>
    <cacheField name="SATUAN" numFmtId="0">
      <sharedItems containsBlank="1">
        <s v="BOX"/>
        <s v="LSN"/>
        <s v="PCS"/>
        <s v="PAK"/>
        <s v="GRS"/>
        <s v="SET"/>
        <m/>
      </sharedItems>
    </cacheField>
    <cacheField name="HARGA" numFmtId="164">
      <sharedItems containsString="0" containsBlank="1" containsNumber="1">
        <n v="75000.0"/>
        <n v="147600.0"/>
        <n v="11000.0"/>
        <n v="12300.0"/>
        <n v="39000.0"/>
        <n v="57600.0"/>
        <n v="11900.0"/>
        <n v="23000.0"/>
        <n v="41500.0"/>
        <n v="286800.0"/>
        <n v="223200.0"/>
        <n v="93000.0"/>
        <n v="55800.0"/>
        <n v="64800.0"/>
        <n v="124200.0"/>
        <n v="79200.0"/>
        <n v="26100.0"/>
        <n v="66900.0"/>
        <n v="57750.0"/>
        <n v="10000.0"/>
        <n v="19000.0"/>
        <n v="21000.0"/>
        <n v="12500.0"/>
        <n v="16666.666666666668"/>
        <n v="270000.0"/>
        <n v="39600.0"/>
        <n v="21600.0"/>
        <n v="7800.0"/>
        <n v="42000.0"/>
        <n v="117600.0"/>
        <n v="25200.0"/>
        <n v="27000.0"/>
        <n v="33000.0"/>
        <n v="17500.0"/>
        <n v="112800.0"/>
        <n v="13250.0"/>
        <n v="295800.0"/>
        <n v="229800.0"/>
        <n v="42700.0"/>
        <n v="68700.0"/>
        <n v="54300.0"/>
        <n v="66000.0"/>
        <n v="45000.0"/>
        <n v="21200.0"/>
        <n v="10200.0"/>
        <n v="248400.0"/>
        <n v="69600.0"/>
        <n v="59400.0"/>
        <n v="49200.0"/>
        <n v="118800.0"/>
        <n v="57000.0"/>
        <n v="52200.0"/>
        <n v="44000.0"/>
        <n v="74000.0"/>
        <n v="9500.0"/>
        <n v="37500.0"/>
        <n v="40500.0"/>
        <n v="34000.0"/>
        <n v="110400.0"/>
        <n v="32400.0"/>
        <n v="30000.0"/>
        <n v="70000.0"/>
        <n v="61000.0"/>
        <n v="155000.0"/>
        <n v="15500.0"/>
        <n v="11100.0"/>
        <n v="16500.0"/>
        <n v="24300.0"/>
        <n v="17200.0"/>
        <n v="99600.0"/>
        <n v="38000.0"/>
        <n v="40000.0"/>
        <n v="47500.0"/>
        <n v="34100.0"/>
        <n v="58000.0"/>
        <n v="72000.0"/>
        <n v="60000.0"/>
        <n v="20000.0"/>
        <n v="10416.666666666666"/>
        <n v="95000.0"/>
        <n v="22000.0"/>
        <n v="81000.0"/>
        <n v="100000.0"/>
        <n v="132500.0"/>
        <n v="104400.0"/>
        <n v="177000.0"/>
        <n v="29600.0"/>
        <n v="58200.0"/>
        <n v="8400.0"/>
        <n v="13200.0"/>
        <n v="19250.0"/>
        <n v="70800.0"/>
        <n v="10500.0"/>
        <n v="13000.0"/>
        <n v="7500.0"/>
        <n v="84000.0"/>
        <n v="67000.0"/>
        <n v="121000.0"/>
        <n v="225000.0"/>
        <n v="110000.0"/>
        <n v="26000.0"/>
        <n v="10250.0"/>
        <n v="19200.0"/>
        <n v="12000.0"/>
        <n v="129600.0"/>
        <n v="180000.0"/>
        <n v="120000.0"/>
        <n v="28500.0"/>
        <n v="26400.0"/>
        <n v="175000.0"/>
        <n v="105000.0"/>
        <n v="24000.0"/>
        <n v="35000.0"/>
        <n v="37000.0"/>
        <n v="150000.0"/>
        <n v="135000.0"/>
        <n v="4000.0"/>
        <n v="6000.0"/>
        <n v="50000.0"/>
        <n v="240000.0"/>
        <n v="54000.0"/>
        <n v="25500.0"/>
        <n v="13500.0"/>
        <n v="12600.0"/>
        <n v="282000.0"/>
        <n v="255600.0"/>
        <n v="126000.0"/>
        <n v="13333.333333333334"/>
        <n v="12083.333333333334"/>
        <n v="3500.0"/>
        <n v="16800.0"/>
        <n v="105600.0"/>
        <n v="115200.0"/>
        <n v="122400.0"/>
        <n v="98400.0"/>
        <n v="60700.0"/>
        <n v="456000.0"/>
        <n v="204000.0"/>
        <n v="56400.0"/>
        <n v="79800.0"/>
        <n v="20500.0"/>
        <n v="4400.0"/>
        <n v="8350.0"/>
        <n v="15000.0"/>
        <n v="28300.0"/>
        <n v="27500.0"/>
        <n v="8800.0"/>
        <n v="14500.0"/>
        <n v="37200.0"/>
        <n v="102000.0"/>
        <n v="135600.0"/>
        <n v="78000.0"/>
        <n v="117000.0"/>
        <n v="3050.0"/>
        <n v="4300.0"/>
        <n v="340000.0"/>
        <n v="156000.0"/>
        <n v="41400.0"/>
        <n v="8500.0"/>
        <n v="40800.0"/>
        <n v="36000.0"/>
        <n v="27600.0"/>
        <n v="14100.0"/>
        <n v="24996.0"/>
        <n v="10666.666666666666"/>
        <n v="55000.0"/>
        <n v="96000.0"/>
        <n v="72500.0"/>
        <n v="77500.0"/>
        <n v="25000.0"/>
        <n v="32500.0"/>
        <n v="360000.0"/>
        <n v="42900.0"/>
        <n v="26500.0"/>
        <n v="65000.0"/>
        <n v="80000.0"/>
        <n v="17000.0"/>
        <n v="18500.0"/>
        <n v="63000.0"/>
        <n v="165600.0"/>
        <n v="115800.0"/>
        <n v="31200.0"/>
        <n v="14900.0"/>
        <n v="58800.0"/>
        <n v="85200.0"/>
        <n v="51600.0"/>
        <n v="155400.0"/>
        <n v="168000.0"/>
        <n v="23400.0"/>
        <n v="47000.0"/>
        <n v="56000.0"/>
        <n v="216000.0"/>
        <n v="20400.0"/>
        <n v="198000.0"/>
        <n v="414000.0"/>
        <n v="23700.0"/>
        <n v="56100.0"/>
        <n v="153600.0"/>
        <n v="195000.0"/>
        <n v="5700.0"/>
        <n v="30500.0"/>
        <n v="7600.0"/>
        <n v="6900.0"/>
        <n v="11600.0"/>
        <n v="48900.0"/>
        <n v="1750.0"/>
        <n v="4250.0"/>
        <n v="52500.0"/>
        <n v="85000.0"/>
        <n v="15900.0"/>
        <n v="3700.0"/>
        <n v="67500.0"/>
        <n v="28000.0"/>
        <n v="148800.0"/>
        <n v="31800.0"/>
        <n v="69000.0"/>
        <n v="6250.0"/>
        <n v="7750.0"/>
        <n v="62100.0"/>
        <n v="62400.0"/>
        <n v="14583.333333333334"/>
        <m/>
        <n v="22200.0"/>
        <n v="16000.0"/>
        <n v="48500.0"/>
        <n v="43000.0"/>
        <n v="21500.0"/>
        <n v="408000.0"/>
        <n v="190800.0"/>
        <n v="2100.0"/>
        <n v="125000.0"/>
        <n v="115000.0"/>
        <n v="28800.0"/>
        <n v="74400.0"/>
        <n v="9800.0"/>
        <n v="24600.0"/>
        <n v="32000.0"/>
        <n v="6500.0"/>
        <n v="19800.0"/>
        <n v="89400.0"/>
        <n v="62500.0"/>
        <n v="83000.0"/>
        <n v="138600.0"/>
        <n v="13750.0"/>
        <n v="5750.0"/>
        <n v="55200.0"/>
        <n v="1700.0"/>
        <n v="19500.0"/>
        <n v="5500.0"/>
        <n v="417000.0"/>
        <n v="294000.0"/>
        <n v="28200.0"/>
        <n v="250000.0"/>
        <n v="14000.0"/>
        <n v="4500.0"/>
        <n v="1029600.0"/>
        <n v="75600.0"/>
        <n v="350000.0"/>
        <n v="59000.0"/>
        <n v="1600.0"/>
        <n v="49250.0"/>
        <n v="37800.0"/>
        <n v="90000.0"/>
        <n v="51500.0"/>
        <n v="67800.0"/>
        <n v="3750.0"/>
        <n v="90600.0"/>
        <n v="33500.0"/>
        <n v="49500.0"/>
        <n v="12100.0"/>
      </sharedItems>
    </cacheField>
    <cacheField name="DISKON">
      <sharedItems containsBlank="1" containsMixedTypes="1" containsNumber="1">
        <m/>
        <n v="0.1"/>
        <n v="0.125"/>
        <n v="0.15"/>
        <n v="0.13"/>
        <n v="0.075"/>
        <n v="0.14"/>
        <s v=""/>
        <n v="0.135"/>
        <n v="0.05"/>
      </sharedItems>
    </cacheField>
    <cacheField name="TOTAL" numFmtId="164">
      <sharedItems containsString="0" containsBlank="1" containsNumber="1">
        <n v="450000.0"/>
        <n v="265680.0"/>
        <n v="132000.0"/>
        <n v="1549800.0"/>
        <n v="4914000.0"/>
        <n v="604800.0"/>
        <n v="1.45656E7"/>
        <n v="1.4076E7"/>
        <n v="7497000.0"/>
        <n v="7245000.0"/>
        <n v="1499400.0"/>
        <n v="4347000.0"/>
        <n v="1307250.0"/>
        <n v="3011400.0"/>
        <n v="2343600.0"/>
        <n v="1627500.0"/>
        <n v="1757700.0"/>
        <n v="2583000.0"/>
        <n v="3402000.0"/>
        <n v="2608200.0"/>
        <n v="3326400.0"/>
        <n v="3288600.0"/>
        <n v="1449000.0"/>
        <n v="1404900.0"/>
        <n v="2998800.0"/>
        <n v="115500.0"/>
        <n v="200000.0"/>
        <n v="380000.0"/>
        <n v="84000.0"/>
        <n v="150000.0"/>
        <n v="135000.0"/>
        <n v="4961088.0"/>
        <n v="2706048.0"/>
        <n v="168480.0"/>
        <n v="126000.0"/>
        <n v="211680.0"/>
        <n v="113400.0"/>
        <n v="72900.0"/>
        <n v="29700.0"/>
        <n v="385560.0"/>
        <n v="427680.0"/>
        <n v="558900.0"/>
        <n v="105300.0"/>
        <n v="52500.0"/>
        <n v="101520.0"/>
        <n v="6625000.0"/>
        <n v="3088152.0"/>
        <n v="2399112.0"/>
        <n v="1337364.0"/>
        <n v="1434456.0"/>
        <n v="3081888.0"/>
        <n v="3420900.0"/>
        <n v="563760.0"/>
        <n v="594000.0"/>
        <n v="405000.0"/>
        <n v="457920.0"/>
        <n v="111780.0"/>
        <n v="110160.0"/>
        <n v="447120.0"/>
        <n v="172050.0"/>
        <n v="64380.0"/>
        <n v="210900.0"/>
        <n v="136530.0"/>
        <n v="359640.0"/>
        <n v="249750.0"/>
        <n v="935550.0"/>
        <n v="1291500.0"/>
        <n v="1039500.0"/>
        <n v="1710450.0"/>
        <n v="299250.0"/>
        <n v="685125.0"/>
        <n v="462000.0"/>
        <n v="777000.0"/>
        <n v="684000.0"/>
        <n v="396000.0"/>
        <n v="190000.0"/>
        <n v="187500.0"/>
        <n v="2835000.0"/>
        <n v="1428000.0"/>
        <n v="1987200.0"/>
        <n v="5216400.0"/>
        <n v="2625000.0"/>
        <n v="7182000.0"/>
        <n v="3780000.0"/>
        <n v="5313600.0"/>
        <n v="1647000.0"/>
        <n v="325500.0"/>
        <n v="399000.0"/>
        <n v="233100.0"/>
        <n v="258300.0"/>
        <n v="346500.0"/>
        <n v="510300.0"/>
        <n v="361200.0"/>
        <n v="1795500.0"/>
        <n v="179280.0"/>
        <n v="342000.0"/>
        <n v="486000.0"/>
        <n v="2106000.0"/>
        <n v="2721600.0"/>
        <n v="3990000.0"/>
        <n v="708750.0"/>
        <n v="8400000.0"/>
        <n v="1671840.0"/>
        <n v="1403520.0"/>
        <n v="1470600.0"/>
        <n v="153450.0"/>
        <n v="522000.0"/>
        <n v="792000.0"/>
        <n v="1700676.0"/>
        <n v="259956.0"/>
        <n v="819000.0"/>
        <n v="525000.0"/>
        <n v="360000.0"/>
        <n v="1225000.0"/>
        <n v="2000000.0"/>
        <n v="243000.0"/>
        <n v="513000.0"/>
        <n v="378000.0"/>
        <n v="264000.0"/>
        <n v="225000.0"/>
        <n v="300000.0"/>
        <n v="265000.0"/>
        <n v="1722000.0"/>
        <n v="1285200.0"/>
        <n v="2740500.0"/>
        <n v="1.6524E7"/>
        <n v="2323125.0"/>
        <n v="4972800.0"/>
        <n v="2646000.0"/>
        <n v="209520.0"/>
        <n v="272160.0"/>
        <n v="285120.0"/>
        <n v="334800.0"/>
        <n v="177120.0"/>
        <n v="855360.0"/>
        <n v="213624.0"/>
        <n v="404250.0"/>
        <n v="1548750.0"/>
        <n v="874800.0"/>
        <n v="252000.0"/>
        <n v="630000.0"/>
        <n v="65000.0"/>
        <n v="125460.0"/>
        <n v="1473696.0"/>
        <n v="1380816.0"/>
        <n v="1364820.0"/>
        <n v="404028.0"/>
        <n v="90000.0"/>
        <n v="144480.0"/>
        <n v="576200.0"/>
        <n v="308550.0"/>
        <n v="739944.0"/>
        <n v="500000.0"/>
        <n v="110000.0"/>
        <n v="1.06E7"/>
        <n v="312000.0"/>
        <n v="1476000.0"/>
        <n v="2419200.0"/>
        <n v="1512000.0"/>
        <n v="349920.0"/>
        <n v="661500.0"/>
        <n v="2079000.0"/>
        <n v="787500.0"/>
        <n v="1050000.0"/>
        <n v="1368000.0"/>
        <n v="210000.0"/>
        <n v="816480.0"/>
        <n v="1283040.0"/>
        <n v="622080.0"/>
        <n v="408000.0"/>
        <n v="100000.0"/>
        <n v="240000.0"/>
        <n v="175000.0"/>
        <n v="315000.0"/>
        <n v="48000.0"/>
        <n v="70000.0"/>
        <n v="74000.0"/>
        <n v="480000.0"/>
        <n v="350000.0"/>
        <n v="270000.0"/>
        <n v="120000.0"/>
        <n v="50000.0"/>
        <n v="72000.0"/>
        <n v="88000.0"/>
        <n v="256500.0"/>
        <n v="615600.0"/>
        <n v="85500.0"/>
        <n v="123120.0"/>
        <n v="171000.0"/>
        <n v="307800.0"/>
        <n v="359100.0"/>
        <n v="2229120.0"/>
        <n v="7560000.0"/>
        <n v="2268000.0"/>
        <n v="2818800.0"/>
        <n v="1.91835E7"/>
        <n v="1.41372E7"/>
        <n v="5166000.0"/>
        <n v="774375.0"/>
        <n v="226800.0"/>
        <n v="3825000.0"/>
        <n v="2700000.0"/>
        <n v="700000.0"/>
        <n v="396900.0"/>
        <n v="246750.0"/>
        <n v="205200.0"/>
        <n v="648000.0"/>
        <n v="410400.0"/>
        <n v="95850.0"/>
        <n v="293333.3333333334"/>
        <n v="435000.0"/>
        <n v="140000.0"/>
        <n v="365400.0"/>
        <n v="439560.0"/>
        <n v="96570.0"/>
        <n v="186480.0"/>
        <n v="93240.0"/>
        <n v="222000.0"/>
        <n v="195360.0"/>
        <n v="208680.0"/>
        <n v="213120.0"/>
        <n v="226440.0"/>
        <n v="116550.0"/>
        <n v="273060.0"/>
        <n v="381285.0"/>
        <n v="336885.0"/>
        <n v="473970.0"/>
        <n v="843600.0"/>
        <n v="377400.0"/>
        <n v="93765.0"/>
        <n v="66335.0"/>
        <n v="4649400.0"/>
        <n v="2690100.0"/>
        <n v="1793750.0"/>
        <n v="1653696.0"/>
        <n v="1578528.0"/>
        <n v="2117500.0"/>
        <n v="192500.0"/>
        <n v="365312.5"/>
        <n v="144000.0"/>
        <n v="415800.0"/>
        <n v="132300.0"/>
        <n v="138600.0"/>
        <n v="495250.0"/>
        <n v="481250.0"/>
        <n v="3194640.0"/>
        <n v="1575000.0"/>
        <n v="6652800.0"/>
        <n v="516600.0"/>
        <n v="544968.0"/>
        <n v="1837440.0"/>
        <n v="1634904.0"/>
        <n v="1033560.0"/>
        <n v="1827000.0"/>
        <n v="1701000.0"/>
        <n v="1496250.0"/>
        <n v="2142000.0"/>
        <n v="1423800.0"/>
        <n v="1417500.0"/>
        <n v="2192400.0"/>
        <n v="3276000.0"/>
        <n v="3251016.0"/>
        <n v="3819840.0"/>
        <n v="1266360.0"/>
        <n v="1189375.0"/>
        <n v="1370160.0"/>
        <n v="1859750.0"/>
        <n v="3633000.0"/>
        <n v="8071488.0"/>
        <n v="804450.0"/>
        <n v="900000.0"/>
        <n v="680000.0"/>
        <n v="136500.0"/>
        <n v="3921750.0"/>
        <n v="280000.0"/>
        <n v="434700.0"/>
        <n v="2457000.0"/>
        <n v="235980.0"/>
        <n v="142500.0"/>
        <n v="1236096.0"/>
        <n v="324000.0"/>
        <n v="233280.0"/>
        <n v="18360.0"/>
        <n v="27540.0"/>
        <n v="55080.0"/>
        <n v="38250.0"/>
        <n v="699840.0"/>
        <n v="734400.0"/>
        <n v="1710720.0"/>
        <n v="1749600.0"/>
        <n v="583200.0"/>
        <n v="972000.0"/>
        <n v="745200.0"/>
        <n v="913680.0"/>
        <n v="148500.0"/>
        <n v="1026000.0"/>
        <n v="147600.0"/>
        <n v="128100.0"/>
        <n v="182100.0"/>
        <n v="206100.0"/>
        <n v="96000.0"/>
        <n v="99984.0"/>
        <n v="256000.0"/>
        <n v="660000.0"/>
        <n v="145000.0"/>
        <n v="160000.0"/>
        <n v="128000.0"/>
        <n v="192000.0"/>
        <n v="870000.0"/>
        <n v="930000.0"/>
        <n v="1089000.0"/>
        <n v="1800000.0"/>
        <n v="950000.0"/>
        <n v="390000.0"/>
        <n v="30000.0"/>
        <n v="885600.0"/>
        <n v="570000.0"/>
        <n v="1944000.0"/>
        <n v="220000.0"/>
        <n v="330000.0"/>
        <n v="156000.0"/>
        <n v="576000.0"/>
        <n v="180000.0"/>
        <n v="1029600.0"/>
        <n v="24000.0"/>
        <n v="318000.0"/>
        <n v="105000.0"/>
        <n v="1228500.0"/>
        <n v="548100.0"/>
        <n v="28900.0"/>
        <n v="18500.0"/>
        <n v="37000.0"/>
        <n v="92500.0"/>
        <n v="187920.0"/>
        <n v="145800.0"/>
        <n v="170100.0"/>
        <n v="842400.0"/>
        <n v="251100.0"/>
        <n v="185490.0"/>
        <n v="819450.0"/>
        <n v="149040.0"/>
        <n v="2052000.0"/>
        <n v="3456000.0"/>
        <n v="43425.0"/>
        <n v="421200.0"/>
        <n v="333000.0"/>
        <n v="666000.0"/>
        <n v="398520.0"/>
        <n v="1310400.0"/>
        <n v="938700.0"/>
        <n v="3704400.0"/>
        <n v="2982000.0"/>
        <n v="1806000.0"/>
        <n v="245100.0"/>
        <n v="1307200.0"/>
        <n v="928800.0"/>
        <n v="1837500.0"/>
        <n v="1263600.0"/>
        <n v="5418000.0"/>
        <n v="4952500.0"/>
        <n v="1359750.0"/>
        <n v="3528000.0"/>
        <n v="896875.0"/>
        <n v="491400.0"/>
        <n v="4935000.0"/>
        <n v="1323000.0"/>
        <n v="1274000.0"/>
        <n v="1330000.0"/>
        <n v="3885000.0"/>
        <n v="1.701E7"/>
        <n v="1491000.0"/>
        <n v="1890000.0"/>
        <n v="529200.0"/>
        <n v="1238125.0"/>
        <n v="7455000.0"/>
        <n v="2570400.0"/>
        <n v="7056000.0"/>
        <n v="1058400.0"/>
        <n v="1211437.5"/>
        <n v="1677375.0"/>
        <n v="2255040.0"/>
        <n v="1487700.0"/>
        <n v="1440720.0"/>
        <n v="1484568.0"/>
        <n v="7028208.0"/>
        <n v="1362420.0"/>
        <n v="414720.0"/>
        <n v="526500.0"/>
        <n v="798000.0"/>
        <n v="2885400.0"/>
        <n v="4479300.0"/>
        <n v="3843000.0"/>
        <n v="1274700.0"/>
        <n v="99750.0"/>
        <n v="170625.0"/>
        <n v="332500.0"/>
        <n v="869400.0"/>
        <n v="243600.0"/>
        <n v="1540350.0"/>
        <n v="95040.0"/>
        <n v="19170.0"/>
        <n v="1383480.0"/>
        <n v="61000.0"/>
        <n v="212500.0"/>
        <n v="157500.0"/>
        <n v="250000.0"/>
        <n v="340000.0"/>
        <n v="400000.0"/>
        <n v="28500.0"/>
        <n v="451440.0"/>
        <n v="430920.0"/>
        <n v="78660.0"/>
        <n v="160740.0"/>
        <n v="100320.0"/>
        <n v="116280.0"/>
        <n v="41040.0"/>
        <n v="22800.0"/>
        <n v="15105.0"/>
        <n v="80940.0"/>
        <n v="40470.0"/>
        <n v="148200.0"/>
        <n v="219450.0"/>
        <n v="420660.0"/>
        <n v="45900.0"/>
        <n v="33660.0"/>
        <n v="67830.0"/>
        <n v="13515.0"/>
        <n v="30757.0"/>
        <n v="675000.0"/>
        <n v="532000.0"/>
        <n v="165000.0"/>
        <n v="207900.0"/>
        <n v="277200.0"/>
        <n v="264600.0"/>
        <n v="357000.0"/>
        <n v="130200.0"/>
        <n v="30800.0"/>
        <n v="100800.0"/>
        <n v="107100.0"/>
        <n v="98700.0"/>
        <n v="91350.0"/>
        <n v="69562.5"/>
        <n v="1767150.0"/>
        <n v="55650.0"/>
        <n v="301875.0"/>
        <n v="85000.0"/>
        <n v="7500000.0"/>
        <n v="6000000.0"/>
        <n v="3100000.0"/>
        <n v="655560.0"/>
        <n v="469800.0"/>
        <n v="1483920.0"/>
        <n v="2986200.0"/>
        <n v="8835750.0"/>
        <n v="4621050.0"/>
        <n v="1.23228E7"/>
        <n v="1493100.0"/>
        <n v="52785.0"/>
        <n v="286110.0"/>
        <n v="9694080.0"/>
        <n v="3231360.0"/>
        <n v="7905000.0"/>
        <n v="1.029996E7"/>
        <n v="129150.0"/>
        <n v="165375.0"/>
        <n v="141750.0"/>
        <n v="146475.0"/>
        <n v="163800.0"/>
        <n v="665000.0"/>
        <n v="582750.0"/>
        <n v="568750.0"/>
        <n v="112320.0"/>
        <n v="0.0"/>
        <n v="239760.0"/>
        <n v="2066400.0"/>
        <n v="743750.0"/>
        <n v="1470500.0"/>
        <n v="2076000.0"/>
        <n v="2013720.0"/>
        <n v="2947920.0"/>
        <n v="1732500.0"/>
        <n v="2493750.0"/>
        <n v="760320.0"/>
        <n v="721440.0"/>
        <n v="936000.0"/>
        <n v="1386000.0"/>
        <n v="1207500.0"/>
        <n v="320250.0"/>
        <n v="6199200.0"/>
        <n v="752500.0"/>
        <n v="2160000.0"/>
        <n v="3249000.0"/>
        <n v="1995000.0"/>
        <n v="2804400.0"/>
        <n v="58000.0"/>
        <n v="63000.0"/>
        <n v="170000.0"/>
        <n v="55000.0"/>
        <n v="88560.0"/>
        <n v="97200.0"/>
        <n v="367200.0"/>
        <n v="1341360.0"/>
        <n v="267840.0"/>
        <n v="174960.0"/>
        <n v="93960.0"/>
        <n v="103680.0"/>
        <n v="108000.0"/>
        <n v="142560.0"/>
        <n v="71280.0"/>
        <n v="76140.0"/>
        <n v="106920.0"/>
        <n v="198000.0"/>
        <n v="345690.0"/>
        <n v="71820.0"/>
        <n v="652050.0"/>
        <n v="302400.0"/>
        <n v="1281000.0"/>
        <n v="3124800.0"/>
        <n v="4104000.0"/>
        <n v="2509200.0"/>
        <n v="1391250.0"/>
        <n v="1354500.0"/>
        <n v="201960.0"/>
        <n v="898559.9999999999"/>
        <n v="1260540.0"/>
        <n v="1785000.0"/>
        <n v="9753048.0"/>
        <n v="3662064.0"/>
        <n v="3598560.0"/>
        <n v="1.71666E7"/>
        <n v="774000.0"/>
        <n v="1186800.0"/>
        <n v="3591360.0"/>
        <n v="1424160.0"/>
        <n v="1568640.0"/>
        <n v="1115100.0"/>
        <n v="6765120.0"/>
        <n v="139125.0"/>
        <n v="35000.0"/>
        <n v="20000.0"/>
        <n v="40000.0"/>
        <n v="40500.0"/>
        <n v="81000.0"/>
        <n v="37500.0"/>
        <n v="75000.0"/>
        <n v="125000.0"/>
        <n v="95000.0"/>
        <n v="115000.0"/>
        <n v="4989600.0"/>
        <n v="1238400.0"/>
        <n v="831600.0"/>
        <n v="222600.0"/>
        <n v="65100.0"/>
        <n v="289800.0"/>
        <n v="428750.0"/>
        <n v="21000.0"/>
        <n v="391500.0"/>
        <n v="531360.0"/>
        <n v="388500.0"/>
        <n v="127440.0"/>
        <n v="25500.0"/>
        <n v="28345.5"/>
        <n v="27200.0"/>
        <n v="1500000.0"/>
        <n v="1.68156E7"/>
        <n v="74520.0"/>
        <n v="70470.0"/>
        <n v="175500.0"/>
        <n v="1560000.0"/>
        <n v="1550000.0"/>
        <n v="3000000.0"/>
        <n v="875000.0"/>
        <n v="750000.0"/>
        <n v="336960.0"/>
        <n v="670680.0"/>
        <n v="133920.0"/>
        <n v="1108800.0"/>
        <n v="714000.0"/>
        <n v="409062.5"/>
        <n v="120750.0"/>
        <n v="86100.0"/>
        <n v="50400.0"/>
        <n v="436800.0"/>
        <n v="598500.0"/>
        <n v="693000.0"/>
        <n v="7824600.0"/>
        <n v="114000.0"/>
        <n v="112500.0"/>
        <n v="5443200.0"/>
        <n v="704025.0"/>
        <n v="469350.0"/>
        <n v="57750.0"/>
        <n v="409500.0"/>
        <n v="437500.0"/>
        <n v="262500.0"/>
        <n v="1345050.0"/>
        <n v="5985000.0"/>
        <n v="80000.0"/>
        <n v="32500.0"/>
        <n v="62500.0"/>
        <n v="2203200.0"/>
        <n v="1260000.0"/>
        <n v="726250.0"/>
        <n v="2656800.0"/>
        <n v="2494800.0"/>
        <n v="1442700.0"/>
        <n v="495000.0"/>
        <n v="375000.0"/>
        <n v="14662.5"/>
        <n v="56100.0"/>
        <n v="255000.0"/>
        <n v="1360800.0"/>
        <n v="166250.0"/>
        <n v="577500.0"/>
        <n v="1440000.0"/>
        <n v="1584000.0"/>
        <n v="3168000.0"/>
        <n v="3437856.0"/>
        <n v="735250.0"/>
        <n v="1339020.0"/>
        <n v="1708992.0"/>
        <n v="2992500.0"/>
        <n v="3304800.0"/>
        <n v="1331100.0"/>
        <n v="5287680.0"/>
        <n v="3378240.0"/>
        <n v="1224000.0"/>
        <n v="370500.0"/>
        <n v="1596000.0"/>
        <n v="974400.0"/>
        <n v="573480.0"/>
        <n v="481140.0"/>
        <n v="678125.0"/>
        <n v="281880.0"/>
        <n v="3269808.0"/>
        <n v="4384800.0"/>
        <n v="5481000.0"/>
        <n v="540000.0"/>
        <n v="527250.0"/>
        <n v="771450.0"/>
        <n v="810000.0"/>
        <n v="793800.0"/>
        <n v="162000.0"/>
        <n v="343440.0"/>
        <n v="93100.0"/>
        <n v="1350000.0"/>
        <n v="1641600.0"/>
        <n v="1607760.0"/>
        <n v="1400000.0"/>
        <n v="1.325E7"/>
        <n v="1325000.0"/>
        <n v="3382560.0"/>
        <n v="140400.0"/>
        <n v="139500.0"/>
        <n v="3369600.0"/>
        <n v="2682720.0"/>
        <n v="2138400.0"/>
        <n v="1879200.0"/>
        <n v="1539000.0"/>
        <n v="1490400.0"/>
        <n v="5132160.0"/>
        <n v="3654720.0"/>
        <n v="1827360.0"/>
        <n v="760000.0"/>
        <n v="3175200.0"/>
        <n v="2116800.0"/>
        <n v="5156784.0"/>
        <n v="2541024.0"/>
        <n v="93000.0"/>
        <n v="850000.0"/>
        <n v="1100000.0"/>
        <n v="216000.0"/>
        <n v="42900.0"/>
        <n v="266666.6666666667"/>
        <n v="45000.0"/>
        <n v="95400.0"/>
        <n v="86400.0"/>
        <n v="142800.0"/>
        <n v="918750.0"/>
        <n v="2640000.0"/>
        <n v="984960.0"/>
        <n v="204120.0"/>
        <n v="784080.0"/>
        <n v="2467500.0"/>
        <n v="2449680.0"/>
        <n v="1814400.0"/>
        <n v="718200.0"/>
        <n v="502200.0"/>
        <n v="356400.0"/>
        <n v="1166400.0"/>
        <n v="1117800.0"/>
        <n v="507600.0"/>
        <n v="1837080.0"/>
        <n v="3499200.0"/>
        <n v="896700.0"/>
        <n v="318675.0"/>
        <n v="1472362.5"/>
        <n v="9317700.0"/>
        <n v="3102750.0"/>
        <n v="6750000.0"/>
        <n v="990000.0"/>
        <n v="89640.0"/>
        <n v="916674.0"/>
        <n v="364200.0"/>
        <n v="139200.0"/>
        <n v="256200.0"/>
        <n v="76800.0"/>
        <n v="36000.0"/>
        <n v="1836000.0"/>
        <n v="55890.0"/>
        <n v="42930.0"/>
        <n v="1062720.0"/>
        <n v="430000.0"/>
        <n v="670800.0"/>
        <n v="1589280.0"/>
        <n v="425000.0"/>
        <n v="131250.0"/>
        <n v="236250.0"/>
        <n v="144900.0"/>
        <n v="2205000.0"/>
        <n v="286200.0"/>
        <n v="1817640.0"/>
        <n v="3473712.0"/>
        <n v="252840.0"/>
        <n v="65360.0"/>
        <n v="860000.0"/>
        <n v="780000.0"/>
        <n v="2626500.0"/>
        <n v="3433320.0"/>
        <n v="20520.0"/>
        <n v="13680.0"/>
        <n v="84218.75"/>
        <n v="3534300.0"/>
        <n v="1738800.0"/>
        <n v="771750.0"/>
        <n v="2945000.0"/>
        <n v="223560.0"/>
        <n v="712800.0"/>
        <n v="280800.0"/>
        <n v="143640.0"/>
        <n v="178200.0"/>
        <n v="2562000.0"/>
        <n v="6577200.0"/>
        <n v="2362500.0"/>
        <n v="1186500.0"/>
        <n v="3003000.0"/>
        <n v="5380200.0"/>
        <n v="2549400.0"/>
        <n v="3099600.0"/>
        <n v="2280000.0"/>
        <n v="420000.0"/>
        <n v="738000.0"/>
        <n v="855000.0"/>
        <n v="366000.0"/>
        <n v="2900000.0"/>
        <n v="432000.0"/>
        <n v="107500.0"/>
        <n v="4284000.0"/>
        <n v="591600.0"/>
        <n v="111600.0"/>
        <n v="336000.0"/>
        <n v="720000.0"/>
        <n v="504000.0"/>
        <n v="556500.0"/>
        <n v="861000.0"/>
        <n v="291600.0"/>
        <n v="191160.0"/>
        <n v="1601250.0"/>
        <n v="1902600.0"/>
        <n v="1877400.0"/>
        <n v="2412000.0"/>
        <n v="5206950.0"/>
        <n v="3032400.0"/>
        <n v="1233750.0"/>
        <n v="340200.0"/>
        <n v="275000.0"/>
        <n v="840000.0"/>
        <n v="445500.0"/>
        <n v="326700.0"/>
        <n v="418500.0"/>
        <n v="62100.0"/>
        <n v="419580.0"/>
        <n v="1209600.0"/>
        <n v="8208000.0"/>
        <m/>
      </sharedItems>
    </cacheField>
    <cacheField name="CONCAT HARGA" numFmtId="164">
      <sharedItems containsBlank="1">
        <s v="Rp75,000-6 BOX-0.00%"/>
        <s v="Rp147,600-2 LSN-10.00%"/>
        <s v="Rp11,000-12 PCS-0.00%"/>
        <s v="Rp12,300-144 PCS-12.50%"/>
        <s v="Rp39,000-144 LSN-12.50%"/>
        <s v="Rp57,600-12 LSN-12.50%"/>
        <s v="Rp11,900-1440 PCS-15.00%"/>
        <s v="Rp23,000-720 PCS-15.00%"/>
        <s v="Rp11,900-720 PCS-12.50%"/>
        <s v="Rp23,000-360 PCS-12.50%"/>
        <s v="Rp11,900-144 PCS-12.50%"/>
        <s v="Rp23,000-216 PCS-12.50%"/>
        <s v="Rp41,500-36 PCS-12.50%"/>
        <s v="Rp286,800-12 LSN-12.50%"/>
        <s v="Rp223,200-12 LSN-12.50%"/>
        <s v="Rp93,000-20 LSN-12.50%"/>
        <s v="Rp55,800-36 LSN-12.50%"/>
        <s v="Rp147,600-20 LSN-12.50%"/>
        <s v="Rp64,800-60 LSN-12.50%"/>
        <s v="Rp124,200-24 LSN-12.50%"/>
        <s v="Rp79,200-48 LSN-12.50%"/>
        <s v="Rp26,100-144 LSN-12.50%"/>
        <s v="Rp23,000-72 PCS-12.50%"/>
        <s v="Rp66,900-24 PCS-12.50%"/>
        <s v="Rp11,900-288 PCS-12.50%"/>
        <s v="Rp57,750-2 BOX-0.00%"/>
        <s v="Rp10,000-20 PCS-0.00%"/>
        <s v="Rp19,000-20 PCS-0.00%"/>
        <s v="Rp21,000-4 PAK-0.00%"/>
        <s v="Rp12,500-12 PCS-0.00%"/>
        <s v="Rp16,667-12 PCS-0.00%"/>
        <s v="Rp270,000-0.5 GRS-0.00%"/>
        <s v="Rp39,600-144 LSN-13.00%"/>
        <s v="Rp21,600-144 LSN-13.00%"/>
        <s v="Rp7,800-24 SET-10.00%"/>
        <s v="Rp42,000-3 LSN-0.00%"/>
        <s v="Rp117,600-2 LSN-10.00%"/>
        <s v="Rp25,200-5 LSN-10.00%"/>
        <s v="Rp27,000-3 LSN-10.00%"/>
        <s v="Rp33,000-1 LSN-10.00%"/>
        <s v="Rp11,900-36 PCS-10.00%"/>
        <s v="Rp79,200-6 LSN-10.00%"/>
        <s v="Rp124,200-5 LSN-10.00%"/>
        <s v="Rp39,000-3 LSN-10.00%"/>
        <s v="Rp17,500-3 SET-0.00%"/>
        <s v="Rp112,800-1 GRS-10.00%"/>
        <s v="Rp13,250-500 PAK-0.00%"/>
        <s v="Rp295,800-12 LSN-13.00%"/>
        <s v="Rp229,800-12 LSN-13.00%"/>
        <s v="Rp42,700-36 PCS-13.00%"/>
        <s v="Rp68,700-24 PCS-13.00%"/>
        <s v="Rp12,300-288 PCS-13.00%"/>
        <s v="Rp54,300-72 LSN-12.50%"/>
        <s v="Rp26,100-24 LSN-10.00%"/>
        <s v="Rp66,000-10 BOX-10.00%"/>
        <s v="Rp45,000-10 PCS-10.00%"/>
        <s v="Rp21,200-24 PCS-10.00%"/>
        <s v="Rp124,200-1 LSN-10.00%"/>
        <s v="Rp10,200-12 PCS-10.00%"/>
        <s v="Rp248,400-2 LSN-10.00%"/>
        <s v="Rp93,000-2 LSN-7.50%"/>
        <s v="Rp69,600-1 LSN-7.50%"/>
        <s v="Rp19,000-12 PCS-7.50%"/>
        <s v="Rp147,600-1 LSN-7.50%"/>
        <s v="Rp64,800-6 LSN-7.50%"/>
        <s v="Rp45,000-6 PCS-7.50%"/>
        <s v="Rp59,400-18 LSN-12.50%"/>
        <s v="Rp49,200-30 BOX-12.50%"/>
        <s v="Rp118,800-10 LSN-12.50%"/>
        <s v="Rp54,300-36 LSN-12.50%"/>
        <s v="Rp57,000-6 LSN-12.50%"/>
        <s v="Rp52,200-15 LSN-12.50%"/>
        <s v="Rp44,000-12 PCS-12.50%"/>
        <s v="Rp74,000-12 PCS-12.50%"/>
        <s v="Rp9,500-72 PCS-0.00%"/>
        <s v="Rp11,000-36 PCS-0.00%"/>
        <s v="Rp19,000-10 PAK-0.00%"/>
        <s v="Rp37,500-5 PAK-0.00%"/>
        <s v="Rp40,500-80 PCS-12.50%"/>
        <s v="Rp34,000-48 PCS-12.50%"/>
        <s v="Rp110,400-20 GRS-10.00%"/>
        <s v="Rp32,400-120 LSN-12.50%"/>
        <s v="Rp248,400-24 LSN-12.50%"/>
        <s v="Rp30,000-100 BOX-12.50%"/>
        <s v="Rp57,000-144 LSN-12.50%"/>
        <s v="Rp70,000-60 LSN-10.00%"/>
        <s v="Rp49,200-120 LSN-10.00%"/>
        <s v="Rp61,000-30 LSN-10.00%"/>
        <s v="Rp155,000-12 PCS-12.50%"/>
        <s v="Rp15,500-24 PCS-12.50%"/>
        <s v="Rp19,000-24 PCS-12.50%"/>
        <s v="Rp11,100-24 PCS-12.50%"/>
        <s v="Rp12,300-24 PCS-12.50%"/>
        <s v="Rp16,500-24 PCS-12.50%"/>
        <s v="Rp24,300-24 PCS-12.50%"/>
        <s v="Rp17,200-24 PCS-12.50%"/>
        <s v="Rp57,000-36 LSN-12.50%"/>
        <s v="Rp99,600-2 LSN-10.00%"/>
        <s v="Rp19,000-20 PCS-10.00%"/>
        <s v="Rp45,000-12 PCS-10.00%"/>
        <s v="Rp39,000-60 LSN-10.00%"/>
        <s v="Rp21,600-144 LSN-12.50%"/>
        <s v="Rp38,000-120 PCS-12.50%"/>
        <s v="Rp40,500-20 PCS-12.50%"/>
        <s v="Rp40,000-240 PCS-12.50%"/>
        <s v="Rp27,000-72 PCS-14.00%"/>
        <s v="Rp34,000-48 PCS-14.00%"/>
        <s v="Rp47,500-36 PCS-14.00%"/>
        <s v="Rp34,100-5 BOX-10.00%"/>
        <s v="Rp58,000-10 PCS-10.00%"/>
        <s v="Rp44,000-20 PCS-10.00%"/>
        <s v="Rp54,300-36 LSN-13.00%"/>
        <s v="Rp99,600-3 LSN-13.00%"/>
        <s v="Rp72,000-13 BOX-12.50%"/>
        <s v="Rp60,000-10 BOX-12.50%"/>
        <s v="Rp20,000-18 LSN-0.00%"/>
        <s v="Rp70,000-20 LSN-12.50%"/>
        <s v="Rp10,417-192 PCS-0.00%"/>
        <s v="Rp45,000-6 PCS-10.00%"/>
        <s v="Rp95,000-6 PCS-10.00%"/>
        <s v="Rp21,000-20 PAK-10.00%"/>
        <s v="Rp27,000-20 PAK-10.00%"/>
        <s v="Rp39,600-12 LSN-10.00%"/>
        <s v="Rp22,000-12 LSN-0.00%"/>
        <s v="Rp75,000-3 LSN-0.00%"/>
        <s v="Rp81,000-3 LSN-0.00%"/>
        <s v="Rp100,000-3 LSN-0.00%"/>
        <s v="Rp132,500-2 LSN-0.00%"/>
        <s v="Rp49,200-40 LSN-12.50%"/>
        <s v="Rp10,200-144 PCS-12.50%"/>
        <s v="Rp104,400-30 GRS-12.50%"/>
        <s v="Rp64,800-300 LSN-15.00%"/>
        <s v="Rp177,000-15 GRS-12.50%"/>
        <s v="Rp29,600-192 PCS-12.50%"/>
        <s v="Rp25,200-120 LSN-12.50%"/>
        <s v="Rp58,200-4 LSN-10.00%"/>
        <s v="Rp8,400-36 PCS-10.00%"/>
        <s v="Rp13,200-24 LSN-10.00%"/>
        <s v="Rp93,000-4 LSN-10.00%"/>
        <s v="Rp49,200-4 LSN-10.00%"/>
        <s v="Rp25,200-12 LSN-10.00%"/>
        <s v="Rp39,600-24 LSN-10.00%"/>
        <s v="Rp248,400-1 LSN-14.00%"/>
        <s v="Rp19,250-24 PCS-12.50%"/>
        <s v="Rp70,800-25 LSN-12.50%"/>
        <s v="Rp27,000-36 LSN-10.00%"/>
        <s v="Rp10,500-24 LSN-0.00%"/>
        <s v="Rp70,000-10 LSN-10.00%"/>
        <s v="Rp13,000-5 PAK-0.00%"/>
        <s v="Rp147,600-1 LSN-15.00%"/>
        <s v="Rp11,900-144 PCS-14.00%"/>
        <s v="Rp66,900-24 PCS-14.00%"/>
        <s v="Rp23,000-69 PCS-14.00%"/>
        <s v="Rp52,200-9 LSN-14.00%"/>
        <s v="Rp7,500-12 LSN-0.00%"/>
        <s v="Rp84,000-2 LSN-14.00%"/>
        <s v="Rp67,000-10 PCS-14.00%"/>
        <s v="Rp121,000-3 BOX-15.00%"/>
        <s v="Rp225,000-1 GRS-0.00%"/>
        <s v="Rp286,800-3 LSN-14.00%"/>
        <s v="Rp10,000-50 PCS-0.00%"/>
        <s v="Rp110,000-1 LSN-0.00%"/>
        <s v="Rp13,250-800 PAK-0.00%"/>
        <s v="Rp26,000-12 LSN-0.00%"/>
        <s v="Rp10,250-144 PCS-0.00%"/>
        <s v="Rp19,200-144 LSN-12.50%"/>
        <s v="Rp12,000-144 LSN-12.50%"/>
        <s v="Rp129,600-3 BOX-10.00%"/>
        <s v="Rp10,500-72 LSN-12.50%"/>
        <s v="Rp66,000-36 BOX-12.50%"/>
        <s v="Rp180,000-5 GRS-12.50%"/>
        <s v="Rp120,000-10 GRS-12.50%"/>
        <s v="Rp28,500-48 LSN-0.00%"/>
        <s v="Rp12,500-36 PCS-0.00%"/>
        <s v="Rp27,000-10 PAK-10.00%"/>
        <s v="Rp10,500-20 PCS-0.00%"/>
        <s v="Rp25,200-36 LSN-10.00%"/>
        <s v="Rp39,600-36 LSN-10.00%"/>
        <s v="Rp26,400-36 LSN-10.00%"/>
        <s v="Rp19,200-36 LSN-10.00%"/>
        <s v="Rp34,000-12 LSN-0.00%"/>
        <s v="Rp100,000-1 LSN-0.00%"/>
        <s v="Rp120,000-2 LSN-0.00%"/>
        <s v="Rp175,000-1 LSN-0.00%"/>
        <s v="Rp105,000-3 BOX-0.00%"/>
        <s v="Rp24,000-2 LSN-0.00%"/>
        <s v="Rp35,000-2 SET-0.00%"/>
        <s v="Rp37,000-2 LSN-0.00%"/>
        <s v="Rp100,000-2 LSN-"/>
        <s v="Rp40,000-12 LSN-"/>
        <s v="Rp175,000-2 LSN-"/>
        <s v="Rp150,000-2 LSN-"/>
        <s v="Rp135,000-2 LSN-0.00%"/>
        <s v="Rp4,000-25 PCS-0.00%"/>
        <s v="Rp6,000-25 PCS-0.00%"/>
        <s v="Rp12,000-10 PCS-"/>
        <s v="Rp24,000-10 PCS-"/>
        <s v="Rp50,000-1 LSN-"/>
        <s v="Rp72,000-1 LSN-"/>
        <s v="Rp100,000-1 LSN-"/>
        <s v="Rp120,000-2 LSN-"/>
        <s v="Rp22,000-4 PAK-"/>
        <s v="Rp60,000-5 BOX-10.00%"/>
        <s v="Rp240,000-3 SET-10.00%"/>
        <s v="Rp50,000-2 LSN-10.00%"/>
        <s v="Rp72,000-2 LSN-10.00%"/>
        <s v="Rp100,000-2 LSN-10.00%"/>
        <s v="Rp120,000-3 LSN-10.00%"/>
        <s v="Rp70,000-6 LSN-10.00%"/>
        <s v="Rp72,000-36 BOX-14.00%"/>
        <s v="Rp30,000-288 LSN-12.50%"/>
        <s v="Rp54,000-48 LSN-12.50%"/>
        <s v="Rp104,400-30 GRS-10.00%"/>
        <s v="Rp104,400-210 GRS-12.50%"/>
        <s v="Rp10,200-1584 PCS-12.50%"/>
        <s v="Rp49,200-120 LSN-12.50%"/>
        <s v="Rp177,000-5 GRS-12.50%"/>
        <s v="Rp25,200-10 LSN-10.00%"/>
        <s v="Rp13,250-500 PAK-"/>
        <s v="Rp25,500-150 PAK-"/>
        <s v="Rp13,500-200 PAK-"/>
        <s v="Rp40,000-20 PCS-12.50%"/>
        <s v="Rp12,600-36 LSN-12.50%"/>
        <s v="Rp282,000-1 LSN-12.50%"/>
        <s v="Rp57,000-4 LSN-10.00%"/>
        <s v="Rp30,000-24 LSN-10.00%"/>
        <s v="Rp19,000-24 PCS-10.00%"/>
        <s v="Rp255,600-0.416666666666667 GRS-10.00%"/>
        <s v="Rp105,000-3 LSN-0.00%"/>
        <s v="Rp126,000-3 LSN-0.00%"/>
        <s v="Rp11,000-24 LSN-0.00%"/>
        <s v="Rp13,333-22 PCS-0.00%"/>
        <s v="Rp13,333-36 PCS-0.00%"/>
        <s v="Rp12,083-36 PCS-0.00%"/>
        <s v="Rp3,500-40 SET-0.00%"/>
        <s v="Rp3,500-40 SET-"/>
        <s v="Rp104,400-4 GRS-12.50%"/>
        <s v="Rp21,000-6 LSN-"/>
        <s v="Rp39,600-12 LSN-7.50%"/>
        <s v="Rp104,400-1 GRS-7.50%"/>
        <s v="Rp16,800-12 PCS-7.50%"/>
        <s v="Rp8,400-12 PCS-7.50%"/>
        <s v="Rp120,000-2 GRS-7.50%"/>
        <s v="Rp105,600-2 GRS-7.50%"/>
        <s v="Rp112,800-2 GRS-7.50%"/>
        <s v="Rp115,200-2 GRS-7.50%"/>
        <s v="Rp122,400-2 GRS-7.50%"/>
        <s v="Rp25,200-5 LSN-7.50%"/>
        <s v="Rp98,400-3 PCS-7.50%"/>
        <s v="Rp68,700-6 PCS-7.50%"/>
        <s v="Rp60,700-6 PCS-7.50%"/>
        <s v="Rp42,700-12 PCS-7.50%"/>
        <s v="Rp12,300-12 PCS-7.50%"/>
        <s v="Rp456,000-2 BOX-7.50%"/>
        <s v="Rp204,000-2 LSN-7.50%"/>
        <s v="Rp56,400-2 LSN-12.50%"/>
        <s v="Rp79,800-1 LSN-12.50%"/>
        <s v="Rp12,300-432 PCS-12.50%"/>
        <s v="Rp42,700-72 PCS-12.50%"/>
        <s v="Rp20,500-100 PAK-12.50%"/>
        <s v="Rp13,200-144 LSN-13.00%"/>
        <s v="Rp12,600-144 LSN-13.00%"/>
        <s v="Rp121,000-20 BOX-12.50%"/>
        <s v="Rp4,400-50 PCS-12.50%"/>
        <s v="Rp8,350-50 PCS-12.50%"/>
        <s v="Rp24,000-6 LSN-0.00%"/>
        <s v="Rp21,000-6 LSN-0.00%"/>
        <s v="Rp39,600-12 LSN-12.50%"/>
        <s v="Rp15,000-24 LSN-12.50%"/>
        <s v="Rp12,600-12 LSN-12.50%"/>
        <s v="Rp13,200-12 LSN-12.50%"/>
        <s v="Rp147,600-12 LSN-12.50%"/>
        <s v="Rp28,300-20 BOX-12.50%"/>
        <s v="Rp27,500-20 BOX-12.50%"/>
        <s v="Rp26,100-144 LSN-15.00%"/>
        <s v="Rp60,000-30 LSN-12.50%"/>
        <s v="Rp26,400-288 LSN-12.50%"/>
        <s v="Rp12,300-48 PCS-12.50%"/>
        <s v="Rp52,200-12 LSN-13.00%"/>
        <s v="Rp8,800-240 SET-13.00%"/>
        <s v="Rp26,100-72 LSN-13.00%"/>
        <s v="Rp54,000-22 LSN-13.00%"/>
        <s v="Rp14,500-144 PCS-12.50%"/>
        <s v="Rp27,000-72 PCS-12.50%"/>
        <s v="Rp47,500-36 PCS-12.50%"/>
        <s v="Rp37,200-72 BOX-12.50%"/>
        <s v="Rp102,000-24 LSN-12.50%"/>
        <s v="Rp135,600-12 LSN-12.50%"/>
        <s v="Rp135,000-12 LSN-12.50%"/>
        <s v="Rp52,200-48 LSN-12.50%"/>
        <s v="Rp78,000-48 LSN-12.50%"/>
        <s v="Rp117,000-48 LSN-12.50%"/>
        <s v="Rp26,100-144 LSN-13.50%"/>
        <s v="Rp110,400-40 GRS-13.50%"/>
        <s v="Rp3,050-480 PCS-13.50%"/>
        <s v="Rp27,500-50 BOX-13.50%"/>
        <s v="Rp33,000-48 LSN-13.50%"/>
        <s v="Rp4,300-500 PAK-13.50%"/>
        <s v="Rp42,000-100 PAK-13.50%"/>
        <s v="Rp21,600-432 LSN-13.50%"/>
        <s v="Rp155,000-6 PCS-13.50%"/>
        <s v="Rp75,000-12 BOX-0.00%"/>
        <s v="Rp340,000-2 BOX-0.00%"/>
        <s v="Rp156,000-1 LSN-12.50%"/>
        <s v="Rp41,500-108 PCS-12.50%"/>
        <s v="Rp70,000-4 PAK-0.00%"/>
        <s v="Rp248,400-2 LSN-12.50%"/>
        <s v="Rp39,000-72 LSN-12.50%"/>
        <s v="Rp41,400-6 LSN-5.00%"/>
        <s v="Rp30,000-5 BOX-5.00%"/>
        <s v="Rp29,600-48 PCS-13.00%"/>
        <s v="Rp180,000-2 LSN-10.00%"/>
        <s v="Rp21,600-12 LSN-10.00%"/>
        <s v="Rp21,600-1 LSN-15.00%"/>
        <s v="Rp32,400-1 LSN-15.00%"/>
        <s v="Rp64,800-1 LSN-15.00%"/>
        <s v="Rp8,500-5 PCS-10.00%"/>
        <s v="Rp21,600-36 LSN-10.00%"/>
        <s v="Rp40,800-20 LSN-10.00%"/>
        <s v="Rp26,400-72 LSN-10.00%"/>
        <s v="Rp27,000-72 LSN-10.00%"/>
        <s v="Rp27,000-24 LSN-10.00%"/>
        <s v="Rp36,000-30 LSN-10.00%"/>
        <s v="Rp27,600-30 LSN-10.00%"/>
        <s v="Rp13,200-72 LSN-10.00%"/>
        <s v="Rp14,100-72 LSN-10.00%"/>
        <s v="Rp12,600-72 LSN-10.00%"/>
        <s v="Rp15,000-11 SET-10.00%"/>
        <s v="Rp28,500-36 LSN-0.00%"/>
        <s v="Rp12,300-12 PCS-0.00%"/>
        <s v="Rp42,700-3 PCS-0.00%"/>
        <s v="Rp60,700-3 PCS-0.00%"/>
        <s v="Rp68,700-3 PCS-0.00%"/>
        <s v="Rp24,000-4 LSN-0.00%"/>
        <s v="Rp24,996-4 LSN-0.00%"/>
        <s v="Rp10,667-24 PCS-0.00%"/>
        <s v="Rp55,000-12 LSN-0.00%"/>
        <s v="Rp12,083-12 PCS-0.00%"/>
        <s v="Rp13,333-12 PCS-0.00%"/>
        <s v="Rp10,667-12 PCS-0.00%"/>
        <s v="Rp17,500-12 PCS-0.00%"/>
        <s v="Rp96,000-2 LSN-0.00%"/>
        <s v="Rp72,500-12 LSN-0.00%"/>
        <s v="Rp77,500-12 LSN-0.00%"/>
        <s v="Rp121,000-9 LSN-0.00%"/>
        <s v="Rp25,000-72 LSN-0.00%"/>
        <s v="Rp19,000-50 PCS-0.00%"/>
        <s v="Rp32,500-12 LSN-0.00%"/>
        <s v="Rp30,000-1 LSN-0.00%"/>
        <s v="Rp147,600-6 LSN-0.00%"/>
        <s v="Rp45,000-6 PCS-0.00%"/>
        <s v="Rp95,000-6 PCS-0.00%"/>
        <s v="Rp64,800-30 LSN-0.00%"/>
        <s v="Rp110,000-2 LSN-0.00%"/>
        <s v="Rp66,000-5 BOX-0.00%"/>
        <s v="Rp156,000-1 LSN-0.00%"/>
        <s v="Rp126,000-1 LSN-0.00%"/>
        <s v="Rp57,600-10 LSN-0.00%"/>
        <s v="Rp360,000-1 PCS-0.00%"/>
        <s v="Rp180,000-1 GRS-0.00%"/>
        <s v="Rp42,900-24 BOX-0.00%"/>
        <s v="Rp24,000-1 PAK-0.00%"/>
        <s v="Rp24,000-2 PAK-0.00%"/>
        <s v="Rp26,500-12 LSN-0.00%"/>
        <s v="Rp35,000-3 LSN-0.00%"/>
        <s v="Rp65,000-1 LSN-0.00%"/>
        <s v="Rp150,000-1 LSN-0.00%"/>
        <s v="Rp80,000-3 PAK-0.00%"/>
        <s v="Rp117,000-12 LSN-12.50%"/>
        <s v="Rp52,200-12 LSN-12.50%"/>
        <s v="Rp17,000-2 BOX-15.00%"/>
        <s v="Rp18,500-1 PAK-0.00%"/>
        <s v="Rp18,500-2 PAK-0.00%"/>
        <s v="Rp18,500-5 PAK-0.00%"/>
        <s v="Rp69,600-3 LSN-10.00%"/>
        <s v="Rp54,000-3 LSN-10.00%"/>
        <s v="Rp63,000-3 LSN-10.00%"/>
        <s v="Rp39,000-24 LSN-10.00%"/>
        <s v="Rp93,000-3 LSN-10.00%"/>
        <s v="Rp55,000-3 PCS-10.00%"/>
        <s v="Rp75,000-4 BOX-0.00%"/>
        <s v="Rp68,700-3 PCS-10.00%"/>
        <s v="Rp60,700-15 PCS-10.00%"/>
        <s v="Rp165,600-1 LSN-10.00%"/>
        <s v="Rp10,000-240 PCS-10.00%"/>
        <s v="Rp24,000-144 LSN-0.00%"/>
        <s v="Rp115,800-0.416666666666667 GRS-10.00%"/>
        <s v="Rp39,000-12 LSN-10.00%"/>
        <s v="Rp18,500-20 BOX-10.00%"/>
        <s v="Rp44,000-10 PCS-10.00%"/>
        <s v="Rp74,000-10 PCS-10.00%"/>
        <s v="Rp147,600-3 LSN-10.00%"/>
        <s v="Rp31,200-48 LSN-12.50%"/>
        <s v="Rp14,900-72 PCS-12.50%"/>
        <s v="Rp58,800-72 BOX-12.50%"/>
        <s v="Rp85,200-40 LSN-12.50%"/>
        <s v="Rp21,000-100 PAK-14.00%"/>
        <s v="Rp57,000-5 LSN-14.00%"/>
        <s v="Rp38,000-40 PCS-14.00%"/>
        <s v="Rp54,000-20 PCS-14.00%"/>
        <s v="Rp21,000-100 PAK-12.50%"/>
        <s v="Rp39,000-36 LSN-10.00%"/>
        <s v="Rp51,600-120 LSN-12.50%"/>
        <s v="Rp28,300-200 BOX-12.50%"/>
        <s v="Rp155,400-10 LSN-12.50%"/>
        <s v="Rp168,000-24 LSN-12.50%"/>
        <s v="Rp20,500-50 PCS-12.50%"/>
        <s v="Rp23,400-24 PCS-12.50%"/>
        <s v="Rp47,000-120 PCS-12.50%"/>
        <s v="Rp56,000-27 PCS-12.50%"/>
        <s v="Rp56,000-26 PCS-12.50%"/>
        <s v="Rp38,000-40 PCS-12.50%"/>
        <s v="Rp74,000-60 PCS-12.50%"/>
        <s v="Rp64,800-300 LSN-12.50%"/>
        <s v="Rp85,200-20 LSN-12.50%"/>
        <s v="Rp216,000-10 LSN-12.50%"/>
        <s v="Rp20,400-72 PCS-12.50%"/>
        <s v="Rp25,200-24 LSN-12.50%"/>
        <s v="Rp28,300-50 BOX-12.50%"/>
        <s v="Rp198,000-12 GRS-12.50%"/>
        <s v="Rp85,200-100 LSN-12.50%"/>
        <s v="Rp20,400-144 PCS-12.50%"/>
        <s v="Rp54,000-60 PCS-12.50%"/>
        <s v="Rp168,000-48 LSN-12.50%"/>
        <s v="Rp25,200-48 LSN-12.50%"/>
        <s v="Rp255,600-5.41666666666667 GRS-12.50%"/>
        <s v="Rp255,600-7.5 GRS-12.50%"/>
        <s v="Rp54,000-48 LSN-13.00%"/>
        <s v="Rp47,500-36 PCS-13.00%"/>
        <s v="Rp414,000-4 BOX-13.00%"/>
        <s v="Rp23,700-72 PCS-13.00%"/>
        <s v="Rp56,100-144 LSN-13.00%"/>
        <s v="Rp52,200-30 LSN-13.00%"/>
        <s v="Rp153,600-3 LSN-10.00%"/>
        <s v="Rp195,000-3 LSN-10.00%"/>
        <s v="Rp5,700-160 PCS-12.50%"/>
        <s v="Rp68,700-48 PCS-12.50%"/>
        <s v="Rp23,700-216 PCS-12.50%"/>
        <s v="Rp30,500-144 PCS-12.50%"/>
        <s v="Rp60,700-24 PCS-12.50%"/>
        <s v="Rp19,000-6 PCS-12.50%"/>
        <s v="Rp195,000-1 LSN-12.50%"/>
        <s v="Rp7,600-50 PAK-12.50%"/>
        <s v="Rp6,900-144 LSN-12.50%"/>
        <s v="Rp26,400-144 LSN-12.50%"/>
        <s v="Rp11,600-24 PCS-12.50%"/>
        <s v="Rp9,500-12 PCS-12.50%"/>
        <s v="Rp48,900-36 LSN-12.50%"/>
        <s v="Rp105,600-1 GRS-10.00%"/>
        <s v="Rp122,400-1 GRS-10.00%"/>
        <s v="Rp255,600-0.0833333333333333 GRS-10.00%"/>
        <s v="Rp42,700-36 PCS-10.00%"/>
        <s v="Rp30,000-9 LSN-0.00%"/>
        <s v="Rp61,000-1 BOX-0.00%"/>
        <s v="Rp1,750-40 SET-0.00%"/>
        <s v="Rp3,500-50 PCS-0.00%"/>
        <s v="Rp4,250-50 PCS-0.00%"/>
        <s v="Rp52,500-3 LSN-0.00%"/>
        <s v="Rp10,000-25 PCS-0.00%"/>
        <s v="Rp19,000-10 PCS-0.00%"/>
        <s v="Rp85,000-4 BOX-0.00%"/>
        <s v="Rp80,000-5 PAK-0.00%"/>
        <s v="Rp6,000-36 LSN-5.00%"/>
        <s v="Rp6,000-5 LSN-5.00%"/>
        <s v="Rp13,200-36 LSN-5.00%"/>
        <s v="Rp12,600-36 LSN-5.00%"/>
        <s v="Rp6,900-12 LSN-5.00%"/>
        <s v="Rp14,100-12 LSN-5.00%"/>
        <s v="Rp105,600-1 GRS-5.00%"/>
        <s v="Rp122,400-1 GRS-5.00%"/>
        <s v="Rp21,600-2 LSN-5.00%"/>
        <s v="Rp12,000-2 GRS-5.00%"/>
        <s v="Rp15,900-1 BOX-5.00%"/>
        <s v="Rp255,600-0.333333333333333 GRS-5.00%"/>
        <s v="Rp255,600-0.166666666666667 GRS-5.00%"/>
        <s v="Rp156,000-1 LSN-5.00%"/>
        <s v="Rp180,000-1 LSN-5.00%"/>
        <s v="Rp19,250-12 PCS-5.00%"/>
        <s v="Rp147,600-3 LSN-5.00%"/>
        <s v="Rp54,000-1 LSN-15.00%"/>
        <s v="Rp39,600-1 LSN-15.00%"/>
        <s v="Rp79,800-1 LSN-15.00%"/>
        <s v="Rp15,900-1 BOX-15.00%"/>
        <s v="Rp3,700-10 PCS-12.50%"/>
        <s v="Rp67,500-10 PAK-0.00%"/>
        <s v="Rp28,000-19 LSN-0.00%"/>
        <s v="Rp27,500-6 LSN-0.00%"/>
        <s v="Rp39,600-6 LSN-12.50%"/>
        <s v="Rp13,200-24 LSN-12.50%"/>
        <s v="Rp12,600-24 LSN-12.50%"/>
        <s v="Rp204,000-2 LSN-12.50%"/>
        <s v="Rp79,200-6 LSN-12.50%"/>
        <s v="Rp148,800-1 LSN-12.50%"/>
        <s v="Rp105,600-0.333333333333333 GRS-12.50%"/>
        <s v="Rp115,200-1 GRS-12.50%"/>
        <s v="Rp122,400-1 GRS-12.50%"/>
        <s v="Rp112,800-1 GRS-12.50%"/>
        <s v="Rp120,000-1 GRS-12.50%"/>
        <s v="Rp104,400-1 GRS-12.50%"/>
        <s v="Rp21,600-12 LSN-12.50%"/>
        <s v="Rp15,900-5 BOX-12.50%"/>
        <s v="Rp56,100-36 LSN-12.50%"/>
        <s v="Rp31,800-2 BOX-12.50%"/>
        <s v="Rp69,000-5 BOX-12.50%"/>
        <s v="Rp85,000-1 LSN-0.00%"/>
        <s v="Rp6,250-1200 PCS-0.00%"/>
        <s v="Rp6,250-960 PCS-0.00%"/>
        <s v="Rp7,750-400 PCS-0.00%"/>
        <s v="Rp60,700-12 PCS-10.00%"/>
        <s v="Rp14,500-36 PCS-10.00%"/>
        <s v="Rp68,700-24 PCS-10.00%"/>
        <s v="Rp23,700-144 PCS-12.50%"/>
        <s v="Rp56,100-180 LSN-12.50%"/>
        <s v="Rp48,900-108 LSN-12.50%"/>
        <s v="Rp48,900-288 LSN-12.50%"/>
        <s v="Rp23,700-72 PCS-12.50%"/>
        <s v="Rp62,100-1 LSN-15.00%"/>
        <s v="Rp56,100-6 LSN-15.00%"/>
        <s v="Rp39,600-288 LSN-15.00%"/>
        <s v="Rp79,200-48 LSN-15.00%"/>
        <s v="Rp93,000-100 LSN-15.00%"/>
        <s v="Rp56,100-216 LSN-15.00%"/>
        <s v="Rp49,200-3 LSN-12.50%"/>
        <s v="Rp63,000-3 LSN-12.50%"/>
        <s v="Rp54,000-3 LSN-12.50%"/>
        <s v="Rp55,800-3 LSN-12.50%"/>
        <s v="Rp62,400-3 LSN-12.50%"/>
        <s v="Rp38,000-20 PCS-12.50%"/>
        <s v="Rp74,000-9 PCS-12.50%"/>
        <s v="Rp32,500-20 PCS-12.50%"/>
        <s v="Rp14,583-12 PCS-0.00%"/>
        <s v="Rp62,400-2 LSN-10.00%"/>
        <s v="Rp0-24 PCS-0.00%"/>
        <s v="Rp0-1 PCS-0.00%"/>
        <s v="Rp22,200-12 LSN-10.00%"/>
        <s v="Rp21,000-12 LSN-10.00%"/>
        <s v="Rp98,400-24 PCS-12.50%"/>
        <s v="Rp17,000-50 BOX-12.50%"/>
        <s v="Rp17,000-100 BOX-13.50%"/>
        <s v="Rp16,000-150 BOX-13.50%"/>
        <s v="Rp48,500-48 PCS-13.50%"/>
        <s v="Rp85,200-40 LSN-13.50%"/>
        <s v="Rp33,000-60 LSN-12.50%"/>
        <s v="Rp47,500-60 LSN-12.50%"/>
        <s v="Rp70,000-30 LSN-12.50%"/>
        <s v="Rp4,400-192 PCS-10.00%"/>
        <s v="Rp8,350-96 PCS-10.00%"/>
        <s v="Rp13,000-80 PCS-10.00%"/>
        <s v="Rp33,000-48 LSN-12.50%"/>
        <s v="Rp69,000-20 BOX-12.50%"/>
        <s v="Rp3,050-120 PCS-12.50%"/>
        <s v="Rp49,200-144 LSN-12.50%"/>
        <s v="Rp16,000-50 BOX-12.50%"/>
        <s v="Rp43,000-20 BOX-12.50%"/>
        <s v="Rp120,000-20 LSN-10.00%"/>
        <s v="Rp57,000-60 LSN-5.00%"/>
        <s v="Rp70,000-30 LSN-5.00%"/>
        <s v="Rp49,200-60 LSN-5.00%"/>
        <s v="Rp11,000-24 PCS-0.00%"/>
        <s v="Rp9,500-20 PCS-0.00%"/>
        <s v="Rp58,000-1 BOX-0.00%"/>
        <s v="Rp63,000-1 BOX-0.00%"/>
        <s v="Rp85,000-2 BOX-0.00%"/>
        <s v="Rp55,000-1 LSN-0.00%"/>
        <s v="Rp49,200-2 LSN-10.00%"/>
        <s v="Rp54,000-2 LSN-10.00%"/>
        <s v="Rp57,600-12 LSN-10.00%"/>
        <s v="Rp204,000-2 LSN-10.00%"/>
        <s v="Rp124,200-12 LSN-10.00%"/>
        <s v="Rp79,200-12 LSN-10.00%"/>
        <s v="Rp148,800-2 LSN-10.00%"/>
        <s v="Rp129,600-1.5 BOX-10.00%"/>
        <s v="Rp104,400-1 GRS-10.00%"/>
        <s v="Rp115,200-1 GRS-10.00%"/>
        <s v="Rp120,000-1 GRS-10.00%"/>
        <s v="Rp19,200-6 LSN-10.00%"/>
        <s v="Rp13,200-12 LSN-10.00%"/>
        <s v="Rp26,400-3 LSN-10.00%"/>
        <s v="Rp14,100-6 LSN-10.00%"/>
        <s v="Rp39,600-3 LSN-10.00%"/>
        <s v="Rp5,700-50 PCS-10.00%"/>
        <s v="Rp4,400-50 PCS-10.00%"/>
        <s v="Rp8,350-46 PCS-10.00%"/>
        <s v="Rp79,800-1 LSN-10.00%"/>
        <s v="Rp75,000-3 BOX-0.00%"/>
        <s v="Rp5,700-20 PCS-12.50%"/>
        <s v="Rp124,200-6 LSN-12.50%"/>
        <s v="Rp57,600-6 LSN-12.50%"/>
        <s v="Rp30,500-48 PCS-12.50%"/>
        <s v="Rp148,800-24 LSN-12.50%"/>
        <s v="Rp28,500-144 LSN-0.00%"/>
        <s v="Rp49,200-60 BOX-15.00%"/>
        <s v="Rp31,800-50 BOX-12.50%"/>
        <s v="Rp21,500-72 BOX-12.50%"/>
        <s v="Rp122,400-1.83333333333333 GRS-10.00%"/>
        <s v="Rp115,200-8.66666666666667 GRS-10.00%"/>
        <s v="Rp112,800-12.4166666666667 GRS-10.00%"/>
        <s v="Rp204,000-10 LSN-12.50%"/>
        <s v="Rp408,000-5 LSN-12.50%"/>
        <s v="Rp26,100-432 LSN-13.50%"/>
        <s v="Rp58,800-72 LSN-13.50%"/>
        <s v="Rp58,800-72 LSN-15.00%"/>
        <s v="Rp56,100-360 LSN-15.00%"/>
        <s v="Rp180,000-5 GRS-14.00%"/>
        <s v="Rp69,000-20 BOX-14.00%"/>
        <s v="Rp14,500-288 PCS-14.00%"/>
        <s v="Rp414,000-4 BOX-14.00%"/>
        <s v="Rp456,000-4 BOX-14.00%"/>
        <s v="Rp70,800-18 LSN-12.50%"/>
        <s v="Rp64,800-120 LSN-13.00%"/>
        <s v="Rp190,800-0.833333333333333 BOX-12.50%"/>
        <s v="Rp3,500-10 PAK-0.00%"/>
        <s v="Rp20,000-1 PAK-0.00%"/>
        <s v="Rp20,000-2 PAK-0.00%"/>
        <s v="Rp40,500-1 PAK-0.00%"/>
        <s v="Rp40,500-2 PAK-0.00%"/>
        <s v="Rp2,100-40 SET-0.00%"/>
        <s v="Rp4,250-40 SET-0.00%"/>
        <s v="Rp12,500-3 LSN-0.00%"/>
        <s v="Rp12,500-6 LSN-0.00%"/>
        <s v="Rp15,000-6 LSN-0.00%"/>
        <s v="Rp25,000-3 LSN-0.00%"/>
        <s v="Rp125,000-1 GRS-0.00%"/>
        <s v="Rp95,000-1 LSN-0.00%"/>
        <s v="Rp125,000-1 LSN-0.00%"/>
        <s v="Rp120,000-1 GRS-0.00%"/>
        <s v="Rp60,000-2 LSN-0.00%"/>
        <s v="Rp100,000-2 LSN-0.00%"/>
        <s v="Rp17,500-2 BOX-0.00%"/>
        <s v="Rp115,000-1 LSN-0.00%"/>
        <s v="Rp39,600-144 LSN-12.50%"/>
        <s v="Rp28,800-50 BOX-14.00%"/>
        <s v="Rp39,600-24 LSN-12.50%"/>
        <s v="Rp28,800-25 BOX-12.50%"/>
        <s v="Rp31,800-8 BOX-12.50%"/>
        <s v="Rp74,400-1 LSN-12.50%"/>
        <s v="Rp27,600-12 LSN-12.50%"/>
        <s v="Rp9,800-50 BOX-12.50%"/>
        <s v="Rp70,000-3 LSN-0.00%"/>
        <s v="Rp21,000-1 LSN-0.00%"/>
        <s v="Rp14,500-30 PAK-10.00%"/>
        <s v="Rp13,000-12 LSN-0.00%"/>
        <s v="Rp24,600-24 LSN-10.00%"/>
        <s v="Rp18,500-24 PCS-12.50%"/>
        <s v="Rp70,800-2 LSN-10.00%"/>
        <s v="Rp30,000-1 BOX-15.00%"/>
        <s v="Rp34,100-1 BOX-12.50%"/>
        <s v="Rp32,000-1 LSN-15.00%"/>
        <s v="Rp6,250-240 PCS-0.00%"/>
        <s v="Rp64,800-300 LSN-13.50%"/>
        <s v="Rp41,400-2 LSN-10.00%"/>
        <s v="Rp36,000-3 LSN-10.00%"/>
        <s v="Rp26,100-3 LSN-10.00%"/>
        <s v="Rp13,000-15 PCS-10.00%"/>
        <s v="Rp6,500-240 PCS-0.00%"/>
        <s v="Rp7,750-200 PCS-0.00%"/>
        <s v="Rp6,250-480 PCS-0.00%"/>
        <s v="Rp14,583-60 PCS-0.00%"/>
        <s v="Rp12,500-60 PCS-0.00%"/>
        <s v="Rp62,400-6 LSN-10.00%"/>
        <s v="Rp124,200-6 LSN-10.00%"/>
        <s v="Rp148,800-1 LSN-10.00%"/>
        <s v="Rp79,200-16 LSN-12.50%"/>
        <s v="Rp70,000-1 LSN-0.00%"/>
        <s v="Rp204,000-4 LSN-12.50%"/>
        <s v="Rp27,500-17 BOX-12.50%"/>
        <s v="Rp180,000-1 GRS-12.50%"/>
        <s v="Rp69,000-2 BOX-12.50%"/>
        <s v="Rp49,200-2 BOX-12.50%"/>
        <s v="Rp28,800-2 BOX-12.50%"/>
        <s v="Rp16,000-6 BOX-12.50%"/>
        <s v="Rp62,400-8 LSN-12.50%"/>
        <s v="Rp19,000-36 PCS-12.50%"/>
        <s v="Rp19,800-40 LSN-12.50%"/>
        <s v="Rp124,200-72 LSN-12.50%"/>
        <s v="Rp79,200-96 LSN-12.50%"/>
        <s v="Rp19,000-6 PAK-0.00%"/>
        <s v="Rp37,500-3 PAK-0.00%"/>
        <s v="Rp21,600-288 LSN-12.50%"/>
        <s v="Rp89,400-9 LSN-12.50%"/>
        <s v="Rp14,900-36 PCS-12.50%"/>
        <s v="Rp24,000-24 LSN-0.00%"/>
        <s v="Rp15,000-12 LSN-12.50%"/>
        <s v="Rp26,400-12 LSN-12.50%"/>
        <s v="Rp33,000-2 LSN-12.50%"/>
        <s v="Rp7,800-60 SET-12.50%"/>
        <s v="Rp17,500-25 PCS-0.00%"/>
        <s v="Rp10,500-25 PCS-0.00%"/>
        <s v="Rp42,700-36 PCS-12.50%"/>
        <s v="Rp47,500-144 PCS-12.50%"/>
        <s v="Rp37,500-4 PCS-0.00%"/>
        <s v="Rp80,000-1 PCS-0.00%"/>
        <s v="Rp47,500-4 PCS-0.00%"/>
        <s v="Rp32,500-1 PCS-0.00%"/>
        <s v="Rp62,500-1 PCS-0.00%"/>
        <s v="Rp204,000-12 LSN-10.00%"/>
        <s v="Rp70,000-20 LSN-10.00%"/>
        <s v="Rp49,200-20 LSN-10.00%"/>
        <s v="Rp57,000-10 LSN-10.00%"/>
        <s v="Rp83,000-10 PAK-12.50%"/>
        <s v="Rp49,200-60 LSN-10.00%"/>
        <s v="Rp138,600-20 LSN-10.00%"/>
        <s v="Rp68,700-24 PCS-12.50%"/>
        <s v="Rp13,750-36 PCS-0.00%"/>
        <s v="Rp10,417-36 PCS-0.00%"/>
        <s v="Rp5,750-3 BOX-15.00%"/>
        <s v="Rp66,000-1 BOX-15.00%"/>
        <s v="Rp8,500-30 PCS-0.00%"/>
        <s v="Rp21,600-72 LSN-12.50%"/>
        <s v="Rp19,000-10 PCS-12.50%"/>
        <s v="Rp66,000-10 BOX-12.50%"/>
        <s v="Rp10,000-144 PCS-0.00%"/>
        <s v="Rp11,000-144 PCS-0.00%"/>
        <s v="Rp52,200-60 LSN-12.50%"/>
        <s v="Rp22,000-144 LSN-0.00%"/>
        <s v="Rp55,200-72 LSN-13.50%"/>
        <s v="Rp1,700-500 BOX-13.50%"/>
        <s v="Rp21,500-72 BOX-13.50%"/>
        <s v="Rp41,400-48 LSN-14.00%"/>
        <s v="Rp57,000-60 LSN-12.50%"/>
        <s v="Rp32,400-120 LSN-15.00%"/>
        <s v="Rp52,200-30 LSN-15.00%"/>
        <s v="Rp21,600-288 LSN-15.00%"/>
        <s v="Rp55,200-72 LSN-15.00%"/>
        <s v="Rp180,000-8 LSN-15.00%"/>
        <s v="Rp19,500-19 LSN-0.00%"/>
        <s v="Rp19,000-96 PCS-12.50%"/>
        <s v="Rp11,600-96 PCS-12.50%"/>
        <s v="Rp70,800-9 LSN-10.00%"/>
        <s v="Rp59,400-9 LSN-10.00%"/>
        <s v="Rp19,000-20 PAK-0.00%"/>
        <s v="Rp15,500-50 PAK-12.50%"/>
        <s v="Rp26,100-12 LSN-10.00%"/>
        <s v="Rp0-48 PCS-0.00%"/>
        <s v="Rp26,100-144 LSN-13.00%"/>
        <s v="Rp25,200-200 LSN-13.00%"/>
        <s v="Rp456,000-4 BOX-12.50%"/>
        <s v="Rp14,500-432 PCS-12.50%"/>
        <s v="Rp7,500-72 PCS-0.00%"/>
        <s v="Rp5,500-36 PCS-0.00%"/>
        <s v="Rp47,500-12 PCS-7.50%"/>
        <s v="Rp417,000-2 BOX-7.50%"/>
        <s v="Rp150,000-6 LSN-10.00%"/>
        <s v="Rp180,000-6 LSN-10.00%"/>
        <s v="Rp156,000-6 LSN-10.00%"/>
        <s v="Rp248,400-3 LSN-10.00%"/>
        <s v="Rp294,000-3 LSN-10.00%"/>
        <s v="Rp28,200-36 LSN-10.00%"/>
        <s v="Rp13,500-12 PCS-0.00%"/>
        <s v="Rp15,900-24 BOX-10.00%"/>
        <s v="Rp28,000-4 PCS-12.50%"/>
        <s v="Rp67,500-20 PAK-0.00%"/>
        <s v="Rp456,000-4 BOX-10.00%"/>
        <s v="Rp19,250-96 PCS-13.00%"/>
        <s v="Rp250,000-1 LSN-0.00%"/>
        <s v="Rp240,000-1 LSN-0.00%"/>
        <s v="Rp14,000-100 PAK-0.00%"/>
        <s v="Rp13,250-1000 PAK-0.00%"/>
        <s v="Rp75,000-20 BOX-10.00%"/>
        <s v="Rp13,250-100 PAK-0.00%"/>
        <s v="Rp32,400-120 LSN-13.00%"/>
        <s v="Rp13,500-100 PAK-0.00%"/>
        <s v="Rp156,000-1 LSN-10.00%"/>
        <s v="Rp77,500-2 BOX-10.00%"/>
        <s v="Rp156,000-24 LSN-10.00%"/>
        <s v="Rp248,400-12 LSN-10.00%"/>
        <s v="Rp66,000-36 BOX-10.00%"/>
        <s v="Rp14,500-144 PCS-10.00%"/>
        <s v="Rp27,000-72 PCS-10.00%"/>
        <s v="Rp47,500-36 PCS-10.00%"/>
        <s v="Rp414,000-4 BOX-10.00%"/>
        <s v="Rp39,600-144 LSN-10.00%"/>
        <s v="Rp28,200-144 LSN-10.00%"/>
        <s v="Rp14,100-144 LSN-10.00%"/>
        <s v="Rp19,000-40 PAK-0.00%"/>
        <s v="Rp294,000-12 LSN-10.00%"/>
        <s v="Rp8,400-144 PCS-12.50%"/>
        <s v="Rp16,800-144 PCS-12.50%"/>
        <s v="Rp129,600-24 BOX-12.50%"/>
        <s v="Rp124,200-48 LSN-13.50%"/>
        <s v="Rp10,200-288 PCS-13.50%"/>
        <s v="Rp93,000-1 LSN-0.00%"/>
        <s v="Rp28,500-12 LSN-0.00%"/>
        <s v="Rp4,500-40 SET-0.00%"/>
        <s v="Rp8,500-100 PCS-0.00%"/>
        <s v="Rp11,000-100 PCS-0.00%"/>
        <s v="Rp4,000-36 PAK-0.00%"/>
        <s v="Rp6,000-36 PCS-0.00%"/>
        <s v="Rp4,500-36 PCS-0.00%"/>
        <s v="Rp5,700-36 PCS-0.00%"/>
        <s v="Rp30,500-2 PAK-0.00%"/>
        <s v="Rp1,029,600-0.0416666666666667 GRS-0.00%"/>
        <s v="Rp13,333-20 PCS-0.00%"/>
        <s v="Rp16,667-24 PCS-0.00%"/>
        <s v="Rp14,583-24 PCS-0.00%"/>
        <s v="Rp180,000-0.25 GRS-0.00%"/>
        <s v="Rp120,000-0.25 GRS-0.00%"/>
        <s v="Rp31,800-3 BOX-0.00%"/>
        <s v="Rp28,800-3 BOX-0.00%"/>
        <s v="Rp49,200-3 BOX-0.00%"/>
        <s v="Rp21,600-6 LSN-15.00%"/>
        <s v="Rp84,000-2 LSN-15.00%"/>
        <s v="Rp21,000-50 PAK-12.50%"/>
        <s v="Rp16,500-20 PCS-0.00%"/>
        <s v="Rp110,000-24 LSN-0.00%"/>
        <s v="Rp19,200-57 LSN-10.00%"/>
        <s v="Rp75,600-3 LSN-10.00%"/>
        <s v="Rp26,400-12 LSN-10.00%"/>
        <s v="Rp26,400-33 LSN-10.00%"/>
        <s v="Rp350,000-2 LSN-0.00%"/>
        <s v="Rp56,400-50 LSN-12.50%"/>
        <s v="Rp59,000-48 PCS-13.50%"/>
        <s v="Rp12,300-576 PCS-12.50%"/>
        <s v="Rp57,600-36 LSN-12.50%"/>
        <s v="Rp135,000-6 LSN-12.50%"/>
        <s v="Rp1,600-500 BOX-12.50%"/>
        <s v="Rp79,800-10 LSN-10.00%"/>
        <s v="Rp57,000-6 LSN-10.00%"/>
        <s v="Rp93,000-6 LSN-10.00%"/>
        <s v="Rp79,200-5 LSN-10.00%"/>
        <s v="Rp21,600-60 LSN-10.00%"/>
        <s v="Rp74,400-2 LSN-10.00%"/>
        <s v="Rp41,400-3 LSN-10.00%"/>
        <s v="Rp124,200-10 LSN-10.00%"/>
        <s v="Rp39,600-60 LSN-10.00%"/>
        <s v="Rp56,400-10 LSN-10.00%"/>
        <s v="Rp32,400-63 LSN-10.00%"/>
        <s v="Rp64,800-60 LSN-10.00%"/>
        <s v="Rp42,700-24 PCS-12.50%"/>
        <s v="Rp60,700-6 PCS-12.50%"/>
        <s v="Rp23,700-71 PCS-12.50%"/>
        <s v="Rp295,800-36 LSN-12.50%"/>
        <s v="Rp49,250-72 PCS-12.50%"/>
        <s v="Rp13,500-500 PAK-0.00%"/>
        <s v="Rp33,000-30 LSN-0.00%"/>
        <s v="Rp248,400-12 LSN-12.50%"/>
        <s v="Rp99,600-1 LSN-10.00%"/>
        <s v="Rp56,100-19 LSN-14.00%"/>
        <s v="Rp60,700-6 PCS-0.00%"/>
        <s v="Rp69,600-2 LSN-0.00%"/>
        <s v="Rp42,700-6 PCS-0.00%"/>
        <s v="Rp153,600-0.5 LSN-0.00%"/>
        <s v="Rp37,800-3 LSN-0.00%"/>
        <s v="Rp12,000-3 LSN-0.00%"/>
        <s v="Rp72,000-36 BOX-15.00%"/>
        <s v="Rp60,000-36 BOX-15.00%"/>
        <s v="Rp84,000-25 LSN-15.00%"/>
        <s v="Rp25,000-6 LSN-0.00%"/>
        <s v="Rp90,000-1 LSN-10.00%"/>
        <s v="Rp248,400-0.5 LSN-10.00%"/>
        <s v="Rp124,200-0.5 LSN-10.00%"/>
        <s v="Rp15,900-3 BOX-10.00%"/>
        <s v="Rp98,400-12 PCS-10.00%"/>
        <s v="Rp50,000-10 PCS-14.00%"/>
        <s v="Rp156,000-5 LSN-14.00%"/>
        <s v="Rp19,250-96 PCS-14.00%"/>
        <s v="Rp8,500-50 PCS-0.00%"/>
        <s v="Rp30,000-5 BOX-12.50%"/>
        <s v="Rp180,000-2 LSN-12.50%"/>
        <s v="Rp45,000-6 PCS-12.50%"/>
        <s v="Rp41,400-4 LSN-12.50%"/>
        <s v="Rp25,200-100 LSN-12.50%"/>
        <s v="Rp75,000-1 LSN-0.00%"/>
        <s v="Rp31,800-10 BOX-10.00%"/>
        <s v="Rp49,200-2 BOX-10.00%"/>
        <s v="Rp70,000-10 PAK-0.00%"/>
        <s v="Rp56,100-36 LSN-10.00%"/>
        <s v="Rp56,100-72 LSN-14.00%"/>
        <s v="Rp9,800-30 BOX-14.00%"/>
        <s v="Rp7,600-10 PAK-14.00%"/>
        <s v="Rp50,000-20 PCS-14.00%"/>
        <s v="Rp32,500-24 LSN-0.00%"/>
        <s v="Rp51,500-60 LSN-15.00%"/>
        <s v="Rp56,100-72 LSN-15.00%"/>
        <s v="Rp30,000-30 PAK-10.00%"/>
        <s v="Rp7,600-3 PAK-10.00%"/>
        <s v="Rp7,600-2 PAK-10.00%"/>
        <s v="Rp33,000-96 LSN-0.00%"/>
        <s v="Rp19,250-5 PCS-12.50%"/>
        <s v="Rp56,100-72 LSN-12.50%"/>
        <s v="Rp52,200-6 LSN-10.00%"/>
        <s v="Rp41,400-48 LSN-12.50%"/>
        <s v="Rp248,400-3 LSN-12.50%"/>
        <s v="Rp294,000-3 LSN-12.50%"/>
        <s v="Rp77,500-40 BOX-5.00%"/>
        <s v="Rp124,200-2 LSN-10.00%"/>
        <s v="Rp8,500-50 LSN-0.00%"/>
        <s v="Rp28,500-3 LSN-0.00%"/>
        <s v="Rp35,000-5 LSN-0.00%"/>
        <s v="Rp75,000-5 BOX-0.00%"/>
        <s v="Rp33,000-24 PCS-10.00%"/>
        <s v="Rp156,000-2 LSN-10.00%"/>
        <s v="Rp150,000-2 LSN-10.00%"/>
        <s v="Rp79,800-2 LSN-10.00%"/>
        <s v="Rp52,200-2 LSN-10.00%"/>
        <s v="Rp12,500-24 PCS-0.00%"/>
        <s v="Rp16,500-12 SET-10.00%"/>
        <s v="Rp30,500-96 PCS-12.50%"/>
        <s v="Rp26,100-288 LSN-12.50%"/>
        <s v="Rp180,000-15 GRS-12.50%"/>
        <s v="Rp67,800-20 GRS-12.50%"/>
        <s v="Rp78,000-12 LSN-12.50%"/>
        <s v="Rp33,000-91 LSN-0.00%"/>
        <s v="Rp42,700-144 PCS-12.50%"/>
        <s v="Rp60,700-48 PCS-12.50%"/>
        <s v="Rp12,300-288 PCS-12.50%"/>
        <s v="Rp120,000-20 LSN-5.00%"/>
        <s v="Rp70,000-6 LSN-0.00%"/>
        <s v="Rp49,200-15 LSN-0.00%"/>
        <s v="Rp57,000-15 LSN-0.00%"/>
        <s v="Rp61,000-6 LSN-0.00%"/>
        <s v="Rp14,500-200 PAK-0.00%"/>
        <s v="Rp36,000-12 LSN-0.00%"/>
        <s v="Rp21,500-5 PAK-0.00%"/>
        <s v="Rp102,000-48 LSN-12.50%"/>
        <s v="Rp45,000-12 PCS-0.00%"/>
        <s v="Rp295,800-2 LSN-0.00%"/>
        <s v="Rp55,800-2 LSN-0.00%"/>
        <s v="Rp168,000-2 LSN-0.00%"/>
        <s v="Rp3,750-192 PCS-0.00%"/>
        <s v="Rp147,600-10 LSN-12.50%"/>
        <s v="Rp17,000-50 PCS-12.50%"/>
        <s v="Rp28,800-20 BOX-12.50%"/>
        <s v="Rp31,800-20 BOX-12.50%"/>
        <s v="Rp49,200-20 BOX-12.50%"/>
        <s v="Rp19,250-24 PCS-10.00%"/>
        <s v="Rp64,800-20 LSN-10.00%"/>
        <s v="Rp32,400-10 LSN-10.00%"/>
        <s v="Rp70,800-3 LSN-10.00%"/>
        <s v="Rp61,000-30 LSN-12.50%"/>
        <s v="Rp90,600-24 LSN-12.50%"/>
        <s v="Rp89,400-24 LSN-12.50%"/>
        <s v="Rp75,000-80 BOX-0.00%"/>
        <s v="Rp33,500-72 LSN-0.00%"/>
        <s v="Rp456,000-8 BOX-12.50%"/>
        <s v="Rp282,000-5 LSN-12.50%"/>
        <s v="Rp25,200-15 LSN-10.00%"/>
        <s v="Rp5,500-50 PCS-0.00%"/>
        <s v="Rp7,500-50 PCS-0.00%"/>
        <s v="Rp52,200-10 LSN-10.00%"/>
        <s v="Rp35,000-24 LSN-0.00%"/>
        <s v="Rp57,000-20 LSN-10.00%"/>
        <s v="Rp49,500-10 LSN-10.00%"/>
        <s v="Rp64,800-30 LSN-10.00%"/>
        <s v="Rp12,100-30 BOX-10.00%"/>
        <s v="Rp93,000-5 LSN-10.00%"/>
        <s v="Rp33,000-5 LSN-10.00%"/>
        <s v="Rp31,200-5 LSN-10.00%"/>
        <s v="Rp69,000-1 BOX-10.00%"/>
        <s v="Rp180,000-1 GRS-10.00%"/>
        <s v="Rp57,000-5 LSN-10.00%"/>
        <s v="Rp155,400-3 LSN-10.00%"/>
        <s v="Rp19,200-72 LSN-12.50%"/>
        <s v="Rp35,000-10 LSN-0.00%"/>
        <s v="Rp28,500-288 LSN-0.00%"/>
        <m/>
      </sharedItems>
    </cacheField>
    <cacheField name="TGL NOTA" numFmtId="166">
      <sharedItems containsDate="1" containsString="0" containsBlank="1">
        <d v="2024-04-26T00:00:00Z"/>
        <d v="2024-04-27T00:00:00Z"/>
        <d v="2024-04-29T00:00:00Z"/>
        <d v="2024-04-30T00:00:00Z"/>
        <d v="2024-05-04T00:00:00Z"/>
        <d v="2024-05-02T00:00:00Z"/>
        <d v="2024-05-03T00:00:00Z"/>
        <d v="2024-05-06T00:00:00Z"/>
        <d v="2024-05-07T00:00:00Z"/>
        <d v="2024-05-08T00:00:00Z"/>
        <d v="2024-05-10T00:00:00Z"/>
        <d v="2024-05-11T00:00:00Z"/>
        <d v="2024-05-13T00:00:00Z"/>
        <d v="2024-05-14T00:00:00Z"/>
        <d v="2024-05-15T00:00:00Z"/>
        <d v="2024-05-16T00:00:00Z"/>
        <d v="2024-05-17T00:00:00Z"/>
        <d v="2024-05-18T00:00:00Z"/>
        <d v="2024-05-20T00:00:00Z"/>
        <d v="2024-05-21T00:00:00Z"/>
        <d v="2024-05-22T00:00:00Z"/>
        <d v="2024-05-24T00:00:00Z"/>
        <d v="2024-05-25T00:00:00Z"/>
        <d v="2024-05-27T00:00:00Z"/>
        <d v="2024-05-29T00:00:00Z"/>
        <m/>
      </sharedItems>
    </cacheField>
    <cacheField name="TGL GUDANG/ORDER" numFmtId="0">
      <sharedItems containsDate="1" containsString="0" containsBlank="1">
        <m/>
        <d v="2024-04-27T00:00:00Z"/>
        <d v="2024-04-25T00:00:00Z"/>
        <d v="2024-04-26T00:00:00Z"/>
        <d v="2024-05-02T00:00:00Z"/>
        <d v="2024-04-23T00:00:00Z"/>
        <d v="2024-05-03T00:00:00Z"/>
        <d v="2024-05-04T00:00:00Z"/>
        <d v="2024-04-30T00:00:00Z"/>
        <d v="2024-05-06T00:00:00Z"/>
        <d v="2024-05-07T00:00:00Z"/>
        <d v="2024-05-10T00:00:00Z"/>
        <d v="2024-05-11T00:00:00Z"/>
        <d v="2024-05-14T00:00:00Z"/>
        <d v="2024-05-15T00:00:00Z"/>
        <d v="2024-05-17T00:00:00Z"/>
        <d v="2024-05-20T00:00:00Z"/>
        <d v="2024-05-22T00:00:00Z"/>
        <d v="2024-05-21T00:00:00Z"/>
        <d v="2024-05-25T00:00:00Z"/>
        <d v="2024-05-18T00:00:00Z"/>
        <d v="2024-05-24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" cacheId="0" dataCaption="" rowGrandTotals="0" compact="0" compactData="0">
  <location ref="A1:D2659" firstHeaderRow="0" firstDataRow="3" firstDataCol="0"/>
  <pivotFields>
    <pivotField name="NOTA TOK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t="default"/>
      </items>
    </pivotField>
    <pivotField name="TOKO-K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name="KODE BARA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t="default"/>
      </items>
    </pivotField>
    <pivotField name="NAMA BARANG" axis="axisRow" compact="0" outline="0" multipleItemSelectionAllowed="1" showAll="0" sortType="ascending" defaultSubtotal="0">
      <items>
        <item x="2541"/>
        <item x="2482"/>
        <item x="2108"/>
        <item x="2106"/>
        <item x="1388"/>
        <item x="2105"/>
        <item x="2107"/>
        <item x="1115"/>
        <item x="1369"/>
        <item x="2184"/>
        <item x="2188"/>
        <item x="2187"/>
        <item x="2186"/>
        <item x="2185"/>
        <item x="668"/>
        <item x="1031"/>
        <item x="1077"/>
        <item x="1490"/>
        <item x="875"/>
        <item x="2276"/>
        <item x="743"/>
        <item x="1026"/>
        <item x="1818"/>
        <item x="2262"/>
        <item x="1032"/>
        <item x="1030"/>
        <item x="2114"/>
        <item x="2277"/>
        <item x="1025"/>
        <item x="1076"/>
        <item x="1028"/>
        <item x="1078"/>
        <item x="2440"/>
        <item x="1591"/>
        <item x="1149"/>
        <item x="2115"/>
        <item x="2499"/>
        <item x="1956"/>
        <item x="1147"/>
        <item x="1232"/>
        <item x="1127"/>
        <item x="1128"/>
        <item x="897"/>
        <item x="1999"/>
        <item x="2395"/>
        <item x="737"/>
        <item x="2026"/>
        <item x="1914"/>
        <item x="2258"/>
        <item x="988"/>
        <item x="564"/>
        <item x="565"/>
        <item x="969"/>
        <item x="1910"/>
        <item x="2020"/>
        <item x="1465"/>
        <item x="993"/>
        <item x="1911"/>
        <item x="259"/>
        <item x="2259"/>
        <item x="1913"/>
        <item x="991"/>
        <item x="260"/>
        <item x="603"/>
        <item x="1129"/>
        <item x="1918"/>
        <item x="1919"/>
        <item x="1248"/>
        <item x="1912"/>
        <item x="2471"/>
        <item x="979"/>
        <item x="2010"/>
        <item x="605"/>
        <item x="2257"/>
        <item x="970"/>
        <item x="984"/>
        <item x="992"/>
        <item x="585"/>
        <item x="1920"/>
        <item x="2025"/>
        <item x="606"/>
        <item x="968"/>
        <item x="2349"/>
        <item x="1697"/>
        <item x="967"/>
        <item x="2348"/>
        <item x="566"/>
        <item x="1915"/>
        <item x="1908"/>
        <item x="2021"/>
        <item x="2347"/>
        <item x="2442"/>
        <item x="262"/>
        <item x="34"/>
        <item x="255"/>
        <item x="1333"/>
        <item x="601"/>
        <item x="1334"/>
        <item x="253"/>
        <item x="254"/>
        <item x="250"/>
        <item x="251"/>
        <item x="2530"/>
        <item x="602"/>
        <item x="256"/>
        <item x="252"/>
        <item x="2360"/>
        <item x="980"/>
        <item x="1907"/>
        <item x="1909"/>
        <item x="1249"/>
        <item x="985"/>
        <item x="2019"/>
        <item x="2305"/>
        <item x="584"/>
        <item x="766"/>
        <item x="1309"/>
        <item x="261"/>
        <item x="1916"/>
        <item x="604"/>
        <item x="1687"/>
        <item x="990"/>
        <item x="1917"/>
        <item x="2260"/>
        <item x="2024"/>
        <item x="971"/>
        <item x="257"/>
        <item x="1130"/>
        <item x="989"/>
        <item x="1686"/>
        <item x="2466"/>
        <item x="1576"/>
        <item x="1675"/>
        <item x="2372"/>
        <item x="2371"/>
        <item x="2373"/>
        <item x="2374"/>
        <item x="2375"/>
        <item x="2370"/>
        <item x="1577"/>
        <item x="2367"/>
        <item x="2368"/>
        <item x="2369"/>
        <item x="1676"/>
        <item x="2366"/>
        <item x="2365"/>
        <item x="1042"/>
        <item x="1344"/>
        <item x="399"/>
        <item x="1853"/>
        <item x="2307"/>
        <item x="1345"/>
        <item x="2289"/>
        <item x="2290"/>
        <item x="2291"/>
        <item x="2292"/>
        <item x="2288"/>
        <item x="2163"/>
        <item x="2165"/>
        <item x="1001"/>
        <item x="1995"/>
        <item x="879"/>
        <item x="1281"/>
        <item x="1856"/>
        <item x="2311"/>
        <item x="2312"/>
        <item x="400"/>
        <item x="2287"/>
        <item x="372"/>
        <item x="2411"/>
        <item x="1306"/>
        <item x="703"/>
        <item x="705"/>
        <item x="704"/>
        <item x="1616"/>
        <item x="2006"/>
        <item x="1273"/>
        <item x="1578"/>
        <item x="1086"/>
        <item x="863"/>
        <item x="708"/>
        <item x="1266"/>
        <item x="1267"/>
        <item x="706"/>
        <item x="1680"/>
        <item x="1677"/>
        <item x="707"/>
        <item x="1580"/>
        <item x="1087"/>
        <item x="853"/>
        <item x="855"/>
        <item x="856"/>
        <item x="1579"/>
        <item x="852"/>
        <item x="1678"/>
        <item x="854"/>
        <item x="404"/>
        <item x="1679"/>
        <item x="1088"/>
        <item x="405"/>
        <item x="711"/>
        <item x="712"/>
        <item x="1685"/>
        <item x="1684"/>
        <item x="2086"/>
        <item x="1359"/>
        <item x="2087"/>
        <item x="221"/>
        <item x="647"/>
        <item x="1318"/>
        <item x="2324"/>
        <item x="896"/>
        <item x="2325"/>
        <item x="223"/>
        <item x="649"/>
        <item x="225"/>
        <item x="202"/>
        <item x="1520"/>
        <item x="1519"/>
        <item x="2265"/>
        <item x="208"/>
        <item x="912"/>
        <item x="1794"/>
        <item x="204"/>
        <item x="2327"/>
        <item x="205"/>
        <item x="910"/>
        <item x="911"/>
        <item x="209"/>
        <item x="207"/>
        <item x="203"/>
        <item x="2326"/>
        <item x="206"/>
        <item x="1317"/>
        <item x="913"/>
        <item x="41"/>
        <item x="40"/>
        <item x="224"/>
        <item x="2456"/>
        <item x="2457"/>
        <item x="1261"/>
        <item x="914"/>
        <item x="877"/>
        <item x="878"/>
        <item x="1982"/>
        <item x="648"/>
        <item x="2323"/>
        <item x="222"/>
        <item x="963"/>
        <item x="962"/>
        <item x="2439"/>
        <item x="108"/>
        <item x="1574"/>
        <item x="2490"/>
        <item x="2524"/>
        <item x="2481"/>
        <item x="2491"/>
        <item x="2523"/>
        <item x="2480"/>
        <item x="2511"/>
        <item x="137"/>
        <item x="2438"/>
        <item x="370"/>
        <item x="368"/>
        <item x="369"/>
        <item x="371"/>
        <item x="2343"/>
        <item x="2344"/>
        <item x="1950"/>
        <item x="1035"/>
        <item x="1399"/>
        <item x="4"/>
        <item x="6"/>
        <item x="5"/>
        <item x="7"/>
        <item x="1091"/>
        <item x="1396"/>
        <item x="1397"/>
        <item x="1090"/>
        <item x="1041"/>
        <item x="1045"/>
        <item x="1398"/>
        <item x="1040"/>
        <item x="1089"/>
        <item x="816"/>
        <item x="455"/>
        <item x="1098"/>
        <item x="1806"/>
        <item x="1808"/>
        <item x="1807"/>
        <item x="1805"/>
        <item x="1813"/>
        <item x="792"/>
        <item x="472"/>
        <item x="473"/>
        <item x="1068"/>
        <item x="876"/>
        <item x="1827"/>
        <item x="1044"/>
        <item x="1946"/>
        <item x="660"/>
        <item x="1947"/>
        <item x="1575"/>
        <item x="661"/>
        <item x="1150"/>
        <item x="850"/>
        <item x="1075"/>
        <item x="1017"/>
        <item x="1018"/>
        <item x="132"/>
        <item x="1948"/>
        <item x="868"/>
        <item x="1810"/>
        <item x="1809"/>
        <item x="487"/>
        <item x="1672"/>
        <item x="714"/>
        <item x="44"/>
        <item x="46"/>
        <item x="47"/>
        <item x="1062"/>
        <item x="2461"/>
        <item x="1635"/>
        <item x="930"/>
        <item x="1639"/>
        <item x="1637"/>
        <item x="798"/>
        <item x="1636"/>
        <item x="519"/>
        <item x="891"/>
        <item x="200"/>
        <item x="932"/>
        <item x="501"/>
        <item x="931"/>
        <item x="954"/>
        <item x="1109"/>
        <item x="1049"/>
        <item x="2458"/>
        <item x="1360"/>
        <item x="1439"/>
        <item x="2141"/>
        <item x="1050"/>
        <item x="726"/>
        <item x="2160"/>
        <item x="1709"/>
        <item x="2318"/>
        <item x="2319"/>
        <item x="2317"/>
        <item x="2316"/>
        <item x="1702"/>
        <item x="1441"/>
        <item x="1971"/>
        <item x="1199"/>
        <item x="945"/>
        <item x="1200"/>
        <item x="944"/>
        <item x="216"/>
        <item x="1700"/>
        <item x="1701"/>
        <item x="339"/>
        <item x="347"/>
        <item x="1857"/>
        <item x="736"/>
        <item x="348"/>
        <item x="2090"/>
        <item x="2091"/>
        <item x="233"/>
        <item x="213"/>
        <item x="234"/>
        <item x="346"/>
        <item x="235"/>
        <item x="38"/>
        <item x="236"/>
        <item x="345"/>
        <item x="237"/>
        <item x="943"/>
        <item x="946"/>
        <item x="1386"/>
        <item x="37"/>
        <item x="349"/>
        <item x="344"/>
        <item x="2401"/>
        <item x="340"/>
        <item x="342"/>
        <item x="2308"/>
        <item x="951"/>
        <item x="735"/>
        <item x="947"/>
        <item x="214"/>
        <item x="215"/>
        <item x="211"/>
        <item x="949"/>
        <item x="212"/>
        <item x="210"/>
        <item x="948"/>
        <item x="734"/>
        <item x="950"/>
        <item x="1440"/>
        <item x="1855"/>
        <item x="343"/>
        <item x="500"/>
        <item x="510"/>
        <item x="508"/>
        <item x="39"/>
        <item x="199"/>
        <item x="35"/>
        <item x="227"/>
        <item x="36"/>
        <item x="341"/>
        <item x="350"/>
        <item x="2462"/>
        <item x="1201"/>
        <item x="933"/>
        <item x="1202"/>
        <item x="934"/>
        <item x="509"/>
        <item x="502"/>
        <item x="230"/>
        <item x="231"/>
        <item x="232"/>
        <item x="2521"/>
        <item x="1866"/>
        <item x="1867"/>
        <item x="73"/>
        <item x="1320"/>
        <item x="1321"/>
        <item x="1322"/>
        <item x="1323"/>
        <item x="1324"/>
        <item x="1325"/>
        <item x="1326"/>
        <item x="1327"/>
        <item x="1328"/>
        <item x="1329"/>
        <item x="70"/>
        <item x="319"/>
        <item x="802"/>
        <item x="957"/>
        <item x="355"/>
        <item x="323"/>
        <item x="321"/>
        <item x="2089"/>
        <item x="1276"/>
        <item x="326"/>
        <item x="2417"/>
        <item x="2398"/>
        <item x="325"/>
        <item x="324"/>
        <item x="2418"/>
        <item x="327"/>
        <item x="1378"/>
        <item x="395"/>
        <item x="396"/>
        <item x="1458"/>
        <item x="2224"/>
        <item x="2225"/>
        <item x="2222"/>
        <item x="2221"/>
        <item x="2223"/>
        <item x="1294"/>
        <item x="1297"/>
        <item x="2406"/>
        <item x="2407"/>
        <item x="760"/>
        <item x="2405"/>
        <item x="2152"/>
        <item x="2226"/>
        <item x="1296"/>
        <item x="1289"/>
        <item x="1290"/>
        <item x="2153"/>
        <item x="1291"/>
        <item x="759"/>
        <item x="2154"/>
        <item x="2155"/>
        <item x="2408"/>
        <item x="1295"/>
        <item x="1293"/>
        <item x="529"/>
        <item x="2227"/>
        <item x="192"/>
        <item x="194"/>
        <item x="193"/>
        <item x="1640"/>
        <item x="145"/>
        <item x="1270"/>
        <item x="1271"/>
        <item x="141"/>
        <item x="71"/>
        <item x="72"/>
        <item x="1631"/>
        <item x="1366"/>
        <item x="2144"/>
        <item x="153"/>
        <item x="733"/>
        <item x="1387"/>
        <item x="2310"/>
        <item x="2143"/>
        <item x="2142"/>
        <item x="2037"/>
        <item x="1506"/>
        <item x="543"/>
        <item x="955"/>
        <item x="956"/>
        <item x="1061"/>
        <item x="952"/>
        <item x="226"/>
        <item x="2309"/>
        <item x="142"/>
        <item x="69"/>
        <item x="68"/>
        <item x="138"/>
        <item x="67"/>
        <item x="1792"/>
        <item x="1959"/>
        <item x="544"/>
        <item x="379"/>
        <item x="322"/>
        <item x="356"/>
        <item x="1960"/>
        <item x="320"/>
        <item x="2444"/>
        <item x="1048"/>
        <item x="1274"/>
        <item x="2166"/>
        <item x="2031"/>
        <item x="2156"/>
        <item x="530"/>
        <item x="1275"/>
        <item x="2164"/>
        <item x="2162"/>
        <item x="1055"/>
        <item x="1052"/>
        <item x="1051"/>
        <item x="1053"/>
        <item x="1054"/>
        <item x="387"/>
        <item x="2531"/>
        <item x="2183"/>
        <item x="1981"/>
        <item x="143"/>
        <item x="139"/>
        <item x="144"/>
        <item x="758"/>
        <item x="757"/>
        <item x="1203"/>
        <item x="2063"/>
        <item x="1288"/>
        <item x="1287"/>
        <item x="140"/>
        <item x="2253"/>
        <item x="2254"/>
        <item x="797"/>
        <item x="2205"/>
        <item x="796"/>
        <item x="382"/>
        <item x="383"/>
        <item x="1060"/>
        <item x="2207"/>
        <item x="2409"/>
        <item x="2410"/>
        <item x="2414"/>
        <item x="2415"/>
        <item x="2416"/>
        <item x="1056"/>
        <item x="1292"/>
        <item x="2413"/>
        <item x="2412"/>
        <item x="2454"/>
        <item x="756"/>
        <item x="1515"/>
        <item x="1425"/>
        <item x="842"/>
        <item x="1812"/>
        <item x="841"/>
        <item x="1873"/>
        <item x="1039"/>
        <item x="680"/>
        <item x="1871"/>
        <item x="2047"/>
        <item x="681"/>
        <item x="2112"/>
        <item x="676"/>
        <item x="1046"/>
        <item x="675"/>
        <item x="677"/>
        <item x="1872"/>
        <item x="1036"/>
        <item x="678"/>
        <item x="679"/>
        <item x="1038"/>
        <item x="1874"/>
        <item x="674"/>
        <item x="1037"/>
        <item x="2004"/>
        <item x="811"/>
        <item x="1820"/>
        <item x="2003"/>
        <item x="1548"/>
        <item x="1549"/>
        <item x="1373"/>
        <item x="1372"/>
        <item x="55"/>
        <item x="54"/>
        <item x="56"/>
        <item x="53"/>
        <item x="1166"/>
        <item x="1169"/>
        <item x="1167"/>
        <item x="1168"/>
        <item x="1467"/>
        <item x="441"/>
        <item x="419"/>
        <item x="3"/>
        <item x="1596"/>
        <item x="1198"/>
        <item x="1393"/>
        <item x="432"/>
        <item x="1392"/>
        <item x="198"/>
        <item x="197"/>
        <item x="1197"/>
        <item x="2148"/>
        <item x="2472"/>
        <item x="1003"/>
        <item x="196"/>
        <item x="433"/>
        <item x="336"/>
        <item x="1791"/>
        <item x="1230"/>
        <item x="1231"/>
        <item x="1000"/>
        <item x="1362"/>
        <item x="1613"/>
        <item x="1474"/>
        <item x="1473"/>
        <item x="2159"/>
        <item x="1614"/>
        <item x="1667"/>
        <item x="1653"/>
        <item x="808"/>
        <item x="809"/>
        <item x="872"/>
        <item x="449"/>
        <item x="2492"/>
        <item x="2157"/>
        <item x="871"/>
        <item x="1084"/>
        <item x="1521"/>
        <item x="2149"/>
        <item x="1085"/>
        <item x="1550"/>
        <item x="810"/>
        <item x="659"/>
        <item x="1024"/>
        <item x="658"/>
        <item x="2394"/>
        <item x="1370"/>
        <item x="1776"/>
        <item x="353"/>
        <item x="352"/>
        <item x="354"/>
        <item x="351"/>
        <item x="870"/>
        <item x="450"/>
        <item x="13"/>
        <item x="1179"/>
        <item x="1178"/>
        <item x="1177"/>
        <item x="1180"/>
        <item x="2489"/>
        <item x="2488"/>
        <item x="1836"/>
        <item x="2039"/>
        <item x="397"/>
        <item x="2030"/>
        <item x="542"/>
        <item x="398"/>
        <item x="499"/>
        <item x="894"/>
        <item x="1142"/>
        <item x="435"/>
        <item x="434"/>
        <item x="2130"/>
        <item x="2364"/>
        <item x="2363"/>
        <item x="806"/>
        <item x="2027"/>
        <item x="1892"/>
        <item x="2303"/>
        <item x="983"/>
        <item x="242"/>
        <item x="243"/>
        <item x="2194"/>
        <item x="1390"/>
        <item x="2219"/>
        <item x="1391"/>
        <item x="1269"/>
        <item x="476"/>
        <item x="479"/>
        <item x="961"/>
        <item x="1547"/>
        <item x="1137"/>
        <item x="994"/>
        <item x="33"/>
        <item x="973"/>
        <item x="1526"/>
        <item x="1527"/>
        <item x="2544"/>
        <item x="1615"/>
        <item x="488"/>
        <item x="485"/>
        <item x="717"/>
        <item x="2546"/>
        <item x="2545"/>
        <item x="2076"/>
        <item x="2543"/>
        <item x="716"/>
        <item x="2077"/>
        <item x="718"/>
        <item x="2542"/>
        <item x="489"/>
        <item x="1243"/>
        <item x="1927"/>
        <item x="569"/>
        <item x="1924"/>
        <item x="1528"/>
        <item x="1529"/>
        <item x="1530"/>
        <item x="2493"/>
        <item x="2376"/>
        <item x="2379"/>
        <item x="2377"/>
        <item x="2380"/>
        <item x="1361"/>
        <item x="445"/>
        <item x="2378"/>
        <item x="1654"/>
        <item x="1501"/>
        <item x="2242"/>
        <item x="2255"/>
        <item x="2495"/>
        <item x="2358"/>
        <item x="2280"/>
        <item x="1456"/>
        <item x="2140"/>
        <item x="1063"/>
        <item x="888"/>
        <item x="1455"/>
        <item x="1447"/>
        <item x="1843"/>
        <item x="1141"/>
        <item x="2132"/>
        <item x="179"/>
        <item x="1460"/>
        <item x="1175"/>
        <item x="1176"/>
        <item x="1173"/>
        <item x="1172"/>
        <item x="1174"/>
        <item x="1457"/>
        <item x="1453"/>
        <item x="384"/>
        <item x="1711"/>
        <item x="173"/>
        <item x="180"/>
        <item x="1445"/>
        <item x="2080"/>
        <item x="1712"/>
        <item x="2241"/>
        <item x="2135"/>
        <item x="2170"/>
        <item x="168"/>
        <item x="166"/>
        <item x="167"/>
        <item x="169"/>
        <item x="2172"/>
        <item x="1064"/>
        <item x="534"/>
        <item x="1110"/>
        <item x="1449"/>
        <item x="1454"/>
        <item x="1969"/>
        <item x="1452"/>
        <item x="1446"/>
        <item x="2396"/>
        <item x="2460"/>
        <item x="886"/>
        <item x="1429"/>
        <item x="1430"/>
        <item x="1428"/>
        <item x="1427"/>
        <item x="1648"/>
        <item x="2139"/>
        <item x="1975"/>
        <item x="175"/>
        <item x="2134"/>
        <item x="1426"/>
        <item x="1708"/>
        <item x="158"/>
        <item x="887"/>
        <item x="1974"/>
        <item x="2400"/>
        <item x="390"/>
        <item x="2250"/>
        <item x="26"/>
        <item x="1891"/>
        <item x="2136"/>
        <item x="1227"/>
        <item x="807"/>
        <item x="381"/>
        <item x="161"/>
        <item x="195"/>
        <item x="159"/>
        <item x="160"/>
        <item x="1825"/>
        <item x="388"/>
        <item x="174"/>
        <item x="171"/>
        <item x="1592"/>
        <item x="1593"/>
        <item x="1594"/>
        <item x="2535"/>
        <item x="389"/>
        <item x="2131"/>
        <item x="898"/>
        <item x="2393"/>
        <item x="163"/>
        <item x="2040"/>
        <item x="1972"/>
        <item x="176"/>
        <item x="1973"/>
        <item x="1450"/>
        <item x="1451"/>
        <item x="1905"/>
        <item x="1976"/>
        <item x="32"/>
        <item x="2138"/>
        <item x="1258"/>
        <item x="2137"/>
        <item x="1259"/>
        <item x="154"/>
        <item x="155"/>
        <item x="156"/>
        <item x="1444"/>
        <item x="164"/>
        <item x="239"/>
        <item x="2532"/>
        <item x="2533"/>
        <item x="2534"/>
        <item x="182"/>
        <item x="1979"/>
        <item x="1980"/>
        <item x="2496"/>
        <item x="1302"/>
        <item x="2256"/>
        <item x="900"/>
        <item x="889"/>
        <item x="1298"/>
        <item x="1833"/>
        <item x="162"/>
        <item x="1977"/>
        <item x="1544"/>
        <item x="1543"/>
        <item x="165"/>
        <item x="1301"/>
        <item x="1299"/>
        <item x="909"/>
        <item x="1300"/>
        <item x="1120"/>
        <item x="2397"/>
        <item x="1304"/>
        <item x="1305"/>
        <item x="1303"/>
        <item x="2171"/>
        <item x="170"/>
        <item x="172"/>
        <item x="1448"/>
        <item x="1978"/>
        <item x="1260"/>
        <item x="1595"/>
        <item x="2133"/>
        <item x="177"/>
        <item x="181"/>
        <item x="178"/>
        <item x="942"/>
        <item x="1638"/>
        <item x="890"/>
        <item x="217"/>
        <item x="1641"/>
        <item x="2168"/>
        <item x="935"/>
        <item x="537"/>
        <item x="880"/>
        <item x="1961"/>
        <item x="1984"/>
        <item x="1442"/>
        <item x="229"/>
        <item x="2038"/>
        <item x="523"/>
        <item x="515"/>
        <item x="514"/>
        <item x="518"/>
        <item x="1642"/>
        <item x="2399"/>
        <item x="531"/>
        <item x="2206"/>
        <item x="2208"/>
        <item x="2150"/>
        <item x="958"/>
        <item x="311"/>
        <item x="305"/>
        <item x="308"/>
        <item x="309"/>
        <item x="307"/>
        <item x="1691"/>
        <item x="417"/>
        <item x="416"/>
        <item x="583"/>
        <item x="2387"/>
        <item x="2388"/>
        <item x="310"/>
        <item x="636"/>
        <item x="635"/>
        <item x="306"/>
        <item x="582"/>
        <item x="312"/>
        <item x="634"/>
        <item x="304"/>
        <item x="1713"/>
        <item x="2146"/>
        <item x="2147"/>
        <item x="313"/>
        <item x="314"/>
        <item x="315"/>
        <item x="316"/>
        <item x="1367"/>
        <item x="1536"/>
        <item x="1494"/>
        <item x="2122"/>
        <item x="2034"/>
        <item x="191"/>
        <item x="2120"/>
        <item x="2119"/>
        <item x="769"/>
        <item x="188"/>
        <item x="2118"/>
        <item x="1632"/>
        <item x="187"/>
        <item x="1988"/>
        <item x="1204"/>
        <item x="1987"/>
        <item x="1205"/>
        <item x="2121"/>
        <item x="1206"/>
        <item x="1992"/>
        <item x="1990"/>
        <item x="1991"/>
        <item x="516"/>
        <item x="1116"/>
        <item x="1535"/>
        <item x="517"/>
        <item x="1209"/>
        <item x="1119"/>
        <item x="1714"/>
        <item x="1888"/>
        <item x="1208"/>
        <item x="1207"/>
        <item x="1435"/>
        <item x="1844"/>
        <item x="2182"/>
        <item x="2033"/>
        <item x="959"/>
        <item x="1830"/>
        <item x="1829"/>
        <item x="513"/>
        <item x="186"/>
        <item x="1117"/>
        <item x="1118"/>
        <item x="190"/>
        <item x="1989"/>
        <item x="184"/>
        <item x="189"/>
        <item x="183"/>
        <item x="185"/>
        <item x="1993"/>
        <item x="2218"/>
        <item x="1854"/>
        <item x="1257"/>
        <item x="1431"/>
        <item x="642"/>
        <item x="641"/>
        <item x="644"/>
        <item x="2503"/>
        <item x="643"/>
        <item x="1121"/>
        <item x="1122"/>
        <item x="1125"/>
        <item x="1126"/>
        <item x="1159"/>
        <item x="1156"/>
        <item x="1158"/>
        <item x="1155"/>
        <item x="1154"/>
        <item x="1157"/>
        <item x="299"/>
        <item x="1358"/>
        <item x="1869"/>
        <item x="1841"/>
        <item x="298"/>
        <item x="1842"/>
        <item x="1135"/>
        <item x="1803"/>
        <item x="1804"/>
        <item x="1136"/>
        <item x="2539"/>
        <item x="1233"/>
        <item x="1347"/>
        <item x="8"/>
        <item x="1357"/>
        <item x="269"/>
        <item x="1715"/>
        <item x="303"/>
        <item x="301"/>
        <item x="302"/>
        <item x="1316"/>
        <item x="1893"/>
        <item x="2455"/>
        <item x="646"/>
        <item x="892"/>
        <item x="1716"/>
        <item x="2178"/>
        <item x="1464"/>
        <item x="2210"/>
        <item x="2211"/>
        <item x="2209"/>
        <item x="650"/>
        <item x="12"/>
        <item x="1283"/>
        <item x="1284"/>
        <item x="1285"/>
        <item x="2247"/>
        <item x="915"/>
        <item x="1282"/>
        <item x="1286"/>
        <item x="1740"/>
        <item x="1983"/>
        <item x="1875"/>
        <item x="899"/>
        <item x="11"/>
        <item x="1256"/>
        <item x="386"/>
        <item x="1004"/>
        <item x="657"/>
        <item x="656"/>
        <item x="524"/>
        <item x="1634"/>
        <item x="201"/>
        <item x="665"/>
        <item x="1674"/>
        <item x="1400"/>
        <item x="1401"/>
        <item x="673"/>
        <item x="1942"/>
        <item x="1704"/>
        <item x="1705"/>
        <item x="2128"/>
        <item x="520"/>
        <item x="927"/>
        <item x="795"/>
        <item x="2264"/>
        <item x="924"/>
        <item x="1736"/>
        <item x="522"/>
        <item x="2322"/>
        <item x="1340"/>
        <item x="1517"/>
        <item x="1831"/>
        <item x="21"/>
        <item x="2459"/>
        <item x="998"/>
        <item x="245"/>
        <item x="246"/>
        <item x="1308"/>
        <item x="1379"/>
        <item x="631"/>
        <item x="630"/>
        <item x="995"/>
        <item x="1618"/>
        <item x="248"/>
        <item x="249"/>
        <item x="996"/>
        <item x="974"/>
        <item x="2197"/>
        <item x="1355"/>
        <item x="27"/>
        <item x="1643"/>
        <item x="1835"/>
        <item x="651"/>
        <item x="652"/>
        <item x="653"/>
        <item x="729"/>
        <item x="149"/>
        <item x="150"/>
        <item x="151"/>
        <item x="728"/>
        <item x="723"/>
        <item x="1644"/>
        <item x="964"/>
        <item x="20"/>
        <item x="1181"/>
        <item x="2029"/>
        <item x="2498"/>
        <item x="571"/>
        <item x="2540"/>
        <item x="960"/>
        <item x="1620"/>
        <item x="420"/>
        <item x="572"/>
        <item x="1717"/>
        <item x="1542"/>
        <item x="1540"/>
        <item x="1541"/>
        <item x="2078"/>
        <item x="2385"/>
        <item x="1495"/>
        <item x="1815"/>
        <item x="1145"/>
        <item x="1816"/>
        <item x="2085"/>
        <item x="1160"/>
        <item x="1730"/>
        <item x="791"/>
        <item x="1337"/>
        <item x="131"/>
        <item x="2175"/>
        <item x="130"/>
        <item x="45"/>
        <item x="1897"/>
        <item x="1094"/>
        <item x="1906"/>
        <item x="1343"/>
        <item x="2008"/>
        <item x="999"/>
        <item x="803"/>
        <item x="1351"/>
        <item x="1371"/>
        <item x="1837"/>
        <item x="768"/>
        <item x="655"/>
        <item x="2502"/>
        <item x="2452"/>
        <item x="2451"/>
        <item x="607"/>
        <item x="608"/>
        <item x="1065"/>
        <item x="1066"/>
        <item x="1814"/>
        <item x="1817"/>
        <item x="2494"/>
        <item x="2391"/>
        <item x="2392"/>
        <item x="581"/>
        <item x="1650"/>
        <item x="1859"/>
        <item x="2445"/>
        <item x="52"/>
        <item x="66"/>
        <item x="919"/>
        <item x="119"/>
        <item x="63"/>
        <item x="328"/>
        <item x="918"/>
        <item x="1611"/>
        <item x="1570"/>
        <item x="454"/>
        <item x="1114"/>
        <item x="1469"/>
        <item x="1788"/>
        <item x="1789"/>
        <item x="1790"/>
        <item x="1470"/>
        <item x="2007"/>
        <item x="1471"/>
        <item x="1786"/>
        <item x="329"/>
        <item x="1571"/>
        <item x="917"/>
        <item x="1787"/>
        <item x="1216"/>
        <item x="1222"/>
        <item x="1217"/>
        <item x="2449"/>
        <item x="1218"/>
        <item x="2448"/>
        <item x="1219"/>
        <item x="1220"/>
        <item x="1221"/>
        <item x="1557"/>
        <item x="1566"/>
        <item x="1567"/>
        <item x="1568"/>
        <item x="1558"/>
        <item x="1559"/>
        <item x="1560"/>
        <item x="1561"/>
        <item x="1562"/>
        <item x="1563"/>
        <item x="1564"/>
        <item x="1565"/>
        <item x="1774"/>
        <item x="2447"/>
        <item x="2104"/>
        <item x="2103"/>
        <item x="2177"/>
        <item x="2176"/>
        <item x="453"/>
        <item x="50"/>
        <item x="120"/>
        <item x="1958"/>
        <item x="1395"/>
        <item x="51"/>
        <item x="2079"/>
        <item x="1889"/>
        <item x="1890"/>
        <item x="65"/>
        <item x="117"/>
        <item x="471"/>
        <item x="916"/>
        <item x="2117"/>
        <item x="1569"/>
        <item x="49"/>
        <item x="64"/>
        <item x="920"/>
        <item x="1573"/>
        <item x="330"/>
        <item x="62"/>
        <item x="2092"/>
        <item x="2100"/>
        <item x="2101"/>
        <item x="2102"/>
        <item x="2093"/>
        <item x="2094"/>
        <item x="2095"/>
        <item x="2096"/>
        <item x="2097"/>
        <item x="2098"/>
        <item x="407"/>
        <item x="2099"/>
        <item x="669"/>
        <item x="670"/>
        <item x="671"/>
        <item x="1858"/>
        <item x="637"/>
        <item x="638"/>
        <item x="639"/>
        <item x="640"/>
        <item x="1572"/>
        <item x="406"/>
        <item x="2467"/>
        <item x="1860"/>
        <item x="663"/>
        <item x="1731"/>
        <item x="1732"/>
        <item x="2339"/>
        <item x="2337"/>
        <item x="2538"/>
        <item x="2537"/>
        <item x="1255"/>
        <item x="1496"/>
        <item x="25"/>
        <item x="24"/>
        <item x="1161"/>
        <item x="258"/>
        <item x="263"/>
        <item x="2193"/>
        <item x="1236"/>
        <item x="2011"/>
        <item x="1545"/>
        <item x="1546"/>
        <item x="1849"/>
        <item x="1850"/>
        <item x="2200"/>
        <item x="2201"/>
        <item x="2202"/>
        <item x="2203"/>
        <item x="2204"/>
        <item x="746"/>
        <item x="747"/>
        <item x="748"/>
        <item x="749"/>
        <item x="750"/>
        <item x="751"/>
        <item x="752"/>
        <item x="753"/>
        <item x="754"/>
        <item x="755"/>
        <item x="1600"/>
        <item x="1996"/>
        <item x="1879"/>
        <item x="790"/>
        <item x="2518"/>
        <item x="2517"/>
        <item x="1336"/>
        <item x="1861"/>
        <item x="2519"/>
        <item x="440"/>
        <item x="1703"/>
        <item x="1556"/>
        <item x="1555"/>
        <item x="1941"/>
        <item x="664"/>
        <item x="1047"/>
        <item x="438"/>
        <item x="1381"/>
        <item x="437"/>
        <item x="1332"/>
        <item x="672"/>
        <item x="439"/>
        <item x="2338"/>
        <item x="1943"/>
        <item x="1826"/>
        <item x="1710"/>
        <item x="570"/>
        <item x="1410"/>
        <item x="1417"/>
        <item x="1462"/>
        <item x="2081"/>
        <item x="1461"/>
        <item x="1622"/>
        <item x="632"/>
        <item x="1419"/>
        <item x="1413"/>
        <item x="1412"/>
        <item x="1416"/>
        <item x="1365"/>
        <item x="654"/>
        <item x="1123"/>
        <item x="1124"/>
        <item x="966"/>
        <item x="965"/>
        <item x="1418"/>
        <item x="244"/>
        <item x="1411"/>
        <item x="1415"/>
        <item x="1409"/>
        <item x="1414"/>
        <item x="538"/>
        <item x="539"/>
        <item x="540"/>
        <item x="541"/>
        <item x="1420"/>
        <item x="1421"/>
        <item x="2469"/>
        <item x="2470"/>
        <item x="2151"/>
        <item x="411"/>
        <item x="667"/>
        <item x="666"/>
        <item x="1734"/>
        <item x="2217"/>
        <item x="2390"/>
        <item x="715"/>
        <item x="403"/>
        <item x="490"/>
        <item x="491"/>
        <item x="492"/>
        <item x="1665"/>
        <item x="484"/>
        <item x="1949"/>
        <item x="1652"/>
        <item x="57"/>
        <item x="709"/>
        <item x="2000"/>
        <item x="1659"/>
        <item x="1658"/>
        <item x="1657"/>
        <item x="1666"/>
        <item x="1668"/>
        <item x="1472"/>
        <item x="1733"/>
        <item x="480"/>
        <item x="452"/>
        <item x="2335"/>
        <item x="408"/>
        <item x="409"/>
        <item x="1170"/>
        <item x="410"/>
        <item x="358"/>
        <item x="2240"/>
        <item x="1940"/>
        <item x="1502"/>
        <item x="2333"/>
        <item x="124"/>
        <item x="125"/>
        <item x="1997"/>
        <item x="123"/>
        <item x="2334"/>
        <item x="443"/>
        <item x="442"/>
        <item x="357"/>
        <item x="483"/>
        <item x="447"/>
        <item x="721"/>
        <item x="481"/>
        <item x="482"/>
        <item x="702"/>
        <item x="701"/>
        <item x="1671"/>
        <item x="2331"/>
        <item x="2328"/>
        <item x="2330"/>
        <item x="1998"/>
        <item x="129"/>
        <item x="1669"/>
        <item x="1670"/>
        <item x="2329"/>
        <item x="1655"/>
        <item x="451"/>
        <item x="413"/>
        <item x="414"/>
        <item x="1225"/>
        <item x="1224"/>
        <item x="1223"/>
        <item x="446"/>
        <item x="121"/>
        <item x="122"/>
        <item x="1402"/>
        <item x="1681"/>
        <item x="2512"/>
        <item x="1242"/>
        <item x="1240"/>
        <item x="1241"/>
        <item x="1239"/>
        <item x="1238"/>
        <item x="444"/>
        <item x="448"/>
        <item x="1504"/>
        <item x="1505"/>
        <item x="1880"/>
        <item x="1503"/>
        <item x="1682"/>
        <item x="1683"/>
        <item x="1663"/>
        <item x="1661"/>
        <item x="1660"/>
        <item x="1664"/>
        <item x="1662"/>
        <item x="127"/>
        <item x="126"/>
        <item x="128"/>
        <item x="710"/>
        <item x="1423"/>
        <item x="1795"/>
        <item x="392"/>
        <item x="1059"/>
        <item x="1278"/>
        <item x="1280"/>
        <item x="1438"/>
        <item x="1279"/>
        <item x="1437"/>
        <item x="365"/>
        <item x="799"/>
        <item x="364"/>
        <item x="228"/>
        <item x="2500"/>
        <item x="2501"/>
        <item x="1213"/>
        <item x="393"/>
        <item x="1214"/>
        <item x="1211"/>
        <item x="1210"/>
        <item x="1212"/>
        <item x="1215"/>
        <item x="793"/>
        <item x="533"/>
        <item x="430"/>
        <item x="794"/>
        <item x="429"/>
        <item x="1356"/>
        <item x="1499"/>
        <item x="431"/>
        <item x="1069"/>
        <item x="1070"/>
        <item x="770"/>
        <item x="2404"/>
        <item x="1237"/>
        <item x="1840"/>
        <item x="801"/>
        <item x="373"/>
        <item x="1802"/>
        <item x="1250"/>
        <item x="814"/>
        <item x="1531"/>
        <item x="812"/>
        <item x="813"/>
        <item x="2536"/>
        <item x="1368"/>
        <item x="2158"/>
        <item x="1931"/>
        <item x="2110"/>
        <item x="1268"/>
        <item x="1599"/>
        <item x="815"/>
        <item x="1744"/>
        <item x="1083"/>
        <item x="1598"/>
        <item x="1082"/>
        <item x="1097"/>
        <item x="2272"/>
        <item x="1023"/>
        <item x="609"/>
        <item x="846"/>
        <item x="844"/>
        <item x="1081"/>
        <item x="2522"/>
        <item x="2109"/>
        <item x="847"/>
        <item x="116"/>
        <item x="851"/>
        <item x="1071"/>
        <item x="2473"/>
        <item x="2443"/>
        <item x="2381"/>
        <item x="2382"/>
        <item x="2383"/>
        <item x="2384"/>
        <item x="2261"/>
        <item x="1581"/>
        <item x="1811"/>
        <item x="2497"/>
        <item x="1718"/>
        <item x="1819"/>
        <item x="1532"/>
        <item x="1335"/>
        <item x="2504"/>
        <item x="1597"/>
        <item x="1027"/>
        <item x="1029"/>
        <item x="1586"/>
        <item x="1587"/>
        <item x="763"/>
        <item x="1072"/>
        <item x="765"/>
        <item x="1073"/>
        <item x="873"/>
        <item x="1353"/>
        <item x="1016"/>
        <item x="764"/>
        <item x="1074"/>
        <item x="1352"/>
        <item x="1354"/>
        <item x="762"/>
        <item x="662"/>
        <item x="866"/>
        <item x="474"/>
        <item x="1588"/>
        <item x="2273"/>
        <item x="486"/>
        <item x="58"/>
        <item x="1079"/>
        <item x="2274"/>
        <item x="2281"/>
        <item x="2275"/>
        <item x="1585"/>
        <item x="2269"/>
        <item x="1582"/>
        <item x="1584"/>
        <item x="2271"/>
        <item x="848"/>
        <item x="478"/>
        <item x="1583"/>
        <item x="1080"/>
        <item x="843"/>
        <item x="2266"/>
        <item x="845"/>
        <item x="1350"/>
        <item x="1349"/>
        <item x="1014"/>
        <item x="1009"/>
        <item x="1013"/>
        <item x="1011"/>
        <item x="1010"/>
        <item x="1012"/>
        <item x="849"/>
        <item x="1020"/>
        <item x="1021"/>
        <item x="1019"/>
        <item x="1735"/>
        <item x="1022"/>
        <item x="867"/>
        <item x="1955"/>
        <item x="869"/>
        <item x="1015"/>
        <item x="1876"/>
        <item x="1043"/>
        <item x="865"/>
        <item x="136"/>
        <item x="118"/>
        <item x="133"/>
        <item x="134"/>
        <item x="135"/>
        <item x="477"/>
        <item x="840"/>
        <item x="2386"/>
        <item x="2270"/>
        <item x="61"/>
        <item x="59"/>
        <item x="475"/>
        <item x="761"/>
        <item x="60"/>
        <item x="2525"/>
        <item x="412"/>
        <item x="2190"/>
        <item x="506"/>
        <item x="1385"/>
        <item x="725"/>
        <item x="1886"/>
        <item x="0"/>
        <item x="1"/>
        <item x="2215"/>
        <item x="923"/>
        <item x="2028"/>
        <item x="617"/>
        <item x="618"/>
        <item x="645"/>
        <item x="588"/>
        <item x="290"/>
        <item x="785"/>
        <item x="1695"/>
        <item x="1696"/>
        <item x="2465"/>
        <item x="1765"/>
        <item x="1751"/>
        <item x="1749"/>
        <item x="1752"/>
        <item x="2216"/>
        <item x="1759"/>
        <item x="1760"/>
        <item x="589"/>
        <item x="1756"/>
        <item x="1755"/>
        <item x="1767"/>
        <item x="421"/>
        <item x="773"/>
        <item x="1764"/>
        <item x="1513"/>
        <item x="286"/>
        <item x="1510"/>
        <item x="285"/>
        <item x="2189"/>
        <item x="2505"/>
        <item x="788"/>
        <item x="784"/>
        <item x="594"/>
        <item x="1771"/>
        <item x="557"/>
        <item x="558"/>
        <item x="1707"/>
        <item x="1769"/>
        <item x="783"/>
        <item x="1626"/>
        <item x="613"/>
        <item x="2267"/>
        <item x="612"/>
        <item x="1738"/>
        <item x="1748"/>
        <item x="2463"/>
        <item x="2509"/>
        <item x="2508"/>
        <item x="2510"/>
        <item x="2507"/>
        <item x="1967"/>
        <item x="928"/>
        <item x="504"/>
        <item x="893"/>
        <item x="1877"/>
        <item x="2161"/>
        <item x="511"/>
        <item x="2057"/>
        <item x="2268"/>
        <item x="1171"/>
        <item x="1140"/>
        <item x="526"/>
        <item x="727"/>
        <item x="268"/>
        <item x="804"/>
        <item x="805"/>
        <item x="1183"/>
        <item x="267"/>
        <item x="264"/>
        <item x="986"/>
        <item x="987"/>
        <item x="1623"/>
        <item x="2527"/>
        <item x="1621"/>
        <item x="1796"/>
        <item x="2526"/>
        <item x="266"/>
        <item x="265"/>
        <item x="157"/>
        <item x="2450"/>
        <item x="425"/>
        <item x="2345"/>
        <item x="633"/>
        <item x="426"/>
        <item x="1693"/>
        <item x="1887"/>
        <item x="628"/>
        <item x="626"/>
        <item x="271"/>
        <item x="1750"/>
        <item x="1757"/>
        <item x="273"/>
        <item x="2357"/>
        <item x="300"/>
        <item x="424"/>
        <item x="1762"/>
        <item x="1773"/>
        <item x="1772"/>
        <item x="2464"/>
        <item x="2213"/>
        <item x="2192"/>
        <item x="361"/>
        <item x="1311"/>
        <item x="1741"/>
        <item x="1754"/>
        <item x="1185"/>
        <item x="291"/>
        <item x="295"/>
        <item x="360"/>
        <item x="362"/>
        <item x="781"/>
        <item x="1312"/>
        <item x="1310"/>
        <item x="782"/>
        <item x="1554"/>
        <item x="2441"/>
        <item x="1313"/>
        <item x="1753"/>
        <item x="1190"/>
        <item x="287"/>
        <item x="1493"/>
        <item x="2248"/>
        <item x="1184"/>
        <item x="1553"/>
        <item x="363"/>
        <item x="732"/>
        <item x="1186"/>
        <item x="738"/>
        <item x="2018"/>
        <item x="1187"/>
        <item x="270"/>
        <item x="1188"/>
        <item x="2014"/>
        <item x="2015"/>
        <item x="1272"/>
        <item x="1694"/>
        <item x="284"/>
        <item x="1689"/>
        <item x="2017"/>
        <item x="614"/>
        <item x="1758"/>
        <item x="625"/>
        <item x="2016"/>
        <item x="1868"/>
        <item x="1341"/>
        <item x="1342"/>
        <item x="610"/>
        <item x="560"/>
        <item x="1761"/>
        <item x="1747"/>
        <item x="800"/>
        <item x="1589"/>
        <item x="1957"/>
        <item x="1590"/>
        <item x="113"/>
        <item x="114"/>
        <item x="2340"/>
        <item x="401"/>
        <item x="1539"/>
        <item x="1538"/>
        <item x="402"/>
        <item x="621"/>
        <item x="1512"/>
        <item x="2354"/>
        <item x="598"/>
        <item x="595"/>
        <item x="17"/>
        <item x="2249"/>
        <item x="786"/>
        <item x="2506"/>
        <item x="787"/>
        <item x="620"/>
        <item x="590"/>
        <item x="288"/>
        <item x="778"/>
        <item x="774"/>
        <item x="423"/>
        <item x="624"/>
        <item x="19"/>
        <item x="772"/>
        <item x="337"/>
        <item x="2"/>
        <item x="775"/>
        <item x="14"/>
        <item x="1191"/>
        <item x="1839"/>
        <item x="1706"/>
        <item x="1838"/>
        <item x="1724"/>
        <item x="278"/>
        <item x="767"/>
        <item x="1745"/>
        <item x="591"/>
        <item x="592"/>
        <item x="1254"/>
        <item x="593"/>
        <item x="359"/>
        <item x="2199"/>
        <item x="2198"/>
        <item x="2042"/>
        <item x="922"/>
        <item x="1970"/>
        <item x="2251"/>
        <item x="391"/>
        <item x="1251"/>
        <item x="1508"/>
        <item x="2180"/>
        <item x="2169"/>
        <item x="1986"/>
        <item x="1649"/>
        <item x="929"/>
        <item x="1244"/>
        <item x="938"/>
        <item x="374"/>
        <item x="505"/>
        <item x="1245"/>
        <item x="376"/>
        <item x="512"/>
        <item x="1963"/>
        <item x="1962"/>
        <item x="937"/>
        <item x="2181"/>
        <item x="2212"/>
        <item x="2453"/>
        <item x="1433"/>
        <item x="1434"/>
        <item x="1246"/>
        <item x="503"/>
        <item x="2179"/>
        <item x="535"/>
        <item x="1263"/>
        <item x="1144"/>
        <item x="941"/>
        <item x="1834"/>
        <item x="1265"/>
        <item x="1112"/>
        <item x="2246"/>
        <item x="1138"/>
        <item x="1264"/>
        <item x="1111"/>
        <item x="1113"/>
        <item x="1262"/>
        <item x="2214"/>
        <item x="720"/>
        <item x="731"/>
        <item x="1509"/>
        <item x="2174"/>
        <item x="1252"/>
        <item x="1194"/>
        <item x="1193"/>
        <item x="1192"/>
        <item x="2296"/>
        <item x="1189"/>
        <item x="1763"/>
        <item x="771"/>
        <item x="619"/>
        <item x="587"/>
        <item x="277"/>
        <item x="2049"/>
        <item x="1511"/>
        <item x="276"/>
        <item x="616"/>
        <item x="282"/>
        <item x="559"/>
        <item x="275"/>
        <item x="2356"/>
        <item x="296"/>
        <item x="776"/>
        <item x="289"/>
        <item x="292"/>
        <item x="779"/>
        <item x="780"/>
        <item x="294"/>
        <item x="1551"/>
        <item x="777"/>
        <item x="1475"/>
        <item x="1746"/>
        <item x="293"/>
        <item x="1195"/>
        <item x="297"/>
        <item x="1330"/>
        <item x="2191"/>
        <item x="1196"/>
        <item x="1552"/>
        <item x="422"/>
        <item x="1389"/>
        <item x="1770"/>
        <item x="1253"/>
        <item x="1314"/>
        <item x="629"/>
        <item x="2048"/>
        <item x="1514"/>
        <item x="623"/>
        <item x="274"/>
        <item x="2252"/>
        <item x="18"/>
        <item x="1768"/>
        <item x="599"/>
        <item x="615"/>
        <item x="1153"/>
        <item x="1152"/>
        <item x="1151"/>
        <item x="596"/>
        <item x="597"/>
        <item x="622"/>
        <item x="561"/>
        <item x="563"/>
        <item x="562"/>
        <item x="280"/>
        <item x="283"/>
        <item x="611"/>
        <item x="279"/>
        <item x="1688"/>
        <item x="627"/>
        <item x="1766"/>
        <item x="272"/>
        <item x="1148"/>
        <item x="1507"/>
        <item x="745"/>
        <item x="1828"/>
        <item x="940"/>
        <item x="1966"/>
        <item x="939"/>
        <item x="1058"/>
        <item x="1057"/>
        <item x="2035"/>
        <item x="2036"/>
        <item x="1633"/>
        <item x="1646"/>
        <item x="2041"/>
        <item x="2313"/>
        <item x="375"/>
        <item x="1005"/>
        <item x="378"/>
        <item x="525"/>
        <item x="2314"/>
        <item x="377"/>
        <item x="2403"/>
        <item x="2402"/>
        <item x="1699"/>
        <item x="1108"/>
        <item x="1107"/>
        <item x="31"/>
        <item x="366"/>
        <item x="1645"/>
        <item x="29"/>
        <item x="28"/>
        <item x="367"/>
        <item x="2315"/>
        <item x="2056"/>
        <item x="1965"/>
        <item x="30"/>
        <item x="1247"/>
        <item x="1964"/>
        <item x="1424"/>
        <item x="953"/>
        <item x="1647"/>
        <item x="1737"/>
        <item x="1307"/>
        <item x="2043"/>
        <item x="527"/>
        <item x="1698"/>
        <item x="1985"/>
        <item x="536"/>
        <item x="739"/>
        <item x="2437"/>
        <item x="2306"/>
        <item x="2446"/>
        <item x="1482"/>
        <item x="1480"/>
        <item x="977"/>
        <item x="1930"/>
        <item x="1929"/>
        <item x="2022"/>
        <item x="1928"/>
        <item x="975"/>
        <item x="976"/>
        <item x="2228"/>
        <item x="1518"/>
        <item x="1485"/>
        <item x="1481"/>
        <item x="1479"/>
        <item x="1478"/>
        <item x="1487"/>
        <item x="2233"/>
        <item x="2235"/>
        <item x="742"/>
        <item x="2229"/>
        <item x="2230"/>
        <item x="2231"/>
        <item x="2232"/>
        <item x="1533"/>
        <item x="2237"/>
        <item x="2238"/>
        <item x="2239"/>
        <item x="2234"/>
        <item x="2486"/>
        <item x="2487"/>
        <item x="2483"/>
        <item x="2484"/>
        <item x="2485"/>
        <item x="2012"/>
        <item x="600"/>
        <item x="2528"/>
        <item x="2529"/>
        <item x="1133"/>
        <item x="2196"/>
        <item x="2083"/>
        <item x="2084"/>
        <item x="2082"/>
        <item x="1921"/>
        <item x="1484"/>
        <item x="1881"/>
        <item x="1483"/>
        <item x="1922"/>
        <item x="1476"/>
        <item x="1489"/>
        <item x="1132"/>
        <item x="1488"/>
        <item x="1477"/>
        <item x="2173"/>
        <item x="2195"/>
        <item x="1131"/>
        <item x="1923"/>
        <item x="1182"/>
        <item x="1899"/>
        <item x="2341"/>
        <item x="1895"/>
        <item x="2342"/>
        <item x="1894"/>
        <item x="2113"/>
        <item x="819"/>
        <item x="1944"/>
        <item x="818"/>
        <item x="281"/>
        <item x="1486"/>
        <item x="2236"/>
        <item x="2420"/>
        <item x="2419"/>
        <item x="2421"/>
        <item x="925"/>
        <item x="1500"/>
        <item x="936"/>
        <item x="528"/>
        <item x="1143"/>
        <item x="2129"/>
        <item x="1106"/>
        <item x="926"/>
        <item x="1105"/>
        <item x="2088"/>
        <item x="1832"/>
        <item x="1002"/>
        <item x="1277"/>
        <item x="1377"/>
        <item x="1885"/>
        <item x="1994"/>
        <item x="1033"/>
        <item x="1884"/>
        <item x="2304"/>
        <item x="1852"/>
        <item x="1851"/>
        <item x="1952"/>
        <item x="1953"/>
        <item x="1954"/>
        <item x="1165"/>
        <item x="1034"/>
        <item x="418"/>
        <item x="1466"/>
        <item x="574"/>
        <item x="573"/>
        <item x="415"/>
        <item x="1498"/>
        <item x="577"/>
        <item x="1690"/>
        <item x="1497"/>
        <item x="1719"/>
        <item x="1848"/>
        <item x="2350"/>
        <item x="576"/>
        <item x="2050"/>
        <item x="2351"/>
        <item x="1739"/>
        <item x="2352"/>
        <item x="2353"/>
        <item x="575"/>
        <item x="2355"/>
        <item x="2116"/>
        <item x="719"/>
        <item x="318"/>
        <item x="1422"/>
        <item x="317"/>
        <item x="981"/>
        <item x="881"/>
        <item x="882"/>
        <item x="883"/>
        <item x="1436"/>
        <item x="1721"/>
        <item x="2321"/>
        <item x="10"/>
        <item x="2244"/>
        <item x="2044"/>
        <item x="1793"/>
        <item x="2320"/>
        <item x="2243"/>
        <item x="2045"/>
        <item x="884"/>
        <item x="744"/>
        <item x="885"/>
        <item x="1443"/>
        <item x="394"/>
        <item x="1720"/>
        <item x="1139"/>
        <item x="1403"/>
        <item x="1331"/>
        <item x="380"/>
        <item x="1405"/>
        <item x="682"/>
        <item x="1408"/>
        <item x="1459"/>
        <item x="338"/>
        <item x="2064"/>
        <item x="1673"/>
        <item x="1537"/>
        <item x="895"/>
        <item x="2220"/>
        <item x="1534"/>
        <item x="1146"/>
        <item x="789"/>
        <item x="1404"/>
        <item x="48"/>
        <item x="1407"/>
        <item x="1406"/>
        <item x="1900"/>
        <item x="1901"/>
        <item x="1903"/>
        <item x="1902"/>
        <item x="1904"/>
        <item x="820"/>
        <item x="2520"/>
        <item x="1380"/>
        <item x="1315"/>
        <item x="1656"/>
        <item x="1516"/>
        <item x="1346"/>
        <item x="838"/>
        <item x="1945"/>
        <item x="874"/>
        <item x="1722"/>
        <item x="821"/>
        <item x="839"/>
        <item x="817"/>
        <item x="831"/>
        <item x="493"/>
        <item x="495"/>
        <item x="1723"/>
        <item x="837"/>
        <item x="832"/>
        <item x="496"/>
        <item x="835"/>
        <item x="2336"/>
        <item x="836"/>
        <item x="1006"/>
        <item x="833"/>
        <item x="1524"/>
        <item x="1651"/>
        <item x="2332"/>
        <item x="1007"/>
        <item x="834"/>
        <item x="1008"/>
        <item x="2468"/>
        <item x="494"/>
        <item x="498"/>
        <item x="497"/>
        <item x="1525"/>
        <item x="1612"/>
        <item x="2009"/>
        <item x="2362"/>
        <item x="427"/>
        <item x="982"/>
        <item x="2361"/>
        <item x="972"/>
        <item x="978"/>
        <item x="2359"/>
        <item x="428"/>
        <item x="2013"/>
        <item x="1692"/>
        <item x="22"/>
        <item x="148"/>
        <item x="146"/>
        <item x="147"/>
        <item x="1463"/>
        <item x="1226"/>
        <item x="152"/>
        <item x="9"/>
        <item x="2111"/>
        <item x="1951"/>
        <item x="1093"/>
        <item x="567"/>
        <item x="568"/>
        <item x="1925"/>
        <item x="1092"/>
        <item x="1926"/>
        <item x="2145"/>
        <item x="1134"/>
        <item x="1364"/>
        <item x="1394"/>
        <item x="1348"/>
        <item x="16"/>
        <item x="1863"/>
        <item x="1235"/>
        <item x="1234"/>
        <item x="15"/>
        <item x="1864"/>
        <item x="1862"/>
        <item x="2302"/>
        <item x="2298"/>
        <item x="2299"/>
        <item x="2297"/>
        <item x="2300"/>
        <item x="2301"/>
        <item x="1617"/>
        <item x="1468"/>
        <item x="1798"/>
        <item x="1800"/>
        <item x="1799"/>
        <item x="1797"/>
        <item x="1801"/>
        <item x="2245"/>
        <item x="2426"/>
        <item x="578"/>
        <item x="2422"/>
        <item x="2424"/>
        <item x="2425"/>
        <item x="580"/>
        <item x="1067"/>
        <item x="579"/>
        <item x="2423"/>
        <item x="997"/>
        <item x="247"/>
        <item x="586"/>
        <item x="469"/>
        <item x="687"/>
        <item x="830"/>
        <item x="1783"/>
        <item x="82"/>
        <item x="2053"/>
        <item x="1782"/>
        <item x="461"/>
        <item x="1101"/>
        <item x="1095"/>
        <item x="829"/>
        <item x="97"/>
        <item x="2052"/>
        <item x="112"/>
        <item x="91"/>
        <item x="465"/>
        <item x="1938"/>
        <item x="691"/>
        <item x="89"/>
        <item x="1939"/>
        <item x="1608"/>
        <item x="2283"/>
        <item x="2282"/>
        <item x="104"/>
        <item x="828"/>
        <item x="96"/>
        <item x="827"/>
        <item x="861"/>
        <item x="470"/>
        <item x="460"/>
        <item x="95"/>
        <item x="741"/>
        <item x="2046"/>
        <item x="335"/>
        <item x="2075"/>
        <item x="692"/>
        <item x="823"/>
        <item x="1338"/>
        <item x="333"/>
        <item x="2073"/>
        <item x="1375"/>
        <item x="1374"/>
        <item x="824"/>
        <item x="1934"/>
        <item x="730"/>
        <item x="683"/>
        <item x="740"/>
        <item x="822"/>
        <item x="2002"/>
        <item x="1935"/>
        <item x="334"/>
        <item x="1898"/>
        <item x="2074"/>
        <item x="1339"/>
        <item x="1726"/>
        <item x="2001"/>
        <item x="84"/>
        <item x="74"/>
        <item x="1933"/>
        <item x="921"/>
        <item x="467"/>
        <item x="2515"/>
        <item x="1607"/>
        <item x="1606"/>
        <item x="78"/>
        <item x="77"/>
        <item x="1624"/>
        <item x="2475"/>
        <item x="1878"/>
        <item x="2069"/>
        <item x="466"/>
        <item x="2068"/>
        <item x="458"/>
        <item x="86"/>
        <item x="463"/>
        <item x="2072"/>
        <item x="2070"/>
        <item x="2054"/>
        <item x="1870"/>
        <item x="459"/>
        <item x="2071"/>
        <item x="87"/>
        <item x="93"/>
        <item x="1781"/>
        <item x="2513"/>
        <item x="825"/>
        <item x="864"/>
        <item x="98"/>
        <item x="2005"/>
        <item x="81"/>
        <item x="860"/>
        <item x="2284"/>
        <item x="2286"/>
        <item x="76"/>
        <item x="75"/>
        <item x="858"/>
        <item x="826"/>
        <item x="2514"/>
        <item x="1602"/>
        <item x="1601"/>
        <item x="1605"/>
        <item x="1603"/>
        <item x="1780"/>
        <item x="1778"/>
        <item x="2477"/>
        <item x="2476"/>
        <item x="1779"/>
        <item x="1777"/>
        <item x="1823"/>
        <item x="1821"/>
        <item x="1822"/>
        <item x="2067"/>
        <item x="2065"/>
        <item x="2066"/>
        <item x="2479"/>
        <item x="2478"/>
        <item x="1937"/>
        <item x="2389"/>
        <item x="697"/>
        <item x="699"/>
        <item x="696"/>
        <item x="698"/>
        <item x="43"/>
        <item x="1775"/>
        <item x="42"/>
        <item x="1363"/>
        <item x="700"/>
        <item x="694"/>
        <item x="1609"/>
        <item x="693"/>
        <item x="1936"/>
        <item x="1610"/>
        <item x="695"/>
        <item x="1725"/>
        <item x="103"/>
        <item x="83"/>
        <item x="85"/>
        <item x="106"/>
        <item x="94"/>
        <item x="110"/>
        <item x="462"/>
        <item x="105"/>
        <item x="1625"/>
        <item x="684"/>
        <item x="107"/>
        <item x="92"/>
        <item x="2516"/>
        <item x="111"/>
        <item x="1932"/>
        <item x="1162"/>
        <item x="1492"/>
        <item x="688"/>
        <item x="2285"/>
        <item x="115"/>
        <item x="1785"/>
        <item x="436"/>
        <item x="1604"/>
        <item x="1099"/>
        <item x="689"/>
        <item x="90"/>
        <item x="1096"/>
        <item x="686"/>
        <item x="468"/>
        <item x="80"/>
        <item x="464"/>
        <item x="2167"/>
        <item x="857"/>
        <item x="1824"/>
        <item x="457"/>
        <item x="331"/>
        <item x="859"/>
        <item x="332"/>
        <item x="79"/>
        <item x="2051"/>
        <item x="1784"/>
        <item x="1491"/>
        <item x="2432"/>
        <item x="2431"/>
        <item x="2433"/>
        <item x="2427"/>
        <item x="2436"/>
        <item x="2435"/>
        <item x="2434"/>
        <item x="2428"/>
        <item x="2430"/>
        <item x="2429"/>
        <item x="1164"/>
        <item x="1163"/>
        <item x="109"/>
        <item x="100"/>
        <item x="99"/>
        <item x="456"/>
        <item x="101"/>
        <item x="2263"/>
        <item x="1100"/>
        <item x="862"/>
        <item x="690"/>
        <item x="88"/>
        <item x="685"/>
        <item x="722"/>
        <item x="240"/>
        <item x="241"/>
        <item x="1743"/>
        <item x="1742"/>
        <item x="2023"/>
        <item x="1376"/>
        <item x="1865"/>
        <item x="2293"/>
        <item x="2294"/>
        <item x="2295"/>
        <item x="532"/>
        <item x="2059"/>
        <item x="2061"/>
        <item x="1968"/>
        <item x="908"/>
        <item x="2032"/>
        <item x="220"/>
        <item x="548"/>
        <item x="546"/>
        <item x="1882"/>
        <item x="1728"/>
        <item x="553"/>
        <item x="1228"/>
        <item x="1229"/>
        <item x="551"/>
        <item x="2278"/>
        <item x="905"/>
        <item x="549"/>
        <item x="554"/>
        <item x="2125"/>
        <item x="555"/>
        <item x="556"/>
        <item x="2279"/>
        <item x="550"/>
        <item x="1883"/>
        <item x="902"/>
        <item x="1104"/>
        <item x="552"/>
        <item x="545"/>
        <item x="218"/>
        <item x="219"/>
        <item x="1727"/>
        <item x="901"/>
        <item x="1629"/>
        <item x="23"/>
        <item x="1103"/>
        <item x="1102"/>
        <item x="1628"/>
        <item x="1627"/>
        <item x="904"/>
        <item x="1630"/>
        <item x="1729"/>
        <item x="2123"/>
        <item x="547"/>
        <item x="1319"/>
        <item x="906"/>
        <item x="907"/>
        <item x="385"/>
        <item x="903"/>
        <item x="2058"/>
        <item x="2060"/>
        <item x="2062"/>
        <item x="1432"/>
        <item x="2124"/>
        <item x="1847"/>
        <item x="1845"/>
        <item x="1846"/>
        <item x="1896"/>
        <item x="1619"/>
        <item x="2055"/>
        <item x="521"/>
        <item x="1522"/>
        <item x="507"/>
        <item x="1523"/>
        <item x="2126"/>
        <item x="2127"/>
        <item x="724"/>
        <item x="2474"/>
        <item x="238"/>
        <item x="2346"/>
        <item x="1382"/>
        <item x="1383"/>
        <item x="1384"/>
        <item x="713"/>
        <item x="102"/>
      </items>
    </pivotField>
    <pivotField name="UKUR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t="default"/>
      </items>
    </pivotField>
    <pivotField name="WARNA/MOTI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ME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ER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ADA DI DAFTAR STOCK?" compact="0" outline="0" multipleItemSelectionAllowed="1" showAll="0">
      <items>
        <item x="0"/>
        <item x="1"/>
        <item x="2"/>
        <item t="default"/>
      </items>
    </pivotField>
    <pivotField name="JUMLA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name="SATUAN" axis="axisRow" compact="0" outline="0" multipleItemSelectionAllowed="1" showAll="0" sortType="ascending">
      <items>
        <item x="26"/>
        <item x="3"/>
        <item x="19"/>
        <item x="17"/>
        <item x="7"/>
        <item x="22"/>
        <item x="14"/>
        <item x="18"/>
        <item x="15"/>
        <item x="13"/>
        <item x="20"/>
        <item x="5"/>
        <item x="21"/>
        <item x="0"/>
        <item x="4"/>
        <item x="6"/>
        <item x="8"/>
        <item x="9"/>
        <item x="1"/>
        <item x="25"/>
        <item x="24"/>
        <item x="12"/>
        <item x="23"/>
        <item x="11"/>
        <item x="2"/>
        <item x="16"/>
        <item x="10"/>
        <item t="default"/>
      </items>
    </pivotField>
    <pivotField name="HARGA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name="DISK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name="CONCAT HARG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t="default"/>
      </items>
    </pivotField>
    <pivotField name="TGL NOTA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TGL GUDANG/OR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GL KOMP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KOMENT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>
    <field x="4"/>
    <field x="11"/>
  </rowFields>
  <colFields>
    <field x="-2"/>
  </colFields>
  <dataFields>
    <dataField name="SUM of JUMLAH" fld="10" baseField="0"/>
    <dataField name="SUM of TOTAL" fld="14" baseField="0"/>
  </dataFields>
</pivotTableDefinition>
</file>

<file path=xl/pivotTables/pivotTable2.xml><?xml version="1.0" encoding="utf-8"?>
<pivotTableDefinition xmlns="http://schemas.openxmlformats.org/spreadsheetml/2006/main" name="Pivot Faktur" cacheId="1" dataCaption="" rowGrandTotals="0" compact="0" compactData="0">
  <location ref="A1:D396" firstHeaderRow="0" firstDataRow="3" firstDataCol="0"/>
  <pivotFields>
    <pivotField name="NOTA TOK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OKO-K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ame="KODE BARA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t="default"/>
      </items>
    </pivotField>
    <pivotField name="NAMA BARANG" axis="axisRow" compact="0" outline="0" multipleItemSelectionAllowed="1" showAll="0" sortType="ascending" defaultSubtotal="0">
      <items>
        <item x="394"/>
        <item x="274"/>
        <item x="20"/>
        <item x="19"/>
        <item x="307"/>
        <item x="308"/>
        <item x="265"/>
        <item x="273"/>
        <item x="389"/>
        <item x="224"/>
        <item x="106"/>
        <item x="365"/>
        <item x="324"/>
        <item x="278"/>
        <item x="54"/>
        <item x="279"/>
        <item x="131"/>
        <item x="130"/>
        <item x="311"/>
        <item x="216"/>
        <item x="340"/>
        <item x="383"/>
        <item x="230"/>
        <item x="341"/>
        <item x="385"/>
        <item x="231"/>
        <item x="232"/>
        <item x="381"/>
        <item x="382"/>
        <item x="384"/>
        <item x="339"/>
        <item x="228"/>
        <item x="229"/>
        <item x="338"/>
        <item x="22"/>
        <item x="21"/>
        <item x="329"/>
        <item x="137"/>
        <item x="132"/>
        <item x="326"/>
        <item x="368"/>
        <item x="369"/>
        <item x="190"/>
        <item x="17"/>
        <item x="149"/>
        <item x="205"/>
        <item x="367"/>
        <item x="357"/>
        <item x="204"/>
        <item x="41"/>
        <item x="264"/>
        <item x="349"/>
        <item x="317"/>
        <item x="35"/>
        <item x="293"/>
        <item x="271"/>
        <item x="257"/>
        <item x="294"/>
        <item x="152"/>
        <item x="111"/>
        <item x="258"/>
        <item x="310"/>
        <item x="209"/>
        <item x="109"/>
        <item x="302"/>
        <item x="113"/>
        <item x="173"/>
        <item x="5"/>
        <item x="380"/>
        <item x="39"/>
        <item x="117"/>
        <item x="38"/>
        <item x="32"/>
        <item x="40"/>
        <item x="127"/>
        <item x="330"/>
        <item x="203"/>
        <item x="33"/>
        <item x="323"/>
        <item x="128"/>
        <item x="268"/>
        <item x="269"/>
        <item x="270"/>
        <item x="114"/>
        <item x="318"/>
        <item x="212"/>
        <item x="386"/>
        <item x="373"/>
        <item x="126"/>
        <item x="118"/>
        <item x="140"/>
        <item x="134"/>
        <item x="198"/>
        <item x="253"/>
        <item x="254"/>
        <item x="344"/>
        <item x="244"/>
        <item x="245"/>
        <item x="246"/>
        <item x="243"/>
        <item x="346"/>
        <item x="345"/>
        <item x="377"/>
        <item x="374"/>
        <item x="121"/>
        <item x="92"/>
        <item x="226"/>
        <item x="58"/>
        <item x="285"/>
        <item x="87"/>
        <item x="235"/>
        <item x="247"/>
        <item x="248"/>
        <item x="343"/>
        <item x="236"/>
        <item x="88"/>
        <item x="59"/>
        <item x="358"/>
        <item x="303"/>
        <item x="225"/>
        <item x="217"/>
        <item x="295"/>
        <item x="200"/>
        <item x="86"/>
        <item x="213"/>
        <item x="10"/>
        <item x="11"/>
        <item x="372"/>
        <item x="298"/>
        <item x="297"/>
        <item x="390"/>
        <item x="240"/>
        <item x="56"/>
        <item x="57"/>
        <item x="1"/>
        <item x="119"/>
        <item x="375"/>
        <item x="325"/>
        <item x="241"/>
        <item x="125"/>
        <item x="143"/>
        <item x="144"/>
        <item x="145"/>
        <item x="366"/>
        <item x="160"/>
        <item x="315"/>
        <item x="159"/>
        <item x="266"/>
        <item x="146"/>
        <item x="304"/>
        <item x="348"/>
        <item x="74"/>
        <item x="305"/>
        <item x="75"/>
        <item x="180"/>
        <item x="378"/>
        <item x="181"/>
        <item x="188"/>
        <item x="189"/>
        <item x="172"/>
        <item x="214"/>
        <item x="171"/>
        <item x="55"/>
        <item x="104"/>
        <item x="71"/>
        <item x="14"/>
        <item x="99"/>
        <item x="184"/>
        <item x="250"/>
        <item x="177"/>
        <item x="195"/>
        <item x="44"/>
        <item x="151"/>
        <item x="122"/>
        <item x="328"/>
        <item x="336"/>
        <item x="337"/>
        <item x="393"/>
        <item x="319"/>
        <item x="63"/>
        <item x="64"/>
        <item x="65"/>
        <item x="66"/>
        <item x="67"/>
        <item x="27"/>
        <item x="24"/>
        <item x="25"/>
        <item x="23"/>
        <item x="26"/>
        <item x="141"/>
        <item x="142"/>
        <item x="182"/>
        <item x="34"/>
        <item x="97"/>
        <item x="379"/>
        <item x="174"/>
        <item x="194"/>
        <item x="364"/>
        <item x="98"/>
        <item x="351"/>
        <item x="347"/>
        <item x="108"/>
        <item x="37"/>
        <item x="335"/>
        <item x="233"/>
        <item x="93"/>
        <item x="94"/>
        <item x="46"/>
        <item x="272"/>
        <item x="314"/>
        <item x="363"/>
        <item x="255"/>
        <item x="176"/>
        <item x="299"/>
        <item x="175"/>
        <item x="148"/>
        <item x="147"/>
        <item x="100"/>
        <item x="102"/>
        <item x="136"/>
        <item x="321"/>
        <item x="309"/>
        <item x="101"/>
        <item x="154"/>
        <item x="103"/>
        <item x="342"/>
        <item x="267"/>
        <item x="206"/>
        <item x="333"/>
        <item x="68"/>
        <item x="47"/>
        <item x="221"/>
        <item x="96"/>
        <item x="199"/>
        <item x="292"/>
        <item x="259"/>
        <item x="262"/>
        <item x="260"/>
        <item x="261"/>
        <item x="186"/>
        <item x="4"/>
        <item x="8"/>
        <item x="107"/>
        <item x="9"/>
        <item x="168"/>
        <item x="18"/>
        <item x="167"/>
        <item x="322"/>
        <item x="183"/>
        <item x="89"/>
        <item x="69"/>
        <item x="90"/>
        <item x="252"/>
        <item x="169"/>
        <item x="256"/>
        <item x="376"/>
        <item x="327"/>
        <item x="7"/>
        <item x="6"/>
        <item x="289"/>
        <item x="28"/>
        <item x="60"/>
        <item x="62"/>
        <item x="211"/>
        <item x="2"/>
        <item x="316"/>
        <item x="306"/>
        <item x="29"/>
        <item x="133"/>
        <item x="288"/>
        <item x="3"/>
        <item x="61"/>
        <item x="156"/>
        <item x="155"/>
        <item x="157"/>
        <item x="124"/>
        <item x="286"/>
        <item x="287"/>
        <item x="158"/>
        <item x="0"/>
        <item x="30"/>
        <item x="31"/>
        <item x="105"/>
        <item x="166"/>
        <item x="165"/>
        <item x="163"/>
        <item x="70"/>
        <item x="43"/>
        <item x="162"/>
        <item x="164"/>
        <item x="197"/>
        <item x="123"/>
        <item x="291"/>
        <item x="290"/>
        <item x="187"/>
        <item x="239"/>
        <item x="275"/>
        <item x="202"/>
        <item x="153"/>
        <item x="296"/>
        <item x="371"/>
        <item x="227"/>
        <item x="193"/>
        <item x="110"/>
        <item x="222"/>
        <item x="161"/>
        <item x="129"/>
        <item x="49"/>
        <item x="48"/>
        <item x="170"/>
        <item x="312"/>
        <item x="16"/>
        <item x="15"/>
        <item x="354"/>
        <item x="50"/>
        <item x="356"/>
        <item x="277"/>
        <item x="353"/>
        <item x="362"/>
        <item x="334"/>
        <item x="185"/>
        <item x="355"/>
        <item x="387"/>
        <item x="352"/>
        <item x="361"/>
        <item x="135"/>
        <item x="281"/>
        <item x="223"/>
        <item x="280"/>
        <item x="207"/>
        <item x="208"/>
        <item x="42"/>
        <item x="191"/>
        <item x="301"/>
        <item x="192"/>
        <item x="300"/>
        <item x="139"/>
        <item x="276"/>
        <item x="388"/>
        <item x="210"/>
        <item x="391"/>
        <item x="95"/>
        <item x="138"/>
        <item x="120"/>
        <item x="53"/>
        <item x="313"/>
        <item x="85"/>
        <item x="249"/>
        <item x="234"/>
        <item x="116"/>
        <item x="196"/>
        <item x="12"/>
        <item x="51"/>
        <item x="36"/>
        <item x="215"/>
        <item x="77"/>
        <item x="52"/>
        <item x="359"/>
        <item x="360"/>
        <item x="370"/>
        <item x="332"/>
        <item x="178"/>
        <item x="238"/>
        <item x="91"/>
        <item x="201"/>
        <item x="72"/>
        <item x="179"/>
        <item x="76"/>
        <item x="81"/>
        <item x="82"/>
        <item x="84"/>
        <item x="242"/>
        <item x="83"/>
        <item x="80"/>
        <item x="79"/>
        <item x="392"/>
        <item x="78"/>
        <item x="331"/>
        <item x="115"/>
        <item x="237"/>
        <item x="218"/>
        <item x="112"/>
        <item x="320"/>
        <item x="150"/>
        <item x="219"/>
        <item x="220"/>
        <item x="284"/>
        <item x="251"/>
        <item x="283"/>
        <item x="350"/>
        <item x="45"/>
        <item x="13"/>
        <item x="263"/>
        <item x="73"/>
        <item x="282"/>
      </items>
    </pivotField>
    <pivotField name="UKUR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ARNA/MOTI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ME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SER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name="ADA DI DAFTAR STOCK?" compact="0" outline="0" multipleItemSelectionAllowed="1" showAll="0">
      <items>
        <item x="0"/>
        <item x="1"/>
        <item x="2"/>
        <item t="default"/>
      </items>
    </pivotField>
    <pivotField name="JUMLA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SATUAN" axis="axisRow" compact="0" outline="0" multipleItemSelectionAllowed="1" showAll="0" sortType="ascending">
      <items>
        <item x="6"/>
        <item x="0"/>
        <item x="4"/>
        <item x="1"/>
        <item x="3"/>
        <item x="2"/>
        <item x="5"/>
        <item t="default"/>
      </items>
    </pivotField>
    <pivotField name="HARG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name="DISK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CONCAT HARG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t="default"/>
      </items>
    </pivotField>
    <pivotField name="TGL NOTA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TGL GUDANG/OR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>
    <field x="4"/>
    <field x="11"/>
  </rowFields>
  <colFields>
    <field x="-2"/>
  </colFields>
  <dataFields>
    <dataField name="SUM of JUMLAH" fld="10" baseField="0"/>
    <dataField name="SUM of TOTAL" fld="1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hidden="1" min="1" max="3" width="12.63"/>
    <col customWidth="1" min="4" max="4" width="14.63"/>
    <col customWidth="1" min="5" max="5" width="38.75"/>
    <col customWidth="1" min="6" max="6" width="11.13"/>
    <col customWidth="1" min="7" max="7" width="13.0"/>
    <col customWidth="1" min="8" max="8" width="14.75"/>
    <col customWidth="1" min="9" max="9" width="13.63"/>
    <col customWidth="1" min="10" max="10" width="16.25"/>
  </cols>
  <sheetData>
    <row r="1">
      <c r="F1" s="1"/>
      <c r="H1" s="2"/>
      <c r="I1" s="3"/>
      <c r="J1" s="4"/>
    </row>
    <row r="2">
      <c r="A2" s="5"/>
      <c r="B2" s="6"/>
      <c r="C2" s="6"/>
      <c r="D2" s="7" t="s">
        <v>0</v>
      </c>
      <c r="F2" s="1"/>
      <c r="G2" s="8" t="s">
        <v>1</v>
      </c>
      <c r="H2" s="9" t="s">
        <v>2</v>
      </c>
      <c r="I2" s="3"/>
      <c r="J2" s="4"/>
    </row>
    <row r="3">
      <c r="A3" s="10"/>
      <c r="B3" s="8"/>
      <c r="C3" s="8"/>
      <c r="D3" s="8"/>
      <c r="F3" s="1"/>
      <c r="G3" s="8" t="s">
        <v>3</v>
      </c>
      <c r="H3" s="9" t="s">
        <v>4</v>
      </c>
      <c r="I3" s="3"/>
      <c r="J3" s="4"/>
    </row>
    <row r="4">
      <c r="A4" s="10"/>
      <c r="B4" s="8"/>
      <c r="C4" s="8"/>
      <c r="D4" s="8"/>
      <c r="F4" s="1"/>
      <c r="G4" s="8" t="s">
        <v>5</v>
      </c>
      <c r="H4" s="9" t="s">
        <v>6</v>
      </c>
      <c r="I4" s="3"/>
      <c r="J4" s="4"/>
    </row>
    <row r="5">
      <c r="A5" s="11"/>
      <c r="B5" s="12"/>
      <c r="C5" s="12"/>
      <c r="D5" s="12" t="s">
        <v>7</v>
      </c>
      <c r="E5" s="13">
        <v>123.0</v>
      </c>
      <c r="F5" s="1"/>
      <c r="H5" s="2"/>
      <c r="I5" s="3"/>
      <c r="J5" s="4"/>
    </row>
    <row r="6">
      <c r="A6" s="14"/>
      <c r="F6" s="1"/>
      <c r="H6" s="2"/>
      <c r="I6" s="3"/>
      <c r="J6" s="4"/>
    </row>
    <row r="7">
      <c r="A7" s="14"/>
      <c r="F7" s="1"/>
      <c r="H7" s="2"/>
      <c r="I7" s="3"/>
      <c r="J7" s="4"/>
    </row>
    <row r="8">
      <c r="A8" s="15" t="s">
        <v>8</v>
      </c>
      <c r="B8" s="15" t="s">
        <v>9</v>
      </c>
      <c r="C8" s="15" t="s">
        <v>10</v>
      </c>
      <c r="D8" s="15" t="s">
        <v>11</v>
      </c>
      <c r="E8" s="15" t="s">
        <v>12</v>
      </c>
      <c r="F8" s="16" t="s">
        <v>13</v>
      </c>
      <c r="G8" s="15" t="s">
        <v>14</v>
      </c>
      <c r="H8" s="17" t="s">
        <v>15</v>
      </c>
      <c r="I8" s="18" t="s">
        <v>16</v>
      </c>
      <c r="J8" s="19" t="s">
        <v>17</v>
      </c>
    </row>
    <row r="9">
      <c r="A9" s="20">
        <f t="shared" ref="A9:A28" si="1">if(and(ISNUMBER($E$5),istext(D9)),$E$5,"")</f>
        <v>123</v>
      </c>
      <c r="B9" s="4" t="str">
        <f t="shared" ref="B9:B28" si="2">if(and(IStext($H$3),istext(D9)),$H$3,"")</f>
        <v>Siswa</v>
      </c>
      <c r="C9" s="4" t="str">
        <f t="shared" ref="C9:C28" si="3">if(and(IStext($H$4),istext(D9)),$H$4,"")</f>
        <v>Muntilan</v>
      </c>
      <c r="D9" s="21" t="s">
        <v>18</v>
      </c>
      <c r="E9" s="20" t="str">
        <f>IFERROR(__xludf.DUMMYFUNCTION("IFERROR(VLOOKUP(D9,importrange(""https://docs.google.com/spreadsheets/d/1swGwZOEqYlTEUCJLY-eeJM1911Kvaei5oySBIxdgtNo/edit#gid=257618397"",""stock untanna!B:C""),2,false), """")"),"PENCIL CASE 5815")</f>
        <v>PENCIL CASE 5815</v>
      </c>
      <c r="F9" s="13">
        <v>10.0</v>
      </c>
      <c r="G9" s="20" t="str">
        <f>IFERROR(__xludf.DUMMYFUNCTION("iferror(vlookup(D9, importrange(""https://docs.google.com/spreadsheets/d/1swGwZOEqYlTEUCJLY-eeJM1911Kvaei5oySBIxdgtNo/edit#gid=257618397"",""stock untanna!B:Q""),16,false),"""")"),"PCS")</f>
        <v>PCS</v>
      </c>
      <c r="H9" s="9">
        <v>17000.0</v>
      </c>
      <c r="I9" s="22">
        <v>0.1</v>
      </c>
      <c r="J9" s="4">
        <f t="shared" ref="J9:J28" si="4">IF((F9*H9)*(1-I9)=0, "",(F9*H9)*(1-I9))</f>
        <v>153000</v>
      </c>
    </row>
    <row r="10">
      <c r="A10" s="20">
        <f t="shared" si="1"/>
        <v>123</v>
      </c>
      <c r="B10" s="4" t="str">
        <f t="shared" si="2"/>
        <v>Siswa</v>
      </c>
      <c r="C10" s="4" t="str">
        <f t="shared" si="3"/>
        <v>Muntilan</v>
      </c>
      <c r="D10" s="21" t="s">
        <v>19</v>
      </c>
      <c r="E10" s="20" t="str">
        <f>IFERROR(__xludf.DUMMYFUNCTION("IFERROR(VLOOKUP(D10,importrange(""https://docs.google.com/spreadsheets/d/1swGwZOEqYlTEUCJLY-eeJM1911Kvaei5oySBIxdgtNo/edit#gid=257618397"",""stock untanna!B:C""),2,false), """")"),"BP TIZO 31831E FANCY")</f>
        <v>BP TIZO 31831E FANCY</v>
      </c>
      <c r="F10" s="13">
        <v>4.0</v>
      </c>
      <c r="G10" s="20" t="str">
        <f>IFERROR(__xludf.DUMMYFUNCTION("iferror(vlookup(D10, importrange(""https://docs.google.com/spreadsheets/d/1swGwZOEqYlTEUCJLY-eeJM1911Kvaei5oySBIxdgtNo/edit#gid=257618397"",""stock untanna!B:Q""),16,false),"""")"),"LSN")</f>
        <v>LSN</v>
      </c>
      <c r="H10" s="9">
        <v>18000.0</v>
      </c>
      <c r="I10" s="22">
        <v>0.1</v>
      </c>
      <c r="J10" s="4">
        <f t="shared" si="4"/>
        <v>64800</v>
      </c>
    </row>
    <row r="11">
      <c r="A11" s="20">
        <f t="shared" si="1"/>
        <v>123</v>
      </c>
      <c r="B11" s="4" t="str">
        <f t="shared" si="2"/>
        <v>Siswa</v>
      </c>
      <c r="C11" s="4" t="str">
        <f t="shared" si="3"/>
        <v>Muntilan</v>
      </c>
      <c r="D11" s="23" t="s">
        <v>20</v>
      </c>
      <c r="E11" s="20" t="str">
        <f>IFERROR(__xludf.DUMMYFUNCTION("IFERROR(VLOOKUP(D11,importrange(""https://docs.google.com/spreadsheets/d/1swGwZOEqYlTEUCJLY-eeJM1911Kvaei5oySBIxdgtNo/edit#gid=257618397"",""stock untanna!B:C""),2,false), """")"),"KARTU UNDANGAN ANAK BESAR A1100")</f>
        <v>KARTU UNDANGAN ANAK BESAR A1100</v>
      </c>
      <c r="F11" s="13">
        <v>500.0</v>
      </c>
      <c r="G11" s="20" t="str">
        <f>IFERROR(__xludf.DUMMYFUNCTION("iferror(vlookup(D11, importrange(""https://docs.google.com/spreadsheets/d/1swGwZOEqYlTEUCJLY-eeJM1911Kvaei5oySBIxdgtNo/edit#gid=257618397"",""stock untanna!B:Q""),16,false),"""")"),"PAK")</f>
        <v>PAK</v>
      </c>
      <c r="H11" s="9">
        <v>1100.0</v>
      </c>
      <c r="I11" s="3"/>
      <c r="J11" s="4">
        <f t="shared" si="4"/>
        <v>550000</v>
      </c>
    </row>
    <row r="12">
      <c r="A12" s="20">
        <f t="shared" si="1"/>
        <v>123</v>
      </c>
      <c r="B12" s="4" t="str">
        <f t="shared" si="2"/>
        <v>Siswa</v>
      </c>
      <c r="C12" s="4" t="str">
        <f t="shared" si="3"/>
        <v>Muntilan</v>
      </c>
      <c r="D12" s="21" t="s">
        <v>21</v>
      </c>
      <c r="E12" s="20" t="str">
        <f>IFERROR(__xludf.DUMMYFUNCTION("IFERROR(VLOOKUP(D12,importrange(""https://docs.google.com/spreadsheets/d/1swGwZOEqYlTEUCJLY-eeJM1911Kvaei5oySBIxdgtNo/edit#gid=257618397"",""stock untanna!B:C""),2,false), """")"),"")</f>
        <v/>
      </c>
      <c r="F12" s="13">
        <v>24.0</v>
      </c>
      <c r="G12" s="20" t="str">
        <f>IFERROR(__xludf.DUMMYFUNCTION("iferror(vlookup(D12, importrange(""https://docs.google.com/spreadsheets/d/1swGwZOEqYlTEUCJLY-eeJM1911Kvaei5oySBIxdgtNo/edit#gid=257618397"",""stock untanna!B:Q""),16,false),"""")"),"")</f>
        <v/>
      </c>
      <c r="H12" s="9">
        <v>20000.0</v>
      </c>
      <c r="I12" s="3"/>
      <c r="J12" s="4">
        <f t="shared" si="4"/>
        <v>480000</v>
      </c>
    </row>
    <row r="13">
      <c r="A13" s="20">
        <f t="shared" si="1"/>
        <v>123</v>
      </c>
      <c r="B13" s="4" t="str">
        <f t="shared" si="2"/>
        <v>Siswa</v>
      </c>
      <c r="C13" s="4" t="str">
        <f t="shared" si="3"/>
        <v>Muntilan</v>
      </c>
      <c r="D13" s="21" t="s">
        <v>22</v>
      </c>
      <c r="E13" s="20" t="str">
        <f>IFERROR(__xludf.DUMMYFUNCTION("IFERROR(VLOOKUP(D13,importrange(""https://docs.google.com/spreadsheets/d/1swGwZOEqYlTEUCJLY-eeJM1911Kvaei5oySBIxdgtNo/edit#gid=257618397"",""stock untanna!B:C""),2,false), """")"),"PENCIL CASE 5811")</f>
        <v>PENCIL CASE 5811</v>
      </c>
      <c r="F13" s="13">
        <v>48.0</v>
      </c>
      <c r="G13" s="20" t="str">
        <f>IFERROR(__xludf.DUMMYFUNCTION("iferror(vlookup(D13, importrange(""https://docs.google.com/spreadsheets/d/1swGwZOEqYlTEUCJLY-eeJM1911Kvaei5oySBIxdgtNo/edit#gid=257618397"",""stock untanna!B:Q""),16,false),"""")"),"PCS")</f>
        <v>PCS</v>
      </c>
      <c r="H13" s="9">
        <v>50000.0</v>
      </c>
      <c r="I13" s="3"/>
      <c r="J13" s="4">
        <f t="shared" si="4"/>
        <v>2400000</v>
      </c>
    </row>
    <row r="14">
      <c r="A14" s="20">
        <f t="shared" si="1"/>
        <v>123</v>
      </c>
      <c r="B14" s="4" t="str">
        <f t="shared" si="2"/>
        <v>Siswa</v>
      </c>
      <c r="C14" s="4" t="str">
        <f t="shared" si="3"/>
        <v>Muntilan</v>
      </c>
      <c r="D14" s="21" t="s">
        <v>23</v>
      </c>
      <c r="E14" s="20" t="str">
        <f>IFERROR(__xludf.DUMMYFUNCTION("IFERROR(VLOOKUP(D14,importrange(""https://docs.google.com/spreadsheets/d/1swGwZOEqYlTEUCJLY-eeJM1911Kvaei5oySBIxdgtNo/edit#gid=257618397"",""stock untanna!B:C""),2,false), """")"),"KERTAS LIPAT ORIGAMI ALFA FLUORESCENT 12 X 12")</f>
        <v>KERTAS LIPAT ORIGAMI ALFA FLUORESCENT 12 X 12</v>
      </c>
      <c r="F14" s="13">
        <v>14.0</v>
      </c>
      <c r="G14" s="20" t="str">
        <f>IFERROR(__xludf.DUMMYFUNCTION("iferror(vlookup(D14, importrange(""https://docs.google.com/spreadsheets/d/1swGwZOEqYlTEUCJLY-eeJM1911Kvaei5oySBIxdgtNo/edit#gid=257618397"",""stock untanna!B:Q""),16,false),"""")"),"PCS")</f>
        <v>PCS</v>
      </c>
      <c r="H14" s="9">
        <v>100000.0</v>
      </c>
      <c r="I14" s="3"/>
      <c r="J14" s="4">
        <f t="shared" si="4"/>
        <v>1400000</v>
      </c>
    </row>
    <row r="15">
      <c r="A15" s="20">
        <f t="shared" si="1"/>
        <v>123</v>
      </c>
      <c r="B15" s="4" t="str">
        <f t="shared" si="2"/>
        <v>Siswa</v>
      </c>
      <c r="C15" s="4" t="str">
        <f t="shared" si="3"/>
        <v>Muntilan</v>
      </c>
      <c r="D15" s="21" t="s">
        <v>24</v>
      </c>
      <c r="E15" s="20" t="str">
        <f>IFERROR(__xludf.DUMMYFUNCTION("IFERROR(VLOOKUP(D15,importrange(""https://docs.google.com/spreadsheets/d/1swGwZOEqYlTEUCJLY-eeJM1911Kvaei5oySBIxdgtNo/edit#gid=257618397"",""stock untanna!B:C""),2,false), """")"),"")</f>
        <v/>
      </c>
      <c r="F15" s="1"/>
      <c r="G15" s="20" t="str">
        <f>IFERROR(__xludf.DUMMYFUNCTION("iferror(vlookup(D15, importrange(""https://docs.google.com/spreadsheets/d/1swGwZOEqYlTEUCJLY-eeJM1911Kvaei5oySBIxdgtNo/edit#gid=257618397"",""stock untanna!B:Q""),16,false),"""")"),"")</f>
        <v/>
      </c>
      <c r="H15" s="2"/>
      <c r="I15" s="3"/>
      <c r="J15" s="4" t="str">
        <f t="shared" si="4"/>
        <v/>
      </c>
    </row>
    <row r="16">
      <c r="A16" s="20" t="str">
        <f t="shared" si="1"/>
        <v/>
      </c>
      <c r="B16" s="20" t="str">
        <f t="shared" si="2"/>
        <v/>
      </c>
      <c r="C16" s="20" t="str">
        <f t="shared" si="3"/>
        <v/>
      </c>
      <c r="E16" s="20" t="str">
        <f>IFERROR(__xludf.DUMMYFUNCTION("IFERROR(VLOOKUP(D16,importrange(""https://docs.google.com/spreadsheets/d/1swGwZOEqYlTEUCJLY-eeJM1911Kvaei5oySBIxdgtNo/edit#gid=257618397"",""stock untanna!B:C""),2,false), """")"),"")</f>
        <v/>
      </c>
      <c r="F16" s="1"/>
      <c r="G16" s="20" t="str">
        <f>IFERROR(__xludf.DUMMYFUNCTION("iferror(vlookup(D16, importrange(""https://docs.google.com/spreadsheets/d/1swGwZOEqYlTEUCJLY-eeJM1911Kvaei5oySBIxdgtNo/edit#gid=257618397"",""stock untanna!B:Q""),16,false),"""")"),"")</f>
        <v/>
      </c>
      <c r="H16" s="2"/>
      <c r="I16" s="3"/>
      <c r="J16" s="4" t="str">
        <f t="shared" si="4"/>
        <v/>
      </c>
    </row>
    <row r="17">
      <c r="A17" s="20" t="str">
        <f t="shared" si="1"/>
        <v/>
      </c>
      <c r="B17" s="20" t="str">
        <f t="shared" si="2"/>
        <v/>
      </c>
      <c r="C17" s="20" t="str">
        <f t="shared" si="3"/>
        <v/>
      </c>
      <c r="E17" s="20" t="str">
        <f>IFERROR(__xludf.DUMMYFUNCTION("IFERROR(VLOOKUP(D17,importrange(""https://docs.google.com/spreadsheets/d/1swGwZOEqYlTEUCJLY-eeJM1911Kvaei5oySBIxdgtNo/edit#gid=257618397"",""stock untanna!B:C""),2,false), """")"),"")</f>
        <v/>
      </c>
      <c r="F17" s="1"/>
      <c r="G17" s="20" t="str">
        <f>IFERROR(__xludf.DUMMYFUNCTION("iferror(vlookup(D17, importrange(""https://docs.google.com/spreadsheets/d/1swGwZOEqYlTEUCJLY-eeJM1911Kvaei5oySBIxdgtNo/edit#gid=257618397"",""stock untanna!B:Q""),16,false),"""")"),"")</f>
        <v/>
      </c>
      <c r="H17" s="2"/>
      <c r="I17" s="3"/>
      <c r="J17" s="4" t="str">
        <f t="shared" si="4"/>
        <v/>
      </c>
    </row>
    <row r="18">
      <c r="A18" s="20" t="str">
        <f t="shared" si="1"/>
        <v/>
      </c>
      <c r="B18" s="20" t="str">
        <f t="shared" si="2"/>
        <v/>
      </c>
      <c r="C18" s="20" t="str">
        <f t="shared" si="3"/>
        <v/>
      </c>
      <c r="E18" s="20" t="str">
        <f>IFERROR(__xludf.DUMMYFUNCTION("IFERROR(VLOOKUP(D18,importrange(""https://docs.google.com/spreadsheets/d/1swGwZOEqYlTEUCJLY-eeJM1911Kvaei5oySBIxdgtNo/edit#gid=257618397"",""stock untanna!B:C""),2,false), """")"),"")</f>
        <v/>
      </c>
      <c r="F18" s="1"/>
      <c r="G18" s="20" t="str">
        <f>IFERROR(__xludf.DUMMYFUNCTION("iferror(vlookup(D18, importrange(""https://docs.google.com/spreadsheets/d/1swGwZOEqYlTEUCJLY-eeJM1911Kvaei5oySBIxdgtNo/edit#gid=257618397"",""stock untanna!B:Q""),16,false),"""")"),"")</f>
        <v/>
      </c>
      <c r="H18" s="2"/>
      <c r="I18" s="3"/>
      <c r="J18" s="4" t="str">
        <f t="shared" si="4"/>
        <v/>
      </c>
    </row>
    <row r="19">
      <c r="A19" s="20" t="str">
        <f t="shared" si="1"/>
        <v/>
      </c>
      <c r="B19" s="20" t="str">
        <f t="shared" si="2"/>
        <v/>
      </c>
      <c r="C19" s="20" t="str">
        <f t="shared" si="3"/>
        <v/>
      </c>
      <c r="E19" s="20" t="str">
        <f>IFERROR(__xludf.DUMMYFUNCTION("IFERROR(VLOOKUP(D19,importrange(""https://docs.google.com/spreadsheets/d/1swGwZOEqYlTEUCJLY-eeJM1911Kvaei5oySBIxdgtNo/edit#gid=257618397"",""stock untanna!B:C""),2,false), """")"),"")</f>
        <v/>
      </c>
      <c r="F19" s="1"/>
      <c r="G19" s="20" t="str">
        <f>IFERROR(__xludf.DUMMYFUNCTION("iferror(vlookup(D19, importrange(""https://docs.google.com/spreadsheets/d/1swGwZOEqYlTEUCJLY-eeJM1911Kvaei5oySBIxdgtNo/edit#gid=257618397"",""stock untanna!B:Q""),16,false),"""")"),"")</f>
        <v/>
      </c>
      <c r="H19" s="2"/>
      <c r="I19" s="3"/>
      <c r="J19" s="4" t="str">
        <f t="shared" si="4"/>
        <v/>
      </c>
    </row>
    <row r="20">
      <c r="A20" s="20" t="str">
        <f t="shared" si="1"/>
        <v/>
      </c>
      <c r="B20" s="20" t="str">
        <f t="shared" si="2"/>
        <v/>
      </c>
      <c r="C20" s="20" t="str">
        <f t="shared" si="3"/>
        <v/>
      </c>
      <c r="E20" s="20" t="str">
        <f>IFERROR(__xludf.DUMMYFUNCTION("IFERROR(VLOOKUP(D20,importrange(""https://docs.google.com/spreadsheets/d/1swGwZOEqYlTEUCJLY-eeJM1911Kvaei5oySBIxdgtNo/edit#gid=257618397"",""stock untanna!B:C""),2,false), """")"),"")</f>
        <v/>
      </c>
      <c r="F20" s="1"/>
      <c r="G20" s="20" t="str">
        <f>IFERROR(__xludf.DUMMYFUNCTION("iferror(vlookup(D20, importrange(""https://docs.google.com/spreadsheets/d/1swGwZOEqYlTEUCJLY-eeJM1911Kvaei5oySBIxdgtNo/edit#gid=257618397"",""stock untanna!B:Q""),16,false),"""")"),"")</f>
        <v/>
      </c>
      <c r="H20" s="2"/>
      <c r="I20" s="3"/>
      <c r="J20" s="4" t="str">
        <f t="shared" si="4"/>
        <v/>
      </c>
    </row>
    <row r="21">
      <c r="A21" s="20" t="str">
        <f t="shared" si="1"/>
        <v/>
      </c>
      <c r="B21" s="20" t="str">
        <f t="shared" si="2"/>
        <v/>
      </c>
      <c r="C21" s="20" t="str">
        <f t="shared" si="3"/>
        <v/>
      </c>
      <c r="E21" s="20" t="str">
        <f>IFERROR(__xludf.DUMMYFUNCTION("IFERROR(VLOOKUP(D21,importrange(""https://docs.google.com/spreadsheets/d/1swGwZOEqYlTEUCJLY-eeJM1911Kvaei5oySBIxdgtNo/edit#gid=257618397"",""stock untanna!B:C""),2,false), """")"),"")</f>
        <v/>
      </c>
      <c r="F21" s="1"/>
      <c r="G21" s="20" t="str">
        <f>IFERROR(__xludf.DUMMYFUNCTION("iferror(vlookup(D21, importrange(""https://docs.google.com/spreadsheets/d/1swGwZOEqYlTEUCJLY-eeJM1911Kvaei5oySBIxdgtNo/edit#gid=257618397"",""stock untanna!B:Q""),16,false),"""")"),"")</f>
        <v/>
      </c>
      <c r="H21" s="2"/>
      <c r="I21" s="3"/>
      <c r="J21" s="4" t="str">
        <f t="shared" si="4"/>
        <v/>
      </c>
    </row>
    <row r="22">
      <c r="A22" s="20" t="str">
        <f t="shared" si="1"/>
        <v/>
      </c>
      <c r="B22" s="20" t="str">
        <f t="shared" si="2"/>
        <v/>
      </c>
      <c r="C22" s="20" t="str">
        <f t="shared" si="3"/>
        <v/>
      </c>
      <c r="E22" s="20" t="str">
        <f>IFERROR(__xludf.DUMMYFUNCTION("IFERROR(VLOOKUP(D22,importrange(""https://docs.google.com/spreadsheets/d/1swGwZOEqYlTEUCJLY-eeJM1911Kvaei5oySBIxdgtNo/edit#gid=257618397"",""stock untanna!B:C""),2,false), """")"),"")</f>
        <v/>
      </c>
      <c r="F22" s="1"/>
      <c r="G22" s="20" t="str">
        <f>IFERROR(__xludf.DUMMYFUNCTION("iferror(vlookup(D22, importrange(""https://docs.google.com/spreadsheets/d/1swGwZOEqYlTEUCJLY-eeJM1911Kvaei5oySBIxdgtNo/edit#gid=257618397"",""stock untanna!B:Q""),16,false),"""")"),"")</f>
        <v/>
      </c>
      <c r="H22" s="2"/>
      <c r="I22" s="3"/>
      <c r="J22" s="4" t="str">
        <f t="shared" si="4"/>
        <v/>
      </c>
    </row>
    <row r="23">
      <c r="A23" s="20" t="str">
        <f t="shared" si="1"/>
        <v/>
      </c>
      <c r="B23" s="20" t="str">
        <f t="shared" si="2"/>
        <v/>
      </c>
      <c r="C23" s="20" t="str">
        <f t="shared" si="3"/>
        <v/>
      </c>
      <c r="E23" s="20" t="str">
        <f>IFERROR(__xludf.DUMMYFUNCTION("IFERROR(VLOOKUP(D23,importrange(""https://docs.google.com/spreadsheets/d/1swGwZOEqYlTEUCJLY-eeJM1911Kvaei5oySBIxdgtNo/edit#gid=257618397"",""stock untanna!B:C""),2,false), """")"),"")</f>
        <v/>
      </c>
      <c r="F23" s="1"/>
      <c r="G23" s="20" t="str">
        <f>IFERROR(__xludf.DUMMYFUNCTION("iferror(vlookup(D23, importrange(""https://docs.google.com/spreadsheets/d/1swGwZOEqYlTEUCJLY-eeJM1911Kvaei5oySBIxdgtNo/edit#gid=257618397"",""stock untanna!B:Q""),16,false),"""")"),"")</f>
        <v/>
      </c>
      <c r="H23" s="2"/>
      <c r="I23" s="3"/>
      <c r="J23" s="4" t="str">
        <f t="shared" si="4"/>
        <v/>
      </c>
    </row>
    <row r="24">
      <c r="A24" s="20" t="str">
        <f t="shared" si="1"/>
        <v/>
      </c>
      <c r="B24" s="20" t="str">
        <f t="shared" si="2"/>
        <v/>
      </c>
      <c r="C24" s="20" t="str">
        <f t="shared" si="3"/>
        <v/>
      </c>
      <c r="E24" s="20" t="str">
        <f>IFERROR(__xludf.DUMMYFUNCTION("IFERROR(VLOOKUP(D24,importrange(""https://docs.google.com/spreadsheets/d/1swGwZOEqYlTEUCJLY-eeJM1911Kvaei5oySBIxdgtNo/edit#gid=257618397"",""stock untanna!B:C""),2,false), """")"),"")</f>
        <v/>
      </c>
      <c r="F24" s="1"/>
      <c r="G24" s="20" t="str">
        <f>IFERROR(__xludf.DUMMYFUNCTION("iferror(vlookup(D24, importrange(""https://docs.google.com/spreadsheets/d/1swGwZOEqYlTEUCJLY-eeJM1911Kvaei5oySBIxdgtNo/edit#gid=257618397"",""stock untanna!B:Q""),16,false),"""")"),"")</f>
        <v/>
      </c>
      <c r="H24" s="2"/>
      <c r="I24" s="3"/>
      <c r="J24" s="4" t="str">
        <f t="shared" si="4"/>
        <v/>
      </c>
    </row>
    <row r="25">
      <c r="A25" s="20" t="str">
        <f t="shared" si="1"/>
        <v/>
      </c>
      <c r="B25" s="20" t="str">
        <f t="shared" si="2"/>
        <v/>
      </c>
      <c r="C25" s="20" t="str">
        <f t="shared" si="3"/>
        <v/>
      </c>
      <c r="E25" s="20" t="str">
        <f>IFERROR(__xludf.DUMMYFUNCTION("IFERROR(VLOOKUP(D25,importrange(""https://docs.google.com/spreadsheets/d/1swGwZOEqYlTEUCJLY-eeJM1911Kvaei5oySBIxdgtNo/edit#gid=257618397"",""stock untanna!B:C""),2,false), """")"),"")</f>
        <v/>
      </c>
      <c r="F25" s="1"/>
      <c r="G25" s="20" t="str">
        <f>IFERROR(__xludf.DUMMYFUNCTION("iferror(vlookup(D25, importrange(""https://docs.google.com/spreadsheets/d/1swGwZOEqYlTEUCJLY-eeJM1911Kvaei5oySBIxdgtNo/edit#gid=257618397"",""stock untanna!B:Q""),16,false),"""")"),"")</f>
        <v/>
      </c>
      <c r="H25" s="2"/>
      <c r="I25" s="3"/>
      <c r="J25" s="4" t="str">
        <f t="shared" si="4"/>
        <v/>
      </c>
    </row>
    <row r="26">
      <c r="A26" s="20" t="str">
        <f t="shared" si="1"/>
        <v/>
      </c>
      <c r="B26" s="20" t="str">
        <f t="shared" si="2"/>
        <v/>
      </c>
      <c r="C26" s="20" t="str">
        <f t="shared" si="3"/>
        <v/>
      </c>
      <c r="E26" s="20" t="str">
        <f>IFERROR(__xludf.DUMMYFUNCTION("IFERROR(VLOOKUP(D26,importrange(""https://docs.google.com/spreadsheets/d/1swGwZOEqYlTEUCJLY-eeJM1911Kvaei5oySBIxdgtNo/edit#gid=257618397"",""stock untanna!B:C""),2,false), """")"),"")</f>
        <v/>
      </c>
      <c r="F26" s="1"/>
      <c r="G26" s="20" t="str">
        <f>IFERROR(__xludf.DUMMYFUNCTION("iferror(vlookup(D26, importrange(""https://docs.google.com/spreadsheets/d/1swGwZOEqYlTEUCJLY-eeJM1911Kvaei5oySBIxdgtNo/edit#gid=257618397"",""stock untanna!B:Q""),16,false),"""")"),"")</f>
        <v/>
      </c>
      <c r="H26" s="2"/>
      <c r="I26" s="3"/>
      <c r="J26" s="4" t="str">
        <f t="shared" si="4"/>
        <v/>
      </c>
    </row>
    <row r="27">
      <c r="A27" s="24" t="str">
        <f t="shared" si="1"/>
        <v/>
      </c>
      <c r="B27" s="24" t="str">
        <f t="shared" si="2"/>
        <v/>
      </c>
      <c r="C27" s="24" t="str">
        <f t="shared" si="3"/>
        <v/>
      </c>
      <c r="D27" s="24"/>
      <c r="E27" s="24" t="str">
        <f>IFERROR(__xludf.DUMMYFUNCTION("IFERROR(VLOOKUP(D27,importrange(""https://docs.google.com/spreadsheets/d/1swGwZOEqYlTEUCJLY-eeJM1911Kvaei5oySBIxdgtNo/edit#gid=257618397"",""stock untanna!B:C""),2,false), """")"),"")</f>
        <v/>
      </c>
      <c r="F27" s="25"/>
      <c r="G27" s="24" t="str">
        <f>IFERROR(__xludf.DUMMYFUNCTION("iferror(vlookup(D27, importrange(""https://docs.google.com/spreadsheets/d/1swGwZOEqYlTEUCJLY-eeJM1911Kvaei5oySBIxdgtNo/edit#gid=257618397"",""stock untanna!B:Q""),16,false),"""")"),"")</f>
        <v/>
      </c>
      <c r="H27" s="26"/>
      <c r="I27" s="27"/>
      <c r="J27" s="28" t="str">
        <f t="shared" si="4"/>
        <v/>
      </c>
    </row>
    <row r="28">
      <c r="A28" s="20" t="str">
        <f t="shared" si="1"/>
        <v/>
      </c>
      <c r="B28" s="20" t="str">
        <f t="shared" si="2"/>
        <v/>
      </c>
      <c r="C28" s="20" t="str">
        <f t="shared" si="3"/>
        <v/>
      </c>
      <c r="E28" s="20" t="str">
        <f>IFERROR(__xludf.DUMMYFUNCTION("IFERROR(VLOOKUP(D28,importrange(""https://docs.google.com/spreadsheets/d/1swGwZOEqYlTEUCJLY-eeJM1911Kvaei5oySBIxdgtNo/edit#gid=257618397"",""stock untanna!B:C""),2,false), """")"),"")</f>
        <v/>
      </c>
      <c r="F28" s="1"/>
      <c r="G28" s="29"/>
      <c r="H28" s="2"/>
      <c r="I28" s="3"/>
      <c r="J28" s="4" t="str">
        <f t="shared" si="4"/>
        <v/>
      </c>
    </row>
    <row r="29">
      <c r="E29" s="30" t="s">
        <v>25</v>
      </c>
      <c r="F29" s="1"/>
      <c r="G29" s="29" t="s">
        <v>26</v>
      </c>
      <c r="H29" s="2"/>
      <c r="I29" s="31"/>
      <c r="J29" s="32"/>
    </row>
    <row r="30">
      <c r="E30" s="33"/>
      <c r="F30" s="34"/>
      <c r="G30" s="29"/>
      <c r="H30" s="35"/>
      <c r="I30" s="36" t="s">
        <v>27</v>
      </c>
      <c r="J30" s="37">
        <f>sum(J9:J28)</f>
        <v>5047800</v>
      </c>
    </row>
    <row r="31">
      <c r="E31" s="33"/>
      <c r="F31" s="34"/>
      <c r="G31" s="34"/>
      <c r="H31" s="2"/>
      <c r="I31" s="38"/>
      <c r="J31" s="39"/>
    </row>
    <row r="32">
      <c r="E32" s="40"/>
      <c r="F32" s="34"/>
      <c r="G32" s="34"/>
      <c r="H32" s="2"/>
      <c r="I32" s="3"/>
      <c r="J32" s="4"/>
    </row>
    <row r="33">
      <c r="E33" s="34"/>
      <c r="F33" s="34"/>
      <c r="G33" s="34"/>
      <c r="H33" s="2"/>
      <c r="I33" s="3"/>
      <c r="J33" s="4"/>
    </row>
    <row r="34">
      <c r="F34" s="1"/>
      <c r="H34" s="2"/>
      <c r="I34" s="3"/>
      <c r="J34" s="4"/>
    </row>
    <row r="35">
      <c r="F35" s="1"/>
      <c r="H35" s="2"/>
      <c r="I35" s="3"/>
      <c r="J35" s="4"/>
    </row>
    <row r="36">
      <c r="F36" s="1"/>
      <c r="H36" s="2"/>
      <c r="I36" s="3"/>
      <c r="J36" s="4"/>
    </row>
    <row r="37">
      <c r="F37" s="1"/>
      <c r="H37" s="2"/>
      <c r="I37" s="3"/>
      <c r="J37" s="4"/>
    </row>
    <row r="38">
      <c r="F38" s="1"/>
      <c r="H38" s="2"/>
      <c r="I38" s="3"/>
      <c r="J38" s="4"/>
    </row>
    <row r="39">
      <c r="F39" s="1"/>
      <c r="H39" s="2"/>
      <c r="I39" s="3"/>
      <c r="J39" s="4"/>
    </row>
    <row r="40">
      <c r="F40" s="1"/>
      <c r="H40" s="2"/>
      <c r="I40" s="3"/>
      <c r="J40" s="4"/>
    </row>
    <row r="41">
      <c r="F41" s="1"/>
      <c r="H41" s="2"/>
      <c r="I41" s="3"/>
      <c r="J41" s="4"/>
    </row>
    <row r="42">
      <c r="F42" s="1"/>
      <c r="H42" s="2"/>
      <c r="I42" s="3"/>
      <c r="J42" s="4"/>
    </row>
    <row r="43">
      <c r="F43" s="1"/>
      <c r="H43" s="2"/>
      <c r="I43" s="3"/>
      <c r="J43" s="4"/>
    </row>
    <row r="44">
      <c r="F44" s="1"/>
      <c r="H44" s="2"/>
      <c r="I44" s="3"/>
      <c r="J44" s="4"/>
    </row>
    <row r="45">
      <c r="F45" s="1"/>
      <c r="H45" s="2"/>
      <c r="I45" s="3"/>
      <c r="J45" s="4"/>
    </row>
    <row r="46">
      <c r="F46" s="1"/>
      <c r="H46" s="2"/>
      <c r="I46" s="3"/>
      <c r="J46" s="4"/>
    </row>
    <row r="47">
      <c r="F47" s="1"/>
      <c r="H47" s="2"/>
      <c r="I47" s="3"/>
      <c r="J47" s="4"/>
    </row>
    <row r="48">
      <c r="F48" s="1"/>
      <c r="H48" s="2"/>
      <c r="I48" s="3"/>
      <c r="J48" s="4"/>
    </row>
    <row r="49">
      <c r="F49" s="1"/>
      <c r="H49" s="2"/>
      <c r="I49" s="3"/>
      <c r="J49" s="4"/>
    </row>
    <row r="50">
      <c r="F50" s="1"/>
      <c r="H50" s="2"/>
      <c r="I50" s="3"/>
      <c r="J50" s="4"/>
    </row>
    <row r="51">
      <c r="F51" s="1"/>
      <c r="H51" s="2"/>
      <c r="I51" s="3"/>
      <c r="J51" s="4"/>
    </row>
    <row r="52">
      <c r="F52" s="1"/>
      <c r="H52" s="2"/>
      <c r="I52" s="3"/>
      <c r="J52" s="4"/>
    </row>
    <row r="53">
      <c r="F53" s="1"/>
      <c r="H53" s="2"/>
      <c r="I53" s="3"/>
      <c r="J53" s="4"/>
    </row>
    <row r="54">
      <c r="F54" s="1"/>
      <c r="H54" s="2"/>
      <c r="I54" s="3"/>
      <c r="J54" s="4"/>
    </row>
    <row r="55">
      <c r="F55" s="1"/>
      <c r="H55" s="2"/>
      <c r="I55" s="3"/>
      <c r="J55" s="4"/>
    </row>
    <row r="56">
      <c r="F56" s="1"/>
      <c r="H56" s="2"/>
      <c r="I56" s="3"/>
      <c r="J56" s="4"/>
    </row>
    <row r="57">
      <c r="F57" s="1"/>
      <c r="H57" s="2"/>
      <c r="I57" s="3"/>
      <c r="J57" s="4"/>
    </row>
    <row r="58">
      <c r="F58" s="1"/>
      <c r="H58" s="2"/>
      <c r="I58" s="3"/>
      <c r="J58" s="4"/>
    </row>
    <row r="59">
      <c r="F59" s="1"/>
      <c r="H59" s="2"/>
      <c r="I59" s="3"/>
      <c r="J59" s="4"/>
    </row>
    <row r="60">
      <c r="F60" s="1"/>
      <c r="H60" s="2"/>
      <c r="I60" s="3"/>
      <c r="J60" s="4"/>
    </row>
    <row r="61">
      <c r="F61" s="1"/>
      <c r="H61" s="2"/>
      <c r="I61" s="3"/>
      <c r="J61" s="4"/>
    </row>
    <row r="62">
      <c r="F62" s="1"/>
      <c r="H62" s="2"/>
      <c r="I62" s="3"/>
      <c r="J62" s="4"/>
    </row>
    <row r="63">
      <c r="F63" s="1"/>
      <c r="H63" s="2"/>
      <c r="I63" s="3"/>
      <c r="J63" s="4"/>
    </row>
    <row r="64">
      <c r="F64" s="1"/>
      <c r="H64" s="2"/>
      <c r="I64" s="3"/>
      <c r="J64" s="4"/>
    </row>
    <row r="65">
      <c r="F65" s="1"/>
      <c r="H65" s="2"/>
      <c r="I65" s="3"/>
      <c r="J65" s="4"/>
    </row>
    <row r="66">
      <c r="F66" s="1"/>
      <c r="H66" s="2"/>
      <c r="I66" s="3"/>
      <c r="J66" s="4"/>
    </row>
    <row r="67">
      <c r="F67" s="1"/>
      <c r="H67" s="2"/>
      <c r="I67" s="3"/>
      <c r="J67" s="4"/>
    </row>
    <row r="68">
      <c r="F68" s="1"/>
      <c r="H68" s="2"/>
      <c r="I68" s="3"/>
      <c r="J68" s="4"/>
    </row>
    <row r="69">
      <c r="F69" s="1"/>
      <c r="H69" s="2"/>
      <c r="I69" s="3"/>
      <c r="J69" s="4"/>
    </row>
    <row r="70">
      <c r="F70" s="1"/>
      <c r="H70" s="2"/>
      <c r="I70" s="3"/>
      <c r="J70" s="4"/>
    </row>
    <row r="71">
      <c r="F71" s="1"/>
      <c r="H71" s="2"/>
      <c r="I71" s="3"/>
      <c r="J71" s="4"/>
    </row>
    <row r="72">
      <c r="F72" s="1"/>
      <c r="H72" s="2"/>
      <c r="I72" s="3"/>
      <c r="J72" s="4"/>
    </row>
    <row r="73">
      <c r="F73" s="1"/>
      <c r="H73" s="2"/>
      <c r="I73" s="3"/>
      <c r="J73" s="4"/>
    </row>
    <row r="74">
      <c r="F74" s="1"/>
      <c r="H74" s="2"/>
      <c r="I74" s="3"/>
      <c r="J74" s="4"/>
    </row>
    <row r="75">
      <c r="F75" s="1"/>
      <c r="H75" s="2"/>
      <c r="I75" s="3"/>
      <c r="J75" s="4"/>
    </row>
    <row r="76">
      <c r="F76" s="1"/>
      <c r="H76" s="2"/>
      <c r="I76" s="3"/>
      <c r="J76" s="4"/>
    </row>
    <row r="77">
      <c r="F77" s="1"/>
      <c r="H77" s="2"/>
      <c r="I77" s="3"/>
      <c r="J77" s="4"/>
    </row>
    <row r="78">
      <c r="F78" s="1"/>
      <c r="H78" s="2"/>
      <c r="I78" s="3"/>
      <c r="J78" s="4"/>
    </row>
    <row r="79">
      <c r="F79" s="1"/>
      <c r="H79" s="2"/>
      <c r="I79" s="3"/>
      <c r="J79" s="4"/>
    </row>
    <row r="80">
      <c r="F80" s="1"/>
      <c r="H80" s="2"/>
      <c r="I80" s="3"/>
      <c r="J80" s="4"/>
    </row>
    <row r="81">
      <c r="F81" s="1"/>
      <c r="H81" s="2"/>
      <c r="I81" s="3"/>
      <c r="J81" s="4"/>
    </row>
    <row r="82">
      <c r="F82" s="1"/>
      <c r="H82" s="2"/>
      <c r="I82" s="3"/>
      <c r="J82" s="4"/>
    </row>
    <row r="83">
      <c r="F83" s="1"/>
      <c r="H83" s="2"/>
      <c r="I83" s="3"/>
      <c r="J83" s="4"/>
    </row>
    <row r="84">
      <c r="F84" s="1"/>
      <c r="H84" s="2"/>
      <c r="I84" s="3"/>
      <c r="J84" s="4"/>
    </row>
    <row r="85">
      <c r="F85" s="1"/>
      <c r="H85" s="2"/>
      <c r="I85" s="3"/>
      <c r="J85" s="4"/>
    </row>
    <row r="86">
      <c r="F86" s="1"/>
      <c r="H86" s="2"/>
      <c r="I86" s="3"/>
      <c r="J86" s="4"/>
    </row>
    <row r="87">
      <c r="F87" s="1"/>
      <c r="H87" s="2"/>
      <c r="I87" s="3"/>
      <c r="J87" s="4"/>
    </row>
    <row r="88">
      <c r="F88" s="1"/>
      <c r="H88" s="2"/>
      <c r="I88" s="3"/>
      <c r="J88" s="4"/>
    </row>
    <row r="89">
      <c r="F89" s="1"/>
      <c r="H89" s="2"/>
      <c r="I89" s="3"/>
      <c r="J89" s="4"/>
    </row>
    <row r="90">
      <c r="F90" s="1"/>
      <c r="H90" s="2"/>
      <c r="I90" s="3"/>
      <c r="J90" s="4"/>
    </row>
    <row r="91">
      <c r="F91" s="1"/>
      <c r="H91" s="2"/>
      <c r="I91" s="3"/>
      <c r="J91" s="4"/>
    </row>
    <row r="92">
      <c r="F92" s="1"/>
      <c r="H92" s="2"/>
      <c r="I92" s="3"/>
      <c r="J92" s="4"/>
    </row>
    <row r="93">
      <c r="F93" s="1"/>
      <c r="H93" s="2"/>
      <c r="I93" s="3"/>
      <c r="J93" s="4"/>
    </row>
    <row r="94">
      <c r="F94" s="1"/>
      <c r="H94" s="2"/>
      <c r="I94" s="3"/>
      <c r="J94" s="4"/>
    </row>
    <row r="95">
      <c r="F95" s="1"/>
      <c r="H95" s="2"/>
      <c r="I95" s="3"/>
      <c r="J95" s="4"/>
    </row>
    <row r="96">
      <c r="F96" s="1"/>
      <c r="H96" s="2"/>
      <c r="I96" s="3"/>
      <c r="J96" s="4"/>
    </row>
    <row r="97">
      <c r="F97" s="1"/>
      <c r="H97" s="2"/>
      <c r="I97" s="3"/>
      <c r="J97" s="4"/>
    </row>
    <row r="98">
      <c r="F98" s="1"/>
      <c r="H98" s="2"/>
      <c r="I98" s="3"/>
      <c r="J98" s="4"/>
    </row>
    <row r="99">
      <c r="F99" s="1"/>
      <c r="H99" s="2"/>
      <c r="I99" s="3"/>
      <c r="J99" s="4"/>
    </row>
    <row r="100">
      <c r="F100" s="1"/>
      <c r="H100" s="2"/>
      <c r="I100" s="3"/>
      <c r="J100" s="4"/>
    </row>
    <row r="101">
      <c r="F101" s="1"/>
      <c r="H101" s="2"/>
      <c r="I101" s="3"/>
      <c r="J101" s="4"/>
    </row>
    <row r="102">
      <c r="F102" s="1"/>
      <c r="H102" s="2"/>
      <c r="I102" s="3"/>
      <c r="J102" s="4"/>
    </row>
    <row r="103">
      <c r="F103" s="1"/>
      <c r="H103" s="2"/>
      <c r="I103" s="3"/>
      <c r="J103" s="4"/>
    </row>
    <row r="104">
      <c r="F104" s="1"/>
      <c r="H104" s="2"/>
      <c r="I104" s="3"/>
      <c r="J104" s="4"/>
    </row>
    <row r="105">
      <c r="F105" s="1"/>
      <c r="H105" s="2"/>
      <c r="I105" s="3"/>
      <c r="J105" s="4"/>
    </row>
    <row r="106">
      <c r="F106" s="1"/>
      <c r="H106" s="2"/>
      <c r="I106" s="3"/>
      <c r="J106" s="4"/>
    </row>
    <row r="107">
      <c r="F107" s="1"/>
      <c r="H107" s="2"/>
      <c r="I107" s="3"/>
      <c r="J107" s="4"/>
    </row>
    <row r="108">
      <c r="F108" s="1"/>
      <c r="H108" s="2"/>
      <c r="I108" s="3"/>
      <c r="J108" s="4"/>
    </row>
    <row r="109">
      <c r="F109" s="1"/>
      <c r="H109" s="2"/>
      <c r="I109" s="3"/>
      <c r="J109" s="4"/>
    </row>
    <row r="110">
      <c r="F110" s="1"/>
      <c r="H110" s="2"/>
      <c r="I110" s="3"/>
      <c r="J110" s="4"/>
    </row>
    <row r="111">
      <c r="F111" s="1"/>
      <c r="H111" s="2"/>
      <c r="I111" s="3"/>
      <c r="J111" s="4"/>
    </row>
    <row r="112">
      <c r="F112" s="1"/>
      <c r="H112" s="2"/>
      <c r="I112" s="3"/>
      <c r="J112" s="4"/>
    </row>
    <row r="113">
      <c r="F113" s="1"/>
      <c r="H113" s="2"/>
      <c r="I113" s="3"/>
      <c r="J113" s="4"/>
    </row>
    <row r="114">
      <c r="F114" s="1"/>
      <c r="H114" s="2"/>
      <c r="I114" s="3"/>
      <c r="J114" s="4"/>
    </row>
    <row r="115">
      <c r="F115" s="1"/>
      <c r="H115" s="2"/>
      <c r="I115" s="3"/>
      <c r="J115" s="4"/>
    </row>
    <row r="116">
      <c r="F116" s="1"/>
      <c r="H116" s="2"/>
      <c r="I116" s="3"/>
      <c r="J116" s="4"/>
    </row>
    <row r="117">
      <c r="F117" s="1"/>
      <c r="H117" s="2"/>
      <c r="I117" s="3"/>
      <c r="J117" s="4"/>
    </row>
    <row r="118">
      <c r="F118" s="1"/>
      <c r="H118" s="2"/>
      <c r="I118" s="3"/>
      <c r="J118" s="4"/>
    </row>
    <row r="119">
      <c r="F119" s="1"/>
      <c r="H119" s="2"/>
      <c r="I119" s="3"/>
      <c r="J119" s="4"/>
    </row>
    <row r="120">
      <c r="F120" s="1"/>
      <c r="H120" s="2"/>
      <c r="I120" s="3"/>
      <c r="J120" s="4"/>
    </row>
    <row r="121">
      <c r="F121" s="1"/>
      <c r="H121" s="2"/>
      <c r="I121" s="3"/>
      <c r="J121" s="4"/>
    </row>
    <row r="122">
      <c r="F122" s="1"/>
      <c r="H122" s="2"/>
      <c r="I122" s="3"/>
      <c r="J122" s="4"/>
    </row>
    <row r="123">
      <c r="F123" s="1"/>
      <c r="H123" s="2"/>
      <c r="I123" s="3"/>
      <c r="J123" s="4"/>
    </row>
    <row r="124">
      <c r="F124" s="1"/>
      <c r="H124" s="2"/>
      <c r="I124" s="3"/>
      <c r="J124" s="4"/>
    </row>
    <row r="125">
      <c r="F125" s="1"/>
      <c r="H125" s="2"/>
      <c r="I125" s="3"/>
      <c r="J125" s="4"/>
    </row>
    <row r="126">
      <c r="F126" s="1"/>
      <c r="H126" s="2"/>
      <c r="I126" s="3"/>
      <c r="J126" s="4"/>
    </row>
    <row r="127">
      <c r="F127" s="1"/>
      <c r="H127" s="2"/>
      <c r="I127" s="3"/>
      <c r="J127" s="4"/>
    </row>
    <row r="128">
      <c r="F128" s="1"/>
      <c r="H128" s="2"/>
      <c r="I128" s="3"/>
      <c r="J128" s="4"/>
    </row>
    <row r="129">
      <c r="F129" s="1"/>
      <c r="H129" s="2"/>
      <c r="I129" s="3"/>
      <c r="J129" s="4"/>
    </row>
    <row r="130">
      <c r="F130" s="1"/>
      <c r="H130" s="2"/>
      <c r="I130" s="3"/>
      <c r="J130" s="4"/>
    </row>
    <row r="131">
      <c r="F131" s="1"/>
      <c r="H131" s="2"/>
      <c r="I131" s="3"/>
      <c r="J131" s="4"/>
    </row>
    <row r="132">
      <c r="F132" s="1"/>
      <c r="H132" s="2"/>
      <c r="I132" s="3"/>
      <c r="J132" s="4"/>
    </row>
    <row r="133">
      <c r="F133" s="1"/>
      <c r="H133" s="2"/>
      <c r="I133" s="3"/>
      <c r="J133" s="4"/>
    </row>
    <row r="134">
      <c r="F134" s="1"/>
      <c r="H134" s="2"/>
      <c r="I134" s="3"/>
      <c r="J134" s="4"/>
    </row>
    <row r="135">
      <c r="F135" s="1"/>
      <c r="H135" s="2"/>
      <c r="I135" s="3"/>
      <c r="J135" s="4"/>
    </row>
    <row r="136">
      <c r="F136" s="1"/>
      <c r="H136" s="2"/>
      <c r="I136" s="3"/>
      <c r="J136" s="4"/>
    </row>
    <row r="137">
      <c r="F137" s="1"/>
      <c r="H137" s="2"/>
      <c r="I137" s="3"/>
      <c r="J137" s="4"/>
    </row>
    <row r="138">
      <c r="F138" s="1"/>
      <c r="H138" s="2"/>
      <c r="I138" s="3"/>
      <c r="J138" s="4"/>
    </row>
    <row r="139">
      <c r="F139" s="1"/>
      <c r="H139" s="2"/>
      <c r="I139" s="3"/>
      <c r="J139" s="4"/>
    </row>
    <row r="140">
      <c r="F140" s="1"/>
      <c r="H140" s="2"/>
      <c r="I140" s="3"/>
      <c r="J140" s="4"/>
    </row>
    <row r="141">
      <c r="F141" s="1"/>
      <c r="H141" s="2"/>
      <c r="I141" s="3"/>
      <c r="J141" s="4"/>
    </row>
    <row r="142">
      <c r="F142" s="1"/>
      <c r="H142" s="2"/>
      <c r="I142" s="3"/>
      <c r="J142" s="4"/>
    </row>
    <row r="143">
      <c r="F143" s="1"/>
      <c r="H143" s="2"/>
      <c r="I143" s="3"/>
      <c r="J143" s="4"/>
    </row>
    <row r="144">
      <c r="F144" s="1"/>
      <c r="H144" s="2"/>
      <c r="I144" s="3"/>
      <c r="J144" s="4"/>
    </row>
    <row r="145">
      <c r="F145" s="1"/>
      <c r="H145" s="2"/>
      <c r="I145" s="3"/>
      <c r="J145" s="4"/>
    </row>
    <row r="146">
      <c r="F146" s="1"/>
      <c r="H146" s="2"/>
      <c r="I146" s="3"/>
      <c r="J146" s="4"/>
    </row>
    <row r="147">
      <c r="F147" s="1"/>
      <c r="H147" s="2"/>
      <c r="I147" s="3"/>
      <c r="J147" s="4"/>
    </row>
    <row r="148">
      <c r="F148" s="1"/>
      <c r="H148" s="2"/>
      <c r="I148" s="3"/>
      <c r="J148" s="4"/>
    </row>
    <row r="149">
      <c r="F149" s="1"/>
      <c r="H149" s="2"/>
      <c r="I149" s="3"/>
      <c r="J149" s="4"/>
    </row>
    <row r="150">
      <c r="F150" s="1"/>
      <c r="H150" s="2"/>
      <c r="I150" s="3"/>
      <c r="J150" s="4"/>
    </row>
    <row r="151">
      <c r="F151" s="1"/>
      <c r="H151" s="2"/>
      <c r="I151" s="3"/>
      <c r="J151" s="4"/>
    </row>
    <row r="152">
      <c r="F152" s="1"/>
      <c r="H152" s="2"/>
      <c r="I152" s="3"/>
      <c r="J152" s="4"/>
    </row>
    <row r="153">
      <c r="F153" s="1"/>
      <c r="H153" s="2"/>
      <c r="I153" s="3"/>
      <c r="J153" s="4"/>
    </row>
    <row r="154">
      <c r="F154" s="1"/>
      <c r="H154" s="2"/>
      <c r="I154" s="3"/>
      <c r="J154" s="4"/>
    </row>
    <row r="155">
      <c r="F155" s="1"/>
      <c r="H155" s="2"/>
      <c r="I155" s="3"/>
      <c r="J155" s="4"/>
    </row>
    <row r="156">
      <c r="F156" s="1"/>
      <c r="H156" s="2"/>
      <c r="I156" s="3"/>
      <c r="J156" s="4"/>
    </row>
    <row r="157">
      <c r="F157" s="1"/>
      <c r="H157" s="2"/>
      <c r="I157" s="3"/>
      <c r="J157" s="4"/>
    </row>
    <row r="158">
      <c r="F158" s="1"/>
      <c r="H158" s="2"/>
      <c r="I158" s="3"/>
      <c r="J158" s="4"/>
    </row>
    <row r="159">
      <c r="F159" s="1"/>
      <c r="H159" s="2"/>
      <c r="I159" s="3"/>
      <c r="J159" s="4"/>
    </row>
    <row r="160">
      <c r="F160" s="1"/>
      <c r="H160" s="2"/>
      <c r="I160" s="3"/>
      <c r="J160" s="4"/>
    </row>
    <row r="161">
      <c r="F161" s="1"/>
      <c r="H161" s="2"/>
      <c r="I161" s="3"/>
      <c r="J161" s="4"/>
    </row>
    <row r="162">
      <c r="F162" s="1"/>
      <c r="H162" s="2"/>
      <c r="I162" s="3"/>
      <c r="J162" s="4"/>
    </row>
    <row r="163">
      <c r="F163" s="1"/>
      <c r="H163" s="2"/>
      <c r="I163" s="3"/>
      <c r="J163" s="4"/>
    </row>
    <row r="164">
      <c r="F164" s="1"/>
      <c r="H164" s="2"/>
      <c r="I164" s="3"/>
      <c r="J164" s="4"/>
    </row>
    <row r="165">
      <c r="F165" s="1"/>
      <c r="H165" s="2"/>
      <c r="I165" s="3"/>
      <c r="J165" s="4"/>
    </row>
    <row r="166">
      <c r="F166" s="1"/>
      <c r="H166" s="2"/>
      <c r="I166" s="3"/>
      <c r="J166" s="4"/>
    </row>
    <row r="167">
      <c r="F167" s="1"/>
      <c r="H167" s="2"/>
      <c r="I167" s="3"/>
      <c r="J167" s="4"/>
    </row>
    <row r="168">
      <c r="F168" s="1"/>
      <c r="H168" s="2"/>
      <c r="I168" s="3"/>
      <c r="J168" s="4"/>
    </row>
    <row r="169">
      <c r="F169" s="1"/>
      <c r="H169" s="2"/>
      <c r="I169" s="3"/>
      <c r="J169" s="4"/>
    </row>
    <row r="170">
      <c r="F170" s="1"/>
      <c r="H170" s="2"/>
      <c r="I170" s="3"/>
      <c r="J170" s="4"/>
    </row>
    <row r="171">
      <c r="F171" s="1"/>
      <c r="H171" s="2"/>
      <c r="I171" s="3"/>
      <c r="J171" s="4"/>
    </row>
    <row r="172">
      <c r="F172" s="1"/>
      <c r="H172" s="2"/>
      <c r="I172" s="3"/>
      <c r="J172" s="4"/>
    </row>
    <row r="173">
      <c r="F173" s="1"/>
      <c r="H173" s="2"/>
      <c r="I173" s="3"/>
      <c r="J173" s="4"/>
    </row>
    <row r="174">
      <c r="F174" s="1"/>
      <c r="H174" s="2"/>
      <c r="I174" s="3"/>
      <c r="J174" s="4"/>
    </row>
    <row r="175">
      <c r="F175" s="1"/>
      <c r="H175" s="2"/>
      <c r="I175" s="3"/>
      <c r="J175" s="4"/>
    </row>
    <row r="176">
      <c r="F176" s="1"/>
      <c r="H176" s="2"/>
      <c r="I176" s="3"/>
      <c r="J176" s="4"/>
    </row>
    <row r="177">
      <c r="F177" s="1"/>
      <c r="H177" s="2"/>
      <c r="I177" s="3"/>
      <c r="J177" s="4"/>
    </row>
    <row r="178">
      <c r="F178" s="1"/>
      <c r="H178" s="2"/>
      <c r="I178" s="3"/>
      <c r="J178" s="4"/>
    </row>
    <row r="179">
      <c r="F179" s="1"/>
      <c r="H179" s="2"/>
      <c r="I179" s="3"/>
      <c r="J179" s="4"/>
    </row>
    <row r="180">
      <c r="F180" s="1"/>
      <c r="H180" s="2"/>
      <c r="I180" s="3"/>
      <c r="J180" s="4"/>
    </row>
    <row r="181">
      <c r="F181" s="1"/>
      <c r="H181" s="2"/>
      <c r="I181" s="3"/>
      <c r="J181" s="4"/>
    </row>
    <row r="182">
      <c r="F182" s="1"/>
      <c r="H182" s="2"/>
      <c r="I182" s="3"/>
      <c r="J182" s="4"/>
    </row>
    <row r="183">
      <c r="F183" s="1"/>
      <c r="H183" s="2"/>
      <c r="I183" s="3"/>
      <c r="J183" s="4"/>
    </row>
    <row r="184">
      <c r="F184" s="1"/>
      <c r="H184" s="2"/>
      <c r="I184" s="3"/>
      <c r="J184" s="4"/>
    </row>
    <row r="185">
      <c r="F185" s="1"/>
      <c r="H185" s="2"/>
      <c r="I185" s="3"/>
      <c r="J185" s="4"/>
    </row>
    <row r="186">
      <c r="F186" s="1"/>
      <c r="H186" s="2"/>
      <c r="I186" s="3"/>
      <c r="J186" s="4"/>
    </row>
    <row r="187">
      <c r="F187" s="1"/>
      <c r="H187" s="2"/>
      <c r="I187" s="3"/>
      <c r="J187" s="4"/>
    </row>
    <row r="188">
      <c r="F188" s="1"/>
      <c r="H188" s="2"/>
      <c r="I188" s="3"/>
      <c r="J188" s="4"/>
    </row>
    <row r="189">
      <c r="F189" s="1"/>
      <c r="H189" s="2"/>
      <c r="I189" s="3"/>
      <c r="J189" s="4"/>
    </row>
    <row r="190">
      <c r="F190" s="1"/>
      <c r="H190" s="2"/>
      <c r="I190" s="3"/>
      <c r="J190" s="4"/>
    </row>
    <row r="191">
      <c r="F191" s="1"/>
      <c r="H191" s="2"/>
      <c r="I191" s="3"/>
      <c r="J191" s="4"/>
    </row>
    <row r="192">
      <c r="F192" s="1"/>
      <c r="H192" s="2"/>
      <c r="I192" s="3"/>
      <c r="J192" s="4"/>
    </row>
    <row r="193">
      <c r="F193" s="1"/>
      <c r="H193" s="2"/>
      <c r="I193" s="3"/>
      <c r="J193" s="4"/>
    </row>
    <row r="194">
      <c r="F194" s="1"/>
      <c r="H194" s="2"/>
      <c r="I194" s="3"/>
      <c r="J194" s="4"/>
    </row>
    <row r="195">
      <c r="F195" s="1"/>
      <c r="H195" s="2"/>
      <c r="I195" s="3"/>
      <c r="J195" s="4"/>
    </row>
    <row r="196">
      <c r="F196" s="1"/>
      <c r="H196" s="2"/>
      <c r="I196" s="3"/>
      <c r="J196" s="4"/>
    </row>
    <row r="197">
      <c r="F197" s="1"/>
      <c r="H197" s="2"/>
      <c r="I197" s="3"/>
      <c r="J197" s="4"/>
    </row>
    <row r="198">
      <c r="F198" s="1"/>
      <c r="H198" s="2"/>
      <c r="I198" s="3"/>
      <c r="J198" s="4"/>
    </row>
    <row r="199">
      <c r="F199" s="1"/>
      <c r="H199" s="2"/>
      <c r="I199" s="3"/>
      <c r="J199" s="4"/>
    </row>
    <row r="200">
      <c r="F200" s="1"/>
      <c r="H200" s="2"/>
      <c r="I200" s="3"/>
      <c r="J200" s="4"/>
    </row>
    <row r="201">
      <c r="F201" s="1"/>
      <c r="H201" s="2"/>
      <c r="I201" s="3"/>
      <c r="J201" s="4"/>
    </row>
    <row r="202">
      <c r="F202" s="1"/>
      <c r="H202" s="2"/>
      <c r="I202" s="3"/>
      <c r="J202" s="4"/>
    </row>
    <row r="203">
      <c r="F203" s="1"/>
      <c r="H203" s="2"/>
      <c r="I203" s="3"/>
      <c r="J203" s="4"/>
    </row>
    <row r="204">
      <c r="F204" s="1"/>
      <c r="H204" s="2"/>
      <c r="I204" s="3"/>
      <c r="J204" s="4"/>
    </row>
    <row r="205">
      <c r="F205" s="1"/>
      <c r="H205" s="2"/>
      <c r="I205" s="3"/>
      <c r="J205" s="4"/>
    </row>
    <row r="206">
      <c r="F206" s="1"/>
      <c r="H206" s="2"/>
      <c r="I206" s="3"/>
      <c r="J206" s="4"/>
    </row>
    <row r="207">
      <c r="F207" s="1"/>
      <c r="H207" s="2"/>
      <c r="I207" s="3"/>
      <c r="J207" s="4"/>
    </row>
    <row r="208">
      <c r="F208" s="1"/>
      <c r="H208" s="2"/>
      <c r="I208" s="3"/>
      <c r="J208" s="4"/>
    </row>
    <row r="209">
      <c r="F209" s="1"/>
      <c r="H209" s="2"/>
      <c r="I209" s="3"/>
      <c r="J209" s="4"/>
    </row>
    <row r="210">
      <c r="F210" s="1"/>
      <c r="H210" s="2"/>
      <c r="I210" s="3"/>
      <c r="J210" s="4"/>
    </row>
    <row r="211">
      <c r="F211" s="1"/>
      <c r="H211" s="2"/>
      <c r="I211" s="3"/>
      <c r="J211" s="4"/>
    </row>
    <row r="212">
      <c r="F212" s="1"/>
      <c r="H212" s="2"/>
      <c r="I212" s="3"/>
      <c r="J212" s="4"/>
    </row>
    <row r="213">
      <c r="F213" s="1"/>
      <c r="H213" s="2"/>
      <c r="I213" s="3"/>
      <c r="J213" s="4"/>
    </row>
    <row r="214">
      <c r="F214" s="1"/>
      <c r="H214" s="2"/>
      <c r="I214" s="3"/>
      <c r="J214" s="4"/>
    </row>
    <row r="215">
      <c r="F215" s="1"/>
      <c r="H215" s="2"/>
      <c r="I215" s="3"/>
      <c r="J215" s="4"/>
    </row>
    <row r="216">
      <c r="F216" s="1"/>
      <c r="H216" s="2"/>
      <c r="I216" s="3"/>
      <c r="J216" s="4"/>
    </row>
    <row r="217">
      <c r="F217" s="1"/>
      <c r="H217" s="2"/>
      <c r="I217" s="3"/>
      <c r="J217" s="4"/>
    </row>
    <row r="218">
      <c r="F218" s="1"/>
      <c r="H218" s="2"/>
      <c r="I218" s="3"/>
      <c r="J218" s="4"/>
    </row>
    <row r="219">
      <c r="F219" s="1"/>
      <c r="H219" s="2"/>
      <c r="I219" s="3"/>
      <c r="J219" s="4"/>
    </row>
    <row r="220">
      <c r="F220" s="1"/>
      <c r="H220" s="2"/>
      <c r="I220" s="3"/>
      <c r="J220" s="4"/>
    </row>
    <row r="221">
      <c r="F221" s="1"/>
      <c r="H221" s="2"/>
      <c r="I221" s="3"/>
      <c r="J221" s="4"/>
    </row>
    <row r="222">
      <c r="F222" s="1"/>
      <c r="H222" s="2"/>
      <c r="I222" s="3"/>
      <c r="J222" s="4"/>
    </row>
    <row r="223">
      <c r="F223" s="1"/>
      <c r="H223" s="2"/>
      <c r="I223" s="3"/>
      <c r="J223" s="4"/>
    </row>
    <row r="224">
      <c r="F224" s="1"/>
      <c r="H224" s="2"/>
      <c r="I224" s="3"/>
      <c r="J224" s="4"/>
    </row>
    <row r="225">
      <c r="F225" s="1"/>
      <c r="H225" s="2"/>
      <c r="I225" s="3"/>
      <c r="J225" s="4"/>
    </row>
    <row r="226">
      <c r="F226" s="1"/>
      <c r="H226" s="2"/>
      <c r="I226" s="3"/>
      <c r="J226" s="4"/>
    </row>
    <row r="227">
      <c r="F227" s="1"/>
      <c r="H227" s="2"/>
      <c r="I227" s="3"/>
      <c r="J227" s="4"/>
    </row>
    <row r="228">
      <c r="F228" s="1"/>
      <c r="H228" s="2"/>
      <c r="I228" s="3"/>
      <c r="J228" s="4"/>
    </row>
    <row r="229">
      <c r="F229" s="1"/>
      <c r="H229" s="2"/>
      <c r="I229" s="3"/>
      <c r="J229" s="4"/>
    </row>
    <row r="230">
      <c r="F230" s="1"/>
      <c r="H230" s="2"/>
      <c r="I230" s="3"/>
      <c r="J230" s="4"/>
    </row>
    <row r="231">
      <c r="F231" s="1"/>
      <c r="H231" s="2"/>
      <c r="I231" s="3"/>
      <c r="J231" s="4"/>
    </row>
    <row r="232">
      <c r="F232" s="1"/>
      <c r="H232" s="2"/>
      <c r="I232" s="3"/>
      <c r="J232" s="4"/>
    </row>
    <row r="233">
      <c r="F233" s="1"/>
      <c r="H233" s="2"/>
      <c r="I233" s="3"/>
      <c r="J233" s="4"/>
    </row>
    <row r="234">
      <c r="F234" s="1"/>
      <c r="H234" s="2"/>
      <c r="I234" s="3"/>
      <c r="J234" s="4"/>
    </row>
    <row r="235">
      <c r="F235" s="1"/>
      <c r="H235" s="2"/>
      <c r="I235" s="3"/>
      <c r="J235" s="4"/>
    </row>
    <row r="236">
      <c r="F236" s="1"/>
      <c r="H236" s="2"/>
      <c r="I236" s="3"/>
      <c r="J236" s="4"/>
    </row>
    <row r="237">
      <c r="F237" s="1"/>
      <c r="H237" s="2"/>
      <c r="I237" s="3"/>
      <c r="J237" s="4"/>
    </row>
    <row r="238">
      <c r="F238" s="1"/>
      <c r="H238" s="2"/>
      <c r="I238" s="3"/>
      <c r="J238" s="4"/>
    </row>
    <row r="239">
      <c r="F239" s="1"/>
      <c r="H239" s="2"/>
      <c r="I239" s="3"/>
      <c r="J239" s="4"/>
    </row>
    <row r="240">
      <c r="F240" s="1"/>
      <c r="H240" s="2"/>
      <c r="I240" s="3"/>
      <c r="J240" s="4"/>
    </row>
    <row r="241">
      <c r="F241" s="1"/>
      <c r="H241" s="2"/>
      <c r="I241" s="3"/>
      <c r="J241" s="4"/>
    </row>
    <row r="242">
      <c r="F242" s="1"/>
      <c r="H242" s="2"/>
      <c r="I242" s="3"/>
      <c r="J242" s="4"/>
    </row>
    <row r="243">
      <c r="F243" s="1"/>
      <c r="H243" s="2"/>
      <c r="I243" s="3"/>
      <c r="J243" s="4"/>
    </row>
    <row r="244">
      <c r="F244" s="1"/>
      <c r="H244" s="2"/>
      <c r="I244" s="3"/>
      <c r="J244" s="4"/>
    </row>
    <row r="245">
      <c r="F245" s="1"/>
      <c r="H245" s="2"/>
      <c r="I245" s="3"/>
      <c r="J245" s="4"/>
    </row>
    <row r="246">
      <c r="F246" s="1"/>
      <c r="H246" s="2"/>
      <c r="I246" s="3"/>
      <c r="J246" s="4"/>
    </row>
    <row r="247">
      <c r="F247" s="1"/>
      <c r="H247" s="2"/>
      <c r="I247" s="3"/>
      <c r="J247" s="4"/>
    </row>
    <row r="248">
      <c r="F248" s="1"/>
      <c r="H248" s="2"/>
      <c r="I248" s="3"/>
      <c r="J248" s="4"/>
    </row>
    <row r="249">
      <c r="F249" s="1"/>
      <c r="H249" s="2"/>
      <c r="I249" s="3"/>
      <c r="J249" s="4"/>
    </row>
    <row r="250">
      <c r="F250" s="1"/>
      <c r="H250" s="2"/>
      <c r="I250" s="3"/>
      <c r="J250" s="4"/>
    </row>
    <row r="251">
      <c r="F251" s="1"/>
      <c r="H251" s="2"/>
      <c r="I251" s="3"/>
      <c r="J251" s="4"/>
    </row>
    <row r="252">
      <c r="F252" s="1"/>
      <c r="H252" s="2"/>
      <c r="I252" s="3"/>
      <c r="J252" s="4"/>
    </row>
    <row r="253">
      <c r="F253" s="1"/>
      <c r="H253" s="2"/>
      <c r="I253" s="3"/>
      <c r="J253" s="4"/>
    </row>
    <row r="254">
      <c r="F254" s="1"/>
      <c r="H254" s="2"/>
      <c r="I254" s="3"/>
      <c r="J254" s="4"/>
    </row>
    <row r="255">
      <c r="F255" s="1"/>
      <c r="H255" s="2"/>
      <c r="I255" s="3"/>
      <c r="J255" s="4"/>
    </row>
    <row r="256">
      <c r="F256" s="1"/>
      <c r="H256" s="2"/>
      <c r="I256" s="3"/>
      <c r="J256" s="4"/>
    </row>
    <row r="257">
      <c r="F257" s="1"/>
      <c r="H257" s="2"/>
      <c r="I257" s="3"/>
      <c r="J257" s="4"/>
    </row>
    <row r="258">
      <c r="F258" s="1"/>
      <c r="H258" s="2"/>
      <c r="I258" s="3"/>
      <c r="J258" s="4"/>
    </row>
    <row r="259">
      <c r="F259" s="1"/>
      <c r="H259" s="2"/>
      <c r="I259" s="3"/>
      <c r="J259" s="4"/>
    </row>
    <row r="260">
      <c r="F260" s="1"/>
      <c r="H260" s="2"/>
      <c r="I260" s="3"/>
      <c r="J260" s="4"/>
    </row>
    <row r="261">
      <c r="F261" s="1"/>
      <c r="H261" s="2"/>
      <c r="I261" s="3"/>
      <c r="J261" s="4"/>
    </row>
    <row r="262">
      <c r="F262" s="1"/>
      <c r="H262" s="2"/>
      <c r="I262" s="3"/>
      <c r="J262" s="4"/>
    </row>
    <row r="263">
      <c r="F263" s="1"/>
      <c r="H263" s="2"/>
      <c r="I263" s="3"/>
      <c r="J263" s="4"/>
    </row>
    <row r="264">
      <c r="F264" s="1"/>
      <c r="H264" s="2"/>
      <c r="I264" s="3"/>
      <c r="J264" s="4"/>
    </row>
    <row r="265">
      <c r="F265" s="1"/>
      <c r="H265" s="2"/>
      <c r="I265" s="3"/>
      <c r="J265" s="4"/>
    </row>
    <row r="266">
      <c r="F266" s="1"/>
      <c r="H266" s="2"/>
      <c r="I266" s="3"/>
      <c r="J266" s="4"/>
    </row>
    <row r="267">
      <c r="F267" s="1"/>
      <c r="H267" s="2"/>
      <c r="I267" s="3"/>
      <c r="J267" s="4"/>
    </row>
    <row r="268">
      <c r="F268" s="1"/>
      <c r="H268" s="2"/>
      <c r="I268" s="3"/>
      <c r="J268" s="4"/>
    </row>
    <row r="269">
      <c r="F269" s="1"/>
      <c r="H269" s="2"/>
      <c r="I269" s="3"/>
      <c r="J269" s="4"/>
    </row>
    <row r="270">
      <c r="F270" s="1"/>
      <c r="H270" s="2"/>
      <c r="I270" s="3"/>
      <c r="J270" s="4"/>
    </row>
    <row r="271">
      <c r="F271" s="1"/>
      <c r="H271" s="2"/>
      <c r="I271" s="3"/>
      <c r="J271" s="4"/>
    </row>
    <row r="272">
      <c r="F272" s="1"/>
      <c r="H272" s="2"/>
      <c r="I272" s="3"/>
      <c r="J272" s="4"/>
    </row>
    <row r="273">
      <c r="F273" s="1"/>
      <c r="H273" s="2"/>
      <c r="I273" s="3"/>
      <c r="J273" s="4"/>
    </row>
    <row r="274">
      <c r="F274" s="1"/>
      <c r="H274" s="2"/>
      <c r="I274" s="3"/>
      <c r="J274" s="4"/>
    </row>
    <row r="275">
      <c r="F275" s="1"/>
      <c r="H275" s="2"/>
      <c r="I275" s="3"/>
      <c r="J275" s="4"/>
    </row>
    <row r="276">
      <c r="F276" s="1"/>
      <c r="H276" s="2"/>
      <c r="I276" s="3"/>
      <c r="J276" s="4"/>
    </row>
    <row r="277">
      <c r="F277" s="1"/>
      <c r="H277" s="2"/>
      <c r="I277" s="3"/>
      <c r="J277" s="4"/>
    </row>
    <row r="278">
      <c r="F278" s="1"/>
      <c r="H278" s="2"/>
      <c r="I278" s="3"/>
      <c r="J278" s="4"/>
    </row>
    <row r="279">
      <c r="F279" s="1"/>
      <c r="H279" s="2"/>
      <c r="I279" s="3"/>
      <c r="J279" s="4"/>
    </row>
    <row r="280">
      <c r="F280" s="1"/>
      <c r="H280" s="2"/>
      <c r="I280" s="3"/>
      <c r="J280" s="4"/>
    </row>
    <row r="281">
      <c r="F281" s="1"/>
      <c r="H281" s="2"/>
      <c r="I281" s="3"/>
      <c r="J281" s="4"/>
    </row>
    <row r="282">
      <c r="F282" s="1"/>
      <c r="H282" s="2"/>
      <c r="I282" s="3"/>
      <c r="J282" s="4"/>
    </row>
    <row r="283">
      <c r="F283" s="1"/>
      <c r="H283" s="2"/>
      <c r="I283" s="3"/>
      <c r="J283" s="4"/>
    </row>
    <row r="284">
      <c r="F284" s="1"/>
      <c r="H284" s="2"/>
      <c r="I284" s="3"/>
      <c r="J284" s="4"/>
    </row>
    <row r="285">
      <c r="F285" s="1"/>
      <c r="H285" s="2"/>
      <c r="I285" s="3"/>
      <c r="J285" s="4"/>
    </row>
    <row r="286">
      <c r="F286" s="1"/>
      <c r="H286" s="2"/>
      <c r="I286" s="3"/>
      <c r="J286" s="4"/>
    </row>
    <row r="287">
      <c r="F287" s="1"/>
      <c r="H287" s="2"/>
      <c r="I287" s="3"/>
      <c r="J287" s="4"/>
    </row>
    <row r="288">
      <c r="F288" s="1"/>
      <c r="H288" s="2"/>
      <c r="I288" s="3"/>
      <c r="J288" s="4"/>
    </row>
    <row r="289">
      <c r="F289" s="1"/>
      <c r="H289" s="2"/>
      <c r="I289" s="3"/>
      <c r="J289" s="4"/>
    </row>
    <row r="290">
      <c r="F290" s="1"/>
      <c r="H290" s="2"/>
      <c r="I290" s="3"/>
      <c r="J290" s="4"/>
    </row>
    <row r="291">
      <c r="F291" s="1"/>
      <c r="H291" s="2"/>
      <c r="I291" s="3"/>
      <c r="J291" s="4"/>
    </row>
    <row r="292">
      <c r="F292" s="1"/>
      <c r="H292" s="2"/>
      <c r="I292" s="3"/>
      <c r="J292" s="4"/>
    </row>
    <row r="293">
      <c r="F293" s="1"/>
      <c r="H293" s="2"/>
      <c r="I293" s="3"/>
      <c r="J293" s="4"/>
    </row>
    <row r="294">
      <c r="F294" s="1"/>
      <c r="H294" s="2"/>
      <c r="I294" s="3"/>
      <c r="J294" s="4"/>
    </row>
    <row r="295">
      <c r="F295" s="1"/>
      <c r="H295" s="2"/>
      <c r="I295" s="3"/>
      <c r="J295" s="4"/>
    </row>
    <row r="296">
      <c r="F296" s="1"/>
      <c r="H296" s="2"/>
      <c r="I296" s="3"/>
      <c r="J296" s="4"/>
    </row>
    <row r="297">
      <c r="F297" s="1"/>
      <c r="H297" s="2"/>
      <c r="I297" s="3"/>
      <c r="J297" s="4"/>
    </row>
    <row r="298">
      <c r="F298" s="1"/>
      <c r="H298" s="2"/>
      <c r="I298" s="3"/>
      <c r="J298" s="4"/>
    </row>
    <row r="299">
      <c r="F299" s="1"/>
      <c r="H299" s="2"/>
      <c r="I299" s="3"/>
      <c r="J299" s="4"/>
    </row>
    <row r="300">
      <c r="F300" s="1"/>
      <c r="H300" s="2"/>
      <c r="I300" s="3"/>
      <c r="J300" s="4"/>
    </row>
    <row r="301">
      <c r="F301" s="1"/>
      <c r="H301" s="2"/>
      <c r="I301" s="3"/>
      <c r="J301" s="4"/>
    </row>
    <row r="302">
      <c r="F302" s="1"/>
      <c r="H302" s="2"/>
      <c r="I302" s="3"/>
      <c r="J302" s="4"/>
    </row>
    <row r="303">
      <c r="F303" s="1"/>
      <c r="H303" s="2"/>
      <c r="I303" s="3"/>
      <c r="J303" s="4"/>
    </row>
    <row r="304">
      <c r="F304" s="1"/>
      <c r="H304" s="2"/>
      <c r="I304" s="3"/>
      <c r="J304" s="4"/>
    </row>
    <row r="305">
      <c r="F305" s="1"/>
      <c r="H305" s="2"/>
      <c r="I305" s="3"/>
      <c r="J305" s="4"/>
    </row>
    <row r="306">
      <c r="F306" s="1"/>
      <c r="H306" s="2"/>
      <c r="I306" s="3"/>
      <c r="J306" s="4"/>
    </row>
    <row r="307">
      <c r="F307" s="1"/>
      <c r="H307" s="2"/>
      <c r="I307" s="3"/>
      <c r="J307" s="4"/>
    </row>
    <row r="308">
      <c r="F308" s="1"/>
      <c r="H308" s="2"/>
      <c r="I308" s="3"/>
      <c r="J308" s="4"/>
    </row>
    <row r="309">
      <c r="F309" s="1"/>
      <c r="H309" s="2"/>
      <c r="I309" s="3"/>
      <c r="J309" s="4"/>
    </row>
    <row r="310">
      <c r="F310" s="1"/>
      <c r="H310" s="2"/>
      <c r="I310" s="3"/>
      <c r="J310" s="4"/>
    </row>
    <row r="311">
      <c r="F311" s="1"/>
      <c r="H311" s="2"/>
      <c r="I311" s="3"/>
      <c r="J311" s="4"/>
    </row>
    <row r="312">
      <c r="F312" s="1"/>
      <c r="H312" s="2"/>
      <c r="I312" s="3"/>
      <c r="J312" s="4"/>
    </row>
    <row r="313">
      <c r="F313" s="1"/>
      <c r="H313" s="2"/>
      <c r="I313" s="3"/>
      <c r="J313" s="4"/>
    </row>
    <row r="314">
      <c r="F314" s="1"/>
      <c r="H314" s="2"/>
      <c r="I314" s="3"/>
      <c r="J314" s="4"/>
    </row>
    <row r="315">
      <c r="F315" s="1"/>
      <c r="H315" s="2"/>
      <c r="I315" s="3"/>
      <c r="J315" s="4"/>
    </row>
    <row r="316">
      <c r="F316" s="1"/>
      <c r="H316" s="2"/>
      <c r="I316" s="3"/>
      <c r="J316" s="4"/>
    </row>
    <row r="317">
      <c r="F317" s="1"/>
      <c r="H317" s="2"/>
      <c r="I317" s="3"/>
      <c r="J317" s="4"/>
    </row>
    <row r="318">
      <c r="F318" s="1"/>
      <c r="H318" s="2"/>
      <c r="I318" s="3"/>
      <c r="J318" s="4"/>
    </row>
    <row r="319">
      <c r="F319" s="1"/>
      <c r="H319" s="2"/>
      <c r="I319" s="3"/>
      <c r="J319" s="4"/>
    </row>
    <row r="320">
      <c r="F320" s="1"/>
      <c r="H320" s="2"/>
      <c r="I320" s="3"/>
      <c r="J320" s="4"/>
    </row>
    <row r="321">
      <c r="F321" s="1"/>
      <c r="H321" s="2"/>
      <c r="I321" s="3"/>
      <c r="J321" s="4"/>
    </row>
    <row r="322">
      <c r="F322" s="1"/>
      <c r="H322" s="2"/>
      <c r="I322" s="3"/>
      <c r="J322" s="4"/>
    </row>
    <row r="323">
      <c r="F323" s="1"/>
      <c r="H323" s="2"/>
      <c r="I323" s="3"/>
      <c r="J323" s="4"/>
    </row>
    <row r="324">
      <c r="F324" s="1"/>
      <c r="H324" s="2"/>
      <c r="I324" s="3"/>
      <c r="J324" s="4"/>
    </row>
    <row r="325">
      <c r="F325" s="1"/>
      <c r="H325" s="2"/>
      <c r="I325" s="3"/>
      <c r="J325" s="4"/>
    </row>
    <row r="326">
      <c r="F326" s="1"/>
      <c r="H326" s="2"/>
      <c r="I326" s="3"/>
      <c r="J326" s="4"/>
    </row>
    <row r="327">
      <c r="F327" s="1"/>
      <c r="H327" s="2"/>
      <c r="I327" s="3"/>
      <c r="J327" s="4"/>
    </row>
    <row r="328">
      <c r="F328" s="1"/>
      <c r="H328" s="2"/>
      <c r="I328" s="3"/>
      <c r="J328" s="4"/>
    </row>
    <row r="329">
      <c r="F329" s="1"/>
      <c r="H329" s="2"/>
      <c r="I329" s="3"/>
      <c r="J329" s="4"/>
    </row>
    <row r="330">
      <c r="F330" s="1"/>
      <c r="H330" s="2"/>
      <c r="I330" s="3"/>
      <c r="J330" s="4"/>
    </row>
    <row r="331">
      <c r="F331" s="1"/>
      <c r="H331" s="2"/>
      <c r="I331" s="3"/>
      <c r="J331" s="4"/>
    </row>
    <row r="332">
      <c r="F332" s="1"/>
      <c r="H332" s="2"/>
      <c r="I332" s="3"/>
      <c r="J332" s="4"/>
    </row>
    <row r="333">
      <c r="F333" s="1"/>
      <c r="H333" s="2"/>
      <c r="I333" s="3"/>
      <c r="J333" s="4"/>
    </row>
    <row r="334">
      <c r="F334" s="1"/>
      <c r="H334" s="2"/>
      <c r="I334" s="3"/>
      <c r="J334" s="4"/>
    </row>
    <row r="335">
      <c r="F335" s="1"/>
      <c r="H335" s="2"/>
      <c r="I335" s="3"/>
      <c r="J335" s="4"/>
    </row>
    <row r="336">
      <c r="F336" s="1"/>
      <c r="H336" s="2"/>
      <c r="I336" s="3"/>
      <c r="J336" s="4"/>
    </row>
    <row r="337">
      <c r="F337" s="1"/>
      <c r="H337" s="2"/>
      <c r="I337" s="3"/>
      <c r="J337" s="4"/>
    </row>
    <row r="338">
      <c r="F338" s="1"/>
      <c r="H338" s="2"/>
      <c r="I338" s="3"/>
      <c r="J338" s="4"/>
    </row>
    <row r="339">
      <c r="F339" s="1"/>
      <c r="H339" s="2"/>
      <c r="I339" s="3"/>
      <c r="J339" s="4"/>
    </row>
    <row r="340">
      <c r="F340" s="1"/>
      <c r="H340" s="2"/>
      <c r="I340" s="3"/>
      <c r="J340" s="4"/>
    </row>
    <row r="341">
      <c r="F341" s="1"/>
      <c r="H341" s="2"/>
      <c r="I341" s="3"/>
      <c r="J341" s="4"/>
    </row>
    <row r="342">
      <c r="F342" s="1"/>
      <c r="H342" s="2"/>
      <c r="I342" s="3"/>
      <c r="J342" s="4"/>
    </row>
    <row r="343">
      <c r="F343" s="1"/>
      <c r="H343" s="2"/>
      <c r="I343" s="3"/>
      <c r="J343" s="4"/>
    </row>
    <row r="344">
      <c r="F344" s="1"/>
      <c r="H344" s="2"/>
      <c r="I344" s="3"/>
      <c r="J344" s="4"/>
    </row>
    <row r="345">
      <c r="F345" s="1"/>
      <c r="H345" s="2"/>
      <c r="I345" s="3"/>
      <c r="J345" s="4"/>
    </row>
    <row r="346">
      <c r="F346" s="1"/>
      <c r="H346" s="2"/>
      <c r="I346" s="3"/>
      <c r="J346" s="4"/>
    </row>
    <row r="347">
      <c r="F347" s="1"/>
      <c r="H347" s="2"/>
      <c r="I347" s="3"/>
      <c r="J347" s="4"/>
    </row>
    <row r="348">
      <c r="F348" s="1"/>
      <c r="H348" s="2"/>
      <c r="I348" s="3"/>
      <c r="J348" s="4"/>
    </row>
    <row r="349">
      <c r="F349" s="1"/>
      <c r="H349" s="2"/>
      <c r="I349" s="3"/>
      <c r="J349" s="4"/>
    </row>
    <row r="350">
      <c r="F350" s="1"/>
      <c r="H350" s="2"/>
      <c r="I350" s="3"/>
      <c r="J350" s="4"/>
    </row>
    <row r="351">
      <c r="F351" s="1"/>
      <c r="H351" s="2"/>
      <c r="I351" s="3"/>
      <c r="J351" s="4"/>
    </row>
    <row r="352">
      <c r="F352" s="1"/>
      <c r="H352" s="2"/>
      <c r="I352" s="3"/>
      <c r="J352" s="4"/>
    </row>
    <row r="353">
      <c r="F353" s="1"/>
      <c r="H353" s="2"/>
      <c r="I353" s="3"/>
      <c r="J353" s="4"/>
    </row>
    <row r="354">
      <c r="F354" s="1"/>
      <c r="H354" s="2"/>
      <c r="I354" s="3"/>
      <c r="J354" s="4"/>
    </row>
    <row r="355">
      <c r="F355" s="1"/>
      <c r="H355" s="2"/>
      <c r="I355" s="3"/>
      <c r="J355" s="4"/>
    </row>
    <row r="356">
      <c r="F356" s="1"/>
      <c r="H356" s="2"/>
      <c r="I356" s="3"/>
      <c r="J356" s="4"/>
    </row>
    <row r="357">
      <c r="F357" s="1"/>
      <c r="H357" s="2"/>
      <c r="I357" s="3"/>
      <c r="J357" s="4"/>
    </row>
    <row r="358">
      <c r="F358" s="1"/>
      <c r="H358" s="2"/>
      <c r="I358" s="3"/>
      <c r="J358" s="4"/>
    </row>
    <row r="359">
      <c r="F359" s="1"/>
      <c r="H359" s="2"/>
      <c r="I359" s="3"/>
      <c r="J359" s="4"/>
    </row>
    <row r="360">
      <c r="F360" s="1"/>
      <c r="H360" s="2"/>
      <c r="I360" s="3"/>
      <c r="J360" s="4"/>
    </row>
    <row r="361">
      <c r="F361" s="1"/>
      <c r="H361" s="2"/>
      <c r="I361" s="3"/>
      <c r="J361" s="4"/>
    </row>
    <row r="362">
      <c r="F362" s="1"/>
      <c r="H362" s="2"/>
      <c r="I362" s="3"/>
      <c r="J362" s="4"/>
    </row>
    <row r="363">
      <c r="F363" s="1"/>
      <c r="H363" s="2"/>
      <c r="I363" s="3"/>
      <c r="J363" s="4"/>
    </row>
    <row r="364">
      <c r="F364" s="1"/>
      <c r="H364" s="2"/>
      <c r="I364" s="3"/>
      <c r="J364" s="4"/>
    </row>
    <row r="365">
      <c r="F365" s="1"/>
      <c r="H365" s="2"/>
      <c r="I365" s="3"/>
      <c r="J365" s="4"/>
    </row>
    <row r="366">
      <c r="F366" s="1"/>
      <c r="H366" s="2"/>
      <c r="I366" s="3"/>
      <c r="J366" s="4"/>
    </row>
    <row r="367">
      <c r="F367" s="1"/>
      <c r="H367" s="2"/>
      <c r="I367" s="3"/>
      <c r="J367" s="4"/>
    </row>
    <row r="368">
      <c r="F368" s="1"/>
      <c r="H368" s="2"/>
      <c r="I368" s="3"/>
      <c r="J368" s="4"/>
    </row>
    <row r="369">
      <c r="F369" s="1"/>
      <c r="H369" s="2"/>
      <c r="I369" s="3"/>
      <c r="J369" s="4"/>
    </row>
    <row r="370">
      <c r="F370" s="1"/>
      <c r="H370" s="2"/>
      <c r="I370" s="3"/>
      <c r="J370" s="4"/>
    </row>
    <row r="371">
      <c r="F371" s="1"/>
      <c r="H371" s="2"/>
      <c r="I371" s="3"/>
      <c r="J371" s="4"/>
    </row>
    <row r="372">
      <c r="F372" s="1"/>
      <c r="H372" s="2"/>
      <c r="I372" s="3"/>
      <c r="J372" s="4"/>
    </row>
    <row r="373">
      <c r="F373" s="1"/>
      <c r="H373" s="2"/>
      <c r="I373" s="3"/>
      <c r="J373" s="4"/>
    </row>
    <row r="374">
      <c r="F374" s="1"/>
      <c r="H374" s="2"/>
      <c r="I374" s="3"/>
      <c r="J374" s="4"/>
    </row>
    <row r="375">
      <c r="F375" s="1"/>
      <c r="H375" s="2"/>
      <c r="I375" s="3"/>
      <c r="J375" s="4"/>
    </row>
    <row r="376">
      <c r="F376" s="1"/>
      <c r="H376" s="2"/>
      <c r="I376" s="3"/>
      <c r="J376" s="4"/>
    </row>
    <row r="377">
      <c r="F377" s="1"/>
      <c r="H377" s="2"/>
      <c r="I377" s="3"/>
      <c r="J377" s="4"/>
    </row>
    <row r="378">
      <c r="F378" s="1"/>
      <c r="H378" s="2"/>
      <c r="I378" s="3"/>
      <c r="J378" s="4"/>
    </row>
    <row r="379">
      <c r="F379" s="1"/>
      <c r="H379" s="2"/>
      <c r="I379" s="3"/>
      <c r="J379" s="4"/>
    </row>
    <row r="380">
      <c r="F380" s="1"/>
      <c r="H380" s="2"/>
      <c r="I380" s="3"/>
      <c r="J380" s="4"/>
    </row>
    <row r="381">
      <c r="F381" s="1"/>
      <c r="H381" s="2"/>
      <c r="I381" s="3"/>
      <c r="J381" s="4"/>
    </row>
    <row r="382">
      <c r="F382" s="1"/>
      <c r="H382" s="2"/>
      <c r="I382" s="3"/>
      <c r="J382" s="4"/>
    </row>
    <row r="383">
      <c r="F383" s="1"/>
      <c r="H383" s="2"/>
      <c r="I383" s="3"/>
      <c r="J383" s="4"/>
    </row>
    <row r="384">
      <c r="F384" s="1"/>
      <c r="H384" s="2"/>
      <c r="I384" s="3"/>
      <c r="J384" s="4"/>
    </row>
    <row r="385">
      <c r="F385" s="1"/>
      <c r="H385" s="2"/>
      <c r="I385" s="3"/>
      <c r="J385" s="4"/>
    </row>
    <row r="386">
      <c r="F386" s="1"/>
      <c r="H386" s="2"/>
      <c r="I386" s="3"/>
      <c r="J386" s="4"/>
    </row>
    <row r="387">
      <c r="F387" s="1"/>
      <c r="H387" s="2"/>
      <c r="I387" s="3"/>
      <c r="J387" s="4"/>
    </row>
    <row r="388">
      <c r="F388" s="1"/>
      <c r="H388" s="2"/>
      <c r="I388" s="3"/>
      <c r="J388" s="4"/>
    </row>
    <row r="389">
      <c r="F389" s="1"/>
      <c r="H389" s="2"/>
      <c r="I389" s="3"/>
      <c r="J389" s="4"/>
    </row>
    <row r="390">
      <c r="F390" s="1"/>
      <c r="H390" s="2"/>
      <c r="I390" s="3"/>
      <c r="J390" s="4"/>
    </row>
    <row r="391">
      <c r="F391" s="1"/>
      <c r="H391" s="2"/>
      <c r="I391" s="3"/>
      <c r="J391" s="4"/>
    </row>
    <row r="392">
      <c r="F392" s="1"/>
      <c r="H392" s="2"/>
      <c r="I392" s="3"/>
      <c r="J392" s="4"/>
    </row>
    <row r="393">
      <c r="F393" s="1"/>
      <c r="H393" s="2"/>
      <c r="I393" s="3"/>
      <c r="J393" s="4"/>
    </row>
    <row r="394">
      <c r="F394" s="1"/>
      <c r="H394" s="2"/>
      <c r="I394" s="3"/>
      <c r="J394" s="4"/>
    </row>
    <row r="395">
      <c r="F395" s="1"/>
      <c r="H395" s="2"/>
      <c r="I395" s="3"/>
      <c r="J395" s="4"/>
    </row>
    <row r="396">
      <c r="F396" s="1"/>
      <c r="H396" s="2"/>
      <c r="I396" s="3"/>
      <c r="J396" s="4"/>
    </row>
    <row r="397">
      <c r="F397" s="1"/>
      <c r="H397" s="2"/>
      <c r="I397" s="3"/>
      <c r="J397" s="4"/>
    </row>
    <row r="398">
      <c r="F398" s="1"/>
      <c r="H398" s="2"/>
      <c r="I398" s="3"/>
      <c r="J398" s="4"/>
    </row>
    <row r="399">
      <c r="F399" s="1"/>
      <c r="H399" s="2"/>
      <c r="I399" s="3"/>
      <c r="J399" s="4"/>
    </row>
    <row r="400">
      <c r="F400" s="1"/>
      <c r="H400" s="2"/>
      <c r="I400" s="3"/>
      <c r="J400" s="4"/>
    </row>
    <row r="401">
      <c r="F401" s="1"/>
      <c r="H401" s="2"/>
      <c r="I401" s="3"/>
      <c r="J401" s="4"/>
    </row>
    <row r="402">
      <c r="F402" s="1"/>
      <c r="H402" s="2"/>
      <c r="I402" s="3"/>
      <c r="J402" s="4"/>
    </row>
    <row r="403">
      <c r="F403" s="1"/>
      <c r="H403" s="2"/>
      <c r="I403" s="3"/>
      <c r="J403" s="4"/>
    </row>
    <row r="404">
      <c r="F404" s="1"/>
      <c r="H404" s="2"/>
      <c r="I404" s="3"/>
      <c r="J404" s="4"/>
    </row>
    <row r="405">
      <c r="F405" s="1"/>
      <c r="H405" s="2"/>
      <c r="I405" s="3"/>
      <c r="J405" s="4"/>
    </row>
    <row r="406">
      <c r="F406" s="1"/>
      <c r="H406" s="2"/>
      <c r="I406" s="3"/>
      <c r="J406" s="4"/>
    </row>
    <row r="407">
      <c r="F407" s="1"/>
      <c r="H407" s="2"/>
      <c r="I407" s="3"/>
      <c r="J407" s="4"/>
    </row>
    <row r="408">
      <c r="F408" s="1"/>
      <c r="H408" s="2"/>
      <c r="I408" s="3"/>
      <c r="J408" s="4"/>
    </row>
    <row r="409">
      <c r="F409" s="1"/>
      <c r="H409" s="2"/>
      <c r="I409" s="3"/>
      <c r="J409" s="4"/>
    </row>
    <row r="410">
      <c r="F410" s="1"/>
      <c r="H410" s="2"/>
      <c r="I410" s="3"/>
      <c r="J410" s="4"/>
    </row>
    <row r="411">
      <c r="F411" s="1"/>
      <c r="H411" s="2"/>
      <c r="I411" s="3"/>
      <c r="J411" s="4"/>
    </row>
    <row r="412">
      <c r="F412" s="1"/>
      <c r="H412" s="2"/>
      <c r="I412" s="3"/>
      <c r="J412" s="4"/>
    </row>
    <row r="413">
      <c r="F413" s="1"/>
      <c r="H413" s="2"/>
      <c r="I413" s="3"/>
      <c r="J413" s="4"/>
    </row>
    <row r="414">
      <c r="F414" s="1"/>
      <c r="H414" s="2"/>
      <c r="I414" s="3"/>
      <c r="J414" s="4"/>
    </row>
    <row r="415">
      <c r="F415" s="1"/>
      <c r="H415" s="2"/>
      <c r="I415" s="3"/>
      <c r="J415" s="4"/>
    </row>
    <row r="416">
      <c r="F416" s="1"/>
      <c r="H416" s="2"/>
      <c r="I416" s="3"/>
      <c r="J416" s="4"/>
    </row>
    <row r="417">
      <c r="F417" s="1"/>
      <c r="H417" s="2"/>
      <c r="I417" s="3"/>
      <c r="J417" s="4"/>
    </row>
    <row r="418">
      <c r="F418" s="1"/>
      <c r="H418" s="2"/>
      <c r="I418" s="3"/>
      <c r="J418" s="4"/>
    </row>
    <row r="419">
      <c r="F419" s="1"/>
      <c r="H419" s="2"/>
      <c r="I419" s="3"/>
      <c r="J419" s="4"/>
    </row>
    <row r="420">
      <c r="F420" s="1"/>
      <c r="H420" s="2"/>
      <c r="I420" s="3"/>
      <c r="J420" s="4"/>
    </row>
    <row r="421">
      <c r="F421" s="1"/>
      <c r="H421" s="2"/>
      <c r="I421" s="3"/>
      <c r="J421" s="4"/>
    </row>
    <row r="422">
      <c r="F422" s="1"/>
      <c r="H422" s="2"/>
      <c r="I422" s="3"/>
      <c r="J422" s="4"/>
    </row>
    <row r="423">
      <c r="F423" s="1"/>
      <c r="H423" s="2"/>
      <c r="I423" s="3"/>
      <c r="J423" s="4"/>
    </row>
    <row r="424">
      <c r="F424" s="1"/>
      <c r="H424" s="2"/>
      <c r="I424" s="3"/>
      <c r="J424" s="4"/>
    </row>
    <row r="425">
      <c r="F425" s="1"/>
      <c r="H425" s="2"/>
      <c r="I425" s="3"/>
      <c r="J425" s="4"/>
    </row>
    <row r="426">
      <c r="F426" s="1"/>
      <c r="H426" s="2"/>
      <c r="I426" s="3"/>
      <c r="J426" s="4"/>
    </row>
    <row r="427">
      <c r="F427" s="1"/>
      <c r="H427" s="2"/>
      <c r="I427" s="3"/>
      <c r="J427" s="4"/>
    </row>
    <row r="428">
      <c r="F428" s="1"/>
      <c r="H428" s="2"/>
      <c r="I428" s="3"/>
      <c r="J428" s="4"/>
    </row>
    <row r="429">
      <c r="F429" s="1"/>
      <c r="H429" s="2"/>
      <c r="I429" s="3"/>
      <c r="J429" s="4"/>
    </row>
    <row r="430">
      <c r="F430" s="1"/>
      <c r="H430" s="2"/>
      <c r="I430" s="3"/>
      <c r="J430" s="4"/>
    </row>
    <row r="431">
      <c r="F431" s="1"/>
      <c r="H431" s="2"/>
      <c r="I431" s="3"/>
      <c r="J431" s="4"/>
    </row>
    <row r="432">
      <c r="F432" s="1"/>
      <c r="H432" s="2"/>
      <c r="I432" s="3"/>
      <c r="J432" s="4"/>
    </row>
    <row r="433">
      <c r="F433" s="1"/>
      <c r="H433" s="2"/>
      <c r="I433" s="3"/>
      <c r="J433" s="4"/>
    </row>
    <row r="434">
      <c r="F434" s="1"/>
      <c r="H434" s="2"/>
      <c r="I434" s="3"/>
      <c r="J434" s="4"/>
    </row>
    <row r="435">
      <c r="F435" s="1"/>
      <c r="H435" s="2"/>
      <c r="I435" s="3"/>
      <c r="J435" s="4"/>
    </row>
    <row r="436">
      <c r="F436" s="1"/>
      <c r="H436" s="2"/>
      <c r="I436" s="3"/>
      <c r="J436" s="4"/>
    </row>
    <row r="437">
      <c r="F437" s="1"/>
      <c r="H437" s="2"/>
      <c r="I437" s="3"/>
      <c r="J437" s="4"/>
    </row>
    <row r="438">
      <c r="F438" s="1"/>
      <c r="H438" s="2"/>
      <c r="I438" s="3"/>
      <c r="J438" s="4"/>
    </row>
    <row r="439">
      <c r="F439" s="1"/>
      <c r="H439" s="2"/>
      <c r="I439" s="3"/>
      <c r="J439" s="4"/>
    </row>
    <row r="440">
      <c r="F440" s="1"/>
      <c r="H440" s="2"/>
      <c r="I440" s="3"/>
      <c r="J440" s="4"/>
    </row>
    <row r="441">
      <c r="F441" s="1"/>
      <c r="H441" s="2"/>
      <c r="I441" s="3"/>
      <c r="J441" s="4"/>
    </row>
    <row r="442">
      <c r="F442" s="1"/>
      <c r="H442" s="2"/>
      <c r="I442" s="3"/>
      <c r="J442" s="4"/>
    </row>
    <row r="443">
      <c r="F443" s="1"/>
      <c r="H443" s="2"/>
      <c r="I443" s="3"/>
      <c r="J443" s="4"/>
    </row>
    <row r="444">
      <c r="F444" s="1"/>
      <c r="H444" s="2"/>
      <c r="I444" s="3"/>
      <c r="J444" s="4"/>
    </row>
    <row r="445">
      <c r="F445" s="1"/>
      <c r="H445" s="2"/>
      <c r="I445" s="3"/>
      <c r="J445" s="4"/>
    </row>
    <row r="446">
      <c r="F446" s="1"/>
      <c r="H446" s="2"/>
      <c r="I446" s="3"/>
      <c r="J446" s="4"/>
    </row>
    <row r="447">
      <c r="F447" s="1"/>
      <c r="H447" s="2"/>
      <c r="I447" s="3"/>
      <c r="J447" s="4"/>
    </row>
    <row r="448">
      <c r="F448" s="1"/>
      <c r="H448" s="2"/>
      <c r="I448" s="3"/>
      <c r="J448" s="4"/>
    </row>
    <row r="449">
      <c r="F449" s="1"/>
      <c r="H449" s="2"/>
      <c r="I449" s="3"/>
      <c r="J449" s="4"/>
    </row>
    <row r="450">
      <c r="F450" s="1"/>
      <c r="H450" s="2"/>
      <c r="I450" s="3"/>
      <c r="J450" s="4"/>
    </row>
    <row r="451">
      <c r="F451" s="1"/>
      <c r="H451" s="2"/>
      <c r="I451" s="3"/>
      <c r="J451" s="4"/>
    </row>
    <row r="452">
      <c r="F452" s="1"/>
      <c r="H452" s="2"/>
      <c r="I452" s="3"/>
      <c r="J452" s="4"/>
    </row>
    <row r="453">
      <c r="F453" s="1"/>
      <c r="H453" s="2"/>
      <c r="I453" s="3"/>
      <c r="J453" s="4"/>
    </row>
    <row r="454">
      <c r="F454" s="1"/>
      <c r="H454" s="2"/>
      <c r="I454" s="3"/>
      <c r="J454" s="4"/>
    </row>
    <row r="455">
      <c r="F455" s="1"/>
      <c r="H455" s="2"/>
      <c r="I455" s="3"/>
      <c r="J455" s="4"/>
    </row>
    <row r="456">
      <c r="F456" s="1"/>
      <c r="H456" s="2"/>
      <c r="I456" s="3"/>
      <c r="J456" s="4"/>
    </row>
    <row r="457">
      <c r="F457" s="1"/>
      <c r="H457" s="2"/>
      <c r="I457" s="3"/>
      <c r="J457" s="4"/>
    </row>
    <row r="458">
      <c r="F458" s="1"/>
      <c r="H458" s="2"/>
      <c r="I458" s="3"/>
      <c r="J458" s="4"/>
    </row>
    <row r="459">
      <c r="F459" s="1"/>
      <c r="H459" s="2"/>
      <c r="I459" s="3"/>
      <c r="J459" s="4"/>
    </row>
    <row r="460">
      <c r="F460" s="1"/>
      <c r="H460" s="2"/>
      <c r="I460" s="3"/>
      <c r="J460" s="4"/>
    </row>
    <row r="461">
      <c r="F461" s="1"/>
      <c r="H461" s="2"/>
      <c r="I461" s="3"/>
      <c r="J461" s="4"/>
    </row>
    <row r="462">
      <c r="F462" s="1"/>
      <c r="H462" s="2"/>
      <c r="I462" s="3"/>
      <c r="J462" s="4"/>
    </row>
    <row r="463">
      <c r="F463" s="1"/>
      <c r="H463" s="2"/>
      <c r="I463" s="3"/>
      <c r="J463" s="4"/>
    </row>
    <row r="464">
      <c r="F464" s="1"/>
      <c r="H464" s="2"/>
      <c r="I464" s="3"/>
      <c r="J464" s="4"/>
    </row>
    <row r="465">
      <c r="F465" s="1"/>
      <c r="H465" s="2"/>
      <c r="I465" s="3"/>
      <c r="J465" s="4"/>
    </row>
    <row r="466">
      <c r="F466" s="1"/>
      <c r="H466" s="2"/>
      <c r="I466" s="3"/>
      <c r="J466" s="4"/>
    </row>
    <row r="467">
      <c r="F467" s="1"/>
      <c r="H467" s="2"/>
      <c r="I467" s="3"/>
      <c r="J467" s="4"/>
    </row>
    <row r="468">
      <c r="F468" s="1"/>
      <c r="H468" s="2"/>
      <c r="I468" s="3"/>
      <c r="J468" s="4"/>
    </row>
    <row r="469">
      <c r="F469" s="1"/>
      <c r="H469" s="2"/>
      <c r="I469" s="3"/>
      <c r="J469" s="4"/>
    </row>
    <row r="470">
      <c r="F470" s="1"/>
      <c r="H470" s="2"/>
      <c r="I470" s="3"/>
      <c r="J470" s="4"/>
    </row>
    <row r="471">
      <c r="F471" s="1"/>
      <c r="H471" s="2"/>
      <c r="I471" s="3"/>
      <c r="J471" s="4"/>
    </row>
    <row r="472">
      <c r="F472" s="1"/>
      <c r="H472" s="2"/>
      <c r="I472" s="3"/>
      <c r="J472" s="4"/>
    </row>
    <row r="473">
      <c r="F473" s="1"/>
      <c r="H473" s="2"/>
      <c r="I473" s="3"/>
      <c r="J473" s="4"/>
    </row>
    <row r="474">
      <c r="F474" s="1"/>
      <c r="H474" s="2"/>
      <c r="I474" s="3"/>
      <c r="J474" s="4"/>
    </row>
    <row r="475">
      <c r="F475" s="1"/>
      <c r="H475" s="2"/>
      <c r="I475" s="3"/>
      <c r="J475" s="4"/>
    </row>
    <row r="476">
      <c r="F476" s="1"/>
      <c r="H476" s="2"/>
      <c r="I476" s="3"/>
      <c r="J476" s="4"/>
    </row>
    <row r="477">
      <c r="F477" s="1"/>
      <c r="H477" s="2"/>
      <c r="I477" s="3"/>
      <c r="J477" s="4"/>
    </row>
    <row r="478">
      <c r="F478" s="1"/>
      <c r="H478" s="2"/>
      <c r="I478" s="3"/>
      <c r="J478" s="4"/>
    </row>
    <row r="479">
      <c r="F479" s="1"/>
      <c r="H479" s="2"/>
      <c r="I479" s="3"/>
      <c r="J479" s="4"/>
    </row>
    <row r="480">
      <c r="F480" s="1"/>
      <c r="H480" s="2"/>
      <c r="I480" s="3"/>
      <c r="J480" s="4"/>
    </row>
    <row r="481">
      <c r="F481" s="1"/>
      <c r="H481" s="2"/>
      <c r="I481" s="3"/>
      <c r="J481" s="4"/>
    </row>
    <row r="482">
      <c r="F482" s="1"/>
      <c r="H482" s="2"/>
      <c r="I482" s="3"/>
      <c r="J482" s="4"/>
    </row>
    <row r="483">
      <c r="F483" s="1"/>
      <c r="H483" s="2"/>
      <c r="I483" s="3"/>
      <c r="J483" s="4"/>
    </row>
    <row r="484">
      <c r="F484" s="1"/>
      <c r="H484" s="2"/>
      <c r="I484" s="3"/>
      <c r="J484" s="4"/>
    </row>
    <row r="485">
      <c r="F485" s="1"/>
      <c r="H485" s="2"/>
      <c r="I485" s="3"/>
      <c r="J485" s="4"/>
    </row>
    <row r="486">
      <c r="F486" s="1"/>
      <c r="H486" s="2"/>
      <c r="I486" s="3"/>
      <c r="J486" s="4"/>
    </row>
    <row r="487">
      <c r="F487" s="1"/>
      <c r="H487" s="2"/>
      <c r="I487" s="3"/>
      <c r="J487" s="4"/>
    </row>
    <row r="488">
      <c r="F488" s="1"/>
      <c r="H488" s="2"/>
      <c r="I488" s="3"/>
      <c r="J488" s="4"/>
    </row>
    <row r="489">
      <c r="F489" s="1"/>
      <c r="H489" s="2"/>
      <c r="I489" s="3"/>
      <c r="J489" s="4"/>
    </row>
    <row r="490">
      <c r="F490" s="1"/>
      <c r="H490" s="2"/>
      <c r="I490" s="3"/>
      <c r="J490" s="4"/>
    </row>
    <row r="491">
      <c r="F491" s="1"/>
      <c r="H491" s="2"/>
      <c r="I491" s="3"/>
      <c r="J491" s="4"/>
    </row>
    <row r="492">
      <c r="F492" s="1"/>
      <c r="H492" s="2"/>
      <c r="I492" s="3"/>
      <c r="J492" s="4"/>
    </row>
    <row r="493">
      <c r="F493" s="1"/>
      <c r="H493" s="2"/>
      <c r="I493" s="3"/>
      <c r="J493" s="4"/>
    </row>
    <row r="494">
      <c r="F494" s="1"/>
      <c r="H494" s="2"/>
      <c r="I494" s="3"/>
      <c r="J494" s="4"/>
    </row>
    <row r="495">
      <c r="F495" s="1"/>
      <c r="H495" s="2"/>
      <c r="I495" s="3"/>
      <c r="J495" s="4"/>
    </row>
    <row r="496">
      <c r="F496" s="1"/>
      <c r="H496" s="2"/>
      <c r="I496" s="3"/>
      <c r="J496" s="4"/>
    </row>
    <row r="497">
      <c r="F497" s="1"/>
      <c r="H497" s="2"/>
      <c r="I497" s="3"/>
      <c r="J497" s="4"/>
    </row>
    <row r="498">
      <c r="F498" s="1"/>
      <c r="H498" s="2"/>
      <c r="I498" s="3"/>
      <c r="J498" s="4"/>
    </row>
    <row r="499">
      <c r="F499" s="1"/>
      <c r="H499" s="2"/>
      <c r="I499" s="3"/>
      <c r="J499" s="4"/>
    </row>
    <row r="500">
      <c r="F500" s="1"/>
      <c r="H500" s="2"/>
      <c r="I500" s="3"/>
      <c r="J500" s="4"/>
    </row>
    <row r="501">
      <c r="F501" s="1"/>
      <c r="H501" s="2"/>
      <c r="I501" s="3"/>
      <c r="J501" s="4"/>
    </row>
    <row r="502">
      <c r="F502" s="1"/>
      <c r="H502" s="2"/>
      <c r="I502" s="3"/>
      <c r="J502" s="4"/>
    </row>
    <row r="503">
      <c r="F503" s="1"/>
      <c r="H503" s="2"/>
      <c r="I503" s="3"/>
      <c r="J503" s="4"/>
    </row>
    <row r="504">
      <c r="F504" s="1"/>
      <c r="H504" s="2"/>
      <c r="I504" s="3"/>
      <c r="J504" s="4"/>
    </row>
    <row r="505">
      <c r="F505" s="1"/>
      <c r="H505" s="2"/>
      <c r="I505" s="3"/>
      <c r="J505" s="4"/>
    </row>
    <row r="506">
      <c r="F506" s="1"/>
      <c r="H506" s="2"/>
      <c r="I506" s="3"/>
      <c r="J506" s="4"/>
    </row>
    <row r="507">
      <c r="F507" s="1"/>
      <c r="H507" s="2"/>
      <c r="I507" s="3"/>
      <c r="J507" s="4"/>
    </row>
    <row r="508">
      <c r="F508" s="1"/>
      <c r="H508" s="2"/>
      <c r="I508" s="3"/>
      <c r="J508" s="4"/>
    </row>
    <row r="509">
      <c r="F509" s="1"/>
      <c r="H509" s="2"/>
      <c r="I509" s="3"/>
      <c r="J509" s="4"/>
    </row>
    <row r="510">
      <c r="F510" s="1"/>
      <c r="H510" s="2"/>
      <c r="I510" s="3"/>
      <c r="J510" s="4"/>
    </row>
    <row r="511">
      <c r="F511" s="1"/>
      <c r="H511" s="2"/>
      <c r="I511" s="3"/>
      <c r="J511" s="4"/>
    </row>
    <row r="512">
      <c r="F512" s="1"/>
      <c r="H512" s="2"/>
      <c r="I512" s="3"/>
      <c r="J512" s="4"/>
    </row>
    <row r="513">
      <c r="F513" s="1"/>
      <c r="H513" s="2"/>
      <c r="I513" s="3"/>
      <c r="J513" s="4"/>
    </row>
    <row r="514">
      <c r="F514" s="1"/>
      <c r="H514" s="2"/>
      <c r="I514" s="3"/>
      <c r="J514" s="4"/>
    </row>
    <row r="515">
      <c r="F515" s="1"/>
      <c r="H515" s="2"/>
      <c r="I515" s="3"/>
      <c r="J515" s="4"/>
    </row>
    <row r="516">
      <c r="F516" s="1"/>
      <c r="H516" s="2"/>
      <c r="I516" s="3"/>
      <c r="J516" s="4"/>
    </row>
    <row r="517">
      <c r="F517" s="1"/>
      <c r="H517" s="2"/>
      <c r="I517" s="3"/>
      <c r="J517" s="4"/>
    </row>
    <row r="518">
      <c r="F518" s="1"/>
      <c r="H518" s="2"/>
      <c r="I518" s="3"/>
      <c r="J518" s="4"/>
    </row>
    <row r="519">
      <c r="F519" s="1"/>
      <c r="H519" s="2"/>
      <c r="I519" s="3"/>
      <c r="J519" s="4"/>
    </row>
    <row r="520">
      <c r="F520" s="1"/>
      <c r="H520" s="2"/>
      <c r="I520" s="3"/>
      <c r="J520" s="4"/>
    </row>
    <row r="521">
      <c r="F521" s="1"/>
      <c r="H521" s="2"/>
      <c r="I521" s="3"/>
      <c r="J521" s="4"/>
    </row>
    <row r="522">
      <c r="F522" s="1"/>
      <c r="H522" s="2"/>
      <c r="I522" s="3"/>
      <c r="J522" s="4"/>
    </row>
    <row r="523">
      <c r="F523" s="1"/>
      <c r="H523" s="2"/>
      <c r="I523" s="3"/>
      <c r="J523" s="4"/>
    </row>
    <row r="524">
      <c r="F524" s="1"/>
      <c r="H524" s="2"/>
      <c r="I524" s="3"/>
      <c r="J524" s="4"/>
    </row>
    <row r="525">
      <c r="F525" s="1"/>
      <c r="H525" s="2"/>
      <c r="I525" s="3"/>
      <c r="J525" s="4"/>
    </row>
    <row r="526">
      <c r="F526" s="1"/>
      <c r="H526" s="2"/>
      <c r="I526" s="3"/>
      <c r="J526" s="4"/>
    </row>
    <row r="527">
      <c r="F527" s="1"/>
      <c r="H527" s="2"/>
      <c r="I527" s="3"/>
      <c r="J527" s="4"/>
    </row>
    <row r="528">
      <c r="F528" s="1"/>
      <c r="H528" s="2"/>
      <c r="I528" s="3"/>
      <c r="J528" s="4"/>
    </row>
    <row r="529">
      <c r="F529" s="1"/>
      <c r="H529" s="2"/>
      <c r="I529" s="3"/>
      <c r="J529" s="4"/>
    </row>
    <row r="530">
      <c r="F530" s="1"/>
      <c r="H530" s="2"/>
      <c r="I530" s="3"/>
      <c r="J530" s="4"/>
    </row>
    <row r="531">
      <c r="F531" s="1"/>
      <c r="H531" s="2"/>
      <c r="I531" s="3"/>
      <c r="J531" s="4"/>
    </row>
    <row r="532">
      <c r="F532" s="1"/>
      <c r="H532" s="2"/>
      <c r="I532" s="3"/>
      <c r="J532" s="4"/>
    </row>
    <row r="533">
      <c r="F533" s="1"/>
      <c r="H533" s="2"/>
      <c r="I533" s="3"/>
      <c r="J533" s="4"/>
    </row>
    <row r="534">
      <c r="F534" s="1"/>
      <c r="H534" s="2"/>
      <c r="I534" s="3"/>
      <c r="J534" s="4"/>
    </row>
    <row r="535">
      <c r="F535" s="1"/>
      <c r="H535" s="2"/>
      <c r="I535" s="3"/>
      <c r="J535" s="4"/>
    </row>
    <row r="536">
      <c r="F536" s="1"/>
      <c r="H536" s="2"/>
      <c r="I536" s="3"/>
      <c r="J536" s="4"/>
    </row>
    <row r="537">
      <c r="F537" s="1"/>
      <c r="H537" s="2"/>
      <c r="I537" s="3"/>
      <c r="J537" s="4"/>
    </row>
    <row r="538">
      <c r="F538" s="1"/>
      <c r="H538" s="2"/>
      <c r="I538" s="3"/>
      <c r="J538" s="4"/>
    </row>
    <row r="539">
      <c r="F539" s="1"/>
      <c r="H539" s="2"/>
      <c r="I539" s="3"/>
      <c r="J539" s="4"/>
    </row>
    <row r="540">
      <c r="F540" s="1"/>
      <c r="H540" s="2"/>
      <c r="I540" s="3"/>
      <c r="J540" s="4"/>
    </row>
    <row r="541">
      <c r="F541" s="1"/>
      <c r="H541" s="2"/>
      <c r="I541" s="3"/>
      <c r="J541" s="4"/>
    </row>
    <row r="542">
      <c r="F542" s="1"/>
      <c r="H542" s="2"/>
      <c r="I542" s="3"/>
      <c r="J542" s="4"/>
    </row>
    <row r="543">
      <c r="F543" s="1"/>
      <c r="H543" s="2"/>
      <c r="I543" s="3"/>
      <c r="J543" s="4"/>
    </row>
    <row r="544">
      <c r="F544" s="1"/>
      <c r="H544" s="2"/>
      <c r="I544" s="3"/>
      <c r="J544" s="4"/>
    </row>
    <row r="545">
      <c r="F545" s="1"/>
      <c r="H545" s="2"/>
      <c r="I545" s="3"/>
      <c r="J545" s="4"/>
    </row>
    <row r="546">
      <c r="F546" s="1"/>
      <c r="H546" s="2"/>
      <c r="I546" s="3"/>
      <c r="J546" s="4"/>
    </row>
    <row r="547">
      <c r="F547" s="1"/>
      <c r="H547" s="2"/>
      <c r="I547" s="3"/>
      <c r="J547" s="4"/>
    </row>
    <row r="548">
      <c r="F548" s="1"/>
      <c r="H548" s="2"/>
      <c r="I548" s="3"/>
      <c r="J548" s="4"/>
    </row>
    <row r="549">
      <c r="F549" s="1"/>
      <c r="H549" s="2"/>
      <c r="I549" s="3"/>
      <c r="J549" s="4"/>
    </row>
    <row r="550">
      <c r="F550" s="1"/>
      <c r="H550" s="2"/>
      <c r="I550" s="3"/>
      <c r="J550" s="4"/>
    </row>
    <row r="551">
      <c r="F551" s="1"/>
      <c r="H551" s="2"/>
      <c r="I551" s="3"/>
      <c r="J551" s="4"/>
    </row>
    <row r="552">
      <c r="F552" s="1"/>
      <c r="H552" s="2"/>
      <c r="I552" s="3"/>
      <c r="J552" s="4"/>
    </row>
    <row r="553">
      <c r="F553" s="1"/>
      <c r="H553" s="2"/>
      <c r="I553" s="3"/>
      <c r="J553" s="4"/>
    </row>
    <row r="554">
      <c r="F554" s="1"/>
      <c r="H554" s="2"/>
      <c r="I554" s="3"/>
      <c r="J554" s="4"/>
    </row>
    <row r="555">
      <c r="F555" s="1"/>
      <c r="H555" s="2"/>
      <c r="I555" s="3"/>
      <c r="J555" s="4"/>
    </row>
    <row r="556">
      <c r="F556" s="1"/>
      <c r="H556" s="2"/>
      <c r="I556" s="3"/>
      <c r="J556" s="4"/>
    </row>
    <row r="557">
      <c r="F557" s="1"/>
      <c r="H557" s="2"/>
      <c r="I557" s="3"/>
      <c r="J557" s="4"/>
    </row>
    <row r="558">
      <c r="F558" s="1"/>
      <c r="H558" s="2"/>
      <c r="I558" s="3"/>
      <c r="J558" s="4"/>
    </row>
    <row r="559">
      <c r="F559" s="1"/>
      <c r="H559" s="2"/>
      <c r="I559" s="3"/>
      <c r="J559" s="4"/>
    </row>
    <row r="560">
      <c r="F560" s="1"/>
      <c r="H560" s="2"/>
      <c r="I560" s="3"/>
      <c r="J560" s="4"/>
    </row>
    <row r="561">
      <c r="F561" s="1"/>
      <c r="H561" s="2"/>
      <c r="I561" s="3"/>
      <c r="J561" s="4"/>
    </row>
    <row r="562">
      <c r="F562" s="1"/>
      <c r="H562" s="2"/>
      <c r="I562" s="3"/>
      <c r="J562" s="4"/>
    </row>
    <row r="563">
      <c r="F563" s="1"/>
      <c r="H563" s="2"/>
      <c r="I563" s="3"/>
      <c r="J563" s="4"/>
    </row>
    <row r="564">
      <c r="F564" s="1"/>
      <c r="H564" s="2"/>
      <c r="I564" s="3"/>
      <c r="J564" s="4"/>
    </row>
    <row r="565">
      <c r="F565" s="1"/>
      <c r="H565" s="2"/>
      <c r="I565" s="3"/>
      <c r="J565" s="4"/>
    </row>
    <row r="566">
      <c r="F566" s="1"/>
      <c r="H566" s="2"/>
      <c r="I566" s="3"/>
      <c r="J566" s="4"/>
    </row>
    <row r="567">
      <c r="F567" s="1"/>
      <c r="H567" s="2"/>
      <c r="I567" s="3"/>
      <c r="J567" s="4"/>
    </row>
    <row r="568">
      <c r="F568" s="1"/>
      <c r="H568" s="2"/>
      <c r="I568" s="3"/>
      <c r="J568" s="4"/>
    </row>
    <row r="569">
      <c r="F569" s="1"/>
      <c r="H569" s="2"/>
      <c r="I569" s="3"/>
      <c r="J569" s="4"/>
    </row>
    <row r="570">
      <c r="F570" s="1"/>
      <c r="H570" s="2"/>
      <c r="I570" s="3"/>
      <c r="J570" s="4"/>
    </row>
    <row r="571">
      <c r="F571" s="1"/>
      <c r="H571" s="2"/>
      <c r="I571" s="3"/>
      <c r="J571" s="4"/>
    </row>
    <row r="572">
      <c r="F572" s="1"/>
      <c r="H572" s="2"/>
      <c r="I572" s="3"/>
      <c r="J572" s="4"/>
    </row>
    <row r="573">
      <c r="F573" s="1"/>
      <c r="H573" s="2"/>
      <c r="I573" s="3"/>
      <c r="J573" s="4"/>
    </row>
    <row r="574">
      <c r="F574" s="1"/>
      <c r="H574" s="2"/>
      <c r="I574" s="3"/>
      <c r="J574" s="4"/>
    </row>
    <row r="575">
      <c r="F575" s="1"/>
      <c r="H575" s="2"/>
      <c r="I575" s="3"/>
      <c r="J575" s="4"/>
    </row>
    <row r="576">
      <c r="F576" s="1"/>
      <c r="H576" s="2"/>
      <c r="I576" s="3"/>
      <c r="J576" s="4"/>
    </row>
    <row r="577">
      <c r="F577" s="1"/>
      <c r="H577" s="2"/>
      <c r="I577" s="3"/>
      <c r="J577" s="4"/>
    </row>
    <row r="578">
      <c r="F578" s="1"/>
      <c r="H578" s="2"/>
      <c r="I578" s="3"/>
      <c r="J578" s="4"/>
    </row>
    <row r="579">
      <c r="F579" s="1"/>
      <c r="H579" s="2"/>
      <c r="I579" s="3"/>
      <c r="J579" s="4"/>
    </row>
    <row r="580">
      <c r="F580" s="1"/>
      <c r="H580" s="2"/>
      <c r="I580" s="3"/>
      <c r="J580" s="4"/>
    </row>
    <row r="581">
      <c r="F581" s="1"/>
      <c r="H581" s="2"/>
      <c r="I581" s="3"/>
      <c r="J581" s="4"/>
    </row>
    <row r="582">
      <c r="F582" s="1"/>
      <c r="H582" s="2"/>
      <c r="I582" s="3"/>
      <c r="J582" s="4"/>
    </row>
    <row r="583">
      <c r="F583" s="1"/>
      <c r="H583" s="2"/>
      <c r="I583" s="3"/>
      <c r="J583" s="4"/>
    </row>
    <row r="584">
      <c r="F584" s="1"/>
      <c r="H584" s="2"/>
      <c r="I584" s="3"/>
      <c r="J584" s="4"/>
    </row>
    <row r="585">
      <c r="F585" s="1"/>
      <c r="H585" s="2"/>
      <c r="I585" s="3"/>
      <c r="J585" s="4"/>
    </row>
    <row r="586">
      <c r="F586" s="1"/>
      <c r="H586" s="2"/>
      <c r="I586" s="3"/>
      <c r="J586" s="4"/>
    </row>
    <row r="587">
      <c r="F587" s="1"/>
      <c r="H587" s="2"/>
      <c r="I587" s="3"/>
      <c r="J587" s="4"/>
    </row>
    <row r="588">
      <c r="F588" s="1"/>
      <c r="H588" s="2"/>
      <c r="I588" s="3"/>
      <c r="J588" s="4"/>
    </row>
    <row r="589">
      <c r="F589" s="1"/>
      <c r="H589" s="2"/>
      <c r="I589" s="3"/>
      <c r="J589" s="4"/>
    </row>
    <row r="590">
      <c r="F590" s="1"/>
      <c r="H590" s="2"/>
      <c r="I590" s="3"/>
      <c r="J590" s="4"/>
    </row>
    <row r="591">
      <c r="F591" s="1"/>
      <c r="H591" s="2"/>
      <c r="I591" s="3"/>
      <c r="J591" s="4"/>
    </row>
    <row r="592">
      <c r="F592" s="1"/>
      <c r="H592" s="2"/>
      <c r="I592" s="3"/>
      <c r="J592" s="4"/>
    </row>
    <row r="593">
      <c r="F593" s="1"/>
      <c r="H593" s="2"/>
      <c r="I593" s="3"/>
      <c r="J593" s="4"/>
    </row>
    <row r="594">
      <c r="F594" s="1"/>
      <c r="H594" s="2"/>
      <c r="I594" s="3"/>
      <c r="J594" s="4"/>
    </row>
    <row r="595">
      <c r="F595" s="1"/>
      <c r="H595" s="2"/>
      <c r="I595" s="3"/>
      <c r="J595" s="4"/>
    </row>
    <row r="596">
      <c r="F596" s="1"/>
      <c r="H596" s="2"/>
      <c r="I596" s="3"/>
      <c r="J596" s="4"/>
    </row>
    <row r="597">
      <c r="F597" s="1"/>
      <c r="H597" s="2"/>
      <c r="I597" s="3"/>
      <c r="J597" s="4"/>
    </row>
    <row r="598">
      <c r="F598" s="1"/>
      <c r="H598" s="2"/>
      <c r="I598" s="3"/>
      <c r="J598" s="4"/>
    </row>
    <row r="599">
      <c r="F599" s="1"/>
      <c r="H599" s="2"/>
      <c r="I599" s="3"/>
      <c r="J599" s="4"/>
    </row>
    <row r="600">
      <c r="F600" s="1"/>
      <c r="H600" s="2"/>
      <c r="I600" s="3"/>
      <c r="J600" s="4"/>
    </row>
    <row r="601">
      <c r="F601" s="1"/>
      <c r="H601" s="2"/>
      <c r="I601" s="3"/>
      <c r="J601" s="4"/>
    </row>
    <row r="602">
      <c r="F602" s="1"/>
      <c r="H602" s="2"/>
      <c r="I602" s="3"/>
      <c r="J602" s="4"/>
    </row>
    <row r="603">
      <c r="F603" s="1"/>
      <c r="H603" s="2"/>
      <c r="I603" s="3"/>
      <c r="J603" s="4"/>
    </row>
    <row r="604">
      <c r="F604" s="1"/>
      <c r="H604" s="2"/>
      <c r="I604" s="3"/>
      <c r="J604" s="4"/>
    </row>
    <row r="605">
      <c r="F605" s="1"/>
      <c r="H605" s="2"/>
      <c r="I605" s="3"/>
      <c r="J605" s="4"/>
    </row>
    <row r="606">
      <c r="F606" s="1"/>
      <c r="H606" s="2"/>
      <c r="I606" s="3"/>
      <c r="J606" s="4"/>
    </row>
    <row r="607">
      <c r="F607" s="1"/>
      <c r="H607" s="2"/>
      <c r="I607" s="3"/>
      <c r="J607" s="4"/>
    </row>
    <row r="608">
      <c r="F608" s="1"/>
      <c r="H608" s="2"/>
      <c r="I608" s="3"/>
      <c r="J608" s="4"/>
    </row>
    <row r="609">
      <c r="F609" s="1"/>
      <c r="H609" s="2"/>
      <c r="I609" s="3"/>
      <c r="J609" s="4"/>
    </row>
    <row r="610">
      <c r="F610" s="1"/>
      <c r="H610" s="2"/>
      <c r="I610" s="3"/>
      <c r="J610" s="4"/>
    </row>
    <row r="611">
      <c r="F611" s="1"/>
      <c r="H611" s="2"/>
      <c r="I611" s="3"/>
      <c r="J611" s="4"/>
    </row>
    <row r="612">
      <c r="F612" s="1"/>
      <c r="H612" s="2"/>
      <c r="I612" s="3"/>
      <c r="J612" s="4"/>
    </row>
    <row r="613">
      <c r="F613" s="1"/>
      <c r="H613" s="2"/>
      <c r="I613" s="3"/>
      <c r="J613" s="4"/>
    </row>
    <row r="614">
      <c r="F614" s="1"/>
      <c r="H614" s="2"/>
      <c r="I614" s="3"/>
      <c r="J614" s="4"/>
    </row>
    <row r="615">
      <c r="F615" s="1"/>
      <c r="H615" s="2"/>
      <c r="I615" s="3"/>
      <c r="J615" s="4"/>
    </row>
    <row r="616">
      <c r="F616" s="1"/>
      <c r="H616" s="2"/>
      <c r="I616" s="3"/>
      <c r="J616" s="4"/>
    </row>
    <row r="617">
      <c r="F617" s="1"/>
      <c r="H617" s="2"/>
      <c r="I617" s="3"/>
      <c r="J617" s="4"/>
    </row>
    <row r="618">
      <c r="F618" s="1"/>
      <c r="H618" s="2"/>
      <c r="I618" s="3"/>
      <c r="J618" s="4"/>
    </row>
    <row r="619">
      <c r="F619" s="1"/>
      <c r="H619" s="2"/>
      <c r="I619" s="3"/>
      <c r="J619" s="4"/>
    </row>
    <row r="620">
      <c r="F620" s="1"/>
      <c r="H620" s="2"/>
      <c r="I620" s="3"/>
      <c r="J620" s="4"/>
    </row>
    <row r="621">
      <c r="F621" s="1"/>
      <c r="H621" s="2"/>
      <c r="I621" s="3"/>
      <c r="J621" s="4"/>
    </row>
    <row r="622">
      <c r="F622" s="1"/>
      <c r="H622" s="2"/>
      <c r="I622" s="3"/>
      <c r="J622" s="4"/>
    </row>
    <row r="623">
      <c r="F623" s="1"/>
      <c r="H623" s="2"/>
      <c r="I623" s="3"/>
      <c r="J623" s="4"/>
    </row>
    <row r="624">
      <c r="F624" s="1"/>
      <c r="H624" s="2"/>
      <c r="I624" s="3"/>
      <c r="J624" s="4"/>
    </row>
    <row r="625">
      <c r="F625" s="1"/>
      <c r="H625" s="2"/>
      <c r="I625" s="3"/>
      <c r="J625" s="4"/>
    </row>
    <row r="626">
      <c r="F626" s="1"/>
      <c r="H626" s="2"/>
      <c r="I626" s="3"/>
      <c r="J626" s="4"/>
    </row>
    <row r="627">
      <c r="F627" s="1"/>
      <c r="H627" s="2"/>
      <c r="I627" s="3"/>
      <c r="J627" s="4"/>
    </row>
    <row r="628">
      <c r="F628" s="1"/>
      <c r="H628" s="2"/>
      <c r="I628" s="3"/>
      <c r="J628" s="4"/>
    </row>
    <row r="629">
      <c r="F629" s="1"/>
      <c r="H629" s="2"/>
      <c r="I629" s="3"/>
      <c r="J629" s="4"/>
    </row>
    <row r="630">
      <c r="F630" s="1"/>
      <c r="H630" s="2"/>
      <c r="I630" s="3"/>
      <c r="J630" s="4"/>
    </row>
    <row r="631">
      <c r="F631" s="1"/>
      <c r="H631" s="2"/>
      <c r="I631" s="3"/>
      <c r="J631" s="4"/>
    </row>
    <row r="632">
      <c r="F632" s="1"/>
      <c r="H632" s="2"/>
      <c r="I632" s="3"/>
      <c r="J632" s="4"/>
    </row>
    <row r="633">
      <c r="F633" s="1"/>
      <c r="H633" s="2"/>
      <c r="I633" s="3"/>
      <c r="J633" s="4"/>
    </row>
    <row r="634">
      <c r="F634" s="1"/>
      <c r="H634" s="2"/>
      <c r="I634" s="3"/>
      <c r="J634" s="4"/>
    </row>
    <row r="635">
      <c r="F635" s="1"/>
      <c r="H635" s="2"/>
      <c r="I635" s="3"/>
      <c r="J635" s="4"/>
    </row>
    <row r="636">
      <c r="F636" s="1"/>
      <c r="H636" s="2"/>
      <c r="I636" s="3"/>
      <c r="J636" s="4"/>
    </row>
    <row r="637">
      <c r="F637" s="1"/>
      <c r="H637" s="2"/>
      <c r="I637" s="3"/>
      <c r="J637" s="4"/>
    </row>
    <row r="638">
      <c r="F638" s="1"/>
      <c r="H638" s="2"/>
      <c r="I638" s="3"/>
      <c r="J638" s="4"/>
    </row>
    <row r="639">
      <c r="F639" s="1"/>
      <c r="H639" s="2"/>
      <c r="I639" s="3"/>
      <c r="J639" s="4"/>
    </row>
    <row r="640">
      <c r="F640" s="1"/>
      <c r="H640" s="2"/>
      <c r="I640" s="3"/>
      <c r="J640" s="4"/>
    </row>
    <row r="641">
      <c r="F641" s="1"/>
      <c r="H641" s="2"/>
      <c r="I641" s="3"/>
      <c r="J641" s="4"/>
    </row>
    <row r="642">
      <c r="F642" s="1"/>
      <c r="H642" s="2"/>
      <c r="I642" s="3"/>
      <c r="J642" s="4"/>
    </row>
    <row r="643">
      <c r="F643" s="1"/>
      <c r="H643" s="2"/>
      <c r="I643" s="3"/>
      <c r="J643" s="4"/>
    </row>
    <row r="644">
      <c r="F644" s="1"/>
      <c r="H644" s="2"/>
      <c r="I644" s="3"/>
      <c r="J644" s="4"/>
    </row>
    <row r="645">
      <c r="F645" s="1"/>
      <c r="H645" s="2"/>
      <c r="I645" s="3"/>
      <c r="J645" s="4"/>
    </row>
    <row r="646">
      <c r="F646" s="1"/>
      <c r="H646" s="2"/>
      <c r="I646" s="3"/>
      <c r="J646" s="4"/>
    </row>
    <row r="647">
      <c r="F647" s="1"/>
      <c r="H647" s="2"/>
      <c r="I647" s="3"/>
      <c r="J647" s="4"/>
    </row>
    <row r="648">
      <c r="F648" s="1"/>
      <c r="H648" s="2"/>
      <c r="I648" s="3"/>
      <c r="J648" s="4"/>
    </row>
    <row r="649">
      <c r="F649" s="1"/>
      <c r="H649" s="2"/>
      <c r="I649" s="3"/>
      <c r="J649" s="4"/>
    </row>
    <row r="650">
      <c r="F650" s="1"/>
      <c r="H650" s="2"/>
      <c r="I650" s="3"/>
      <c r="J650" s="4"/>
    </row>
    <row r="651">
      <c r="F651" s="1"/>
      <c r="H651" s="2"/>
      <c r="I651" s="3"/>
      <c r="J651" s="4"/>
    </row>
    <row r="652">
      <c r="F652" s="1"/>
      <c r="H652" s="2"/>
      <c r="I652" s="3"/>
      <c r="J652" s="4"/>
    </row>
    <row r="653">
      <c r="F653" s="1"/>
      <c r="H653" s="2"/>
      <c r="I653" s="3"/>
      <c r="J653" s="4"/>
    </row>
    <row r="654">
      <c r="F654" s="1"/>
      <c r="H654" s="2"/>
      <c r="I654" s="3"/>
      <c r="J654" s="4"/>
    </row>
    <row r="655">
      <c r="F655" s="1"/>
      <c r="H655" s="2"/>
      <c r="I655" s="3"/>
      <c r="J655" s="4"/>
    </row>
    <row r="656">
      <c r="F656" s="1"/>
      <c r="H656" s="2"/>
      <c r="I656" s="3"/>
      <c r="J656" s="4"/>
    </row>
    <row r="657">
      <c r="F657" s="1"/>
      <c r="H657" s="2"/>
      <c r="I657" s="3"/>
      <c r="J657" s="4"/>
    </row>
    <row r="658">
      <c r="F658" s="1"/>
      <c r="H658" s="2"/>
      <c r="I658" s="3"/>
      <c r="J658" s="4"/>
    </row>
    <row r="659">
      <c r="F659" s="1"/>
      <c r="H659" s="2"/>
      <c r="I659" s="3"/>
      <c r="J659" s="4"/>
    </row>
    <row r="660">
      <c r="F660" s="1"/>
      <c r="H660" s="2"/>
      <c r="I660" s="3"/>
      <c r="J660" s="4"/>
    </row>
    <row r="661">
      <c r="F661" s="1"/>
      <c r="H661" s="2"/>
      <c r="I661" s="3"/>
      <c r="J661" s="4"/>
    </row>
    <row r="662">
      <c r="F662" s="1"/>
      <c r="H662" s="2"/>
      <c r="I662" s="3"/>
      <c r="J662" s="4"/>
    </row>
    <row r="663">
      <c r="F663" s="1"/>
      <c r="H663" s="2"/>
      <c r="I663" s="3"/>
      <c r="J663" s="4"/>
    </row>
    <row r="664">
      <c r="F664" s="1"/>
      <c r="H664" s="2"/>
      <c r="I664" s="3"/>
      <c r="J664" s="4"/>
    </row>
    <row r="665">
      <c r="F665" s="1"/>
      <c r="H665" s="2"/>
      <c r="I665" s="3"/>
      <c r="J665" s="4"/>
    </row>
    <row r="666">
      <c r="F666" s="1"/>
      <c r="H666" s="2"/>
      <c r="I666" s="3"/>
      <c r="J666" s="4"/>
    </row>
    <row r="667">
      <c r="F667" s="1"/>
      <c r="H667" s="2"/>
      <c r="I667" s="3"/>
      <c r="J667" s="4"/>
    </row>
    <row r="668">
      <c r="F668" s="1"/>
      <c r="H668" s="2"/>
      <c r="I668" s="3"/>
      <c r="J668" s="4"/>
    </row>
    <row r="669">
      <c r="F669" s="1"/>
      <c r="H669" s="2"/>
      <c r="I669" s="3"/>
      <c r="J669" s="4"/>
    </row>
    <row r="670">
      <c r="F670" s="1"/>
      <c r="H670" s="2"/>
      <c r="I670" s="3"/>
      <c r="J670" s="4"/>
    </row>
    <row r="671">
      <c r="F671" s="1"/>
      <c r="H671" s="2"/>
      <c r="I671" s="3"/>
      <c r="J671" s="4"/>
    </row>
    <row r="672">
      <c r="F672" s="1"/>
      <c r="H672" s="2"/>
      <c r="I672" s="3"/>
      <c r="J672" s="4"/>
    </row>
    <row r="673">
      <c r="F673" s="1"/>
      <c r="H673" s="2"/>
      <c r="I673" s="3"/>
      <c r="J673" s="4"/>
    </row>
    <row r="674">
      <c r="F674" s="1"/>
      <c r="H674" s="2"/>
      <c r="I674" s="3"/>
      <c r="J674" s="4"/>
    </row>
    <row r="675">
      <c r="F675" s="1"/>
      <c r="H675" s="2"/>
      <c r="I675" s="3"/>
      <c r="J675" s="4"/>
    </row>
    <row r="676">
      <c r="F676" s="1"/>
      <c r="H676" s="2"/>
      <c r="I676" s="3"/>
      <c r="J676" s="4"/>
    </row>
    <row r="677">
      <c r="F677" s="1"/>
      <c r="H677" s="2"/>
      <c r="I677" s="3"/>
      <c r="J677" s="4"/>
    </row>
    <row r="678">
      <c r="F678" s="1"/>
      <c r="H678" s="2"/>
      <c r="I678" s="3"/>
      <c r="J678" s="4"/>
    </row>
    <row r="679">
      <c r="F679" s="1"/>
      <c r="H679" s="2"/>
      <c r="I679" s="3"/>
      <c r="J679" s="4"/>
    </row>
    <row r="680">
      <c r="F680" s="1"/>
      <c r="H680" s="2"/>
      <c r="I680" s="3"/>
      <c r="J680" s="4"/>
    </row>
    <row r="681">
      <c r="F681" s="1"/>
      <c r="H681" s="2"/>
      <c r="I681" s="3"/>
      <c r="J681" s="4"/>
    </row>
    <row r="682">
      <c r="F682" s="1"/>
      <c r="H682" s="2"/>
      <c r="I682" s="3"/>
      <c r="J682" s="4"/>
    </row>
    <row r="683">
      <c r="F683" s="1"/>
      <c r="H683" s="2"/>
      <c r="I683" s="3"/>
      <c r="J683" s="4"/>
    </row>
    <row r="684">
      <c r="F684" s="1"/>
      <c r="H684" s="2"/>
      <c r="I684" s="3"/>
      <c r="J684" s="4"/>
    </row>
    <row r="685">
      <c r="F685" s="1"/>
      <c r="H685" s="2"/>
      <c r="I685" s="3"/>
      <c r="J685" s="4"/>
    </row>
    <row r="686">
      <c r="F686" s="1"/>
      <c r="H686" s="2"/>
      <c r="I686" s="3"/>
      <c r="J686" s="4"/>
    </row>
    <row r="687">
      <c r="F687" s="1"/>
      <c r="H687" s="2"/>
      <c r="I687" s="3"/>
      <c r="J687" s="4"/>
    </row>
    <row r="688">
      <c r="F688" s="1"/>
      <c r="H688" s="2"/>
      <c r="I688" s="3"/>
      <c r="J688" s="4"/>
    </row>
    <row r="689">
      <c r="F689" s="1"/>
      <c r="H689" s="2"/>
      <c r="I689" s="3"/>
      <c r="J689" s="4"/>
    </row>
    <row r="690">
      <c r="F690" s="1"/>
      <c r="H690" s="2"/>
      <c r="I690" s="3"/>
      <c r="J690" s="4"/>
    </row>
    <row r="691">
      <c r="F691" s="1"/>
      <c r="H691" s="2"/>
      <c r="I691" s="3"/>
      <c r="J691" s="4"/>
    </row>
    <row r="692">
      <c r="F692" s="1"/>
      <c r="H692" s="2"/>
      <c r="I692" s="3"/>
      <c r="J692" s="4"/>
    </row>
    <row r="693">
      <c r="F693" s="1"/>
      <c r="H693" s="2"/>
      <c r="I693" s="3"/>
      <c r="J693" s="4"/>
    </row>
    <row r="694">
      <c r="F694" s="1"/>
      <c r="H694" s="2"/>
      <c r="I694" s="3"/>
      <c r="J694" s="4"/>
    </row>
    <row r="695">
      <c r="F695" s="1"/>
      <c r="H695" s="2"/>
      <c r="I695" s="3"/>
      <c r="J695" s="4"/>
    </row>
    <row r="696">
      <c r="F696" s="1"/>
      <c r="H696" s="2"/>
      <c r="I696" s="3"/>
      <c r="J696" s="4"/>
    </row>
    <row r="697">
      <c r="F697" s="1"/>
      <c r="H697" s="2"/>
      <c r="I697" s="3"/>
      <c r="J697" s="4"/>
    </row>
    <row r="698">
      <c r="F698" s="1"/>
      <c r="H698" s="2"/>
      <c r="I698" s="3"/>
      <c r="J698" s="4"/>
    </row>
    <row r="699">
      <c r="F699" s="1"/>
      <c r="H699" s="2"/>
      <c r="I699" s="3"/>
      <c r="J699" s="4"/>
    </row>
    <row r="700">
      <c r="F700" s="1"/>
      <c r="H700" s="2"/>
      <c r="I700" s="3"/>
      <c r="J700" s="4"/>
    </row>
    <row r="701">
      <c r="F701" s="1"/>
      <c r="H701" s="2"/>
      <c r="I701" s="3"/>
      <c r="J701" s="4"/>
    </row>
    <row r="702">
      <c r="F702" s="1"/>
      <c r="H702" s="2"/>
      <c r="I702" s="3"/>
      <c r="J702" s="4"/>
    </row>
    <row r="703">
      <c r="F703" s="1"/>
      <c r="H703" s="2"/>
      <c r="I703" s="3"/>
      <c r="J703" s="4"/>
    </row>
    <row r="704">
      <c r="F704" s="1"/>
      <c r="H704" s="2"/>
      <c r="I704" s="3"/>
      <c r="J704" s="4"/>
    </row>
    <row r="705">
      <c r="F705" s="1"/>
      <c r="H705" s="2"/>
      <c r="I705" s="3"/>
      <c r="J705" s="4"/>
    </row>
    <row r="706">
      <c r="F706" s="1"/>
      <c r="H706" s="2"/>
      <c r="I706" s="3"/>
      <c r="J706" s="4"/>
    </row>
    <row r="707">
      <c r="F707" s="1"/>
      <c r="H707" s="2"/>
      <c r="I707" s="3"/>
      <c r="J707" s="4"/>
    </row>
    <row r="708">
      <c r="F708" s="1"/>
      <c r="H708" s="2"/>
      <c r="I708" s="3"/>
      <c r="J708" s="4"/>
    </row>
    <row r="709">
      <c r="F709" s="1"/>
      <c r="H709" s="2"/>
      <c r="I709" s="3"/>
      <c r="J709" s="4"/>
    </row>
    <row r="710">
      <c r="F710" s="1"/>
      <c r="H710" s="2"/>
      <c r="I710" s="3"/>
      <c r="J710" s="4"/>
    </row>
    <row r="711">
      <c r="F711" s="1"/>
      <c r="H711" s="2"/>
      <c r="I711" s="3"/>
      <c r="J711" s="4"/>
    </row>
    <row r="712">
      <c r="F712" s="1"/>
      <c r="H712" s="2"/>
      <c r="I712" s="3"/>
      <c r="J712" s="4"/>
    </row>
    <row r="713">
      <c r="F713" s="1"/>
      <c r="H713" s="2"/>
      <c r="I713" s="3"/>
      <c r="J713" s="4"/>
    </row>
    <row r="714">
      <c r="F714" s="1"/>
      <c r="H714" s="2"/>
      <c r="I714" s="3"/>
      <c r="J714" s="4"/>
    </row>
    <row r="715">
      <c r="F715" s="1"/>
      <c r="H715" s="2"/>
      <c r="I715" s="3"/>
      <c r="J715" s="4"/>
    </row>
    <row r="716">
      <c r="F716" s="1"/>
      <c r="H716" s="2"/>
      <c r="I716" s="3"/>
      <c r="J716" s="4"/>
    </row>
    <row r="717">
      <c r="F717" s="1"/>
      <c r="H717" s="2"/>
      <c r="I717" s="3"/>
      <c r="J717" s="4"/>
    </row>
    <row r="718">
      <c r="F718" s="1"/>
      <c r="H718" s="2"/>
      <c r="I718" s="3"/>
      <c r="J718" s="4"/>
    </row>
    <row r="719">
      <c r="F719" s="1"/>
      <c r="H719" s="2"/>
      <c r="I719" s="3"/>
      <c r="J719" s="4"/>
    </row>
    <row r="720">
      <c r="F720" s="1"/>
      <c r="H720" s="2"/>
      <c r="I720" s="3"/>
      <c r="J720" s="4"/>
    </row>
    <row r="721">
      <c r="F721" s="1"/>
      <c r="H721" s="2"/>
      <c r="I721" s="3"/>
      <c r="J721" s="4"/>
    </row>
    <row r="722">
      <c r="F722" s="1"/>
      <c r="H722" s="2"/>
      <c r="I722" s="3"/>
      <c r="J722" s="4"/>
    </row>
    <row r="723">
      <c r="F723" s="1"/>
      <c r="H723" s="2"/>
      <c r="I723" s="3"/>
      <c r="J723" s="4"/>
    </row>
    <row r="724">
      <c r="F724" s="1"/>
      <c r="H724" s="2"/>
      <c r="I724" s="3"/>
      <c r="J724" s="4"/>
    </row>
    <row r="725">
      <c r="F725" s="1"/>
      <c r="H725" s="2"/>
      <c r="I725" s="3"/>
      <c r="J725" s="4"/>
    </row>
    <row r="726">
      <c r="F726" s="1"/>
      <c r="H726" s="2"/>
      <c r="I726" s="3"/>
      <c r="J726" s="4"/>
    </row>
    <row r="727">
      <c r="F727" s="1"/>
      <c r="H727" s="2"/>
      <c r="I727" s="3"/>
      <c r="J727" s="4"/>
    </row>
    <row r="728">
      <c r="F728" s="1"/>
      <c r="H728" s="2"/>
      <c r="I728" s="3"/>
      <c r="J728" s="4"/>
    </row>
    <row r="729">
      <c r="F729" s="1"/>
      <c r="H729" s="2"/>
      <c r="I729" s="3"/>
      <c r="J729" s="4"/>
    </row>
    <row r="730">
      <c r="F730" s="1"/>
      <c r="H730" s="2"/>
      <c r="I730" s="3"/>
      <c r="J730" s="4"/>
    </row>
    <row r="731">
      <c r="F731" s="1"/>
      <c r="H731" s="2"/>
      <c r="I731" s="3"/>
      <c r="J731" s="4"/>
    </row>
    <row r="732">
      <c r="F732" s="1"/>
      <c r="H732" s="2"/>
      <c r="I732" s="3"/>
      <c r="J732" s="4"/>
    </row>
    <row r="733">
      <c r="F733" s="1"/>
      <c r="H733" s="2"/>
      <c r="I733" s="3"/>
      <c r="J733" s="4"/>
    </row>
    <row r="734">
      <c r="F734" s="1"/>
      <c r="H734" s="2"/>
      <c r="I734" s="3"/>
      <c r="J734" s="4"/>
    </row>
    <row r="735">
      <c r="F735" s="1"/>
      <c r="H735" s="2"/>
      <c r="I735" s="3"/>
      <c r="J735" s="4"/>
    </row>
    <row r="736">
      <c r="F736" s="1"/>
      <c r="H736" s="2"/>
      <c r="I736" s="3"/>
      <c r="J736" s="4"/>
    </row>
    <row r="737">
      <c r="F737" s="1"/>
      <c r="H737" s="2"/>
      <c r="I737" s="3"/>
      <c r="J737" s="4"/>
    </row>
    <row r="738">
      <c r="F738" s="1"/>
      <c r="H738" s="2"/>
      <c r="I738" s="3"/>
      <c r="J738" s="4"/>
    </row>
    <row r="739">
      <c r="F739" s="1"/>
      <c r="H739" s="2"/>
      <c r="I739" s="3"/>
      <c r="J739" s="4"/>
    </row>
    <row r="740">
      <c r="F740" s="1"/>
      <c r="H740" s="2"/>
      <c r="I740" s="3"/>
      <c r="J740" s="4"/>
    </row>
    <row r="741">
      <c r="F741" s="1"/>
      <c r="H741" s="2"/>
      <c r="I741" s="3"/>
      <c r="J741" s="4"/>
    </row>
    <row r="742">
      <c r="F742" s="1"/>
      <c r="H742" s="2"/>
      <c r="I742" s="3"/>
      <c r="J742" s="4"/>
    </row>
    <row r="743">
      <c r="F743" s="1"/>
      <c r="H743" s="2"/>
      <c r="I743" s="3"/>
      <c r="J743" s="4"/>
    </row>
    <row r="744">
      <c r="F744" s="1"/>
      <c r="H744" s="2"/>
      <c r="I744" s="3"/>
      <c r="J744" s="4"/>
    </row>
    <row r="745">
      <c r="F745" s="1"/>
      <c r="H745" s="2"/>
      <c r="I745" s="3"/>
      <c r="J745" s="4"/>
    </row>
    <row r="746">
      <c r="F746" s="1"/>
      <c r="H746" s="2"/>
      <c r="I746" s="3"/>
      <c r="J746" s="4"/>
    </row>
    <row r="747">
      <c r="F747" s="1"/>
      <c r="H747" s="2"/>
      <c r="I747" s="3"/>
      <c r="J747" s="4"/>
    </row>
    <row r="748">
      <c r="F748" s="1"/>
      <c r="H748" s="2"/>
      <c r="I748" s="3"/>
      <c r="J748" s="4"/>
    </row>
    <row r="749">
      <c r="F749" s="1"/>
      <c r="H749" s="2"/>
      <c r="I749" s="3"/>
      <c r="J749" s="4"/>
    </row>
    <row r="750">
      <c r="F750" s="1"/>
      <c r="H750" s="2"/>
      <c r="I750" s="3"/>
      <c r="J750" s="4"/>
    </row>
    <row r="751">
      <c r="F751" s="1"/>
      <c r="H751" s="2"/>
      <c r="I751" s="3"/>
      <c r="J751" s="4"/>
    </row>
    <row r="752">
      <c r="F752" s="1"/>
      <c r="H752" s="2"/>
      <c r="I752" s="3"/>
      <c r="J752" s="4"/>
    </row>
    <row r="753">
      <c r="F753" s="1"/>
      <c r="H753" s="2"/>
      <c r="I753" s="3"/>
      <c r="J753" s="4"/>
    </row>
    <row r="754">
      <c r="F754" s="1"/>
      <c r="H754" s="2"/>
      <c r="I754" s="3"/>
      <c r="J754" s="4"/>
    </row>
    <row r="755">
      <c r="F755" s="1"/>
      <c r="H755" s="2"/>
      <c r="I755" s="3"/>
      <c r="J755" s="4"/>
    </row>
    <row r="756">
      <c r="F756" s="1"/>
      <c r="H756" s="2"/>
      <c r="I756" s="3"/>
      <c r="J756" s="4"/>
    </row>
    <row r="757">
      <c r="F757" s="1"/>
      <c r="H757" s="2"/>
      <c r="I757" s="3"/>
      <c r="J757" s="4"/>
    </row>
    <row r="758">
      <c r="F758" s="1"/>
      <c r="H758" s="2"/>
      <c r="I758" s="3"/>
      <c r="J758" s="4"/>
    </row>
    <row r="759">
      <c r="F759" s="1"/>
      <c r="H759" s="2"/>
      <c r="I759" s="3"/>
      <c r="J759" s="4"/>
    </row>
    <row r="760">
      <c r="F760" s="1"/>
      <c r="H760" s="2"/>
      <c r="I760" s="3"/>
      <c r="J760" s="4"/>
    </row>
    <row r="761">
      <c r="F761" s="1"/>
      <c r="H761" s="2"/>
      <c r="I761" s="3"/>
      <c r="J761" s="4"/>
    </row>
    <row r="762">
      <c r="F762" s="1"/>
      <c r="H762" s="2"/>
      <c r="I762" s="3"/>
      <c r="J762" s="4"/>
    </row>
    <row r="763">
      <c r="F763" s="1"/>
      <c r="H763" s="2"/>
      <c r="I763" s="3"/>
      <c r="J763" s="4"/>
    </row>
    <row r="764">
      <c r="F764" s="1"/>
      <c r="H764" s="2"/>
      <c r="I764" s="3"/>
      <c r="J764" s="4"/>
    </row>
    <row r="765">
      <c r="F765" s="1"/>
      <c r="H765" s="2"/>
      <c r="I765" s="3"/>
      <c r="J765" s="4"/>
    </row>
    <row r="766">
      <c r="F766" s="1"/>
      <c r="H766" s="2"/>
      <c r="I766" s="3"/>
      <c r="J766" s="4"/>
    </row>
    <row r="767">
      <c r="F767" s="1"/>
      <c r="H767" s="2"/>
      <c r="I767" s="3"/>
      <c r="J767" s="4"/>
    </row>
    <row r="768">
      <c r="F768" s="1"/>
      <c r="H768" s="2"/>
      <c r="I768" s="3"/>
      <c r="J768" s="4"/>
    </row>
    <row r="769">
      <c r="F769" s="1"/>
      <c r="H769" s="2"/>
      <c r="I769" s="3"/>
      <c r="J769" s="4"/>
    </row>
    <row r="770">
      <c r="F770" s="1"/>
      <c r="H770" s="2"/>
      <c r="I770" s="3"/>
      <c r="J770" s="4"/>
    </row>
    <row r="771">
      <c r="F771" s="1"/>
      <c r="H771" s="2"/>
      <c r="I771" s="3"/>
      <c r="J771" s="4"/>
    </row>
    <row r="772">
      <c r="F772" s="1"/>
      <c r="H772" s="2"/>
      <c r="I772" s="3"/>
      <c r="J772" s="4"/>
    </row>
    <row r="773">
      <c r="F773" s="1"/>
      <c r="H773" s="2"/>
      <c r="I773" s="3"/>
      <c r="J773" s="4"/>
    </row>
    <row r="774">
      <c r="F774" s="1"/>
      <c r="H774" s="2"/>
      <c r="I774" s="3"/>
      <c r="J774" s="4"/>
    </row>
    <row r="775">
      <c r="F775" s="1"/>
      <c r="H775" s="2"/>
      <c r="I775" s="3"/>
      <c r="J775" s="4"/>
    </row>
    <row r="776">
      <c r="F776" s="1"/>
      <c r="H776" s="2"/>
      <c r="I776" s="3"/>
      <c r="J776" s="4"/>
    </row>
    <row r="777">
      <c r="F777" s="1"/>
      <c r="H777" s="2"/>
      <c r="I777" s="3"/>
      <c r="J777" s="4"/>
    </row>
    <row r="778">
      <c r="F778" s="1"/>
      <c r="H778" s="2"/>
      <c r="I778" s="3"/>
      <c r="J778" s="4"/>
    </row>
    <row r="779">
      <c r="F779" s="1"/>
      <c r="H779" s="2"/>
      <c r="I779" s="3"/>
      <c r="J779" s="4"/>
    </row>
    <row r="780">
      <c r="F780" s="1"/>
      <c r="H780" s="2"/>
      <c r="I780" s="3"/>
      <c r="J780" s="4"/>
    </row>
    <row r="781">
      <c r="F781" s="1"/>
      <c r="H781" s="2"/>
      <c r="I781" s="3"/>
      <c r="J781" s="4"/>
    </row>
    <row r="782">
      <c r="F782" s="1"/>
      <c r="H782" s="2"/>
      <c r="I782" s="3"/>
      <c r="J782" s="4"/>
    </row>
    <row r="783">
      <c r="F783" s="1"/>
      <c r="H783" s="2"/>
      <c r="I783" s="3"/>
      <c r="J783" s="4"/>
    </row>
    <row r="784">
      <c r="F784" s="1"/>
      <c r="H784" s="2"/>
      <c r="I784" s="3"/>
      <c r="J784" s="4"/>
    </row>
    <row r="785">
      <c r="F785" s="1"/>
      <c r="H785" s="2"/>
      <c r="I785" s="3"/>
      <c r="J785" s="4"/>
    </row>
    <row r="786">
      <c r="F786" s="1"/>
      <c r="H786" s="2"/>
      <c r="I786" s="3"/>
      <c r="J786" s="4"/>
    </row>
    <row r="787">
      <c r="F787" s="1"/>
      <c r="H787" s="2"/>
      <c r="I787" s="3"/>
      <c r="J787" s="4"/>
    </row>
    <row r="788">
      <c r="F788" s="1"/>
      <c r="H788" s="2"/>
      <c r="I788" s="3"/>
      <c r="J788" s="4"/>
    </row>
    <row r="789">
      <c r="F789" s="1"/>
      <c r="H789" s="2"/>
      <c r="I789" s="3"/>
      <c r="J789" s="4"/>
    </row>
    <row r="790">
      <c r="F790" s="1"/>
      <c r="H790" s="2"/>
      <c r="I790" s="3"/>
      <c r="J790" s="4"/>
    </row>
    <row r="791">
      <c r="F791" s="1"/>
      <c r="H791" s="2"/>
      <c r="I791" s="3"/>
      <c r="J791" s="4"/>
    </row>
    <row r="792">
      <c r="F792" s="1"/>
      <c r="H792" s="2"/>
      <c r="I792" s="3"/>
      <c r="J792" s="4"/>
    </row>
    <row r="793">
      <c r="F793" s="1"/>
      <c r="H793" s="2"/>
      <c r="I793" s="3"/>
      <c r="J793" s="4"/>
    </row>
    <row r="794">
      <c r="F794" s="1"/>
      <c r="H794" s="2"/>
      <c r="I794" s="3"/>
      <c r="J794" s="4"/>
    </row>
    <row r="795">
      <c r="F795" s="1"/>
      <c r="H795" s="2"/>
      <c r="I795" s="3"/>
      <c r="J795" s="4"/>
    </row>
    <row r="796">
      <c r="F796" s="1"/>
      <c r="H796" s="2"/>
      <c r="I796" s="3"/>
      <c r="J796" s="4"/>
    </row>
    <row r="797">
      <c r="F797" s="1"/>
      <c r="H797" s="2"/>
      <c r="I797" s="3"/>
      <c r="J797" s="4"/>
    </row>
    <row r="798">
      <c r="F798" s="1"/>
      <c r="H798" s="2"/>
      <c r="I798" s="3"/>
      <c r="J798" s="4"/>
    </row>
    <row r="799">
      <c r="F799" s="1"/>
      <c r="H799" s="2"/>
      <c r="I799" s="3"/>
      <c r="J799" s="4"/>
    </row>
    <row r="800">
      <c r="F800" s="1"/>
      <c r="H800" s="2"/>
      <c r="I800" s="3"/>
      <c r="J800" s="4"/>
    </row>
    <row r="801">
      <c r="F801" s="1"/>
      <c r="H801" s="2"/>
      <c r="I801" s="3"/>
      <c r="J801" s="4"/>
    </row>
    <row r="802">
      <c r="F802" s="1"/>
      <c r="H802" s="2"/>
      <c r="I802" s="3"/>
      <c r="J802" s="4"/>
    </row>
    <row r="803">
      <c r="F803" s="1"/>
      <c r="H803" s="2"/>
      <c r="I803" s="3"/>
      <c r="J803" s="4"/>
    </row>
    <row r="804">
      <c r="F804" s="1"/>
      <c r="H804" s="2"/>
      <c r="I804" s="3"/>
      <c r="J804" s="4"/>
    </row>
    <row r="805">
      <c r="F805" s="1"/>
      <c r="H805" s="2"/>
      <c r="I805" s="3"/>
      <c r="J805" s="4"/>
    </row>
    <row r="806">
      <c r="F806" s="1"/>
      <c r="H806" s="2"/>
      <c r="I806" s="3"/>
      <c r="J806" s="4"/>
    </row>
    <row r="807">
      <c r="F807" s="1"/>
      <c r="H807" s="2"/>
      <c r="I807" s="3"/>
      <c r="J807" s="4"/>
    </row>
    <row r="808">
      <c r="F808" s="1"/>
      <c r="H808" s="2"/>
      <c r="I808" s="3"/>
      <c r="J808" s="4"/>
    </row>
    <row r="809">
      <c r="F809" s="1"/>
      <c r="H809" s="2"/>
      <c r="I809" s="3"/>
      <c r="J809" s="4"/>
    </row>
    <row r="810">
      <c r="F810" s="1"/>
      <c r="H810" s="2"/>
      <c r="I810" s="3"/>
      <c r="J810" s="4"/>
    </row>
    <row r="811">
      <c r="F811" s="1"/>
      <c r="H811" s="2"/>
      <c r="I811" s="3"/>
      <c r="J811" s="4"/>
    </row>
    <row r="812">
      <c r="F812" s="1"/>
      <c r="H812" s="2"/>
      <c r="I812" s="3"/>
      <c r="J812" s="4"/>
    </row>
    <row r="813">
      <c r="F813" s="1"/>
      <c r="H813" s="2"/>
      <c r="I813" s="3"/>
      <c r="J813" s="4"/>
    </row>
    <row r="814">
      <c r="F814" s="1"/>
      <c r="H814" s="2"/>
      <c r="I814" s="3"/>
      <c r="J814" s="4"/>
    </row>
    <row r="815">
      <c r="F815" s="1"/>
      <c r="H815" s="2"/>
      <c r="I815" s="3"/>
      <c r="J815" s="4"/>
    </row>
    <row r="816">
      <c r="F816" s="1"/>
      <c r="H816" s="2"/>
      <c r="I816" s="3"/>
      <c r="J816" s="4"/>
    </row>
    <row r="817">
      <c r="F817" s="1"/>
      <c r="H817" s="2"/>
      <c r="I817" s="3"/>
      <c r="J817" s="4"/>
    </row>
    <row r="818">
      <c r="F818" s="1"/>
      <c r="H818" s="2"/>
      <c r="I818" s="3"/>
      <c r="J818" s="4"/>
    </row>
    <row r="819">
      <c r="F819" s="1"/>
      <c r="H819" s="2"/>
      <c r="I819" s="3"/>
      <c r="J819" s="4"/>
    </row>
    <row r="820">
      <c r="F820" s="1"/>
      <c r="H820" s="2"/>
      <c r="I820" s="3"/>
      <c r="J820" s="4"/>
    </row>
    <row r="821">
      <c r="F821" s="1"/>
      <c r="H821" s="2"/>
      <c r="I821" s="3"/>
      <c r="J821" s="4"/>
    </row>
    <row r="822">
      <c r="F822" s="1"/>
      <c r="H822" s="2"/>
      <c r="I822" s="3"/>
      <c r="J822" s="4"/>
    </row>
    <row r="823">
      <c r="F823" s="1"/>
      <c r="H823" s="2"/>
      <c r="I823" s="3"/>
      <c r="J823" s="4"/>
    </row>
    <row r="824">
      <c r="F824" s="1"/>
      <c r="H824" s="2"/>
      <c r="I824" s="3"/>
      <c r="J824" s="4"/>
    </row>
    <row r="825">
      <c r="F825" s="1"/>
      <c r="H825" s="2"/>
      <c r="I825" s="3"/>
      <c r="J825" s="4"/>
    </row>
    <row r="826">
      <c r="F826" s="1"/>
      <c r="H826" s="2"/>
      <c r="I826" s="3"/>
      <c r="J826" s="4"/>
    </row>
    <row r="827">
      <c r="F827" s="1"/>
      <c r="H827" s="2"/>
      <c r="I827" s="3"/>
      <c r="J827" s="4"/>
    </row>
    <row r="828">
      <c r="F828" s="1"/>
      <c r="H828" s="2"/>
      <c r="I828" s="3"/>
      <c r="J828" s="4"/>
    </row>
    <row r="829">
      <c r="F829" s="1"/>
      <c r="H829" s="2"/>
      <c r="I829" s="3"/>
      <c r="J829" s="4"/>
    </row>
    <row r="830">
      <c r="F830" s="1"/>
      <c r="H830" s="2"/>
      <c r="I830" s="3"/>
      <c r="J830" s="4"/>
    </row>
    <row r="831">
      <c r="F831" s="1"/>
      <c r="H831" s="2"/>
      <c r="I831" s="3"/>
      <c r="J831" s="4"/>
    </row>
    <row r="832">
      <c r="F832" s="1"/>
      <c r="H832" s="2"/>
      <c r="I832" s="3"/>
      <c r="J832" s="4"/>
    </row>
    <row r="833">
      <c r="F833" s="1"/>
      <c r="H833" s="2"/>
      <c r="I833" s="3"/>
      <c r="J833" s="4"/>
    </row>
    <row r="834">
      <c r="F834" s="1"/>
      <c r="H834" s="2"/>
      <c r="I834" s="3"/>
      <c r="J834" s="4"/>
    </row>
    <row r="835">
      <c r="F835" s="1"/>
      <c r="H835" s="2"/>
      <c r="I835" s="3"/>
      <c r="J835" s="4"/>
    </row>
    <row r="836">
      <c r="F836" s="1"/>
      <c r="H836" s="2"/>
      <c r="I836" s="3"/>
      <c r="J836" s="4"/>
    </row>
    <row r="837">
      <c r="F837" s="1"/>
      <c r="H837" s="2"/>
      <c r="I837" s="3"/>
      <c r="J837" s="4"/>
    </row>
    <row r="838">
      <c r="F838" s="1"/>
      <c r="H838" s="2"/>
      <c r="I838" s="3"/>
      <c r="J838" s="4"/>
    </row>
    <row r="839">
      <c r="F839" s="1"/>
      <c r="H839" s="2"/>
      <c r="I839" s="3"/>
      <c r="J839" s="4"/>
    </row>
    <row r="840">
      <c r="F840" s="1"/>
      <c r="H840" s="2"/>
      <c r="I840" s="3"/>
      <c r="J840" s="4"/>
    </row>
    <row r="841">
      <c r="F841" s="1"/>
      <c r="H841" s="2"/>
      <c r="I841" s="3"/>
      <c r="J841" s="4"/>
    </row>
    <row r="842">
      <c r="F842" s="1"/>
      <c r="H842" s="2"/>
      <c r="I842" s="3"/>
      <c r="J842" s="4"/>
    </row>
    <row r="843">
      <c r="F843" s="1"/>
      <c r="H843" s="2"/>
      <c r="I843" s="3"/>
      <c r="J843" s="4"/>
    </row>
    <row r="844">
      <c r="F844" s="1"/>
      <c r="H844" s="2"/>
      <c r="I844" s="3"/>
      <c r="J844" s="4"/>
    </row>
    <row r="845">
      <c r="F845" s="1"/>
      <c r="H845" s="2"/>
      <c r="I845" s="3"/>
      <c r="J845" s="4"/>
    </row>
    <row r="846">
      <c r="F846" s="1"/>
      <c r="H846" s="2"/>
      <c r="I846" s="3"/>
      <c r="J846" s="4"/>
    </row>
    <row r="847">
      <c r="F847" s="1"/>
      <c r="H847" s="2"/>
      <c r="I847" s="3"/>
      <c r="J847" s="4"/>
    </row>
    <row r="848">
      <c r="F848" s="1"/>
      <c r="H848" s="2"/>
      <c r="I848" s="3"/>
      <c r="J848" s="4"/>
    </row>
    <row r="849">
      <c r="F849" s="1"/>
      <c r="H849" s="2"/>
      <c r="I849" s="3"/>
      <c r="J849" s="4"/>
    </row>
    <row r="850">
      <c r="F850" s="1"/>
      <c r="H850" s="2"/>
      <c r="I850" s="3"/>
      <c r="J850" s="4"/>
    </row>
    <row r="851">
      <c r="F851" s="1"/>
      <c r="H851" s="2"/>
      <c r="I851" s="3"/>
      <c r="J851" s="4"/>
    </row>
    <row r="852">
      <c r="F852" s="1"/>
      <c r="H852" s="2"/>
      <c r="I852" s="3"/>
      <c r="J852" s="4"/>
    </row>
    <row r="853">
      <c r="F853" s="1"/>
      <c r="H853" s="2"/>
      <c r="I853" s="3"/>
      <c r="J853" s="4"/>
    </row>
    <row r="854">
      <c r="F854" s="1"/>
      <c r="H854" s="2"/>
      <c r="I854" s="3"/>
      <c r="J854" s="4"/>
    </row>
    <row r="855">
      <c r="F855" s="1"/>
      <c r="H855" s="2"/>
      <c r="I855" s="3"/>
      <c r="J855" s="4"/>
    </row>
    <row r="856">
      <c r="F856" s="1"/>
      <c r="H856" s="2"/>
      <c r="I856" s="3"/>
      <c r="J856" s="4"/>
    </row>
    <row r="857">
      <c r="F857" s="1"/>
      <c r="H857" s="2"/>
      <c r="I857" s="3"/>
      <c r="J857" s="4"/>
    </row>
    <row r="858">
      <c r="F858" s="1"/>
      <c r="H858" s="2"/>
      <c r="I858" s="3"/>
      <c r="J858" s="4"/>
    </row>
    <row r="859">
      <c r="F859" s="1"/>
      <c r="H859" s="2"/>
      <c r="I859" s="3"/>
      <c r="J859" s="4"/>
    </row>
    <row r="860">
      <c r="F860" s="1"/>
      <c r="H860" s="2"/>
      <c r="I860" s="3"/>
      <c r="J860" s="4"/>
    </row>
    <row r="861">
      <c r="F861" s="1"/>
      <c r="H861" s="2"/>
      <c r="I861" s="3"/>
      <c r="J861" s="4"/>
    </row>
    <row r="862">
      <c r="F862" s="1"/>
      <c r="H862" s="2"/>
      <c r="I862" s="3"/>
      <c r="J862" s="4"/>
    </row>
    <row r="863">
      <c r="F863" s="1"/>
      <c r="H863" s="2"/>
      <c r="I863" s="3"/>
      <c r="J863" s="4"/>
    </row>
    <row r="864">
      <c r="F864" s="1"/>
      <c r="H864" s="2"/>
      <c r="I864" s="3"/>
      <c r="J864" s="4"/>
    </row>
    <row r="865">
      <c r="F865" s="1"/>
      <c r="H865" s="2"/>
      <c r="I865" s="3"/>
      <c r="J865" s="4"/>
    </row>
    <row r="866">
      <c r="F866" s="1"/>
      <c r="H866" s="2"/>
      <c r="I866" s="3"/>
      <c r="J866" s="4"/>
    </row>
    <row r="867">
      <c r="F867" s="1"/>
      <c r="H867" s="2"/>
      <c r="I867" s="3"/>
      <c r="J867" s="4"/>
    </row>
    <row r="868">
      <c r="F868" s="1"/>
      <c r="H868" s="2"/>
      <c r="I868" s="3"/>
      <c r="J868" s="4"/>
    </row>
    <row r="869">
      <c r="F869" s="1"/>
      <c r="H869" s="2"/>
      <c r="I869" s="3"/>
      <c r="J869" s="4"/>
    </row>
    <row r="870">
      <c r="F870" s="1"/>
      <c r="H870" s="2"/>
      <c r="I870" s="3"/>
      <c r="J870" s="4"/>
    </row>
    <row r="871">
      <c r="F871" s="1"/>
      <c r="H871" s="2"/>
      <c r="I871" s="3"/>
      <c r="J871" s="4"/>
    </row>
    <row r="872">
      <c r="F872" s="1"/>
      <c r="H872" s="2"/>
      <c r="I872" s="3"/>
      <c r="J872" s="4"/>
    </row>
    <row r="873">
      <c r="F873" s="1"/>
      <c r="H873" s="2"/>
      <c r="I873" s="3"/>
      <c r="J873" s="4"/>
    </row>
    <row r="874">
      <c r="F874" s="1"/>
      <c r="H874" s="2"/>
      <c r="I874" s="3"/>
      <c r="J874" s="4"/>
    </row>
    <row r="875">
      <c r="F875" s="1"/>
      <c r="H875" s="2"/>
      <c r="I875" s="3"/>
      <c r="J875" s="4"/>
    </row>
    <row r="876">
      <c r="F876" s="1"/>
      <c r="H876" s="2"/>
      <c r="I876" s="3"/>
      <c r="J876" s="4"/>
    </row>
    <row r="877">
      <c r="F877" s="1"/>
      <c r="H877" s="2"/>
      <c r="I877" s="3"/>
      <c r="J877" s="4"/>
    </row>
    <row r="878">
      <c r="F878" s="1"/>
      <c r="H878" s="2"/>
      <c r="I878" s="3"/>
      <c r="J878" s="4"/>
    </row>
    <row r="879">
      <c r="F879" s="1"/>
      <c r="H879" s="2"/>
      <c r="I879" s="3"/>
      <c r="J879" s="4"/>
    </row>
    <row r="880">
      <c r="F880" s="1"/>
      <c r="H880" s="2"/>
      <c r="I880" s="3"/>
      <c r="J880" s="4"/>
    </row>
    <row r="881">
      <c r="F881" s="1"/>
      <c r="H881" s="2"/>
      <c r="I881" s="3"/>
      <c r="J881" s="4"/>
    </row>
    <row r="882">
      <c r="F882" s="1"/>
      <c r="H882" s="2"/>
      <c r="I882" s="3"/>
      <c r="J882" s="4"/>
    </row>
    <row r="883">
      <c r="F883" s="1"/>
      <c r="H883" s="2"/>
      <c r="I883" s="3"/>
      <c r="J883" s="4"/>
    </row>
    <row r="884">
      <c r="F884" s="1"/>
      <c r="H884" s="2"/>
      <c r="I884" s="3"/>
      <c r="J884" s="4"/>
    </row>
    <row r="885">
      <c r="F885" s="1"/>
      <c r="H885" s="2"/>
      <c r="I885" s="3"/>
      <c r="J885" s="4"/>
    </row>
    <row r="886">
      <c r="F886" s="1"/>
      <c r="H886" s="2"/>
      <c r="I886" s="3"/>
      <c r="J886" s="4"/>
    </row>
    <row r="887">
      <c r="F887" s="1"/>
      <c r="H887" s="2"/>
      <c r="I887" s="3"/>
      <c r="J887" s="4"/>
    </row>
    <row r="888">
      <c r="F888" s="1"/>
      <c r="H888" s="2"/>
      <c r="I888" s="3"/>
      <c r="J888" s="4"/>
    </row>
    <row r="889">
      <c r="F889" s="1"/>
      <c r="H889" s="2"/>
      <c r="I889" s="3"/>
      <c r="J889" s="4"/>
    </row>
    <row r="890">
      <c r="F890" s="1"/>
      <c r="H890" s="2"/>
      <c r="I890" s="3"/>
      <c r="J890" s="4"/>
    </row>
    <row r="891">
      <c r="F891" s="1"/>
      <c r="H891" s="2"/>
      <c r="I891" s="3"/>
      <c r="J891" s="4"/>
    </row>
    <row r="892">
      <c r="F892" s="1"/>
      <c r="H892" s="2"/>
      <c r="I892" s="3"/>
      <c r="J892" s="4"/>
    </row>
    <row r="893">
      <c r="F893" s="1"/>
      <c r="H893" s="2"/>
      <c r="I893" s="3"/>
      <c r="J893" s="4"/>
    </row>
    <row r="894">
      <c r="F894" s="1"/>
      <c r="H894" s="2"/>
      <c r="I894" s="3"/>
      <c r="J894" s="4"/>
    </row>
    <row r="895">
      <c r="F895" s="1"/>
      <c r="H895" s="2"/>
      <c r="I895" s="3"/>
      <c r="J895" s="4"/>
    </row>
    <row r="896">
      <c r="F896" s="1"/>
      <c r="H896" s="2"/>
      <c r="I896" s="3"/>
      <c r="J896" s="4"/>
    </row>
    <row r="897">
      <c r="F897" s="1"/>
      <c r="H897" s="2"/>
      <c r="I897" s="3"/>
      <c r="J897" s="4"/>
    </row>
    <row r="898">
      <c r="F898" s="1"/>
      <c r="H898" s="2"/>
      <c r="I898" s="3"/>
      <c r="J898" s="4"/>
    </row>
    <row r="899">
      <c r="F899" s="1"/>
      <c r="H899" s="2"/>
      <c r="I899" s="3"/>
      <c r="J899" s="4"/>
    </row>
    <row r="900">
      <c r="F900" s="1"/>
      <c r="H900" s="2"/>
      <c r="I900" s="3"/>
      <c r="J900" s="4"/>
    </row>
    <row r="901">
      <c r="F901" s="1"/>
      <c r="H901" s="2"/>
      <c r="I901" s="3"/>
      <c r="J901" s="4"/>
    </row>
    <row r="902">
      <c r="F902" s="1"/>
      <c r="H902" s="2"/>
      <c r="I902" s="3"/>
      <c r="J902" s="4"/>
    </row>
    <row r="903">
      <c r="F903" s="1"/>
      <c r="H903" s="2"/>
      <c r="I903" s="3"/>
      <c r="J903" s="4"/>
    </row>
    <row r="904">
      <c r="F904" s="1"/>
      <c r="H904" s="2"/>
      <c r="I904" s="3"/>
      <c r="J904" s="4"/>
    </row>
    <row r="905">
      <c r="F905" s="1"/>
      <c r="H905" s="2"/>
      <c r="I905" s="3"/>
      <c r="J905" s="4"/>
    </row>
    <row r="906">
      <c r="F906" s="1"/>
      <c r="H906" s="2"/>
      <c r="I906" s="3"/>
      <c r="J906" s="4"/>
    </row>
    <row r="907">
      <c r="F907" s="1"/>
      <c r="H907" s="2"/>
      <c r="I907" s="3"/>
      <c r="J907" s="4"/>
    </row>
    <row r="908">
      <c r="F908" s="1"/>
      <c r="H908" s="2"/>
      <c r="I908" s="3"/>
      <c r="J908" s="4"/>
    </row>
    <row r="909">
      <c r="F909" s="1"/>
      <c r="H909" s="2"/>
      <c r="I909" s="3"/>
      <c r="J909" s="4"/>
    </row>
    <row r="910">
      <c r="F910" s="1"/>
      <c r="H910" s="2"/>
      <c r="I910" s="3"/>
      <c r="J910" s="4"/>
    </row>
    <row r="911">
      <c r="F911" s="1"/>
      <c r="H911" s="2"/>
      <c r="I911" s="3"/>
      <c r="J911" s="4"/>
    </row>
    <row r="912">
      <c r="F912" s="1"/>
      <c r="H912" s="2"/>
      <c r="I912" s="3"/>
      <c r="J912" s="4"/>
    </row>
    <row r="913">
      <c r="F913" s="1"/>
      <c r="H913" s="2"/>
      <c r="I913" s="3"/>
      <c r="J913" s="4"/>
    </row>
    <row r="914">
      <c r="F914" s="1"/>
      <c r="H914" s="2"/>
      <c r="I914" s="3"/>
      <c r="J914" s="4"/>
    </row>
    <row r="915">
      <c r="F915" s="1"/>
      <c r="H915" s="2"/>
      <c r="I915" s="3"/>
      <c r="J915" s="4"/>
    </row>
    <row r="916">
      <c r="F916" s="1"/>
      <c r="H916" s="2"/>
      <c r="I916" s="3"/>
      <c r="J916" s="4"/>
    </row>
    <row r="917">
      <c r="F917" s="1"/>
      <c r="H917" s="2"/>
      <c r="I917" s="3"/>
      <c r="J917" s="4"/>
    </row>
    <row r="918">
      <c r="F918" s="1"/>
      <c r="H918" s="2"/>
      <c r="I918" s="3"/>
      <c r="J918" s="4"/>
    </row>
    <row r="919">
      <c r="F919" s="1"/>
      <c r="H919" s="2"/>
      <c r="I919" s="3"/>
      <c r="J919" s="4"/>
    </row>
    <row r="920">
      <c r="F920" s="1"/>
      <c r="H920" s="2"/>
      <c r="I920" s="3"/>
      <c r="J920" s="4"/>
    </row>
    <row r="921">
      <c r="F921" s="1"/>
      <c r="H921" s="2"/>
      <c r="I921" s="3"/>
      <c r="J921" s="4"/>
    </row>
    <row r="922">
      <c r="F922" s="1"/>
      <c r="H922" s="2"/>
      <c r="I922" s="3"/>
      <c r="J922" s="4"/>
    </row>
    <row r="923">
      <c r="F923" s="1"/>
      <c r="H923" s="2"/>
      <c r="I923" s="3"/>
      <c r="J923" s="4"/>
    </row>
    <row r="924">
      <c r="F924" s="1"/>
      <c r="H924" s="2"/>
      <c r="I924" s="3"/>
      <c r="J924" s="4"/>
    </row>
    <row r="925">
      <c r="F925" s="1"/>
      <c r="H925" s="2"/>
      <c r="I925" s="3"/>
      <c r="J925" s="4"/>
    </row>
    <row r="926">
      <c r="F926" s="1"/>
      <c r="H926" s="2"/>
      <c r="I926" s="3"/>
      <c r="J926" s="4"/>
    </row>
    <row r="927">
      <c r="F927" s="1"/>
      <c r="H927" s="2"/>
      <c r="I927" s="3"/>
      <c r="J927" s="4"/>
    </row>
    <row r="928">
      <c r="F928" s="1"/>
      <c r="H928" s="2"/>
      <c r="I928" s="3"/>
      <c r="J928" s="4"/>
    </row>
    <row r="929">
      <c r="F929" s="1"/>
      <c r="H929" s="2"/>
      <c r="I929" s="3"/>
      <c r="J929" s="4"/>
    </row>
    <row r="930">
      <c r="F930" s="1"/>
      <c r="H930" s="2"/>
      <c r="I930" s="3"/>
      <c r="J930" s="4"/>
    </row>
    <row r="931">
      <c r="F931" s="1"/>
      <c r="H931" s="2"/>
      <c r="I931" s="3"/>
      <c r="J931" s="4"/>
    </row>
    <row r="932">
      <c r="F932" s="1"/>
      <c r="H932" s="2"/>
      <c r="I932" s="3"/>
      <c r="J932" s="4"/>
    </row>
    <row r="933">
      <c r="F933" s="1"/>
      <c r="H933" s="2"/>
      <c r="I933" s="3"/>
      <c r="J933" s="4"/>
    </row>
    <row r="934">
      <c r="F934" s="1"/>
      <c r="H934" s="2"/>
      <c r="I934" s="3"/>
      <c r="J934" s="4"/>
    </row>
    <row r="935">
      <c r="F935" s="1"/>
      <c r="H935" s="2"/>
      <c r="I935" s="3"/>
      <c r="J935" s="4"/>
    </row>
    <row r="936">
      <c r="F936" s="1"/>
      <c r="H936" s="2"/>
      <c r="I936" s="3"/>
      <c r="J936" s="4"/>
    </row>
    <row r="937">
      <c r="F937" s="1"/>
      <c r="H937" s="2"/>
      <c r="I937" s="3"/>
      <c r="J937" s="4"/>
    </row>
    <row r="938">
      <c r="F938" s="1"/>
      <c r="H938" s="2"/>
      <c r="I938" s="3"/>
      <c r="J938" s="4"/>
    </row>
    <row r="939">
      <c r="F939" s="1"/>
      <c r="H939" s="2"/>
      <c r="I939" s="3"/>
      <c r="J939" s="4"/>
    </row>
    <row r="940">
      <c r="F940" s="1"/>
      <c r="H940" s="2"/>
      <c r="I940" s="3"/>
      <c r="J940" s="4"/>
    </row>
    <row r="941">
      <c r="F941" s="1"/>
      <c r="H941" s="2"/>
      <c r="I941" s="3"/>
      <c r="J941" s="4"/>
    </row>
    <row r="942">
      <c r="F942" s="1"/>
      <c r="H942" s="2"/>
      <c r="I942" s="3"/>
      <c r="J942" s="4"/>
    </row>
    <row r="943">
      <c r="F943" s="1"/>
      <c r="H943" s="2"/>
      <c r="I943" s="3"/>
      <c r="J943" s="4"/>
    </row>
    <row r="944">
      <c r="F944" s="1"/>
      <c r="H944" s="2"/>
      <c r="I944" s="3"/>
      <c r="J944" s="4"/>
    </row>
    <row r="945">
      <c r="F945" s="1"/>
      <c r="H945" s="2"/>
      <c r="I945" s="3"/>
      <c r="J945" s="4"/>
    </row>
    <row r="946">
      <c r="F946" s="1"/>
      <c r="H946" s="2"/>
      <c r="I946" s="3"/>
      <c r="J946" s="4"/>
    </row>
    <row r="947">
      <c r="F947" s="1"/>
      <c r="H947" s="2"/>
      <c r="I947" s="3"/>
      <c r="J947" s="4"/>
    </row>
    <row r="948">
      <c r="F948" s="1"/>
      <c r="H948" s="2"/>
      <c r="I948" s="3"/>
      <c r="J948" s="4"/>
    </row>
    <row r="949">
      <c r="F949" s="1"/>
      <c r="H949" s="2"/>
      <c r="I949" s="3"/>
      <c r="J949" s="4"/>
    </row>
    <row r="950">
      <c r="F950" s="1"/>
      <c r="H950" s="2"/>
      <c r="I950" s="3"/>
      <c r="J950" s="4"/>
    </row>
    <row r="951">
      <c r="F951" s="1"/>
      <c r="H951" s="2"/>
      <c r="I951" s="3"/>
      <c r="J951" s="4"/>
    </row>
    <row r="952">
      <c r="F952" s="1"/>
      <c r="H952" s="2"/>
      <c r="I952" s="3"/>
      <c r="J952" s="4"/>
    </row>
    <row r="953">
      <c r="F953" s="1"/>
      <c r="H953" s="2"/>
      <c r="I953" s="3"/>
      <c r="J953" s="4"/>
    </row>
    <row r="954">
      <c r="F954" s="1"/>
      <c r="H954" s="2"/>
      <c r="I954" s="3"/>
      <c r="J954" s="4"/>
    </row>
    <row r="955">
      <c r="F955" s="1"/>
      <c r="H955" s="2"/>
      <c r="I955" s="3"/>
      <c r="J955" s="4"/>
    </row>
    <row r="956">
      <c r="F956" s="1"/>
      <c r="H956" s="2"/>
      <c r="I956" s="3"/>
      <c r="J956" s="4"/>
    </row>
    <row r="957">
      <c r="F957" s="1"/>
      <c r="H957" s="2"/>
      <c r="I957" s="3"/>
      <c r="J957" s="4"/>
    </row>
    <row r="958">
      <c r="F958" s="1"/>
      <c r="H958" s="2"/>
      <c r="I958" s="3"/>
      <c r="J958" s="4"/>
    </row>
    <row r="959">
      <c r="F959" s="1"/>
      <c r="H959" s="2"/>
      <c r="I959" s="3"/>
      <c r="J959" s="4"/>
    </row>
    <row r="960">
      <c r="F960" s="1"/>
      <c r="H960" s="2"/>
      <c r="I960" s="3"/>
      <c r="J960" s="4"/>
    </row>
    <row r="961">
      <c r="F961" s="1"/>
      <c r="H961" s="2"/>
      <c r="I961" s="3"/>
      <c r="J961" s="4"/>
    </row>
    <row r="962">
      <c r="F962" s="1"/>
      <c r="H962" s="2"/>
      <c r="I962" s="3"/>
      <c r="J962" s="4"/>
    </row>
    <row r="963">
      <c r="F963" s="1"/>
      <c r="H963" s="2"/>
      <c r="I963" s="3"/>
      <c r="J963" s="4"/>
    </row>
    <row r="964">
      <c r="F964" s="1"/>
      <c r="H964" s="2"/>
      <c r="I964" s="3"/>
      <c r="J964" s="4"/>
    </row>
    <row r="965">
      <c r="F965" s="1"/>
      <c r="H965" s="2"/>
      <c r="I965" s="3"/>
      <c r="J965" s="4"/>
    </row>
    <row r="966">
      <c r="F966" s="1"/>
      <c r="H966" s="2"/>
      <c r="I966" s="3"/>
      <c r="J966" s="4"/>
    </row>
    <row r="967">
      <c r="F967" s="1"/>
      <c r="H967" s="2"/>
      <c r="I967" s="3"/>
      <c r="J967" s="4"/>
    </row>
    <row r="968">
      <c r="F968" s="1"/>
      <c r="H968" s="2"/>
      <c r="I968" s="3"/>
      <c r="J968" s="4"/>
    </row>
    <row r="969">
      <c r="F969" s="1"/>
      <c r="H969" s="2"/>
      <c r="I969" s="3"/>
      <c r="J969" s="4"/>
    </row>
    <row r="970">
      <c r="F970" s="1"/>
      <c r="H970" s="2"/>
      <c r="I970" s="3"/>
      <c r="J970" s="4"/>
    </row>
    <row r="971">
      <c r="F971" s="1"/>
      <c r="H971" s="2"/>
      <c r="I971" s="3"/>
      <c r="J971" s="4"/>
    </row>
    <row r="972">
      <c r="F972" s="1"/>
      <c r="H972" s="2"/>
      <c r="I972" s="3"/>
      <c r="J972" s="4"/>
    </row>
    <row r="973">
      <c r="F973" s="1"/>
      <c r="H973" s="2"/>
      <c r="I973" s="3"/>
      <c r="J973" s="4"/>
    </row>
    <row r="974">
      <c r="F974" s="1"/>
      <c r="H974" s="2"/>
      <c r="I974" s="3"/>
      <c r="J974" s="4"/>
    </row>
    <row r="975">
      <c r="F975" s="1"/>
      <c r="H975" s="2"/>
      <c r="I975" s="3"/>
      <c r="J975" s="4"/>
    </row>
    <row r="976">
      <c r="F976" s="1"/>
      <c r="H976" s="2"/>
      <c r="I976" s="3"/>
      <c r="J976" s="4"/>
    </row>
    <row r="977">
      <c r="F977" s="1"/>
      <c r="H977" s="2"/>
      <c r="I977" s="3"/>
      <c r="J977" s="4"/>
    </row>
    <row r="978">
      <c r="F978" s="1"/>
      <c r="H978" s="2"/>
      <c r="I978" s="3"/>
      <c r="J978" s="4"/>
    </row>
    <row r="979">
      <c r="F979" s="1"/>
      <c r="H979" s="2"/>
      <c r="I979" s="3"/>
      <c r="J979" s="4"/>
    </row>
    <row r="980">
      <c r="F980" s="1"/>
      <c r="H980" s="2"/>
      <c r="I980" s="3"/>
      <c r="J980" s="4"/>
    </row>
    <row r="981">
      <c r="F981" s="1"/>
      <c r="H981" s="2"/>
      <c r="I981" s="3"/>
      <c r="J981" s="4"/>
    </row>
    <row r="982">
      <c r="F982" s="1"/>
      <c r="H982" s="2"/>
      <c r="I982" s="3"/>
      <c r="J982" s="4"/>
    </row>
    <row r="983">
      <c r="F983" s="1"/>
      <c r="H983" s="2"/>
      <c r="I983" s="3"/>
      <c r="J983" s="4"/>
    </row>
    <row r="984">
      <c r="F984" s="1"/>
      <c r="H984" s="2"/>
      <c r="I984" s="3"/>
      <c r="J984" s="4"/>
    </row>
    <row r="985">
      <c r="F985" s="1"/>
      <c r="H985" s="2"/>
      <c r="I985" s="3"/>
      <c r="J985" s="4"/>
    </row>
    <row r="986">
      <c r="F986" s="1"/>
      <c r="H986" s="2"/>
      <c r="I986" s="3"/>
      <c r="J986" s="4"/>
    </row>
    <row r="987">
      <c r="F987" s="1"/>
      <c r="H987" s="2"/>
      <c r="I987" s="3"/>
      <c r="J987" s="4"/>
    </row>
    <row r="988">
      <c r="F988" s="1"/>
      <c r="H988" s="2"/>
      <c r="I988" s="3"/>
      <c r="J988" s="4"/>
    </row>
    <row r="989">
      <c r="F989" s="1"/>
      <c r="H989" s="2"/>
      <c r="I989" s="3"/>
      <c r="J989" s="4"/>
    </row>
    <row r="990">
      <c r="F990" s="1"/>
      <c r="H990" s="2"/>
      <c r="I990" s="3"/>
      <c r="J990" s="4"/>
    </row>
    <row r="991">
      <c r="F991" s="1"/>
      <c r="H991" s="2"/>
      <c r="I991" s="3"/>
      <c r="J991" s="4"/>
    </row>
    <row r="992">
      <c r="F992" s="1"/>
      <c r="H992" s="2"/>
      <c r="I992" s="3"/>
      <c r="J992" s="4"/>
    </row>
    <row r="993">
      <c r="F993" s="1"/>
      <c r="H993" s="2"/>
      <c r="I993" s="3"/>
      <c r="J993" s="4"/>
    </row>
    <row r="994">
      <c r="F994" s="1"/>
      <c r="H994" s="2"/>
      <c r="I994" s="3"/>
      <c r="J994" s="4"/>
    </row>
    <row r="995">
      <c r="F995" s="1"/>
      <c r="H995" s="2"/>
      <c r="I995" s="3"/>
      <c r="J995" s="4"/>
    </row>
    <row r="996">
      <c r="F996" s="1"/>
      <c r="H996" s="2"/>
      <c r="I996" s="3"/>
      <c r="J996" s="4"/>
    </row>
    <row r="997">
      <c r="F997" s="1"/>
      <c r="H997" s="2"/>
      <c r="I997" s="3"/>
      <c r="J997" s="4"/>
    </row>
    <row r="998">
      <c r="F998" s="1"/>
      <c r="H998" s="2"/>
      <c r="I998" s="3"/>
      <c r="J998" s="4"/>
    </row>
    <row r="999">
      <c r="F999" s="1"/>
      <c r="H999" s="2"/>
      <c r="I999" s="3"/>
      <c r="J999" s="4"/>
    </row>
  </sheetData>
  <mergeCells count="2">
    <mergeCell ref="D2:E2"/>
    <mergeCell ref="E29:E31"/>
  </mergeCells>
  <printOptions gridLines="1" horizontalCentered="1"/>
  <pageMargins bottom="0.75" footer="0.0" header="0.0" left="0.7" right="0.7" top="0.75"/>
  <pageSetup paperSize="11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28</v>
      </c>
      <c r="B1" s="21"/>
      <c r="C1" s="21"/>
      <c r="D1" s="21"/>
      <c r="E1" s="41"/>
      <c r="F1" s="41"/>
      <c r="G1" s="41"/>
      <c r="H1" s="41"/>
      <c r="I1" s="42"/>
      <c r="J1" s="43"/>
      <c r="K1" s="23"/>
      <c r="L1" s="41"/>
      <c r="M1" s="44"/>
      <c r="N1" s="45"/>
      <c r="O1" s="46"/>
      <c r="P1" s="47"/>
      <c r="Q1" s="48"/>
      <c r="R1" s="48"/>
      <c r="S1" s="48"/>
      <c r="T1" s="49"/>
    </row>
    <row r="2">
      <c r="A2" s="21">
        <v>4309.0</v>
      </c>
      <c r="B2" s="21" t="s">
        <v>29</v>
      </c>
      <c r="C2" s="21" t="s">
        <v>30</v>
      </c>
      <c r="D2" s="21" t="s">
        <v>31</v>
      </c>
      <c r="E2" s="41" t="str">
        <f>IFERROR(__xludf.DUMMYFUNCTION("vlookup(D2,IMPORTRANGE(""https://docs.google.com/spreadsheets/d/1swGwZOEqYlTEUCJLY-eeJM1911Kvaei5oySBIxdgtNo/edit?pli=1#gid=257618397"",""stock untanna!B:C""),2,false)"),"ISI STAPLER 13/8 JOSS")</f>
        <v>ISI STAPLER 13/8 JOSS</v>
      </c>
      <c r="F2" s="41" t="str">
        <f>IFERROR(__xludf.DUMMYFUNCTION("vlookup($D2,IMPORTRANGE(""https://docs.google.com/spreadsheets/d/1swGwZOEqYlTEUCJLY-eeJM1911Kvaei5oySBIxdgtNo/edit?pli=1#gid=257618397"",""stock untanna!B:d""),3,false)"),"")</f>
        <v/>
      </c>
      <c r="G2" s="41" t="str">
        <f>IFERROR(__xludf.DUMMYFUNCTION("vlookup($D2,IMPORTRANGE(""https://docs.google.com/spreadsheets/d/1swGwZOEqYlTEUCJLY-eeJM1911Kvaei5oySBIxdgtNo/edit?pli=1#gid=257618397"",""stock untanna!B:e""),4,false)"),"")</f>
        <v/>
      </c>
      <c r="H2" s="41" t="str">
        <f>IFERROR(__xludf.DUMMYFUNCTION("vlookup($D2,IMPORTRANGE(""https://docs.google.com/spreadsheets/d/1swGwZOEqYlTEUCJLY-eeJM1911Kvaei5oySBIxdgtNo/edit?pli=1#gid=257618397"",""stock untanna!B:F""),5,false)"),"IM")</f>
        <v>IM</v>
      </c>
      <c r="I2" s="42" t="str">
        <f>IFERROR(__xludf.DUMMYFUNCTION("vlookup($D2,IMPORTRANGE(""https://docs.google.com/spreadsheets/d/1swGwZOEqYlTEUCJLY-eeJM1911Kvaei5oySBIxdgtNo/edit?pli=1#gid=257618397"",""stock untanna!B:G""),6,false)"),"13/8")</f>
        <v>13/8</v>
      </c>
      <c r="J2" s="43" t="str">
        <f>IF(D2="","TIDAK ADA","ADA")</f>
        <v>ADA</v>
      </c>
      <c r="K2" s="23">
        <v>500.0</v>
      </c>
      <c r="L2" s="41" t="str">
        <f>IFERROR(__xludf.DUMMYFUNCTION("vlookup($D2,IMPORTRANGE(""https://docs.google.com/spreadsheets/d/1swGwZOEqYlTEUCJLY-eeJM1911Kvaei5oySBIxdgtNo/edit?pli=1#gid=257618397"",""stock untanna!B:q""),16,false)"),"PAK")</f>
        <v>PAK</v>
      </c>
      <c r="M2" s="44">
        <v>17500.0</v>
      </c>
      <c r="N2" s="45"/>
      <c r="O2" s="46">
        <f>(K2*M2)-((M2*K2)*N2)</f>
        <v>8750000</v>
      </c>
      <c r="P2" s="47"/>
      <c r="Q2" s="48">
        <v>45407.0</v>
      </c>
      <c r="R2" s="48"/>
      <c r="S2" s="48">
        <v>45416.0</v>
      </c>
      <c r="T2" s="49"/>
    </row>
    <row r="5">
      <c r="A5" s="21" t="s">
        <v>32</v>
      </c>
    </row>
    <row r="6">
      <c r="A6" s="21">
        <v>4085.0</v>
      </c>
      <c r="B6" s="50" t="s">
        <v>33</v>
      </c>
      <c r="C6" s="50" t="s">
        <v>34</v>
      </c>
      <c r="D6" s="51" t="s">
        <v>35</v>
      </c>
      <c r="E6" s="52" t="str">
        <f>IFERROR(__xludf.DUMMYFUNCTION("vlookup(D6,IMPORTRANGE(""https://docs.google.com/spreadsheets/d/1swGwZOEqYlTEUCJLY-eeJM1911Kvaei5oySBIxdgtNo/edit?pli=1#gid=257618397"",""stock FAKTUR!B:C""),2,false)"),"BP TZ 501 HITAM")</f>
        <v>BP TZ 501 HITAM</v>
      </c>
      <c r="F6" s="53" t="str">
        <f>IFERROR(__xludf.DUMMYFUNCTION("vlookup($D6,IMPORTRANGE(""https://docs.google.com/spreadsheets/d/1swGwZOEqYlTEUCJLY-eeJM1911Kvaei5oySBIxdgtNo/edit?pli=1#gid=257618397"",""stock FAKTUR!B:d""),3,false)"),"")</f>
        <v/>
      </c>
      <c r="G6" s="53" t="str">
        <f>IFERROR(__xludf.DUMMYFUNCTION("vlookup($D6,IMPORTRANGE(""https://docs.google.com/spreadsheets/d/1swGwZOEqYlTEUCJLY-eeJM1911Kvaei5oySBIxdgtNo/edit?pli=1#gid=257618397"",""stock FAKTUR!B:e""),4,false)"),"")</f>
        <v/>
      </c>
      <c r="H6" s="53" t="str">
        <f>IFERROR(__xludf.DUMMYFUNCTION("vlookup($D6,IMPORTRANGE(""https://docs.google.com/spreadsheets/d/1swGwZOEqYlTEUCJLY-eeJM1911Kvaei5oySBIxdgtNo/edit?pli=1#gid=257618397"",""stock FAKTUR!B:F""),5,false)"),"TZ")</f>
        <v>TZ</v>
      </c>
      <c r="I6" s="53" t="str">
        <f>IFERROR(__xludf.DUMMYFUNCTION("vlookup($D6,IMPORTRANGE(""https://docs.google.com/spreadsheets/d/1swGwZOEqYlTEUCJLY-eeJM1911Kvaei5oySBIxdgtNo/edit?pli=1#gid=257618397"",""stock FAKTUR!B:G""),6,false)"),"")</f>
        <v/>
      </c>
      <c r="J6" s="43" t="str">
        <f>IF(D6="","TIDAK ADA","ADA")</f>
        <v>ADA</v>
      </c>
      <c r="K6" s="54">
        <v>288.0</v>
      </c>
      <c r="L6" s="53" t="str">
        <f>IFERROR(__xludf.DUMMYFUNCTION("vlookup($D6,IMPORTRANGE(""https://docs.google.com/spreadsheets/d/1swGwZOEqYlTEUCJLY-eeJM1911Kvaei5oySBIxdgtNo/edit?pli=1#gid=257618397"",""stock FAKTUR!B:q""),16,false)"),"LSN")</f>
        <v>LSN</v>
      </c>
      <c r="M6" s="55">
        <v>23500.0</v>
      </c>
      <c r="N6" s="56"/>
      <c r="O6" s="46">
        <f>(K6*M6)-((M6*K6)*N6)</f>
        <v>6768000</v>
      </c>
      <c r="P6" s="46" t="str">
        <f>CONCATENATE(TEXT(M6, "Rp#,##0"), "-", K6, " ", L6, "-", TEXT(N6, "0.00%"))</f>
        <v>Rp23,500-288 LSN-0.00%</v>
      </c>
      <c r="Q6" s="57">
        <v>45407.0</v>
      </c>
      <c r="R6" s="58"/>
      <c r="S6" s="57">
        <v>45412.0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2.63"/>
    <col customWidth="1" min="5" max="5" width="37.38"/>
    <col hidden="1" min="6" max="9" width="12.63"/>
    <col customWidth="1" min="16" max="16" width="27.88"/>
    <col customWidth="1" min="20" max="20" width="34.0"/>
  </cols>
  <sheetData>
    <row r="1">
      <c r="A1" s="59" t="s">
        <v>36</v>
      </c>
      <c r="B1" s="60" t="s">
        <v>37</v>
      </c>
      <c r="C1" s="59" t="s">
        <v>38</v>
      </c>
      <c r="D1" s="61" t="s">
        <v>39</v>
      </c>
      <c r="E1" s="41" t="s">
        <v>40</v>
      </c>
      <c r="F1" s="62" t="s">
        <v>41</v>
      </c>
      <c r="G1" s="62" t="s">
        <v>42</v>
      </c>
      <c r="H1" s="62" t="s">
        <v>43</v>
      </c>
      <c r="I1" s="63" t="s">
        <v>44</v>
      </c>
      <c r="J1" s="43" t="s">
        <v>45</v>
      </c>
      <c r="K1" s="59" t="s">
        <v>46</v>
      </c>
      <c r="L1" s="53" t="s">
        <v>47</v>
      </c>
      <c r="M1" s="12" t="s">
        <v>48</v>
      </c>
      <c r="N1" s="35" t="s">
        <v>49</v>
      </c>
      <c r="O1" s="64" t="s">
        <v>50</v>
      </c>
      <c r="P1" s="65" t="s">
        <v>51</v>
      </c>
      <c r="Q1" s="66" t="s">
        <v>52</v>
      </c>
      <c r="R1" s="67" t="s">
        <v>53</v>
      </c>
      <c r="S1" s="68" t="s">
        <v>54</v>
      </c>
      <c r="T1" s="21" t="s">
        <v>55</v>
      </c>
      <c r="U1" s="21" t="s">
        <v>56</v>
      </c>
      <c r="V1" s="21" t="s">
        <v>57</v>
      </c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>
      <c r="A2" s="69">
        <v>4353.0</v>
      </c>
      <c r="B2" s="69" t="s">
        <v>58</v>
      </c>
      <c r="C2" s="70" t="s">
        <v>59</v>
      </c>
      <c r="D2" s="50" t="s">
        <v>60</v>
      </c>
      <c r="E2" s="41" t="str">
        <f>IFERROR(__xludf.DUMMYFUNCTION("vlookup(D2,IMPORTRANGE(""https://docs.google.com/spreadsheets/d/1swGwZOEqYlTEUCJLY-eeJM1911Kvaei5oySBIxdgtNo/edit?pli=1#gid=257618397"",""stock untanna!B:C""),2,false)"),"OIL PASTEL DEBOZZ 12W")</f>
        <v>OIL PASTEL DEBOZZ 12W</v>
      </c>
      <c r="F2" s="70"/>
      <c r="G2" s="71" t="s">
        <v>61</v>
      </c>
      <c r="H2" s="41" t="str">
        <f>IFERROR(__xludf.DUMMYFUNCTION("vlookup($D2,IMPORTRANGE(""https://docs.google.com/spreadsheets/d/1swGwZOEqYlTEUCJLY-eeJM1911Kvaei5oySBIxdgtNo/edit?pli=1#gid=257618397"",""stock untanna!B:F""),5,false)"),"DB")</f>
        <v>DB</v>
      </c>
      <c r="I2" s="42" t="str">
        <f>IFERROR(__xludf.DUMMYFUNCTION("vlookup($D2,IMPORTRANGE(""https://docs.google.com/spreadsheets/d/1swGwZOEqYlTEUCJLY-eeJM1911Kvaei5oySBIxdgtNo/edit?pli=1#gid=257618397"",""stock untanna!B:G""),6,false)"),"")</f>
        <v/>
      </c>
      <c r="J2" s="43" t="str">
        <f t="shared" ref="J2:J852" si="1">IF(D2="","TIDAK ADA","ADA")</f>
        <v>ADA</v>
      </c>
      <c r="K2" s="72">
        <v>2.0</v>
      </c>
      <c r="L2" s="53" t="s">
        <v>62</v>
      </c>
      <c r="M2" s="73">
        <v>110000.0</v>
      </c>
      <c r="N2" s="74"/>
      <c r="O2" s="73">
        <v>220000.0</v>
      </c>
      <c r="P2" s="46" t="str">
        <f t="shared" ref="P2:P5244" si="2">CONCATENATE(TEXT(M2, "Rp#,##0"), "-", K2, " ", L2, "-", TEXT(N2, "0.00%"))</f>
        <v>Rp110,000-2 LSN-0.00%</v>
      </c>
      <c r="Q2" s="75">
        <v>45408.0</v>
      </c>
      <c r="R2" s="76"/>
      <c r="S2" s="75">
        <v>45416.0</v>
      </c>
      <c r="T2" s="49"/>
    </row>
    <row r="3">
      <c r="A3" s="69">
        <v>4353.0</v>
      </c>
      <c r="B3" s="69" t="s">
        <v>58</v>
      </c>
      <c r="C3" s="70" t="s">
        <v>59</v>
      </c>
      <c r="D3" s="50" t="s">
        <v>63</v>
      </c>
      <c r="E3" s="41" t="str">
        <f>IFERROR(__xludf.DUMMYFUNCTION("vlookup(D3,IMPORTRANGE(""https://docs.google.com/spreadsheets/d/1swGwZOEqYlTEUCJLY-eeJM1911Kvaei5oySBIxdgtNo/edit?pli=1#gid=257618397"",""stock untanna!B:C""),2,false)"),"OIL PASTEL DEBOZZ 36W")</f>
        <v>OIL PASTEL DEBOZZ 36W</v>
      </c>
      <c r="F3" s="70"/>
      <c r="G3" s="71" t="s">
        <v>64</v>
      </c>
      <c r="H3" s="41" t="str">
        <f>IFERROR(__xludf.DUMMYFUNCTION("vlookup($D3,IMPORTRANGE(""https://docs.google.com/spreadsheets/d/1swGwZOEqYlTEUCJLY-eeJM1911Kvaei5oySBIxdgtNo/edit?pli=1#gid=257618397"",""stock untanna!B:F""),5,false)"),"DB")</f>
        <v>DB</v>
      </c>
      <c r="I3" s="42" t="str">
        <f>IFERROR(__xludf.DUMMYFUNCTION("vlookup($D3,IMPORTRANGE(""https://docs.google.com/spreadsheets/d/1swGwZOEqYlTEUCJLY-eeJM1911Kvaei5oySBIxdgtNo/edit?pli=1#gid=257618397"",""stock untanna!B:G""),6,false)"),"")</f>
        <v/>
      </c>
      <c r="J3" s="43" t="str">
        <f t="shared" si="1"/>
        <v>ADA</v>
      </c>
      <c r="K3" s="72">
        <v>1.0</v>
      </c>
      <c r="L3" s="53" t="s">
        <v>62</v>
      </c>
      <c r="M3" s="73">
        <v>497000.0</v>
      </c>
      <c r="N3" s="74"/>
      <c r="O3" s="73">
        <v>497000.0</v>
      </c>
      <c r="P3" s="46" t="str">
        <f t="shared" si="2"/>
        <v>Rp497,000-1 LSN-0.00%</v>
      </c>
      <c r="Q3" s="75">
        <v>45408.0</v>
      </c>
      <c r="R3" s="76"/>
      <c r="S3" s="75">
        <v>45416.0</v>
      </c>
      <c r="T3" s="49"/>
    </row>
    <row r="4">
      <c r="A4" s="69">
        <v>4040.0</v>
      </c>
      <c r="B4" s="69" t="s">
        <v>65</v>
      </c>
      <c r="C4" s="70" t="s">
        <v>66</v>
      </c>
      <c r="D4" s="69" t="s">
        <v>67</v>
      </c>
      <c r="E4" s="41" t="str">
        <f>IFERROR(__xludf.DUMMYFUNCTION("vlookup(D4,IMPORTRANGE(""https://docs.google.com/spreadsheets/d/1swGwZOEqYlTEUCJLY-eeJM1911Kvaei5oySBIxdgtNo/edit?pli=1#gid=257618397"",""stock untanna!B:C""),2,false)"),"PENCIL CASE KODE 3D 3 SUSUN 1299")</f>
        <v>PENCIL CASE KODE 3D 3 SUSUN 1299</v>
      </c>
      <c r="F4" s="70" t="s">
        <v>67</v>
      </c>
      <c r="G4" s="71" t="s">
        <v>68</v>
      </c>
      <c r="H4" s="41" t="str">
        <f>IFERROR(__xludf.DUMMYFUNCTION("vlookup($D4,IMPORTRANGE(""https://docs.google.com/spreadsheets/d/1swGwZOEqYlTEUCJLY-eeJM1911Kvaei5oySBIxdgtNo/edit?pli=1#gid=257618397"",""stock untanna!B:F""),5,false)"),"NB")</f>
        <v>NB</v>
      </c>
      <c r="I4" s="42" t="str">
        <f>IFERROR(__xludf.DUMMYFUNCTION("vlookup($D4,IMPORTRANGE(""https://docs.google.com/spreadsheets/d/1swGwZOEqYlTEUCJLY-eeJM1911Kvaei5oySBIxdgtNo/edit?pli=1#gid=257618397"",""stock untanna!B:G""),6,false)"),"1299")</f>
        <v>1299</v>
      </c>
      <c r="J4" s="43" t="str">
        <f t="shared" si="1"/>
        <v>ADA</v>
      </c>
      <c r="K4" s="72">
        <v>288.0</v>
      </c>
      <c r="L4" s="53" t="s">
        <v>69</v>
      </c>
      <c r="M4" s="73">
        <v>19500.0</v>
      </c>
      <c r="N4" s="74"/>
      <c r="O4" s="73">
        <v>5616000.0</v>
      </c>
      <c r="P4" s="46" t="str">
        <f t="shared" si="2"/>
        <v>Rp19,500-288 PCS-0.00%</v>
      </c>
      <c r="Q4" s="75">
        <v>45408.0</v>
      </c>
      <c r="R4" s="76"/>
      <c r="S4" s="75">
        <v>45416.0</v>
      </c>
      <c r="T4" s="49"/>
    </row>
    <row r="5">
      <c r="A5" s="69">
        <v>39.0</v>
      </c>
      <c r="B5" s="69" t="s">
        <v>65</v>
      </c>
      <c r="C5" s="70" t="s">
        <v>70</v>
      </c>
      <c r="D5" s="69"/>
      <c r="E5" s="41" t="s">
        <v>71</v>
      </c>
      <c r="F5" s="70"/>
      <c r="G5" s="71" t="s">
        <v>71</v>
      </c>
      <c r="H5" s="41" t="str">
        <f>IFERROR(__xludf.DUMMYFUNCTION("vlookup($D5,IMPORTRANGE(""https://docs.google.com/spreadsheets/d/1swGwZOEqYlTEUCJLY-eeJM1911Kvaei5oySBIxdgtNo/edit?pli=1#gid=257618397"",""stock untanna!B:F""),5,false)"),"#N/A")</f>
        <v>#N/A</v>
      </c>
      <c r="I5" s="42" t="str">
        <f>IFERROR(__xludf.DUMMYFUNCTION("vlookup($D5,IMPORTRANGE(""https://docs.google.com/spreadsheets/d/1swGwZOEqYlTEUCJLY-eeJM1911Kvaei5oySBIxdgtNo/edit?pli=1#gid=257618397"",""stock untanna!B:G""),6,false)"),"#N/A")</f>
        <v>#N/A</v>
      </c>
      <c r="J5" s="43" t="str">
        <f t="shared" si="1"/>
        <v>TIDAK ADA</v>
      </c>
      <c r="K5" s="72">
        <v>12.0</v>
      </c>
      <c r="L5" s="53" t="s">
        <v>69</v>
      </c>
      <c r="M5" s="73">
        <v>13000.0</v>
      </c>
      <c r="N5" s="74"/>
      <c r="O5" s="73">
        <v>156000.0</v>
      </c>
      <c r="P5" s="46" t="str">
        <f t="shared" si="2"/>
        <v>Rp13,000-12 PCS-0.00%</v>
      </c>
      <c r="Q5" s="75">
        <v>45408.0</v>
      </c>
      <c r="R5" s="76"/>
      <c r="S5" s="75">
        <v>45416.0</v>
      </c>
      <c r="T5" s="77" t="s">
        <v>72</v>
      </c>
    </row>
    <row r="6">
      <c r="A6" s="69">
        <v>39.0</v>
      </c>
      <c r="B6" s="69" t="s">
        <v>65</v>
      </c>
      <c r="C6" s="70" t="s">
        <v>70</v>
      </c>
      <c r="D6" s="69"/>
      <c r="E6" s="41" t="s">
        <v>73</v>
      </c>
      <c r="F6" s="70"/>
      <c r="G6" s="71" t="s">
        <v>73</v>
      </c>
      <c r="H6" s="41" t="str">
        <f>IFERROR(__xludf.DUMMYFUNCTION("vlookup($D6,IMPORTRANGE(""https://docs.google.com/spreadsheets/d/1swGwZOEqYlTEUCJLY-eeJM1911Kvaei5oySBIxdgtNo/edit?pli=1#gid=257618397"",""stock untanna!B:F""),5,false)"),"#N/A")</f>
        <v>#N/A</v>
      </c>
      <c r="I6" s="42" t="str">
        <f>IFERROR(__xludf.DUMMYFUNCTION("vlookup($D6,IMPORTRANGE(""https://docs.google.com/spreadsheets/d/1swGwZOEqYlTEUCJLY-eeJM1911Kvaei5oySBIxdgtNo/edit?pli=1#gid=257618397"",""stock untanna!B:G""),6,false)"),"#N/A")</f>
        <v>#N/A</v>
      </c>
      <c r="J6" s="43" t="str">
        <f t="shared" si="1"/>
        <v>TIDAK ADA</v>
      </c>
      <c r="K6" s="72">
        <v>25.0</v>
      </c>
      <c r="L6" s="53" t="s">
        <v>69</v>
      </c>
      <c r="M6" s="73">
        <v>3000.0</v>
      </c>
      <c r="N6" s="74"/>
      <c r="O6" s="73">
        <v>75000.0</v>
      </c>
      <c r="P6" s="46" t="str">
        <f t="shared" si="2"/>
        <v>Rp3,000-25 PCS-0.00%</v>
      </c>
      <c r="Q6" s="75">
        <v>45408.0</v>
      </c>
      <c r="R6" s="76"/>
      <c r="S6" s="75">
        <v>45416.0</v>
      </c>
      <c r="T6" s="49"/>
    </row>
    <row r="7">
      <c r="A7" s="69">
        <v>39.0</v>
      </c>
      <c r="B7" s="69" t="s">
        <v>65</v>
      </c>
      <c r="C7" s="70" t="s">
        <v>70</v>
      </c>
      <c r="D7" s="69"/>
      <c r="E7" s="41" t="s">
        <v>74</v>
      </c>
      <c r="F7" s="70"/>
      <c r="G7" s="71" t="s">
        <v>74</v>
      </c>
      <c r="H7" s="41" t="str">
        <f>IFERROR(__xludf.DUMMYFUNCTION("vlookup($D7,IMPORTRANGE(""https://docs.google.com/spreadsheets/d/1swGwZOEqYlTEUCJLY-eeJM1911Kvaei5oySBIxdgtNo/edit?pli=1#gid=257618397"",""stock untanna!B:F""),5,false)"),"#N/A")</f>
        <v>#N/A</v>
      </c>
      <c r="I7" s="42" t="str">
        <f>IFERROR(__xludf.DUMMYFUNCTION("vlookup($D7,IMPORTRANGE(""https://docs.google.com/spreadsheets/d/1swGwZOEqYlTEUCJLY-eeJM1911Kvaei5oySBIxdgtNo/edit?pli=1#gid=257618397"",""stock untanna!B:G""),6,false)"),"#N/A")</f>
        <v>#N/A</v>
      </c>
      <c r="J7" s="43" t="str">
        <f t="shared" si="1"/>
        <v>TIDAK ADA</v>
      </c>
      <c r="K7" s="72">
        <v>25.0</v>
      </c>
      <c r="L7" s="53" t="s">
        <v>69</v>
      </c>
      <c r="M7" s="73">
        <v>3000.0</v>
      </c>
      <c r="N7" s="74"/>
      <c r="O7" s="73">
        <v>75000.0</v>
      </c>
      <c r="P7" s="46" t="str">
        <f t="shared" si="2"/>
        <v>Rp3,000-25 PCS-0.00%</v>
      </c>
      <c r="Q7" s="75">
        <v>45408.0</v>
      </c>
      <c r="R7" s="76"/>
      <c r="S7" s="75">
        <v>45416.0</v>
      </c>
      <c r="T7" s="49"/>
    </row>
    <row r="8">
      <c r="A8" s="69">
        <v>39.0</v>
      </c>
      <c r="B8" s="69" t="s">
        <v>65</v>
      </c>
      <c r="C8" s="70" t="s">
        <v>70</v>
      </c>
      <c r="D8" s="69"/>
      <c r="E8" s="41" t="s">
        <v>75</v>
      </c>
      <c r="F8" s="70"/>
      <c r="G8" s="71" t="s">
        <v>75</v>
      </c>
      <c r="H8" s="41" t="str">
        <f>IFERROR(__xludf.DUMMYFUNCTION("vlookup($D8,IMPORTRANGE(""https://docs.google.com/spreadsheets/d/1swGwZOEqYlTEUCJLY-eeJM1911Kvaei5oySBIxdgtNo/edit?pli=1#gid=257618397"",""stock untanna!B:F""),5,false)"),"#N/A")</f>
        <v>#N/A</v>
      </c>
      <c r="I8" s="42" t="str">
        <f>IFERROR(__xludf.DUMMYFUNCTION("vlookup($D8,IMPORTRANGE(""https://docs.google.com/spreadsheets/d/1swGwZOEqYlTEUCJLY-eeJM1911Kvaei5oySBIxdgtNo/edit?pli=1#gid=257618397"",""stock untanna!B:G""),6,false)"),"#N/A")</f>
        <v>#N/A</v>
      </c>
      <c r="J8" s="43" t="str">
        <f t="shared" si="1"/>
        <v>TIDAK ADA</v>
      </c>
      <c r="K8" s="72">
        <v>25.0</v>
      </c>
      <c r="L8" s="53" t="s">
        <v>69</v>
      </c>
      <c r="M8" s="73">
        <v>3000.0</v>
      </c>
      <c r="N8" s="74"/>
      <c r="O8" s="73">
        <v>75000.0</v>
      </c>
      <c r="P8" s="46" t="str">
        <f t="shared" si="2"/>
        <v>Rp3,000-25 PCS-0.00%</v>
      </c>
      <c r="Q8" s="75">
        <v>45408.0</v>
      </c>
      <c r="R8" s="76"/>
      <c r="S8" s="75">
        <v>45416.0</v>
      </c>
      <c r="T8" s="49"/>
    </row>
    <row r="9">
      <c r="A9" s="69">
        <v>39.0</v>
      </c>
      <c r="B9" s="69" t="s">
        <v>65</v>
      </c>
      <c r="C9" s="70" t="s">
        <v>70</v>
      </c>
      <c r="D9" s="69"/>
      <c r="E9" s="41" t="s">
        <v>76</v>
      </c>
      <c r="F9" s="70"/>
      <c r="G9" s="71" t="s">
        <v>76</v>
      </c>
      <c r="H9" s="41" t="str">
        <f>IFERROR(__xludf.DUMMYFUNCTION("vlookup($D9,IMPORTRANGE(""https://docs.google.com/spreadsheets/d/1swGwZOEqYlTEUCJLY-eeJM1911Kvaei5oySBIxdgtNo/edit?pli=1#gid=257618397"",""stock untanna!B:F""),5,false)"),"#N/A")</f>
        <v>#N/A</v>
      </c>
      <c r="I9" s="42" t="str">
        <f>IFERROR(__xludf.DUMMYFUNCTION("vlookup($D9,IMPORTRANGE(""https://docs.google.com/spreadsheets/d/1swGwZOEqYlTEUCJLY-eeJM1911Kvaei5oySBIxdgtNo/edit?pli=1#gid=257618397"",""stock untanna!B:G""),6,false)"),"#N/A")</f>
        <v>#N/A</v>
      </c>
      <c r="J9" s="43" t="str">
        <f t="shared" si="1"/>
        <v>TIDAK ADA</v>
      </c>
      <c r="K9" s="72">
        <v>25.0</v>
      </c>
      <c r="L9" s="53" t="s">
        <v>69</v>
      </c>
      <c r="M9" s="73">
        <v>3000.0</v>
      </c>
      <c r="N9" s="74"/>
      <c r="O9" s="73">
        <v>75000.0</v>
      </c>
      <c r="P9" s="46" t="str">
        <f t="shared" si="2"/>
        <v>Rp3,000-25 PCS-0.00%</v>
      </c>
      <c r="Q9" s="75">
        <v>45408.0</v>
      </c>
      <c r="R9" s="76"/>
      <c r="S9" s="75">
        <v>45416.0</v>
      </c>
      <c r="T9" s="49"/>
    </row>
    <row r="10">
      <c r="A10" s="69">
        <v>39.0</v>
      </c>
      <c r="B10" s="69" t="s">
        <v>65</v>
      </c>
      <c r="C10" s="70" t="s">
        <v>70</v>
      </c>
      <c r="D10" s="69" t="s">
        <v>77</v>
      </c>
      <c r="E10" s="41" t="str">
        <f>IFERROR(__xludf.DUMMYFUNCTION("vlookup(D10,IMPORTRANGE(""https://docs.google.com/spreadsheets/d/1swGwZOEqYlTEUCJLY-eeJM1911Kvaei5oySBIxdgtNo/edit?pli=1#gid=257618397"",""stock untanna!B:C""),2,false)"),"ID CARD B4 IMPORT")</f>
        <v>ID CARD B4 IMPORT</v>
      </c>
      <c r="F10" s="70" t="s">
        <v>77</v>
      </c>
      <c r="G10" s="71" t="s">
        <v>78</v>
      </c>
      <c r="H10" s="41" t="str">
        <f>IFERROR(__xludf.DUMMYFUNCTION("vlookup($D10,IMPORTRANGE(""https://docs.google.com/spreadsheets/d/1swGwZOEqYlTEUCJLY-eeJM1911Kvaei5oySBIxdgtNo/edit?pli=1#gid=257618397"",""stock untanna!B:F""),5,false)"),"IM")</f>
        <v>IM</v>
      </c>
      <c r="I10" s="42" t="str">
        <f>IFERROR(__xludf.DUMMYFUNCTION("vlookup($D10,IMPORTRANGE(""https://docs.google.com/spreadsheets/d/1swGwZOEqYlTEUCJLY-eeJM1911Kvaei5oySBIxdgtNo/edit?pli=1#gid=257618397"",""stock untanna!B:G""),6,false)"),"")</f>
        <v/>
      </c>
      <c r="J10" s="43" t="str">
        <f t="shared" si="1"/>
        <v>ADA</v>
      </c>
      <c r="K10" s="72">
        <v>500.0</v>
      </c>
      <c r="L10" s="53" t="s">
        <v>69</v>
      </c>
      <c r="M10" s="73">
        <v>575.0</v>
      </c>
      <c r="N10" s="74"/>
      <c r="O10" s="73">
        <v>287500.0</v>
      </c>
      <c r="P10" s="46" t="str">
        <f t="shared" si="2"/>
        <v>Rp575-500 PCS-0.00%</v>
      </c>
      <c r="Q10" s="75">
        <v>45408.0</v>
      </c>
      <c r="R10" s="76"/>
      <c r="S10" s="75">
        <v>45416.0</v>
      </c>
      <c r="T10" s="49"/>
    </row>
    <row r="11">
      <c r="A11" s="69">
        <v>39.0</v>
      </c>
      <c r="B11" s="69" t="s">
        <v>65</v>
      </c>
      <c r="C11" s="70" t="s">
        <v>70</v>
      </c>
      <c r="D11" s="50" t="s">
        <v>79</v>
      </c>
      <c r="E11" s="41" t="str">
        <f>IFERROR(__xludf.DUMMYFUNCTION("vlookup(D11,IMPORTRANGE(""https://docs.google.com/spreadsheets/d/1swGwZOEqYlTEUCJLY-eeJM1911Kvaei5oySBIxdgtNo/edit?pli=1#gid=257618397"",""stock untanna!B:C""),2,false)"),"STUDY BOARD (BK MEWARNAI) JQ-1909")</f>
        <v>STUDY BOARD (BK MEWARNAI) JQ-1909</v>
      </c>
      <c r="F11" s="70" t="s">
        <v>80</v>
      </c>
      <c r="G11" s="71" t="s">
        <v>81</v>
      </c>
      <c r="H11" s="41" t="str">
        <f>IFERROR(__xludf.DUMMYFUNCTION("vlookup($D11,IMPORTRANGE(""https://docs.google.com/spreadsheets/d/1swGwZOEqYlTEUCJLY-eeJM1911Kvaei5oySBIxdgtNo/edit?pli=1#gid=257618397"",""stock untanna!B:F""),5,false)"),"IM")</f>
        <v>IM</v>
      </c>
      <c r="I11" s="42" t="str">
        <f>IFERROR(__xludf.DUMMYFUNCTION("vlookup($D11,IMPORTRANGE(""https://docs.google.com/spreadsheets/d/1swGwZOEqYlTEUCJLY-eeJM1911Kvaei5oySBIxdgtNo/edit?pli=1#gid=257618397"",""stock untanna!B:G""),6,false)"),"JQ-1909")</f>
        <v>JQ-1909</v>
      </c>
      <c r="J11" s="43" t="str">
        <f t="shared" si="1"/>
        <v>ADA</v>
      </c>
      <c r="K11" s="72">
        <v>1.0</v>
      </c>
      <c r="L11" s="53" t="s">
        <v>62</v>
      </c>
      <c r="M11" s="73">
        <v>150000.0</v>
      </c>
      <c r="N11" s="74"/>
      <c r="O11" s="73">
        <v>150000.0</v>
      </c>
      <c r="P11" s="46" t="str">
        <f t="shared" si="2"/>
        <v>Rp150,000-1 LSN-0.00%</v>
      </c>
      <c r="Q11" s="75">
        <v>45408.0</v>
      </c>
      <c r="R11" s="76"/>
      <c r="S11" s="75">
        <v>45416.0</v>
      </c>
      <c r="T11" s="49"/>
    </row>
    <row r="12">
      <c r="A12" s="69">
        <v>39.0</v>
      </c>
      <c r="B12" s="69" t="s">
        <v>65</v>
      </c>
      <c r="C12" s="70" t="s">
        <v>70</v>
      </c>
      <c r="D12" s="69" t="s">
        <v>82</v>
      </c>
      <c r="E12" s="41" t="str">
        <f>IFERROR(__xludf.DUMMYFUNCTION("vlookup(D12,IMPORTRANGE(""https://docs.google.com/spreadsheets/d/1swGwZOEqYlTEUCJLY-eeJM1911Kvaei5oySBIxdgtNo/edit?pli=1#gid=257618397"",""stock untanna!B:C""),2,false)"),"STABILLO BRUSH MARKER PEN WB TF-1050 12W")</f>
        <v>STABILLO BRUSH MARKER PEN WB TF-1050 12W</v>
      </c>
      <c r="F12" s="70" t="s">
        <v>82</v>
      </c>
      <c r="G12" s="78" t="s">
        <v>83</v>
      </c>
      <c r="H12" s="41" t="str">
        <f>IFERROR(__xludf.DUMMYFUNCTION("vlookup($D12,IMPORTRANGE(""https://docs.google.com/spreadsheets/d/1swGwZOEqYlTEUCJLY-eeJM1911Kvaei5oySBIxdgtNo/edit?pli=1#gid=257618397"",""stock untanna!B:F""),5,false)"),"TF")</f>
        <v>TF</v>
      </c>
      <c r="I12" s="42" t="str">
        <f>IFERROR(__xludf.DUMMYFUNCTION("vlookup($D12,IMPORTRANGE(""https://docs.google.com/spreadsheets/d/1swGwZOEqYlTEUCJLY-eeJM1911Kvaei5oySBIxdgtNo/edit?pli=1#gid=257618397"",""stock untanna!B:G""),6,false)"),"TF-1050")</f>
        <v>TF-1050</v>
      </c>
      <c r="J12" s="43" t="str">
        <f t="shared" si="1"/>
        <v>ADA</v>
      </c>
      <c r="K12" s="72">
        <v>12.0</v>
      </c>
      <c r="L12" s="53" t="s">
        <v>84</v>
      </c>
      <c r="M12" s="73">
        <v>15000.0</v>
      </c>
      <c r="N12" s="74"/>
      <c r="O12" s="73">
        <v>180000.0</v>
      </c>
      <c r="P12" s="46" t="str">
        <f t="shared" si="2"/>
        <v>Rp15,000-12 SET-0.00%</v>
      </c>
      <c r="Q12" s="75">
        <v>45408.0</v>
      </c>
      <c r="R12" s="76"/>
      <c r="S12" s="75">
        <v>45416.0</v>
      </c>
      <c r="T12" s="49"/>
    </row>
    <row r="13">
      <c r="A13" s="69">
        <v>793.0</v>
      </c>
      <c r="B13" s="69"/>
      <c r="C13" s="70" t="s">
        <v>85</v>
      </c>
      <c r="D13" s="69" t="s">
        <v>86</v>
      </c>
      <c r="E13" s="41" t="str">
        <f>IFERROR(__xludf.DUMMYFUNCTION("vlookup(D13,IMPORTRANGE(""https://docs.google.com/spreadsheets/d/1swGwZOEqYlTEUCJLY-eeJM1911Kvaei5oySBIxdgtNo/edit?pli=1#gid=257618397"",""stock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13" s="70" t="s">
        <v>86</v>
      </c>
      <c r="G13" s="71" t="s">
        <v>87</v>
      </c>
      <c r="H13" s="41" t="str">
        <f>IFERROR(__xludf.DUMMYFUNCTION("vlookup($D13,IMPORTRANGE(""https://docs.google.com/spreadsheets/d/1swGwZOEqYlTEUCJLY-eeJM1911Kvaei5oySBIxdgtNo/edit?pli=1#gid=257618397"",""stock untanna!B:F""),5,false)"),"IM")</f>
        <v>IM</v>
      </c>
      <c r="I13" s="42" t="str">
        <f>IFERROR(__xludf.DUMMYFUNCTION("vlookup($D13,IMPORTRANGE(""https://docs.google.com/spreadsheets/d/1swGwZOEqYlTEUCJLY-eeJM1911Kvaei5oySBIxdgtNo/edit?pli=1#gid=257618397"",""stock untanna!B:G""),6,false)"),"GR-088")</f>
        <v>GR-088</v>
      </c>
      <c r="J13" s="43" t="str">
        <f t="shared" si="1"/>
        <v>ADA</v>
      </c>
      <c r="K13" s="72">
        <v>24.0</v>
      </c>
      <c r="L13" s="53" t="s">
        <v>88</v>
      </c>
      <c r="M13" s="73">
        <v>84000.0</v>
      </c>
      <c r="N13" s="74"/>
      <c r="O13" s="73">
        <v>2016000.0</v>
      </c>
      <c r="P13" s="46" t="str">
        <f t="shared" si="2"/>
        <v>Rp84,000-24 BOX-0.00%</v>
      </c>
      <c r="Q13" s="75">
        <v>45408.0</v>
      </c>
      <c r="R13" s="76"/>
      <c r="S13" s="75">
        <v>45416.0</v>
      </c>
      <c r="T13" s="49"/>
    </row>
    <row r="14">
      <c r="A14" s="69">
        <v>793.0</v>
      </c>
      <c r="B14" s="69"/>
      <c r="C14" s="70" t="s">
        <v>85</v>
      </c>
      <c r="D14" s="50" t="s">
        <v>89</v>
      </c>
      <c r="E14" s="41" t="str">
        <f>IFERROR(__xludf.DUMMYFUNCTION("vlookup(D14,IMPORTRANGE(""https://docs.google.com/spreadsheets/d/1swGwZOEqYlTEUCJLY-eeJM1911Kvaei5oySBIxdgtNo/edit?pli=1#gid=257618397"",""stock untanna!B:C""),2,false)"),"ISI GEL DTIAN GR-089 (12PCS TABUNG)")</f>
        <v>ISI GEL DTIAN GR-089 (12PCS TABUNG)</v>
      </c>
      <c r="F14" s="70" t="s">
        <v>90</v>
      </c>
      <c r="G14" s="71" t="s">
        <v>91</v>
      </c>
      <c r="H14" s="41" t="str">
        <f>IFERROR(__xludf.DUMMYFUNCTION("vlookup($D14,IMPORTRANGE(""https://docs.google.com/spreadsheets/d/1swGwZOEqYlTEUCJLY-eeJM1911Kvaei5oySBIxdgtNo/edit?pli=1#gid=257618397"",""stock untanna!B:F""),5,false)"),"IM")</f>
        <v>IM</v>
      </c>
      <c r="I14" s="42" t="str">
        <f>IFERROR(__xludf.DUMMYFUNCTION("vlookup($D14,IMPORTRANGE(""https://docs.google.com/spreadsheets/d/1swGwZOEqYlTEUCJLY-eeJM1911Kvaei5oySBIxdgtNo/edit?pli=1#gid=257618397"",""stock untanna!B:G""),6,false)"),"GR 089")</f>
        <v>GR 089</v>
      </c>
      <c r="J14" s="43" t="str">
        <f t="shared" si="1"/>
        <v>ADA</v>
      </c>
      <c r="K14" s="72">
        <v>24.0</v>
      </c>
      <c r="L14" s="53" t="s">
        <v>88</v>
      </c>
      <c r="M14" s="73">
        <v>138000.0</v>
      </c>
      <c r="N14" s="74"/>
      <c r="O14" s="73">
        <v>3312000.0</v>
      </c>
      <c r="P14" s="46" t="str">
        <f t="shared" si="2"/>
        <v>Rp138,000-24 BOX-0.00%</v>
      </c>
      <c r="Q14" s="75">
        <v>45408.0</v>
      </c>
      <c r="R14" s="76"/>
      <c r="S14" s="75">
        <v>45416.0</v>
      </c>
      <c r="T14" s="49"/>
    </row>
    <row r="15">
      <c r="A15" s="69">
        <v>4036.0</v>
      </c>
      <c r="B15" s="69" t="s">
        <v>65</v>
      </c>
      <c r="C15" s="70" t="s">
        <v>92</v>
      </c>
      <c r="D15" s="69" t="s">
        <v>93</v>
      </c>
      <c r="E15" s="41" t="str">
        <f>IFERROR(__xludf.DUMMYFUNCTION("vlookup(D15,IMPORTRANGE(""https://docs.google.com/spreadsheets/d/1swGwZOEqYlTEUCJLY-eeJM1911Kvaei5oySBIxdgtNo/edit?pli=1#gid=257618397"",""stock untanna!B:C""),2,false)"),"CLIPBOARD SQ KAYU KOTAK")</f>
        <v>CLIPBOARD SQ KAYU KOTAK</v>
      </c>
      <c r="F15" s="70" t="s">
        <v>93</v>
      </c>
      <c r="G15" s="71" t="s">
        <v>94</v>
      </c>
      <c r="H15" s="41" t="str">
        <f>IFERROR(__xludf.DUMMYFUNCTION("vlookup($D15,IMPORTRANGE(""https://docs.google.com/spreadsheets/d/1swGwZOEqYlTEUCJLY-eeJM1911Kvaei5oySBIxdgtNo/edit?pli=1#gid=257618397"",""stock untanna!B:F""),5,false)"),"NB")</f>
        <v>NB</v>
      </c>
      <c r="I15" s="42" t="str">
        <f>IFERROR(__xludf.DUMMYFUNCTION("vlookup($D15,IMPORTRANGE(""https://docs.google.com/spreadsheets/d/1swGwZOEqYlTEUCJLY-eeJM1911Kvaei5oySBIxdgtNo/edit?pli=1#gid=257618397"",""stock untanna!B:G""),6,false)"),"SQ")</f>
        <v>SQ</v>
      </c>
      <c r="J15" s="43" t="str">
        <f t="shared" si="1"/>
        <v>ADA</v>
      </c>
      <c r="K15" s="72">
        <v>12.0</v>
      </c>
      <c r="L15" s="53" t="s">
        <v>62</v>
      </c>
      <c r="M15" s="73">
        <v>35000.0</v>
      </c>
      <c r="N15" s="74"/>
      <c r="O15" s="73">
        <v>420000.0</v>
      </c>
      <c r="P15" s="46" t="str">
        <f t="shared" si="2"/>
        <v>Rp35,000-12 LSN-0.00%</v>
      </c>
      <c r="Q15" s="75">
        <v>45408.0</v>
      </c>
      <c r="R15" s="76"/>
      <c r="S15" s="75">
        <v>45416.0</v>
      </c>
      <c r="T15" s="49"/>
    </row>
    <row r="16">
      <c r="A16" s="69">
        <v>4036.0</v>
      </c>
      <c r="B16" s="69" t="s">
        <v>65</v>
      </c>
      <c r="C16" s="70" t="s">
        <v>92</v>
      </c>
      <c r="D16" s="69" t="s">
        <v>95</v>
      </c>
      <c r="E16" s="41" t="str">
        <f>IFERROR(__xludf.DUMMYFUNCTION("vlookup(D16,IMPORTRANGE(""https://docs.google.com/spreadsheets/d/1swGwZOEqYlTEUCJLY-eeJM1911Kvaei5oySBIxdgtNo/edit?pli=1#gid=257618397"",""stock untanna!B:C""),2,false)"),"PENCIL CASE MAGNET 8631 + CALL")</f>
        <v>PENCIL CASE MAGNET 8631 + CALL</v>
      </c>
      <c r="F16" s="70" t="s">
        <v>95</v>
      </c>
      <c r="G16" s="71" t="s">
        <v>96</v>
      </c>
      <c r="H16" s="41" t="str">
        <f>IFERROR(__xludf.DUMMYFUNCTION("vlookup($D16,IMPORTRANGE(""https://docs.google.com/spreadsheets/d/1swGwZOEqYlTEUCJLY-eeJM1911Kvaei5oySBIxdgtNo/edit?pli=1#gid=257618397"",""stock untanna!B:F""),5,false)"),"NB")</f>
        <v>NB</v>
      </c>
      <c r="I16" s="42" t="str">
        <f>IFERROR(__xludf.DUMMYFUNCTION("vlookup($D16,IMPORTRANGE(""https://docs.google.com/spreadsheets/d/1swGwZOEqYlTEUCJLY-eeJM1911Kvaei5oySBIxdgtNo/edit?pli=1#gid=257618397"",""stock untanna!B:G""),6,false)"),"8631")</f>
        <v>8631</v>
      </c>
      <c r="J16" s="43" t="str">
        <f t="shared" si="1"/>
        <v>ADA</v>
      </c>
      <c r="K16" s="72">
        <v>160.0</v>
      </c>
      <c r="L16" s="53" t="s">
        <v>69</v>
      </c>
      <c r="M16" s="73">
        <v>12750.0</v>
      </c>
      <c r="N16" s="74"/>
      <c r="O16" s="73">
        <v>2040000.0</v>
      </c>
      <c r="P16" s="46" t="str">
        <f t="shared" si="2"/>
        <v>Rp12,750-160 PCS-0.00%</v>
      </c>
      <c r="Q16" s="75">
        <v>45408.0</v>
      </c>
      <c r="R16" s="76"/>
      <c r="S16" s="75">
        <v>45416.0</v>
      </c>
      <c r="T16" s="49"/>
    </row>
    <row r="17">
      <c r="A17" s="69">
        <v>4035.0</v>
      </c>
      <c r="B17" s="69" t="s">
        <v>65</v>
      </c>
      <c r="C17" s="70" t="s">
        <v>97</v>
      </c>
      <c r="D17" s="69" t="s">
        <v>98</v>
      </c>
      <c r="E17" s="41" t="str">
        <f>IFERROR(__xludf.DUMMYFUNCTION("vlookup(D17,IMPORTRANGE(""https://docs.google.com/spreadsheets/d/1swGwZOEqYlTEUCJLY-eeJM1911Kvaei5oySBIxdgtNo/edit?pli=1#gid=257618397"",""stock untanna!B:C""),2,false)"),"TALI ID CARD PEONY MERAH")</f>
        <v>TALI ID CARD PEONY MERAH</v>
      </c>
      <c r="F17" s="70" t="s">
        <v>98</v>
      </c>
      <c r="G17" s="71" t="s">
        <v>99</v>
      </c>
      <c r="H17" s="41" t="str">
        <f>IFERROR(__xludf.DUMMYFUNCTION("vlookup($D17,IMPORTRANGE(""https://docs.google.com/spreadsheets/d/1swGwZOEqYlTEUCJLY-eeJM1911Kvaei5oySBIxdgtNo/edit?pli=1#gid=257618397"",""stock untanna!B:F""),5,false)"),"NB")</f>
        <v>NB</v>
      </c>
      <c r="I17" s="42" t="str">
        <f>IFERROR(__xludf.DUMMYFUNCTION("vlookup($D17,IMPORTRANGE(""https://docs.google.com/spreadsheets/d/1swGwZOEqYlTEUCJLY-eeJM1911Kvaei5oySBIxdgtNo/edit?pli=1#gid=257618397"",""stock untanna!B:G""),6,false)"),"")</f>
        <v/>
      </c>
      <c r="J17" s="43" t="str">
        <f t="shared" si="1"/>
        <v>ADA</v>
      </c>
      <c r="K17" s="72">
        <v>10000.0</v>
      </c>
      <c r="L17" s="53" t="s">
        <v>69</v>
      </c>
      <c r="M17" s="73">
        <v>450.0</v>
      </c>
      <c r="N17" s="74"/>
      <c r="O17" s="73">
        <v>4500000.0</v>
      </c>
      <c r="P17" s="46" t="str">
        <f t="shared" si="2"/>
        <v>Rp450-10000 PCS-0.00%</v>
      </c>
      <c r="Q17" s="75">
        <v>45408.0</v>
      </c>
      <c r="R17" s="76"/>
      <c r="S17" s="75">
        <v>45416.0</v>
      </c>
      <c r="T17" s="49" t="s">
        <v>100</v>
      </c>
    </row>
    <row r="18">
      <c r="A18" s="69">
        <v>4035.0</v>
      </c>
      <c r="B18" s="69" t="s">
        <v>65</v>
      </c>
      <c r="C18" s="70" t="s">
        <v>97</v>
      </c>
      <c r="D18" s="69" t="s">
        <v>101</v>
      </c>
      <c r="E18" s="41" t="str">
        <f>IFERROR(__xludf.DUMMYFUNCTION("vlookup(D18,IMPORTRANGE(""https://docs.google.com/spreadsheets/d/1swGwZOEqYlTEUCJLY-eeJM1911Kvaei5oySBIxdgtNo/edit?pli=1#gid=257618397"",""stock untanna!B:C""),2,false)"),"TALI ID CARD PEONY BIRU")</f>
        <v>TALI ID CARD PEONY BIRU</v>
      </c>
      <c r="F18" s="70" t="s">
        <v>101</v>
      </c>
      <c r="G18" s="71" t="s">
        <v>102</v>
      </c>
      <c r="H18" s="41" t="str">
        <f>IFERROR(__xludf.DUMMYFUNCTION("vlookup($D18,IMPORTRANGE(""https://docs.google.com/spreadsheets/d/1swGwZOEqYlTEUCJLY-eeJM1911Kvaei5oySBIxdgtNo/edit?pli=1#gid=257618397"",""stock untanna!B:F""),5,false)"),"NB")</f>
        <v>NB</v>
      </c>
      <c r="I18" s="42" t="str">
        <f>IFERROR(__xludf.DUMMYFUNCTION("vlookup($D18,IMPORTRANGE(""https://docs.google.com/spreadsheets/d/1swGwZOEqYlTEUCJLY-eeJM1911Kvaei5oySBIxdgtNo/edit?pli=1#gid=257618397"",""stock untanna!B:G""),6,false)"),"")</f>
        <v/>
      </c>
      <c r="J18" s="43" t="str">
        <f t="shared" si="1"/>
        <v>ADA</v>
      </c>
      <c r="K18" s="72">
        <v>5000.0</v>
      </c>
      <c r="L18" s="53" t="s">
        <v>69</v>
      </c>
      <c r="M18" s="73">
        <v>450.0</v>
      </c>
      <c r="N18" s="74"/>
      <c r="O18" s="73">
        <v>2250000.0</v>
      </c>
      <c r="P18" s="46" t="str">
        <f t="shared" si="2"/>
        <v>Rp450-5000 PCS-0.00%</v>
      </c>
      <c r="Q18" s="75">
        <v>45408.0</v>
      </c>
      <c r="R18" s="76"/>
      <c r="S18" s="75">
        <v>45416.0</v>
      </c>
      <c r="T18" s="49" t="s">
        <v>100</v>
      </c>
    </row>
    <row r="19">
      <c r="A19" s="69">
        <v>4351.0</v>
      </c>
      <c r="B19" s="69" t="s">
        <v>58</v>
      </c>
      <c r="C19" s="70" t="s">
        <v>103</v>
      </c>
      <c r="D19" s="69" t="s">
        <v>104</v>
      </c>
      <c r="E19" s="41" t="str">
        <f>IFERROR(__xludf.DUMMYFUNCTION("vlookup(D19,IMPORTRANGE(""https://docs.google.com/spreadsheets/d/1swGwZOEqYlTEUCJLY-eeJM1911Kvaei5oySBIxdgtNo/edit?pli=1#gid=257618397"",""stock untanna!B:C""),2,false)"),"PENCIL CASE 588-157 MAGNET")</f>
        <v>PENCIL CASE 588-157 MAGNET</v>
      </c>
      <c r="F19" s="70" t="s">
        <v>104</v>
      </c>
      <c r="G19" s="71" t="s">
        <v>105</v>
      </c>
      <c r="H19" s="41" t="str">
        <f>IFERROR(__xludf.DUMMYFUNCTION("vlookup($D19,IMPORTRANGE(""https://docs.google.com/spreadsheets/d/1swGwZOEqYlTEUCJLY-eeJM1911Kvaei5oySBIxdgtNo/edit?pli=1#gid=257618397"",""stock untanna!B:F""),5,false)"),"IM")</f>
        <v>IM</v>
      </c>
      <c r="I19" s="42" t="str">
        <f>IFERROR(__xludf.DUMMYFUNCTION("vlookup($D19,IMPORTRANGE(""https://docs.google.com/spreadsheets/d/1swGwZOEqYlTEUCJLY-eeJM1911Kvaei5oySBIxdgtNo/edit?pli=1#gid=257618397"",""stock untanna!B:G""),6,false)"),"")</f>
        <v/>
      </c>
      <c r="J19" s="43" t="str">
        <f t="shared" si="1"/>
        <v>ADA</v>
      </c>
      <c r="K19" s="72">
        <v>120.0</v>
      </c>
      <c r="L19" s="53" t="s">
        <v>69</v>
      </c>
      <c r="M19" s="73">
        <v>14167.0</v>
      </c>
      <c r="N19" s="74"/>
      <c r="O19" s="73">
        <v>1700040.0</v>
      </c>
      <c r="P19" s="46" t="str">
        <f t="shared" si="2"/>
        <v>Rp14,167-120 PCS-0.00%</v>
      </c>
      <c r="Q19" s="75">
        <v>45408.0</v>
      </c>
      <c r="R19" s="76"/>
      <c r="S19" s="75">
        <v>45416.0</v>
      </c>
      <c r="T19" s="49"/>
    </row>
    <row r="20">
      <c r="A20" s="69">
        <v>4351.0</v>
      </c>
      <c r="B20" s="69" t="s">
        <v>58</v>
      </c>
      <c r="C20" s="70" t="s">
        <v>103</v>
      </c>
      <c r="D20" s="69" t="s">
        <v>106</v>
      </c>
      <c r="E20" s="41" t="str">
        <f>IFERROR(__xludf.DUMMYFUNCTION("vlookup(D20,IMPORTRANGE(""https://docs.google.com/spreadsheets/d/1swGwZOEqYlTEUCJLY-eeJM1911Kvaei5oySBIxdgtNo/edit?pli=1#gid=257618397"",""stock untanna!B:C""),2,false)"),"PENSIL CASE QY-2023 MOBIL")</f>
        <v>PENSIL CASE QY-2023 MOBIL</v>
      </c>
      <c r="F20" s="70" t="s">
        <v>106</v>
      </c>
      <c r="G20" s="71" t="s">
        <v>107</v>
      </c>
      <c r="H20" s="41" t="str">
        <f>IFERROR(__xludf.DUMMYFUNCTION("vlookup($D20,IMPORTRANGE(""https://docs.google.com/spreadsheets/d/1swGwZOEqYlTEUCJLY-eeJM1911Kvaei5oySBIxdgtNo/edit?pli=1#gid=257618397"",""stock untanna!B:F""),5,false)"),"IM")</f>
        <v>IM</v>
      </c>
      <c r="I20" s="42" t="str">
        <f>IFERROR(__xludf.DUMMYFUNCTION("vlookup($D20,IMPORTRANGE(""https://docs.google.com/spreadsheets/d/1swGwZOEqYlTEUCJLY-eeJM1911Kvaei5oySBIxdgtNo/edit?pli=1#gid=257618397"",""stock untanna!B:G""),6,false)"),"")</f>
        <v/>
      </c>
      <c r="J20" s="43" t="str">
        <f t="shared" si="1"/>
        <v>ADA</v>
      </c>
      <c r="K20" s="72">
        <v>144.0</v>
      </c>
      <c r="L20" s="53" t="s">
        <v>69</v>
      </c>
      <c r="M20" s="73">
        <v>10625.0</v>
      </c>
      <c r="N20" s="74"/>
      <c r="O20" s="73">
        <v>1530000.0</v>
      </c>
      <c r="P20" s="46" t="str">
        <f t="shared" si="2"/>
        <v>Rp10,625-144 PCS-0.00%</v>
      </c>
      <c r="Q20" s="75">
        <v>45408.0</v>
      </c>
      <c r="R20" s="76"/>
      <c r="S20" s="75">
        <v>45416.0</v>
      </c>
      <c r="T20" s="49"/>
    </row>
    <row r="21">
      <c r="A21" s="69">
        <v>4351.0</v>
      </c>
      <c r="B21" s="69" t="s">
        <v>58</v>
      </c>
      <c r="C21" s="70" t="s">
        <v>103</v>
      </c>
      <c r="D21" s="69" t="s">
        <v>108</v>
      </c>
      <c r="E21" s="41" t="str">
        <f>IFERROR(__xludf.DUMMYFUNCTION("vlookup(D21,IMPORTRANGE(""https://docs.google.com/spreadsheets/d/1swGwZOEqYlTEUCJLY-eeJM1911Kvaei5oySBIxdgtNo/edit?pli=1#gid=257618397"",""stock untanna!B:C""),2,false)"),"PENCIL CASE KALENG BH-20232")</f>
        <v>PENCIL CASE KALENG BH-20232</v>
      </c>
      <c r="F21" s="70" t="s">
        <v>108</v>
      </c>
      <c r="G21" s="71" t="s">
        <v>109</v>
      </c>
      <c r="H21" s="41" t="str">
        <f>IFERROR(__xludf.DUMMYFUNCTION("vlookup($D21,IMPORTRANGE(""https://docs.google.com/spreadsheets/d/1swGwZOEqYlTEUCJLY-eeJM1911Kvaei5oySBIxdgtNo/edit?pli=1#gid=257618397"",""stock untanna!B:F""),5,false)"),"IM")</f>
        <v>IM</v>
      </c>
      <c r="I21" s="42" t="str">
        <f>IFERROR(__xludf.DUMMYFUNCTION("vlookup($D21,IMPORTRANGE(""https://docs.google.com/spreadsheets/d/1swGwZOEqYlTEUCJLY-eeJM1911Kvaei5oySBIxdgtNo/edit?pli=1#gid=257618397"",""stock untanna!B:G""),6,false)"),"BH-20232")</f>
        <v>BH-20232</v>
      </c>
      <c r="J21" s="43" t="str">
        <f t="shared" si="1"/>
        <v>ADA</v>
      </c>
      <c r="K21" s="72">
        <v>144.0</v>
      </c>
      <c r="L21" s="53" t="s">
        <v>69</v>
      </c>
      <c r="M21" s="73">
        <v>7792.0</v>
      </c>
      <c r="N21" s="74"/>
      <c r="O21" s="73">
        <v>1122048.0</v>
      </c>
      <c r="P21" s="46" t="str">
        <f t="shared" si="2"/>
        <v>Rp7,792-144 PCS-0.00%</v>
      </c>
      <c r="Q21" s="75">
        <v>45408.0</v>
      </c>
      <c r="R21" s="76"/>
      <c r="S21" s="75">
        <v>45416.0</v>
      </c>
      <c r="T21" s="49"/>
    </row>
    <row r="22">
      <c r="A22" s="69">
        <v>4198.0</v>
      </c>
      <c r="B22" s="69" t="s">
        <v>58</v>
      </c>
      <c r="C22" s="70" t="s">
        <v>110</v>
      </c>
      <c r="D22" s="69"/>
      <c r="E22" s="41" t="s">
        <v>111</v>
      </c>
      <c r="F22" s="70"/>
      <c r="G22" s="71" t="s">
        <v>111</v>
      </c>
      <c r="H22" s="41" t="str">
        <f>IFERROR(__xludf.DUMMYFUNCTION("vlookup($D22,IMPORTRANGE(""https://docs.google.com/spreadsheets/d/1swGwZOEqYlTEUCJLY-eeJM1911Kvaei5oySBIxdgtNo/edit?pli=1#gid=257618397"",""stock untanna!B:F""),5,false)"),"#N/A")</f>
        <v>#N/A</v>
      </c>
      <c r="I22" s="42" t="str">
        <f>IFERROR(__xludf.DUMMYFUNCTION("vlookup($D22,IMPORTRANGE(""https://docs.google.com/spreadsheets/d/1swGwZOEqYlTEUCJLY-eeJM1911Kvaei5oySBIxdgtNo/edit?pli=1#gid=257618397"",""stock untanna!B:G""),6,false)"),"#N/A")</f>
        <v>#N/A</v>
      </c>
      <c r="J22" s="43" t="str">
        <f t="shared" si="1"/>
        <v>TIDAK ADA</v>
      </c>
      <c r="K22" s="72">
        <v>1000.0</v>
      </c>
      <c r="L22" s="53" t="s">
        <v>69</v>
      </c>
      <c r="M22" s="73">
        <v>1750.0</v>
      </c>
      <c r="N22" s="74"/>
      <c r="O22" s="73">
        <v>1750000.0</v>
      </c>
      <c r="P22" s="46" t="str">
        <f t="shared" si="2"/>
        <v>Rp1,750-1000 PCS-0.00%</v>
      </c>
      <c r="Q22" s="75">
        <v>45408.0</v>
      </c>
      <c r="R22" s="76"/>
      <c r="S22" s="75">
        <v>45416.0</v>
      </c>
      <c r="T22" s="49"/>
    </row>
    <row r="23">
      <c r="A23" s="69">
        <v>4037.0</v>
      </c>
      <c r="B23" s="69" t="s">
        <v>65</v>
      </c>
      <c r="C23" s="70" t="s">
        <v>112</v>
      </c>
      <c r="D23" s="69" t="s">
        <v>31</v>
      </c>
      <c r="E23" s="41" t="str">
        <f>IFERROR(__xludf.DUMMYFUNCTION("vlookup(D23,IMPORTRANGE(""https://docs.google.com/spreadsheets/d/1swGwZOEqYlTEUCJLY-eeJM1911Kvaei5oySBIxdgtNo/edit?pli=1#gid=257618397"",""stock untanna!B:C""),2,false)"),"ISI STAPLER 13/8 JOSS")</f>
        <v>ISI STAPLER 13/8 JOSS</v>
      </c>
      <c r="F23" s="70" t="s">
        <v>31</v>
      </c>
      <c r="G23" s="71" t="s">
        <v>113</v>
      </c>
      <c r="H23" s="41" t="str">
        <f>IFERROR(__xludf.DUMMYFUNCTION("vlookup($D23,IMPORTRANGE(""https://docs.google.com/spreadsheets/d/1swGwZOEqYlTEUCJLY-eeJM1911Kvaei5oySBIxdgtNo/edit?pli=1#gid=257618397"",""stock untanna!B:F""),5,false)"),"IM")</f>
        <v>IM</v>
      </c>
      <c r="I23" s="42" t="str">
        <f>IFERROR(__xludf.DUMMYFUNCTION("vlookup($D23,IMPORTRANGE(""https://docs.google.com/spreadsheets/d/1swGwZOEqYlTEUCJLY-eeJM1911Kvaei5oySBIxdgtNo/edit?pli=1#gid=257618397"",""stock untanna!B:G""),6,false)"),"13/8")</f>
        <v>13/8</v>
      </c>
      <c r="J23" s="43" t="str">
        <f t="shared" si="1"/>
        <v>ADA</v>
      </c>
      <c r="K23" s="72">
        <v>200.0</v>
      </c>
      <c r="L23" s="53" t="s">
        <v>114</v>
      </c>
      <c r="M23" s="73">
        <v>18500.0</v>
      </c>
      <c r="N23" s="74"/>
      <c r="O23" s="73">
        <v>3700000.0</v>
      </c>
      <c r="P23" s="46" t="str">
        <f t="shared" si="2"/>
        <v>Rp18,500-200 PAK-0.00%</v>
      </c>
      <c r="Q23" s="75">
        <v>45408.0</v>
      </c>
      <c r="R23" s="76"/>
      <c r="S23" s="75">
        <v>45416.0</v>
      </c>
      <c r="T23" s="49"/>
    </row>
    <row r="24">
      <c r="A24" s="69">
        <v>4313.0</v>
      </c>
      <c r="B24" s="69" t="s">
        <v>29</v>
      </c>
      <c r="C24" s="79" t="s">
        <v>115</v>
      </c>
      <c r="D24" s="69" t="s">
        <v>116</v>
      </c>
      <c r="E24" s="41" t="str">
        <f>IFERROR(__xludf.DUMMYFUNCTION("vlookup(D24,IMPORTRANGE(""https://docs.google.com/spreadsheets/d/1swGwZOEqYlTEUCJLY-eeJM1911Kvaei5oySBIxdgtNo/edit?pli=1#gid=257618397"",""stock untanna!B:C""),2,false)"),"STIP W/B CLEAR B")</f>
        <v>STIP W/B CLEAR B</v>
      </c>
      <c r="F24" s="70" t="s">
        <v>116</v>
      </c>
      <c r="G24" s="71" t="s">
        <v>117</v>
      </c>
      <c r="H24" s="41" t="str">
        <f>IFERROR(__xludf.DUMMYFUNCTION("vlookup($D24,IMPORTRANGE(""https://docs.google.com/spreadsheets/d/1swGwZOEqYlTEUCJLY-eeJM1911Kvaei5oySBIxdgtNo/edit?pli=1#gid=257618397"",""stock untanna!B:F""),5,false)"),"NB")</f>
        <v>NB</v>
      </c>
      <c r="I24" s="42" t="str">
        <f>IFERROR(__xludf.DUMMYFUNCTION("vlookup($D24,IMPORTRANGE(""https://docs.google.com/spreadsheets/d/1swGwZOEqYlTEUCJLY-eeJM1911Kvaei5oySBIxdgtNo/edit?pli=1#gid=257618397"",""stock untanna!B:G""),6,false)"),"")</f>
        <v/>
      </c>
      <c r="J24" s="43" t="str">
        <f t="shared" si="1"/>
        <v>ADA</v>
      </c>
      <c r="K24" s="72">
        <v>10.0</v>
      </c>
      <c r="L24" s="53" t="s">
        <v>62</v>
      </c>
      <c r="M24" s="73">
        <v>42000.0</v>
      </c>
      <c r="N24" s="74"/>
      <c r="O24" s="73">
        <v>420000.0</v>
      </c>
      <c r="P24" s="46" t="str">
        <f t="shared" si="2"/>
        <v>Rp42,000-10 LSN-0.00%</v>
      </c>
      <c r="Q24" s="75">
        <v>45408.0</v>
      </c>
      <c r="R24" s="76"/>
      <c r="S24" s="75">
        <v>45416.0</v>
      </c>
      <c r="T24" s="49"/>
    </row>
    <row r="25">
      <c r="A25" s="69">
        <v>4313.0</v>
      </c>
      <c r="B25" s="69" t="s">
        <v>29</v>
      </c>
      <c r="C25" s="79" t="s">
        <v>115</v>
      </c>
      <c r="D25" s="69" t="s">
        <v>118</v>
      </c>
      <c r="E25" s="41" t="str">
        <f>IFERROR(__xludf.DUMMYFUNCTION("vlookup(D25,IMPORTRANGE(""https://docs.google.com/spreadsheets/d/1swGwZOEqYlTEUCJLY-eeJM1911Kvaei5oySBIxdgtNo/edit?pli=1#gid=257618397"",""stock untanna!B:C""),2,false)"),"TIPEX KERTAS NO.9443")</f>
        <v>TIPEX KERTAS NO.9443</v>
      </c>
      <c r="F25" s="70" t="s">
        <v>118</v>
      </c>
      <c r="G25" s="71" t="s">
        <v>119</v>
      </c>
      <c r="H25" s="41" t="str">
        <f>IFERROR(__xludf.DUMMYFUNCTION("vlookup($D25,IMPORTRANGE(""https://docs.google.com/spreadsheets/d/1swGwZOEqYlTEUCJLY-eeJM1911Kvaei5oySBIxdgtNo/edit?pli=1#gid=257618397"",""stock untanna!B:F""),5,false)"),"IM")</f>
        <v>IM</v>
      </c>
      <c r="I25" s="42" t="str">
        <f>IFERROR(__xludf.DUMMYFUNCTION("vlookup($D25,IMPORTRANGE(""https://docs.google.com/spreadsheets/d/1swGwZOEqYlTEUCJLY-eeJM1911Kvaei5oySBIxdgtNo/edit?pli=1#gid=257618397"",""stock untanna!B:G""),6,false)"),"9443")</f>
        <v>9443</v>
      </c>
      <c r="J25" s="43" t="str">
        <f t="shared" si="1"/>
        <v>ADA</v>
      </c>
      <c r="K25" s="72">
        <v>5.0</v>
      </c>
      <c r="L25" s="53" t="s">
        <v>62</v>
      </c>
      <c r="M25" s="73">
        <v>45000.0</v>
      </c>
      <c r="N25" s="74"/>
      <c r="O25" s="73">
        <v>225000.0</v>
      </c>
      <c r="P25" s="46" t="str">
        <f t="shared" si="2"/>
        <v>Rp45,000-5 LSN-0.00%</v>
      </c>
      <c r="Q25" s="75">
        <v>45408.0</v>
      </c>
      <c r="R25" s="76"/>
      <c r="S25" s="75">
        <v>45416.0</v>
      </c>
      <c r="T25" s="49"/>
    </row>
    <row r="26">
      <c r="A26" s="69">
        <v>4038.0</v>
      </c>
      <c r="B26" s="69" t="s">
        <v>65</v>
      </c>
      <c r="C26" s="70" t="s">
        <v>120</v>
      </c>
      <c r="D26" s="69" t="s">
        <v>121</v>
      </c>
      <c r="E26" s="41" t="str">
        <f>IFERROR(__xludf.DUMMYFUNCTION("vlookup(D26,IMPORTRANGE(""https://docs.google.com/spreadsheets/d/1swGwZOEqYlTEUCJLY-eeJM1911Kvaei5oySBIxdgtNo/edit?pli=1#gid=257618397"",""stock untanna!B:C""),2,false)"),"LEM BAKAR STIK 7X30 WOMY PUTIH K")</f>
        <v>LEM BAKAR STIK 7X30 WOMY PUTIH K</v>
      </c>
      <c r="F26" s="70" t="s">
        <v>121</v>
      </c>
      <c r="G26" s="71" t="s">
        <v>122</v>
      </c>
      <c r="H26" s="41" t="str">
        <f>IFERROR(__xludf.DUMMYFUNCTION("vlookup($D26,IMPORTRANGE(""https://docs.google.com/spreadsheets/d/1swGwZOEqYlTEUCJLY-eeJM1911Kvaei5oySBIxdgtNo/edit?pli=1#gid=257618397"",""stock untanna!B:F""),5,false)"),"WM")</f>
        <v>WM</v>
      </c>
      <c r="I26" s="42" t="str">
        <f>IFERROR(__xludf.DUMMYFUNCTION("vlookup($D26,IMPORTRANGE(""https://docs.google.com/spreadsheets/d/1swGwZOEqYlTEUCJLY-eeJM1911Kvaei5oySBIxdgtNo/edit?pli=1#gid=257618397"",""stock untanna!B:G""),6,false)"),"")</f>
        <v/>
      </c>
      <c r="J26" s="43" t="str">
        <f t="shared" si="1"/>
        <v>ADA</v>
      </c>
      <c r="K26" s="72">
        <v>10.0</v>
      </c>
      <c r="L26" s="53" t="s">
        <v>114</v>
      </c>
      <c r="M26" s="73">
        <v>50000.0</v>
      </c>
      <c r="N26" s="74"/>
      <c r="O26" s="73">
        <v>500000.0</v>
      </c>
      <c r="P26" s="46" t="str">
        <f t="shared" si="2"/>
        <v>Rp50,000-10 PAK-0.00%</v>
      </c>
      <c r="Q26" s="75">
        <v>45408.0</v>
      </c>
      <c r="R26" s="76"/>
      <c r="S26" s="75">
        <v>45416.0</v>
      </c>
      <c r="T26" s="49"/>
    </row>
    <row r="27">
      <c r="A27" s="69">
        <v>4038.0</v>
      </c>
      <c r="B27" s="69" t="s">
        <v>65</v>
      </c>
      <c r="C27" s="70" t="s">
        <v>120</v>
      </c>
      <c r="D27" s="69" t="s">
        <v>123</v>
      </c>
      <c r="E27" s="41" t="str">
        <f>IFERROR(__xludf.DUMMYFUNCTION("vlookup(D27,IMPORTRANGE(""https://docs.google.com/spreadsheets/d/1swGwZOEqYlTEUCJLY-eeJM1911Kvaei5oySBIxdgtNo/edit?pli=1#gid=257618397"",""stock untanna!B:C""),2,false)"),"LEM BAKAR STIK 11X29 WOMY PUTIH B")</f>
        <v>LEM BAKAR STIK 11X29 WOMY PUTIH B</v>
      </c>
      <c r="F27" s="70" t="s">
        <v>123</v>
      </c>
      <c r="G27" s="71" t="s">
        <v>124</v>
      </c>
      <c r="H27" s="41" t="str">
        <f>IFERROR(__xludf.DUMMYFUNCTION("vlookup($D27,IMPORTRANGE(""https://docs.google.com/spreadsheets/d/1swGwZOEqYlTEUCJLY-eeJM1911Kvaei5oySBIxdgtNo/edit?pli=1#gid=257618397"",""stock untanna!B:F""),5,false)"),"WM")</f>
        <v>WM</v>
      </c>
      <c r="I27" s="42" t="str">
        <f>IFERROR(__xludf.DUMMYFUNCTION("vlookup($D27,IMPORTRANGE(""https://docs.google.com/spreadsheets/d/1swGwZOEqYlTEUCJLY-eeJM1911Kvaei5oySBIxdgtNo/edit?pli=1#gid=257618397"",""stock untanna!B:G""),6,false)"),"")</f>
        <v/>
      </c>
      <c r="J27" s="43" t="str">
        <f t="shared" si="1"/>
        <v>ADA</v>
      </c>
      <c r="K27" s="72">
        <v>3.0</v>
      </c>
      <c r="L27" s="53" t="s">
        <v>114</v>
      </c>
      <c r="M27" s="73">
        <v>50000.0</v>
      </c>
      <c r="N27" s="74"/>
      <c r="O27" s="73">
        <v>150000.0</v>
      </c>
      <c r="P27" s="46" t="str">
        <f t="shared" si="2"/>
        <v>Rp50,000-3 PAK-0.00%</v>
      </c>
      <c r="Q27" s="75">
        <v>45408.0</v>
      </c>
      <c r="R27" s="76"/>
      <c r="S27" s="75">
        <v>45416.0</v>
      </c>
      <c r="T27" s="49"/>
    </row>
    <row r="28">
      <c r="A28" s="69">
        <v>4038.0</v>
      </c>
      <c r="B28" s="69" t="s">
        <v>65</v>
      </c>
      <c r="C28" s="70" t="s">
        <v>120</v>
      </c>
      <c r="D28" s="69" t="s">
        <v>125</v>
      </c>
      <c r="E28" s="41" t="str">
        <f>IFERROR(__xludf.DUMMYFUNCTION("vlookup(D28,IMPORTRANGE(""https://docs.google.com/spreadsheets/d/1swGwZOEqYlTEUCJLY-eeJM1911Kvaei5oySBIxdgtNo/edit?pli=1#gid=257618397"",""stock untanna!B:C""),2,false)"),"GARISAN BESI V-TRO 30CM")</f>
        <v>GARISAN BESI V-TRO 30CM</v>
      </c>
      <c r="F28" s="70" t="s">
        <v>125</v>
      </c>
      <c r="G28" s="71" t="s">
        <v>126</v>
      </c>
      <c r="H28" s="41" t="str">
        <f>IFERROR(__xludf.DUMMYFUNCTION("vlookup($D28,IMPORTRANGE(""https://docs.google.com/spreadsheets/d/1swGwZOEqYlTEUCJLY-eeJM1911Kvaei5oySBIxdgtNo/edit?pli=1#gid=257618397"",""stock untanna!B:F""),5,false)"),"VO")</f>
        <v>VO</v>
      </c>
      <c r="I28" s="42" t="str">
        <f>IFERROR(__xludf.DUMMYFUNCTION("vlookup($D28,IMPORTRANGE(""https://docs.google.com/spreadsheets/d/1swGwZOEqYlTEUCJLY-eeJM1911Kvaei5oySBIxdgtNo/edit?pli=1#gid=257618397"",""stock untanna!B:G""),6,false)"),"")</f>
        <v/>
      </c>
      <c r="J28" s="43" t="str">
        <f t="shared" si="1"/>
        <v>ADA</v>
      </c>
      <c r="K28" s="72">
        <v>15.0</v>
      </c>
      <c r="L28" s="53" t="s">
        <v>62</v>
      </c>
      <c r="M28" s="73">
        <v>17000.0</v>
      </c>
      <c r="N28" s="74"/>
      <c r="O28" s="73">
        <v>255000.0</v>
      </c>
      <c r="P28" s="46" t="str">
        <f t="shared" si="2"/>
        <v>Rp17,000-15 LSN-0.00%</v>
      </c>
      <c r="Q28" s="75">
        <v>45408.0</v>
      </c>
      <c r="R28" s="76"/>
      <c r="S28" s="75">
        <v>45416.0</v>
      </c>
      <c r="T28" s="49"/>
    </row>
    <row r="29">
      <c r="A29" s="69">
        <v>4038.0</v>
      </c>
      <c r="B29" s="69" t="s">
        <v>65</v>
      </c>
      <c r="C29" s="70" t="s">
        <v>120</v>
      </c>
      <c r="D29" s="69" t="s">
        <v>127</v>
      </c>
      <c r="E29" s="41" t="str">
        <f>IFERROR(__xludf.DUMMYFUNCTION("vlookup(D29,IMPORTRANGE(""https://docs.google.com/spreadsheets/d/1swGwZOEqYlTEUCJLY-eeJM1911Kvaei5oySBIxdgtNo/edit?pli=1#gid=257618397"",""stock untanna!B:C""),2,false)"),"JANGKA A5 3328 FANCY")</f>
        <v>JANGKA A5 3328 FANCY</v>
      </c>
      <c r="F29" s="70" t="s">
        <v>127</v>
      </c>
      <c r="G29" s="71" t="s">
        <v>128</v>
      </c>
      <c r="H29" s="41" t="str">
        <f>IFERROR(__xludf.DUMMYFUNCTION("vlookup($D29,IMPORTRANGE(""https://docs.google.com/spreadsheets/d/1swGwZOEqYlTEUCJLY-eeJM1911Kvaei5oySBIxdgtNo/edit?pli=1#gid=257618397"",""stock untanna!B:F""),5,false)"),"NB")</f>
        <v>NB</v>
      </c>
      <c r="I29" s="42" t="str">
        <f>IFERROR(__xludf.DUMMYFUNCTION("vlookup($D29,IMPORTRANGE(""https://docs.google.com/spreadsheets/d/1swGwZOEqYlTEUCJLY-eeJM1911Kvaei5oySBIxdgtNo/edit?pli=1#gid=257618397"",""stock untanna!B:G""),6,false)"),"3328")</f>
        <v>3328</v>
      </c>
      <c r="J29" s="43" t="str">
        <f t="shared" si="1"/>
        <v>ADA</v>
      </c>
      <c r="K29" s="72">
        <v>2.0</v>
      </c>
      <c r="L29" s="53" t="s">
        <v>62</v>
      </c>
      <c r="M29" s="73">
        <v>60000.0</v>
      </c>
      <c r="N29" s="74"/>
      <c r="O29" s="73">
        <v>120000.0</v>
      </c>
      <c r="P29" s="46" t="str">
        <f t="shared" si="2"/>
        <v>Rp60,000-2 LSN-0.00%</v>
      </c>
      <c r="Q29" s="75">
        <v>45408.0</v>
      </c>
      <c r="R29" s="76"/>
      <c r="S29" s="75">
        <v>45416.0</v>
      </c>
      <c r="T29" s="49"/>
    </row>
    <row r="30">
      <c r="A30" s="69">
        <v>4038.0</v>
      </c>
      <c r="B30" s="69" t="s">
        <v>65</v>
      </c>
      <c r="C30" s="70" t="s">
        <v>120</v>
      </c>
      <c r="D30" s="69" t="s">
        <v>129</v>
      </c>
      <c r="E30" s="41" t="str">
        <f>IFERROR(__xludf.DUMMYFUNCTION("vlookup(D30,IMPORTRANGE(""https://docs.google.com/spreadsheets/d/1swGwZOEqYlTEUCJLY-eeJM1911Kvaei5oySBIxdgtNo/edit?pli=1#gid=257618397"",""stock untanna!B:C""),2,false)"),"PENSIL TF 688")</f>
        <v>PENSIL TF 688</v>
      </c>
      <c r="F30" s="70" t="s">
        <v>129</v>
      </c>
      <c r="G30" s="71" t="s">
        <v>130</v>
      </c>
      <c r="H30" s="41" t="str">
        <f>IFERROR(__xludf.DUMMYFUNCTION("vlookup($D30,IMPORTRANGE(""https://docs.google.com/spreadsheets/d/1swGwZOEqYlTEUCJLY-eeJM1911Kvaei5oySBIxdgtNo/edit?pli=1#gid=257618397"",""stock untanna!B:F""),5,false)"),"TF")</f>
        <v>TF</v>
      </c>
      <c r="I30" s="42" t="str">
        <f>IFERROR(__xludf.DUMMYFUNCTION("vlookup($D30,IMPORTRANGE(""https://docs.google.com/spreadsheets/d/1swGwZOEqYlTEUCJLY-eeJM1911Kvaei5oySBIxdgtNo/edit?pli=1#gid=257618397"",""stock untanna!B:G""),6,false)"),"")</f>
        <v/>
      </c>
      <c r="J30" s="43" t="str">
        <f t="shared" si="1"/>
        <v>ADA</v>
      </c>
      <c r="K30" s="72">
        <v>1.0</v>
      </c>
      <c r="L30" s="53" t="s">
        <v>131</v>
      </c>
      <c r="M30" s="73">
        <v>100000.0</v>
      </c>
      <c r="N30" s="74"/>
      <c r="O30" s="73">
        <v>100000.0</v>
      </c>
      <c r="P30" s="46" t="str">
        <f t="shared" si="2"/>
        <v>Rp100,000-1 GRS-0.00%</v>
      </c>
      <c r="Q30" s="75">
        <v>45408.0</v>
      </c>
      <c r="R30" s="76"/>
      <c r="S30" s="75">
        <v>45416.0</v>
      </c>
      <c r="T30" s="49"/>
    </row>
    <row r="31">
      <c r="A31" s="69">
        <v>4038.0</v>
      </c>
      <c r="B31" s="69" t="s">
        <v>65</v>
      </c>
      <c r="C31" s="70" t="s">
        <v>120</v>
      </c>
      <c r="D31" s="69" t="s">
        <v>132</v>
      </c>
      <c r="E31" s="41" t="str">
        <f>IFERROR(__xludf.DUMMYFUNCTION("vlookup(D31,IMPORTRANGE(""https://docs.google.com/spreadsheets/d/1swGwZOEqYlTEUCJLY-eeJM1911Kvaei5oySBIxdgtNo/edit?pli=1#gid=257618397"",""stock untanna!B:C""),2,false)"),"PENSIL TF 488")</f>
        <v>PENSIL TF 488</v>
      </c>
      <c r="F31" s="70" t="s">
        <v>132</v>
      </c>
      <c r="G31" s="71" t="s">
        <v>133</v>
      </c>
      <c r="H31" s="41" t="str">
        <f>IFERROR(__xludf.DUMMYFUNCTION("vlookup($D31,IMPORTRANGE(""https://docs.google.com/spreadsheets/d/1swGwZOEqYlTEUCJLY-eeJM1911Kvaei5oySBIxdgtNo/edit?pli=1#gid=257618397"",""stock untanna!B:F""),5,false)"),"TF")</f>
        <v>TF</v>
      </c>
      <c r="I31" s="42" t="str">
        <f>IFERROR(__xludf.DUMMYFUNCTION("vlookup($D31,IMPORTRANGE(""https://docs.google.com/spreadsheets/d/1swGwZOEqYlTEUCJLY-eeJM1911Kvaei5oySBIxdgtNo/edit?pli=1#gid=257618397"",""stock untanna!B:G""),6,false)"),"")</f>
        <v/>
      </c>
      <c r="J31" s="43" t="str">
        <f t="shared" si="1"/>
        <v>ADA</v>
      </c>
      <c r="K31" s="72">
        <v>1.0</v>
      </c>
      <c r="L31" s="53" t="s">
        <v>131</v>
      </c>
      <c r="M31" s="73">
        <v>100000.0</v>
      </c>
      <c r="N31" s="74"/>
      <c r="O31" s="73">
        <v>100000.0</v>
      </c>
      <c r="P31" s="46" t="str">
        <f t="shared" si="2"/>
        <v>Rp100,000-1 GRS-0.00%</v>
      </c>
      <c r="Q31" s="75">
        <v>45408.0</v>
      </c>
      <c r="R31" s="76"/>
      <c r="S31" s="75">
        <v>45416.0</v>
      </c>
      <c r="T31" s="49"/>
    </row>
    <row r="32">
      <c r="A32" s="69">
        <v>4038.0</v>
      </c>
      <c r="B32" s="69" t="s">
        <v>65</v>
      </c>
      <c r="C32" s="70" t="s">
        <v>120</v>
      </c>
      <c r="D32" s="21" t="s">
        <v>134</v>
      </c>
      <c r="E32" s="41" t="s">
        <v>135</v>
      </c>
      <c r="F32" s="70"/>
      <c r="G32" s="71" t="s">
        <v>135</v>
      </c>
      <c r="H32" s="41" t="str">
        <f>IFERROR(__xludf.DUMMYFUNCTION("vlookup($D32,IMPORTRANGE(""https://docs.google.com/spreadsheets/d/1swGwZOEqYlTEUCJLY-eeJM1911Kvaei5oySBIxdgtNo/edit?pli=1#gid=257618397"",""stock untanna!B:F""),5,false)"),"TF")</f>
        <v>TF</v>
      </c>
      <c r="I32" s="42">
        <f>IFERROR(__xludf.DUMMYFUNCTION("vlookup($D32,IMPORTRANGE(""https://docs.google.com/spreadsheets/d/1swGwZOEqYlTEUCJLY-eeJM1911Kvaei5oySBIxdgtNo/edit?pli=1#gid=257618397"",""stock untanna!B:G""),6,false)"),888.0)</f>
        <v>888</v>
      </c>
      <c r="J32" s="43" t="str">
        <f t="shared" si="1"/>
        <v>ADA</v>
      </c>
      <c r="K32" s="72">
        <v>1.0</v>
      </c>
      <c r="L32" s="53" t="s">
        <v>131</v>
      </c>
      <c r="M32" s="73">
        <v>100000.0</v>
      </c>
      <c r="N32" s="74"/>
      <c r="O32" s="73">
        <v>100000.0</v>
      </c>
      <c r="P32" s="46" t="str">
        <f t="shared" si="2"/>
        <v>Rp100,000-1 GRS-0.00%</v>
      </c>
      <c r="Q32" s="75">
        <v>45408.0</v>
      </c>
      <c r="R32" s="76"/>
      <c r="S32" s="75">
        <v>45416.0</v>
      </c>
      <c r="T32" s="80"/>
    </row>
    <row r="33">
      <c r="A33" s="69">
        <v>4038.0</v>
      </c>
      <c r="B33" s="69" t="s">
        <v>65</v>
      </c>
      <c r="C33" s="70" t="s">
        <v>120</v>
      </c>
      <c r="D33" s="21" t="s">
        <v>136</v>
      </c>
      <c r="E33" s="41" t="s">
        <v>137</v>
      </c>
      <c r="F33" s="70"/>
      <c r="G33" s="71" t="s">
        <v>137</v>
      </c>
      <c r="H33" s="41" t="str">
        <f>IFERROR(__xludf.DUMMYFUNCTION("vlookup($D33,IMPORTRANGE(""https://docs.google.com/spreadsheets/d/1swGwZOEqYlTEUCJLY-eeJM1911Kvaei5oySBIxdgtNo/edit?pli=1#gid=257618397"",""stock untanna!B:F""),5,false)"),"TF")</f>
        <v>TF</v>
      </c>
      <c r="I33" s="42">
        <f>IFERROR(__xludf.DUMMYFUNCTION("vlookup($D33,IMPORTRANGE(""https://docs.google.com/spreadsheets/d/1swGwZOEqYlTEUCJLY-eeJM1911Kvaei5oySBIxdgtNo/edit?pli=1#gid=257618397"",""stock untanna!B:G""),6,false)"),168.0)</f>
        <v>168</v>
      </c>
      <c r="J33" s="43" t="str">
        <f t="shared" si="1"/>
        <v>ADA</v>
      </c>
      <c r="K33" s="72">
        <v>1.0</v>
      </c>
      <c r="L33" s="53" t="s">
        <v>131</v>
      </c>
      <c r="M33" s="73">
        <v>100000.0</v>
      </c>
      <c r="N33" s="74"/>
      <c r="O33" s="73">
        <v>100000.0</v>
      </c>
      <c r="P33" s="46" t="str">
        <f t="shared" si="2"/>
        <v>Rp100,000-1 GRS-0.00%</v>
      </c>
      <c r="Q33" s="75">
        <v>45408.0</v>
      </c>
      <c r="R33" s="76"/>
      <c r="S33" s="75">
        <v>45416.0</v>
      </c>
      <c r="T33" s="80"/>
    </row>
    <row r="34">
      <c r="A34" s="69">
        <v>4038.0</v>
      </c>
      <c r="B34" s="69" t="s">
        <v>65</v>
      </c>
      <c r="C34" s="70" t="s">
        <v>120</v>
      </c>
      <c r="D34" s="69" t="s">
        <v>138</v>
      </c>
      <c r="E34" s="41" t="str">
        <f>IFERROR(__xludf.DUMMYFUNCTION("vlookup(D34,IMPORTRANGE(""https://docs.google.com/spreadsheets/d/1swGwZOEqYlTEUCJLY-eeJM1911Kvaei5oySBIxdgtNo/edit?pli=1#gid=257618397"",""stock untanna!B:C""),2,false)"),"GARISAN LIPAT 008 (40) 30 CM FANCY")</f>
        <v>GARISAN LIPAT 008 (40) 30 CM FANCY</v>
      </c>
      <c r="F34" s="70" t="s">
        <v>138</v>
      </c>
      <c r="G34" s="71" t="s">
        <v>139</v>
      </c>
      <c r="H34" s="41" t="str">
        <f>IFERROR(__xludf.DUMMYFUNCTION("vlookup($D34,IMPORTRANGE(""https://docs.google.com/spreadsheets/d/1swGwZOEqYlTEUCJLY-eeJM1911Kvaei5oySBIxdgtNo/edit?pli=1#gid=257618397"",""stock untanna!B:F""),5,false)"),"NB")</f>
        <v>NB</v>
      </c>
      <c r="I34" s="42" t="str">
        <f>IFERROR(__xludf.DUMMYFUNCTION("vlookup($D34,IMPORTRANGE(""https://docs.google.com/spreadsheets/d/1swGwZOEqYlTEUCJLY-eeJM1911Kvaei5oySBIxdgtNo/edit?pli=1#gid=257618397"",""stock untanna!B:G""),6,false)"),"008")</f>
        <v>008</v>
      </c>
      <c r="J34" s="43" t="str">
        <f t="shared" si="1"/>
        <v>ADA</v>
      </c>
      <c r="K34" s="72">
        <v>4.0</v>
      </c>
      <c r="L34" s="53" t="s">
        <v>88</v>
      </c>
      <c r="M34" s="73">
        <v>50000.0</v>
      </c>
      <c r="N34" s="74"/>
      <c r="O34" s="73">
        <v>200000.0</v>
      </c>
      <c r="P34" s="46" t="str">
        <f t="shared" si="2"/>
        <v>Rp50,000-4 BOX-0.00%</v>
      </c>
      <c r="Q34" s="75">
        <v>45408.0</v>
      </c>
      <c r="R34" s="76"/>
      <c r="S34" s="75">
        <v>45416.0</v>
      </c>
      <c r="T34" s="49"/>
    </row>
    <row r="35">
      <c r="A35" s="69">
        <v>4038.0</v>
      </c>
      <c r="B35" s="69" t="s">
        <v>65</v>
      </c>
      <c r="C35" s="70" t="s">
        <v>120</v>
      </c>
      <c r="D35" s="50" t="s">
        <v>140</v>
      </c>
      <c r="E35" s="41" t="str">
        <f>IFERROR(__xludf.DUMMYFUNCTION("vlookup(D35,IMPORTRANGE(""https://docs.google.com/spreadsheets/d/1swGwZOEqYlTEUCJLY-eeJM1911Kvaei5oySBIxdgtNo/edit?pli=1#gid=257618397"",""stock untanna!B:C""),2,false)"),"DISPENSER KENJOY 50")</f>
        <v>DISPENSER KENJOY 50</v>
      </c>
      <c r="F35" s="70"/>
      <c r="G35" s="71" t="s">
        <v>141</v>
      </c>
      <c r="H35" s="41" t="str">
        <f>IFERROR(__xludf.DUMMYFUNCTION("vlookup($D35,IMPORTRANGE(""https://docs.google.com/spreadsheets/d/1swGwZOEqYlTEUCJLY-eeJM1911Kvaei5oySBIxdgtNo/edit?pli=1#gid=257618397"",""stock untanna!B:F""),5,false)"),"KE")</f>
        <v>KE</v>
      </c>
      <c r="I35" s="42" t="str">
        <f>IFERROR(__xludf.DUMMYFUNCTION("vlookup($D35,IMPORTRANGE(""https://docs.google.com/spreadsheets/d/1swGwZOEqYlTEUCJLY-eeJM1911Kvaei5oySBIxdgtNo/edit?pli=1#gid=257618397"",""stock untanna!B:G""),6,false)"),"50")</f>
        <v>50</v>
      </c>
      <c r="J35" s="43" t="str">
        <f t="shared" si="1"/>
        <v>ADA</v>
      </c>
      <c r="K35" s="72">
        <v>6.0</v>
      </c>
      <c r="L35" s="53" t="s">
        <v>69</v>
      </c>
      <c r="M35" s="73">
        <v>17500.0</v>
      </c>
      <c r="N35" s="74"/>
      <c r="O35" s="73">
        <v>105000.0</v>
      </c>
      <c r="P35" s="46" t="str">
        <f t="shared" si="2"/>
        <v>Rp17,500-6 PCS-0.00%</v>
      </c>
      <c r="Q35" s="75">
        <v>45408.0</v>
      </c>
      <c r="R35" s="76"/>
      <c r="S35" s="75">
        <v>45416.0</v>
      </c>
      <c r="T35" s="49"/>
    </row>
    <row r="36">
      <c r="A36" s="69">
        <v>4038.0</v>
      </c>
      <c r="B36" s="69" t="s">
        <v>65</v>
      </c>
      <c r="C36" s="70" t="s">
        <v>120</v>
      </c>
      <c r="D36" s="69"/>
      <c r="E36" s="41" t="s">
        <v>142</v>
      </c>
      <c r="F36" s="70"/>
      <c r="G36" s="71" t="s">
        <v>142</v>
      </c>
      <c r="H36" s="41" t="str">
        <f>IFERROR(__xludf.DUMMYFUNCTION("vlookup($D36,IMPORTRANGE(""https://docs.google.com/spreadsheets/d/1swGwZOEqYlTEUCJLY-eeJM1911Kvaei5oySBIxdgtNo/edit?pli=1#gid=257618397"",""stock untanna!B:F""),5,false)"),"#N/A")</f>
        <v>#N/A</v>
      </c>
      <c r="I36" s="42" t="str">
        <f>IFERROR(__xludf.DUMMYFUNCTION("vlookup($D36,IMPORTRANGE(""https://docs.google.com/spreadsheets/d/1swGwZOEqYlTEUCJLY-eeJM1911Kvaei5oySBIxdgtNo/edit?pli=1#gid=257618397"",""stock untanna!B:G""),6,false)"),"#N/A")</f>
        <v>#N/A</v>
      </c>
      <c r="J36" s="43" t="str">
        <f t="shared" si="1"/>
        <v>TIDAK ADA</v>
      </c>
      <c r="K36" s="72">
        <v>20.0</v>
      </c>
      <c r="L36" s="53" t="s">
        <v>88</v>
      </c>
      <c r="M36" s="73">
        <v>12500.0</v>
      </c>
      <c r="N36" s="74"/>
      <c r="O36" s="73">
        <v>250000.0</v>
      </c>
      <c r="P36" s="46" t="str">
        <f t="shared" si="2"/>
        <v>Rp12,500-20 BOX-0.00%</v>
      </c>
      <c r="Q36" s="75">
        <v>45408.0</v>
      </c>
      <c r="R36" s="76"/>
      <c r="S36" s="75">
        <v>45416.0</v>
      </c>
      <c r="T36" s="49"/>
    </row>
    <row r="37">
      <c r="A37" s="69">
        <v>4038.0</v>
      </c>
      <c r="B37" s="69" t="s">
        <v>65</v>
      </c>
      <c r="C37" s="70" t="s">
        <v>120</v>
      </c>
      <c r="D37" s="69" t="s">
        <v>143</v>
      </c>
      <c r="E37" s="41" t="str">
        <f>IFERROR(__xludf.DUMMYFUNCTION("vlookup(D37,IMPORTRANGE(""https://docs.google.com/spreadsheets/d/1swGwZOEqYlTEUCJLY-eeJM1911Kvaei5oySBIxdgtNo/edit?pli=1#gid=257618397"",""stock untanna!B:C""),2,false)"),"BP GEL DTIAN 923 ")</f>
        <v>BP GEL DTIAN 923 </v>
      </c>
      <c r="F37" s="70" t="s">
        <v>143</v>
      </c>
      <c r="G37" s="71" t="s">
        <v>144</v>
      </c>
      <c r="H37" s="41" t="str">
        <f>IFERROR(__xludf.DUMMYFUNCTION("vlookup($D37,IMPORTRANGE(""https://docs.google.com/spreadsheets/d/1swGwZOEqYlTEUCJLY-eeJM1911Kvaei5oySBIxdgtNo/edit?pli=1#gid=257618397"",""stock untanna!B:F""),5,false)"),"IM")</f>
        <v>IM</v>
      </c>
      <c r="I37" s="42" t="str">
        <f>IFERROR(__xludf.DUMMYFUNCTION("vlookup($D37,IMPORTRANGE(""https://docs.google.com/spreadsheets/d/1swGwZOEqYlTEUCJLY-eeJM1911Kvaei5oySBIxdgtNo/edit?pli=1#gid=257618397"",""stock untanna!B:G""),6,false)"),"DT 923")</f>
        <v>DT 923</v>
      </c>
      <c r="J37" s="43" t="str">
        <f t="shared" si="1"/>
        <v>ADA</v>
      </c>
      <c r="K37" s="72">
        <v>12.0</v>
      </c>
      <c r="L37" s="53" t="s">
        <v>62</v>
      </c>
      <c r="M37" s="73">
        <v>12000.0</v>
      </c>
      <c r="N37" s="74"/>
      <c r="O37" s="73">
        <v>144000.0</v>
      </c>
      <c r="P37" s="46" t="str">
        <f t="shared" si="2"/>
        <v>Rp12,000-12 LSN-0.00%</v>
      </c>
      <c r="Q37" s="75">
        <v>45408.0</v>
      </c>
      <c r="R37" s="76"/>
      <c r="S37" s="75">
        <v>45416.0</v>
      </c>
      <c r="T37" s="49"/>
    </row>
    <row r="38">
      <c r="A38" s="69">
        <v>4038.0</v>
      </c>
      <c r="B38" s="69" t="s">
        <v>65</v>
      </c>
      <c r="C38" s="70" t="s">
        <v>120</v>
      </c>
      <c r="D38" s="69" t="s">
        <v>143</v>
      </c>
      <c r="E38" s="41" t="str">
        <f>IFERROR(__xludf.DUMMYFUNCTION("vlookup(D38,IMPORTRANGE(""https://docs.google.com/spreadsheets/d/1swGwZOEqYlTEUCJLY-eeJM1911Kvaei5oySBIxdgtNo/edit?pli=1#gid=257618397"",""stock untanna!B:C""),2,false)"),"BP GEL DTIAN 923 ")</f>
        <v>BP GEL DTIAN 923 </v>
      </c>
      <c r="F38" s="70" t="s">
        <v>143</v>
      </c>
      <c r="G38" s="71" t="s">
        <v>144</v>
      </c>
      <c r="H38" s="41" t="str">
        <f>IFERROR(__xludf.DUMMYFUNCTION("vlookup($D38,IMPORTRANGE(""https://docs.google.com/spreadsheets/d/1swGwZOEqYlTEUCJLY-eeJM1911Kvaei5oySBIxdgtNo/edit?pli=1#gid=257618397"",""stock untanna!B:F""),5,false)"),"IM")</f>
        <v>IM</v>
      </c>
      <c r="I38" s="42" t="str">
        <f>IFERROR(__xludf.DUMMYFUNCTION("vlookup($D38,IMPORTRANGE(""https://docs.google.com/spreadsheets/d/1swGwZOEqYlTEUCJLY-eeJM1911Kvaei5oySBIxdgtNo/edit?pli=1#gid=257618397"",""stock untanna!B:G""),6,false)"),"DT 923")</f>
        <v>DT 923</v>
      </c>
      <c r="J38" s="43" t="str">
        <f t="shared" si="1"/>
        <v>ADA</v>
      </c>
      <c r="K38" s="72">
        <v>12.0</v>
      </c>
      <c r="L38" s="53" t="s">
        <v>62</v>
      </c>
      <c r="M38" s="73">
        <v>12000.0</v>
      </c>
      <c r="N38" s="74"/>
      <c r="O38" s="73">
        <v>144000.0</v>
      </c>
      <c r="P38" s="46" t="str">
        <f t="shared" si="2"/>
        <v>Rp12,000-12 LSN-0.00%</v>
      </c>
      <c r="Q38" s="75">
        <v>45408.0</v>
      </c>
      <c r="R38" s="76"/>
      <c r="S38" s="75">
        <v>45416.0</v>
      </c>
      <c r="T38" s="49"/>
    </row>
    <row r="39">
      <c r="A39" s="69">
        <v>4038.0</v>
      </c>
      <c r="B39" s="69" t="s">
        <v>65</v>
      </c>
      <c r="C39" s="70" t="s">
        <v>120</v>
      </c>
      <c r="D39" s="69" t="s">
        <v>145</v>
      </c>
      <c r="E39" s="41" t="str">
        <f>IFERROR(__xludf.DUMMYFUNCTION("vlookup(D39,IMPORTRANGE(""https://docs.google.com/spreadsheets/d/1swGwZOEqYlTEUCJLY-eeJM1911Kvaei5oySBIxdgtNo/edit?pli=1#gid=257618397"",""stock untanna!B:C""),2,false)"),"BP GEL DTIAN BIASA 6605")</f>
        <v>BP GEL DTIAN BIASA 6605</v>
      </c>
      <c r="F39" s="70" t="s">
        <v>145</v>
      </c>
      <c r="G39" s="71" t="s">
        <v>146</v>
      </c>
      <c r="H39" s="41" t="str">
        <f>IFERROR(__xludf.DUMMYFUNCTION("vlookup($D39,IMPORTRANGE(""https://docs.google.com/spreadsheets/d/1swGwZOEqYlTEUCJLY-eeJM1911Kvaei5oySBIxdgtNo/edit?pli=1#gid=257618397"",""stock untanna!B:F""),5,false)"),"IM")</f>
        <v>IM</v>
      </c>
      <c r="I39" s="42" t="str">
        <f>IFERROR(__xludf.DUMMYFUNCTION("vlookup($D39,IMPORTRANGE(""https://docs.google.com/spreadsheets/d/1swGwZOEqYlTEUCJLY-eeJM1911Kvaei5oySBIxdgtNo/edit?pli=1#gid=257618397"",""stock untanna!B:G""),6,false)"),"6605")</f>
        <v>6605</v>
      </c>
      <c r="J39" s="43" t="str">
        <f t="shared" si="1"/>
        <v>ADA</v>
      </c>
      <c r="K39" s="72">
        <v>12.0</v>
      </c>
      <c r="L39" s="53" t="s">
        <v>62</v>
      </c>
      <c r="M39" s="73">
        <v>12000.0</v>
      </c>
      <c r="N39" s="74"/>
      <c r="O39" s="73">
        <v>144000.0</v>
      </c>
      <c r="P39" s="46" t="str">
        <f t="shared" si="2"/>
        <v>Rp12,000-12 LSN-0.00%</v>
      </c>
      <c r="Q39" s="75">
        <v>45408.0</v>
      </c>
      <c r="R39" s="76"/>
      <c r="S39" s="75">
        <v>45416.0</v>
      </c>
      <c r="T39" s="49"/>
    </row>
    <row r="40">
      <c r="A40" s="69">
        <v>4038.0</v>
      </c>
      <c r="B40" s="69" t="s">
        <v>65</v>
      </c>
      <c r="C40" s="70" t="s">
        <v>120</v>
      </c>
      <c r="D40" s="69" t="s">
        <v>147</v>
      </c>
      <c r="E40" s="41" t="str">
        <f>IFERROR(__xludf.DUMMYFUNCTION("vlookup(D40,IMPORTRANGE(""https://docs.google.com/spreadsheets/d/1swGwZOEqYlTEUCJLY-eeJM1911Kvaei5oySBIxdgtNo/edit?pli=1#gid=257618397"",""stock untanna!B:C""),2,false)"),"BP GEL 922")</f>
        <v>BP GEL 922</v>
      </c>
      <c r="F40" s="70" t="s">
        <v>147</v>
      </c>
      <c r="G40" s="71" t="s">
        <v>148</v>
      </c>
      <c r="H40" s="41" t="str">
        <f>IFERROR(__xludf.DUMMYFUNCTION("vlookup($D40,IMPORTRANGE(""https://docs.google.com/spreadsheets/d/1swGwZOEqYlTEUCJLY-eeJM1911Kvaei5oySBIxdgtNo/edit?pli=1#gid=257618397"",""stock untanna!B:F""),5,false)"),"IM")</f>
        <v>IM</v>
      </c>
      <c r="I40" s="42" t="str">
        <f>IFERROR(__xludf.DUMMYFUNCTION("vlookup($D40,IMPORTRANGE(""https://docs.google.com/spreadsheets/d/1swGwZOEqYlTEUCJLY-eeJM1911Kvaei5oySBIxdgtNo/edit?pli=1#gid=257618397"",""stock untanna!B:G""),6,false)"),"")</f>
        <v/>
      </c>
      <c r="J40" s="43" t="str">
        <f t="shared" si="1"/>
        <v>ADA</v>
      </c>
      <c r="K40" s="72">
        <v>144.0</v>
      </c>
      <c r="L40" s="53" t="s">
        <v>69</v>
      </c>
      <c r="M40" s="73">
        <v>1000.0</v>
      </c>
      <c r="N40" s="74"/>
      <c r="O40" s="73">
        <v>144000.0</v>
      </c>
      <c r="P40" s="46" t="str">
        <f t="shared" si="2"/>
        <v>Rp1,000-144 PCS-0.00%</v>
      </c>
      <c r="Q40" s="75">
        <v>45408.0</v>
      </c>
      <c r="R40" s="76"/>
      <c r="S40" s="75">
        <v>45416.0</v>
      </c>
      <c r="T40" s="49"/>
    </row>
    <row r="41">
      <c r="A41" s="69">
        <v>4038.0</v>
      </c>
      <c r="B41" s="69" t="s">
        <v>65</v>
      </c>
      <c r="C41" s="70" t="s">
        <v>120</v>
      </c>
      <c r="D41" s="69" t="s">
        <v>149</v>
      </c>
      <c r="E41" s="41" t="str">
        <f>IFERROR(__xludf.DUMMYFUNCTION("vlookup(D41,IMPORTRANGE(""https://docs.google.com/spreadsheets/d/1swGwZOEqYlTEUCJLY-eeJM1911Kvaei5oySBIxdgtNo/edit?pli=1#gid=257618397"",""stock untanna!B:C""),2,false)"),"BP GEL 8805")</f>
        <v>BP GEL 8805</v>
      </c>
      <c r="F41" s="70" t="s">
        <v>149</v>
      </c>
      <c r="G41" s="71" t="s">
        <v>150</v>
      </c>
      <c r="H41" s="41" t="str">
        <f>IFERROR(__xludf.DUMMYFUNCTION("vlookup($D41,IMPORTRANGE(""https://docs.google.com/spreadsheets/d/1swGwZOEqYlTEUCJLY-eeJM1911Kvaei5oySBIxdgtNo/edit?pli=1#gid=257618397"",""stock untanna!B:F""),5,false)"),"IM")</f>
        <v>IM</v>
      </c>
      <c r="I41" s="42" t="str">
        <f>IFERROR(__xludf.DUMMYFUNCTION("vlookup($D41,IMPORTRANGE(""https://docs.google.com/spreadsheets/d/1swGwZOEqYlTEUCJLY-eeJM1911Kvaei5oySBIxdgtNo/edit?pli=1#gid=257618397"",""stock untanna!B:G""),6,false)"),"")</f>
        <v/>
      </c>
      <c r="J41" s="43" t="str">
        <f t="shared" si="1"/>
        <v>ADA</v>
      </c>
      <c r="K41" s="72">
        <v>144.0</v>
      </c>
      <c r="L41" s="53" t="s">
        <v>69</v>
      </c>
      <c r="M41" s="73">
        <v>1000.0</v>
      </c>
      <c r="N41" s="74"/>
      <c r="O41" s="73">
        <v>144000.0</v>
      </c>
      <c r="P41" s="46" t="str">
        <f t="shared" si="2"/>
        <v>Rp1,000-144 PCS-0.00%</v>
      </c>
      <c r="Q41" s="75">
        <v>45408.0</v>
      </c>
      <c r="R41" s="76"/>
      <c r="S41" s="75">
        <v>45416.0</v>
      </c>
      <c r="T41" s="49"/>
    </row>
    <row r="42">
      <c r="A42" s="69">
        <v>4039.0</v>
      </c>
      <c r="B42" s="69" t="s">
        <v>65</v>
      </c>
      <c r="C42" s="70" t="s">
        <v>120</v>
      </c>
      <c r="D42" s="69" t="s">
        <v>151</v>
      </c>
      <c r="E42" s="41" t="str">
        <f>IFERROR(__xludf.DUMMYFUNCTION("vlookup(D42,IMPORTRANGE(""https://docs.google.com/spreadsheets/d/1swGwZOEqYlTEUCJLY-eeJM1911Kvaei5oySBIxdgtNo/edit?pli=1#gid=257618397"",""stock untanna!B:C""),2,false)"),"BP GEL DTIAN 837 ")</f>
        <v>BP GEL DTIAN 837 </v>
      </c>
      <c r="F42" s="70" t="s">
        <v>151</v>
      </c>
      <c r="G42" s="71" t="s">
        <v>152</v>
      </c>
      <c r="H42" s="41" t="str">
        <f>IFERROR(__xludf.DUMMYFUNCTION("vlookup($D42,IMPORTRANGE(""https://docs.google.com/spreadsheets/d/1swGwZOEqYlTEUCJLY-eeJM1911Kvaei5oySBIxdgtNo/edit?pli=1#gid=257618397"",""stock untanna!B:F""),5,false)"),"IM")</f>
        <v>IM</v>
      </c>
      <c r="I42" s="42" t="str">
        <f>IFERROR(__xludf.DUMMYFUNCTION("vlookup($D42,IMPORTRANGE(""https://docs.google.com/spreadsheets/d/1swGwZOEqYlTEUCJLY-eeJM1911Kvaei5oySBIxdgtNo/edit?pli=1#gid=257618397"",""stock untanna!B:G""),6,false)"),"DT-837")</f>
        <v>DT-837</v>
      </c>
      <c r="J42" s="43" t="str">
        <f t="shared" si="1"/>
        <v>ADA</v>
      </c>
      <c r="K42" s="72">
        <v>12.0</v>
      </c>
      <c r="L42" s="53" t="s">
        <v>62</v>
      </c>
      <c r="M42" s="73">
        <v>12000.0</v>
      </c>
      <c r="N42" s="74"/>
      <c r="O42" s="73">
        <v>144000.0</v>
      </c>
      <c r="P42" s="46" t="str">
        <f t="shared" si="2"/>
        <v>Rp12,000-12 LSN-0.00%</v>
      </c>
      <c r="Q42" s="75">
        <v>45408.0</v>
      </c>
      <c r="R42" s="76"/>
      <c r="S42" s="75">
        <v>45416.0</v>
      </c>
      <c r="T42" s="49"/>
    </row>
    <row r="43">
      <c r="A43" s="69">
        <v>4039.0</v>
      </c>
      <c r="B43" s="69" t="s">
        <v>65</v>
      </c>
      <c r="C43" s="70" t="s">
        <v>120</v>
      </c>
      <c r="D43" s="69"/>
      <c r="E43" s="41" t="s">
        <v>153</v>
      </c>
      <c r="F43" s="70"/>
      <c r="G43" s="71" t="s">
        <v>153</v>
      </c>
      <c r="H43" s="41" t="str">
        <f>IFERROR(__xludf.DUMMYFUNCTION("vlookup($D43,IMPORTRANGE(""https://docs.google.com/spreadsheets/d/1swGwZOEqYlTEUCJLY-eeJM1911Kvaei5oySBIxdgtNo/edit?pli=1#gid=257618397"",""stock untanna!B:F""),5,false)"),"#N/A")</f>
        <v>#N/A</v>
      </c>
      <c r="I43" s="42" t="str">
        <f>IFERROR(__xludf.DUMMYFUNCTION("vlookup($D43,IMPORTRANGE(""https://docs.google.com/spreadsheets/d/1swGwZOEqYlTEUCJLY-eeJM1911Kvaei5oySBIxdgtNo/edit?pli=1#gid=257618397"",""stock untanna!B:G""),6,false)"),"#N/A")</f>
        <v>#N/A</v>
      </c>
      <c r="J43" s="43" t="str">
        <f t="shared" si="1"/>
        <v>TIDAK ADA</v>
      </c>
      <c r="K43" s="72">
        <v>1.0</v>
      </c>
      <c r="L43" s="53" t="s">
        <v>88</v>
      </c>
      <c r="M43" s="73">
        <v>105600.0</v>
      </c>
      <c r="N43" s="74"/>
      <c r="O43" s="73">
        <v>105600.0</v>
      </c>
      <c r="P43" s="46" t="str">
        <f t="shared" si="2"/>
        <v>Rp105,600-1 BOX-0.00%</v>
      </c>
      <c r="Q43" s="75">
        <v>45408.0</v>
      </c>
      <c r="R43" s="76"/>
      <c r="S43" s="75">
        <v>45416.0</v>
      </c>
      <c r="T43" s="49"/>
    </row>
    <row r="44">
      <c r="A44" s="69">
        <v>4039.0</v>
      </c>
      <c r="B44" s="69" t="s">
        <v>65</v>
      </c>
      <c r="C44" s="70" t="s">
        <v>120</v>
      </c>
      <c r="D44" s="69"/>
      <c r="E44" s="41" t="s">
        <v>154</v>
      </c>
      <c r="F44" s="70"/>
      <c r="G44" s="71" t="s">
        <v>154</v>
      </c>
      <c r="H44" s="41" t="str">
        <f>IFERROR(__xludf.DUMMYFUNCTION("vlookup($D44,IMPORTRANGE(""https://docs.google.com/spreadsheets/d/1swGwZOEqYlTEUCJLY-eeJM1911Kvaei5oySBIxdgtNo/edit?pli=1#gid=257618397"",""stock untanna!B:F""),5,false)"),"#N/A")</f>
        <v>#N/A</v>
      </c>
      <c r="I44" s="42" t="str">
        <f>IFERROR(__xludf.DUMMYFUNCTION("vlookup($D44,IMPORTRANGE(""https://docs.google.com/spreadsheets/d/1swGwZOEqYlTEUCJLY-eeJM1911Kvaei5oySBIxdgtNo/edit?pli=1#gid=257618397"",""stock untanna!B:G""),6,false)"),"#N/A")</f>
        <v>#N/A</v>
      </c>
      <c r="J44" s="43" t="str">
        <f t="shared" si="1"/>
        <v>TIDAK ADA</v>
      </c>
      <c r="K44" s="72">
        <v>1.0</v>
      </c>
      <c r="L44" s="53" t="s">
        <v>88</v>
      </c>
      <c r="M44" s="73">
        <v>105600.0</v>
      </c>
      <c r="N44" s="74"/>
      <c r="O44" s="73">
        <v>105600.0</v>
      </c>
      <c r="P44" s="46" t="str">
        <f t="shared" si="2"/>
        <v>Rp105,600-1 BOX-0.00%</v>
      </c>
      <c r="Q44" s="75">
        <v>45408.0</v>
      </c>
      <c r="R44" s="76"/>
      <c r="S44" s="75">
        <v>45416.0</v>
      </c>
      <c r="T44" s="49"/>
    </row>
    <row r="45">
      <c r="A45" s="69">
        <v>4314.0</v>
      </c>
      <c r="B45" s="69" t="s">
        <v>29</v>
      </c>
      <c r="C45" s="70" t="s">
        <v>155</v>
      </c>
      <c r="D45" s="50" t="s">
        <v>156</v>
      </c>
      <c r="E45" s="41" t="str">
        <f>IFERROR(__xludf.DUMMYFUNCTION("vlookup(D45,IMPORTRANGE(""https://docs.google.com/spreadsheets/d/1swGwZOEqYlTEUCJLY-eeJM1911Kvaei5oySBIxdgtNo/edit?pli=1#gid=257618397"",""stock untanna!B:C""),2,false)"),"TAS KARUNG 60 X 45 X 20")</f>
        <v>TAS KARUNG 60 X 45 X 20</v>
      </c>
      <c r="F45" s="70"/>
      <c r="G45" s="71" t="s">
        <v>157</v>
      </c>
      <c r="H45" s="41" t="str">
        <f>IFERROR(__xludf.DUMMYFUNCTION("vlookup($D45,IMPORTRANGE(""https://docs.google.com/spreadsheets/d/1swGwZOEqYlTEUCJLY-eeJM1911Kvaei5oySBIxdgtNo/edit?pli=1#gid=257618397"",""stock untanna!B:F""),5,false)"),"NB")</f>
        <v>NB</v>
      </c>
      <c r="I45" s="42" t="str">
        <f>IFERROR(__xludf.DUMMYFUNCTION("vlookup($D45,IMPORTRANGE(""https://docs.google.com/spreadsheets/d/1swGwZOEqYlTEUCJLY-eeJM1911Kvaei5oySBIxdgtNo/edit?pli=1#gid=257618397"",""stock untanna!B:G""),6,false)"),"")</f>
        <v/>
      </c>
      <c r="J45" s="43" t="str">
        <f t="shared" si="1"/>
        <v>ADA</v>
      </c>
      <c r="K45" s="72">
        <v>1.0</v>
      </c>
      <c r="L45" s="53" t="s">
        <v>62</v>
      </c>
      <c r="M45" s="73">
        <v>270000.0</v>
      </c>
      <c r="N45" s="74"/>
      <c r="O45" s="73">
        <v>270000.0</v>
      </c>
      <c r="P45" s="46" t="str">
        <f t="shared" si="2"/>
        <v>Rp270,000-1 LSN-0.00%</v>
      </c>
      <c r="Q45" s="75">
        <v>45408.0</v>
      </c>
      <c r="R45" s="76"/>
      <c r="S45" s="75">
        <v>45418.0</v>
      </c>
      <c r="T45" s="49"/>
    </row>
    <row r="46">
      <c r="A46" s="69">
        <v>4314.0</v>
      </c>
      <c r="B46" s="69" t="s">
        <v>29</v>
      </c>
      <c r="C46" s="70" t="s">
        <v>155</v>
      </c>
      <c r="D46" s="50" t="s">
        <v>158</v>
      </c>
      <c r="E46" s="41" t="str">
        <f>IFERROR(__xludf.DUMMYFUNCTION("vlookup(D46,IMPORTRANGE(""https://docs.google.com/spreadsheets/d/1swGwZOEqYlTEUCJLY-eeJM1911Kvaei5oySBIxdgtNo/edit?pli=1#gid=257618397"",""stock untanna!B:C""),2,false)"),"TAS KARUNG 55X65")</f>
        <v>TAS KARUNG 55X65</v>
      </c>
      <c r="F46" s="70" t="s">
        <v>159</v>
      </c>
      <c r="G46" s="71" t="s">
        <v>160</v>
      </c>
      <c r="H46" s="41" t="str">
        <f>IFERROR(__xludf.DUMMYFUNCTION("vlookup($D46,IMPORTRANGE(""https://docs.google.com/spreadsheets/d/1swGwZOEqYlTEUCJLY-eeJM1911Kvaei5oySBIxdgtNo/edit?pli=1#gid=257618397"",""stock untanna!B:F""),5,false)"),"NB")</f>
        <v>NB</v>
      </c>
      <c r="I46" s="42" t="str">
        <f>IFERROR(__xludf.DUMMYFUNCTION("vlookup($D46,IMPORTRANGE(""https://docs.google.com/spreadsheets/d/1swGwZOEqYlTEUCJLY-eeJM1911Kvaei5oySBIxdgtNo/edit?pli=1#gid=257618397"",""stock untanna!B:G""),6,false)"),"WIN'S SENTOSA")</f>
        <v>WIN'S SENTOSA</v>
      </c>
      <c r="J46" s="43" t="str">
        <f t="shared" si="1"/>
        <v>ADA</v>
      </c>
      <c r="K46" s="72">
        <v>12.0</v>
      </c>
      <c r="L46" s="53" t="s">
        <v>69</v>
      </c>
      <c r="M46" s="73">
        <v>20000.0</v>
      </c>
      <c r="N46" s="74"/>
      <c r="O46" s="73">
        <v>240000.0</v>
      </c>
      <c r="P46" s="46" t="str">
        <f t="shared" si="2"/>
        <v>Rp20,000-12 PCS-0.00%</v>
      </c>
      <c r="Q46" s="75">
        <v>45408.0</v>
      </c>
      <c r="R46" s="76"/>
      <c r="S46" s="75">
        <v>45418.0</v>
      </c>
      <c r="T46" s="49"/>
    </row>
    <row r="47">
      <c r="A47" s="69">
        <v>4314.0</v>
      </c>
      <c r="B47" s="69" t="s">
        <v>29</v>
      </c>
      <c r="C47" s="70" t="s">
        <v>155</v>
      </c>
      <c r="D47" s="69" t="s">
        <v>161</v>
      </c>
      <c r="E47" s="41" t="str">
        <f>IFERROR(__xludf.DUMMYFUNCTION("vlookup(D47,IMPORTRANGE(""https://docs.google.com/spreadsheets/d/1swGwZOEqYlTEUCJLY-eeJM1911Kvaei5oySBIxdgtNo/edit?pli=1#gid=257618397"",""stock untanna!B:C""),2,false)"),"BOX FILE KANCING  LIPAT ENTER HITAM")</f>
        <v>BOX FILE KANCING  LIPAT ENTER HITAM</v>
      </c>
      <c r="F47" s="70" t="s">
        <v>161</v>
      </c>
      <c r="G47" s="71" t="s">
        <v>162</v>
      </c>
      <c r="H47" s="41" t="str">
        <f>IFERROR(__xludf.DUMMYFUNCTION("vlookup($D47,IMPORTRANGE(""https://docs.google.com/spreadsheets/d/1swGwZOEqYlTEUCJLY-eeJM1911Kvaei5oySBIxdgtNo/edit?pli=1#gid=257618397"",""stock untanna!B:F""),5,false)"),"EN")</f>
        <v>EN</v>
      </c>
      <c r="I47" s="42" t="str">
        <f>IFERROR(__xludf.DUMMYFUNCTION("vlookup($D47,IMPORTRANGE(""https://docs.google.com/spreadsheets/d/1swGwZOEqYlTEUCJLY-eeJM1911Kvaei5oySBIxdgtNo/edit?pli=1#gid=257618397"",""stock untanna!B:G""),6,false)"),"")</f>
        <v/>
      </c>
      <c r="J47" s="43" t="str">
        <f t="shared" si="1"/>
        <v>ADA</v>
      </c>
      <c r="K47" s="72">
        <v>1.0</v>
      </c>
      <c r="L47" s="53" t="s">
        <v>62</v>
      </c>
      <c r="M47" s="73">
        <v>175000.0</v>
      </c>
      <c r="N47" s="74"/>
      <c r="O47" s="73">
        <v>175000.0</v>
      </c>
      <c r="P47" s="46" t="str">
        <f t="shared" si="2"/>
        <v>Rp175,000-1 LSN-0.00%</v>
      </c>
      <c r="Q47" s="75">
        <v>45408.0</v>
      </c>
      <c r="R47" s="76"/>
      <c r="S47" s="75">
        <v>45418.0</v>
      </c>
      <c r="T47" s="49"/>
    </row>
    <row r="48">
      <c r="A48" s="69">
        <v>4314.0</v>
      </c>
      <c r="B48" s="69" t="s">
        <v>29</v>
      </c>
      <c r="C48" s="70" t="s">
        <v>155</v>
      </c>
      <c r="D48" s="69" t="s">
        <v>163</v>
      </c>
      <c r="E48" s="41" t="str">
        <f>IFERROR(__xludf.DUMMYFUNCTION("vlookup(D48,IMPORTRANGE(""https://docs.google.com/spreadsheets/d/1swGwZOEqYlTEUCJLY-eeJM1911Kvaei5oySBIxdgtNo/edit?pli=1#gid=257618397"",""stock untanna!B:C""),2,false)"),"KARTU ABSENSI KOJIKO DUS MERAH")</f>
        <v>KARTU ABSENSI KOJIKO DUS MERAH</v>
      </c>
      <c r="F48" s="70" t="s">
        <v>163</v>
      </c>
      <c r="G48" s="71" t="s">
        <v>164</v>
      </c>
      <c r="H48" s="41" t="str">
        <f>IFERROR(__xludf.DUMMYFUNCTION("vlookup($D48,IMPORTRANGE(""https://docs.google.com/spreadsheets/d/1swGwZOEqYlTEUCJLY-eeJM1911Kvaei5oySBIxdgtNo/edit?pli=1#gid=257618397"",""stock untanna!B:F""),5,false)"),"KJ")</f>
        <v>KJ</v>
      </c>
      <c r="I48" s="42" t="str">
        <f>IFERROR(__xludf.DUMMYFUNCTION("vlookup($D48,IMPORTRANGE(""https://docs.google.com/spreadsheets/d/1swGwZOEqYlTEUCJLY-eeJM1911Kvaei5oySBIxdgtNo/edit?pli=1#gid=257618397"",""stock untanna!B:G""),6,false)"),"")</f>
        <v/>
      </c>
      <c r="J48" s="43" t="str">
        <f t="shared" si="1"/>
        <v>ADA</v>
      </c>
      <c r="K48" s="72">
        <v>20.0</v>
      </c>
      <c r="L48" s="53" t="s">
        <v>114</v>
      </c>
      <c r="M48" s="73">
        <v>20000.0</v>
      </c>
      <c r="N48" s="74"/>
      <c r="O48" s="73">
        <v>400000.0</v>
      </c>
      <c r="P48" s="46" t="str">
        <f t="shared" si="2"/>
        <v>Rp20,000-20 PAK-0.00%</v>
      </c>
      <c r="Q48" s="75">
        <v>45408.0</v>
      </c>
      <c r="R48" s="76"/>
      <c r="S48" s="75">
        <v>45418.0</v>
      </c>
      <c r="T48" s="49"/>
    </row>
    <row r="49">
      <c r="A49" s="69">
        <v>4314.0</v>
      </c>
      <c r="B49" s="69" t="s">
        <v>29</v>
      </c>
      <c r="C49" s="70" t="s">
        <v>155</v>
      </c>
      <c r="D49" s="69" t="s">
        <v>165</v>
      </c>
      <c r="E49" s="41" t="str">
        <f>IFERROR(__xludf.DUMMYFUNCTION("vlookup(D49,IMPORTRANGE(""https://docs.google.com/spreadsheets/d/1swGwZOEqYlTEUCJLY-eeJM1911Kvaei5oySBIxdgtNo/edit?pli=1#gid=257618397"",""stock untanna!B:C""),2,false)"),"BOX FILE MICROTOP A.618/ 3 SUSUN")</f>
        <v>BOX FILE MICROTOP A.618/ 3 SUSUN</v>
      </c>
      <c r="F49" s="70" t="s">
        <v>165</v>
      </c>
      <c r="G49" s="71" t="s">
        <v>166</v>
      </c>
      <c r="H49" s="41" t="str">
        <f>IFERROR(__xludf.DUMMYFUNCTION("vlookup($D49,IMPORTRANGE(""https://docs.google.com/spreadsheets/d/1swGwZOEqYlTEUCJLY-eeJM1911Kvaei5oySBIxdgtNo/edit?pli=1#gid=257618397"",""stock untanna!B:F""),5,false)"),"MC")</f>
        <v>MC</v>
      </c>
      <c r="I49" s="42" t="str">
        <f>IFERROR(__xludf.DUMMYFUNCTION("vlookup($D49,IMPORTRANGE(""https://docs.google.com/spreadsheets/d/1swGwZOEqYlTEUCJLY-eeJM1911Kvaei5oySBIxdgtNo/edit?pli=1#gid=257618397"",""stock untanna!B:G""),6,false)"),"A.618")</f>
        <v>A.618</v>
      </c>
      <c r="J49" s="43" t="str">
        <f t="shared" si="1"/>
        <v>ADA</v>
      </c>
      <c r="K49" s="72">
        <v>6.0</v>
      </c>
      <c r="L49" s="53" t="s">
        <v>69</v>
      </c>
      <c r="M49" s="73">
        <v>30625.0</v>
      </c>
      <c r="N49" s="74"/>
      <c r="O49" s="73">
        <v>183750.0</v>
      </c>
      <c r="P49" s="46" t="str">
        <f t="shared" si="2"/>
        <v>Rp30,625-6 PCS-0.00%</v>
      </c>
      <c r="Q49" s="75">
        <v>45408.0</v>
      </c>
      <c r="R49" s="76"/>
      <c r="S49" s="75">
        <v>45418.0</v>
      </c>
      <c r="T49" s="49"/>
    </row>
    <row r="50">
      <c r="A50" s="69">
        <v>4314.0</v>
      </c>
      <c r="B50" s="69" t="s">
        <v>29</v>
      </c>
      <c r="C50" s="70" t="s">
        <v>155</v>
      </c>
      <c r="D50" s="69" t="s">
        <v>167</v>
      </c>
      <c r="E50" s="41" t="str">
        <f>IFERROR(__xludf.DUMMYFUNCTION("vlookup(D50,IMPORTRANGE(""https://docs.google.com/spreadsheets/d/1swGwZOEqYlTEUCJLY-eeJM1911Kvaei5oySBIxdgtNo/edit?pli=1#gid=257618397"",""stock untanna!B:C""),2,false)"),"BOX FILE MICROTOP A.648/ 4 SUSUN")</f>
        <v>BOX FILE MICROTOP A.648/ 4 SUSUN</v>
      </c>
      <c r="F50" s="70" t="s">
        <v>167</v>
      </c>
      <c r="G50" s="71" t="s">
        <v>168</v>
      </c>
      <c r="H50" s="41" t="str">
        <f>IFERROR(__xludf.DUMMYFUNCTION("vlookup($D50,IMPORTRANGE(""https://docs.google.com/spreadsheets/d/1swGwZOEqYlTEUCJLY-eeJM1911Kvaei5oySBIxdgtNo/edit?pli=1#gid=257618397"",""stock untanna!B:F""),5,false)"),"MC")</f>
        <v>MC</v>
      </c>
      <c r="I50" s="42" t="str">
        <f>IFERROR(__xludf.DUMMYFUNCTION("vlookup($D50,IMPORTRANGE(""https://docs.google.com/spreadsheets/d/1swGwZOEqYlTEUCJLY-eeJM1911Kvaei5oySBIxdgtNo/edit?pli=1#gid=257618397"",""stock untanna!B:G""),6,false)"),"A.648")</f>
        <v>A.648</v>
      </c>
      <c r="J50" s="43" t="str">
        <f t="shared" si="1"/>
        <v>ADA</v>
      </c>
      <c r="K50" s="72">
        <v>6.0</v>
      </c>
      <c r="L50" s="53" t="s">
        <v>69</v>
      </c>
      <c r="M50" s="73">
        <v>43750.0</v>
      </c>
      <c r="N50" s="74"/>
      <c r="O50" s="73">
        <v>262500.0</v>
      </c>
      <c r="P50" s="46" t="str">
        <f t="shared" si="2"/>
        <v>Rp43,750-6 PCS-0.00%</v>
      </c>
      <c r="Q50" s="75">
        <v>45408.0</v>
      </c>
      <c r="R50" s="76"/>
      <c r="S50" s="75">
        <v>45418.0</v>
      </c>
      <c r="T50" s="49"/>
    </row>
    <row r="51">
      <c r="A51" s="69">
        <v>4314.0</v>
      </c>
      <c r="B51" s="69" t="s">
        <v>29</v>
      </c>
      <c r="C51" s="70" t="s">
        <v>155</v>
      </c>
      <c r="D51" s="69"/>
      <c r="E51" s="41" t="s">
        <v>169</v>
      </c>
      <c r="F51" s="70"/>
      <c r="G51" s="71" t="s">
        <v>169</v>
      </c>
      <c r="H51" s="41" t="str">
        <f>IFERROR(__xludf.DUMMYFUNCTION("vlookup($D51,IMPORTRANGE(""https://docs.google.com/spreadsheets/d/1swGwZOEqYlTEUCJLY-eeJM1911Kvaei5oySBIxdgtNo/edit?pli=1#gid=257618397"",""stock untanna!B:F""),5,false)"),"#N/A")</f>
        <v>#N/A</v>
      </c>
      <c r="I51" s="42" t="str">
        <f>IFERROR(__xludf.DUMMYFUNCTION("vlookup($D51,IMPORTRANGE(""https://docs.google.com/spreadsheets/d/1swGwZOEqYlTEUCJLY-eeJM1911Kvaei5oySBIxdgtNo/edit?pli=1#gid=257618397"",""stock untanna!B:G""),6,false)"),"#N/A")</f>
        <v>#N/A</v>
      </c>
      <c r="J51" s="43" t="str">
        <f t="shared" si="1"/>
        <v>TIDAK ADA</v>
      </c>
      <c r="K51" s="72">
        <v>1.0</v>
      </c>
      <c r="L51" s="53" t="s">
        <v>62</v>
      </c>
      <c r="M51" s="73">
        <v>180000.0</v>
      </c>
      <c r="N51" s="74"/>
      <c r="O51" s="73">
        <v>180000.0</v>
      </c>
      <c r="P51" s="46" t="str">
        <f t="shared" si="2"/>
        <v>Rp180,000-1 LSN-0.00%</v>
      </c>
      <c r="Q51" s="75">
        <v>45408.0</v>
      </c>
      <c r="R51" s="76"/>
      <c r="S51" s="75">
        <v>45418.0</v>
      </c>
      <c r="T51" s="49"/>
    </row>
    <row r="52">
      <c r="A52" s="69">
        <v>4314.0</v>
      </c>
      <c r="B52" s="69" t="s">
        <v>29</v>
      </c>
      <c r="C52" s="70" t="s">
        <v>155</v>
      </c>
      <c r="D52" s="69"/>
      <c r="E52" s="41" t="s">
        <v>170</v>
      </c>
      <c r="F52" s="70"/>
      <c r="G52" s="71" t="s">
        <v>170</v>
      </c>
      <c r="H52" s="41" t="str">
        <f>IFERROR(__xludf.DUMMYFUNCTION("vlookup($D52,IMPORTRANGE(""https://docs.google.com/spreadsheets/d/1swGwZOEqYlTEUCJLY-eeJM1911Kvaei5oySBIxdgtNo/edit?pli=1#gid=257618397"",""stock untanna!B:F""),5,false)"),"#N/A")</f>
        <v>#N/A</v>
      </c>
      <c r="I52" s="42" t="str">
        <f>IFERROR(__xludf.DUMMYFUNCTION("vlookup($D52,IMPORTRANGE(""https://docs.google.com/spreadsheets/d/1swGwZOEqYlTEUCJLY-eeJM1911Kvaei5oySBIxdgtNo/edit?pli=1#gid=257618397"",""stock untanna!B:G""),6,false)"),"#N/A")</f>
        <v>#N/A</v>
      </c>
      <c r="J52" s="43" t="str">
        <f t="shared" si="1"/>
        <v>TIDAK ADA</v>
      </c>
      <c r="K52" s="72">
        <v>12.0</v>
      </c>
      <c r="L52" s="53" t="s">
        <v>84</v>
      </c>
      <c r="M52" s="73">
        <v>16500.0</v>
      </c>
      <c r="N52" s="74"/>
      <c r="O52" s="73">
        <v>198000.0</v>
      </c>
      <c r="P52" s="46" t="str">
        <f t="shared" si="2"/>
        <v>Rp16,500-12 SET-0.00%</v>
      </c>
      <c r="Q52" s="75">
        <v>45408.0</v>
      </c>
      <c r="R52" s="76"/>
      <c r="S52" s="75">
        <v>45418.0</v>
      </c>
      <c r="T52" s="49"/>
    </row>
    <row r="53">
      <c r="A53" s="69">
        <v>4314.0</v>
      </c>
      <c r="B53" s="69" t="s">
        <v>29</v>
      </c>
      <c r="C53" s="70" t="s">
        <v>155</v>
      </c>
      <c r="D53" s="69"/>
      <c r="E53" s="41" t="s">
        <v>171</v>
      </c>
      <c r="F53" s="70"/>
      <c r="G53" s="71" t="s">
        <v>171</v>
      </c>
      <c r="H53" s="41" t="str">
        <f>IFERROR(__xludf.DUMMYFUNCTION("vlookup($D53,IMPORTRANGE(""https://docs.google.com/spreadsheets/d/1swGwZOEqYlTEUCJLY-eeJM1911Kvaei5oySBIxdgtNo/edit?pli=1#gid=257618397"",""stock untanna!B:F""),5,false)"),"#N/A")</f>
        <v>#N/A</v>
      </c>
      <c r="I53" s="42" t="str">
        <f>IFERROR(__xludf.DUMMYFUNCTION("vlookup($D53,IMPORTRANGE(""https://docs.google.com/spreadsheets/d/1swGwZOEqYlTEUCJLY-eeJM1911Kvaei5oySBIxdgtNo/edit?pli=1#gid=257618397"",""stock untanna!B:G""),6,false)"),"#N/A")</f>
        <v>#N/A</v>
      </c>
      <c r="J53" s="43" t="str">
        <f t="shared" si="1"/>
        <v>TIDAK ADA</v>
      </c>
      <c r="K53" s="72">
        <v>12.0</v>
      </c>
      <c r="L53" s="53" t="s">
        <v>84</v>
      </c>
      <c r="M53" s="73">
        <v>12500.0</v>
      </c>
      <c r="N53" s="74"/>
      <c r="O53" s="73">
        <v>150000.0</v>
      </c>
      <c r="P53" s="46" t="str">
        <f t="shared" si="2"/>
        <v>Rp12,500-12 SET-0.00%</v>
      </c>
      <c r="Q53" s="75">
        <v>45408.0</v>
      </c>
      <c r="R53" s="76"/>
      <c r="S53" s="75">
        <v>45418.0</v>
      </c>
      <c r="T53" s="49"/>
    </row>
    <row r="54">
      <c r="A54" s="69">
        <v>4314.0</v>
      </c>
      <c r="B54" s="69" t="s">
        <v>29</v>
      </c>
      <c r="C54" s="70" t="s">
        <v>155</v>
      </c>
      <c r="D54" s="69" t="s">
        <v>172</v>
      </c>
      <c r="E54" s="41" t="str">
        <f>IFERROR(__xludf.DUMMYFUNCTION("vlookup(D54,IMPORTRANGE(""https://docs.google.com/spreadsheets/d/1swGwZOEqYlTEUCJLY-eeJM1911Kvaei5oySBIxdgtNo/edit?pli=1#gid=257618397"",""stock untanna!B:C""),2,false)"),"KUAS K7NIL")</f>
        <v>KUAS K7NIL</v>
      </c>
      <c r="F54" s="70" t="s">
        <v>172</v>
      </c>
      <c r="G54" s="71" t="s">
        <v>173</v>
      </c>
      <c r="H54" s="41" t="str">
        <f>IFERROR(__xludf.DUMMYFUNCTION("vlookup($D54,IMPORTRANGE(""https://docs.google.com/spreadsheets/d/1swGwZOEqYlTEUCJLY-eeJM1911Kvaei5oySBIxdgtNo/edit?pli=1#gid=257618397"",""stock untanna!B:F""),5,false)"),"IM")</f>
        <v>IM</v>
      </c>
      <c r="I54" s="42" t="str">
        <f>IFERROR(__xludf.DUMMYFUNCTION("vlookup($D54,IMPORTRANGE(""https://docs.google.com/spreadsheets/d/1swGwZOEqYlTEUCJLY-eeJM1911Kvaei5oySBIxdgtNo/edit?pli=1#gid=257618397"",""stock untanna!B:G""),6,false)"),"K7NIL")</f>
        <v>K7NIL</v>
      </c>
      <c r="J54" s="43" t="str">
        <f t="shared" si="1"/>
        <v>ADA</v>
      </c>
      <c r="K54" s="72">
        <v>12.0</v>
      </c>
      <c r="L54" s="53" t="s">
        <v>84</v>
      </c>
      <c r="M54" s="73">
        <v>15000.0</v>
      </c>
      <c r="N54" s="74"/>
      <c r="O54" s="73">
        <v>180000.0</v>
      </c>
      <c r="P54" s="46" t="str">
        <f t="shared" si="2"/>
        <v>Rp15,000-12 SET-0.00%</v>
      </c>
      <c r="Q54" s="75">
        <v>45408.0</v>
      </c>
      <c r="R54" s="76"/>
      <c r="S54" s="75">
        <v>45418.0</v>
      </c>
      <c r="T54" s="49"/>
    </row>
    <row r="55">
      <c r="A55" s="69">
        <v>4314.0</v>
      </c>
      <c r="B55" s="69" t="s">
        <v>29</v>
      </c>
      <c r="C55" s="70" t="s">
        <v>155</v>
      </c>
      <c r="D55" s="69"/>
      <c r="E55" s="41" t="s">
        <v>174</v>
      </c>
      <c r="F55" s="70"/>
      <c r="G55" s="71" t="s">
        <v>174</v>
      </c>
      <c r="H55" s="41" t="str">
        <f>IFERROR(__xludf.DUMMYFUNCTION("vlookup($D55,IMPORTRANGE(""https://docs.google.com/spreadsheets/d/1swGwZOEqYlTEUCJLY-eeJM1911Kvaei5oySBIxdgtNo/edit?pli=1#gid=257618397"",""stock untanna!B:F""),5,false)"),"#N/A")</f>
        <v>#N/A</v>
      </c>
      <c r="I55" s="42" t="str">
        <f>IFERROR(__xludf.DUMMYFUNCTION("vlookup($D55,IMPORTRANGE(""https://docs.google.com/spreadsheets/d/1swGwZOEqYlTEUCJLY-eeJM1911Kvaei5oySBIxdgtNo/edit?pli=1#gid=257618397"",""stock untanna!B:G""),6,false)"),"#N/A")</f>
        <v>#N/A</v>
      </c>
      <c r="J55" s="43" t="str">
        <f t="shared" si="1"/>
        <v>TIDAK ADA</v>
      </c>
      <c r="K55" s="72">
        <v>12.0</v>
      </c>
      <c r="L55" s="53" t="s">
        <v>84</v>
      </c>
      <c r="M55" s="73">
        <v>8000.0</v>
      </c>
      <c r="N55" s="74"/>
      <c r="O55" s="73">
        <v>96000.0</v>
      </c>
      <c r="P55" s="46" t="str">
        <f t="shared" si="2"/>
        <v>Rp8,000-12 SET-0.00%</v>
      </c>
      <c r="Q55" s="75">
        <v>45408.0</v>
      </c>
      <c r="R55" s="76"/>
      <c r="S55" s="75">
        <v>45418.0</v>
      </c>
      <c r="T55" s="49"/>
    </row>
    <row r="56">
      <c r="A56" s="69">
        <v>4314.0</v>
      </c>
      <c r="B56" s="69" t="s">
        <v>29</v>
      </c>
      <c r="C56" s="70" t="s">
        <v>155</v>
      </c>
      <c r="D56" s="69"/>
      <c r="E56" s="41" t="s">
        <v>175</v>
      </c>
      <c r="F56" s="70"/>
      <c r="G56" s="71" t="s">
        <v>175</v>
      </c>
      <c r="H56" s="41" t="str">
        <f>IFERROR(__xludf.DUMMYFUNCTION("vlookup($D56,IMPORTRANGE(""https://docs.google.com/spreadsheets/d/1swGwZOEqYlTEUCJLY-eeJM1911Kvaei5oySBIxdgtNo/edit?pli=1#gid=257618397"",""stock untanna!B:F""),5,false)"),"#N/A")</f>
        <v>#N/A</v>
      </c>
      <c r="I56" s="42" t="str">
        <f>IFERROR(__xludf.DUMMYFUNCTION("vlookup($D56,IMPORTRANGE(""https://docs.google.com/spreadsheets/d/1swGwZOEqYlTEUCJLY-eeJM1911Kvaei5oySBIxdgtNo/edit?pli=1#gid=257618397"",""stock untanna!B:G""),6,false)"),"#N/A")</f>
        <v>#N/A</v>
      </c>
      <c r="J56" s="43" t="str">
        <f t="shared" si="1"/>
        <v>TIDAK ADA</v>
      </c>
      <c r="K56" s="72">
        <v>5.0</v>
      </c>
      <c r="L56" s="53" t="s">
        <v>62</v>
      </c>
      <c r="M56" s="73">
        <v>30000.0</v>
      </c>
      <c r="N56" s="74"/>
      <c r="O56" s="73">
        <v>150000.0</v>
      </c>
      <c r="P56" s="46" t="str">
        <f t="shared" si="2"/>
        <v>Rp30,000-5 LSN-0.00%</v>
      </c>
      <c r="Q56" s="75">
        <v>45408.0</v>
      </c>
      <c r="R56" s="76"/>
      <c r="S56" s="75">
        <v>45418.0</v>
      </c>
      <c r="T56" s="49"/>
    </row>
    <row r="57">
      <c r="A57" s="69">
        <v>4314.0</v>
      </c>
      <c r="B57" s="69" t="s">
        <v>29</v>
      </c>
      <c r="C57" s="70" t="s">
        <v>155</v>
      </c>
      <c r="D57" s="69"/>
      <c r="E57" s="41" t="s">
        <v>176</v>
      </c>
      <c r="F57" s="70"/>
      <c r="G57" s="71" t="s">
        <v>176</v>
      </c>
      <c r="H57" s="41" t="str">
        <f>IFERROR(__xludf.DUMMYFUNCTION("vlookup($D57,IMPORTRANGE(""https://docs.google.com/spreadsheets/d/1swGwZOEqYlTEUCJLY-eeJM1911Kvaei5oySBIxdgtNo/edit?pli=1#gid=257618397"",""stock untanna!B:F""),5,false)"),"#N/A")</f>
        <v>#N/A</v>
      </c>
      <c r="I57" s="42" t="str">
        <f>IFERROR(__xludf.DUMMYFUNCTION("vlookup($D57,IMPORTRANGE(""https://docs.google.com/spreadsheets/d/1swGwZOEqYlTEUCJLY-eeJM1911Kvaei5oySBIxdgtNo/edit?pli=1#gid=257618397"",""stock untanna!B:G""),6,false)"),"#N/A")</f>
        <v>#N/A</v>
      </c>
      <c r="J57" s="43" t="str">
        <f t="shared" si="1"/>
        <v>TIDAK ADA</v>
      </c>
      <c r="K57" s="72">
        <v>5.0</v>
      </c>
      <c r="L57" s="53" t="s">
        <v>62</v>
      </c>
      <c r="M57" s="73">
        <v>31500.0</v>
      </c>
      <c r="N57" s="74"/>
      <c r="O57" s="73">
        <v>157500.0</v>
      </c>
      <c r="P57" s="46" t="str">
        <f t="shared" si="2"/>
        <v>Rp31,500-5 LSN-0.00%</v>
      </c>
      <c r="Q57" s="75">
        <v>45408.0</v>
      </c>
      <c r="R57" s="76"/>
      <c r="S57" s="75">
        <v>45418.0</v>
      </c>
      <c r="T57" s="49"/>
    </row>
    <row r="58">
      <c r="A58" s="69">
        <v>4314.0</v>
      </c>
      <c r="B58" s="69" t="s">
        <v>29</v>
      </c>
      <c r="C58" s="70" t="s">
        <v>155</v>
      </c>
      <c r="D58" s="69"/>
      <c r="E58" s="41" t="s">
        <v>177</v>
      </c>
      <c r="F58" s="70"/>
      <c r="G58" s="71" t="s">
        <v>177</v>
      </c>
      <c r="H58" s="41" t="str">
        <f>IFERROR(__xludf.DUMMYFUNCTION("vlookup($D58,IMPORTRANGE(""https://docs.google.com/spreadsheets/d/1swGwZOEqYlTEUCJLY-eeJM1911Kvaei5oySBIxdgtNo/edit?pli=1#gid=257618397"",""stock untanna!B:F""),5,false)"),"#N/A")</f>
        <v>#N/A</v>
      </c>
      <c r="I58" s="42" t="str">
        <f>IFERROR(__xludf.DUMMYFUNCTION("vlookup($D58,IMPORTRANGE(""https://docs.google.com/spreadsheets/d/1swGwZOEqYlTEUCJLY-eeJM1911Kvaei5oySBIxdgtNo/edit?pli=1#gid=257618397"",""stock untanna!B:G""),6,false)"),"#N/A")</f>
        <v>#N/A</v>
      </c>
      <c r="J58" s="43" t="str">
        <f t="shared" si="1"/>
        <v>TIDAK ADA</v>
      </c>
      <c r="K58" s="72">
        <v>5.0</v>
      </c>
      <c r="L58" s="53" t="s">
        <v>62</v>
      </c>
      <c r="M58" s="73">
        <v>30000.0</v>
      </c>
      <c r="N58" s="74"/>
      <c r="O58" s="73">
        <v>150000.0</v>
      </c>
      <c r="P58" s="46" t="str">
        <f t="shared" si="2"/>
        <v>Rp30,000-5 LSN-0.00%</v>
      </c>
      <c r="Q58" s="75">
        <v>45408.0</v>
      </c>
      <c r="R58" s="76"/>
      <c r="S58" s="75">
        <v>45418.0</v>
      </c>
      <c r="T58" s="49"/>
    </row>
    <row r="59">
      <c r="A59" s="69">
        <v>4314.0</v>
      </c>
      <c r="B59" s="69" t="s">
        <v>29</v>
      </c>
      <c r="C59" s="70" t="s">
        <v>155</v>
      </c>
      <c r="D59" s="69"/>
      <c r="E59" s="41" t="s">
        <v>178</v>
      </c>
      <c r="F59" s="70"/>
      <c r="G59" s="71" t="s">
        <v>178</v>
      </c>
      <c r="H59" s="41" t="str">
        <f>IFERROR(__xludf.DUMMYFUNCTION("vlookup($D59,IMPORTRANGE(""https://docs.google.com/spreadsheets/d/1swGwZOEqYlTEUCJLY-eeJM1911Kvaei5oySBIxdgtNo/edit?pli=1#gid=257618397"",""stock untanna!B:F""),5,false)"),"#N/A")</f>
        <v>#N/A</v>
      </c>
      <c r="I59" s="42" t="str">
        <f>IFERROR(__xludf.DUMMYFUNCTION("vlookup($D59,IMPORTRANGE(""https://docs.google.com/spreadsheets/d/1swGwZOEqYlTEUCJLY-eeJM1911Kvaei5oySBIxdgtNo/edit?pli=1#gid=257618397"",""stock untanna!B:G""),6,false)"),"#N/A")</f>
        <v>#N/A</v>
      </c>
      <c r="J59" s="43" t="str">
        <f t="shared" si="1"/>
        <v>TIDAK ADA</v>
      </c>
      <c r="K59" s="72">
        <v>5.0</v>
      </c>
      <c r="L59" s="53" t="s">
        <v>62</v>
      </c>
      <c r="M59" s="73">
        <v>30000.0</v>
      </c>
      <c r="N59" s="74"/>
      <c r="O59" s="73">
        <v>150000.0</v>
      </c>
      <c r="P59" s="46" t="str">
        <f t="shared" si="2"/>
        <v>Rp30,000-5 LSN-0.00%</v>
      </c>
      <c r="Q59" s="75">
        <v>45408.0</v>
      </c>
      <c r="R59" s="76"/>
      <c r="S59" s="75">
        <v>45418.0</v>
      </c>
      <c r="T59" s="49"/>
    </row>
    <row r="60">
      <c r="A60" s="69">
        <v>4314.0</v>
      </c>
      <c r="B60" s="69" t="s">
        <v>29</v>
      </c>
      <c r="C60" s="70" t="s">
        <v>155</v>
      </c>
      <c r="D60" s="69" t="s">
        <v>179</v>
      </c>
      <c r="E60" s="41" t="str">
        <f>IFERROR(__xludf.DUMMYFUNCTION("vlookup(D60,IMPORTRANGE(""https://docs.google.com/spreadsheets/d/1swGwZOEqYlTEUCJLY-eeJM1911Kvaei5oySBIxdgtNo/edit?pli=1#gid=257618397"",""stock untanna!B:C""),2,false)"),"MAP FILE EN 1020")</f>
        <v>MAP FILE EN 1020</v>
      </c>
      <c r="F60" s="70" t="s">
        <v>179</v>
      </c>
      <c r="G60" s="71" t="s">
        <v>180</v>
      </c>
      <c r="H60" s="41" t="str">
        <f>IFERROR(__xludf.DUMMYFUNCTION("vlookup($D60,IMPORTRANGE(""https://docs.google.com/spreadsheets/d/1swGwZOEqYlTEUCJLY-eeJM1911Kvaei5oySBIxdgtNo/edit?pli=1#gid=257618397"",""stock untanna!B:F""),5,false)"),"TX")</f>
        <v>TX</v>
      </c>
      <c r="I60" s="42" t="str">
        <f>IFERROR(__xludf.DUMMYFUNCTION("vlookup($D60,IMPORTRANGE(""https://docs.google.com/spreadsheets/d/1swGwZOEqYlTEUCJLY-eeJM1911Kvaei5oySBIxdgtNo/edit?pli=1#gid=257618397"",""stock untanna!B:G""),6,false)"),"1020")</f>
        <v>1020</v>
      </c>
      <c r="J60" s="43" t="str">
        <f t="shared" si="1"/>
        <v>ADA</v>
      </c>
      <c r="K60" s="72">
        <v>2.0</v>
      </c>
      <c r="L60" s="53" t="s">
        <v>62</v>
      </c>
      <c r="M60" s="73">
        <v>50000.0</v>
      </c>
      <c r="N60" s="74"/>
      <c r="O60" s="73">
        <v>100000.0</v>
      </c>
      <c r="P60" s="46" t="str">
        <f t="shared" si="2"/>
        <v>Rp50,000-2 LSN-0.00%</v>
      </c>
      <c r="Q60" s="75">
        <v>45408.0</v>
      </c>
      <c r="R60" s="76"/>
      <c r="S60" s="75">
        <v>45418.0</v>
      </c>
      <c r="T60" s="49"/>
    </row>
    <row r="61">
      <c r="A61" s="69">
        <v>4315.0</v>
      </c>
      <c r="B61" s="69" t="s">
        <v>29</v>
      </c>
      <c r="C61" s="70" t="s">
        <v>155</v>
      </c>
      <c r="D61" s="69" t="s">
        <v>181</v>
      </c>
      <c r="E61" s="41" t="str">
        <f>IFERROR(__xludf.DUMMYFUNCTION("vlookup(D61,IMPORTRANGE(""https://docs.google.com/spreadsheets/d/1swGwZOEqYlTEUCJLY-eeJM1911Kvaei5oySBIxdgtNo/edit?pli=1#gid=257618397"",""stock untanna!B:C""),2,false)"),"NOTEBOOK 18100-62")</f>
        <v>NOTEBOOK 18100-62</v>
      </c>
      <c r="F61" s="70" t="s">
        <v>181</v>
      </c>
      <c r="G61" s="71" t="s">
        <v>182</v>
      </c>
      <c r="H61" s="41" t="str">
        <f>IFERROR(__xludf.DUMMYFUNCTION("vlookup($D61,IMPORTRANGE(""https://docs.google.com/spreadsheets/d/1swGwZOEqYlTEUCJLY-eeJM1911Kvaei5oySBIxdgtNo/edit?pli=1#gid=257618397"",""stock untanna!B:F""),5,false)"),"IM")</f>
        <v>IM</v>
      </c>
      <c r="I61" s="42" t="str">
        <f>IFERROR(__xludf.DUMMYFUNCTION("vlookup($D61,IMPORTRANGE(""https://docs.google.com/spreadsheets/d/1swGwZOEqYlTEUCJLY-eeJM1911Kvaei5oySBIxdgtNo/edit?pli=1#gid=257618397"",""stock untanna!B:G""),6,false)"),"18100-62")</f>
        <v>18100-62</v>
      </c>
      <c r="J61" s="43" t="str">
        <f t="shared" si="1"/>
        <v>ADA</v>
      </c>
      <c r="K61" s="72">
        <v>1.0</v>
      </c>
      <c r="L61" s="53" t="s">
        <v>62</v>
      </c>
      <c r="M61" s="73">
        <v>225000.0</v>
      </c>
      <c r="N61" s="74"/>
      <c r="O61" s="73">
        <v>225000.0</v>
      </c>
      <c r="P61" s="46" t="str">
        <f t="shared" si="2"/>
        <v>Rp225,000-1 LSN-0.00%</v>
      </c>
      <c r="Q61" s="75">
        <v>45408.0</v>
      </c>
      <c r="R61" s="76"/>
      <c r="S61" s="75">
        <v>45418.0</v>
      </c>
      <c r="T61" s="49"/>
    </row>
    <row r="62">
      <c r="A62" s="69">
        <v>4315.0</v>
      </c>
      <c r="B62" s="69" t="s">
        <v>29</v>
      </c>
      <c r="C62" s="70" t="s">
        <v>155</v>
      </c>
      <c r="D62" s="69" t="s">
        <v>183</v>
      </c>
      <c r="E62" s="41" t="str">
        <f>IFERROR(__xludf.DUMMYFUNCTION("vlookup(D62,IMPORTRANGE(""https://docs.google.com/spreadsheets/d/1swGwZOEqYlTEUCJLY-eeJM1911Kvaei5oySBIxdgtNo/edit?pli=1#gid=257618397"",""stock untanna!B:C""),2,false)"),"NOTEBOOK SPIRAL 28850-65")</f>
        <v>NOTEBOOK SPIRAL 28850-65</v>
      </c>
      <c r="F62" s="70" t="s">
        <v>183</v>
      </c>
      <c r="G62" s="71" t="s">
        <v>184</v>
      </c>
      <c r="H62" s="41" t="str">
        <f>IFERROR(__xludf.DUMMYFUNCTION("vlookup($D62,IMPORTRANGE(""https://docs.google.com/spreadsheets/d/1swGwZOEqYlTEUCJLY-eeJM1911Kvaei5oySBIxdgtNo/edit?pli=1#gid=257618397"",""stock untanna!B:F""),5,false)"),"IM")</f>
        <v>IM</v>
      </c>
      <c r="I62" s="42" t="str">
        <f>IFERROR(__xludf.DUMMYFUNCTION("vlookup($D62,IMPORTRANGE(""https://docs.google.com/spreadsheets/d/1swGwZOEqYlTEUCJLY-eeJM1911Kvaei5oySBIxdgtNo/edit?pli=1#gid=257618397"",""stock untanna!B:G""),6,false)"),"28850-65")</f>
        <v>28850-65</v>
      </c>
      <c r="J62" s="43" t="str">
        <f t="shared" si="1"/>
        <v>ADA</v>
      </c>
      <c r="K62" s="72">
        <v>1.0</v>
      </c>
      <c r="L62" s="53" t="s">
        <v>62</v>
      </c>
      <c r="M62" s="73">
        <v>95000.0</v>
      </c>
      <c r="N62" s="74"/>
      <c r="O62" s="73">
        <v>95000.0</v>
      </c>
      <c r="P62" s="46" t="str">
        <f t="shared" si="2"/>
        <v>Rp95,000-1 LSN-0.00%</v>
      </c>
      <c r="Q62" s="75">
        <v>45408.0</v>
      </c>
      <c r="R62" s="76"/>
      <c r="S62" s="75">
        <v>45418.0</v>
      </c>
      <c r="T62" s="49"/>
    </row>
    <row r="63">
      <c r="A63" s="69">
        <v>4315.0</v>
      </c>
      <c r="B63" s="69" t="s">
        <v>29</v>
      </c>
      <c r="C63" s="70" t="s">
        <v>155</v>
      </c>
      <c r="D63" s="69" t="s">
        <v>185</v>
      </c>
      <c r="E63" s="41" t="str">
        <f>IFERROR(__xludf.DUMMYFUNCTION("vlookup(D63,IMPORTRANGE(""https://docs.google.com/spreadsheets/d/1swGwZOEqYlTEUCJLY-eeJM1911Kvaei5oySBIxdgtNo/edit?pli=1#gid=257618397"",""stock untanna!B:C""),2,false)"),"NOTEBOOK SPIRAL 50100-71")</f>
        <v>NOTEBOOK SPIRAL 50100-71</v>
      </c>
      <c r="F63" s="70" t="s">
        <v>185</v>
      </c>
      <c r="G63" s="71" t="s">
        <v>186</v>
      </c>
      <c r="H63" s="41" t="str">
        <f>IFERROR(__xludf.DUMMYFUNCTION("vlookup($D63,IMPORTRANGE(""https://docs.google.com/spreadsheets/d/1swGwZOEqYlTEUCJLY-eeJM1911Kvaei5oySBIxdgtNo/edit?pli=1#gid=257618397"",""stock untanna!B:F""),5,false)"),"IM")</f>
        <v>IM</v>
      </c>
      <c r="I63" s="42" t="str">
        <f>IFERROR(__xludf.DUMMYFUNCTION("vlookup($D63,IMPORTRANGE(""https://docs.google.com/spreadsheets/d/1swGwZOEqYlTEUCJLY-eeJM1911Kvaei5oySBIxdgtNo/edit?pli=1#gid=257618397"",""stock untanna!B:G""),6,false)"),"50100-71")</f>
        <v>50100-71</v>
      </c>
      <c r="J63" s="43" t="str">
        <f t="shared" si="1"/>
        <v>ADA</v>
      </c>
      <c r="K63" s="72">
        <v>1.0</v>
      </c>
      <c r="L63" s="53" t="s">
        <v>62</v>
      </c>
      <c r="M63" s="73">
        <v>95000.0</v>
      </c>
      <c r="N63" s="74"/>
      <c r="O63" s="73">
        <v>95000.0</v>
      </c>
      <c r="P63" s="46" t="str">
        <f t="shared" si="2"/>
        <v>Rp95,000-1 LSN-0.00%</v>
      </c>
      <c r="Q63" s="75">
        <v>45408.0</v>
      </c>
      <c r="R63" s="76"/>
      <c r="S63" s="75">
        <v>45418.0</v>
      </c>
      <c r="T63" s="49"/>
    </row>
    <row r="64">
      <c r="A64" s="69">
        <v>4315.0</v>
      </c>
      <c r="B64" s="69" t="s">
        <v>29</v>
      </c>
      <c r="C64" s="70" t="s">
        <v>155</v>
      </c>
      <c r="D64" s="69" t="s">
        <v>187</v>
      </c>
      <c r="E64" s="41" t="str">
        <f>IFERROR(__xludf.DUMMYFUNCTION("vlookup(D64,IMPORTRANGE(""https://docs.google.com/spreadsheets/d/1swGwZOEqYlTEUCJLY-eeJM1911Kvaei5oySBIxdgtNo/edit?pli=1#gid=257618397"",""stock untanna!B:C""),2,false)"),"NOTEBOOK SPIRAL 28850-61")</f>
        <v>NOTEBOOK SPIRAL 28850-61</v>
      </c>
      <c r="F64" s="70" t="s">
        <v>187</v>
      </c>
      <c r="G64" s="71" t="s">
        <v>188</v>
      </c>
      <c r="H64" s="41" t="str">
        <f>IFERROR(__xludf.DUMMYFUNCTION("vlookup($D64,IMPORTRANGE(""https://docs.google.com/spreadsheets/d/1swGwZOEqYlTEUCJLY-eeJM1911Kvaei5oySBIxdgtNo/edit?pli=1#gid=257618397"",""stock untanna!B:F""),5,false)"),"IM")</f>
        <v>IM</v>
      </c>
      <c r="I64" s="42" t="str">
        <f>IFERROR(__xludf.DUMMYFUNCTION("vlookup($D64,IMPORTRANGE(""https://docs.google.com/spreadsheets/d/1swGwZOEqYlTEUCJLY-eeJM1911Kvaei5oySBIxdgtNo/edit?pli=1#gid=257618397"",""stock untanna!B:G""),6,false)"),"28850-61")</f>
        <v>28850-61</v>
      </c>
      <c r="J64" s="43" t="str">
        <f t="shared" si="1"/>
        <v>ADA</v>
      </c>
      <c r="K64" s="72">
        <v>1.0</v>
      </c>
      <c r="L64" s="53" t="s">
        <v>62</v>
      </c>
      <c r="M64" s="73">
        <v>95000.0</v>
      </c>
      <c r="N64" s="74"/>
      <c r="O64" s="73">
        <v>95000.0</v>
      </c>
      <c r="P64" s="46" t="str">
        <f t="shared" si="2"/>
        <v>Rp95,000-1 LSN-0.00%</v>
      </c>
      <c r="Q64" s="75">
        <v>45408.0</v>
      </c>
      <c r="R64" s="76"/>
      <c r="S64" s="75">
        <v>45418.0</v>
      </c>
      <c r="T64" s="49"/>
    </row>
    <row r="65">
      <c r="A65" s="69">
        <v>4315.0</v>
      </c>
      <c r="B65" s="69" t="s">
        <v>29</v>
      </c>
      <c r="C65" s="70" t="s">
        <v>155</v>
      </c>
      <c r="D65" s="69" t="s">
        <v>189</v>
      </c>
      <c r="E65" s="41" t="str">
        <f>IFERROR(__xludf.DUMMYFUNCTION("vlookup(D65,IMPORTRANGE(""https://docs.google.com/spreadsheets/d/1swGwZOEqYlTEUCJLY-eeJM1911Kvaei5oySBIxdgtNo/edit?pli=1#gid=257618397"",""stock untanna!B:C""),2,false)"),"KUAS TF-2620")</f>
        <v>KUAS TF-2620</v>
      </c>
      <c r="F65" s="70" t="s">
        <v>189</v>
      </c>
      <c r="G65" s="71" t="s">
        <v>190</v>
      </c>
      <c r="H65" s="41" t="str">
        <f>IFERROR(__xludf.DUMMYFUNCTION("vlookup($D65,IMPORTRANGE(""https://docs.google.com/spreadsheets/d/1swGwZOEqYlTEUCJLY-eeJM1911Kvaei5oySBIxdgtNo/edit?pli=1#gid=257618397"",""stock untanna!B:F""),5,false)"),"TF")</f>
        <v>TF</v>
      </c>
      <c r="I65" s="42" t="str">
        <f>IFERROR(__xludf.DUMMYFUNCTION("vlookup($D65,IMPORTRANGE(""https://docs.google.com/spreadsheets/d/1swGwZOEqYlTEUCJLY-eeJM1911Kvaei5oySBIxdgtNo/edit?pli=1#gid=257618397"",""stock untanna!B:G""),6,false)"),"TF-2620")</f>
        <v>TF-2620</v>
      </c>
      <c r="J65" s="43" t="str">
        <f t="shared" si="1"/>
        <v>ADA</v>
      </c>
      <c r="K65" s="72">
        <v>12.0</v>
      </c>
      <c r="L65" s="53" t="s">
        <v>84</v>
      </c>
      <c r="M65" s="73">
        <v>18000.0</v>
      </c>
      <c r="N65" s="74"/>
      <c r="O65" s="73">
        <v>216000.0</v>
      </c>
      <c r="P65" s="46" t="str">
        <f t="shared" si="2"/>
        <v>Rp18,000-12 SET-0.00%</v>
      </c>
      <c r="Q65" s="75">
        <v>45408.0</v>
      </c>
      <c r="R65" s="76"/>
      <c r="S65" s="75">
        <v>45418.0</v>
      </c>
      <c r="T65" s="49"/>
    </row>
    <row r="66">
      <c r="A66" s="69">
        <v>4315.0</v>
      </c>
      <c r="B66" s="69" t="s">
        <v>29</v>
      </c>
      <c r="C66" s="70" t="s">
        <v>155</v>
      </c>
      <c r="D66" s="69"/>
      <c r="E66" s="41" t="s">
        <v>191</v>
      </c>
      <c r="F66" s="70"/>
      <c r="G66" s="71" t="s">
        <v>191</v>
      </c>
      <c r="H66" s="41" t="str">
        <f>IFERROR(__xludf.DUMMYFUNCTION("vlookup($D66,IMPORTRANGE(""https://docs.google.com/spreadsheets/d/1swGwZOEqYlTEUCJLY-eeJM1911Kvaei5oySBIxdgtNo/edit?pli=1#gid=257618397"",""stock untanna!B:F""),5,false)"),"#N/A")</f>
        <v>#N/A</v>
      </c>
      <c r="I66" s="42" t="str">
        <f>IFERROR(__xludf.DUMMYFUNCTION("vlookup($D66,IMPORTRANGE(""https://docs.google.com/spreadsheets/d/1swGwZOEqYlTEUCJLY-eeJM1911Kvaei5oySBIxdgtNo/edit?pli=1#gid=257618397"",""stock untanna!B:G""),6,false)"),"#N/A")</f>
        <v>#N/A</v>
      </c>
      <c r="J66" s="43" t="str">
        <f t="shared" si="1"/>
        <v>TIDAK ADA</v>
      </c>
      <c r="K66" s="72">
        <v>12.0</v>
      </c>
      <c r="L66" s="53" t="s">
        <v>84</v>
      </c>
      <c r="M66" s="73">
        <v>9000.0</v>
      </c>
      <c r="N66" s="74"/>
      <c r="O66" s="73">
        <v>108000.0</v>
      </c>
      <c r="P66" s="46" t="str">
        <f t="shared" si="2"/>
        <v>Rp9,000-12 SET-0.00%</v>
      </c>
      <c r="Q66" s="75">
        <v>45408.0</v>
      </c>
      <c r="R66" s="76"/>
      <c r="S66" s="75">
        <v>45418.0</v>
      </c>
      <c r="T66" s="49"/>
    </row>
    <row r="67">
      <c r="A67" s="69">
        <v>4315.0</v>
      </c>
      <c r="B67" s="69" t="s">
        <v>29</v>
      </c>
      <c r="C67" s="70" t="s">
        <v>155</v>
      </c>
      <c r="D67" s="69"/>
      <c r="E67" s="41" t="s">
        <v>192</v>
      </c>
      <c r="F67" s="70"/>
      <c r="G67" s="71" t="s">
        <v>192</v>
      </c>
      <c r="H67" s="41" t="str">
        <f>IFERROR(__xludf.DUMMYFUNCTION("vlookup($D67,IMPORTRANGE(""https://docs.google.com/spreadsheets/d/1swGwZOEqYlTEUCJLY-eeJM1911Kvaei5oySBIxdgtNo/edit?pli=1#gid=257618397"",""stock untanna!B:F""),5,false)"),"#N/A")</f>
        <v>#N/A</v>
      </c>
      <c r="I67" s="42" t="str">
        <f>IFERROR(__xludf.DUMMYFUNCTION("vlookup($D67,IMPORTRANGE(""https://docs.google.com/spreadsheets/d/1swGwZOEqYlTEUCJLY-eeJM1911Kvaei5oySBIxdgtNo/edit?pli=1#gid=257618397"",""stock untanna!B:G""),6,false)"),"#N/A")</f>
        <v>#N/A</v>
      </c>
      <c r="J67" s="43" t="str">
        <f t="shared" si="1"/>
        <v>TIDAK ADA</v>
      </c>
      <c r="K67" s="72">
        <v>12.0</v>
      </c>
      <c r="L67" s="53" t="s">
        <v>84</v>
      </c>
      <c r="M67" s="73">
        <v>13500.0</v>
      </c>
      <c r="N67" s="74"/>
      <c r="O67" s="73">
        <v>162000.0</v>
      </c>
      <c r="P67" s="46" t="str">
        <f t="shared" si="2"/>
        <v>Rp13,500-12 SET-0.00%</v>
      </c>
      <c r="Q67" s="75">
        <v>45408.0</v>
      </c>
      <c r="R67" s="76"/>
      <c r="S67" s="75">
        <v>45418.0</v>
      </c>
      <c r="T67" s="49"/>
    </row>
    <row r="68">
      <c r="A68" s="69">
        <v>4315.0</v>
      </c>
      <c r="B68" s="69" t="s">
        <v>29</v>
      </c>
      <c r="C68" s="70" t="s">
        <v>155</v>
      </c>
      <c r="D68" s="69"/>
      <c r="E68" s="41" t="s">
        <v>193</v>
      </c>
      <c r="F68" s="70"/>
      <c r="G68" s="71" t="s">
        <v>193</v>
      </c>
      <c r="H68" s="41" t="str">
        <f>IFERROR(__xludf.DUMMYFUNCTION("vlookup($D68,IMPORTRANGE(""https://docs.google.com/spreadsheets/d/1swGwZOEqYlTEUCJLY-eeJM1911Kvaei5oySBIxdgtNo/edit?pli=1#gid=257618397"",""stock untanna!B:F""),5,false)"),"#N/A")</f>
        <v>#N/A</v>
      </c>
      <c r="I68" s="42" t="str">
        <f>IFERROR(__xludf.DUMMYFUNCTION("vlookup($D68,IMPORTRANGE(""https://docs.google.com/spreadsheets/d/1swGwZOEqYlTEUCJLY-eeJM1911Kvaei5oySBIxdgtNo/edit?pli=1#gid=257618397"",""stock untanna!B:G""),6,false)"),"#N/A")</f>
        <v>#N/A</v>
      </c>
      <c r="J68" s="43" t="str">
        <f t="shared" si="1"/>
        <v>TIDAK ADA</v>
      </c>
      <c r="K68" s="72">
        <v>12.0</v>
      </c>
      <c r="L68" s="53" t="s">
        <v>84</v>
      </c>
      <c r="M68" s="73">
        <v>10000.0</v>
      </c>
      <c r="N68" s="74"/>
      <c r="O68" s="73">
        <v>120000.0</v>
      </c>
      <c r="P68" s="46" t="str">
        <f t="shared" si="2"/>
        <v>Rp10,000-12 SET-0.00%</v>
      </c>
      <c r="Q68" s="75">
        <v>45408.0</v>
      </c>
      <c r="R68" s="76"/>
      <c r="S68" s="75">
        <v>45418.0</v>
      </c>
      <c r="T68" s="49"/>
    </row>
    <row r="69">
      <c r="A69" s="69">
        <v>4315.0</v>
      </c>
      <c r="B69" s="69" t="s">
        <v>29</v>
      </c>
      <c r="C69" s="70" t="s">
        <v>155</v>
      </c>
      <c r="D69" s="69"/>
      <c r="E69" s="41" t="s">
        <v>194</v>
      </c>
      <c r="F69" s="70"/>
      <c r="G69" s="71" t="s">
        <v>194</v>
      </c>
      <c r="H69" s="41" t="str">
        <f>IFERROR(__xludf.DUMMYFUNCTION("vlookup($D69,IMPORTRANGE(""https://docs.google.com/spreadsheets/d/1swGwZOEqYlTEUCJLY-eeJM1911Kvaei5oySBIxdgtNo/edit?pli=1#gid=257618397"",""stock untanna!B:F""),5,false)"),"#N/A")</f>
        <v>#N/A</v>
      </c>
      <c r="I69" s="42" t="str">
        <f>IFERROR(__xludf.DUMMYFUNCTION("vlookup($D69,IMPORTRANGE(""https://docs.google.com/spreadsheets/d/1swGwZOEqYlTEUCJLY-eeJM1911Kvaei5oySBIxdgtNo/edit?pli=1#gid=257618397"",""stock untanna!B:G""),6,false)"),"#N/A")</f>
        <v>#N/A</v>
      </c>
      <c r="J69" s="43" t="str">
        <f t="shared" si="1"/>
        <v>TIDAK ADA</v>
      </c>
      <c r="K69" s="72">
        <v>12.0</v>
      </c>
      <c r="L69" s="53" t="s">
        <v>84</v>
      </c>
      <c r="M69" s="73">
        <v>7500.0</v>
      </c>
      <c r="N69" s="74"/>
      <c r="O69" s="73">
        <v>90000.0</v>
      </c>
      <c r="P69" s="46" t="str">
        <f t="shared" si="2"/>
        <v>Rp7,500-12 SET-0.00%</v>
      </c>
      <c r="Q69" s="75">
        <v>45408.0</v>
      </c>
      <c r="R69" s="76"/>
      <c r="S69" s="75">
        <v>45418.0</v>
      </c>
      <c r="T69" s="49"/>
    </row>
    <row r="70">
      <c r="A70" s="69">
        <v>4315.0</v>
      </c>
      <c r="B70" s="69" t="s">
        <v>29</v>
      </c>
      <c r="C70" s="70" t="s">
        <v>155</v>
      </c>
      <c r="D70" s="69" t="s">
        <v>195</v>
      </c>
      <c r="E70" s="41" t="str">
        <f>IFERROR(__xludf.DUMMYFUNCTION("vlookup(D70,IMPORTRANGE(""https://docs.google.com/spreadsheets/d/1swGwZOEqYlTEUCJLY-eeJM1911Kvaei5oySBIxdgtNo/edit?pli=1#gid=257618397"",""stock untanna!B:C""),2,false)"),"BP TF-3115 HIGHTECH KNOCK")</f>
        <v>BP TF-3115 HIGHTECH KNOCK</v>
      </c>
      <c r="F70" s="70" t="s">
        <v>195</v>
      </c>
      <c r="G70" s="71" t="s">
        <v>196</v>
      </c>
      <c r="H70" s="41" t="str">
        <f>IFERROR(__xludf.DUMMYFUNCTION("vlookup($D70,IMPORTRANGE(""https://docs.google.com/spreadsheets/d/1swGwZOEqYlTEUCJLY-eeJM1911Kvaei5oySBIxdgtNo/edit?pli=1#gid=257618397"",""stock untanna!B:F""),5,false)"),"TF")</f>
        <v>TF</v>
      </c>
      <c r="I70" s="42" t="str">
        <f>IFERROR(__xludf.DUMMYFUNCTION("vlookup($D70,IMPORTRANGE(""https://docs.google.com/spreadsheets/d/1swGwZOEqYlTEUCJLY-eeJM1911Kvaei5oySBIxdgtNo/edit?pli=1#gid=257618397"",""stock untanna!B:G""),6,false)"),"TF-3115")</f>
        <v>TF-3115</v>
      </c>
      <c r="J70" s="43" t="str">
        <f t="shared" si="1"/>
        <v>ADA</v>
      </c>
      <c r="K70" s="72">
        <v>12.0</v>
      </c>
      <c r="L70" s="53" t="s">
        <v>62</v>
      </c>
      <c r="M70" s="73">
        <v>45000.0</v>
      </c>
      <c r="N70" s="74"/>
      <c r="O70" s="73">
        <v>540000.0</v>
      </c>
      <c r="P70" s="46" t="str">
        <f t="shared" si="2"/>
        <v>Rp45,000-12 LSN-0.00%</v>
      </c>
      <c r="Q70" s="75">
        <v>45408.0</v>
      </c>
      <c r="R70" s="76"/>
      <c r="S70" s="75">
        <v>45418.0</v>
      </c>
      <c r="T70" s="49"/>
    </row>
    <row r="71">
      <c r="A71" s="69">
        <v>4315.0</v>
      </c>
      <c r="B71" s="69" t="s">
        <v>29</v>
      </c>
      <c r="C71" s="70" t="s">
        <v>155</v>
      </c>
      <c r="D71" s="69" t="s">
        <v>197</v>
      </c>
      <c r="E71" s="41" t="str">
        <f>IFERROR(__xludf.DUMMYFUNCTION("vlookup(D71,IMPORTRANGE(""https://docs.google.com/spreadsheets/d/1swGwZOEqYlTEUCJLY-eeJM1911Kvaei5oySBIxdgtNo/edit?pli=1#gid=257618397"",""stock untanna!B:C""),2,false)"),"BP TF G-3114 0.3MM HIGHTECH KNOCK")</f>
        <v>BP TF G-3114 0.3MM HIGHTECH KNOCK</v>
      </c>
      <c r="F71" s="70" t="s">
        <v>197</v>
      </c>
      <c r="G71" s="71" t="s">
        <v>198</v>
      </c>
      <c r="H71" s="41" t="str">
        <f>IFERROR(__xludf.DUMMYFUNCTION("vlookup($D71,IMPORTRANGE(""https://docs.google.com/spreadsheets/d/1swGwZOEqYlTEUCJLY-eeJM1911Kvaei5oySBIxdgtNo/edit?pli=1#gid=257618397"",""stock untanna!B:F""),5,false)"),"TF")</f>
        <v>TF</v>
      </c>
      <c r="I71" s="42" t="str">
        <f>IFERROR(__xludf.DUMMYFUNCTION("vlookup($D71,IMPORTRANGE(""https://docs.google.com/spreadsheets/d/1swGwZOEqYlTEUCJLY-eeJM1911Kvaei5oySBIxdgtNo/edit?pli=1#gid=257618397"",""stock untanna!B:G""),6,false)"),"G-3114")</f>
        <v>G-3114</v>
      </c>
      <c r="J71" s="43" t="str">
        <f t="shared" si="1"/>
        <v>ADA</v>
      </c>
      <c r="K71" s="72">
        <v>12.0</v>
      </c>
      <c r="L71" s="53" t="s">
        <v>62</v>
      </c>
      <c r="M71" s="73">
        <v>45000.0</v>
      </c>
      <c r="N71" s="74"/>
      <c r="O71" s="73">
        <v>540000.0</v>
      </c>
      <c r="P71" s="46" t="str">
        <f t="shared" si="2"/>
        <v>Rp45,000-12 LSN-0.00%</v>
      </c>
      <c r="Q71" s="75">
        <v>45408.0</v>
      </c>
      <c r="R71" s="76"/>
      <c r="S71" s="75">
        <v>45418.0</v>
      </c>
      <c r="T71" s="49"/>
    </row>
    <row r="72">
      <c r="A72" s="69">
        <v>4315.0</v>
      </c>
      <c r="B72" s="69" t="s">
        <v>29</v>
      </c>
      <c r="C72" s="70" t="s">
        <v>155</v>
      </c>
      <c r="D72" s="69" t="s">
        <v>199</v>
      </c>
      <c r="E72" s="41" t="str">
        <f>IFERROR(__xludf.DUMMYFUNCTION("vlookup(D72,IMPORTRANGE(""https://docs.google.com/spreadsheets/d/1swGwZOEqYlTEUCJLY-eeJM1911Kvaei5oySBIxdgtNo/edit?pli=1#gid=257618397"",""stock untanna!B:C""),2,false)"),"BP TF 1022")</f>
        <v>BP TF 1022</v>
      </c>
      <c r="F72" s="70" t="s">
        <v>199</v>
      </c>
      <c r="G72" s="71" t="s">
        <v>200</v>
      </c>
      <c r="H72" s="41" t="str">
        <f>IFERROR(__xludf.DUMMYFUNCTION("vlookup($D72,IMPORTRANGE(""https://docs.google.com/spreadsheets/d/1swGwZOEqYlTEUCJLY-eeJM1911Kvaei5oySBIxdgtNo/edit?pli=1#gid=257618397"",""stock untanna!B:F""),5,false)"),"TF")</f>
        <v>TF</v>
      </c>
      <c r="I72" s="42" t="str">
        <f>IFERROR(__xludf.DUMMYFUNCTION("vlookup($D72,IMPORTRANGE(""https://docs.google.com/spreadsheets/d/1swGwZOEqYlTEUCJLY-eeJM1911Kvaei5oySBIxdgtNo/edit?pli=1#gid=257618397"",""stock untanna!B:G""),6,false)"),"TF-1022")</f>
        <v>TF-1022</v>
      </c>
      <c r="J72" s="43" t="str">
        <f t="shared" si="1"/>
        <v>ADA</v>
      </c>
      <c r="K72" s="72">
        <v>12.0</v>
      </c>
      <c r="L72" s="53" t="s">
        <v>62</v>
      </c>
      <c r="M72" s="73">
        <v>20000.0</v>
      </c>
      <c r="N72" s="74"/>
      <c r="O72" s="73">
        <v>240000.0</v>
      </c>
      <c r="P72" s="46" t="str">
        <f t="shared" si="2"/>
        <v>Rp20,000-12 LSN-0.00%</v>
      </c>
      <c r="Q72" s="75">
        <v>45408.0</v>
      </c>
      <c r="R72" s="76"/>
      <c r="S72" s="75">
        <v>45418.0</v>
      </c>
      <c r="T72" s="49"/>
    </row>
    <row r="73">
      <c r="A73" s="69">
        <v>4315.0</v>
      </c>
      <c r="B73" s="69" t="s">
        <v>29</v>
      </c>
      <c r="C73" s="70" t="s">
        <v>155</v>
      </c>
      <c r="D73" s="69" t="s">
        <v>201</v>
      </c>
      <c r="E73" s="41" t="str">
        <f>IFERROR(__xludf.DUMMYFUNCTION("vlookup(D73,IMPORTRANGE(""https://docs.google.com/spreadsheets/d/1swGwZOEqYlTEUCJLY-eeJM1911Kvaei5oySBIxdgtNo/edit?pli=1#gid=257618397"",""stock untanna!B:C""),2,false)"),"BP GEL TF-1190 0.3MM HIGHTECH (B)")</f>
        <v>BP GEL TF-1190 0.3MM HIGHTECH (B)</v>
      </c>
      <c r="F73" s="70" t="s">
        <v>201</v>
      </c>
      <c r="G73" s="71" t="s">
        <v>202</v>
      </c>
      <c r="H73" s="41" t="str">
        <f>IFERROR(__xludf.DUMMYFUNCTION("vlookup($D73,IMPORTRANGE(""https://docs.google.com/spreadsheets/d/1swGwZOEqYlTEUCJLY-eeJM1911Kvaei5oySBIxdgtNo/edit?pli=1#gid=257618397"",""stock untanna!B:F""),5,false)"),"TF")</f>
        <v>TF</v>
      </c>
      <c r="I73" s="42" t="str">
        <f>IFERROR(__xludf.DUMMYFUNCTION("vlookup($D73,IMPORTRANGE(""https://docs.google.com/spreadsheets/d/1swGwZOEqYlTEUCJLY-eeJM1911Kvaei5oySBIxdgtNo/edit?pli=1#gid=257618397"",""stock untanna!B:G""),6,false)"),"TF-1190")</f>
        <v>TF-1190</v>
      </c>
      <c r="J73" s="43" t="str">
        <f t="shared" si="1"/>
        <v>ADA</v>
      </c>
      <c r="K73" s="72">
        <v>12.0</v>
      </c>
      <c r="L73" s="53" t="s">
        <v>62</v>
      </c>
      <c r="M73" s="73">
        <v>33000.0</v>
      </c>
      <c r="N73" s="74"/>
      <c r="O73" s="73">
        <v>396000.0</v>
      </c>
      <c r="P73" s="46" t="str">
        <f t="shared" si="2"/>
        <v>Rp33,000-12 LSN-0.00%</v>
      </c>
      <c r="Q73" s="75">
        <v>45408.0</v>
      </c>
      <c r="R73" s="76"/>
      <c r="S73" s="75">
        <v>45418.0</v>
      </c>
      <c r="T73" s="49"/>
    </row>
    <row r="74">
      <c r="A74" s="69">
        <v>4315.0</v>
      </c>
      <c r="B74" s="69" t="s">
        <v>29</v>
      </c>
      <c r="C74" s="70" t="s">
        <v>155</v>
      </c>
      <c r="D74" s="69" t="s">
        <v>203</v>
      </c>
      <c r="E74" s="41" t="str">
        <f>IFERROR(__xludf.DUMMYFUNCTION("vlookup(D74,IMPORTRANGE(""https://docs.google.com/spreadsheets/d/1swGwZOEqYlTEUCJLY-eeJM1911Kvaei5oySBIxdgtNo/edit?pli=1#gid=257618397"",""stock untanna!B:C""),2,false)"),"BP HITECH JOSS GP-168 0.28MM")</f>
        <v>BP HITECH JOSS GP-168 0.28MM</v>
      </c>
      <c r="F74" s="70" t="s">
        <v>203</v>
      </c>
      <c r="G74" s="71" t="s">
        <v>204</v>
      </c>
      <c r="H74" s="41" t="str">
        <f>IFERROR(__xludf.DUMMYFUNCTION("vlookup($D74,IMPORTRANGE(""https://docs.google.com/spreadsheets/d/1swGwZOEqYlTEUCJLY-eeJM1911Kvaei5oySBIxdgtNo/edit?pli=1#gid=257618397"",""stock untanna!B:F""),5,false)"),"IM")</f>
        <v>IM</v>
      </c>
      <c r="I74" s="42" t="str">
        <f>IFERROR(__xludf.DUMMYFUNCTION("vlookup($D74,IMPORTRANGE(""https://docs.google.com/spreadsheets/d/1swGwZOEqYlTEUCJLY-eeJM1911Kvaei5oySBIxdgtNo/edit?pli=1#gid=257618397"",""stock untanna!B:G""),6,false)"),"GP-168")</f>
        <v>GP-168</v>
      </c>
      <c r="J74" s="43" t="str">
        <f t="shared" si="1"/>
        <v>ADA</v>
      </c>
      <c r="K74" s="72">
        <v>12.0</v>
      </c>
      <c r="L74" s="53" t="s">
        <v>62</v>
      </c>
      <c r="M74" s="73">
        <v>28000.0</v>
      </c>
      <c r="N74" s="74"/>
      <c r="O74" s="73">
        <v>336000.0</v>
      </c>
      <c r="P74" s="46" t="str">
        <f t="shared" si="2"/>
        <v>Rp28,000-12 LSN-0.00%</v>
      </c>
      <c r="Q74" s="75">
        <v>45408.0</v>
      </c>
      <c r="R74" s="76"/>
      <c r="S74" s="75">
        <v>45418.0</v>
      </c>
      <c r="T74" s="49"/>
    </row>
    <row r="75">
      <c r="A75" s="69">
        <v>4315.0</v>
      </c>
      <c r="B75" s="69" t="s">
        <v>29</v>
      </c>
      <c r="C75" s="70" t="s">
        <v>155</v>
      </c>
      <c r="D75" s="69" t="s">
        <v>205</v>
      </c>
      <c r="E75" s="41" t="str">
        <f>IFERROR(__xludf.DUMMYFUNCTION("vlookup(D75,IMPORTRANGE(""https://docs.google.com/spreadsheets/d/1swGwZOEqYlTEUCJLY-eeJM1911Kvaei5oySBIxdgtNo/edit?pli=1#gid=257618397"",""stock untanna!B:C""),2,false)"),"BP HITECH JOSS-188 B 0.28MM BIRU")</f>
        <v>BP HITECH JOSS-188 B 0.28MM BIRU</v>
      </c>
      <c r="F75" s="70" t="s">
        <v>205</v>
      </c>
      <c r="G75" s="71" t="s">
        <v>206</v>
      </c>
      <c r="H75" s="41" t="str">
        <f>IFERROR(__xludf.DUMMYFUNCTION("vlookup($D75,IMPORTRANGE(""https://docs.google.com/spreadsheets/d/1swGwZOEqYlTEUCJLY-eeJM1911Kvaei5oySBIxdgtNo/edit?pli=1#gid=257618397"",""stock untanna!B:F""),5,false)"),"IM")</f>
        <v>IM</v>
      </c>
      <c r="I75" s="42" t="str">
        <f>IFERROR(__xludf.DUMMYFUNCTION("vlookup($D75,IMPORTRANGE(""https://docs.google.com/spreadsheets/d/1swGwZOEqYlTEUCJLY-eeJM1911Kvaei5oySBIxdgtNo/edit?pli=1#gid=257618397"",""stock untanna!B:G""),6,false)"),"188 B")</f>
        <v>188 B</v>
      </c>
      <c r="J75" s="43" t="str">
        <f t="shared" si="1"/>
        <v>ADA</v>
      </c>
      <c r="K75" s="72">
        <v>12.0</v>
      </c>
      <c r="L75" s="53" t="s">
        <v>62</v>
      </c>
      <c r="M75" s="73">
        <v>28000.0</v>
      </c>
      <c r="N75" s="74"/>
      <c r="O75" s="73">
        <v>336000.0</v>
      </c>
      <c r="P75" s="46" t="str">
        <f t="shared" si="2"/>
        <v>Rp28,000-12 LSN-0.00%</v>
      </c>
      <c r="Q75" s="75">
        <v>45408.0</v>
      </c>
      <c r="R75" s="76"/>
      <c r="S75" s="75">
        <v>45418.0</v>
      </c>
      <c r="T75" s="49"/>
    </row>
    <row r="76">
      <c r="A76" s="69">
        <v>4315.0</v>
      </c>
      <c r="B76" s="69" t="s">
        <v>29</v>
      </c>
      <c r="C76" s="70" t="s">
        <v>155</v>
      </c>
      <c r="D76" s="69" t="s">
        <v>207</v>
      </c>
      <c r="E76" s="41" t="str">
        <f>IFERROR(__xludf.DUMMYFUNCTION("vlookup(D76,IMPORTRANGE(""https://docs.google.com/spreadsheets/d/1swGwZOEqYlTEUCJLY-eeJM1911Kvaei5oySBIxdgtNo/edit?pli=1#gid=257618397"",""stock untanna!B:C""),2,false)"),"BP GEL KOALA GP-168")</f>
        <v>BP GEL KOALA GP-168</v>
      </c>
      <c r="F76" s="70" t="s">
        <v>207</v>
      </c>
      <c r="G76" s="71" t="s">
        <v>208</v>
      </c>
      <c r="H76" s="41" t="str">
        <f>IFERROR(__xludf.DUMMYFUNCTION("vlookup($D76,IMPORTRANGE(""https://docs.google.com/spreadsheets/d/1swGwZOEqYlTEUCJLY-eeJM1911Kvaei5oySBIxdgtNo/edit?pli=1#gid=257618397"",""stock untanna!B:F""),5,false)"),"IM")</f>
        <v>IM</v>
      </c>
      <c r="I76" s="42" t="str">
        <f>IFERROR(__xludf.DUMMYFUNCTION("vlookup($D76,IMPORTRANGE(""https://docs.google.com/spreadsheets/d/1swGwZOEqYlTEUCJLY-eeJM1911Kvaei5oySBIxdgtNo/edit?pli=1#gid=257618397"",""stock untanna!B:G""),6,false)"),"GP-168")</f>
        <v>GP-168</v>
      </c>
      <c r="J76" s="43" t="str">
        <f t="shared" si="1"/>
        <v>ADA</v>
      </c>
      <c r="K76" s="72">
        <v>12.0</v>
      </c>
      <c r="L76" s="53" t="s">
        <v>62</v>
      </c>
      <c r="M76" s="73">
        <v>28000.0</v>
      </c>
      <c r="N76" s="74"/>
      <c r="O76" s="73">
        <v>336000.0</v>
      </c>
      <c r="P76" s="46" t="str">
        <f t="shared" si="2"/>
        <v>Rp28,000-12 LSN-0.00%</v>
      </c>
      <c r="Q76" s="75">
        <v>45408.0</v>
      </c>
      <c r="R76" s="76"/>
      <c r="S76" s="75">
        <v>45418.0</v>
      </c>
      <c r="T76" s="49"/>
    </row>
    <row r="77">
      <c r="A77" s="69">
        <v>4316.0</v>
      </c>
      <c r="B77" s="69" t="s">
        <v>29</v>
      </c>
      <c r="C77" s="70" t="s">
        <v>155</v>
      </c>
      <c r="D77" s="69"/>
      <c r="E77" s="41" t="s">
        <v>209</v>
      </c>
      <c r="F77" s="70"/>
      <c r="G77" s="71" t="s">
        <v>209</v>
      </c>
      <c r="H77" s="41" t="str">
        <f>IFERROR(__xludf.DUMMYFUNCTION("vlookup($D77,IMPORTRANGE(""https://docs.google.com/spreadsheets/d/1swGwZOEqYlTEUCJLY-eeJM1911Kvaei5oySBIxdgtNo/edit?pli=1#gid=257618397"",""stock untanna!B:F""),5,false)"),"#N/A")</f>
        <v>#N/A</v>
      </c>
      <c r="I77" s="42" t="str">
        <f>IFERROR(__xludf.DUMMYFUNCTION("vlookup($D77,IMPORTRANGE(""https://docs.google.com/spreadsheets/d/1swGwZOEqYlTEUCJLY-eeJM1911Kvaei5oySBIxdgtNo/edit?pli=1#gid=257618397"",""stock untanna!B:G""),6,false)"),"#N/A")</f>
        <v>#N/A</v>
      </c>
      <c r="J77" s="43" t="str">
        <f t="shared" si="1"/>
        <v>TIDAK ADA</v>
      </c>
      <c r="K77" s="72">
        <v>2.0</v>
      </c>
      <c r="L77" s="53" t="s">
        <v>62</v>
      </c>
      <c r="M77" s="73">
        <v>55000.0</v>
      </c>
      <c r="N77" s="74"/>
      <c r="O77" s="73">
        <v>110000.0</v>
      </c>
      <c r="P77" s="46" t="str">
        <f t="shared" si="2"/>
        <v>Rp55,000-2 LSN-0.00%</v>
      </c>
      <c r="Q77" s="75">
        <v>45408.0</v>
      </c>
      <c r="R77" s="76"/>
      <c r="S77" s="75">
        <v>45418.0</v>
      </c>
      <c r="T77" s="49"/>
    </row>
    <row r="78">
      <c r="A78" s="69">
        <v>4316.0</v>
      </c>
      <c r="B78" s="69" t="s">
        <v>29</v>
      </c>
      <c r="C78" s="70" t="s">
        <v>155</v>
      </c>
      <c r="D78" s="69" t="s">
        <v>210</v>
      </c>
      <c r="E78" s="41" t="str">
        <f>IFERROR(__xludf.DUMMYFUNCTION("vlookup(D78,IMPORTRANGE(""https://docs.google.com/spreadsheets/d/1swGwZOEqYlTEUCJLY-eeJM1911Kvaei5oySBIxdgtNo/edit?pli=1#gid=257618397"",""stock untanna!B:C""),2,false)"),"TAS JASMIN TANGGUNG")</f>
        <v>TAS JASMIN TANGGUNG</v>
      </c>
      <c r="F78" s="70" t="s">
        <v>210</v>
      </c>
      <c r="G78" s="71" t="s">
        <v>211</v>
      </c>
      <c r="H78" s="41" t="str">
        <f>IFERROR(__xludf.DUMMYFUNCTION("vlookup($D78,IMPORTRANGE(""https://docs.google.com/spreadsheets/d/1swGwZOEqYlTEUCJLY-eeJM1911Kvaei5oySBIxdgtNo/edit?pli=1#gid=257618397"",""stock untanna!B:F""),5,false)"),"NB")</f>
        <v>NB</v>
      </c>
      <c r="I78" s="42" t="str">
        <f>IFERROR(__xludf.DUMMYFUNCTION("vlookup($D78,IMPORTRANGE(""https://docs.google.com/spreadsheets/d/1swGwZOEqYlTEUCJLY-eeJM1911Kvaei5oySBIxdgtNo/edit?pli=1#gid=257618397"",""stock untanna!B:G""),6,false)"),"")</f>
        <v/>
      </c>
      <c r="J78" s="43" t="str">
        <f t="shared" si="1"/>
        <v>ADA</v>
      </c>
      <c r="K78" s="72">
        <v>5.0</v>
      </c>
      <c r="L78" s="53" t="s">
        <v>62</v>
      </c>
      <c r="M78" s="73">
        <v>50000.0</v>
      </c>
      <c r="N78" s="74"/>
      <c r="O78" s="73">
        <v>250000.0</v>
      </c>
      <c r="P78" s="46" t="str">
        <f t="shared" si="2"/>
        <v>Rp50,000-5 LSN-0.00%</v>
      </c>
      <c r="Q78" s="75">
        <v>45408.0</v>
      </c>
      <c r="R78" s="76"/>
      <c r="S78" s="75">
        <v>45418.0</v>
      </c>
      <c r="T78" s="49"/>
    </row>
    <row r="79">
      <c r="A79" s="69">
        <v>4316.0</v>
      </c>
      <c r="B79" s="69" t="s">
        <v>29</v>
      </c>
      <c r="C79" s="70" t="s">
        <v>155</v>
      </c>
      <c r="D79" s="69" t="s">
        <v>212</v>
      </c>
      <c r="E79" s="41" t="str">
        <f>IFERROR(__xludf.DUMMYFUNCTION("vlookup(D79,IMPORTRANGE(""https://docs.google.com/spreadsheets/d/1swGwZOEqYlTEUCJLY-eeJM1911Kvaei5oySBIxdgtNo/edit?pli=1#gid=257618397"",""stock untanna!B:C""),2,false)"),"TAS JASMIN BESAR")</f>
        <v>TAS JASMIN BESAR</v>
      </c>
      <c r="F79" s="70" t="s">
        <v>212</v>
      </c>
      <c r="G79" s="71" t="s">
        <v>213</v>
      </c>
      <c r="H79" s="41" t="str">
        <f>IFERROR(__xludf.DUMMYFUNCTION("vlookup($D79,IMPORTRANGE(""https://docs.google.com/spreadsheets/d/1swGwZOEqYlTEUCJLY-eeJM1911Kvaei5oySBIxdgtNo/edit?pli=1#gid=257618397"",""stock untanna!B:F""),5,false)"),"NB")</f>
        <v>NB</v>
      </c>
      <c r="I79" s="42" t="str">
        <f>IFERROR(__xludf.DUMMYFUNCTION("vlookup($D79,IMPORTRANGE(""https://docs.google.com/spreadsheets/d/1swGwZOEqYlTEUCJLY-eeJM1911Kvaei5oySBIxdgtNo/edit?pli=1#gid=257618397"",""stock untanna!B:G""),6,false)"),"")</f>
        <v/>
      </c>
      <c r="J79" s="43" t="str">
        <f t="shared" si="1"/>
        <v>ADA</v>
      </c>
      <c r="K79" s="72">
        <v>5.0</v>
      </c>
      <c r="L79" s="53" t="s">
        <v>62</v>
      </c>
      <c r="M79" s="73">
        <v>60000.0</v>
      </c>
      <c r="N79" s="74"/>
      <c r="O79" s="73">
        <v>300000.0</v>
      </c>
      <c r="P79" s="46" t="str">
        <f t="shared" si="2"/>
        <v>Rp60,000-5 LSN-0.00%</v>
      </c>
      <c r="Q79" s="75">
        <v>45408.0</v>
      </c>
      <c r="R79" s="76"/>
      <c r="S79" s="75">
        <v>45418.0</v>
      </c>
      <c r="T79" s="49"/>
    </row>
    <row r="80">
      <c r="A80" s="69">
        <v>4316.0</v>
      </c>
      <c r="B80" s="69" t="s">
        <v>29</v>
      </c>
      <c r="C80" s="70" t="s">
        <v>155</v>
      </c>
      <c r="D80" s="69" t="s">
        <v>214</v>
      </c>
      <c r="E80" s="41" t="str">
        <f>IFERROR(__xludf.DUMMYFUNCTION("vlookup(D80,IMPORTRANGE(""https://docs.google.com/spreadsheets/d/1swGwZOEqYlTEUCJLY-eeJM1911Kvaei5oySBIxdgtNo/edit?pli=1#gid=257618397"",""stock untanna!B:C""),2,false)"),"TAS COKLAT TEBAL KECIL ")</f>
        <v>TAS COKLAT TEBAL KECIL </v>
      </c>
      <c r="F80" s="70" t="s">
        <v>214</v>
      </c>
      <c r="G80" s="71" t="s">
        <v>215</v>
      </c>
      <c r="H80" s="41" t="str">
        <f>IFERROR(__xludf.DUMMYFUNCTION("vlookup($D80,IMPORTRANGE(""https://docs.google.com/spreadsheets/d/1swGwZOEqYlTEUCJLY-eeJM1911Kvaei5oySBIxdgtNo/edit?pli=1#gid=257618397"",""stock untanna!B:F""),5,false)"),"NB")</f>
        <v>NB</v>
      </c>
      <c r="I80" s="42" t="str">
        <f>IFERROR(__xludf.DUMMYFUNCTION("vlookup($D80,IMPORTRANGE(""https://docs.google.com/spreadsheets/d/1swGwZOEqYlTEUCJLY-eeJM1911Kvaei5oySBIxdgtNo/edit?pli=1#gid=257618397"",""stock untanna!B:G""),6,false)"),"")</f>
        <v/>
      </c>
      <c r="J80" s="43" t="str">
        <f t="shared" si="1"/>
        <v>ADA</v>
      </c>
      <c r="K80" s="72">
        <v>5.0</v>
      </c>
      <c r="L80" s="53" t="s">
        <v>62</v>
      </c>
      <c r="M80" s="73">
        <v>25000.0</v>
      </c>
      <c r="N80" s="74"/>
      <c r="O80" s="73">
        <v>125000.0</v>
      </c>
      <c r="P80" s="46" t="str">
        <f t="shared" si="2"/>
        <v>Rp25,000-5 LSN-0.00%</v>
      </c>
      <c r="Q80" s="75">
        <v>45408.0</v>
      </c>
      <c r="R80" s="76"/>
      <c r="S80" s="75">
        <v>45418.0</v>
      </c>
      <c r="T80" s="49"/>
    </row>
    <row r="81">
      <c r="A81" s="69">
        <v>4316.0</v>
      </c>
      <c r="B81" s="69" t="s">
        <v>29</v>
      </c>
      <c r="C81" s="70" t="s">
        <v>155</v>
      </c>
      <c r="D81" s="69" t="s">
        <v>216</v>
      </c>
      <c r="E81" s="41" t="str">
        <f>IFERROR(__xludf.DUMMYFUNCTION("vlookup(D81,IMPORTRANGE(""https://docs.google.com/spreadsheets/d/1swGwZOEqYlTEUCJLY-eeJM1911Kvaei5oySBIxdgtNo/edit?pli=1#gid=257618397"",""stock untanna!B:C""),2,false)"),"TAS COKLAT TEBAL BESAR")</f>
        <v>TAS COKLAT TEBAL BESAR</v>
      </c>
      <c r="F81" s="70" t="s">
        <v>216</v>
      </c>
      <c r="G81" s="71" t="s">
        <v>217</v>
      </c>
      <c r="H81" s="41" t="str">
        <f>IFERROR(__xludf.DUMMYFUNCTION("vlookup($D81,IMPORTRANGE(""https://docs.google.com/spreadsheets/d/1swGwZOEqYlTEUCJLY-eeJM1911Kvaei5oySBIxdgtNo/edit?pli=1#gid=257618397"",""stock untanna!B:F""),5,false)"),"NB")</f>
        <v>NB</v>
      </c>
      <c r="I81" s="42" t="str">
        <f>IFERROR(__xludf.DUMMYFUNCTION("vlookup($D81,IMPORTRANGE(""https://docs.google.com/spreadsheets/d/1swGwZOEqYlTEUCJLY-eeJM1911Kvaei5oySBIxdgtNo/edit?pli=1#gid=257618397"",""stock untanna!B:G""),6,false)"),"")</f>
        <v/>
      </c>
      <c r="J81" s="43" t="str">
        <f t="shared" si="1"/>
        <v>ADA</v>
      </c>
      <c r="K81" s="72">
        <v>5.0</v>
      </c>
      <c r="L81" s="53" t="s">
        <v>62</v>
      </c>
      <c r="M81" s="73">
        <v>35000.0</v>
      </c>
      <c r="N81" s="74"/>
      <c r="O81" s="73">
        <v>175000.0</v>
      </c>
      <c r="P81" s="46" t="str">
        <f t="shared" si="2"/>
        <v>Rp35,000-5 LSN-0.00%</v>
      </c>
      <c r="Q81" s="75">
        <v>45408.0</v>
      </c>
      <c r="R81" s="76"/>
      <c r="S81" s="75">
        <v>45418.0</v>
      </c>
      <c r="T81" s="49"/>
    </row>
    <row r="82">
      <c r="A82" s="69">
        <v>4316.0</v>
      </c>
      <c r="B82" s="69" t="s">
        <v>29</v>
      </c>
      <c r="C82" s="70" t="s">
        <v>155</v>
      </c>
      <c r="D82" s="69" t="s">
        <v>218</v>
      </c>
      <c r="E82" s="41" t="str">
        <f>IFERROR(__xludf.DUMMYFUNCTION("vlookup(D82,IMPORTRANGE(""https://docs.google.com/spreadsheets/d/1swGwZOEqYlTEUCJLY-eeJM1911Kvaei5oySBIxdgtNo/edit?pli=1#gid=257618397"",""stock untanna!B:C""),2,false)"),"TAS TALI GG-03 BESAR GLITTER")</f>
        <v>TAS TALI GG-03 BESAR GLITTER</v>
      </c>
      <c r="F82" s="70" t="s">
        <v>218</v>
      </c>
      <c r="G82" s="71" t="s">
        <v>219</v>
      </c>
      <c r="H82" s="41" t="str">
        <f>IFERROR(__xludf.DUMMYFUNCTION("vlookup($D82,IMPORTRANGE(""https://docs.google.com/spreadsheets/d/1swGwZOEqYlTEUCJLY-eeJM1911Kvaei5oySBIxdgtNo/edit?pli=1#gid=257618397"",""stock untanna!B:F""),5,false)"),"IM")</f>
        <v>IM</v>
      </c>
      <c r="I82" s="42" t="str">
        <f>IFERROR(__xludf.DUMMYFUNCTION("vlookup($D82,IMPORTRANGE(""https://docs.google.com/spreadsheets/d/1swGwZOEqYlTEUCJLY-eeJM1911Kvaei5oySBIxdgtNo/edit?pli=1#gid=257618397"",""stock untanna!B:G""),6,false)"),"")</f>
        <v/>
      </c>
      <c r="J82" s="43" t="str">
        <f t="shared" si="1"/>
        <v>ADA</v>
      </c>
      <c r="K82" s="72">
        <v>1.0</v>
      </c>
      <c r="L82" s="53" t="s">
        <v>62</v>
      </c>
      <c r="M82" s="73">
        <v>150000.0</v>
      </c>
      <c r="N82" s="74"/>
      <c r="O82" s="73">
        <v>150000.0</v>
      </c>
      <c r="P82" s="46" t="str">
        <f t="shared" si="2"/>
        <v>Rp150,000-1 LSN-0.00%</v>
      </c>
      <c r="Q82" s="75">
        <v>45408.0</v>
      </c>
      <c r="R82" s="76"/>
      <c r="S82" s="75">
        <v>45418.0</v>
      </c>
      <c r="T82" s="49"/>
    </row>
    <row r="83">
      <c r="A83" s="69">
        <v>4316.0</v>
      </c>
      <c r="B83" s="69" t="s">
        <v>29</v>
      </c>
      <c r="C83" s="70" t="s">
        <v>155</v>
      </c>
      <c r="D83" s="69"/>
      <c r="E83" s="41" t="s">
        <v>220</v>
      </c>
      <c r="F83" s="70"/>
      <c r="G83" s="71" t="s">
        <v>220</v>
      </c>
      <c r="H83" s="41" t="str">
        <f>IFERROR(__xludf.DUMMYFUNCTION("vlookup($D83,IMPORTRANGE(""https://docs.google.com/spreadsheets/d/1swGwZOEqYlTEUCJLY-eeJM1911Kvaei5oySBIxdgtNo/edit?pli=1#gid=257618397"",""stock untanna!B:F""),5,false)"),"#N/A")</f>
        <v>#N/A</v>
      </c>
      <c r="I83" s="42" t="str">
        <f>IFERROR(__xludf.DUMMYFUNCTION("vlookup($D83,IMPORTRANGE(""https://docs.google.com/spreadsheets/d/1swGwZOEqYlTEUCJLY-eeJM1911Kvaei5oySBIxdgtNo/edit?pli=1#gid=257618397"",""stock untanna!B:G""),6,false)"),"#N/A")</f>
        <v>#N/A</v>
      </c>
      <c r="J83" s="43" t="str">
        <f t="shared" si="1"/>
        <v>TIDAK ADA</v>
      </c>
      <c r="K83" s="72">
        <v>1.0</v>
      </c>
      <c r="L83" s="53" t="s">
        <v>62</v>
      </c>
      <c r="M83" s="73">
        <v>150000.0</v>
      </c>
      <c r="N83" s="74"/>
      <c r="O83" s="73">
        <v>150000.0</v>
      </c>
      <c r="P83" s="46" t="str">
        <f t="shared" si="2"/>
        <v>Rp150,000-1 LSN-0.00%</v>
      </c>
      <c r="Q83" s="75">
        <v>45408.0</v>
      </c>
      <c r="R83" s="76"/>
      <c r="S83" s="75">
        <v>45418.0</v>
      </c>
      <c r="T83" s="49"/>
    </row>
    <row r="84">
      <c r="A84" s="69">
        <v>4316.0</v>
      </c>
      <c r="B84" s="69" t="s">
        <v>29</v>
      </c>
      <c r="C84" s="70" t="s">
        <v>155</v>
      </c>
      <c r="D84" s="69"/>
      <c r="E84" s="41" t="s">
        <v>221</v>
      </c>
      <c r="F84" s="70"/>
      <c r="G84" s="71" t="s">
        <v>221</v>
      </c>
      <c r="H84" s="41" t="str">
        <f>IFERROR(__xludf.DUMMYFUNCTION("vlookup($D84,IMPORTRANGE(""https://docs.google.com/spreadsheets/d/1swGwZOEqYlTEUCJLY-eeJM1911Kvaei5oySBIxdgtNo/edit?pli=1#gid=257618397"",""stock untanna!B:F""),5,false)"),"#N/A")</f>
        <v>#N/A</v>
      </c>
      <c r="I84" s="42" t="str">
        <f>IFERROR(__xludf.DUMMYFUNCTION("vlookup($D84,IMPORTRANGE(""https://docs.google.com/spreadsheets/d/1swGwZOEqYlTEUCJLY-eeJM1911Kvaei5oySBIxdgtNo/edit?pli=1#gid=257618397"",""stock untanna!B:G""),6,false)"),"#N/A")</f>
        <v>#N/A</v>
      </c>
      <c r="J84" s="43" t="str">
        <f t="shared" si="1"/>
        <v>TIDAK ADA</v>
      </c>
      <c r="K84" s="72">
        <v>1.0</v>
      </c>
      <c r="L84" s="53" t="s">
        <v>62</v>
      </c>
      <c r="M84" s="73">
        <v>135000.0</v>
      </c>
      <c r="N84" s="74"/>
      <c r="O84" s="73">
        <v>135000.0</v>
      </c>
      <c r="P84" s="46" t="str">
        <f t="shared" si="2"/>
        <v>Rp135,000-1 LSN-0.00%</v>
      </c>
      <c r="Q84" s="75">
        <v>45408.0</v>
      </c>
      <c r="R84" s="76"/>
      <c r="S84" s="75">
        <v>45418.0</v>
      </c>
      <c r="T84" s="49"/>
    </row>
    <row r="85">
      <c r="A85" s="69">
        <v>4316.0</v>
      </c>
      <c r="B85" s="69" t="s">
        <v>29</v>
      </c>
      <c r="C85" s="70" t="s">
        <v>155</v>
      </c>
      <c r="D85" s="69"/>
      <c r="E85" s="41" t="s">
        <v>222</v>
      </c>
      <c r="F85" s="70"/>
      <c r="G85" s="71" t="s">
        <v>222</v>
      </c>
      <c r="H85" s="41" t="str">
        <f>IFERROR(__xludf.DUMMYFUNCTION("vlookup($D85,IMPORTRANGE(""https://docs.google.com/spreadsheets/d/1swGwZOEqYlTEUCJLY-eeJM1911Kvaei5oySBIxdgtNo/edit?pli=1#gid=257618397"",""stock untanna!B:F""),5,false)"),"#N/A")</f>
        <v>#N/A</v>
      </c>
      <c r="I85" s="42" t="str">
        <f>IFERROR(__xludf.DUMMYFUNCTION("vlookup($D85,IMPORTRANGE(""https://docs.google.com/spreadsheets/d/1swGwZOEqYlTEUCJLY-eeJM1911Kvaei5oySBIxdgtNo/edit?pli=1#gid=257618397"",""stock untanna!B:G""),6,false)"),"#N/A")</f>
        <v>#N/A</v>
      </c>
      <c r="J85" s="43" t="str">
        <f t="shared" si="1"/>
        <v>TIDAK ADA</v>
      </c>
      <c r="K85" s="72">
        <v>1.0</v>
      </c>
      <c r="L85" s="53" t="s">
        <v>62</v>
      </c>
      <c r="M85" s="73">
        <v>105000.0</v>
      </c>
      <c r="N85" s="74"/>
      <c r="O85" s="73">
        <v>105000.0</v>
      </c>
      <c r="P85" s="46" t="str">
        <f t="shared" si="2"/>
        <v>Rp105,000-1 LSN-0.00%</v>
      </c>
      <c r="Q85" s="75">
        <v>45408.0</v>
      </c>
      <c r="R85" s="76"/>
      <c r="S85" s="75">
        <v>45418.0</v>
      </c>
      <c r="T85" s="49"/>
    </row>
    <row r="86">
      <c r="A86" s="69">
        <v>4316.0</v>
      </c>
      <c r="B86" s="69" t="s">
        <v>29</v>
      </c>
      <c r="C86" s="70" t="s">
        <v>155</v>
      </c>
      <c r="D86" s="50" t="s">
        <v>223</v>
      </c>
      <c r="E86" s="41" t="str">
        <f>IFERROR(__xludf.DUMMYFUNCTION("vlookup(D86,IMPORTRANGE(""https://docs.google.com/spreadsheets/d/1swGwZOEqYlTEUCJLY-eeJM1911Kvaei5oySBIxdgtNo/edit?pli=1#gid=257618397"",""stock untanna!B:C""),2,false)"),"TAS LY HD 148 B")</f>
        <v>TAS LY HD 148 B</v>
      </c>
      <c r="F86" s="70" t="s">
        <v>224</v>
      </c>
      <c r="G86" s="71" t="s">
        <v>225</v>
      </c>
      <c r="H86" s="41" t="str">
        <f>IFERROR(__xludf.DUMMYFUNCTION("vlookup($D86,IMPORTRANGE(""https://docs.google.com/spreadsheets/d/1swGwZOEqYlTEUCJLY-eeJM1911Kvaei5oySBIxdgtNo/edit?pli=1#gid=257618397"",""stock untanna!B:F""),5,false)"),"NB")</f>
        <v>NB</v>
      </c>
      <c r="I86" s="42" t="str">
        <f>IFERROR(__xludf.DUMMYFUNCTION("vlookup($D86,IMPORTRANGE(""https://docs.google.com/spreadsheets/d/1swGwZOEqYlTEUCJLY-eeJM1911Kvaei5oySBIxdgtNo/edit?pli=1#gid=257618397"",""stock untanna!B:G""),6,false)"),"148 B")</f>
        <v>148 B</v>
      </c>
      <c r="J86" s="43" t="str">
        <f t="shared" si="1"/>
        <v>ADA</v>
      </c>
      <c r="K86" s="72">
        <v>12.0</v>
      </c>
      <c r="L86" s="53" t="s">
        <v>69</v>
      </c>
      <c r="M86" s="73">
        <v>8750.0</v>
      </c>
      <c r="N86" s="74"/>
      <c r="O86" s="73">
        <v>105000.0</v>
      </c>
      <c r="P86" s="46" t="str">
        <f t="shared" si="2"/>
        <v>Rp8,750-12 PCS-0.00%</v>
      </c>
      <c r="Q86" s="75">
        <v>45408.0</v>
      </c>
      <c r="R86" s="76"/>
      <c r="S86" s="75">
        <v>45418.0</v>
      </c>
      <c r="T86" s="49"/>
    </row>
    <row r="87">
      <c r="A87" s="69">
        <v>4316.0</v>
      </c>
      <c r="B87" s="69" t="s">
        <v>29</v>
      </c>
      <c r="C87" s="70" t="s">
        <v>155</v>
      </c>
      <c r="D87" s="69"/>
      <c r="E87" s="41" t="s">
        <v>226</v>
      </c>
      <c r="F87" s="70"/>
      <c r="G87" s="71" t="s">
        <v>226</v>
      </c>
      <c r="H87" s="41" t="str">
        <f>IFERROR(__xludf.DUMMYFUNCTION("vlookup($D87,IMPORTRANGE(""https://docs.google.com/spreadsheets/d/1swGwZOEqYlTEUCJLY-eeJM1911Kvaei5oySBIxdgtNo/edit?pli=1#gid=257618397"",""stock untanna!B:F""),5,false)"),"#N/A")</f>
        <v>#N/A</v>
      </c>
      <c r="I87" s="42" t="str">
        <f>IFERROR(__xludf.DUMMYFUNCTION("vlookup($D87,IMPORTRANGE(""https://docs.google.com/spreadsheets/d/1swGwZOEqYlTEUCJLY-eeJM1911Kvaei5oySBIxdgtNo/edit?pli=1#gid=257618397"",""stock untanna!B:G""),6,false)"),"#N/A")</f>
        <v>#N/A</v>
      </c>
      <c r="J87" s="43" t="str">
        <f t="shared" si="1"/>
        <v>TIDAK ADA</v>
      </c>
      <c r="K87" s="72">
        <v>1.0</v>
      </c>
      <c r="L87" s="53" t="s">
        <v>62</v>
      </c>
      <c r="M87" s="73">
        <v>105000.0</v>
      </c>
      <c r="N87" s="74"/>
      <c r="O87" s="73">
        <v>105000.0</v>
      </c>
      <c r="P87" s="46" t="str">
        <f t="shared" si="2"/>
        <v>Rp105,000-1 LSN-0.00%</v>
      </c>
      <c r="Q87" s="75">
        <v>45408.0</v>
      </c>
      <c r="R87" s="76"/>
      <c r="S87" s="75">
        <v>45418.0</v>
      </c>
      <c r="T87" s="49"/>
    </row>
    <row r="88">
      <c r="A88" s="69">
        <v>4316.0</v>
      </c>
      <c r="B88" s="69" t="s">
        <v>29</v>
      </c>
      <c r="C88" s="70" t="s">
        <v>155</v>
      </c>
      <c r="D88" s="69" t="s">
        <v>227</v>
      </c>
      <c r="E88" s="41" t="str">
        <f>IFERROR(__xludf.DUMMYFUNCTION("vlookup(D88,IMPORTRANGE(""https://docs.google.com/spreadsheets/d/1swGwZOEqYlTEUCJLY-eeJM1911Kvaei5oySBIxdgtNo/edit?pli=1#gid=257618397"",""stock untanna!B:C""),2,false)"),"TAS LY HD 149 B")</f>
        <v>TAS LY HD 149 B</v>
      </c>
      <c r="F88" s="70" t="s">
        <v>227</v>
      </c>
      <c r="G88" s="71" t="s">
        <v>228</v>
      </c>
      <c r="H88" s="41" t="str">
        <f>IFERROR(__xludf.DUMMYFUNCTION("vlookup($D88,IMPORTRANGE(""https://docs.google.com/spreadsheets/d/1swGwZOEqYlTEUCJLY-eeJM1911Kvaei5oySBIxdgtNo/edit?pli=1#gid=257618397"",""stock untanna!B:F""),5,false)"),"NB")</f>
        <v>NB</v>
      </c>
      <c r="I88" s="42" t="str">
        <f>IFERROR(__xludf.DUMMYFUNCTION("vlookup($D88,IMPORTRANGE(""https://docs.google.com/spreadsheets/d/1swGwZOEqYlTEUCJLY-eeJM1911Kvaei5oySBIxdgtNo/edit?pli=1#gid=257618397"",""stock untanna!B:G""),6,false)"),"149 B")</f>
        <v>149 B</v>
      </c>
      <c r="J88" s="43" t="str">
        <f t="shared" si="1"/>
        <v>ADA</v>
      </c>
      <c r="K88" s="72">
        <v>1.0</v>
      </c>
      <c r="L88" s="53" t="s">
        <v>62</v>
      </c>
      <c r="M88" s="73">
        <v>105000.0</v>
      </c>
      <c r="N88" s="74"/>
      <c r="O88" s="73">
        <v>105000.0</v>
      </c>
      <c r="P88" s="46" t="str">
        <f t="shared" si="2"/>
        <v>Rp105,000-1 LSN-0.00%</v>
      </c>
      <c r="Q88" s="75">
        <v>45408.0</v>
      </c>
      <c r="R88" s="76"/>
      <c r="S88" s="75">
        <v>45418.0</v>
      </c>
      <c r="T88" s="49"/>
    </row>
    <row r="89">
      <c r="A89" s="69">
        <v>4316.0</v>
      </c>
      <c r="B89" s="69" t="s">
        <v>29</v>
      </c>
      <c r="C89" s="70" t="s">
        <v>155</v>
      </c>
      <c r="D89" s="69"/>
      <c r="E89" s="41" t="s">
        <v>229</v>
      </c>
      <c r="F89" s="70"/>
      <c r="G89" s="71" t="s">
        <v>229</v>
      </c>
      <c r="H89" s="41" t="str">
        <f>IFERROR(__xludf.DUMMYFUNCTION("vlookup($D89,IMPORTRANGE(""https://docs.google.com/spreadsheets/d/1swGwZOEqYlTEUCJLY-eeJM1911Kvaei5oySBIxdgtNo/edit?pli=1#gid=257618397"",""stock untanna!B:F""),5,false)"),"#N/A")</f>
        <v>#N/A</v>
      </c>
      <c r="I89" s="42" t="str">
        <f>IFERROR(__xludf.DUMMYFUNCTION("vlookup($D89,IMPORTRANGE(""https://docs.google.com/spreadsheets/d/1swGwZOEqYlTEUCJLY-eeJM1911Kvaei5oySBIxdgtNo/edit?pli=1#gid=257618397"",""stock untanna!B:G""),6,false)"),"#N/A")</f>
        <v>#N/A</v>
      </c>
      <c r="J89" s="43" t="str">
        <f t="shared" si="1"/>
        <v>TIDAK ADA</v>
      </c>
      <c r="K89" s="72">
        <v>1.0</v>
      </c>
      <c r="L89" s="53" t="s">
        <v>62</v>
      </c>
      <c r="M89" s="73">
        <v>115500.0</v>
      </c>
      <c r="N89" s="74"/>
      <c r="O89" s="73">
        <v>115500.0</v>
      </c>
      <c r="P89" s="46" t="str">
        <f t="shared" si="2"/>
        <v>Rp115,500-1 LSN-0.00%</v>
      </c>
      <c r="Q89" s="75">
        <v>45408.0</v>
      </c>
      <c r="R89" s="76"/>
      <c r="S89" s="75">
        <v>45418.0</v>
      </c>
      <c r="T89" s="49"/>
    </row>
    <row r="90">
      <c r="A90" s="69">
        <v>4316.0</v>
      </c>
      <c r="B90" s="69" t="s">
        <v>29</v>
      </c>
      <c r="C90" s="70" t="s">
        <v>155</v>
      </c>
      <c r="D90" s="69"/>
      <c r="E90" s="41" t="s">
        <v>230</v>
      </c>
      <c r="F90" s="70"/>
      <c r="G90" s="71" t="s">
        <v>230</v>
      </c>
      <c r="H90" s="41" t="str">
        <f>IFERROR(__xludf.DUMMYFUNCTION("vlookup($D90,IMPORTRANGE(""https://docs.google.com/spreadsheets/d/1swGwZOEqYlTEUCJLY-eeJM1911Kvaei5oySBIxdgtNo/edit?pli=1#gid=257618397"",""stock untanna!B:F""),5,false)"),"#N/A")</f>
        <v>#N/A</v>
      </c>
      <c r="I90" s="42" t="str">
        <f>IFERROR(__xludf.DUMMYFUNCTION("vlookup($D90,IMPORTRANGE(""https://docs.google.com/spreadsheets/d/1swGwZOEqYlTEUCJLY-eeJM1911Kvaei5oySBIxdgtNo/edit?pli=1#gid=257618397"",""stock untanna!B:G""),6,false)"),"#N/A")</f>
        <v>#N/A</v>
      </c>
      <c r="J90" s="43" t="str">
        <f t="shared" si="1"/>
        <v>TIDAK ADA</v>
      </c>
      <c r="K90" s="72">
        <v>1.0</v>
      </c>
      <c r="L90" s="53" t="s">
        <v>62</v>
      </c>
      <c r="M90" s="73">
        <v>105000.0</v>
      </c>
      <c r="N90" s="74"/>
      <c r="O90" s="73">
        <v>105000.0</v>
      </c>
      <c r="P90" s="46" t="str">
        <f t="shared" si="2"/>
        <v>Rp105,000-1 LSN-0.00%</v>
      </c>
      <c r="Q90" s="75">
        <v>45408.0</v>
      </c>
      <c r="R90" s="76"/>
      <c r="S90" s="75">
        <v>45418.0</v>
      </c>
      <c r="T90" s="49"/>
    </row>
    <row r="91">
      <c r="A91" s="69">
        <v>4317.0</v>
      </c>
      <c r="B91" s="69" t="s">
        <v>29</v>
      </c>
      <c r="C91" s="70" t="s">
        <v>155</v>
      </c>
      <c r="D91" s="69"/>
      <c r="E91" s="41" t="s">
        <v>231</v>
      </c>
      <c r="F91" s="70"/>
      <c r="G91" s="71" t="s">
        <v>231</v>
      </c>
      <c r="H91" s="41" t="str">
        <f>IFERROR(__xludf.DUMMYFUNCTION("vlookup($D91,IMPORTRANGE(""https://docs.google.com/spreadsheets/d/1swGwZOEqYlTEUCJLY-eeJM1911Kvaei5oySBIxdgtNo/edit?pli=1#gid=257618397"",""stock untanna!B:F""),5,false)"),"#N/A")</f>
        <v>#N/A</v>
      </c>
      <c r="I91" s="42" t="str">
        <f>IFERROR(__xludf.DUMMYFUNCTION("vlookup($D91,IMPORTRANGE(""https://docs.google.com/spreadsheets/d/1swGwZOEqYlTEUCJLY-eeJM1911Kvaei5oySBIxdgtNo/edit?pli=1#gid=257618397"",""stock untanna!B:G""),6,false)"),"#N/A")</f>
        <v>#N/A</v>
      </c>
      <c r="J91" s="43" t="str">
        <f t="shared" si="1"/>
        <v>TIDAK ADA</v>
      </c>
      <c r="K91" s="72">
        <v>1.0</v>
      </c>
      <c r="L91" s="53" t="s">
        <v>62</v>
      </c>
      <c r="M91" s="73">
        <v>115500.0</v>
      </c>
      <c r="N91" s="74"/>
      <c r="O91" s="73">
        <v>115500.0</v>
      </c>
      <c r="P91" s="46" t="str">
        <f t="shared" si="2"/>
        <v>Rp115,500-1 LSN-0.00%</v>
      </c>
      <c r="Q91" s="75">
        <v>45408.0</v>
      </c>
      <c r="R91" s="76"/>
      <c r="S91" s="75">
        <v>45418.0</v>
      </c>
      <c r="T91" s="49"/>
    </row>
    <row r="92">
      <c r="A92" s="69">
        <v>4317.0</v>
      </c>
      <c r="B92" s="69" t="s">
        <v>29</v>
      </c>
      <c r="C92" s="70" t="s">
        <v>155</v>
      </c>
      <c r="D92" s="69" t="s">
        <v>232</v>
      </c>
      <c r="E92" s="41" t="str">
        <f>IFERROR(__xludf.DUMMYFUNCTION("vlookup(D92,IMPORTRANGE(""https://docs.google.com/spreadsheets/d/1swGwZOEqYlTEUCJLY-eeJM1911Kvaei5oySBIxdgtNo/edit?pli=1#gid=257618397"",""stock untanna!B:C""),2,false)"),"TAS 2850-L (TANGGUNG TIMBUL GLITTER)")</f>
        <v>TAS 2850-L (TANGGUNG TIMBUL GLITTER)</v>
      </c>
      <c r="F92" s="70" t="s">
        <v>232</v>
      </c>
      <c r="G92" s="78" t="s">
        <v>233</v>
      </c>
      <c r="H92" s="41" t="str">
        <f>IFERROR(__xludf.DUMMYFUNCTION("vlookup($D92,IMPORTRANGE(""https://docs.google.com/spreadsheets/d/1swGwZOEqYlTEUCJLY-eeJM1911Kvaei5oySBIxdgtNo/edit?pli=1#gid=257618397"",""stock untanna!B:F""),5,false)"),"IM")</f>
        <v>IM</v>
      </c>
      <c r="I92" s="42" t="str">
        <f>IFERROR(__xludf.DUMMYFUNCTION("vlookup($D92,IMPORTRANGE(""https://docs.google.com/spreadsheets/d/1swGwZOEqYlTEUCJLY-eeJM1911Kvaei5oySBIxdgtNo/edit?pli=1#gid=257618397"",""stock untanna!B:G""),6,false)"),"")</f>
        <v/>
      </c>
      <c r="J92" s="43" t="str">
        <f t="shared" si="1"/>
        <v>ADA</v>
      </c>
      <c r="K92" s="72">
        <v>1.0</v>
      </c>
      <c r="L92" s="53" t="s">
        <v>62</v>
      </c>
      <c r="M92" s="73">
        <v>115500.0</v>
      </c>
      <c r="N92" s="74"/>
      <c r="O92" s="73">
        <v>115500.0</v>
      </c>
      <c r="P92" s="46" t="str">
        <f t="shared" si="2"/>
        <v>Rp115,500-1 LSN-0.00%</v>
      </c>
      <c r="Q92" s="75">
        <v>45408.0</v>
      </c>
      <c r="R92" s="76"/>
      <c r="S92" s="75">
        <v>45418.0</v>
      </c>
      <c r="T92" s="49"/>
    </row>
    <row r="93">
      <c r="A93" s="69">
        <v>4317.0</v>
      </c>
      <c r="B93" s="69" t="s">
        <v>29</v>
      </c>
      <c r="C93" s="70" t="s">
        <v>155</v>
      </c>
      <c r="D93" s="69"/>
      <c r="E93" s="41" t="s">
        <v>234</v>
      </c>
      <c r="F93" s="70"/>
      <c r="G93" s="71" t="s">
        <v>234</v>
      </c>
      <c r="H93" s="41" t="str">
        <f>IFERROR(__xludf.DUMMYFUNCTION("vlookup($D93,IMPORTRANGE(""https://docs.google.com/spreadsheets/d/1swGwZOEqYlTEUCJLY-eeJM1911Kvaei5oySBIxdgtNo/edit?pli=1#gid=257618397"",""stock untanna!B:F""),5,false)"),"#N/A")</f>
        <v>#N/A</v>
      </c>
      <c r="I93" s="42" t="str">
        <f>IFERROR(__xludf.DUMMYFUNCTION("vlookup($D93,IMPORTRANGE(""https://docs.google.com/spreadsheets/d/1swGwZOEqYlTEUCJLY-eeJM1911Kvaei5oySBIxdgtNo/edit?pli=1#gid=257618397"",""stock untanna!B:G""),6,false)"),"#N/A")</f>
        <v>#N/A</v>
      </c>
      <c r="J93" s="43" t="str">
        <f t="shared" si="1"/>
        <v>TIDAK ADA</v>
      </c>
      <c r="K93" s="72">
        <v>1.0</v>
      </c>
      <c r="L93" s="53" t="s">
        <v>62</v>
      </c>
      <c r="M93" s="73">
        <v>115500.0</v>
      </c>
      <c r="N93" s="74"/>
      <c r="O93" s="73">
        <v>115500.0</v>
      </c>
      <c r="P93" s="46" t="str">
        <f t="shared" si="2"/>
        <v>Rp115,500-1 LSN-0.00%</v>
      </c>
      <c r="Q93" s="75">
        <v>45408.0</v>
      </c>
      <c r="R93" s="76"/>
      <c r="S93" s="75">
        <v>45418.0</v>
      </c>
      <c r="T93" s="49"/>
    </row>
    <row r="94">
      <c r="A94" s="69">
        <v>4317.0</v>
      </c>
      <c r="B94" s="69" t="s">
        <v>29</v>
      </c>
      <c r="C94" s="70" t="s">
        <v>155</v>
      </c>
      <c r="D94" s="69"/>
      <c r="E94" s="41" t="s">
        <v>235</v>
      </c>
      <c r="F94" s="70"/>
      <c r="G94" s="71" t="s">
        <v>235</v>
      </c>
      <c r="H94" s="41" t="str">
        <f>IFERROR(__xludf.DUMMYFUNCTION("vlookup($D94,IMPORTRANGE(""https://docs.google.com/spreadsheets/d/1swGwZOEqYlTEUCJLY-eeJM1911Kvaei5oySBIxdgtNo/edit?pli=1#gid=257618397"",""stock untanna!B:F""),5,false)"),"#N/A")</f>
        <v>#N/A</v>
      </c>
      <c r="I94" s="42" t="str">
        <f>IFERROR(__xludf.DUMMYFUNCTION("vlookup($D94,IMPORTRANGE(""https://docs.google.com/spreadsheets/d/1swGwZOEqYlTEUCJLY-eeJM1911Kvaei5oySBIxdgtNo/edit?pli=1#gid=257618397"",""stock untanna!B:G""),6,false)"),"#N/A")</f>
        <v>#N/A</v>
      </c>
      <c r="J94" s="43" t="str">
        <f t="shared" si="1"/>
        <v>TIDAK ADA</v>
      </c>
      <c r="K94" s="72">
        <v>1.0</v>
      </c>
      <c r="L94" s="53" t="s">
        <v>62</v>
      </c>
      <c r="M94" s="73">
        <v>70000.0</v>
      </c>
      <c r="N94" s="74"/>
      <c r="O94" s="73">
        <v>70000.0</v>
      </c>
      <c r="P94" s="46" t="str">
        <f t="shared" si="2"/>
        <v>Rp70,000-1 LSN-0.00%</v>
      </c>
      <c r="Q94" s="75">
        <v>45408.0</v>
      </c>
      <c r="R94" s="76"/>
      <c r="S94" s="75">
        <v>45418.0</v>
      </c>
      <c r="T94" s="49"/>
    </row>
    <row r="95">
      <c r="A95" s="69">
        <v>4317.0</v>
      </c>
      <c r="B95" s="69" t="s">
        <v>29</v>
      </c>
      <c r="C95" s="70" t="s">
        <v>155</v>
      </c>
      <c r="D95" s="69" t="s">
        <v>236</v>
      </c>
      <c r="E95" s="41" t="str">
        <f>IFERROR(__xludf.DUMMYFUNCTION("vlookup(D95,IMPORTRANGE(""https://docs.google.com/spreadsheets/d/1swGwZOEqYlTEUCJLY-eeJM1911Kvaei5oySBIxdgtNo/edit?pli=1#gid=257618397"",""stock untanna!B:C""),2,false)"),"TAS NO-3026-L GLITTER TANGGUNG")</f>
        <v>TAS NO-3026-L GLITTER TANGGUNG</v>
      </c>
      <c r="F95" s="70" t="s">
        <v>236</v>
      </c>
      <c r="G95" s="71" t="s">
        <v>237</v>
      </c>
      <c r="H95" s="41" t="str">
        <f>IFERROR(__xludf.DUMMYFUNCTION("vlookup($D95,IMPORTRANGE(""https://docs.google.com/spreadsheets/d/1swGwZOEqYlTEUCJLY-eeJM1911Kvaei5oySBIxdgtNo/edit?pli=1#gid=257618397"",""stock untanna!B:F""),5,false)"),"IM")</f>
        <v>IM</v>
      </c>
      <c r="I95" s="42" t="str">
        <f>IFERROR(__xludf.DUMMYFUNCTION("vlookup($D95,IMPORTRANGE(""https://docs.google.com/spreadsheets/d/1swGwZOEqYlTEUCJLY-eeJM1911Kvaei5oySBIxdgtNo/edit?pli=1#gid=257618397"",""stock untanna!B:G""),6,false)"),"")</f>
        <v/>
      </c>
      <c r="J95" s="43" t="str">
        <f t="shared" si="1"/>
        <v>ADA</v>
      </c>
      <c r="K95" s="72">
        <v>12.0</v>
      </c>
      <c r="L95" s="53" t="s">
        <v>69</v>
      </c>
      <c r="M95" s="73">
        <v>9625.0</v>
      </c>
      <c r="N95" s="74"/>
      <c r="O95" s="73">
        <v>115500.0</v>
      </c>
      <c r="P95" s="46" t="str">
        <f t="shared" si="2"/>
        <v>Rp9,625-12 PCS-0.00%</v>
      </c>
      <c r="Q95" s="75">
        <v>45408.0</v>
      </c>
      <c r="R95" s="76"/>
      <c r="S95" s="75">
        <v>45418.0</v>
      </c>
      <c r="T95" s="49"/>
    </row>
    <row r="96">
      <c r="A96" s="69">
        <v>4317.0</v>
      </c>
      <c r="B96" s="69" t="s">
        <v>29</v>
      </c>
      <c r="C96" s="70" t="s">
        <v>155</v>
      </c>
      <c r="D96" s="69"/>
      <c r="E96" s="41" t="s">
        <v>238</v>
      </c>
      <c r="F96" s="70"/>
      <c r="G96" s="71" t="s">
        <v>238</v>
      </c>
      <c r="H96" s="41" t="str">
        <f>IFERROR(__xludf.DUMMYFUNCTION("vlookup($D96,IMPORTRANGE(""https://docs.google.com/spreadsheets/d/1swGwZOEqYlTEUCJLY-eeJM1911Kvaei5oySBIxdgtNo/edit?pli=1#gid=257618397"",""stock untanna!B:F""),5,false)"),"#N/A")</f>
        <v>#N/A</v>
      </c>
      <c r="I96" s="42" t="str">
        <f>IFERROR(__xludf.DUMMYFUNCTION("vlookup($D96,IMPORTRANGE(""https://docs.google.com/spreadsheets/d/1swGwZOEqYlTEUCJLY-eeJM1911Kvaei5oySBIxdgtNo/edit?pli=1#gid=257618397"",""stock untanna!B:G""),6,false)"),"#N/A")</f>
        <v>#N/A</v>
      </c>
      <c r="J96" s="43" t="str">
        <f t="shared" si="1"/>
        <v>TIDAK ADA</v>
      </c>
      <c r="K96" s="72">
        <v>1.0</v>
      </c>
      <c r="L96" s="53" t="s">
        <v>62</v>
      </c>
      <c r="M96" s="73">
        <v>105000.0</v>
      </c>
      <c r="N96" s="74"/>
      <c r="O96" s="73">
        <v>105000.0</v>
      </c>
      <c r="P96" s="46" t="str">
        <f t="shared" si="2"/>
        <v>Rp105,000-1 LSN-0.00%</v>
      </c>
      <c r="Q96" s="75">
        <v>45408.0</v>
      </c>
      <c r="R96" s="76"/>
      <c r="S96" s="75">
        <v>45418.0</v>
      </c>
      <c r="T96" s="49"/>
    </row>
    <row r="97">
      <c r="A97" s="69">
        <v>4317.0</v>
      </c>
      <c r="B97" s="69" t="s">
        <v>29</v>
      </c>
      <c r="C97" s="70" t="s">
        <v>155</v>
      </c>
      <c r="D97" s="50" t="s">
        <v>239</v>
      </c>
      <c r="E97" s="41" t="str">
        <f>IFERROR(__xludf.DUMMYFUNCTION("vlookup(D97,IMPORTRANGE(""https://docs.google.com/spreadsheets/d/1swGwZOEqYlTEUCJLY-eeJM1911Kvaei5oySBIxdgtNo/edit?pli=1#gid=257618397"",""stock untanna!B:C""),2,false)"),"TAS LYSD 229 K")</f>
        <v>TAS LYSD 229 K</v>
      </c>
      <c r="F97" s="70" t="s">
        <v>240</v>
      </c>
      <c r="G97" s="71" t="s">
        <v>241</v>
      </c>
      <c r="H97" s="41" t="str">
        <f>IFERROR(__xludf.DUMMYFUNCTION("vlookup($D97,IMPORTRANGE(""https://docs.google.com/spreadsheets/d/1swGwZOEqYlTEUCJLY-eeJM1911Kvaei5oySBIxdgtNo/edit?pli=1#gid=257618397"",""stock untanna!B:F""),5,false)"),"NB")</f>
        <v>NB</v>
      </c>
      <c r="I97" s="42" t="str">
        <f>IFERROR(__xludf.DUMMYFUNCTION("vlookup($D97,IMPORTRANGE(""https://docs.google.com/spreadsheets/d/1swGwZOEqYlTEUCJLY-eeJM1911Kvaei5oySBIxdgtNo/edit?pli=1#gid=257618397"",""stock untanna!B:G""),6,false)"),"229")</f>
        <v>229</v>
      </c>
      <c r="J97" s="43" t="str">
        <f t="shared" si="1"/>
        <v>ADA</v>
      </c>
      <c r="K97" s="72">
        <v>12.0</v>
      </c>
      <c r="L97" s="53" t="s">
        <v>69</v>
      </c>
      <c r="M97" s="73">
        <v>5000.0</v>
      </c>
      <c r="N97" s="74"/>
      <c r="O97" s="73">
        <v>60000.0</v>
      </c>
      <c r="P97" s="46" t="str">
        <f t="shared" si="2"/>
        <v>Rp5,000-12 PCS-0.00%</v>
      </c>
      <c r="Q97" s="75">
        <v>45408.0</v>
      </c>
      <c r="R97" s="76"/>
      <c r="S97" s="75">
        <v>45418.0</v>
      </c>
      <c r="T97" s="49"/>
    </row>
    <row r="98">
      <c r="A98" s="69">
        <v>4317.0</v>
      </c>
      <c r="B98" s="69" t="s">
        <v>29</v>
      </c>
      <c r="C98" s="70" t="s">
        <v>155</v>
      </c>
      <c r="D98" s="69"/>
      <c r="E98" s="41" t="s">
        <v>242</v>
      </c>
      <c r="F98" s="70"/>
      <c r="G98" s="71" t="s">
        <v>242</v>
      </c>
      <c r="H98" s="41" t="str">
        <f>IFERROR(__xludf.DUMMYFUNCTION("vlookup($D98,IMPORTRANGE(""https://docs.google.com/spreadsheets/d/1swGwZOEqYlTEUCJLY-eeJM1911Kvaei5oySBIxdgtNo/edit?pli=1#gid=257618397"",""stock untanna!B:F""),5,false)"),"#N/A")</f>
        <v>#N/A</v>
      </c>
      <c r="I98" s="42" t="str">
        <f>IFERROR(__xludf.DUMMYFUNCTION("vlookup($D98,IMPORTRANGE(""https://docs.google.com/spreadsheets/d/1swGwZOEqYlTEUCJLY-eeJM1911Kvaei5oySBIxdgtNo/edit?pli=1#gid=257618397"",""stock untanna!B:G""),6,false)"),"#N/A")</f>
        <v>#N/A</v>
      </c>
      <c r="J98" s="43" t="str">
        <f t="shared" si="1"/>
        <v>TIDAK ADA</v>
      </c>
      <c r="K98" s="72">
        <v>1.0</v>
      </c>
      <c r="L98" s="53" t="s">
        <v>62</v>
      </c>
      <c r="M98" s="73">
        <v>70000.0</v>
      </c>
      <c r="N98" s="74"/>
      <c r="O98" s="73">
        <v>70000.0</v>
      </c>
      <c r="P98" s="46" t="str">
        <f t="shared" si="2"/>
        <v>Rp70,000-1 LSN-0.00%</v>
      </c>
      <c r="Q98" s="75">
        <v>45408.0</v>
      </c>
      <c r="R98" s="76"/>
      <c r="S98" s="75">
        <v>45418.0</v>
      </c>
      <c r="T98" s="49"/>
    </row>
    <row r="99">
      <c r="A99" s="69">
        <v>4317.0</v>
      </c>
      <c r="B99" s="69" t="s">
        <v>29</v>
      </c>
      <c r="C99" s="70" t="s">
        <v>155</v>
      </c>
      <c r="D99" s="69"/>
      <c r="E99" s="41" t="s">
        <v>243</v>
      </c>
      <c r="F99" s="70"/>
      <c r="G99" s="71" t="s">
        <v>243</v>
      </c>
      <c r="H99" s="41" t="str">
        <f>IFERROR(__xludf.DUMMYFUNCTION("vlookup($D99,IMPORTRANGE(""https://docs.google.com/spreadsheets/d/1swGwZOEqYlTEUCJLY-eeJM1911Kvaei5oySBIxdgtNo/edit?pli=1#gid=257618397"",""stock untanna!B:F""),5,false)"),"#N/A")</f>
        <v>#N/A</v>
      </c>
      <c r="I99" s="42" t="str">
        <f>IFERROR(__xludf.DUMMYFUNCTION("vlookup($D99,IMPORTRANGE(""https://docs.google.com/spreadsheets/d/1swGwZOEqYlTEUCJLY-eeJM1911Kvaei5oySBIxdgtNo/edit?pli=1#gid=257618397"",""stock untanna!B:G""),6,false)"),"#N/A")</f>
        <v>#N/A</v>
      </c>
      <c r="J99" s="43" t="str">
        <f t="shared" si="1"/>
        <v>TIDAK ADA</v>
      </c>
      <c r="K99" s="72">
        <v>1.0</v>
      </c>
      <c r="L99" s="53" t="s">
        <v>62</v>
      </c>
      <c r="M99" s="73">
        <v>60000.0</v>
      </c>
      <c r="N99" s="74"/>
      <c r="O99" s="73">
        <v>60000.0</v>
      </c>
      <c r="P99" s="46" t="str">
        <f t="shared" si="2"/>
        <v>Rp60,000-1 LSN-0.00%</v>
      </c>
      <c r="Q99" s="75">
        <v>45408.0</v>
      </c>
      <c r="R99" s="76"/>
      <c r="S99" s="75">
        <v>45418.0</v>
      </c>
      <c r="T99" s="49"/>
    </row>
    <row r="100">
      <c r="A100" s="69">
        <v>4317.0</v>
      </c>
      <c r="B100" s="69" t="s">
        <v>29</v>
      </c>
      <c r="C100" s="70" t="s">
        <v>155</v>
      </c>
      <c r="D100" s="69" t="s">
        <v>244</v>
      </c>
      <c r="E100" s="41" t="str">
        <f>IFERROR(__xludf.DUMMYFUNCTION("vlookup(D100,IMPORTRANGE(""https://docs.google.com/spreadsheets/d/1swGwZOEqYlTEUCJLY-eeJM1911Kvaei5oySBIxdgtNo/edit?pli=1#gid=257618397"",""stock untanna!B:C""),2,false)"),"TAS 203C GLITTER KECIL")</f>
        <v>TAS 203C GLITTER KECIL</v>
      </c>
      <c r="F100" s="70" t="s">
        <v>244</v>
      </c>
      <c r="G100" s="71" t="s">
        <v>245</v>
      </c>
      <c r="H100" s="41" t="str">
        <f>IFERROR(__xludf.DUMMYFUNCTION("vlookup($D100,IMPORTRANGE(""https://docs.google.com/spreadsheets/d/1swGwZOEqYlTEUCJLY-eeJM1911Kvaei5oySBIxdgtNo/edit?pli=1#gid=257618397"",""stock untanna!B:F""),5,false)"),"IM")</f>
        <v>IM</v>
      </c>
      <c r="I100" s="42" t="str">
        <f>IFERROR(__xludf.DUMMYFUNCTION("vlookup($D100,IMPORTRANGE(""https://docs.google.com/spreadsheets/d/1swGwZOEqYlTEUCJLY-eeJM1911Kvaei5oySBIxdgtNo/edit?pli=1#gid=257618397"",""stock untanna!B:G""),6,false)"),"203C")</f>
        <v>203C</v>
      </c>
      <c r="J100" s="43" t="str">
        <f t="shared" si="1"/>
        <v>ADA</v>
      </c>
      <c r="K100" s="72">
        <v>1.0</v>
      </c>
      <c r="L100" s="53" t="s">
        <v>62</v>
      </c>
      <c r="M100" s="73">
        <v>70000.0</v>
      </c>
      <c r="N100" s="74"/>
      <c r="O100" s="73">
        <v>70000.0</v>
      </c>
      <c r="P100" s="46" t="str">
        <f t="shared" si="2"/>
        <v>Rp70,000-1 LSN-0.00%</v>
      </c>
      <c r="Q100" s="75">
        <v>45408.0</v>
      </c>
      <c r="R100" s="76"/>
      <c r="S100" s="75">
        <v>45418.0</v>
      </c>
      <c r="T100" s="49"/>
    </row>
    <row r="101">
      <c r="A101" s="69">
        <v>4317.0</v>
      </c>
      <c r="B101" s="69" t="s">
        <v>29</v>
      </c>
      <c r="C101" s="70" t="s">
        <v>155</v>
      </c>
      <c r="D101" s="69"/>
      <c r="E101" s="41" t="s">
        <v>246</v>
      </c>
      <c r="F101" s="70"/>
      <c r="G101" s="71" t="s">
        <v>246</v>
      </c>
      <c r="H101" s="41" t="str">
        <f>IFERROR(__xludf.DUMMYFUNCTION("vlookup($D101,IMPORTRANGE(""https://docs.google.com/spreadsheets/d/1swGwZOEqYlTEUCJLY-eeJM1911Kvaei5oySBIxdgtNo/edit?pli=1#gid=257618397"",""stock untanna!B:F""),5,false)"),"#N/A")</f>
        <v>#N/A</v>
      </c>
      <c r="I101" s="42" t="str">
        <f>IFERROR(__xludf.DUMMYFUNCTION("vlookup($D101,IMPORTRANGE(""https://docs.google.com/spreadsheets/d/1swGwZOEqYlTEUCJLY-eeJM1911Kvaei5oySBIxdgtNo/edit?pli=1#gid=257618397"",""stock untanna!B:G""),6,false)"),"#N/A")</f>
        <v>#N/A</v>
      </c>
      <c r="J101" s="43" t="str">
        <f t="shared" si="1"/>
        <v>TIDAK ADA</v>
      </c>
      <c r="K101" s="72">
        <v>1.0</v>
      </c>
      <c r="L101" s="53" t="s">
        <v>62</v>
      </c>
      <c r="M101" s="73">
        <v>70000.0</v>
      </c>
      <c r="N101" s="74"/>
      <c r="O101" s="73">
        <v>70000.0</v>
      </c>
      <c r="P101" s="46" t="str">
        <f t="shared" si="2"/>
        <v>Rp70,000-1 LSN-0.00%</v>
      </c>
      <c r="Q101" s="75">
        <v>45408.0</v>
      </c>
      <c r="R101" s="76"/>
      <c r="S101" s="75">
        <v>45418.0</v>
      </c>
      <c r="T101" s="49"/>
    </row>
    <row r="102">
      <c r="A102" s="69">
        <v>4317.0</v>
      </c>
      <c r="B102" s="69" t="s">
        <v>29</v>
      </c>
      <c r="C102" s="70" t="s">
        <v>155</v>
      </c>
      <c r="D102" s="69" t="s">
        <v>247</v>
      </c>
      <c r="E102" s="41" t="str">
        <f>IFERROR(__xludf.DUMMYFUNCTION("vlookup(D102,IMPORTRANGE(""https://docs.google.com/spreadsheets/d/1swGwZOEqYlTEUCJLY-eeJM1911Kvaei5oySBIxdgtNo/edit?pli=1#gid=257618397"",""stock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2" s="70" t="s">
        <v>247</v>
      </c>
      <c r="G102" s="78" t="s">
        <v>248</v>
      </c>
      <c r="H102" s="41" t="str">
        <f>IFERROR(__xludf.DUMMYFUNCTION("vlookup($D102,IMPORTRANGE(""https://docs.google.com/spreadsheets/d/1swGwZOEqYlTEUCJLY-eeJM1911Kvaei5oySBIxdgtNo/edit?pli=1#gid=257618397"",""stock untanna!B:F""),5,false)"),"IM")</f>
        <v>IM</v>
      </c>
      <c r="I102" s="42" t="str">
        <f>IFERROR(__xludf.DUMMYFUNCTION("vlookup($D102,IMPORTRANGE(""https://docs.google.com/spreadsheets/d/1swGwZOEqYlTEUCJLY-eeJM1911Kvaei5oySBIxdgtNo/edit?pli=1#gid=257618397"",""stock untanna!B:G""),6,false)"),"FG-201")</f>
        <v>FG-201</v>
      </c>
      <c r="J102" s="43" t="str">
        <f t="shared" si="1"/>
        <v>ADA</v>
      </c>
      <c r="K102" s="72">
        <v>1.0</v>
      </c>
      <c r="L102" s="53" t="s">
        <v>62</v>
      </c>
      <c r="M102" s="73">
        <v>105000.0</v>
      </c>
      <c r="N102" s="74"/>
      <c r="O102" s="73">
        <v>105000.0</v>
      </c>
      <c r="P102" s="46" t="str">
        <f t="shared" si="2"/>
        <v>Rp105,000-1 LSN-0.00%</v>
      </c>
      <c r="Q102" s="75">
        <v>45408.0</v>
      </c>
      <c r="R102" s="76"/>
      <c r="S102" s="75">
        <v>45418.0</v>
      </c>
      <c r="T102" s="49"/>
    </row>
    <row r="103">
      <c r="A103" s="69">
        <v>4317.0</v>
      </c>
      <c r="B103" s="69" t="s">
        <v>29</v>
      </c>
      <c r="C103" s="70" t="s">
        <v>155</v>
      </c>
      <c r="D103" s="69" t="s">
        <v>249</v>
      </c>
      <c r="E103" s="41" t="str">
        <f>IFERROR(__xludf.DUMMYFUNCTION("vlookup(D103,IMPORTRANGE(""https://docs.google.com/spreadsheets/d/1swGwZOEqYlTEUCJLY-eeJM1911Kvaei5oySBIxdgtNo/edit?pli=1#gid=257618397"",""stock untanna!B:C""),2,false)"),"TAS TUTUP PITA KADO FG-101 KECIL")</f>
        <v>TAS TUTUP PITA KADO FG-101 KECIL</v>
      </c>
      <c r="F103" s="70" t="s">
        <v>249</v>
      </c>
      <c r="G103" s="71" t="s">
        <v>250</v>
      </c>
      <c r="H103" s="41" t="str">
        <f>IFERROR(__xludf.DUMMYFUNCTION("vlookup($D103,IMPORTRANGE(""https://docs.google.com/spreadsheets/d/1swGwZOEqYlTEUCJLY-eeJM1911Kvaei5oySBIxdgtNo/edit?pli=1#gid=257618397"",""stock untanna!B:F""),5,false)"),"IM")</f>
        <v>IM</v>
      </c>
      <c r="I103" s="42" t="str">
        <f>IFERROR(__xludf.DUMMYFUNCTION("vlookup($D103,IMPORTRANGE(""https://docs.google.com/spreadsheets/d/1swGwZOEqYlTEUCJLY-eeJM1911Kvaei5oySBIxdgtNo/edit?pli=1#gid=257618397"",""stock untanna!B:G""),6,false)"),"FG-101")</f>
        <v>FG-101</v>
      </c>
      <c r="J103" s="43" t="str">
        <f t="shared" si="1"/>
        <v>ADA</v>
      </c>
      <c r="K103" s="72">
        <v>1.0</v>
      </c>
      <c r="L103" s="53" t="s">
        <v>62</v>
      </c>
      <c r="M103" s="73">
        <v>63000.0</v>
      </c>
      <c r="N103" s="74"/>
      <c r="O103" s="73">
        <v>63000.0</v>
      </c>
      <c r="P103" s="46" t="str">
        <f t="shared" si="2"/>
        <v>Rp63,000-1 LSN-0.00%</v>
      </c>
      <c r="Q103" s="75">
        <v>45408.0</v>
      </c>
      <c r="R103" s="76"/>
      <c r="S103" s="75">
        <v>45418.0</v>
      </c>
      <c r="T103" s="49"/>
    </row>
    <row r="104">
      <c r="A104" s="69">
        <v>4317.0</v>
      </c>
      <c r="B104" s="69" t="s">
        <v>29</v>
      </c>
      <c r="C104" s="70" t="s">
        <v>155</v>
      </c>
      <c r="D104" s="69" t="s">
        <v>247</v>
      </c>
      <c r="E104" s="41" t="str">
        <f>IFERROR(__xludf.DUMMYFUNCTION("vlookup(D104,IMPORTRANGE(""https://docs.google.com/spreadsheets/d/1swGwZOEqYlTEUCJLY-eeJM1911Kvaei5oySBIxdgtNo/edit?pli=1#gid=257618397"",""stock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4" s="70" t="s">
        <v>247</v>
      </c>
      <c r="G104" s="78" t="s">
        <v>248</v>
      </c>
      <c r="H104" s="41" t="str">
        <f>IFERROR(__xludf.DUMMYFUNCTION("vlookup($D104,IMPORTRANGE(""https://docs.google.com/spreadsheets/d/1swGwZOEqYlTEUCJLY-eeJM1911Kvaei5oySBIxdgtNo/edit?pli=1#gid=257618397"",""stock untanna!B:F""),5,false)"),"IM")</f>
        <v>IM</v>
      </c>
      <c r="I104" s="42" t="str">
        <f>IFERROR(__xludf.DUMMYFUNCTION("vlookup($D104,IMPORTRANGE(""https://docs.google.com/spreadsheets/d/1swGwZOEqYlTEUCJLY-eeJM1911Kvaei5oySBIxdgtNo/edit?pli=1#gid=257618397"",""stock untanna!B:G""),6,false)"),"FG-201")</f>
        <v>FG-201</v>
      </c>
      <c r="J104" s="43" t="str">
        <f t="shared" si="1"/>
        <v>ADA</v>
      </c>
      <c r="K104" s="72">
        <v>1.0</v>
      </c>
      <c r="L104" s="53" t="s">
        <v>62</v>
      </c>
      <c r="M104" s="73">
        <v>105000.0</v>
      </c>
      <c r="N104" s="74"/>
      <c r="O104" s="73">
        <v>105000.0</v>
      </c>
      <c r="P104" s="46" t="str">
        <f t="shared" si="2"/>
        <v>Rp105,000-1 LSN-0.00%</v>
      </c>
      <c r="Q104" s="75">
        <v>45408.0</v>
      </c>
      <c r="R104" s="76"/>
      <c r="S104" s="75">
        <v>45418.0</v>
      </c>
      <c r="T104" s="49"/>
    </row>
    <row r="105">
      <c r="A105" s="69">
        <v>4317.0</v>
      </c>
      <c r="B105" s="69" t="s">
        <v>29</v>
      </c>
      <c r="C105" s="70" t="s">
        <v>155</v>
      </c>
      <c r="D105" s="69" t="s">
        <v>247</v>
      </c>
      <c r="E105" s="41" t="str">
        <f>IFERROR(__xludf.DUMMYFUNCTION("vlookup(D105,IMPORTRANGE(""https://docs.google.com/spreadsheets/d/1swGwZOEqYlTEUCJLY-eeJM1911Kvaei5oySBIxdgtNo/edit?pli=1#gid=257618397"",""stock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5" s="70" t="s">
        <v>247</v>
      </c>
      <c r="G105" s="78" t="s">
        <v>248</v>
      </c>
      <c r="H105" s="41" t="str">
        <f>IFERROR(__xludf.DUMMYFUNCTION("vlookup($D105,IMPORTRANGE(""https://docs.google.com/spreadsheets/d/1swGwZOEqYlTEUCJLY-eeJM1911Kvaei5oySBIxdgtNo/edit?pli=1#gid=257618397"",""stock untanna!B:F""),5,false)"),"IM")</f>
        <v>IM</v>
      </c>
      <c r="I105" s="42" t="str">
        <f>IFERROR(__xludf.DUMMYFUNCTION("vlookup($D105,IMPORTRANGE(""https://docs.google.com/spreadsheets/d/1swGwZOEqYlTEUCJLY-eeJM1911Kvaei5oySBIxdgtNo/edit?pli=1#gid=257618397"",""stock untanna!B:G""),6,false)"),"FG-201")</f>
        <v>FG-201</v>
      </c>
      <c r="J105" s="43" t="str">
        <f t="shared" si="1"/>
        <v>ADA</v>
      </c>
      <c r="K105" s="72">
        <v>1.0</v>
      </c>
      <c r="L105" s="53" t="s">
        <v>62</v>
      </c>
      <c r="M105" s="73">
        <v>105000.0</v>
      </c>
      <c r="N105" s="74"/>
      <c r="O105" s="73">
        <v>105000.0</v>
      </c>
      <c r="P105" s="46" t="str">
        <f t="shared" si="2"/>
        <v>Rp105,000-1 LSN-0.00%</v>
      </c>
      <c r="Q105" s="75">
        <v>45408.0</v>
      </c>
      <c r="R105" s="76"/>
      <c r="S105" s="75">
        <v>45418.0</v>
      </c>
      <c r="T105" s="49"/>
    </row>
    <row r="106">
      <c r="A106" s="69">
        <v>4317.0</v>
      </c>
      <c r="B106" s="69" t="s">
        <v>29</v>
      </c>
      <c r="C106" s="70" t="s">
        <v>155</v>
      </c>
      <c r="D106" s="69" t="s">
        <v>247</v>
      </c>
      <c r="E106" s="41" t="str">
        <f>IFERROR(__xludf.DUMMYFUNCTION("vlookup(D106,IMPORTRANGE(""https://docs.google.com/spreadsheets/d/1swGwZOEqYlTEUCJLY-eeJM1911Kvaei5oySBIxdgtNo/edit?pli=1#gid=257618397"",""stock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6" s="70" t="s">
        <v>247</v>
      </c>
      <c r="G106" s="78" t="s">
        <v>248</v>
      </c>
      <c r="H106" s="41" t="str">
        <f>IFERROR(__xludf.DUMMYFUNCTION("vlookup($D106,IMPORTRANGE(""https://docs.google.com/spreadsheets/d/1swGwZOEqYlTEUCJLY-eeJM1911Kvaei5oySBIxdgtNo/edit?pli=1#gid=257618397"",""stock untanna!B:F""),5,false)"),"IM")</f>
        <v>IM</v>
      </c>
      <c r="I106" s="42" t="str">
        <f>IFERROR(__xludf.DUMMYFUNCTION("vlookup($D106,IMPORTRANGE(""https://docs.google.com/spreadsheets/d/1swGwZOEqYlTEUCJLY-eeJM1911Kvaei5oySBIxdgtNo/edit?pli=1#gid=257618397"",""stock untanna!B:G""),6,false)"),"FG-201")</f>
        <v>FG-201</v>
      </c>
      <c r="J106" s="43" t="str">
        <f t="shared" si="1"/>
        <v>ADA</v>
      </c>
      <c r="K106" s="72">
        <v>1.0</v>
      </c>
      <c r="L106" s="53" t="s">
        <v>62</v>
      </c>
      <c r="M106" s="73">
        <v>105000.0</v>
      </c>
      <c r="N106" s="74"/>
      <c r="O106" s="73">
        <v>105000.0</v>
      </c>
      <c r="P106" s="46" t="str">
        <f t="shared" si="2"/>
        <v>Rp105,000-1 LSN-0.00%</v>
      </c>
      <c r="Q106" s="75">
        <v>45408.0</v>
      </c>
      <c r="R106" s="76"/>
      <c r="S106" s="75">
        <v>45418.0</v>
      </c>
      <c r="T106" s="49"/>
    </row>
    <row r="107">
      <c r="A107" s="69">
        <v>4318.0</v>
      </c>
      <c r="B107" s="69" t="s">
        <v>29</v>
      </c>
      <c r="C107" s="70" t="s">
        <v>155</v>
      </c>
      <c r="D107" s="69" t="s">
        <v>247</v>
      </c>
      <c r="E107" s="41" t="str">
        <f>IFERROR(__xludf.DUMMYFUNCTION("vlookup(D107,IMPORTRANGE(""https://docs.google.com/spreadsheets/d/1swGwZOEqYlTEUCJLY-eeJM1911Kvaei5oySBIxdgtNo/edit?pli=1#gid=257618397"",""stock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7" s="70" t="s">
        <v>247</v>
      </c>
      <c r="G107" s="78" t="s">
        <v>248</v>
      </c>
      <c r="H107" s="41" t="str">
        <f>IFERROR(__xludf.DUMMYFUNCTION("vlookup($D107,IMPORTRANGE(""https://docs.google.com/spreadsheets/d/1swGwZOEqYlTEUCJLY-eeJM1911Kvaei5oySBIxdgtNo/edit?pli=1#gid=257618397"",""stock untanna!B:F""),5,false)"),"IM")</f>
        <v>IM</v>
      </c>
      <c r="I107" s="42" t="str">
        <f>IFERROR(__xludf.DUMMYFUNCTION("vlookup($D107,IMPORTRANGE(""https://docs.google.com/spreadsheets/d/1swGwZOEqYlTEUCJLY-eeJM1911Kvaei5oySBIxdgtNo/edit?pli=1#gid=257618397"",""stock untanna!B:G""),6,false)"),"FG-201")</f>
        <v>FG-201</v>
      </c>
      <c r="J107" s="43" t="str">
        <f t="shared" si="1"/>
        <v>ADA</v>
      </c>
      <c r="K107" s="72">
        <v>1.0</v>
      </c>
      <c r="L107" s="53" t="s">
        <v>62</v>
      </c>
      <c r="M107" s="73">
        <v>105000.0</v>
      </c>
      <c r="N107" s="74"/>
      <c r="O107" s="73">
        <v>105000.0</v>
      </c>
      <c r="P107" s="46" t="str">
        <f t="shared" si="2"/>
        <v>Rp105,000-1 LSN-0.00%</v>
      </c>
      <c r="Q107" s="75">
        <v>45408.0</v>
      </c>
      <c r="R107" s="76"/>
      <c r="S107" s="75">
        <v>45418.0</v>
      </c>
      <c r="T107" s="49"/>
    </row>
    <row r="108">
      <c r="A108" s="69">
        <v>4318.0</v>
      </c>
      <c r="B108" s="69" t="s">
        <v>29</v>
      </c>
      <c r="C108" s="70" t="s">
        <v>155</v>
      </c>
      <c r="D108" s="69" t="s">
        <v>247</v>
      </c>
      <c r="E108" s="41" t="str">
        <f>IFERROR(__xludf.DUMMYFUNCTION("vlookup(D108,IMPORTRANGE(""https://docs.google.com/spreadsheets/d/1swGwZOEqYlTEUCJLY-eeJM1911Kvaei5oySBIxdgtNo/edit?pli=1#gid=257618397"",""stock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8" s="70" t="s">
        <v>247</v>
      </c>
      <c r="G108" s="78" t="s">
        <v>248</v>
      </c>
      <c r="H108" s="41" t="str">
        <f>IFERROR(__xludf.DUMMYFUNCTION("vlookup($D108,IMPORTRANGE(""https://docs.google.com/spreadsheets/d/1swGwZOEqYlTEUCJLY-eeJM1911Kvaei5oySBIxdgtNo/edit?pli=1#gid=257618397"",""stock untanna!B:F""),5,false)"),"IM")</f>
        <v>IM</v>
      </c>
      <c r="I108" s="42" t="str">
        <f>IFERROR(__xludf.DUMMYFUNCTION("vlookup($D108,IMPORTRANGE(""https://docs.google.com/spreadsheets/d/1swGwZOEqYlTEUCJLY-eeJM1911Kvaei5oySBIxdgtNo/edit?pli=1#gid=257618397"",""stock untanna!B:G""),6,false)"),"FG-201")</f>
        <v>FG-201</v>
      </c>
      <c r="J108" s="43" t="str">
        <f t="shared" si="1"/>
        <v>ADA</v>
      </c>
      <c r="K108" s="72">
        <v>1.0</v>
      </c>
      <c r="L108" s="53" t="s">
        <v>62</v>
      </c>
      <c r="M108" s="73">
        <v>105000.0</v>
      </c>
      <c r="N108" s="74"/>
      <c r="O108" s="73">
        <v>105000.0</v>
      </c>
      <c r="P108" s="46" t="str">
        <f t="shared" si="2"/>
        <v>Rp105,000-1 LSN-0.00%</v>
      </c>
      <c r="Q108" s="75">
        <v>45408.0</v>
      </c>
      <c r="R108" s="76"/>
      <c r="S108" s="75">
        <v>45418.0</v>
      </c>
      <c r="T108" s="49"/>
    </row>
    <row r="109">
      <c r="A109" s="69">
        <v>4318.0</v>
      </c>
      <c r="B109" s="69" t="s">
        <v>29</v>
      </c>
      <c r="C109" s="70" t="s">
        <v>155</v>
      </c>
      <c r="D109" s="69" t="s">
        <v>247</v>
      </c>
      <c r="E109" s="41" t="str">
        <f>IFERROR(__xludf.DUMMYFUNCTION("vlookup(D109,IMPORTRANGE(""https://docs.google.com/spreadsheets/d/1swGwZOEqYlTEUCJLY-eeJM1911Kvaei5oySBIxdgtNo/edit?pli=1#gid=257618397"",""stock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9" s="70" t="s">
        <v>247</v>
      </c>
      <c r="G109" s="78" t="s">
        <v>248</v>
      </c>
      <c r="H109" s="41" t="str">
        <f>IFERROR(__xludf.DUMMYFUNCTION("vlookup($D109,IMPORTRANGE(""https://docs.google.com/spreadsheets/d/1swGwZOEqYlTEUCJLY-eeJM1911Kvaei5oySBIxdgtNo/edit?pli=1#gid=257618397"",""stock untanna!B:F""),5,false)"),"IM")</f>
        <v>IM</v>
      </c>
      <c r="I109" s="42" t="str">
        <f>IFERROR(__xludf.DUMMYFUNCTION("vlookup($D109,IMPORTRANGE(""https://docs.google.com/spreadsheets/d/1swGwZOEqYlTEUCJLY-eeJM1911Kvaei5oySBIxdgtNo/edit?pli=1#gid=257618397"",""stock untanna!B:G""),6,false)"),"FG-201")</f>
        <v>FG-201</v>
      </c>
      <c r="J109" s="43" t="str">
        <f t="shared" si="1"/>
        <v>ADA</v>
      </c>
      <c r="K109" s="72">
        <v>1.0</v>
      </c>
      <c r="L109" s="53" t="s">
        <v>62</v>
      </c>
      <c r="M109" s="73">
        <v>105000.0</v>
      </c>
      <c r="N109" s="74"/>
      <c r="O109" s="73">
        <v>105000.0</v>
      </c>
      <c r="P109" s="46" t="str">
        <f t="shared" si="2"/>
        <v>Rp105,000-1 LSN-0.00%</v>
      </c>
      <c r="Q109" s="75">
        <v>45408.0</v>
      </c>
      <c r="R109" s="76"/>
      <c r="S109" s="75">
        <v>45418.0</v>
      </c>
      <c r="T109" s="49"/>
    </row>
    <row r="110">
      <c r="A110" s="69">
        <v>4318.0</v>
      </c>
      <c r="B110" s="69" t="s">
        <v>29</v>
      </c>
      <c r="C110" s="70" t="s">
        <v>155</v>
      </c>
      <c r="D110" s="69" t="s">
        <v>247</v>
      </c>
      <c r="E110" s="41" t="str">
        <f>IFERROR(__xludf.DUMMYFUNCTION("vlookup(D110,IMPORTRANGE(""https://docs.google.com/spreadsheets/d/1swGwZOEqYlTEUCJLY-eeJM1911Kvaei5oySBIxdgtNo/edit?pli=1#gid=257618397"",""stock untanna!B:C""),2,false)"),"TAS TUTUP PITA KADO FG-201 TANGGUNG")</f>
        <v>TAS TUTUP PITA KADO FG-201 TANGGUNG</v>
      </c>
      <c r="F110" s="70" t="s">
        <v>247</v>
      </c>
      <c r="G110" s="78" t="s">
        <v>248</v>
      </c>
      <c r="H110" s="41" t="str">
        <f>IFERROR(__xludf.DUMMYFUNCTION("vlookup($D110,IMPORTRANGE(""https://docs.google.com/spreadsheets/d/1swGwZOEqYlTEUCJLY-eeJM1911Kvaei5oySBIxdgtNo/edit?pli=1#gid=257618397"",""stock untanna!B:F""),5,false)"),"IM")</f>
        <v>IM</v>
      </c>
      <c r="I110" s="42" t="str">
        <f>IFERROR(__xludf.DUMMYFUNCTION("vlookup($D110,IMPORTRANGE(""https://docs.google.com/spreadsheets/d/1swGwZOEqYlTEUCJLY-eeJM1911Kvaei5oySBIxdgtNo/edit?pli=1#gid=257618397"",""stock untanna!B:G""),6,false)"),"FG-201")</f>
        <v>FG-201</v>
      </c>
      <c r="J110" s="43" t="str">
        <f t="shared" si="1"/>
        <v>ADA</v>
      </c>
      <c r="K110" s="72">
        <v>1.0</v>
      </c>
      <c r="L110" s="53" t="s">
        <v>62</v>
      </c>
      <c r="M110" s="73">
        <v>105000.0</v>
      </c>
      <c r="N110" s="74"/>
      <c r="O110" s="73">
        <v>105000.0</v>
      </c>
      <c r="P110" s="46" t="str">
        <f t="shared" si="2"/>
        <v>Rp105,000-1 LSN-0.00%</v>
      </c>
      <c r="Q110" s="75">
        <v>45408.0</v>
      </c>
      <c r="R110" s="76"/>
      <c r="S110" s="75">
        <v>45418.0</v>
      </c>
      <c r="T110" s="49"/>
    </row>
    <row r="111">
      <c r="A111" s="69">
        <v>4318.0</v>
      </c>
      <c r="B111" s="69" t="s">
        <v>29</v>
      </c>
      <c r="C111" s="70" t="s">
        <v>155</v>
      </c>
      <c r="D111" s="69" t="s">
        <v>247</v>
      </c>
      <c r="E111" s="41" t="str">
        <f>IFERROR(__xludf.DUMMYFUNCTION("vlookup(D111,IMPORTRANGE(""https://docs.google.com/spreadsheets/d/1swGwZOEqYlTEUCJLY-eeJM1911Kvaei5oySBIxdgtNo/edit?pli=1#gid=257618397"",""stock untanna!B:C""),2,false)"),"TAS TUTUP PITA KADO FG-201 TANGGUNG")</f>
        <v>TAS TUTUP PITA KADO FG-201 TANGGUNG</v>
      </c>
      <c r="F111" s="70" t="s">
        <v>247</v>
      </c>
      <c r="G111" s="78" t="s">
        <v>248</v>
      </c>
      <c r="H111" s="41" t="str">
        <f>IFERROR(__xludf.DUMMYFUNCTION("vlookup($D111,IMPORTRANGE(""https://docs.google.com/spreadsheets/d/1swGwZOEqYlTEUCJLY-eeJM1911Kvaei5oySBIxdgtNo/edit?pli=1#gid=257618397"",""stock untanna!B:F""),5,false)"),"IM")</f>
        <v>IM</v>
      </c>
      <c r="I111" s="42" t="str">
        <f>IFERROR(__xludf.DUMMYFUNCTION("vlookup($D111,IMPORTRANGE(""https://docs.google.com/spreadsheets/d/1swGwZOEqYlTEUCJLY-eeJM1911Kvaei5oySBIxdgtNo/edit?pli=1#gid=257618397"",""stock untanna!B:G""),6,false)"),"FG-201")</f>
        <v>FG-201</v>
      </c>
      <c r="J111" s="43" t="str">
        <f t="shared" si="1"/>
        <v>ADA</v>
      </c>
      <c r="K111" s="72">
        <v>1.0</v>
      </c>
      <c r="L111" s="53" t="s">
        <v>62</v>
      </c>
      <c r="M111" s="73">
        <v>105000.0</v>
      </c>
      <c r="N111" s="74"/>
      <c r="O111" s="73">
        <v>105000.0</v>
      </c>
      <c r="P111" s="46" t="str">
        <f t="shared" si="2"/>
        <v>Rp105,000-1 LSN-0.00%</v>
      </c>
      <c r="Q111" s="75">
        <v>45408.0</v>
      </c>
      <c r="R111" s="76"/>
      <c r="S111" s="75">
        <v>45418.0</v>
      </c>
      <c r="T111" s="49"/>
    </row>
    <row r="112">
      <c r="A112" s="69">
        <v>4318.0</v>
      </c>
      <c r="B112" s="69" t="s">
        <v>29</v>
      </c>
      <c r="C112" s="70" t="s">
        <v>155</v>
      </c>
      <c r="D112" s="69" t="s">
        <v>247</v>
      </c>
      <c r="E112" s="41" t="str">
        <f>IFERROR(__xludf.DUMMYFUNCTION("vlookup(D112,IMPORTRANGE(""https://docs.google.com/spreadsheets/d/1swGwZOEqYlTEUCJLY-eeJM1911Kvaei5oySBIxdgtNo/edit?pli=1#gid=257618397"",""stock untanna!B:C""),2,false)"),"TAS TUTUP PITA KADO FG-201 TANGGUNG")</f>
        <v>TAS TUTUP PITA KADO FG-201 TANGGUNG</v>
      </c>
      <c r="F112" s="70" t="s">
        <v>247</v>
      </c>
      <c r="G112" s="78" t="s">
        <v>248</v>
      </c>
      <c r="H112" s="41" t="str">
        <f>IFERROR(__xludf.DUMMYFUNCTION("vlookup($D112,IMPORTRANGE(""https://docs.google.com/spreadsheets/d/1swGwZOEqYlTEUCJLY-eeJM1911Kvaei5oySBIxdgtNo/edit?pli=1#gid=257618397"",""stock untanna!B:F""),5,false)"),"IM")</f>
        <v>IM</v>
      </c>
      <c r="I112" s="42" t="str">
        <f>IFERROR(__xludf.DUMMYFUNCTION("vlookup($D112,IMPORTRANGE(""https://docs.google.com/spreadsheets/d/1swGwZOEqYlTEUCJLY-eeJM1911Kvaei5oySBIxdgtNo/edit?pli=1#gid=257618397"",""stock untanna!B:G""),6,false)"),"FG-201")</f>
        <v>FG-201</v>
      </c>
      <c r="J112" s="43" t="str">
        <f t="shared" si="1"/>
        <v>ADA</v>
      </c>
      <c r="K112" s="72">
        <v>1.0</v>
      </c>
      <c r="L112" s="53" t="s">
        <v>62</v>
      </c>
      <c r="M112" s="73">
        <v>105000.0</v>
      </c>
      <c r="N112" s="74"/>
      <c r="O112" s="73">
        <v>105000.0</v>
      </c>
      <c r="P112" s="46" t="str">
        <f t="shared" si="2"/>
        <v>Rp105,000-1 LSN-0.00%</v>
      </c>
      <c r="Q112" s="75">
        <v>45408.0</v>
      </c>
      <c r="R112" s="76"/>
      <c r="S112" s="75">
        <v>45418.0</v>
      </c>
      <c r="T112" s="49"/>
    </row>
    <row r="113">
      <c r="A113" s="69">
        <v>4318.0</v>
      </c>
      <c r="B113" s="69" t="s">
        <v>29</v>
      </c>
      <c r="C113" s="70" t="s">
        <v>155</v>
      </c>
      <c r="D113" s="69" t="s">
        <v>247</v>
      </c>
      <c r="E113" s="41" t="str">
        <f>IFERROR(__xludf.DUMMYFUNCTION("vlookup(D113,IMPORTRANGE(""https://docs.google.com/spreadsheets/d/1swGwZOEqYlTEUCJLY-eeJM1911Kvaei5oySBIxdgtNo/edit?pli=1#gid=257618397"",""stock untanna!B:C""),2,false)"),"TAS TUTUP PITA KADO FG-201 TANGGUNG")</f>
        <v>TAS TUTUP PITA KADO FG-201 TANGGUNG</v>
      </c>
      <c r="F113" s="70" t="s">
        <v>247</v>
      </c>
      <c r="G113" s="78" t="s">
        <v>248</v>
      </c>
      <c r="H113" s="41" t="str">
        <f>IFERROR(__xludf.DUMMYFUNCTION("vlookup($D113,IMPORTRANGE(""https://docs.google.com/spreadsheets/d/1swGwZOEqYlTEUCJLY-eeJM1911Kvaei5oySBIxdgtNo/edit?pli=1#gid=257618397"",""stock untanna!B:F""),5,false)"),"IM")</f>
        <v>IM</v>
      </c>
      <c r="I113" s="42" t="str">
        <f>IFERROR(__xludf.DUMMYFUNCTION("vlookup($D113,IMPORTRANGE(""https://docs.google.com/spreadsheets/d/1swGwZOEqYlTEUCJLY-eeJM1911Kvaei5oySBIxdgtNo/edit?pli=1#gid=257618397"",""stock untanna!B:G""),6,false)"),"FG-201")</f>
        <v>FG-201</v>
      </c>
      <c r="J113" s="43" t="str">
        <f t="shared" si="1"/>
        <v>ADA</v>
      </c>
      <c r="K113" s="72">
        <v>1.0</v>
      </c>
      <c r="L113" s="53" t="s">
        <v>62</v>
      </c>
      <c r="M113" s="73">
        <v>105000.0</v>
      </c>
      <c r="N113" s="74"/>
      <c r="O113" s="73">
        <v>105000.0</v>
      </c>
      <c r="P113" s="46" t="str">
        <f t="shared" si="2"/>
        <v>Rp105,000-1 LSN-0.00%</v>
      </c>
      <c r="Q113" s="75">
        <v>45408.0</v>
      </c>
      <c r="R113" s="76"/>
      <c r="S113" s="75">
        <v>45418.0</v>
      </c>
      <c r="T113" s="49"/>
    </row>
    <row r="114">
      <c r="A114" s="69">
        <v>4318.0</v>
      </c>
      <c r="B114" s="69" t="s">
        <v>29</v>
      </c>
      <c r="C114" s="70" t="s">
        <v>155</v>
      </c>
      <c r="D114" s="69" t="s">
        <v>251</v>
      </c>
      <c r="E114" s="41" t="str">
        <f>IFERROR(__xludf.DUMMYFUNCTION("vlookup(D114,IMPORTRANGE(""https://docs.google.com/spreadsheets/d/1swGwZOEqYlTEUCJLY-eeJM1911Kvaei5oySBIxdgtNo/edit?pli=1#gid=257618397"",""stock untanna!B:C""),2,false)"),"TAS TUTUP PITA KADO FG-401 JUMBO")</f>
        <v>TAS TUTUP PITA KADO FG-401 JUMBO</v>
      </c>
      <c r="F114" s="70" t="s">
        <v>251</v>
      </c>
      <c r="G114" s="71" t="s">
        <v>252</v>
      </c>
      <c r="H114" s="41" t="str">
        <f>IFERROR(__xludf.DUMMYFUNCTION("vlookup($D114,IMPORTRANGE(""https://docs.google.com/spreadsheets/d/1swGwZOEqYlTEUCJLY-eeJM1911Kvaei5oySBIxdgtNo/edit?pli=1#gid=257618397"",""stock untanna!B:F""),5,false)"),"IM")</f>
        <v>IM</v>
      </c>
      <c r="I114" s="42" t="str">
        <f>IFERROR(__xludf.DUMMYFUNCTION("vlookup($D114,IMPORTRANGE(""https://docs.google.com/spreadsheets/d/1swGwZOEqYlTEUCJLY-eeJM1911Kvaei5oySBIxdgtNo/edit?pli=1#gid=257618397"",""stock untanna!B:G""),6,false)"),"FG-401")</f>
        <v>FG-401</v>
      </c>
      <c r="J114" s="43" t="str">
        <f t="shared" si="1"/>
        <v>ADA</v>
      </c>
      <c r="K114" s="72">
        <v>1.0</v>
      </c>
      <c r="L114" s="53" t="s">
        <v>62</v>
      </c>
      <c r="M114" s="73">
        <v>150000.0</v>
      </c>
      <c r="N114" s="74"/>
      <c r="O114" s="73">
        <v>150000.0</v>
      </c>
      <c r="P114" s="46" t="str">
        <f t="shared" si="2"/>
        <v>Rp150,000-1 LSN-0.00%</v>
      </c>
      <c r="Q114" s="75">
        <v>45408.0</v>
      </c>
      <c r="R114" s="76"/>
      <c r="S114" s="75">
        <v>45418.0</v>
      </c>
      <c r="T114" s="49"/>
    </row>
    <row r="115">
      <c r="A115" s="69">
        <v>4318.0</v>
      </c>
      <c r="B115" s="69" t="s">
        <v>29</v>
      </c>
      <c r="C115" s="70" t="s">
        <v>155</v>
      </c>
      <c r="D115" s="69" t="s">
        <v>251</v>
      </c>
      <c r="E115" s="41" t="str">
        <f>IFERROR(__xludf.DUMMYFUNCTION("vlookup(D115,IMPORTRANGE(""https://docs.google.com/spreadsheets/d/1swGwZOEqYlTEUCJLY-eeJM1911Kvaei5oySBIxdgtNo/edit?pli=1#gid=257618397"",""stock untanna!B:C""),2,false)"),"TAS TUTUP PITA KADO FG-401 JUMBO")</f>
        <v>TAS TUTUP PITA KADO FG-401 JUMBO</v>
      </c>
      <c r="F115" s="70" t="s">
        <v>251</v>
      </c>
      <c r="G115" s="71" t="s">
        <v>252</v>
      </c>
      <c r="H115" s="41" t="str">
        <f>IFERROR(__xludf.DUMMYFUNCTION("vlookup($D115,IMPORTRANGE(""https://docs.google.com/spreadsheets/d/1swGwZOEqYlTEUCJLY-eeJM1911Kvaei5oySBIxdgtNo/edit?pli=1#gid=257618397"",""stock untanna!B:F""),5,false)"),"IM")</f>
        <v>IM</v>
      </c>
      <c r="I115" s="42" t="str">
        <f>IFERROR(__xludf.DUMMYFUNCTION("vlookup($D115,IMPORTRANGE(""https://docs.google.com/spreadsheets/d/1swGwZOEqYlTEUCJLY-eeJM1911Kvaei5oySBIxdgtNo/edit?pli=1#gid=257618397"",""stock untanna!B:G""),6,false)"),"FG-401")</f>
        <v>FG-401</v>
      </c>
      <c r="J115" s="43" t="str">
        <f t="shared" si="1"/>
        <v>ADA</v>
      </c>
      <c r="K115" s="72">
        <v>1.0</v>
      </c>
      <c r="L115" s="53" t="s">
        <v>62</v>
      </c>
      <c r="M115" s="73">
        <v>150000.0</v>
      </c>
      <c r="N115" s="74"/>
      <c r="O115" s="73">
        <v>150000.0</v>
      </c>
      <c r="P115" s="46" t="str">
        <f t="shared" si="2"/>
        <v>Rp150,000-1 LSN-0.00%</v>
      </c>
      <c r="Q115" s="75">
        <v>45408.0</v>
      </c>
      <c r="R115" s="76"/>
      <c r="S115" s="75">
        <v>45418.0</v>
      </c>
      <c r="T115" s="49"/>
    </row>
    <row r="116">
      <c r="A116" s="69">
        <v>4318.0</v>
      </c>
      <c r="B116" s="69" t="s">
        <v>29</v>
      </c>
      <c r="C116" s="70" t="s">
        <v>155</v>
      </c>
      <c r="D116" s="69" t="s">
        <v>253</v>
      </c>
      <c r="E116" s="41" t="str">
        <f>IFERROR(__xludf.DUMMYFUNCTION("vlookup(D116,IMPORTRANGE(""https://docs.google.com/spreadsheets/d/1swGwZOEqYlTEUCJLY-eeJM1911Kvaei5oySBIxdgtNo/edit?pli=1#gid=257618397"",""stock untanna!B:C""),2,false)"),"#N/A")</f>
        <v>#N/A</v>
      </c>
      <c r="F116" s="70" t="s">
        <v>253</v>
      </c>
      <c r="G116" s="71" t="s">
        <v>254</v>
      </c>
      <c r="H116" s="41" t="str">
        <f>IFERROR(__xludf.DUMMYFUNCTION("vlookup($D116,IMPORTRANGE(""https://docs.google.com/spreadsheets/d/1swGwZOEqYlTEUCJLY-eeJM1911Kvaei5oySBIxdgtNo/edit?pli=1#gid=257618397"",""stock untanna!B:F""),5,false)"),"#N/A")</f>
        <v>#N/A</v>
      </c>
      <c r="I116" s="42" t="str">
        <f>IFERROR(__xludf.DUMMYFUNCTION("vlookup($D116,IMPORTRANGE(""https://docs.google.com/spreadsheets/d/1swGwZOEqYlTEUCJLY-eeJM1911Kvaei5oySBIxdgtNo/edit?pli=1#gid=257618397"",""stock untanna!B:G""),6,false)"),"#N/A")</f>
        <v>#N/A</v>
      </c>
      <c r="J116" s="43" t="str">
        <f t="shared" si="1"/>
        <v>ADA</v>
      </c>
      <c r="K116" s="72">
        <v>1.0</v>
      </c>
      <c r="L116" s="53" t="s">
        <v>62</v>
      </c>
      <c r="M116" s="73">
        <v>150000.0</v>
      </c>
      <c r="N116" s="74"/>
      <c r="O116" s="73">
        <v>150000.0</v>
      </c>
      <c r="P116" s="46" t="str">
        <f t="shared" si="2"/>
        <v>Rp150,000-1 LSN-0.00%</v>
      </c>
      <c r="Q116" s="75">
        <v>45408.0</v>
      </c>
      <c r="R116" s="76"/>
      <c r="S116" s="75">
        <v>45418.0</v>
      </c>
      <c r="T116" s="49"/>
    </row>
    <row r="117">
      <c r="A117" s="69">
        <v>4318.0</v>
      </c>
      <c r="B117" s="69" t="s">
        <v>29</v>
      </c>
      <c r="C117" s="70" t="s">
        <v>155</v>
      </c>
      <c r="D117" s="69" t="s">
        <v>255</v>
      </c>
      <c r="E117" s="41" t="str">
        <f>IFERROR(__xludf.DUMMYFUNCTION("vlookup(D117,IMPORTRANGE(""https://docs.google.com/spreadsheets/d/1swGwZOEqYlTEUCJLY-eeJM1911Kvaei5oySBIxdgtNo/edit?pli=1#gid=257618397"",""stock untanna!B:C""),2,false)"),"TAS KERTAS 8867A")</f>
        <v>TAS KERTAS 8867A</v>
      </c>
      <c r="F117" s="70" t="s">
        <v>255</v>
      </c>
      <c r="G117" s="71" t="s">
        <v>256</v>
      </c>
      <c r="H117" s="41" t="str">
        <f>IFERROR(__xludf.DUMMYFUNCTION("vlookup($D117,IMPORTRANGE(""https://docs.google.com/spreadsheets/d/1swGwZOEqYlTEUCJLY-eeJM1911Kvaei5oySBIxdgtNo/edit?pli=1#gid=257618397"",""stock untanna!B:F""),5,false)"),"IM")</f>
        <v>IM</v>
      </c>
      <c r="I117" s="42" t="str">
        <f>IFERROR(__xludf.DUMMYFUNCTION("vlookup($D117,IMPORTRANGE(""https://docs.google.com/spreadsheets/d/1swGwZOEqYlTEUCJLY-eeJM1911Kvaei5oySBIxdgtNo/edit?pli=1#gid=257618397"",""stock untanna!B:G""),6,false)"),"")</f>
        <v/>
      </c>
      <c r="J117" s="43" t="str">
        <f t="shared" si="1"/>
        <v>ADA</v>
      </c>
      <c r="K117" s="72">
        <v>1.0</v>
      </c>
      <c r="L117" s="53" t="s">
        <v>62</v>
      </c>
      <c r="M117" s="73">
        <v>150000.0</v>
      </c>
      <c r="N117" s="74"/>
      <c r="O117" s="73">
        <v>150000.0</v>
      </c>
      <c r="P117" s="46" t="str">
        <f t="shared" si="2"/>
        <v>Rp150,000-1 LSN-0.00%</v>
      </c>
      <c r="Q117" s="75">
        <v>45408.0</v>
      </c>
      <c r="R117" s="76"/>
      <c r="S117" s="75">
        <v>45418.0</v>
      </c>
      <c r="T117" s="49"/>
    </row>
    <row r="118">
      <c r="A118" s="69">
        <v>4318.0</v>
      </c>
      <c r="B118" s="69" t="s">
        <v>29</v>
      </c>
      <c r="C118" s="70" t="s">
        <v>155</v>
      </c>
      <c r="D118" s="69"/>
      <c r="E118" s="41" t="s">
        <v>257</v>
      </c>
      <c r="F118" s="70"/>
      <c r="G118" s="71" t="s">
        <v>257</v>
      </c>
      <c r="H118" s="41" t="str">
        <f>IFERROR(__xludf.DUMMYFUNCTION("vlookup($D118,IMPORTRANGE(""https://docs.google.com/spreadsheets/d/1swGwZOEqYlTEUCJLY-eeJM1911Kvaei5oySBIxdgtNo/edit?pli=1#gid=257618397"",""stock untanna!B:F""),5,false)"),"#N/A")</f>
        <v>#N/A</v>
      </c>
      <c r="I118" s="42" t="str">
        <f>IFERROR(__xludf.DUMMYFUNCTION("vlookup($D118,IMPORTRANGE(""https://docs.google.com/spreadsheets/d/1swGwZOEqYlTEUCJLY-eeJM1911Kvaei5oySBIxdgtNo/edit?pli=1#gid=257618397"",""stock untanna!B:G""),6,false)"),"#N/A")</f>
        <v>#N/A</v>
      </c>
      <c r="J118" s="43" t="str">
        <f t="shared" si="1"/>
        <v>TIDAK ADA</v>
      </c>
      <c r="K118" s="72">
        <v>1.0</v>
      </c>
      <c r="L118" s="53" t="s">
        <v>62</v>
      </c>
      <c r="M118" s="73">
        <v>60000.0</v>
      </c>
      <c r="N118" s="74"/>
      <c r="O118" s="73">
        <v>60000.0</v>
      </c>
      <c r="P118" s="46" t="str">
        <f t="shared" si="2"/>
        <v>Rp60,000-1 LSN-0.00%</v>
      </c>
      <c r="Q118" s="75">
        <v>45408.0</v>
      </c>
      <c r="R118" s="76"/>
      <c r="S118" s="75">
        <v>45418.0</v>
      </c>
      <c r="T118" s="49"/>
    </row>
    <row r="119">
      <c r="A119" s="69">
        <v>4318.0</v>
      </c>
      <c r="B119" s="69" t="s">
        <v>29</v>
      </c>
      <c r="C119" s="70" t="s">
        <v>155</v>
      </c>
      <c r="D119" s="50" t="s">
        <v>258</v>
      </c>
      <c r="E119" s="41" t="str">
        <f>IFERROR(__xludf.DUMMYFUNCTION("vlookup(D119,IMPORTRANGE(""https://docs.google.com/spreadsheets/d/1swGwZOEqYlTEUCJLY-eeJM1911Kvaei5oySBIxdgtNo/edit?pli=1#gid=257618397"",""stock untanna!B:C""),2,false)"),"TAS LYSD 572 K")</f>
        <v>TAS LYSD 572 K</v>
      </c>
      <c r="F119" s="70" t="s">
        <v>259</v>
      </c>
      <c r="G119" s="71" t="s">
        <v>260</v>
      </c>
      <c r="H119" s="41" t="str">
        <f>IFERROR(__xludf.DUMMYFUNCTION("vlookup($D119,IMPORTRANGE(""https://docs.google.com/spreadsheets/d/1swGwZOEqYlTEUCJLY-eeJM1911Kvaei5oySBIxdgtNo/edit?pli=1#gid=257618397"",""stock untanna!B:F""),5,false)"),"NB")</f>
        <v>NB</v>
      </c>
      <c r="I119" s="42">
        <f>IFERROR(__xludf.DUMMYFUNCTION("vlookup($D119,IMPORTRANGE(""https://docs.google.com/spreadsheets/d/1swGwZOEqYlTEUCJLY-eeJM1911Kvaei5oySBIxdgtNo/edit?pli=1#gid=257618397"",""stock untanna!B:G""),6,false)"),572.0)</f>
        <v>572</v>
      </c>
      <c r="J119" s="43" t="str">
        <f t="shared" si="1"/>
        <v>ADA</v>
      </c>
      <c r="K119" s="72">
        <v>12.0</v>
      </c>
      <c r="L119" s="53" t="s">
        <v>69</v>
      </c>
      <c r="M119" s="73">
        <v>5000.0</v>
      </c>
      <c r="N119" s="74"/>
      <c r="O119" s="73">
        <v>60000.0</v>
      </c>
      <c r="P119" s="46" t="str">
        <f t="shared" si="2"/>
        <v>Rp5,000-12 PCS-0.00%</v>
      </c>
      <c r="Q119" s="75">
        <v>45408.0</v>
      </c>
      <c r="R119" s="76"/>
      <c r="S119" s="75">
        <v>45418.0</v>
      </c>
      <c r="T119" s="49"/>
    </row>
    <row r="120">
      <c r="A120" s="69">
        <v>4318.0</v>
      </c>
      <c r="B120" s="69" t="s">
        <v>29</v>
      </c>
      <c r="C120" s="70" t="s">
        <v>155</v>
      </c>
      <c r="D120" s="50" t="s">
        <v>261</v>
      </c>
      <c r="E120" s="41" t="str">
        <f>IFERROR(__xludf.DUMMYFUNCTION("vlookup(D120,IMPORTRANGE(""https://docs.google.com/spreadsheets/d/1swGwZOEqYlTEUCJLY-eeJM1911Kvaei5oySBIxdgtNo/edit?pli=1#gid=257618397"",""stock untanna!B:C""),2,false)"),"TAS LYSD 154 K")</f>
        <v>TAS LYSD 154 K</v>
      </c>
      <c r="F120" s="70" t="s">
        <v>262</v>
      </c>
      <c r="G120" s="71" t="s">
        <v>263</v>
      </c>
      <c r="H120" s="41" t="str">
        <f>IFERROR(__xludf.DUMMYFUNCTION("vlookup($D120,IMPORTRANGE(""https://docs.google.com/spreadsheets/d/1swGwZOEqYlTEUCJLY-eeJM1911Kvaei5oySBIxdgtNo/edit?pli=1#gid=257618397"",""stock untanna!B:F""),5,false)"),"NB")</f>
        <v>NB</v>
      </c>
      <c r="I120" s="42" t="str">
        <f>IFERROR(__xludf.DUMMYFUNCTION("vlookup($D120,IMPORTRANGE(""https://docs.google.com/spreadsheets/d/1swGwZOEqYlTEUCJLY-eeJM1911Kvaei5oySBIxdgtNo/edit?pli=1#gid=257618397"",""stock untanna!B:G""),6,false)"),"154")</f>
        <v>154</v>
      </c>
      <c r="J120" s="43" t="str">
        <f t="shared" si="1"/>
        <v>ADA</v>
      </c>
      <c r="K120" s="72">
        <v>12.0</v>
      </c>
      <c r="L120" s="53" t="s">
        <v>69</v>
      </c>
      <c r="M120" s="73">
        <v>5000.0</v>
      </c>
      <c r="N120" s="74"/>
      <c r="O120" s="73">
        <v>60000.0</v>
      </c>
      <c r="P120" s="46" t="str">
        <f t="shared" si="2"/>
        <v>Rp5,000-12 PCS-0.00%</v>
      </c>
      <c r="Q120" s="75">
        <v>45408.0</v>
      </c>
      <c r="R120" s="76"/>
      <c r="S120" s="75">
        <v>45418.0</v>
      </c>
      <c r="T120" s="49"/>
    </row>
    <row r="121">
      <c r="A121" s="69">
        <v>4318.0</v>
      </c>
      <c r="B121" s="69" t="s">
        <v>29</v>
      </c>
      <c r="C121" s="70" t="s">
        <v>155</v>
      </c>
      <c r="D121" s="69" t="s">
        <v>264</v>
      </c>
      <c r="E121" s="41" t="str">
        <f>IFERROR(__xludf.DUMMYFUNCTION("vlookup(D121,IMPORTRANGE(""https://docs.google.com/spreadsheets/d/1swGwZOEqYlTEUCJLY-eeJM1911Kvaei5oySBIxdgtNo/edit?pli=1#gid=257618397"",""stock untanna!B:C""),2,false)"),"TAS NO-1036-M/ K")</f>
        <v>TAS NO-1036-M/ K</v>
      </c>
      <c r="F121" s="70" t="s">
        <v>264</v>
      </c>
      <c r="G121" s="71" t="s">
        <v>265</v>
      </c>
      <c r="H121" s="41" t="str">
        <f>IFERROR(__xludf.DUMMYFUNCTION("vlookup($D121,IMPORTRANGE(""https://docs.google.com/spreadsheets/d/1swGwZOEqYlTEUCJLY-eeJM1911Kvaei5oySBIxdgtNo/edit?pli=1#gid=257618397"",""stock untanna!B:F""),5,false)"),"IM")</f>
        <v>IM</v>
      </c>
      <c r="I121" s="42" t="str">
        <f>IFERROR(__xludf.DUMMYFUNCTION("vlookup($D121,IMPORTRANGE(""https://docs.google.com/spreadsheets/d/1swGwZOEqYlTEUCJLY-eeJM1911Kvaei5oySBIxdgtNo/edit?pli=1#gid=257618397"",""stock untanna!B:G""),6,false)"),"")</f>
        <v/>
      </c>
      <c r="J121" s="43" t="str">
        <f t="shared" si="1"/>
        <v>ADA</v>
      </c>
      <c r="K121" s="72">
        <v>12.0</v>
      </c>
      <c r="L121" s="53" t="s">
        <v>69</v>
      </c>
      <c r="M121" s="73">
        <v>5000.0</v>
      </c>
      <c r="N121" s="74"/>
      <c r="O121" s="73">
        <v>60000.0</v>
      </c>
      <c r="P121" s="46" t="str">
        <f t="shared" si="2"/>
        <v>Rp5,000-12 PCS-0.00%</v>
      </c>
      <c r="Q121" s="75">
        <v>45408.0</v>
      </c>
      <c r="R121" s="76"/>
      <c r="S121" s="75">
        <v>45418.0</v>
      </c>
      <c r="T121" s="49"/>
    </row>
    <row r="122">
      <c r="A122" s="69">
        <v>4318.0</v>
      </c>
      <c r="B122" s="69" t="s">
        <v>29</v>
      </c>
      <c r="C122" s="70" t="s">
        <v>155</v>
      </c>
      <c r="D122" s="69" t="s">
        <v>266</v>
      </c>
      <c r="E122" s="41" t="str">
        <f>IFERROR(__xludf.DUMMYFUNCTION("vlookup(D122,IMPORTRANGE(""https://docs.google.com/spreadsheets/d/1swGwZOEqYlTEUCJLY-eeJM1911Kvaei5oySBIxdgtNo/edit?pli=1#gid=257618397"",""stock untanna!B:C""),2,false)"),"BINDER NOTE B5-60 FPHY 002")</f>
        <v>BINDER NOTE B5-60 FPHY 002</v>
      </c>
      <c r="F122" s="70" t="s">
        <v>266</v>
      </c>
      <c r="G122" s="71" t="s">
        <v>267</v>
      </c>
      <c r="H122" s="41" t="str">
        <f>IFERROR(__xludf.DUMMYFUNCTION("vlookup($D122,IMPORTRANGE(""https://docs.google.com/spreadsheets/d/1swGwZOEqYlTEUCJLY-eeJM1911Kvaei5oySBIxdgtNo/edit?pli=1#gid=257618397"",""stock untanna!B:F""),5,false)"),"NB")</f>
        <v>NB</v>
      </c>
      <c r="I122" s="42" t="str">
        <f>IFERROR(__xludf.DUMMYFUNCTION("vlookup($D122,IMPORTRANGE(""https://docs.google.com/spreadsheets/d/1swGwZOEqYlTEUCJLY-eeJM1911Kvaei5oySBIxdgtNo/edit?pli=1#gid=257618397"",""stock untanna!B:G""),6,false)"),"002")</f>
        <v>002</v>
      </c>
      <c r="J122" s="43" t="str">
        <f t="shared" si="1"/>
        <v>ADA</v>
      </c>
      <c r="K122" s="72">
        <v>12.0</v>
      </c>
      <c r="L122" s="53" t="s">
        <v>69</v>
      </c>
      <c r="M122" s="73">
        <v>40000.0</v>
      </c>
      <c r="N122" s="74"/>
      <c r="O122" s="73">
        <v>480000.0</v>
      </c>
      <c r="P122" s="46" t="str">
        <f t="shared" si="2"/>
        <v>Rp40,000-12 PCS-0.00%</v>
      </c>
      <c r="Q122" s="75">
        <v>45408.0</v>
      </c>
      <c r="R122" s="76"/>
      <c r="S122" s="75">
        <v>45418.0</v>
      </c>
      <c r="T122" s="49"/>
    </row>
    <row r="123">
      <c r="A123" s="69">
        <v>4319.0</v>
      </c>
      <c r="B123" s="69" t="s">
        <v>29</v>
      </c>
      <c r="C123" s="70" t="s">
        <v>155</v>
      </c>
      <c r="D123" s="69"/>
      <c r="E123" s="41" t="s">
        <v>268</v>
      </c>
      <c r="F123" s="70"/>
      <c r="G123" s="71" t="s">
        <v>268</v>
      </c>
      <c r="H123" s="41" t="str">
        <f>IFERROR(__xludf.DUMMYFUNCTION("vlookup($D123,IMPORTRANGE(""https://docs.google.com/spreadsheets/d/1swGwZOEqYlTEUCJLY-eeJM1911Kvaei5oySBIxdgtNo/edit?pli=1#gid=257618397"",""stock untanna!B:F""),5,false)"),"#N/A")</f>
        <v>#N/A</v>
      </c>
      <c r="I123" s="42" t="str">
        <f>IFERROR(__xludf.DUMMYFUNCTION("vlookup($D123,IMPORTRANGE(""https://docs.google.com/spreadsheets/d/1swGwZOEqYlTEUCJLY-eeJM1911Kvaei5oySBIxdgtNo/edit?pli=1#gid=257618397"",""stock untanna!B:G""),6,false)"),"#N/A")</f>
        <v>#N/A</v>
      </c>
      <c r="J123" s="43" t="str">
        <f t="shared" si="1"/>
        <v>TIDAK ADA</v>
      </c>
      <c r="K123" s="72">
        <v>1.0</v>
      </c>
      <c r="L123" s="53" t="s">
        <v>62</v>
      </c>
      <c r="M123" s="73">
        <v>70000.0</v>
      </c>
      <c r="N123" s="74"/>
      <c r="O123" s="73">
        <v>70000.0</v>
      </c>
      <c r="P123" s="46" t="str">
        <f t="shared" si="2"/>
        <v>Rp70,000-1 LSN-0.00%</v>
      </c>
      <c r="Q123" s="75">
        <v>45408.0</v>
      </c>
      <c r="R123" s="76"/>
      <c r="S123" s="75">
        <v>45418.0</v>
      </c>
      <c r="T123" s="49"/>
    </row>
    <row r="124">
      <c r="A124" s="69">
        <v>4319.0</v>
      </c>
      <c r="B124" s="69" t="s">
        <v>29</v>
      </c>
      <c r="C124" s="70" t="s">
        <v>155</v>
      </c>
      <c r="D124" s="69"/>
      <c r="E124" s="41" t="s">
        <v>269</v>
      </c>
      <c r="F124" s="70"/>
      <c r="G124" s="71" t="s">
        <v>269</v>
      </c>
      <c r="H124" s="41" t="str">
        <f>IFERROR(__xludf.DUMMYFUNCTION("vlookup($D124,IMPORTRANGE(""https://docs.google.com/spreadsheets/d/1swGwZOEqYlTEUCJLY-eeJM1911Kvaei5oySBIxdgtNo/edit?pli=1#gid=257618397"",""stock untanna!B:F""),5,false)"),"#N/A")</f>
        <v>#N/A</v>
      </c>
      <c r="I124" s="42" t="str">
        <f>IFERROR(__xludf.DUMMYFUNCTION("vlookup($D124,IMPORTRANGE(""https://docs.google.com/spreadsheets/d/1swGwZOEqYlTEUCJLY-eeJM1911Kvaei5oySBIxdgtNo/edit?pli=1#gid=257618397"",""stock untanna!B:G""),6,false)"),"#N/A")</f>
        <v>#N/A</v>
      </c>
      <c r="J124" s="43" t="str">
        <f t="shared" si="1"/>
        <v>TIDAK ADA</v>
      </c>
      <c r="K124" s="72">
        <v>1.0</v>
      </c>
      <c r="L124" s="53" t="s">
        <v>62</v>
      </c>
      <c r="M124" s="73">
        <v>60000.0</v>
      </c>
      <c r="N124" s="74"/>
      <c r="O124" s="73">
        <v>60000.0</v>
      </c>
      <c r="P124" s="46" t="str">
        <f t="shared" si="2"/>
        <v>Rp60,000-1 LSN-0.00%</v>
      </c>
      <c r="Q124" s="75">
        <v>45408.0</v>
      </c>
      <c r="R124" s="76"/>
      <c r="S124" s="75">
        <v>45418.0</v>
      </c>
      <c r="T124" s="49"/>
    </row>
    <row r="125">
      <c r="A125" s="69">
        <v>4319.0</v>
      </c>
      <c r="B125" s="69" t="s">
        <v>29</v>
      </c>
      <c r="C125" s="70" t="s">
        <v>155</v>
      </c>
      <c r="D125" s="69" t="s">
        <v>270</v>
      </c>
      <c r="E125" s="41" t="str">
        <f>IFERROR(__xludf.DUMMYFUNCTION("vlookup(D125,IMPORTRANGE(""https://docs.google.com/spreadsheets/d/1swGwZOEqYlTEUCJLY-eeJM1911Kvaei5oySBIxdgtNo/edit?pli=1#gid=257618397"",""stock untanna!B:C""),2,false)"),"TAS POLOS 131 K")</f>
        <v>TAS POLOS 131 K</v>
      </c>
      <c r="F125" s="70" t="s">
        <v>270</v>
      </c>
      <c r="G125" s="71" t="s">
        <v>271</v>
      </c>
      <c r="H125" s="41" t="str">
        <f>IFERROR(__xludf.DUMMYFUNCTION("vlookup($D125,IMPORTRANGE(""https://docs.google.com/spreadsheets/d/1swGwZOEqYlTEUCJLY-eeJM1911Kvaei5oySBIxdgtNo/edit?pli=1#gid=257618397"",""stock untanna!B:F""),5,false)"),"")</f>
        <v/>
      </c>
      <c r="I125" s="42" t="str">
        <f>IFERROR(__xludf.DUMMYFUNCTION("vlookup($D125,IMPORTRANGE(""https://docs.google.com/spreadsheets/d/1swGwZOEqYlTEUCJLY-eeJM1911Kvaei5oySBIxdgtNo/edit?pli=1#gid=257618397"",""stock untanna!B:G""),6,false)"),"")</f>
        <v/>
      </c>
      <c r="J125" s="43" t="str">
        <f t="shared" si="1"/>
        <v>ADA</v>
      </c>
      <c r="K125" s="72">
        <v>12.0</v>
      </c>
      <c r="L125" s="53" t="s">
        <v>69</v>
      </c>
      <c r="M125" s="73">
        <v>5000.0</v>
      </c>
      <c r="N125" s="74"/>
      <c r="O125" s="73">
        <v>60000.0</v>
      </c>
      <c r="P125" s="46" t="str">
        <f t="shared" si="2"/>
        <v>Rp5,000-12 PCS-0.00%</v>
      </c>
      <c r="Q125" s="75">
        <v>45408.0</v>
      </c>
      <c r="R125" s="76"/>
      <c r="S125" s="75">
        <v>45418.0</v>
      </c>
      <c r="T125" s="49"/>
    </row>
    <row r="126">
      <c r="A126" s="69">
        <v>4319.0</v>
      </c>
      <c r="B126" s="69" t="s">
        <v>29</v>
      </c>
      <c r="C126" s="70" t="s">
        <v>155</v>
      </c>
      <c r="D126" s="69" t="s">
        <v>232</v>
      </c>
      <c r="E126" s="41" t="str">
        <f>IFERROR(__xludf.DUMMYFUNCTION("vlookup(D126,IMPORTRANGE(""https://docs.google.com/spreadsheets/d/1swGwZOEqYlTEUCJLY-eeJM1911Kvaei5oySBIxdgtNo/edit?pli=1#gid=257618397"",""stock untanna!B:C""),2,false)"),"TAS 2850-L (TANGGUNG TIMBUL GLITTER)")</f>
        <v>TAS 2850-L (TANGGUNG TIMBUL GLITTER)</v>
      </c>
      <c r="F126" s="70" t="s">
        <v>232</v>
      </c>
      <c r="G126" s="78" t="s">
        <v>233</v>
      </c>
      <c r="H126" s="41" t="str">
        <f>IFERROR(__xludf.DUMMYFUNCTION("vlookup($D126,IMPORTRANGE(""https://docs.google.com/spreadsheets/d/1swGwZOEqYlTEUCJLY-eeJM1911Kvaei5oySBIxdgtNo/edit?pli=1#gid=257618397"",""stock untanna!B:F""),5,false)"),"IM")</f>
        <v>IM</v>
      </c>
      <c r="I126" s="42" t="str">
        <f>IFERROR(__xludf.DUMMYFUNCTION("vlookup($D126,IMPORTRANGE(""https://docs.google.com/spreadsheets/d/1swGwZOEqYlTEUCJLY-eeJM1911Kvaei5oySBIxdgtNo/edit?pli=1#gid=257618397"",""stock untanna!B:G""),6,false)"),"")</f>
        <v/>
      </c>
      <c r="J126" s="43" t="str">
        <f t="shared" si="1"/>
        <v>ADA</v>
      </c>
      <c r="K126" s="72">
        <v>1.0</v>
      </c>
      <c r="L126" s="53" t="s">
        <v>62</v>
      </c>
      <c r="M126" s="73">
        <v>150000.0</v>
      </c>
      <c r="N126" s="74"/>
      <c r="O126" s="73">
        <v>150000.0</v>
      </c>
      <c r="P126" s="46" t="str">
        <f t="shared" si="2"/>
        <v>Rp150,000-1 LSN-0.00%</v>
      </c>
      <c r="Q126" s="75">
        <v>45408.0</v>
      </c>
      <c r="R126" s="76"/>
      <c r="S126" s="75">
        <v>45418.0</v>
      </c>
      <c r="T126" s="49"/>
    </row>
    <row r="127">
      <c r="A127" s="69">
        <v>4319.0</v>
      </c>
      <c r="B127" s="69" t="s">
        <v>29</v>
      </c>
      <c r="C127" s="70" t="s">
        <v>155</v>
      </c>
      <c r="D127" s="69"/>
      <c r="E127" s="41" t="s">
        <v>272</v>
      </c>
      <c r="F127" s="70"/>
      <c r="G127" s="71" t="s">
        <v>272</v>
      </c>
      <c r="H127" s="41" t="str">
        <f>IFERROR(__xludf.DUMMYFUNCTION("vlookup($D127,IMPORTRANGE(""https://docs.google.com/spreadsheets/d/1swGwZOEqYlTEUCJLY-eeJM1911Kvaei5oySBIxdgtNo/edit?pli=1#gid=257618397"",""stock untanna!B:F""),5,false)"),"#N/A")</f>
        <v>#N/A</v>
      </c>
      <c r="I127" s="42" t="str">
        <f>IFERROR(__xludf.DUMMYFUNCTION("vlookup($D127,IMPORTRANGE(""https://docs.google.com/spreadsheets/d/1swGwZOEqYlTEUCJLY-eeJM1911Kvaei5oySBIxdgtNo/edit?pli=1#gid=257618397"",""stock untanna!B:G""),6,false)"),"#N/A")</f>
        <v>#N/A</v>
      </c>
      <c r="J127" s="43" t="str">
        <f t="shared" si="1"/>
        <v>TIDAK ADA</v>
      </c>
      <c r="K127" s="72">
        <v>1.0</v>
      </c>
      <c r="L127" s="53" t="s">
        <v>62</v>
      </c>
      <c r="M127" s="73">
        <v>150000.0</v>
      </c>
      <c r="N127" s="74"/>
      <c r="O127" s="73">
        <v>150000.0</v>
      </c>
      <c r="P127" s="46" t="str">
        <f t="shared" si="2"/>
        <v>Rp150,000-1 LSN-0.00%</v>
      </c>
      <c r="Q127" s="75">
        <v>45408.0</v>
      </c>
      <c r="R127" s="76"/>
      <c r="S127" s="75">
        <v>45418.0</v>
      </c>
      <c r="T127" s="49"/>
    </row>
    <row r="128">
      <c r="A128" s="69">
        <v>4319.0</v>
      </c>
      <c r="B128" s="69" t="s">
        <v>29</v>
      </c>
      <c r="C128" s="70" t="s">
        <v>155</v>
      </c>
      <c r="D128" s="69"/>
      <c r="E128" s="41" t="s">
        <v>273</v>
      </c>
      <c r="F128" s="70"/>
      <c r="G128" s="71" t="s">
        <v>273</v>
      </c>
      <c r="H128" s="41" t="str">
        <f>IFERROR(__xludf.DUMMYFUNCTION("vlookup($D128,IMPORTRANGE(""https://docs.google.com/spreadsheets/d/1swGwZOEqYlTEUCJLY-eeJM1911Kvaei5oySBIxdgtNo/edit?pli=1#gid=257618397"",""stock untanna!B:F""),5,false)"),"#N/A")</f>
        <v>#N/A</v>
      </c>
      <c r="I128" s="42" t="str">
        <f>IFERROR(__xludf.DUMMYFUNCTION("vlookup($D128,IMPORTRANGE(""https://docs.google.com/spreadsheets/d/1swGwZOEqYlTEUCJLY-eeJM1911Kvaei5oySBIxdgtNo/edit?pli=1#gid=257618397"",""stock untanna!B:G""),6,false)"),"#N/A")</f>
        <v>#N/A</v>
      </c>
      <c r="J128" s="43" t="str">
        <f t="shared" si="1"/>
        <v>TIDAK ADA</v>
      </c>
      <c r="K128" s="72">
        <v>50.0</v>
      </c>
      <c r="L128" s="53" t="s">
        <v>114</v>
      </c>
      <c r="M128" s="73">
        <v>4250.0</v>
      </c>
      <c r="N128" s="74"/>
      <c r="O128" s="73">
        <v>212500.0</v>
      </c>
      <c r="P128" s="46" t="str">
        <f t="shared" si="2"/>
        <v>Rp4,250-50 PAK-0.00%</v>
      </c>
      <c r="Q128" s="75">
        <v>45408.0</v>
      </c>
      <c r="R128" s="76"/>
      <c r="S128" s="75">
        <v>45418.0</v>
      </c>
      <c r="T128" s="49"/>
    </row>
    <row r="129">
      <c r="A129" s="69">
        <v>4319.0</v>
      </c>
      <c r="B129" s="69" t="s">
        <v>29</v>
      </c>
      <c r="C129" s="70" t="s">
        <v>155</v>
      </c>
      <c r="D129" s="69"/>
      <c r="E129" s="41" t="s">
        <v>274</v>
      </c>
      <c r="F129" s="70"/>
      <c r="G129" s="71" t="s">
        <v>274</v>
      </c>
      <c r="H129" s="41" t="str">
        <f>IFERROR(__xludf.DUMMYFUNCTION("vlookup($D129,IMPORTRANGE(""https://docs.google.com/spreadsheets/d/1swGwZOEqYlTEUCJLY-eeJM1911Kvaei5oySBIxdgtNo/edit?pli=1#gid=257618397"",""stock untanna!B:F""),5,false)"),"#N/A")</f>
        <v>#N/A</v>
      </c>
      <c r="I129" s="42" t="str">
        <f>IFERROR(__xludf.DUMMYFUNCTION("vlookup($D129,IMPORTRANGE(""https://docs.google.com/spreadsheets/d/1swGwZOEqYlTEUCJLY-eeJM1911Kvaei5oySBIxdgtNo/edit?pli=1#gid=257618397"",""stock untanna!B:G""),6,false)"),"#N/A")</f>
        <v>#N/A</v>
      </c>
      <c r="J129" s="43" t="str">
        <f t="shared" si="1"/>
        <v>TIDAK ADA</v>
      </c>
      <c r="K129" s="72">
        <v>50.0</v>
      </c>
      <c r="L129" s="53" t="s">
        <v>114</v>
      </c>
      <c r="M129" s="73">
        <v>7500.0</v>
      </c>
      <c r="N129" s="74"/>
      <c r="O129" s="73">
        <v>375000.0</v>
      </c>
      <c r="P129" s="46" t="str">
        <f t="shared" si="2"/>
        <v>Rp7,500-50 PAK-0.00%</v>
      </c>
      <c r="Q129" s="75">
        <v>45408.0</v>
      </c>
      <c r="R129" s="76"/>
      <c r="S129" s="75">
        <v>45418.0</v>
      </c>
      <c r="T129" s="49"/>
    </row>
    <row r="130">
      <c r="A130" s="69">
        <v>4319.0</v>
      </c>
      <c r="B130" s="69" t="s">
        <v>29</v>
      </c>
      <c r="C130" s="70" t="s">
        <v>155</v>
      </c>
      <c r="D130" s="69"/>
      <c r="E130" s="41" t="s">
        <v>275</v>
      </c>
      <c r="F130" s="70"/>
      <c r="G130" s="71" t="s">
        <v>275</v>
      </c>
      <c r="H130" s="41" t="str">
        <f>IFERROR(__xludf.DUMMYFUNCTION("vlookup($D130,IMPORTRANGE(""https://docs.google.com/spreadsheets/d/1swGwZOEqYlTEUCJLY-eeJM1911Kvaei5oySBIxdgtNo/edit?pli=1#gid=257618397"",""stock untanna!B:F""),5,false)"),"#N/A")</f>
        <v>#N/A</v>
      </c>
      <c r="I130" s="42" t="str">
        <f>IFERROR(__xludf.DUMMYFUNCTION("vlookup($D130,IMPORTRANGE(""https://docs.google.com/spreadsheets/d/1swGwZOEqYlTEUCJLY-eeJM1911Kvaei5oySBIxdgtNo/edit?pli=1#gid=257618397"",""stock untanna!B:G""),6,false)"),"#N/A")</f>
        <v>#N/A</v>
      </c>
      <c r="J130" s="43" t="str">
        <f t="shared" si="1"/>
        <v>TIDAK ADA</v>
      </c>
      <c r="K130" s="72">
        <v>1.0</v>
      </c>
      <c r="L130" s="53" t="s">
        <v>62</v>
      </c>
      <c r="M130" s="73">
        <v>70000.0</v>
      </c>
      <c r="N130" s="74"/>
      <c r="O130" s="73">
        <v>70000.0</v>
      </c>
      <c r="P130" s="46" t="str">
        <f t="shared" si="2"/>
        <v>Rp70,000-1 LSN-0.00%</v>
      </c>
      <c r="Q130" s="75">
        <v>45408.0</v>
      </c>
      <c r="R130" s="76"/>
      <c r="S130" s="75">
        <v>45418.0</v>
      </c>
      <c r="T130" s="49"/>
    </row>
    <row r="131">
      <c r="A131" s="69">
        <v>4319.0</v>
      </c>
      <c r="B131" s="69" t="s">
        <v>29</v>
      </c>
      <c r="C131" s="70" t="s">
        <v>155</v>
      </c>
      <c r="D131" s="69"/>
      <c r="E131" s="41" t="s">
        <v>276</v>
      </c>
      <c r="F131" s="70"/>
      <c r="G131" s="71" t="s">
        <v>276</v>
      </c>
      <c r="H131" s="41" t="str">
        <f>IFERROR(__xludf.DUMMYFUNCTION("vlookup($D131,IMPORTRANGE(""https://docs.google.com/spreadsheets/d/1swGwZOEqYlTEUCJLY-eeJM1911Kvaei5oySBIxdgtNo/edit?pli=1#gid=257618397"",""stock untanna!B:F""),5,false)"),"#N/A")</f>
        <v>#N/A</v>
      </c>
      <c r="I131" s="42" t="str">
        <f>IFERROR(__xludf.DUMMYFUNCTION("vlookup($D131,IMPORTRANGE(""https://docs.google.com/spreadsheets/d/1swGwZOEqYlTEUCJLY-eeJM1911Kvaei5oySBIxdgtNo/edit?pli=1#gid=257618397"",""stock untanna!B:G""),6,false)"),"#N/A")</f>
        <v>#N/A</v>
      </c>
      <c r="J131" s="43" t="str">
        <f t="shared" si="1"/>
        <v>TIDAK ADA</v>
      </c>
      <c r="K131" s="72">
        <v>2.0</v>
      </c>
      <c r="L131" s="53" t="s">
        <v>62</v>
      </c>
      <c r="M131" s="73">
        <v>95000.0</v>
      </c>
      <c r="N131" s="74"/>
      <c r="O131" s="73">
        <v>190000.0</v>
      </c>
      <c r="P131" s="46" t="str">
        <f t="shared" si="2"/>
        <v>Rp95,000-2 LSN-0.00%</v>
      </c>
      <c r="Q131" s="75">
        <v>45408.0</v>
      </c>
      <c r="R131" s="76"/>
      <c r="S131" s="75">
        <v>45418.0</v>
      </c>
      <c r="T131" s="49"/>
    </row>
    <row r="132">
      <c r="A132" s="69">
        <v>4319.0</v>
      </c>
      <c r="B132" s="69" t="s">
        <v>29</v>
      </c>
      <c r="C132" s="70" t="s">
        <v>155</v>
      </c>
      <c r="D132" s="69"/>
      <c r="E132" s="41" t="s">
        <v>277</v>
      </c>
      <c r="F132" s="70"/>
      <c r="G132" s="71" t="s">
        <v>277</v>
      </c>
      <c r="H132" s="41" t="str">
        <f>IFERROR(__xludf.DUMMYFUNCTION("vlookup($D132,IMPORTRANGE(""https://docs.google.com/spreadsheets/d/1swGwZOEqYlTEUCJLY-eeJM1911Kvaei5oySBIxdgtNo/edit?pli=1#gid=257618397"",""stock untanna!B:F""),5,false)"),"#N/A")</f>
        <v>#N/A</v>
      </c>
      <c r="I132" s="42" t="str">
        <f>IFERROR(__xludf.DUMMYFUNCTION("vlookup($D132,IMPORTRANGE(""https://docs.google.com/spreadsheets/d/1swGwZOEqYlTEUCJLY-eeJM1911Kvaei5oySBIxdgtNo/edit?pli=1#gid=257618397"",""stock untanna!B:G""),6,false)"),"#N/A")</f>
        <v>#N/A</v>
      </c>
      <c r="J132" s="43" t="str">
        <f t="shared" si="1"/>
        <v>TIDAK ADA</v>
      </c>
      <c r="K132" s="72">
        <v>12.0</v>
      </c>
      <c r="L132" s="53" t="s">
        <v>84</v>
      </c>
      <c r="M132" s="73">
        <v>12000.0</v>
      </c>
      <c r="N132" s="74"/>
      <c r="O132" s="73">
        <v>144000.0</v>
      </c>
      <c r="P132" s="46" t="str">
        <f t="shared" si="2"/>
        <v>Rp12,000-12 SET-0.00%</v>
      </c>
      <c r="Q132" s="75">
        <v>45408.0</v>
      </c>
      <c r="R132" s="76"/>
      <c r="S132" s="75">
        <v>45418.0</v>
      </c>
      <c r="T132" s="49"/>
    </row>
    <row r="133">
      <c r="A133" s="69">
        <v>4319.0</v>
      </c>
      <c r="B133" s="69" t="s">
        <v>29</v>
      </c>
      <c r="C133" s="70" t="s">
        <v>155</v>
      </c>
      <c r="D133" s="50" t="s">
        <v>278</v>
      </c>
      <c r="E133" s="41" t="s">
        <v>279</v>
      </c>
      <c r="F133" s="70"/>
      <c r="G133" s="71" t="s">
        <v>279</v>
      </c>
      <c r="H133" s="41" t="str">
        <f>IFERROR(__xludf.DUMMYFUNCTION("vlookup($D133,IMPORTRANGE(""https://docs.google.com/spreadsheets/d/1swGwZOEqYlTEUCJLY-eeJM1911Kvaei5oySBIxdgtNo/edit?pli=1#gid=257618397"",""stock untanna!B:F""),5,false)"),"IM")</f>
        <v>IM</v>
      </c>
      <c r="I133" s="42" t="str">
        <f>IFERROR(__xludf.DUMMYFUNCTION("vlookup($D133,IMPORTRANGE(""https://docs.google.com/spreadsheets/d/1swGwZOEqYlTEUCJLY-eeJM1911Kvaei5oySBIxdgtNo/edit?pli=1#gid=257618397"",""stock untanna!B:G""),6,false)"),"B1010")</f>
        <v>B1010</v>
      </c>
      <c r="J133" s="43" t="str">
        <f t="shared" si="1"/>
        <v>ADA</v>
      </c>
      <c r="K133" s="72">
        <v>12.0</v>
      </c>
      <c r="L133" s="53" t="s">
        <v>69</v>
      </c>
      <c r="M133" s="73">
        <v>30000.0</v>
      </c>
      <c r="N133" s="74"/>
      <c r="O133" s="73">
        <v>360000.0</v>
      </c>
      <c r="P133" s="46" t="str">
        <f t="shared" si="2"/>
        <v>Rp30,000-12 PCS-0.00%</v>
      </c>
      <c r="Q133" s="75">
        <v>45408.0</v>
      </c>
      <c r="R133" s="76"/>
      <c r="S133" s="75">
        <v>45418.0</v>
      </c>
      <c r="T133" s="80" t="s">
        <v>280</v>
      </c>
    </row>
    <row r="134">
      <c r="A134" s="69">
        <v>4319.0</v>
      </c>
      <c r="B134" s="69" t="s">
        <v>29</v>
      </c>
      <c r="C134" s="70" t="s">
        <v>155</v>
      </c>
      <c r="D134" s="69"/>
      <c r="E134" s="41" t="s">
        <v>281</v>
      </c>
      <c r="F134" s="70"/>
      <c r="G134" s="71" t="s">
        <v>281</v>
      </c>
      <c r="H134" s="41" t="str">
        <f>IFERROR(__xludf.DUMMYFUNCTION("vlookup($D134,IMPORTRANGE(""https://docs.google.com/spreadsheets/d/1swGwZOEqYlTEUCJLY-eeJM1911Kvaei5oySBIxdgtNo/edit?pli=1#gid=257618397"",""stock untanna!B:F""),5,false)"),"#N/A")</f>
        <v>#N/A</v>
      </c>
      <c r="I134" s="42" t="str">
        <f>IFERROR(__xludf.DUMMYFUNCTION("vlookup($D134,IMPORTRANGE(""https://docs.google.com/spreadsheets/d/1swGwZOEqYlTEUCJLY-eeJM1911Kvaei5oySBIxdgtNo/edit?pli=1#gid=257618397"",""stock untanna!B:G""),6,false)"),"#N/A")</f>
        <v>#N/A</v>
      </c>
      <c r="J134" s="43" t="str">
        <f t="shared" si="1"/>
        <v>TIDAK ADA</v>
      </c>
      <c r="K134" s="72">
        <v>12.0</v>
      </c>
      <c r="L134" s="53" t="s">
        <v>84</v>
      </c>
      <c r="M134" s="73">
        <v>9000.0</v>
      </c>
      <c r="N134" s="74"/>
      <c r="O134" s="73">
        <v>108000.0</v>
      </c>
      <c r="P134" s="46" t="str">
        <f t="shared" si="2"/>
        <v>Rp9,000-12 SET-0.00%</v>
      </c>
      <c r="Q134" s="75">
        <v>45408.0</v>
      </c>
      <c r="R134" s="76"/>
      <c r="S134" s="75">
        <v>45418.0</v>
      </c>
      <c r="T134" s="80" t="s">
        <v>280</v>
      </c>
    </row>
    <row r="135">
      <c r="A135" s="69">
        <v>4319.0</v>
      </c>
      <c r="B135" s="69" t="s">
        <v>29</v>
      </c>
      <c r="C135" s="70" t="s">
        <v>155</v>
      </c>
      <c r="D135" s="69"/>
      <c r="E135" s="41" t="s">
        <v>282</v>
      </c>
      <c r="F135" s="70"/>
      <c r="G135" s="71" t="s">
        <v>282</v>
      </c>
      <c r="H135" s="41" t="str">
        <f>IFERROR(__xludf.DUMMYFUNCTION("vlookup($D135,IMPORTRANGE(""https://docs.google.com/spreadsheets/d/1swGwZOEqYlTEUCJLY-eeJM1911Kvaei5oySBIxdgtNo/edit?pli=1#gid=257618397"",""stock untanna!B:F""),5,false)"),"#N/A")</f>
        <v>#N/A</v>
      </c>
      <c r="I135" s="42" t="str">
        <f>IFERROR(__xludf.DUMMYFUNCTION("vlookup($D135,IMPORTRANGE(""https://docs.google.com/spreadsheets/d/1swGwZOEqYlTEUCJLY-eeJM1911Kvaei5oySBIxdgtNo/edit?pli=1#gid=257618397"",""stock untanna!B:G""),6,false)"),"#N/A")</f>
        <v>#N/A</v>
      </c>
      <c r="J135" s="43" t="str">
        <f t="shared" si="1"/>
        <v>TIDAK ADA</v>
      </c>
      <c r="K135" s="72">
        <v>12.0</v>
      </c>
      <c r="L135" s="53" t="s">
        <v>84</v>
      </c>
      <c r="M135" s="73">
        <v>10000.0</v>
      </c>
      <c r="N135" s="74"/>
      <c r="O135" s="73">
        <v>120000.0</v>
      </c>
      <c r="P135" s="46" t="str">
        <f t="shared" si="2"/>
        <v>Rp10,000-12 SET-0.00%</v>
      </c>
      <c r="Q135" s="75">
        <v>45408.0</v>
      </c>
      <c r="R135" s="76"/>
      <c r="S135" s="75">
        <v>45418.0</v>
      </c>
      <c r="T135" s="49"/>
    </row>
    <row r="136">
      <c r="A136" s="69">
        <v>4319.0</v>
      </c>
      <c r="B136" s="69" t="s">
        <v>29</v>
      </c>
      <c r="C136" s="70" t="s">
        <v>155</v>
      </c>
      <c r="D136" s="69"/>
      <c r="E136" s="41" t="s">
        <v>283</v>
      </c>
      <c r="F136" s="70"/>
      <c r="G136" s="71" t="s">
        <v>283</v>
      </c>
      <c r="H136" s="41" t="str">
        <f>IFERROR(__xludf.DUMMYFUNCTION("vlookup($D136,IMPORTRANGE(""https://docs.google.com/spreadsheets/d/1swGwZOEqYlTEUCJLY-eeJM1911Kvaei5oySBIxdgtNo/edit?pli=1#gid=257618397"",""stock untanna!B:F""),5,false)"),"#N/A")</f>
        <v>#N/A</v>
      </c>
      <c r="I136" s="42" t="str">
        <f>IFERROR(__xludf.DUMMYFUNCTION("vlookup($D136,IMPORTRANGE(""https://docs.google.com/spreadsheets/d/1swGwZOEqYlTEUCJLY-eeJM1911Kvaei5oySBIxdgtNo/edit?pli=1#gid=257618397"",""stock untanna!B:G""),6,false)"),"#N/A")</f>
        <v>#N/A</v>
      </c>
      <c r="J136" s="43" t="str">
        <f t="shared" si="1"/>
        <v>TIDAK ADA</v>
      </c>
      <c r="K136" s="72">
        <v>2.0</v>
      </c>
      <c r="L136" s="53" t="s">
        <v>62</v>
      </c>
      <c r="M136" s="73">
        <v>200000.0</v>
      </c>
      <c r="N136" s="74"/>
      <c r="O136" s="73">
        <v>400000.0</v>
      </c>
      <c r="P136" s="46" t="str">
        <f t="shared" si="2"/>
        <v>Rp200,000-2 LSN-0.00%</v>
      </c>
      <c r="Q136" s="75">
        <v>45408.0</v>
      </c>
      <c r="R136" s="76"/>
      <c r="S136" s="75">
        <v>45418.0</v>
      </c>
      <c r="T136" s="49"/>
    </row>
    <row r="137">
      <c r="A137" s="69">
        <v>4319.0</v>
      </c>
      <c r="B137" s="69" t="s">
        <v>29</v>
      </c>
      <c r="C137" s="70" t="s">
        <v>155</v>
      </c>
      <c r="D137" s="69"/>
      <c r="E137" s="41" t="s">
        <v>284</v>
      </c>
      <c r="F137" s="70"/>
      <c r="G137" s="71" t="s">
        <v>284</v>
      </c>
      <c r="H137" s="41" t="str">
        <f>IFERROR(__xludf.DUMMYFUNCTION("vlookup($D137,IMPORTRANGE(""https://docs.google.com/spreadsheets/d/1swGwZOEqYlTEUCJLY-eeJM1911Kvaei5oySBIxdgtNo/edit?pli=1#gid=257618397"",""stock untanna!B:F""),5,false)"),"#N/A")</f>
        <v>#N/A</v>
      </c>
      <c r="I137" s="42" t="str">
        <f>IFERROR(__xludf.DUMMYFUNCTION("vlookup($D137,IMPORTRANGE(""https://docs.google.com/spreadsheets/d/1swGwZOEqYlTEUCJLY-eeJM1911Kvaei5oySBIxdgtNo/edit?pli=1#gid=257618397"",""stock untanna!B:G""),6,false)"),"#N/A")</f>
        <v>#N/A</v>
      </c>
      <c r="J137" s="43" t="str">
        <f t="shared" si="1"/>
        <v>TIDAK ADA</v>
      </c>
      <c r="K137" s="72">
        <v>2.0</v>
      </c>
      <c r="L137" s="53" t="s">
        <v>62</v>
      </c>
      <c r="M137" s="73">
        <v>210000.0</v>
      </c>
      <c r="N137" s="74"/>
      <c r="O137" s="73">
        <v>420000.0</v>
      </c>
      <c r="P137" s="46" t="str">
        <f t="shared" si="2"/>
        <v>Rp210,000-2 LSN-0.00%</v>
      </c>
      <c r="Q137" s="75">
        <v>45408.0</v>
      </c>
      <c r="R137" s="76"/>
      <c r="S137" s="75">
        <v>45418.0</v>
      </c>
      <c r="T137" s="49"/>
    </row>
    <row r="138">
      <c r="A138" s="69">
        <v>4320.0</v>
      </c>
      <c r="B138" s="69" t="s">
        <v>29</v>
      </c>
      <c r="C138" s="70" t="s">
        <v>155</v>
      </c>
      <c r="D138" s="69"/>
      <c r="E138" s="41" t="s">
        <v>285</v>
      </c>
      <c r="F138" s="70"/>
      <c r="G138" s="71" t="s">
        <v>285</v>
      </c>
      <c r="H138" s="41" t="str">
        <f>IFERROR(__xludf.DUMMYFUNCTION("vlookup($D138,IMPORTRANGE(""https://docs.google.com/spreadsheets/d/1swGwZOEqYlTEUCJLY-eeJM1911Kvaei5oySBIxdgtNo/edit?pli=1#gid=257618397"",""stock untanna!B:F""),5,false)"),"#N/A")</f>
        <v>#N/A</v>
      </c>
      <c r="I138" s="42" t="str">
        <f>IFERROR(__xludf.DUMMYFUNCTION("vlookup($D138,IMPORTRANGE(""https://docs.google.com/spreadsheets/d/1swGwZOEqYlTEUCJLY-eeJM1911Kvaei5oySBIxdgtNo/edit?pli=1#gid=257618397"",""stock untanna!B:G""),6,false)"),"#N/A")</f>
        <v>#N/A</v>
      </c>
      <c r="J138" s="43" t="str">
        <f t="shared" si="1"/>
        <v>TIDAK ADA</v>
      </c>
      <c r="K138" s="72">
        <v>2.0</v>
      </c>
      <c r="L138" s="53" t="s">
        <v>62</v>
      </c>
      <c r="M138" s="73">
        <v>175000.0</v>
      </c>
      <c r="N138" s="74"/>
      <c r="O138" s="73">
        <v>350000.0</v>
      </c>
      <c r="P138" s="46" t="str">
        <f t="shared" si="2"/>
        <v>Rp175,000-2 LSN-0.00%</v>
      </c>
      <c r="Q138" s="75">
        <v>45408.0</v>
      </c>
      <c r="R138" s="76"/>
      <c r="S138" s="75">
        <v>45418.0</v>
      </c>
      <c r="T138" s="49"/>
    </row>
    <row r="139">
      <c r="A139" s="69">
        <v>4320.0</v>
      </c>
      <c r="B139" s="69" t="s">
        <v>29</v>
      </c>
      <c r="C139" s="70" t="s">
        <v>155</v>
      </c>
      <c r="D139" s="69"/>
      <c r="E139" s="41" t="s">
        <v>286</v>
      </c>
      <c r="F139" s="70"/>
      <c r="G139" s="71" t="s">
        <v>286</v>
      </c>
      <c r="H139" s="41" t="str">
        <f>IFERROR(__xludf.DUMMYFUNCTION("vlookup($D139,IMPORTRANGE(""https://docs.google.com/spreadsheets/d/1swGwZOEqYlTEUCJLY-eeJM1911Kvaei5oySBIxdgtNo/edit?pli=1#gid=257618397"",""stock untanna!B:F""),5,false)"),"#N/A")</f>
        <v>#N/A</v>
      </c>
      <c r="I139" s="42" t="str">
        <f>IFERROR(__xludf.DUMMYFUNCTION("vlookup($D139,IMPORTRANGE(""https://docs.google.com/spreadsheets/d/1swGwZOEqYlTEUCJLY-eeJM1911Kvaei5oySBIxdgtNo/edit?pli=1#gid=257618397"",""stock untanna!B:G""),6,false)"),"#N/A")</f>
        <v>#N/A</v>
      </c>
      <c r="J139" s="43" t="str">
        <f t="shared" si="1"/>
        <v>TIDAK ADA</v>
      </c>
      <c r="K139" s="72">
        <v>2.0</v>
      </c>
      <c r="L139" s="53" t="s">
        <v>62</v>
      </c>
      <c r="M139" s="73">
        <v>180000.0</v>
      </c>
      <c r="N139" s="74"/>
      <c r="O139" s="73">
        <v>360000.0</v>
      </c>
      <c r="P139" s="46" t="str">
        <f t="shared" si="2"/>
        <v>Rp180,000-2 LSN-0.00%</v>
      </c>
      <c r="Q139" s="75">
        <v>45408.0</v>
      </c>
      <c r="R139" s="76"/>
      <c r="S139" s="75">
        <v>45418.0</v>
      </c>
      <c r="T139" s="49"/>
    </row>
    <row r="140">
      <c r="A140" s="69">
        <v>4320.0</v>
      </c>
      <c r="B140" s="69" t="s">
        <v>29</v>
      </c>
      <c r="C140" s="70" t="s">
        <v>155</v>
      </c>
      <c r="D140" s="69"/>
      <c r="E140" s="41" t="s">
        <v>287</v>
      </c>
      <c r="F140" s="70"/>
      <c r="G140" s="71" t="s">
        <v>287</v>
      </c>
      <c r="H140" s="41" t="str">
        <f>IFERROR(__xludf.DUMMYFUNCTION("vlookup($D140,IMPORTRANGE(""https://docs.google.com/spreadsheets/d/1swGwZOEqYlTEUCJLY-eeJM1911Kvaei5oySBIxdgtNo/edit?pli=1#gid=257618397"",""stock untanna!B:F""),5,false)"),"#N/A")</f>
        <v>#N/A</v>
      </c>
      <c r="I140" s="42" t="str">
        <f>IFERROR(__xludf.DUMMYFUNCTION("vlookup($D140,IMPORTRANGE(""https://docs.google.com/spreadsheets/d/1swGwZOEqYlTEUCJLY-eeJM1911Kvaei5oySBIxdgtNo/edit?pli=1#gid=257618397"",""stock untanna!B:G""),6,false)"),"#N/A")</f>
        <v>#N/A</v>
      </c>
      <c r="J140" s="43" t="str">
        <f t="shared" si="1"/>
        <v>TIDAK ADA</v>
      </c>
      <c r="K140" s="72">
        <v>2.0</v>
      </c>
      <c r="L140" s="53" t="s">
        <v>62</v>
      </c>
      <c r="M140" s="73">
        <v>180000.0</v>
      </c>
      <c r="N140" s="74"/>
      <c r="O140" s="73">
        <v>360000.0</v>
      </c>
      <c r="P140" s="46" t="str">
        <f t="shared" si="2"/>
        <v>Rp180,000-2 LSN-0.00%</v>
      </c>
      <c r="Q140" s="75">
        <v>45408.0</v>
      </c>
      <c r="R140" s="76"/>
      <c r="S140" s="75">
        <v>45418.0</v>
      </c>
      <c r="T140" s="49"/>
    </row>
    <row r="141">
      <c r="A141" s="69">
        <v>4320.0</v>
      </c>
      <c r="B141" s="69" t="s">
        <v>29</v>
      </c>
      <c r="C141" s="70" t="s">
        <v>155</v>
      </c>
      <c r="D141" s="69"/>
      <c r="E141" s="41" t="s">
        <v>288</v>
      </c>
      <c r="F141" s="70"/>
      <c r="G141" s="71" t="s">
        <v>288</v>
      </c>
      <c r="H141" s="41" t="str">
        <f>IFERROR(__xludf.DUMMYFUNCTION("vlookup($D141,IMPORTRANGE(""https://docs.google.com/spreadsheets/d/1swGwZOEqYlTEUCJLY-eeJM1911Kvaei5oySBIxdgtNo/edit?pli=1#gid=257618397"",""stock untanna!B:F""),5,false)"),"#N/A")</f>
        <v>#N/A</v>
      </c>
      <c r="I141" s="42" t="str">
        <f>IFERROR(__xludf.DUMMYFUNCTION("vlookup($D141,IMPORTRANGE(""https://docs.google.com/spreadsheets/d/1swGwZOEqYlTEUCJLY-eeJM1911Kvaei5oySBIxdgtNo/edit?pli=1#gid=257618397"",""stock untanna!B:G""),6,false)"),"#N/A")</f>
        <v>#N/A</v>
      </c>
      <c r="J141" s="43" t="str">
        <f t="shared" si="1"/>
        <v>TIDAK ADA</v>
      </c>
      <c r="K141" s="72">
        <v>5.0</v>
      </c>
      <c r="L141" s="53" t="s">
        <v>62</v>
      </c>
      <c r="M141" s="73">
        <v>120000.0</v>
      </c>
      <c r="N141" s="74"/>
      <c r="O141" s="73">
        <v>600000.0</v>
      </c>
      <c r="P141" s="46" t="str">
        <f t="shared" si="2"/>
        <v>Rp120,000-5 LSN-0.00%</v>
      </c>
      <c r="Q141" s="75">
        <v>45408.0</v>
      </c>
      <c r="R141" s="76"/>
      <c r="S141" s="75">
        <v>45418.0</v>
      </c>
      <c r="T141" s="49"/>
    </row>
    <row r="142">
      <c r="A142" s="69">
        <v>4320.0</v>
      </c>
      <c r="B142" s="69" t="s">
        <v>29</v>
      </c>
      <c r="C142" s="70" t="s">
        <v>155</v>
      </c>
      <c r="D142" s="69"/>
      <c r="E142" s="41" t="s">
        <v>289</v>
      </c>
      <c r="F142" s="70"/>
      <c r="G142" s="71" t="s">
        <v>289</v>
      </c>
      <c r="H142" s="41" t="str">
        <f>IFERROR(__xludf.DUMMYFUNCTION("vlookup($D142,IMPORTRANGE(""https://docs.google.com/spreadsheets/d/1swGwZOEqYlTEUCJLY-eeJM1911Kvaei5oySBIxdgtNo/edit?pli=1#gid=257618397"",""stock untanna!B:F""),5,false)"),"#N/A")</f>
        <v>#N/A</v>
      </c>
      <c r="I142" s="42" t="str">
        <f>IFERROR(__xludf.DUMMYFUNCTION("vlookup($D142,IMPORTRANGE(""https://docs.google.com/spreadsheets/d/1swGwZOEqYlTEUCJLY-eeJM1911Kvaei5oySBIxdgtNo/edit?pli=1#gid=257618397"",""stock untanna!B:G""),6,false)"),"#N/A")</f>
        <v>#N/A</v>
      </c>
      <c r="J142" s="43" t="str">
        <f t="shared" si="1"/>
        <v>TIDAK ADA</v>
      </c>
      <c r="K142" s="72">
        <v>5.0</v>
      </c>
      <c r="L142" s="53" t="s">
        <v>62</v>
      </c>
      <c r="M142" s="73">
        <v>110000.0</v>
      </c>
      <c r="N142" s="74"/>
      <c r="O142" s="73">
        <v>550000.0</v>
      </c>
      <c r="P142" s="46" t="str">
        <f t="shared" si="2"/>
        <v>Rp110,000-5 LSN-0.00%</v>
      </c>
      <c r="Q142" s="75">
        <v>45408.0</v>
      </c>
      <c r="R142" s="76"/>
      <c r="S142" s="75">
        <v>45418.0</v>
      </c>
      <c r="T142" s="49"/>
    </row>
    <row r="143">
      <c r="A143" s="69">
        <v>4320.0</v>
      </c>
      <c r="B143" s="69" t="s">
        <v>29</v>
      </c>
      <c r="C143" s="70" t="s">
        <v>155</v>
      </c>
      <c r="D143" s="69"/>
      <c r="E143" s="41" t="s">
        <v>290</v>
      </c>
      <c r="F143" s="70"/>
      <c r="G143" s="71" t="s">
        <v>290</v>
      </c>
      <c r="H143" s="41" t="str">
        <f>IFERROR(__xludf.DUMMYFUNCTION("vlookup($D143,IMPORTRANGE(""https://docs.google.com/spreadsheets/d/1swGwZOEqYlTEUCJLY-eeJM1911Kvaei5oySBIxdgtNo/edit?pli=1#gid=257618397"",""stock untanna!B:F""),5,false)"),"#N/A")</f>
        <v>#N/A</v>
      </c>
      <c r="I143" s="42" t="str">
        <f>IFERROR(__xludf.DUMMYFUNCTION("vlookup($D143,IMPORTRANGE(""https://docs.google.com/spreadsheets/d/1swGwZOEqYlTEUCJLY-eeJM1911Kvaei5oySBIxdgtNo/edit?pli=1#gid=257618397"",""stock untanna!B:G""),6,false)"),"#N/A")</f>
        <v>#N/A</v>
      </c>
      <c r="J143" s="43" t="str">
        <f t="shared" si="1"/>
        <v>TIDAK ADA</v>
      </c>
      <c r="K143" s="72">
        <v>2.0</v>
      </c>
      <c r="L143" s="53" t="s">
        <v>62</v>
      </c>
      <c r="M143" s="73">
        <v>175000.0</v>
      </c>
      <c r="N143" s="74"/>
      <c r="O143" s="73">
        <v>350000.0</v>
      </c>
      <c r="P143" s="46" t="str">
        <f t="shared" si="2"/>
        <v>Rp175,000-2 LSN-0.00%</v>
      </c>
      <c r="Q143" s="75">
        <v>45408.0</v>
      </c>
      <c r="R143" s="76"/>
      <c r="S143" s="75">
        <v>45418.0</v>
      </c>
      <c r="T143" s="49"/>
    </row>
    <row r="144">
      <c r="A144" s="69">
        <v>4320.0</v>
      </c>
      <c r="B144" s="69" t="s">
        <v>29</v>
      </c>
      <c r="C144" s="70" t="s">
        <v>155</v>
      </c>
      <c r="D144" s="69"/>
      <c r="E144" s="41" t="s">
        <v>291</v>
      </c>
      <c r="F144" s="70"/>
      <c r="G144" s="71" t="s">
        <v>291</v>
      </c>
      <c r="H144" s="41" t="str">
        <f>IFERROR(__xludf.DUMMYFUNCTION("vlookup($D144,IMPORTRANGE(""https://docs.google.com/spreadsheets/d/1swGwZOEqYlTEUCJLY-eeJM1911Kvaei5oySBIxdgtNo/edit?pli=1#gid=257618397"",""stock untanna!B:F""),5,false)"),"#N/A")</f>
        <v>#N/A</v>
      </c>
      <c r="I144" s="42" t="str">
        <f>IFERROR(__xludf.DUMMYFUNCTION("vlookup($D144,IMPORTRANGE(""https://docs.google.com/spreadsheets/d/1swGwZOEqYlTEUCJLY-eeJM1911Kvaei5oySBIxdgtNo/edit?pli=1#gid=257618397"",""stock untanna!B:G""),6,false)"),"#N/A")</f>
        <v>#N/A</v>
      </c>
      <c r="J144" s="43" t="str">
        <f t="shared" si="1"/>
        <v>TIDAK ADA</v>
      </c>
      <c r="K144" s="72">
        <v>2.0</v>
      </c>
      <c r="L144" s="53" t="s">
        <v>62</v>
      </c>
      <c r="M144" s="73">
        <v>195000.0</v>
      </c>
      <c r="N144" s="74"/>
      <c r="O144" s="73">
        <v>390000.0</v>
      </c>
      <c r="P144" s="46" t="str">
        <f t="shared" si="2"/>
        <v>Rp195,000-2 LSN-0.00%</v>
      </c>
      <c r="Q144" s="75">
        <v>45408.0</v>
      </c>
      <c r="R144" s="76"/>
      <c r="S144" s="75">
        <v>45418.0</v>
      </c>
      <c r="T144" s="49"/>
    </row>
    <row r="145">
      <c r="A145" s="69">
        <v>4320.0</v>
      </c>
      <c r="B145" s="69" t="s">
        <v>29</v>
      </c>
      <c r="C145" s="70" t="s">
        <v>155</v>
      </c>
      <c r="D145" s="81" t="s">
        <v>292</v>
      </c>
      <c r="E145" s="41" t="str">
        <f>IFERROR(__xludf.DUMMYFUNCTION("vlookup(D145,IMPORTRANGE(""https://docs.google.com/spreadsheets/d/1swGwZOEqYlTEUCJLY-eeJM1911Kvaei5oySBIxdgtNo/edit?pli=1#gid=257618397"",""stock untanna!B:C""),2,false)"),"KARET PENTIL LEGENDA KECIL")</f>
        <v>KARET PENTIL LEGENDA KECIL</v>
      </c>
      <c r="F145" s="70"/>
      <c r="G145" s="71" t="s">
        <v>293</v>
      </c>
      <c r="H145" s="41" t="str">
        <f>IFERROR(__xludf.DUMMYFUNCTION("vlookup($D145,IMPORTRANGE(""https://docs.google.com/spreadsheets/d/1swGwZOEqYlTEUCJLY-eeJM1911Kvaei5oySBIxdgtNo/edit?pli=1#gid=257618397"",""stock untanna!B:F""),5,false)"),"LG")</f>
        <v>LG</v>
      </c>
      <c r="I145" s="42" t="str">
        <f>IFERROR(__xludf.DUMMYFUNCTION("vlookup($D145,IMPORTRANGE(""https://docs.google.com/spreadsheets/d/1swGwZOEqYlTEUCJLY-eeJM1911Kvaei5oySBIxdgtNo/edit?pli=1#gid=257618397"",""stock untanna!B:G""),6,false)"),"")</f>
        <v/>
      </c>
      <c r="J145" s="43" t="str">
        <f t="shared" si="1"/>
        <v>ADA</v>
      </c>
      <c r="K145" s="72">
        <v>20.0</v>
      </c>
      <c r="L145" s="53" t="s">
        <v>114</v>
      </c>
      <c r="M145" s="73">
        <v>8000.0</v>
      </c>
      <c r="N145" s="74"/>
      <c r="O145" s="73">
        <v>160000.0</v>
      </c>
      <c r="P145" s="46" t="str">
        <f t="shared" si="2"/>
        <v>Rp8,000-20 PAK-0.00%</v>
      </c>
      <c r="Q145" s="75">
        <v>45408.0</v>
      </c>
      <c r="R145" s="76"/>
      <c r="S145" s="75">
        <v>45418.0</v>
      </c>
      <c r="T145" s="49"/>
    </row>
    <row r="146">
      <c r="A146" s="69">
        <v>4320.0</v>
      </c>
      <c r="B146" s="69" t="s">
        <v>29</v>
      </c>
      <c r="C146" s="70" t="s">
        <v>155</v>
      </c>
      <c r="D146" s="69"/>
      <c r="E146" s="41" t="s">
        <v>294</v>
      </c>
      <c r="F146" s="70"/>
      <c r="G146" s="71" t="s">
        <v>294</v>
      </c>
      <c r="H146" s="41" t="str">
        <f>IFERROR(__xludf.DUMMYFUNCTION("vlookup($D146,IMPORTRANGE(""https://docs.google.com/spreadsheets/d/1swGwZOEqYlTEUCJLY-eeJM1911Kvaei5oySBIxdgtNo/edit?pli=1#gid=257618397"",""stock untanna!B:F""),5,false)"),"#N/A")</f>
        <v>#N/A</v>
      </c>
      <c r="I146" s="42" t="str">
        <f>IFERROR(__xludf.DUMMYFUNCTION("vlookup($D146,IMPORTRANGE(""https://docs.google.com/spreadsheets/d/1swGwZOEqYlTEUCJLY-eeJM1911Kvaei5oySBIxdgtNo/edit?pli=1#gid=257618397"",""stock untanna!B:G""),6,false)"),"#N/A")</f>
        <v>#N/A</v>
      </c>
      <c r="J146" s="43" t="str">
        <f t="shared" si="1"/>
        <v>TIDAK ADA</v>
      </c>
      <c r="K146" s="72">
        <v>10.0</v>
      </c>
      <c r="L146" s="53" t="s">
        <v>114</v>
      </c>
      <c r="M146" s="73">
        <v>26500.0</v>
      </c>
      <c r="N146" s="74"/>
      <c r="O146" s="73">
        <v>265000.0</v>
      </c>
      <c r="P146" s="46" t="str">
        <f t="shared" si="2"/>
        <v>Rp26,500-10 PAK-0.00%</v>
      </c>
      <c r="Q146" s="75">
        <v>45408.0</v>
      </c>
      <c r="R146" s="76"/>
      <c r="S146" s="75">
        <v>45418.0</v>
      </c>
      <c r="T146" s="49"/>
    </row>
    <row r="147">
      <c r="A147" s="69">
        <v>4320.0</v>
      </c>
      <c r="B147" s="69" t="s">
        <v>29</v>
      </c>
      <c r="C147" s="70" t="s">
        <v>155</v>
      </c>
      <c r="D147" s="69"/>
      <c r="E147" s="41" t="s">
        <v>295</v>
      </c>
      <c r="F147" s="70"/>
      <c r="G147" s="71" t="s">
        <v>295</v>
      </c>
      <c r="H147" s="41" t="str">
        <f>IFERROR(__xludf.DUMMYFUNCTION("vlookup($D147,IMPORTRANGE(""https://docs.google.com/spreadsheets/d/1swGwZOEqYlTEUCJLY-eeJM1911Kvaei5oySBIxdgtNo/edit?pli=1#gid=257618397"",""stock untanna!B:F""),5,false)"),"#N/A")</f>
        <v>#N/A</v>
      </c>
      <c r="I147" s="42" t="str">
        <f>IFERROR(__xludf.DUMMYFUNCTION("vlookup($D147,IMPORTRANGE(""https://docs.google.com/spreadsheets/d/1swGwZOEqYlTEUCJLY-eeJM1911Kvaei5oySBIxdgtNo/edit?pli=1#gid=257618397"",""stock untanna!B:G""),6,false)"),"#N/A")</f>
        <v>#N/A</v>
      </c>
      <c r="J147" s="43" t="str">
        <f t="shared" si="1"/>
        <v>TIDAK ADA</v>
      </c>
      <c r="K147" s="72">
        <v>12.0</v>
      </c>
      <c r="L147" s="53" t="s">
        <v>114</v>
      </c>
      <c r="M147" s="73">
        <v>27500.0</v>
      </c>
      <c r="N147" s="74"/>
      <c r="O147" s="73">
        <v>330000.0</v>
      </c>
      <c r="P147" s="46" t="str">
        <f t="shared" si="2"/>
        <v>Rp27,500-12 PAK-0.00%</v>
      </c>
      <c r="Q147" s="75">
        <v>45408.0</v>
      </c>
      <c r="R147" s="76"/>
      <c r="S147" s="75">
        <v>45418.0</v>
      </c>
      <c r="T147" s="49"/>
    </row>
    <row r="148">
      <c r="A148" s="69">
        <v>4320.0</v>
      </c>
      <c r="B148" s="69" t="s">
        <v>29</v>
      </c>
      <c r="C148" s="70" t="s">
        <v>155</v>
      </c>
      <c r="D148" s="69" t="s">
        <v>296</v>
      </c>
      <c r="E148" s="41" t="str">
        <f>IFERROR(__xludf.DUMMYFUNCTION("vlookup(D148,IMPORTRANGE(""https://docs.google.com/spreadsheets/d/1swGwZOEqYlTEUCJLY-eeJM1911Kvaei5oySBIxdgtNo/edit?pli=1#gid=257618397"",""stock untanna!B:C""),2,false)"),"NOTEBOOK B1012 (A5）")</f>
        <v>NOTEBOOK B1012 (A5）</v>
      </c>
      <c r="F148" s="70" t="s">
        <v>296</v>
      </c>
      <c r="G148" s="71" t="s">
        <v>297</v>
      </c>
      <c r="H148" s="41" t="str">
        <f>IFERROR(__xludf.DUMMYFUNCTION("vlookup($D148,IMPORTRANGE(""https://docs.google.com/spreadsheets/d/1swGwZOEqYlTEUCJLY-eeJM1911Kvaei5oySBIxdgtNo/edit?pli=1#gid=257618397"",""stock untanna!B:F""),5,false)"),"IM")</f>
        <v>IM</v>
      </c>
      <c r="I148" s="42" t="str">
        <f>IFERROR(__xludf.DUMMYFUNCTION("vlookup($D148,IMPORTRANGE(""https://docs.google.com/spreadsheets/d/1swGwZOEqYlTEUCJLY-eeJM1911Kvaei5oySBIxdgtNo/edit?pli=1#gid=257618397"",""stock untanna!B:G""),6,false)"),"1012")</f>
        <v>1012</v>
      </c>
      <c r="J148" s="43" t="str">
        <f t="shared" si="1"/>
        <v>ADA</v>
      </c>
      <c r="K148" s="72">
        <v>12.0</v>
      </c>
      <c r="L148" s="53" t="s">
        <v>69</v>
      </c>
      <c r="M148" s="73">
        <v>30000.0</v>
      </c>
      <c r="N148" s="74"/>
      <c r="O148" s="73">
        <v>360000.0</v>
      </c>
      <c r="P148" s="46" t="str">
        <f t="shared" si="2"/>
        <v>Rp30,000-12 PCS-0.00%</v>
      </c>
      <c r="Q148" s="75">
        <v>45408.0</v>
      </c>
      <c r="R148" s="76"/>
      <c r="S148" s="75">
        <v>45418.0</v>
      </c>
      <c r="T148" s="49"/>
    </row>
    <row r="149">
      <c r="A149" s="69">
        <v>4320.0</v>
      </c>
      <c r="B149" s="69" t="s">
        <v>29</v>
      </c>
      <c r="C149" s="70" t="s">
        <v>155</v>
      </c>
      <c r="D149" s="69" t="s">
        <v>298</v>
      </c>
      <c r="E149" s="41" t="str">
        <f>IFERROR(__xludf.DUMMYFUNCTION("vlookup(D149,IMPORTRANGE(""https://docs.google.com/spreadsheets/d/1swGwZOEqYlTEUCJLY-eeJM1911Kvaei5oySBIxdgtNo/edit?pli=1#gid=257618397"",""stock untanna!B:C""),2,false)"),"NOTEBOOK B1018 (B5）")</f>
        <v>NOTEBOOK B1018 (B5）</v>
      </c>
      <c r="F149" s="70" t="s">
        <v>298</v>
      </c>
      <c r="G149" s="71" t="s">
        <v>299</v>
      </c>
      <c r="H149" s="41" t="str">
        <f>IFERROR(__xludf.DUMMYFUNCTION("vlookup($D149,IMPORTRANGE(""https://docs.google.com/spreadsheets/d/1swGwZOEqYlTEUCJLY-eeJM1911Kvaei5oySBIxdgtNo/edit?pli=1#gid=257618397"",""stock untanna!B:F""),5,false)"),"IM")</f>
        <v>IM</v>
      </c>
      <c r="I149" s="42" t="str">
        <f>IFERROR(__xludf.DUMMYFUNCTION("vlookup($D149,IMPORTRANGE(""https://docs.google.com/spreadsheets/d/1swGwZOEqYlTEUCJLY-eeJM1911Kvaei5oySBIxdgtNo/edit?pli=1#gid=257618397"",""stock untanna!B:G""),6,false)"),"1018")</f>
        <v>1018</v>
      </c>
      <c r="J149" s="43" t="str">
        <f t="shared" si="1"/>
        <v>ADA</v>
      </c>
      <c r="K149" s="72">
        <v>12.0</v>
      </c>
      <c r="L149" s="53" t="s">
        <v>69</v>
      </c>
      <c r="M149" s="73">
        <v>35000.0</v>
      </c>
      <c r="N149" s="74"/>
      <c r="O149" s="73">
        <v>420000.0</v>
      </c>
      <c r="P149" s="46" t="str">
        <f t="shared" si="2"/>
        <v>Rp35,000-12 PCS-0.00%</v>
      </c>
      <c r="Q149" s="75">
        <v>45408.0</v>
      </c>
      <c r="R149" s="76"/>
      <c r="S149" s="75">
        <v>45418.0</v>
      </c>
      <c r="T149" s="49"/>
    </row>
    <row r="150">
      <c r="A150" s="69">
        <v>4320.0</v>
      </c>
      <c r="B150" s="69" t="s">
        <v>29</v>
      </c>
      <c r="C150" s="70" t="s">
        <v>155</v>
      </c>
      <c r="D150" s="69" t="s">
        <v>300</v>
      </c>
      <c r="E150" s="41" t="str">
        <f>IFERROR(__xludf.DUMMYFUNCTION("vlookup(D150,IMPORTRANGE(""https://docs.google.com/spreadsheets/d/1swGwZOEqYlTEUCJLY-eeJM1911Kvaei5oySBIxdgtNo/edit?pli=1#gid=257618397"",""stock untanna!B:C""),2,false)"),"NOTEBOOK B1019 (B5）")</f>
        <v>NOTEBOOK B1019 (B5）</v>
      </c>
      <c r="F150" s="70" t="s">
        <v>300</v>
      </c>
      <c r="G150" s="71" t="s">
        <v>301</v>
      </c>
      <c r="H150" s="41" t="str">
        <f>IFERROR(__xludf.DUMMYFUNCTION("vlookup($D150,IMPORTRANGE(""https://docs.google.com/spreadsheets/d/1swGwZOEqYlTEUCJLY-eeJM1911Kvaei5oySBIxdgtNo/edit?pli=1#gid=257618397"",""stock untanna!B:F""),5,false)"),"IM")</f>
        <v>IM</v>
      </c>
      <c r="I150" s="42" t="str">
        <f>IFERROR(__xludf.DUMMYFUNCTION("vlookup($D150,IMPORTRANGE(""https://docs.google.com/spreadsheets/d/1swGwZOEqYlTEUCJLY-eeJM1911Kvaei5oySBIxdgtNo/edit?pli=1#gid=257618397"",""stock untanna!B:G""),6,false)"),"1019")</f>
        <v>1019</v>
      </c>
      <c r="J150" s="43" t="str">
        <f t="shared" si="1"/>
        <v>ADA</v>
      </c>
      <c r="K150" s="72">
        <v>12.0</v>
      </c>
      <c r="L150" s="53" t="s">
        <v>69</v>
      </c>
      <c r="M150" s="73">
        <v>35000.0</v>
      </c>
      <c r="N150" s="74"/>
      <c r="O150" s="73">
        <v>420000.0</v>
      </c>
      <c r="P150" s="46" t="str">
        <f t="shared" si="2"/>
        <v>Rp35,000-12 PCS-0.00%</v>
      </c>
      <c r="Q150" s="75">
        <v>45408.0</v>
      </c>
      <c r="R150" s="76"/>
      <c r="S150" s="75">
        <v>45418.0</v>
      </c>
      <c r="T150" s="49"/>
    </row>
    <row r="151">
      <c r="A151" s="69">
        <v>4320.0</v>
      </c>
      <c r="B151" s="69" t="s">
        <v>29</v>
      </c>
      <c r="C151" s="70" t="s">
        <v>155</v>
      </c>
      <c r="D151" s="69" t="s">
        <v>302</v>
      </c>
      <c r="E151" s="41" t="str">
        <f>IFERROR(__xludf.DUMMYFUNCTION("vlookup(D151,IMPORTRANGE(""https://docs.google.com/spreadsheets/d/1swGwZOEqYlTEUCJLY-eeJM1911Kvaei5oySBIxdgtNo/edit?pli=1#gid=257618397"",""stock untanna!B:C""),2,false)"),"NOTEBOOK B0217 (B5）")</f>
        <v>NOTEBOOK B0217 (B5）</v>
      </c>
      <c r="F151" s="70" t="s">
        <v>302</v>
      </c>
      <c r="G151" s="71" t="s">
        <v>303</v>
      </c>
      <c r="H151" s="41" t="str">
        <f>IFERROR(__xludf.DUMMYFUNCTION("vlookup($D151,IMPORTRANGE(""https://docs.google.com/spreadsheets/d/1swGwZOEqYlTEUCJLY-eeJM1911Kvaei5oySBIxdgtNo/edit?pli=1#gid=257618397"",""stock untanna!B:F""),5,false)"),"IM")</f>
        <v>IM</v>
      </c>
      <c r="I151" s="42" t="str">
        <f>IFERROR(__xludf.DUMMYFUNCTION("vlookup($D151,IMPORTRANGE(""https://docs.google.com/spreadsheets/d/1swGwZOEqYlTEUCJLY-eeJM1911Kvaei5oySBIxdgtNo/edit?pli=1#gid=257618397"",""stock untanna!B:G""),6,false)"),"B0217")</f>
        <v>B0217</v>
      </c>
      <c r="J151" s="43" t="str">
        <f t="shared" si="1"/>
        <v>ADA</v>
      </c>
      <c r="K151" s="72">
        <v>12.0</v>
      </c>
      <c r="L151" s="53" t="s">
        <v>69</v>
      </c>
      <c r="M151" s="73">
        <v>35000.0</v>
      </c>
      <c r="N151" s="74"/>
      <c r="O151" s="73">
        <v>420000.0</v>
      </c>
      <c r="P151" s="46" t="str">
        <f t="shared" si="2"/>
        <v>Rp35,000-12 PCS-0.00%</v>
      </c>
      <c r="Q151" s="75">
        <v>45408.0</v>
      </c>
      <c r="R151" s="76"/>
      <c r="S151" s="75">
        <v>45418.0</v>
      </c>
      <c r="T151" s="49"/>
    </row>
    <row r="152">
      <c r="A152" s="69">
        <v>4320.0</v>
      </c>
      <c r="B152" s="69" t="s">
        <v>29</v>
      </c>
      <c r="C152" s="70" t="s">
        <v>155</v>
      </c>
      <c r="D152" s="69" t="s">
        <v>304</v>
      </c>
      <c r="E152" s="41" t="str">
        <f>IFERROR(__xludf.DUMMYFUNCTION("vlookup(D152,IMPORTRANGE(""https://docs.google.com/spreadsheets/d/1swGwZOEqYlTEUCJLY-eeJM1911Kvaei5oySBIxdgtNo/edit?pli=1#gid=257618397"",""stock untanna!B:C""),2,false)"),"BINDER NOTE WENGU A5 FPHY 002")</f>
        <v>BINDER NOTE WENGU A5 FPHY 002</v>
      </c>
      <c r="F152" s="70" t="s">
        <v>304</v>
      </c>
      <c r="G152" s="71" t="s">
        <v>305</v>
      </c>
      <c r="H152" s="41" t="str">
        <f>IFERROR(__xludf.DUMMYFUNCTION("vlookup($D152,IMPORTRANGE(""https://docs.google.com/spreadsheets/d/1swGwZOEqYlTEUCJLY-eeJM1911Kvaei5oySBIxdgtNo/edit?pli=1#gid=257618397"",""stock untanna!B:F""),5,false)"),"WN")</f>
        <v>WN</v>
      </c>
      <c r="I152" s="42" t="str">
        <f>IFERROR(__xludf.DUMMYFUNCTION("vlookup($D152,IMPORTRANGE(""https://docs.google.com/spreadsheets/d/1swGwZOEqYlTEUCJLY-eeJM1911Kvaei5oySBIxdgtNo/edit?pli=1#gid=257618397"",""stock untanna!B:G""),6,false)"),"002")</f>
        <v>002</v>
      </c>
      <c r="J152" s="43" t="str">
        <f t="shared" si="1"/>
        <v>ADA</v>
      </c>
      <c r="K152" s="72">
        <v>12.0</v>
      </c>
      <c r="L152" s="53" t="s">
        <v>69</v>
      </c>
      <c r="M152" s="73">
        <v>28000.0</v>
      </c>
      <c r="N152" s="74"/>
      <c r="O152" s="73">
        <v>336000.0</v>
      </c>
      <c r="P152" s="46" t="str">
        <f t="shared" si="2"/>
        <v>Rp28,000-12 PCS-0.00%</v>
      </c>
      <c r="Q152" s="75">
        <v>45408.0</v>
      </c>
      <c r="R152" s="76"/>
      <c r="S152" s="75">
        <v>45418.0</v>
      </c>
      <c r="T152" s="49"/>
    </row>
    <row r="153">
      <c r="A153" s="69">
        <v>4320.0</v>
      </c>
      <c r="B153" s="69" t="s">
        <v>29</v>
      </c>
      <c r="C153" s="70" t="s">
        <v>155</v>
      </c>
      <c r="D153" s="69" t="s">
        <v>306</v>
      </c>
      <c r="E153" s="41" t="str">
        <f>IFERROR(__xludf.DUMMYFUNCTION("vlookup(D153,IMPORTRANGE(""https://docs.google.com/spreadsheets/d/1swGwZOEqYlTEUCJLY-eeJM1911Kvaei5oySBIxdgtNo/edit?pli=1#gid=257618397"",""stock untanna!B:C""),2,false)"),"BP TF-2037 6W")</f>
        <v>BP TF-2037 6W</v>
      </c>
      <c r="F153" s="70" t="s">
        <v>306</v>
      </c>
      <c r="G153" s="71" t="s">
        <v>307</v>
      </c>
      <c r="H153" s="41" t="str">
        <f>IFERROR(__xludf.DUMMYFUNCTION("vlookup($D153,IMPORTRANGE(""https://docs.google.com/spreadsheets/d/1swGwZOEqYlTEUCJLY-eeJM1911Kvaei5oySBIxdgtNo/edit?pli=1#gid=257618397"",""stock untanna!B:F""),5,false)"),"TF")</f>
        <v>TF</v>
      </c>
      <c r="I153" s="42" t="str">
        <f>IFERROR(__xludf.DUMMYFUNCTION("vlookup($D153,IMPORTRANGE(""https://docs.google.com/spreadsheets/d/1swGwZOEqYlTEUCJLY-eeJM1911Kvaei5oySBIxdgtNo/edit?pli=1#gid=257618397"",""stock untanna!B:G""),6,false)"),"TF-2037")</f>
        <v>TF-2037</v>
      </c>
      <c r="J153" s="43" t="str">
        <f t="shared" si="1"/>
        <v>ADA</v>
      </c>
      <c r="K153" s="72">
        <v>6.0</v>
      </c>
      <c r="L153" s="53" t="s">
        <v>62</v>
      </c>
      <c r="M153" s="73">
        <v>60000.0</v>
      </c>
      <c r="N153" s="74"/>
      <c r="O153" s="73">
        <v>360000.0</v>
      </c>
      <c r="P153" s="46" t="str">
        <f t="shared" si="2"/>
        <v>Rp60,000-6 LSN-0.00%</v>
      </c>
      <c r="Q153" s="75">
        <v>45408.0</v>
      </c>
      <c r="R153" s="76"/>
      <c r="S153" s="75">
        <v>45418.0</v>
      </c>
      <c r="T153" s="49"/>
    </row>
    <row r="154">
      <c r="A154" s="69">
        <v>4321.0</v>
      </c>
      <c r="B154" s="69" t="s">
        <v>29</v>
      </c>
      <c r="C154" s="70" t="s">
        <v>155</v>
      </c>
      <c r="D154" s="69" t="s">
        <v>308</v>
      </c>
      <c r="E154" s="41" t="str">
        <f>IFERROR(__xludf.DUMMYFUNCTION("vlookup(D154,IMPORTRANGE(""https://docs.google.com/spreadsheets/d/1swGwZOEqYlTEUCJLY-eeJM1911Kvaei5oySBIxdgtNo/edit?pli=1#gid=257618397"",""stock untanna!B:C""),2,false)"),"BP V-TRO 217")</f>
        <v>BP V-TRO 217</v>
      </c>
      <c r="F154" s="70" t="s">
        <v>308</v>
      </c>
      <c r="G154" s="71" t="s">
        <v>309</v>
      </c>
      <c r="H154" s="41" t="str">
        <f>IFERROR(__xludf.DUMMYFUNCTION("vlookup($D154,IMPORTRANGE(""https://docs.google.com/spreadsheets/d/1swGwZOEqYlTEUCJLY-eeJM1911Kvaei5oySBIxdgtNo/edit?pli=1#gid=257618397"",""stock untanna!B:F""),5,false)"),"VO")</f>
        <v>VO</v>
      </c>
      <c r="I154" s="42" t="str">
        <f>IFERROR(__xludf.DUMMYFUNCTION("vlookup($D154,IMPORTRANGE(""https://docs.google.com/spreadsheets/d/1swGwZOEqYlTEUCJLY-eeJM1911Kvaei5oySBIxdgtNo/edit?pli=1#gid=257618397"",""stock untanna!B:G""),6,false)"),"217")</f>
        <v>217</v>
      </c>
      <c r="J154" s="43" t="str">
        <f t="shared" si="1"/>
        <v>ADA</v>
      </c>
      <c r="K154" s="72">
        <v>12.0</v>
      </c>
      <c r="L154" s="53" t="s">
        <v>62</v>
      </c>
      <c r="M154" s="73">
        <v>17000.0</v>
      </c>
      <c r="N154" s="74"/>
      <c r="O154" s="73">
        <v>204000.0</v>
      </c>
      <c r="P154" s="46" t="str">
        <f t="shared" si="2"/>
        <v>Rp17,000-12 LSN-0.00%</v>
      </c>
      <c r="Q154" s="75">
        <v>45408.0</v>
      </c>
      <c r="R154" s="76"/>
      <c r="S154" s="75">
        <v>45418.0</v>
      </c>
      <c r="T154" s="49"/>
    </row>
    <row r="155">
      <c r="A155" s="69">
        <v>4321.0</v>
      </c>
      <c r="B155" s="69" t="s">
        <v>29</v>
      </c>
      <c r="C155" s="70" t="s">
        <v>155</v>
      </c>
      <c r="D155" s="69" t="s">
        <v>310</v>
      </c>
      <c r="E155" s="41" t="str">
        <f>IFERROR(__xludf.DUMMYFUNCTION("vlookup(D155,IMPORTRANGE(""https://docs.google.com/spreadsheets/d/1swGwZOEqYlTEUCJLY-eeJM1911Kvaei5oySBIxdgtNo/edit?pli=1#gid=257618397"",""stock untanna!B:C""),2,false)"),"BP V-TRO 239")</f>
        <v>BP V-TRO 239</v>
      </c>
      <c r="F155" s="70" t="s">
        <v>310</v>
      </c>
      <c r="G155" s="71" t="s">
        <v>311</v>
      </c>
      <c r="H155" s="41" t="str">
        <f>IFERROR(__xludf.DUMMYFUNCTION("vlookup($D155,IMPORTRANGE(""https://docs.google.com/spreadsheets/d/1swGwZOEqYlTEUCJLY-eeJM1911Kvaei5oySBIxdgtNo/edit?pli=1#gid=257618397"",""stock untanna!B:F""),5,false)"),"VO")</f>
        <v>VO</v>
      </c>
      <c r="I155" s="42" t="str">
        <f>IFERROR(__xludf.DUMMYFUNCTION("vlookup($D155,IMPORTRANGE(""https://docs.google.com/spreadsheets/d/1swGwZOEqYlTEUCJLY-eeJM1911Kvaei5oySBIxdgtNo/edit?pli=1#gid=257618397"",""stock untanna!B:G""),6,false)"),"239")</f>
        <v>239</v>
      </c>
      <c r="J155" s="43" t="str">
        <f t="shared" si="1"/>
        <v>ADA</v>
      </c>
      <c r="K155" s="72">
        <v>12.0</v>
      </c>
      <c r="L155" s="53" t="s">
        <v>62</v>
      </c>
      <c r="M155" s="73">
        <v>17000.0</v>
      </c>
      <c r="N155" s="74"/>
      <c r="O155" s="73">
        <v>204000.0</v>
      </c>
      <c r="P155" s="46" t="str">
        <f t="shared" si="2"/>
        <v>Rp17,000-12 LSN-0.00%</v>
      </c>
      <c r="Q155" s="75">
        <v>45408.0</v>
      </c>
      <c r="R155" s="76"/>
      <c r="S155" s="75">
        <v>45418.0</v>
      </c>
      <c r="T155" s="49"/>
    </row>
    <row r="156">
      <c r="A156" s="69">
        <v>4321.0</v>
      </c>
      <c r="B156" s="69" t="s">
        <v>29</v>
      </c>
      <c r="C156" s="70" t="s">
        <v>155</v>
      </c>
      <c r="D156" s="69" t="s">
        <v>312</v>
      </c>
      <c r="E156" s="41" t="str">
        <f>IFERROR(__xludf.DUMMYFUNCTION("vlookup(D156,IMPORTRANGE(""https://docs.google.com/spreadsheets/d/1swGwZOEqYlTEUCJLY-eeJM1911Kvaei5oySBIxdgtNo/edit?pli=1#gid=257618397"",""stock untanna!B:C""),2,false)"),"BP HILLTOP HT-1020")</f>
        <v>BP HILLTOP HT-1020</v>
      </c>
      <c r="F156" s="70" t="s">
        <v>312</v>
      </c>
      <c r="G156" s="71" t="s">
        <v>313</v>
      </c>
      <c r="H156" s="41" t="str">
        <f>IFERROR(__xludf.DUMMYFUNCTION("vlookup($D156,IMPORTRANGE(""https://docs.google.com/spreadsheets/d/1swGwZOEqYlTEUCJLY-eeJM1911Kvaei5oySBIxdgtNo/edit?pli=1#gid=257618397"",""stock untanna!B:F""),5,false)"),"HT")</f>
        <v>HT</v>
      </c>
      <c r="I156" s="42" t="str">
        <f>IFERROR(__xludf.DUMMYFUNCTION("vlookup($D156,IMPORTRANGE(""https://docs.google.com/spreadsheets/d/1swGwZOEqYlTEUCJLY-eeJM1911Kvaei5oySBIxdgtNo/edit?pli=1#gid=257618397"",""stock untanna!B:G""),6,false)"),"HT-1020")</f>
        <v>HT-1020</v>
      </c>
      <c r="J156" s="43" t="str">
        <f t="shared" si="1"/>
        <v>ADA</v>
      </c>
      <c r="K156" s="72">
        <v>12.0</v>
      </c>
      <c r="L156" s="53" t="s">
        <v>62</v>
      </c>
      <c r="M156" s="73">
        <v>18500.0</v>
      </c>
      <c r="N156" s="74"/>
      <c r="O156" s="73">
        <v>222000.0</v>
      </c>
      <c r="P156" s="46" t="str">
        <f t="shared" si="2"/>
        <v>Rp18,500-12 LSN-0.00%</v>
      </c>
      <c r="Q156" s="75">
        <v>45408.0</v>
      </c>
      <c r="R156" s="76"/>
      <c r="S156" s="75">
        <v>45418.0</v>
      </c>
      <c r="T156" s="49"/>
    </row>
    <row r="157">
      <c r="A157" s="69">
        <v>4321.0</v>
      </c>
      <c r="B157" s="69" t="s">
        <v>29</v>
      </c>
      <c r="C157" s="70" t="s">
        <v>155</v>
      </c>
      <c r="D157" s="69" t="s">
        <v>314</v>
      </c>
      <c r="E157" s="41" t="str">
        <f>IFERROR(__xludf.DUMMYFUNCTION("vlookup(D157,IMPORTRANGE(""https://docs.google.com/spreadsheets/d/1swGwZOEqYlTEUCJLY-eeJM1911Kvaei5oySBIxdgtNo/edit?pli=1#gid=257618397"",""stock untanna!B:C""),2,false)"),"BP TEACH JOB TG 501")</f>
        <v>BP TEACH JOB TG 501</v>
      </c>
      <c r="F157" s="70" t="s">
        <v>314</v>
      </c>
      <c r="G157" s="71" t="s">
        <v>315</v>
      </c>
      <c r="H157" s="41" t="str">
        <f>IFERROR(__xludf.DUMMYFUNCTION("vlookup($D157,IMPORTRANGE(""https://docs.google.com/spreadsheets/d/1swGwZOEqYlTEUCJLY-eeJM1911Kvaei5oySBIxdgtNo/edit?pli=1#gid=257618397"",""stock untanna!B:F""),5,false)"),"NB")</f>
        <v>NB</v>
      </c>
      <c r="I157" s="42" t="str">
        <f>IFERROR(__xludf.DUMMYFUNCTION("vlookup($D157,IMPORTRANGE(""https://docs.google.com/spreadsheets/d/1swGwZOEqYlTEUCJLY-eeJM1911Kvaei5oySBIxdgtNo/edit?pli=1#gid=257618397"",""stock untanna!B:G""),6,false)"),"")</f>
        <v/>
      </c>
      <c r="J157" s="43" t="str">
        <f t="shared" si="1"/>
        <v>ADA</v>
      </c>
      <c r="K157" s="72">
        <v>6.0</v>
      </c>
      <c r="L157" s="53" t="s">
        <v>62</v>
      </c>
      <c r="M157" s="73">
        <v>26500.0</v>
      </c>
      <c r="N157" s="74"/>
      <c r="O157" s="73">
        <v>159000.0</v>
      </c>
      <c r="P157" s="46" t="str">
        <f t="shared" si="2"/>
        <v>Rp26,500-6 LSN-0.00%</v>
      </c>
      <c r="Q157" s="75">
        <v>45408.0</v>
      </c>
      <c r="R157" s="76"/>
      <c r="S157" s="75">
        <v>45418.0</v>
      </c>
      <c r="T157" s="49"/>
    </row>
    <row r="158">
      <c r="A158" s="69">
        <v>4321.0</v>
      </c>
      <c r="B158" s="69" t="s">
        <v>29</v>
      </c>
      <c r="C158" s="70" t="s">
        <v>155</v>
      </c>
      <c r="D158" s="69" t="s">
        <v>316</v>
      </c>
      <c r="E158" s="41" t="str">
        <f>IFERROR(__xludf.DUMMYFUNCTION("vlookup(D158,IMPORTRANGE(""https://docs.google.com/spreadsheets/d/1swGwZOEqYlTEUCJLY-eeJM1911Kvaei5oySBIxdgtNo/edit?pli=1#gid=257618397"",""stock untanna!B:C""),2,false)"),"BP V-TRO 216")</f>
        <v>BP V-TRO 216</v>
      </c>
      <c r="F158" s="70" t="s">
        <v>316</v>
      </c>
      <c r="G158" s="71" t="s">
        <v>317</v>
      </c>
      <c r="H158" s="41" t="str">
        <f>IFERROR(__xludf.DUMMYFUNCTION("vlookup($D158,IMPORTRANGE(""https://docs.google.com/spreadsheets/d/1swGwZOEqYlTEUCJLY-eeJM1911Kvaei5oySBIxdgtNo/edit?pli=1#gid=257618397"",""stock untanna!B:F""),5,false)"),"VO")</f>
        <v>VO</v>
      </c>
      <c r="I158" s="42" t="str">
        <f>IFERROR(__xludf.DUMMYFUNCTION("vlookup($D158,IMPORTRANGE(""https://docs.google.com/spreadsheets/d/1swGwZOEqYlTEUCJLY-eeJM1911Kvaei5oySBIxdgtNo/edit?pli=1#gid=257618397"",""stock untanna!B:G""),6,false)"),"216")</f>
        <v>216</v>
      </c>
      <c r="J158" s="43" t="str">
        <f t="shared" si="1"/>
        <v>ADA</v>
      </c>
      <c r="K158" s="72">
        <v>12.0</v>
      </c>
      <c r="L158" s="53" t="s">
        <v>62</v>
      </c>
      <c r="M158" s="73">
        <v>17000.0</v>
      </c>
      <c r="N158" s="74"/>
      <c r="O158" s="73">
        <v>204000.0</v>
      </c>
      <c r="P158" s="46" t="str">
        <f t="shared" si="2"/>
        <v>Rp17,000-12 LSN-0.00%</v>
      </c>
      <c r="Q158" s="75">
        <v>45408.0</v>
      </c>
      <c r="R158" s="76"/>
      <c r="S158" s="75">
        <v>45418.0</v>
      </c>
      <c r="T158" s="49"/>
    </row>
    <row r="159">
      <c r="A159" s="69">
        <v>4321.0</v>
      </c>
      <c r="B159" s="69" t="s">
        <v>29</v>
      </c>
      <c r="C159" s="70" t="s">
        <v>155</v>
      </c>
      <c r="D159" s="69" t="s">
        <v>318</v>
      </c>
      <c r="E159" s="41" t="str">
        <f>IFERROR(__xludf.DUMMYFUNCTION("vlookup(D159,IMPORTRANGE(""https://docs.google.com/spreadsheets/d/1swGwZOEqYlTEUCJLY-eeJM1911Kvaei5oySBIxdgtNo/edit?pli=1#gid=257618397"",""stock untanna!B:C""),2,false)"),"BP V-TRO 222")</f>
        <v>BP V-TRO 222</v>
      </c>
      <c r="F159" s="70" t="s">
        <v>318</v>
      </c>
      <c r="G159" s="71" t="s">
        <v>319</v>
      </c>
      <c r="H159" s="41" t="str">
        <f>IFERROR(__xludf.DUMMYFUNCTION("vlookup($D159,IMPORTRANGE(""https://docs.google.com/spreadsheets/d/1swGwZOEqYlTEUCJLY-eeJM1911Kvaei5oySBIxdgtNo/edit?pli=1#gid=257618397"",""stock untanna!B:F""),5,false)"),"VO")</f>
        <v>VO</v>
      </c>
      <c r="I159" s="42" t="str">
        <f>IFERROR(__xludf.DUMMYFUNCTION("vlookup($D159,IMPORTRANGE(""https://docs.google.com/spreadsheets/d/1swGwZOEqYlTEUCJLY-eeJM1911Kvaei5oySBIxdgtNo/edit?pli=1#gid=257618397"",""stock untanna!B:G""),6,false)"),"222")</f>
        <v>222</v>
      </c>
      <c r="J159" s="43" t="str">
        <f t="shared" si="1"/>
        <v>ADA</v>
      </c>
      <c r="K159" s="72">
        <v>12.0</v>
      </c>
      <c r="L159" s="53" t="s">
        <v>62</v>
      </c>
      <c r="M159" s="73">
        <v>17000.0</v>
      </c>
      <c r="N159" s="74"/>
      <c r="O159" s="73">
        <v>204000.0</v>
      </c>
      <c r="P159" s="46" t="str">
        <f t="shared" si="2"/>
        <v>Rp17,000-12 LSN-0.00%</v>
      </c>
      <c r="Q159" s="75">
        <v>45408.0</v>
      </c>
      <c r="R159" s="76"/>
      <c r="S159" s="75">
        <v>45418.0</v>
      </c>
      <c r="T159" s="49"/>
    </row>
    <row r="160">
      <c r="A160" s="69">
        <v>4321.0</v>
      </c>
      <c r="B160" s="69" t="s">
        <v>29</v>
      </c>
      <c r="C160" s="70" t="s">
        <v>155</v>
      </c>
      <c r="D160" s="50" t="s">
        <v>320</v>
      </c>
      <c r="E160" s="41" t="s">
        <v>321</v>
      </c>
      <c r="F160" s="70"/>
      <c r="G160" s="71" t="s">
        <v>321</v>
      </c>
      <c r="H160" s="41" t="str">
        <f>IFERROR(__xludf.DUMMYFUNCTION("vlookup($D160,IMPORTRANGE(""https://docs.google.com/spreadsheets/d/1swGwZOEqYlTEUCJLY-eeJM1911Kvaei5oySBIxdgtNo/edit?pli=1#gid=257618397"",""stock untanna!B:F""),5,false)"),"VN")</f>
        <v>VN</v>
      </c>
      <c r="I160" s="42">
        <f>IFERROR(__xludf.DUMMYFUNCTION("vlookup($D160,IMPORTRANGE(""https://docs.google.com/spreadsheets/d/1swGwZOEqYlTEUCJLY-eeJM1911Kvaei5oySBIxdgtNo/edit?pli=1#gid=257618397"",""stock untanna!B:G""),6,false)"),1602.0)</f>
        <v>1602</v>
      </c>
      <c r="J160" s="43" t="str">
        <f t="shared" si="1"/>
        <v>ADA</v>
      </c>
      <c r="K160" s="72">
        <v>12.0</v>
      </c>
      <c r="L160" s="53" t="s">
        <v>62</v>
      </c>
      <c r="M160" s="73">
        <v>15000.0</v>
      </c>
      <c r="N160" s="74"/>
      <c r="O160" s="73">
        <v>180000.0</v>
      </c>
      <c r="P160" s="46" t="str">
        <f t="shared" si="2"/>
        <v>Rp15,000-12 LSN-0.00%</v>
      </c>
      <c r="Q160" s="75">
        <v>45408.0</v>
      </c>
      <c r="R160" s="76"/>
      <c r="S160" s="75">
        <v>45418.0</v>
      </c>
      <c r="T160" s="80" t="s">
        <v>280</v>
      </c>
    </row>
    <row r="161">
      <c r="A161" s="69">
        <v>4321.0</v>
      </c>
      <c r="B161" s="69" t="s">
        <v>29</v>
      </c>
      <c r="C161" s="70" t="s">
        <v>155</v>
      </c>
      <c r="D161" s="69" t="s">
        <v>322</v>
      </c>
      <c r="E161" s="41" t="str">
        <f>IFERROR(__xludf.DUMMYFUNCTION("vlookup(D161,IMPORTRANGE(""https://docs.google.com/spreadsheets/d/1swGwZOEqYlTEUCJLY-eeJM1911Kvaei5oySBIxdgtNo/edit?pli=1#gid=257618397"",""stock untanna!B:C""),2,false)"),"STIP W/B ENTER 802K")</f>
        <v>STIP W/B ENTER 802K</v>
      </c>
      <c r="F161" s="70" t="s">
        <v>322</v>
      </c>
      <c r="G161" s="71" t="s">
        <v>323</v>
      </c>
      <c r="H161" s="41" t="str">
        <f>IFERROR(__xludf.DUMMYFUNCTION("vlookup($D161,IMPORTRANGE(""https://docs.google.com/spreadsheets/d/1swGwZOEqYlTEUCJLY-eeJM1911Kvaei5oySBIxdgtNo/edit?pli=1#gid=257618397"",""stock untanna!B:F""),5,false)"),"EN")</f>
        <v>EN</v>
      </c>
      <c r="I161" s="42" t="str">
        <f>IFERROR(__xludf.DUMMYFUNCTION("vlookup($D161,IMPORTRANGE(""https://docs.google.com/spreadsheets/d/1swGwZOEqYlTEUCJLY-eeJM1911Kvaei5oySBIxdgtNo/edit?pli=1#gid=257618397"",""stock untanna!B:G""),6,false)"),"802K")</f>
        <v>802K</v>
      </c>
      <c r="J161" s="43" t="str">
        <f t="shared" si="1"/>
        <v>ADA</v>
      </c>
      <c r="K161" s="72">
        <v>3.0</v>
      </c>
      <c r="L161" s="53" t="s">
        <v>62</v>
      </c>
      <c r="M161" s="73">
        <v>22000.0</v>
      </c>
      <c r="N161" s="74"/>
      <c r="O161" s="73">
        <v>66000.0</v>
      </c>
      <c r="P161" s="46" t="str">
        <f t="shared" si="2"/>
        <v>Rp22,000-3 LSN-0.00%</v>
      </c>
      <c r="Q161" s="75">
        <v>45408.0</v>
      </c>
      <c r="R161" s="76"/>
      <c r="S161" s="75">
        <v>45418.0</v>
      </c>
      <c r="T161" s="49"/>
    </row>
    <row r="162">
      <c r="A162" s="69">
        <v>4321.0</v>
      </c>
      <c r="B162" s="69" t="s">
        <v>29</v>
      </c>
      <c r="C162" s="70" t="s">
        <v>155</v>
      </c>
      <c r="D162" s="69" t="s">
        <v>324</v>
      </c>
      <c r="E162" s="41" t="str">
        <f>IFERROR(__xludf.DUMMYFUNCTION("vlookup(D162,IMPORTRANGE(""https://docs.google.com/spreadsheets/d/1swGwZOEqYlTEUCJLY-eeJM1911Kvaei5oySBIxdgtNo/edit?pli=1#gid=257618397"",""stock untanna!B:C""),2,false)"),"STIP W/B ENTER 803 B")</f>
        <v>STIP W/B ENTER 803 B</v>
      </c>
      <c r="F162" s="70" t="s">
        <v>324</v>
      </c>
      <c r="G162" s="71" t="s">
        <v>325</v>
      </c>
      <c r="H162" s="41" t="str">
        <f>IFERROR(__xludf.DUMMYFUNCTION("vlookup($D162,IMPORTRANGE(""https://docs.google.com/spreadsheets/d/1swGwZOEqYlTEUCJLY-eeJM1911Kvaei5oySBIxdgtNo/edit?pli=1#gid=257618397"",""stock untanna!B:F""),5,false)"),"EN")</f>
        <v>EN</v>
      </c>
      <c r="I162" s="42" t="str">
        <f>IFERROR(__xludf.DUMMYFUNCTION("vlookup($D162,IMPORTRANGE(""https://docs.google.com/spreadsheets/d/1swGwZOEqYlTEUCJLY-eeJM1911Kvaei5oySBIxdgtNo/edit?pli=1#gid=257618397"",""stock untanna!B:G""),6,false)"),"803")</f>
        <v>803</v>
      </c>
      <c r="J162" s="43" t="str">
        <f t="shared" si="1"/>
        <v>ADA</v>
      </c>
      <c r="K162" s="72">
        <v>3.0</v>
      </c>
      <c r="L162" s="53" t="s">
        <v>62</v>
      </c>
      <c r="M162" s="73">
        <v>36500.0</v>
      </c>
      <c r="N162" s="74"/>
      <c r="O162" s="73">
        <v>109500.0</v>
      </c>
      <c r="P162" s="46" t="str">
        <f t="shared" si="2"/>
        <v>Rp36,500-3 LSN-0.00%</v>
      </c>
      <c r="Q162" s="75">
        <v>45408.0</v>
      </c>
      <c r="R162" s="76"/>
      <c r="S162" s="75">
        <v>45418.0</v>
      </c>
      <c r="T162" s="49"/>
    </row>
    <row r="163">
      <c r="A163" s="69">
        <v>4321.0</v>
      </c>
      <c r="B163" s="69" t="s">
        <v>29</v>
      </c>
      <c r="C163" s="70" t="s">
        <v>155</v>
      </c>
      <c r="D163" s="69" t="s">
        <v>326</v>
      </c>
      <c r="E163" s="41" t="str">
        <f>IFERROR(__xludf.DUMMYFUNCTION("vlookup(D163,IMPORTRANGE(""https://docs.google.com/spreadsheets/d/1swGwZOEqYlTEUCJLY-eeJM1911Kvaei5oySBIxdgtNo/edit?pli=1#gid=257618397"",""stock untanna!B:C""),2,false)"),"STIP W/B CLEAR K")</f>
        <v>STIP W/B CLEAR K</v>
      </c>
      <c r="F163" s="70" t="s">
        <v>326</v>
      </c>
      <c r="G163" s="71" t="s">
        <v>327</v>
      </c>
      <c r="H163" s="41" t="str">
        <f>IFERROR(__xludf.DUMMYFUNCTION("vlookup($D163,IMPORTRANGE(""https://docs.google.com/spreadsheets/d/1swGwZOEqYlTEUCJLY-eeJM1911Kvaei5oySBIxdgtNo/edit?pli=1#gid=257618397"",""stock untanna!B:F""),5,false)"),"NB")</f>
        <v>NB</v>
      </c>
      <c r="I163" s="42" t="str">
        <f>IFERROR(__xludf.DUMMYFUNCTION("vlookup($D163,IMPORTRANGE(""https://docs.google.com/spreadsheets/d/1swGwZOEqYlTEUCJLY-eeJM1911Kvaei5oySBIxdgtNo/edit?pli=1#gid=257618397"",""stock untanna!B:G""),6,false)"),"")</f>
        <v/>
      </c>
      <c r="J163" s="43" t="str">
        <f t="shared" si="1"/>
        <v>ADA</v>
      </c>
      <c r="K163" s="72">
        <v>3.0</v>
      </c>
      <c r="L163" s="53" t="s">
        <v>62</v>
      </c>
      <c r="M163" s="73">
        <v>35000.0</v>
      </c>
      <c r="N163" s="74"/>
      <c r="O163" s="73">
        <v>105000.0</v>
      </c>
      <c r="P163" s="46" t="str">
        <f t="shared" si="2"/>
        <v>Rp35,000-3 LSN-0.00%</v>
      </c>
      <c r="Q163" s="75">
        <v>45408.0</v>
      </c>
      <c r="R163" s="76"/>
      <c r="S163" s="75">
        <v>45418.0</v>
      </c>
      <c r="T163" s="49"/>
    </row>
    <row r="164">
      <c r="A164" s="69">
        <v>4321.0</v>
      </c>
      <c r="B164" s="69" t="s">
        <v>29</v>
      </c>
      <c r="C164" s="70" t="s">
        <v>155</v>
      </c>
      <c r="D164" s="69" t="s">
        <v>116</v>
      </c>
      <c r="E164" s="41" t="str">
        <f>IFERROR(__xludf.DUMMYFUNCTION("vlookup(D164,IMPORTRANGE(""https://docs.google.com/spreadsheets/d/1swGwZOEqYlTEUCJLY-eeJM1911Kvaei5oySBIxdgtNo/edit?pli=1#gid=257618397"",""stock untanna!B:C""),2,false)"),"STIP W/B CLEAR B")</f>
        <v>STIP W/B CLEAR B</v>
      </c>
      <c r="F164" s="70" t="s">
        <v>116</v>
      </c>
      <c r="G164" s="71" t="s">
        <v>117</v>
      </c>
      <c r="H164" s="41" t="str">
        <f>IFERROR(__xludf.DUMMYFUNCTION("vlookup($D164,IMPORTRANGE(""https://docs.google.com/spreadsheets/d/1swGwZOEqYlTEUCJLY-eeJM1911Kvaei5oySBIxdgtNo/edit?pli=1#gid=257618397"",""stock untanna!B:F""),5,false)"),"NB")</f>
        <v>NB</v>
      </c>
      <c r="I164" s="42" t="str">
        <f>IFERROR(__xludf.DUMMYFUNCTION("vlookup($D164,IMPORTRANGE(""https://docs.google.com/spreadsheets/d/1swGwZOEqYlTEUCJLY-eeJM1911Kvaei5oySBIxdgtNo/edit?pli=1#gid=257618397"",""stock untanna!B:G""),6,false)"),"")</f>
        <v/>
      </c>
      <c r="J164" s="43" t="str">
        <f t="shared" si="1"/>
        <v>ADA</v>
      </c>
      <c r="K164" s="72">
        <v>3.0</v>
      </c>
      <c r="L164" s="53" t="s">
        <v>62</v>
      </c>
      <c r="M164" s="73">
        <v>52500.0</v>
      </c>
      <c r="N164" s="74"/>
      <c r="O164" s="73">
        <v>157500.0</v>
      </c>
      <c r="P164" s="46" t="str">
        <f t="shared" si="2"/>
        <v>Rp52,500-3 LSN-0.00%</v>
      </c>
      <c r="Q164" s="75">
        <v>45408.0</v>
      </c>
      <c r="R164" s="76"/>
      <c r="S164" s="75">
        <v>45418.0</v>
      </c>
      <c r="T164" s="49"/>
    </row>
    <row r="165">
      <c r="A165" s="69">
        <v>4321.0</v>
      </c>
      <c r="B165" s="69" t="s">
        <v>29</v>
      </c>
      <c r="C165" s="70" t="s">
        <v>155</v>
      </c>
      <c r="D165" s="50" t="s">
        <v>328</v>
      </c>
      <c r="E165" s="41" t="s">
        <v>329</v>
      </c>
      <c r="F165" s="70"/>
      <c r="G165" s="71" t="s">
        <v>329</v>
      </c>
      <c r="H165" s="41" t="str">
        <f>IFERROR(__xludf.DUMMYFUNCTION("vlookup($D165,IMPORTRANGE(""https://docs.google.com/spreadsheets/d/1swGwZOEqYlTEUCJLY-eeJM1911Kvaei5oySBIxdgtNo/edit?pli=1#gid=257618397"",""stock untanna!B:F""),5,false)"),"IM")</f>
        <v>IM</v>
      </c>
      <c r="I165" s="42" t="str">
        <f>IFERROR(__xludf.DUMMYFUNCTION("vlookup($D165,IMPORTRANGE(""https://docs.google.com/spreadsheets/d/1swGwZOEqYlTEUCJLY-eeJM1911Kvaei5oySBIxdgtNo/edit?pli=1#gid=257618397"",""stock untanna!B:G""),6,false)"),"403")</f>
        <v>403</v>
      </c>
      <c r="J165" s="43" t="str">
        <f t="shared" si="1"/>
        <v>ADA</v>
      </c>
      <c r="K165" s="72">
        <v>10.0</v>
      </c>
      <c r="L165" s="53" t="s">
        <v>69</v>
      </c>
      <c r="M165" s="73">
        <v>30000.0</v>
      </c>
      <c r="N165" s="74"/>
      <c r="O165" s="73">
        <v>300000.0</v>
      </c>
      <c r="P165" s="46" t="str">
        <f t="shared" si="2"/>
        <v>Rp30,000-10 PCS-0.00%</v>
      </c>
      <c r="Q165" s="75">
        <v>45408.0</v>
      </c>
      <c r="R165" s="76"/>
      <c r="S165" s="75">
        <v>45418.0</v>
      </c>
      <c r="T165" s="80" t="s">
        <v>280</v>
      </c>
    </row>
    <row r="166">
      <c r="A166" s="69">
        <v>4321.0</v>
      </c>
      <c r="B166" s="69" t="s">
        <v>29</v>
      </c>
      <c r="C166" s="70" t="s">
        <v>155</v>
      </c>
      <c r="D166" s="50" t="s">
        <v>330</v>
      </c>
      <c r="E166" s="41" t="s">
        <v>331</v>
      </c>
      <c r="F166" s="70"/>
      <c r="G166" s="71" t="s">
        <v>331</v>
      </c>
      <c r="H166" s="41" t="str">
        <f>IFERROR(__xludf.DUMMYFUNCTION("vlookup($D166,IMPORTRANGE(""https://docs.google.com/spreadsheets/d/1swGwZOEqYlTEUCJLY-eeJM1911Kvaei5oySBIxdgtNo/edit?pli=1#gid=257618397"",""stock untanna!B:F""),5,false)"),"IM")</f>
        <v>IM</v>
      </c>
      <c r="I166" s="42" t="str">
        <f>IFERROR(__xludf.DUMMYFUNCTION("vlookup($D166,IMPORTRANGE(""https://docs.google.com/spreadsheets/d/1swGwZOEqYlTEUCJLY-eeJM1911Kvaei5oySBIxdgtNo/edit?pli=1#gid=257618397"",""stock untanna!B:G""),6,false)"),"404")</f>
        <v>404</v>
      </c>
      <c r="J166" s="43" t="str">
        <f t="shared" si="1"/>
        <v>ADA</v>
      </c>
      <c r="K166" s="72">
        <v>10.0</v>
      </c>
      <c r="L166" s="53" t="s">
        <v>69</v>
      </c>
      <c r="M166" s="73">
        <v>35000.0</v>
      </c>
      <c r="N166" s="74"/>
      <c r="O166" s="73">
        <v>350000.0</v>
      </c>
      <c r="P166" s="46" t="str">
        <f t="shared" si="2"/>
        <v>Rp35,000-10 PCS-0.00%</v>
      </c>
      <c r="Q166" s="75">
        <v>45408.0</v>
      </c>
      <c r="R166" s="76"/>
      <c r="S166" s="75">
        <v>45418.0</v>
      </c>
      <c r="T166" s="80" t="s">
        <v>280</v>
      </c>
    </row>
    <row r="167">
      <c r="A167" s="69">
        <v>4321.0</v>
      </c>
      <c r="B167" s="69" t="s">
        <v>29</v>
      </c>
      <c r="C167" s="70" t="s">
        <v>155</v>
      </c>
      <c r="D167" s="50" t="s">
        <v>332</v>
      </c>
      <c r="E167" s="41" t="s">
        <v>333</v>
      </c>
      <c r="F167" s="70"/>
      <c r="G167" s="71" t="s">
        <v>333</v>
      </c>
      <c r="H167" s="41" t="str">
        <f>IFERROR(__xludf.DUMMYFUNCTION("vlookup($D167,IMPORTRANGE(""https://docs.google.com/spreadsheets/d/1swGwZOEqYlTEUCJLY-eeJM1911Kvaei5oySBIxdgtNo/edit?pli=1#gid=257618397"",""stock untanna!B:F""),5,false)"),"IM")</f>
        <v>IM</v>
      </c>
      <c r="I167" s="42" t="str">
        <f>IFERROR(__xludf.DUMMYFUNCTION("vlookup($D167,IMPORTRANGE(""https://docs.google.com/spreadsheets/d/1swGwZOEqYlTEUCJLY-eeJM1911Kvaei5oySBIxdgtNo/edit?pli=1#gid=257618397"",""stock untanna!B:G""),6,false)"),"405")</f>
        <v>405</v>
      </c>
      <c r="J167" s="43" t="str">
        <f t="shared" si="1"/>
        <v>ADA</v>
      </c>
      <c r="K167" s="72">
        <v>10.0</v>
      </c>
      <c r="L167" s="53" t="s">
        <v>69</v>
      </c>
      <c r="M167" s="73">
        <v>50000.0</v>
      </c>
      <c r="N167" s="74"/>
      <c r="O167" s="73">
        <v>500000.0</v>
      </c>
      <c r="P167" s="46" t="str">
        <f t="shared" si="2"/>
        <v>Rp50,000-10 PCS-0.00%</v>
      </c>
      <c r="Q167" s="75">
        <v>45408.0</v>
      </c>
      <c r="R167" s="76"/>
      <c r="S167" s="75">
        <v>45418.0</v>
      </c>
      <c r="T167" s="80" t="s">
        <v>280</v>
      </c>
    </row>
    <row r="168">
      <c r="A168" s="69">
        <v>4321.0</v>
      </c>
      <c r="B168" s="69" t="s">
        <v>29</v>
      </c>
      <c r="C168" s="70" t="s">
        <v>155</v>
      </c>
      <c r="D168" s="69" t="s">
        <v>31</v>
      </c>
      <c r="E168" s="41" t="str">
        <f>IFERROR(__xludf.DUMMYFUNCTION("vlookup(D168,IMPORTRANGE(""https://docs.google.com/spreadsheets/d/1swGwZOEqYlTEUCJLY-eeJM1911Kvaei5oySBIxdgtNo/edit?pli=1#gid=257618397"",""stock untanna!B:C""),2,false)"),"ISI STAPLER 13/8 JOSS")</f>
        <v>ISI STAPLER 13/8 JOSS</v>
      </c>
      <c r="F168" s="70" t="s">
        <v>31</v>
      </c>
      <c r="G168" s="71" t="s">
        <v>113</v>
      </c>
      <c r="H168" s="41" t="str">
        <f>IFERROR(__xludf.DUMMYFUNCTION("vlookup($D168,IMPORTRANGE(""https://docs.google.com/spreadsheets/d/1swGwZOEqYlTEUCJLY-eeJM1911Kvaei5oySBIxdgtNo/edit?pli=1#gid=257618397"",""stock untanna!B:F""),5,false)"),"IM")</f>
        <v>IM</v>
      </c>
      <c r="I168" s="42" t="str">
        <f>IFERROR(__xludf.DUMMYFUNCTION("vlookup($D168,IMPORTRANGE(""https://docs.google.com/spreadsheets/d/1swGwZOEqYlTEUCJLY-eeJM1911Kvaei5oySBIxdgtNo/edit?pli=1#gid=257618397"",""stock untanna!B:G""),6,false)"),"13/8")</f>
        <v>13/8</v>
      </c>
      <c r="J168" s="43" t="str">
        <f t="shared" si="1"/>
        <v>ADA</v>
      </c>
      <c r="K168" s="72">
        <v>25.0</v>
      </c>
      <c r="L168" s="53" t="s">
        <v>114</v>
      </c>
      <c r="M168" s="73">
        <v>18500.0</v>
      </c>
      <c r="N168" s="74"/>
      <c r="O168" s="73">
        <v>462500.0</v>
      </c>
      <c r="P168" s="46" t="str">
        <f t="shared" si="2"/>
        <v>Rp18,500-25 PAK-0.00%</v>
      </c>
      <c r="Q168" s="75">
        <v>45408.0</v>
      </c>
      <c r="R168" s="76"/>
      <c r="S168" s="75">
        <v>45418.0</v>
      </c>
      <c r="T168" s="49"/>
    </row>
    <row r="169">
      <c r="A169" s="69">
        <v>4321.0</v>
      </c>
      <c r="B169" s="69" t="s">
        <v>29</v>
      </c>
      <c r="C169" s="70" t="s">
        <v>155</v>
      </c>
      <c r="D169" s="69" t="s">
        <v>334</v>
      </c>
      <c r="E169" s="41" t="str">
        <f>IFERROR(__xludf.DUMMYFUNCTION("vlookup(D169,IMPORTRANGE(""https://docs.google.com/spreadsheets/d/1swGwZOEqYlTEUCJLY-eeJM1911Kvaei5oySBIxdgtNo/edit?pli=1#gid=257618397"",""stock untanna!B:C""),2,false)"),"STIP W/B KENJOY LUBANG K")</f>
        <v>STIP W/B KENJOY LUBANG K</v>
      </c>
      <c r="F169" s="70" t="s">
        <v>334</v>
      </c>
      <c r="G169" s="71" t="s">
        <v>335</v>
      </c>
      <c r="H169" s="41" t="str">
        <f>IFERROR(__xludf.DUMMYFUNCTION("vlookup($D169,IMPORTRANGE(""https://docs.google.com/spreadsheets/d/1swGwZOEqYlTEUCJLY-eeJM1911Kvaei5oySBIxdgtNo/edit?pli=1#gid=257618397"",""stock untanna!B:F""),5,false)"),"KE")</f>
        <v>KE</v>
      </c>
      <c r="I169" s="42" t="str">
        <f>IFERROR(__xludf.DUMMYFUNCTION("vlookup($D169,IMPORTRANGE(""https://docs.google.com/spreadsheets/d/1swGwZOEqYlTEUCJLY-eeJM1911Kvaei5oySBIxdgtNo/edit?pli=1#gid=257618397"",""stock untanna!B:G""),6,false)"),"")</f>
        <v/>
      </c>
      <c r="J169" s="43" t="str">
        <f t="shared" si="1"/>
        <v>ADA</v>
      </c>
      <c r="K169" s="72">
        <v>3.0</v>
      </c>
      <c r="L169" s="53" t="s">
        <v>62</v>
      </c>
      <c r="M169" s="73">
        <v>45000.0</v>
      </c>
      <c r="N169" s="74"/>
      <c r="O169" s="73">
        <v>135000.0</v>
      </c>
      <c r="P169" s="46" t="str">
        <f t="shared" si="2"/>
        <v>Rp45,000-3 LSN-0.00%</v>
      </c>
      <c r="Q169" s="75">
        <v>45408.0</v>
      </c>
      <c r="R169" s="76"/>
      <c r="S169" s="75">
        <v>45418.0</v>
      </c>
      <c r="T169" s="49"/>
    </row>
    <row r="170">
      <c r="A170" s="69">
        <v>4322.0</v>
      </c>
      <c r="B170" s="69" t="s">
        <v>29</v>
      </c>
      <c r="C170" s="70" t="s">
        <v>155</v>
      </c>
      <c r="D170" s="69"/>
      <c r="E170" s="41" t="s">
        <v>336</v>
      </c>
      <c r="F170" s="70"/>
      <c r="G170" s="71" t="s">
        <v>336</v>
      </c>
      <c r="H170" s="41" t="str">
        <f>IFERROR(__xludf.DUMMYFUNCTION("vlookup($D170,IMPORTRANGE(""https://docs.google.com/spreadsheets/d/1swGwZOEqYlTEUCJLY-eeJM1911Kvaei5oySBIxdgtNo/edit?pli=1#gid=257618397"",""stock untanna!B:F""),5,false)"),"#N/A")</f>
        <v>#N/A</v>
      </c>
      <c r="I170" s="42" t="str">
        <f>IFERROR(__xludf.DUMMYFUNCTION("vlookup($D170,IMPORTRANGE(""https://docs.google.com/spreadsheets/d/1swGwZOEqYlTEUCJLY-eeJM1911Kvaei5oySBIxdgtNo/edit?pli=1#gid=257618397"",""stock untanna!B:G""),6,false)"),"#N/A")</f>
        <v>#N/A</v>
      </c>
      <c r="J170" s="43" t="str">
        <f t="shared" si="1"/>
        <v>TIDAK ADA</v>
      </c>
      <c r="K170" s="72">
        <v>2.0</v>
      </c>
      <c r="L170" s="53" t="s">
        <v>62</v>
      </c>
      <c r="M170" s="73">
        <v>15000.0</v>
      </c>
      <c r="N170" s="74"/>
      <c r="O170" s="73">
        <v>30000.0</v>
      </c>
      <c r="P170" s="46" t="str">
        <f t="shared" si="2"/>
        <v>Rp15,000-2 LSN-0.00%</v>
      </c>
      <c r="Q170" s="75">
        <v>45408.0</v>
      </c>
      <c r="R170" s="76"/>
      <c r="S170" s="75">
        <v>45418.0</v>
      </c>
      <c r="T170" s="49"/>
    </row>
    <row r="171">
      <c r="A171" s="69">
        <v>4322.0</v>
      </c>
      <c r="B171" s="69" t="s">
        <v>29</v>
      </c>
      <c r="C171" s="70" t="s">
        <v>155</v>
      </c>
      <c r="D171" s="69" t="s">
        <v>337</v>
      </c>
      <c r="E171" s="41" t="str">
        <f>IFERROR(__xludf.DUMMYFUNCTION("vlookup(D171,IMPORTRANGE(""https://docs.google.com/spreadsheets/d/1swGwZOEqYlTEUCJLY-eeJM1911Kvaei5oySBIxdgtNo/edit?pli=1#gid=257618397"",""stock untanna!B:C""),2,false)"),"GARISAN MIKA 40CM ENTER")</f>
        <v>GARISAN MIKA 40CM ENTER</v>
      </c>
      <c r="F171" s="70" t="s">
        <v>337</v>
      </c>
      <c r="G171" s="71" t="s">
        <v>338</v>
      </c>
      <c r="H171" s="41" t="str">
        <f>IFERROR(__xludf.DUMMYFUNCTION("vlookup($D171,IMPORTRANGE(""https://docs.google.com/spreadsheets/d/1swGwZOEqYlTEUCJLY-eeJM1911Kvaei5oySBIxdgtNo/edit?pli=1#gid=257618397"",""stock untanna!B:F""),5,false)"),"EN")</f>
        <v>EN</v>
      </c>
      <c r="I171" s="42" t="str">
        <f>IFERROR(__xludf.DUMMYFUNCTION("vlookup($D171,IMPORTRANGE(""https://docs.google.com/spreadsheets/d/1swGwZOEqYlTEUCJLY-eeJM1911Kvaei5oySBIxdgtNo/edit?pli=1#gid=257618397"",""stock untanna!B:G""),6,false)"),"")</f>
        <v/>
      </c>
      <c r="J171" s="43" t="str">
        <f t="shared" si="1"/>
        <v>ADA</v>
      </c>
      <c r="K171" s="72">
        <v>2.0</v>
      </c>
      <c r="L171" s="53" t="s">
        <v>62</v>
      </c>
      <c r="M171" s="73">
        <v>40000.0</v>
      </c>
      <c r="N171" s="74"/>
      <c r="O171" s="73">
        <v>80000.0</v>
      </c>
      <c r="P171" s="46" t="str">
        <f t="shared" si="2"/>
        <v>Rp40,000-2 LSN-0.00%</v>
      </c>
      <c r="Q171" s="75">
        <v>45408.0</v>
      </c>
      <c r="R171" s="76"/>
      <c r="S171" s="75">
        <v>45418.0</v>
      </c>
      <c r="T171" s="49"/>
    </row>
    <row r="172">
      <c r="A172" s="69">
        <v>4322.0</v>
      </c>
      <c r="B172" s="69" t="s">
        <v>29</v>
      </c>
      <c r="C172" s="70" t="s">
        <v>155</v>
      </c>
      <c r="D172" s="69" t="s">
        <v>339</v>
      </c>
      <c r="E172" s="41" t="str">
        <f>IFERROR(__xludf.DUMMYFUNCTION("vlookup(D172,IMPORTRANGE(""https://docs.google.com/spreadsheets/d/1swGwZOEqYlTEUCJLY-eeJM1911Kvaei5oySBIxdgtNo/edit?pli=1#gid=257618397"",""stock untanna!B:C""),2,false)"),"GARISAN MIKA 50CM ENTER")</f>
        <v>GARISAN MIKA 50CM ENTER</v>
      </c>
      <c r="F172" s="70" t="s">
        <v>339</v>
      </c>
      <c r="G172" s="71" t="s">
        <v>340</v>
      </c>
      <c r="H172" s="41" t="str">
        <f>IFERROR(__xludf.DUMMYFUNCTION("vlookup($D172,IMPORTRANGE(""https://docs.google.com/spreadsheets/d/1swGwZOEqYlTEUCJLY-eeJM1911Kvaei5oySBIxdgtNo/edit?pli=1#gid=257618397"",""stock untanna!B:F""),5,false)"),"EN")</f>
        <v>EN</v>
      </c>
      <c r="I172" s="42" t="str">
        <f>IFERROR(__xludf.DUMMYFUNCTION("vlookup($D172,IMPORTRANGE(""https://docs.google.com/spreadsheets/d/1swGwZOEqYlTEUCJLY-eeJM1911Kvaei5oySBIxdgtNo/edit?pli=1#gid=257618397"",""stock untanna!B:G""),6,false)"),"")</f>
        <v/>
      </c>
      <c r="J172" s="43" t="str">
        <f t="shared" si="1"/>
        <v>ADA</v>
      </c>
      <c r="K172" s="72">
        <v>2.0</v>
      </c>
      <c r="L172" s="53" t="s">
        <v>62</v>
      </c>
      <c r="M172" s="73">
        <v>45000.0</v>
      </c>
      <c r="N172" s="74"/>
      <c r="O172" s="73">
        <v>90000.0</v>
      </c>
      <c r="P172" s="46" t="str">
        <f t="shared" si="2"/>
        <v>Rp45,000-2 LSN-0.00%</v>
      </c>
      <c r="Q172" s="75">
        <v>45408.0</v>
      </c>
      <c r="R172" s="76"/>
      <c r="S172" s="75">
        <v>45418.0</v>
      </c>
      <c r="T172" s="49"/>
    </row>
    <row r="173">
      <c r="A173" s="69">
        <v>4322.0</v>
      </c>
      <c r="B173" s="69" t="s">
        <v>29</v>
      </c>
      <c r="C173" s="70" t="s">
        <v>155</v>
      </c>
      <c r="D173" s="69" t="s">
        <v>341</v>
      </c>
      <c r="E173" s="41" t="str">
        <f>IFERROR(__xludf.DUMMYFUNCTION("vlookup(D173,IMPORTRANGE(""https://docs.google.com/spreadsheets/d/1swGwZOEqYlTEUCJLY-eeJM1911Kvaei5oySBIxdgtNo/edit?pli=1#gid=257618397"",""stock untanna!B:C""),2,false)"),"GARISAN MIKA ENTER 60 CM")</f>
        <v>GARISAN MIKA ENTER 60 CM</v>
      </c>
      <c r="F173" s="70" t="s">
        <v>341</v>
      </c>
      <c r="G173" s="71" t="s">
        <v>342</v>
      </c>
      <c r="H173" s="41" t="str">
        <f>IFERROR(__xludf.DUMMYFUNCTION("vlookup($D173,IMPORTRANGE(""https://docs.google.com/spreadsheets/d/1swGwZOEqYlTEUCJLY-eeJM1911Kvaei5oySBIxdgtNo/edit?pli=1#gid=257618397"",""stock untanna!B:F""),5,false)"),"EN")</f>
        <v>EN</v>
      </c>
      <c r="I173" s="42" t="str">
        <f>IFERROR(__xludf.DUMMYFUNCTION("vlookup($D173,IMPORTRANGE(""https://docs.google.com/spreadsheets/d/1swGwZOEqYlTEUCJLY-eeJM1911Kvaei5oySBIxdgtNo/edit?pli=1#gid=257618397"",""stock untanna!B:G""),6,false)"),"")</f>
        <v/>
      </c>
      <c r="J173" s="43" t="str">
        <f t="shared" si="1"/>
        <v>ADA</v>
      </c>
      <c r="K173" s="72">
        <v>2.0</v>
      </c>
      <c r="L173" s="53" t="s">
        <v>62</v>
      </c>
      <c r="M173" s="73">
        <v>50000.0</v>
      </c>
      <c r="N173" s="74"/>
      <c r="O173" s="73">
        <v>100000.0</v>
      </c>
      <c r="P173" s="46" t="str">
        <f t="shared" si="2"/>
        <v>Rp50,000-2 LSN-0.00%</v>
      </c>
      <c r="Q173" s="75">
        <v>45408.0</v>
      </c>
      <c r="R173" s="76"/>
      <c r="S173" s="75">
        <v>45418.0</v>
      </c>
      <c r="T173" s="49"/>
    </row>
    <row r="174">
      <c r="A174" s="69">
        <v>4322.0</v>
      </c>
      <c r="B174" s="69" t="s">
        <v>29</v>
      </c>
      <c r="C174" s="70" t="s">
        <v>155</v>
      </c>
      <c r="D174" s="69"/>
      <c r="E174" s="41" t="s">
        <v>343</v>
      </c>
      <c r="F174" s="70"/>
      <c r="G174" s="71" t="s">
        <v>343</v>
      </c>
      <c r="H174" s="41" t="str">
        <f>IFERROR(__xludf.DUMMYFUNCTION("vlookup($D174,IMPORTRANGE(""https://docs.google.com/spreadsheets/d/1swGwZOEqYlTEUCJLY-eeJM1911Kvaei5oySBIxdgtNo/edit?pli=1#gid=257618397"",""stock untanna!B:F""),5,false)"),"#N/A")</f>
        <v>#N/A</v>
      </c>
      <c r="I174" s="42" t="str">
        <f>IFERROR(__xludf.DUMMYFUNCTION("vlookup($D174,IMPORTRANGE(""https://docs.google.com/spreadsheets/d/1swGwZOEqYlTEUCJLY-eeJM1911Kvaei5oySBIxdgtNo/edit?pli=1#gid=257618397"",""stock untanna!B:G""),6,false)"),"#N/A")</f>
        <v>#N/A</v>
      </c>
      <c r="J174" s="43" t="str">
        <f t="shared" si="1"/>
        <v>TIDAK ADA</v>
      </c>
      <c r="K174" s="72">
        <v>1.0</v>
      </c>
      <c r="L174" s="53" t="s">
        <v>62</v>
      </c>
      <c r="M174" s="73">
        <v>185000.0</v>
      </c>
      <c r="N174" s="74"/>
      <c r="O174" s="73">
        <v>185000.0</v>
      </c>
      <c r="P174" s="46" t="str">
        <f t="shared" si="2"/>
        <v>Rp185,000-1 LSN-0.00%</v>
      </c>
      <c r="Q174" s="75">
        <v>45408.0</v>
      </c>
      <c r="R174" s="76"/>
      <c r="S174" s="75">
        <v>45418.0</v>
      </c>
      <c r="T174" s="80" t="s">
        <v>280</v>
      </c>
    </row>
    <row r="175">
      <c r="A175" s="69">
        <v>4322.0</v>
      </c>
      <c r="B175" s="69" t="s">
        <v>29</v>
      </c>
      <c r="C175" s="70" t="s">
        <v>155</v>
      </c>
      <c r="D175" s="69" t="s">
        <v>125</v>
      </c>
      <c r="E175" s="41" t="str">
        <f>IFERROR(__xludf.DUMMYFUNCTION("vlookup(D175,IMPORTRANGE(""https://docs.google.com/spreadsheets/d/1swGwZOEqYlTEUCJLY-eeJM1911Kvaei5oySBIxdgtNo/edit?pli=1#gid=257618397"",""stock untanna!B:C""),2,false)"),"GARISAN BESI V-TRO 30CM")</f>
        <v>GARISAN BESI V-TRO 30CM</v>
      </c>
      <c r="F175" s="70" t="s">
        <v>125</v>
      </c>
      <c r="G175" s="71" t="s">
        <v>126</v>
      </c>
      <c r="H175" s="41" t="str">
        <f>IFERROR(__xludf.DUMMYFUNCTION("vlookup($D175,IMPORTRANGE(""https://docs.google.com/spreadsheets/d/1swGwZOEqYlTEUCJLY-eeJM1911Kvaei5oySBIxdgtNo/edit?pli=1#gid=257618397"",""stock untanna!B:F""),5,false)"),"VO")</f>
        <v>VO</v>
      </c>
      <c r="I175" s="42" t="str">
        <f>IFERROR(__xludf.DUMMYFUNCTION("vlookup($D175,IMPORTRANGE(""https://docs.google.com/spreadsheets/d/1swGwZOEqYlTEUCJLY-eeJM1911Kvaei5oySBIxdgtNo/edit?pli=1#gid=257618397"",""stock untanna!B:G""),6,false)"),"")</f>
        <v/>
      </c>
      <c r="J175" s="43" t="str">
        <f t="shared" si="1"/>
        <v>ADA</v>
      </c>
      <c r="K175" s="72">
        <v>5.0</v>
      </c>
      <c r="L175" s="53" t="s">
        <v>62</v>
      </c>
      <c r="M175" s="73">
        <v>40000.0</v>
      </c>
      <c r="N175" s="74"/>
      <c r="O175" s="73">
        <v>200000.0</v>
      </c>
      <c r="P175" s="46" t="str">
        <f t="shared" si="2"/>
        <v>Rp40,000-5 LSN-0.00%</v>
      </c>
      <c r="Q175" s="75">
        <v>45408.0</v>
      </c>
      <c r="R175" s="76"/>
      <c r="S175" s="75">
        <v>45418.0</v>
      </c>
      <c r="T175" s="49"/>
    </row>
    <row r="176">
      <c r="A176" s="69">
        <v>4322.0</v>
      </c>
      <c r="B176" s="69" t="s">
        <v>29</v>
      </c>
      <c r="C176" s="70" t="s">
        <v>155</v>
      </c>
      <c r="D176" s="50" t="s">
        <v>344</v>
      </c>
      <c r="E176" s="41" t="str">
        <f>IFERROR(__xludf.DUMMYFUNCTION("vlookup(D176,IMPORTRANGE(""https://docs.google.com/spreadsheets/d/1swGwZOEqYlTEUCJLY-eeJM1911Kvaei5oySBIxdgtNo/edit?pli=1#gid=257618397"",""stock untanna!B:C""),2,false)"),"GARISAN BESI 30CM 5030 YOEKER ORANGE")</f>
        <v>GARISAN BESI 30CM 5030 YOEKER ORANGE</v>
      </c>
      <c r="F176" s="70" t="s">
        <v>345</v>
      </c>
      <c r="G176" s="78" t="s">
        <v>346</v>
      </c>
      <c r="H176" s="41" t="str">
        <f>IFERROR(__xludf.DUMMYFUNCTION("vlookup($D176,IMPORTRANGE(""https://docs.google.com/spreadsheets/d/1swGwZOEqYlTEUCJLY-eeJM1911Kvaei5oySBIxdgtNo/edit?pli=1#gid=257618397"",""stock untanna!B:F""),5,false)"),"YK")</f>
        <v>YK</v>
      </c>
      <c r="I176" s="42">
        <f>IFERROR(__xludf.DUMMYFUNCTION("vlookup($D176,IMPORTRANGE(""https://docs.google.com/spreadsheets/d/1swGwZOEqYlTEUCJLY-eeJM1911Kvaei5oySBIxdgtNo/edit?pli=1#gid=257618397"",""stock untanna!B:G""),6,false)"),5030.0)</f>
        <v>5030</v>
      </c>
      <c r="J176" s="43" t="str">
        <f t="shared" si="1"/>
        <v>ADA</v>
      </c>
      <c r="K176" s="72">
        <v>5.0</v>
      </c>
      <c r="L176" s="53" t="s">
        <v>62</v>
      </c>
      <c r="M176" s="73">
        <v>40000.0</v>
      </c>
      <c r="N176" s="74"/>
      <c r="O176" s="73">
        <v>200000.0</v>
      </c>
      <c r="P176" s="46" t="str">
        <f t="shared" si="2"/>
        <v>Rp40,000-5 LSN-0.00%</v>
      </c>
      <c r="Q176" s="75">
        <v>45408.0</v>
      </c>
      <c r="R176" s="76"/>
      <c r="S176" s="75">
        <v>45418.0</v>
      </c>
      <c r="T176" s="49"/>
    </row>
    <row r="177">
      <c r="A177" s="69">
        <v>4322.0</v>
      </c>
      <c r="B177" s="69" t="s">
        <v>29</v>
      </c>
      <c r="C177" s="70" t="s">
        <v>155</v>
      </c>
      <c r="D177" s="50" t="s">
        <v>347</v>
      </c>
      <c r="E177" s="41" t="str">
        <f>IFERROR(__xludf.DUMMYFUNCTION("vlookup(D177,IMPORTRANGE(""https://docs.google.com/spreadsheets/d/1swGwZOEqYlTEUCJLY-eeJM1911Kvaei5oySBIxdgtNo/edit?pli=1#gid=257618397"",""stock untanna!B:C""),2,false)"),"GARISAN BT NO.10")</f>
        <v>GARISAN BT NO.10</v>
      </c>
      <c r="F177" s="70" t="s">
        <v>348</v>
      </c>
      <c r="G177" s="71" t="s">
        <v>349</v>
      </c>
      <c r="H177" s="41" t="str">
        <f>IFERROR(__xludf.DUMMYFUNCTION("vlookup($D177,IMPORTRANGE(""https://docs.google.com/spreadsheets/d/1swGwZOEqYlTEUCJLY-eeJM1911Kvaei5oySBIxdgtNo/edit?pli=1#gid=257618397"",""stock untanna!B:F""),5,false)"),"BT")</f>
        <v>BT</v>
      </c>
      <c r="I177" s="42">
        <f>IFERROR(__xludf.DUMMYFUNCTION("vlookup($D177,IMPORTRANGE(""https://docs.google.com/spreadsheets/d/1swGwZOEqYlTEUCJLY-eeJM1911Kvaei5oySBIxdgtNo/edit?pli=1#gid=257618397"",""stock untanna!B:G""),6,false)"),10.0)</f>
        <v>10</v>
      </c>
      <c r="J177" s="43" t="str">
        <f t="shared" si="1"/>
        <v>ADA</v>
      </c>
      <c r="K177" s="72">
        <v>2.0</v>
      </c>
      <c r="L177" s="53" t="s">
        <v>62</v>
      </c>
      <c r="M177" s="73">
        <v>185000.0</v>
      </c>
      <c r="N177" s="74"/>
      <c r="O177" s="73">
        <v>370000.0</v>
      </c>
      <c r="P177" s="46" t="str">
        <f t="shared" si="2"/>
        <v>Rp185,000-2 LSN-0.00%</v>
      </c>
      <c r="Q177" s="75">
        <v>45408.0</v>
      </c>
      <c r="R177" s="76"/>
      <c r="S177" s="75">
        <v>45418.0</v>
      </c>
      <c r="T177" s="49"/>
    </row>
    <row r="178">
      <c r="A178" s="69">
        <v>4322.0</v>
      </c>
      <c r="B178" s="69" t="s">
        <v>29</v>
      </c>
      <c r="C178" s="70" t="s">
        <v>155</v>
      </c>
      <c r="D178" s="50" t="s">
        <v>350</v>
      </c>
      <c r="E178" s="41" t="str">
        <f>IFERROR(__xludf.DUMMYFUNCTION("vlookup(D178,IMPORTRANGE(""https://docs.google.com/spreadsheets/d/1swGwZOEqYlTEUCJLY-eeJM1911Kvaei5oySBIxdgtNo/edit?pli=1#gid=257618397"",""stock untanna!B:C""),2,false)"),"GARISAN BT NO.12")</f>
        <v>GARISAN BT NO.12</v>
      </c>
      <c r="F178" s="70" t="s">
        <v>351</v>
      </c>
      <c r="G178" s="71" t="s">
        <v>352</v>
      </c>
      <c r="H178" s="41" t="str">
        <f>IFERROR(__xludf.DUMMYFUNCTION("vlookup($D178,IMPORTRANGE(""https://docs.google.com/spreadsheets/d/1swGwZOEqYlTEUCJLY-eeJM1911Kvaei5oySBIxdgtNo/edit?pli=1#gid=257618397"",""stock untanna!B:F""),5,false)"),"BT")</f>
        <v>BT</v>
      </c>
      <c r="I178" s="42">
        <f>IFERROR(__xludf.DUMMYFUNCTION("vlookup($D178,IMPORTRANGE(""https://docs.google.com/spreadsheets/d/1swGwZOEqYlTEUCJLY-eeJM1911Kvaei5oySBIxdgtNo/edit?pli=1#gid=257618397"",""stock untanna!B:G""),6,false)"),12.0)</f>
        <v>12</v>
      </c>
      <c r="J178" s="43" t="str">
        <f t="shared" si="1"/>
        <v>ADA</v>
      </c>
      <c r="K178" s="72">
        <v>1.0</v>
      </c>
      <c r="L178" s="53" t="s">
        <v>62</v>
      </c>
      <c r="M178" s="73">
        <v>240000.0</v>
      </c>
      <c r="N178" s="74"/>
      <c r="O178" s="73">
        <v>240000.0</v>
      </c>
      <c r="P178" s="46" t="str">
        <f t="shared" si="2"/>
        <v>Rp240,000-1 LSN-0.00%</v>
      </c>
      <c r="Q178" s="75">
        <v>45408.0</v>
      </c>
      <c r="R178" s="76"/>
      <c r="S178" s="75">
        <v>45418.0</v>
      </c>
      <c r="T178" s="49"/>
    </row>
    <row r="179">
      <c r="A179" s="69">
        <v>4322.0</v>
      </c>
      <c r="B179" s="69" t="s">
        <v>29</v>
      </c>
      <c r="C179" s="70" t="s">
        <v>155</v>
      </c>
      <c r="D179" s="69"/>
      <c r="E179" s="41" t="s">
        <v>353</v>
      </c>
      <c r="F179" s="70"/>
      <c r="G179" s="71" t="s">
        <v>353</v>
      </c>
      <c r="H179" s="41" t="str">
        <f>IFERROR(__xludf.DUMMYFUNCTION("vlookup($D179,IMPORTRANGE(""https://docs.google.com/spreadsheets/d/1swGwZOEqYlTEUCJLY-eeJM1911Kvaei5oySBIxdgtNo/edit?pli=1#gid=257618397"",""stock untanna!B:F""),5,false)"),"#N/A")</f>
        <v>#N/A</v>
      </c>
      <c r="I179" s="42" t="str">
        <f>IFERROR(__xludf.DUMMYFUNCTION("vlookup($D179,IMPORTRANGE(""https://docs.google.com/spreadsheets/d/1swGwZOEqYlTEUCJLY-eeJM1911Kvaei5oySBIxdgtNo/edit?pli=1#gid=257618397"",""stock untanna!B:G""),6,false)"),"#N/A")</f>
        <v>#N/A</v>
      </c>
      <c r="J179" s="43" t="str">
        <f t="shared" si="1"/>
        <v>TIDAK ADA</v>
      </c>
      <c r="K179" s="72">
        <v>1.0</v>
      </c>
      <c r="L179" s="53" t="s">
        <v>62</v>
      </c>
      <c r="M179" s="73">
        <v>225000.0</v>
      </c>
      <c r="N179" s="74"/>
      <c r="O179" s="73">
        <v>225000.0</v>
      </c>
      <c r="P179" s="46" t="str">
        <f t="shared" si="2"/>
        <v>Rp225,000-1 LSN-0.00%</v>
      </c>
      <c r="Q179" s="75">
        <v>45408.0</v>
      </c>
      <c r="R179" s="76"/>
      <c r="S179" s="75">
        <v>45418.0</v>
      </c>
      <c r="T179" s="80" t="s">
        <v>280</v>
      </c>
    </row>
    <row r="180">
      <c r="A180" s="69">
        <v>4322.0</v>
      </c>
      <c r="B180" s="69" t="s">
        <v>29</v>
      </c>
      <c r="C180" s="70" t="s">
        <v>155</v>
      </c>
      <c r="D180" s="50" t="s">
        <v>354</v>
      </c>
      <c r="E180" s="41" t="str">
        <f>IFERROR(__xludf.DUMMYFUNCTION("vlookup(D180,IMPORTRANGE(""https://docs.google.com/spreadsheets/d/1swGwZOEqYlTEUCJLY-eeJM1911Kvaei5oySBIxdgtNo/edit?pli=1#gid=257618397"",""stock untanna!B:C""),2,false)"),"GARISAN SET 7006")</f>
        <v>GARISAN SET 7006</v>
      </c>
      <c r="F180" s="70" t="s">
        <v>355</v>
      </c>
      <c r="G180" s="71" t="s">
        <v>356</v>
      </c>
      <c r="H180" s="41" t="str">
        <f>IFERROR(__xludf.DUMMYFUNCTION("vlookup($D180,IMPORTRANGE(""https://docs.google.com/spreadsheets/d/1swGwZOEqYlTEUCJLY-eeJM1911Kvaei5oySBIxdgtNo/edit?pli=1#gid=257618397"",""stock untanna!B:F""),5,false)"),"NB")</f>
        <v>NB</v>
      </c>
      <c r="I180" s="42" t="str">
        <f>IFERROR(__xludf.DUMMYFUNCTION("vlookup($D180,IMPORTRANGE(""https://docs.google.com/spreadsheets/d/1swGwZOEqYlTEUCJLY-eeJM1911Kvaei5oySBIxdgtNo/edit?pli=1#gid=257618397"",""stock untanna!B:G""),6,false)"),"7006")</f>
        <v>7006</v>
      </c>
      <c r="J180" s="43" t="str">
        <f t="shared" si="1"/>
        <v>ADA</v>
      </c>
      <c r="K180" s="72">
        <v>24.0</v>
      </c>
      <c r="L180" s="53" t="s">
        <v>84</v>
      </c>
      <c r="M180" s="73">
        <v>1250.0</v>
      </c>
      <c r="N180" s="74"/>
      <c r="O180" s="73">
        <v>30000.0</v>
      </c>
      <c r="P180" s="46" t="str">
        <f t="shared" si="2"/>
        <v>Rp1,250-24 SET-0.00%</v>
      </c>
      <c r="Q180" s="75">
        <v>45408.0</v>
      </c>
      <c r="R180" s="76"/>
      <c r="S180" s="75">
        <v>45418.0</v>
      </c>
      <c r="T180" s="49"/>
    </row>
    <row r="181">
      <c r="A181" s="69">
        <v>4322.0</v>
      </c>
      <c r="B181" s="69" t="s">
        <v>29</v>
      </c>
      <c r="C181" s="70" t="s">
        <v>155</v>
      </c>
      <c r="D181" s="69"/>
      <c r="E181" s="41" t="s">
        <v>357</v>
      </c>
      <c r="F181" s="70"/>
      <c r="G181" s="71" t="s">
        <v>357</v>
      </c>
      <c r="H181" s="41" t="str">
        <f>IFERROR(__xludf.DUMMYFUNCTION("vlookup($D181,IMPORTRANGE(""https://docs.google.com/spreadsheets/d/1swGwZOEqYlTEUCJLY-eeJM1911Kvaei5oySBIxdgtNo/edit?pli=1#gid=257618397"",""stock untanna!B:F""),5,false)"),"#N/A")</f>
        <v>#N/A</v>
      </c>
      <c r="I181" s="42" t="str">
        <f>IFERROR(__xludf.DUMMYFUNCTION("vlookup($D181,IMPORTRANGE(""https://docs.google.com/spreadsheets/d/1swGwZOEqYlTEUCJLY-eeJM1911Kvaei5oySBIxdgtNo/edit?pli=1#gid=257618397"",""stock untanna!B:G""),6,false)"),"#N/A")</f>
        <v>#N/A</v>
      </c>
      <c r="J181" s="43" t="str">
        <f t="shared" si="1"/>
        <v>TIDAK ADA</v>
      </c>
      <c r="K181" s="72">
        <v>25.0</v>
      </c>
      <c r="L181" s="53" t="s">
        <v>69</v>
      </c>
      <c r="M181" s="73">
        <v>7000.0</v>
      </c>
      <c r="N181" s="74"/>
      <c r="O181" s="73">
        <v>175000.0</v>
      </c>
      <c r="P181" s="46" t="str">
        <f t="shared" si="2"/>
        <v>Rp7,000-25 PCS-0.00%</v>
      </c>
      <c r="Q181" s="75">
        <v>45408.0</v>
      </c>
      <c r="R181" s="76"/>
      <c r="S181" s="75">
        <v>45418.0</v>
      </c>
      <c r="T181" s="80" t="s">
        <v>280</v>
      </c>
    </row>
    <row r="182">
      <c r="A182" s="69">
        <v>4322.0</v>
      </c>
      <c r="B182" s="69" t="s">
        <v>29</v>
      </c>
      <c r="C182" s="70" t="s">
        <v>155</v>
      </c>
      <c r="D182" s="21" t="s">
        <v>358</v>
      </c>
      <c r="E182" s="41" t="str">
        <f>IFERROR(__xludf.DUMMYFUNCTION("vlookup(D182,IMPORTRANGE(""https://docs.google.com/spreadsheets/d/1swGwZOEqYlTEUCJLY-eeJM1911Kvaei5oySBIxdgtNo/edit?pli=1#gid=257618397"",""stock untanna!B:C""),2,false)"),"GARISAN ROTARY 1020 (JOS) BSR")</f>
        <v>GARISAN ROTARY 1020 (JOS) BSR</v>
      </c>
      <c r="F182" s="70" t="s">
        <v>359</v>
      </c>
      <c r="G182" s="71" t="s">
        <v>360</v>
      </c>
      <c r="H182" s="41" t="str">
        <f>IFERROR(__xludf.DUMMYFUNCTION("vlookup($D182,IMPORTRANGE(""https://docs.google.com/spreadsheets/d/1swGwZOEqYlTEUCJLY-eeJM1911Kvaei5oySBIxdgtNo/edit?pli=1#gid=257618397"",""stock untanna!B:F""),5,false)"),"NB")</f>
        <v>NB</v>
      </c>
      <c r="I182" s="42" t="str">
        <f>IFERROR(__xludf.DUMMYFUNCTION("vlookup($D182,IMPORTRANGE(""https://docs.google.com/spreadsheets/d/1swGwZOEqYlTEUCJLY-eeJM1911Kvaei5oySBIxdgtNo/edit?pli=1#gid=257618397"",""stock untanna!B:G""),6,false)"),"1020")</f>
        <v>1020</v>
      </c>
      <c r="J182" s="43" t="str">
        <f t="shared" si="1"/>
        <v>ADA</v>
      </c>
      <c r="K182" s="72">
        <v>24.0</v>
      </c>
      <c r="L182" s="53" t="s">
        <v>69</v>
      </c>
      <c r="M182" s="73">
        <v>2625.0</v>
      </c>
      <c r="N182" s="74"/>
      <c r="O182" s="73">
        <v>63000.0</v>
      </c>
      <c r="P182" s="46" t="str">
        <f t="shared" si="2"/>
        <v>Rp2,625-24 PCS-0.00%</v>
      </c>
      <c r="Q182" s="75">
        <v>45408.0</v>
      </c>
      <c r="R182" s="76"/>
      <c r="S182" s="75">
        <v>45418.0</v>
      </c>
      <c r="T182" s="49"/>
    </row>
    <row r="183">
      <c r="A183" s="69">
        <v>4322.0</v>
      </c>
      <c r="B183" s="69" t="s">
        <v>29</v>
      </c>
      <c r="C183" s="70" t="s">
        <v>155</v>
      </c>
      <c r="D183" s="69" t="s">
        <v>361</v>
      </c>
      <c r="E183" s="41" t="str">
        <f>IFERROR(__xludf.DUMMYFUNCTION("vlookup(D183,IMPORTRANGE(""https://docs.google.com/spreadsheets/d/1swGwZOEqYlTEUCJLY-eeJM1911Kvaei5oySBIxdgtNo/edit?pli=1#gid=257618397"",""stock untanna!B:C""),2,false)"),"GARISAN SET BJ 20136")</f>
        <v>GARISAN SET BJ 20136</v>
      </c>
      <c r="F183" s="70" t="s">
        <v>361</v>
      </c>
      <c r="G183" s="71" t="s">
        <v>362</v>
      </c>
      <c r="H183" s="41" t="str">
        <f>IFERROR(__xludf.DUMMYFUNCTION("vlookup($D183,IMPORTRANGE(""https://docs.google.com/spreadsheets/d/1swGwZOEqYlTEUCJLY-eeJM1911Kvaei5oySBIxdgtNo/edit?pli=1#gid=257618397"",""stock untanna!B:F""),5,false)"),"NB")</f>
        <v>NB</v>
      </c>
      <c r="I183" s="42" t="str">
        <f>IFERROR(__xludf.DUMMYFUNCTION("vlookup($D183,IMPORTRANGE(""https://docs.google.com/spreadsheets/d/1swGwZOEqYlTEUCJLY-eeJM1911Kvaei5oySBIxdgtNo/edit?pli=1#gid=257618397"",""stock untanna!B:G""),6,false)"),"BJ-20136")</f>
        <v>BJ-20136</v>
      </c>
      <c r="J183" s="43" t="str">
        <f t="shared" si="1"/>
        <v>ADA</v>
      </c>
      <c r="K183" s="72">
        <v>1.0</v>
      </c>
      <c r="L183" s="53" t="s">
        <v>88</v>
      </c>
      <c r="M183" s="73">
        <v>184000.0</v>
      </c>
      <c r="N183" s="74"/>
      <c r="O183" s="73">
        <v>184000.0</v>
      </c>
      <c r="P183" s="46" t="str">
        <f t="shared" si="2"/>
        <v>Rp184,000-1 BOX-0.00%</v>
      </c>
      <c r="Q183" s="75">
        <v>45408.0</v>
      </c>
      <c r="R183" s="76"/>
      <c r="S183" s="75">
        <v>45418.0</v>
      </c>
      <c r="T183" s="49"/>
    </row>
    <row r="184">
      <c r="A184" s="69">
        <v>4323.0</v>
      </c>
      <c r="B184" s="69" t="s">
        <v>29</v>
      </c>
      <c r="C184" s="70" t="s">
        <v>155</v>
      </c>
      <c r="D184" s="69" t="s">
        <v>138</v>
      </c>
      <c r="E184" s="41" t="str">
        <f>IFERROR(__xludf.DUMMYFUNCTION("vlookup(D184,IMPORTRANGE(""https://docs.google.com/spreadsheets/d/1swGwZOEqYlTEUCJLY-eeJM1911Kvaei5oySBIxdgtNo/edit?pli=1#gid=257618397"",""stock untanna!B:C""),2,false)"),"GARISAN LIPAT 008 (40) 30 CM FANCY")</f>
        <v>GARISAN LIPAT 008 (40) 30 CM FANCY</v>
      </c>
      <c r="F184" s="70" t="s">
        <v>138</v>
      </c>
      <c r="G184" s="71" t="s">
        <v>139</v>
      </c>
      <c r="H184" s="41" t="str">
        <f>IFERROR(__xludf.DUMMYFUNCTION("vlookup($D184,IMPORTRANGE(""https://docs.google.com/spreadsheets/d/1swGwZOEqYlTEUCJLY-eeJM1911Kvaei5oySBIxdgtNo/edit?pli=1#gid=257618397"",""stock untanna!B:F""),5,false)"),"NB")</f>
        <v>NB</v>
      </c>
      <c r="I184" s="42" t="str">
        <f>IFERROR(__xludf.DUMMYFUNCTION("vlookup($D184,IMPORTRANGE(""https://docs.google.com/spreadsheets/d/1swGwZOEqYlTEUCJLY-eeJM1911Kvaei5oySBIxdgtNo/edit?pli=1#gid=257618397"",""stock untanna!B:G""),6,false)"),"008")</f>
        <v>008</v>
      </c>
      <c r="J184" s="43" t="str">
        <f t="shared" si="1"/>
        <v>ADA</v>
      </c>
      <c r="K184" s="72">
        <v>4.0</v>
      </c>
      <c r="L184" s="53" t="s">
        <v>88</v>
      </c>
      <c r="M184" s="73">
        <v>78000.0</v>
      </c>
      <c r="N184" s="74"/>
      <c r="O184" s="73">
        <v>312000.0</v>
      </c>
      <c r="P184" s="46" t="str">
        <f t="shared" si="2"/>
        <v>Rp78,000-4 BOX-0.00%</v>
      </c>
      <c r="Q184" s="75">
        <v>45408.0</v>
      </c>
      <c r="R184" s="76"/>
      <c r="S184" s="75">
        <v>45418.0</v>
      </c>
      <c r="T184" s="49"/>
    </row>
    <row r="185">
      <c r="A185" s="69">
        <v>4323.0</v>
      </c>
      <c r="B185" s="69" t="s">
        <v>29</v>
      </c>
      <c r="C185" s="70" t="s">
        <v>155</v>
      </c>
      <c r="D185" s="69" t="s">
        <v>363</v>
      </c>
      <c r="E185" s="41" t="str">
        <f>IFERROR(__xludf.DUMMYFUNCTION("vlookup(D185,IMPORTRANGE(""https://docs.google.com/spreadsheets/d/1swGwZOEqYlTEUCJLY-eeJM1911Kvaei5oySBIxdgtNo/edit?pli=1#gid=257618397"",""stock untanna!B:C""),2,false)"),"GARISAN 30CM KAYAGI 3122")</f>
        <v>GARISAN 30CM KAYAGI 3122</v>
      </c>
      <c r="F185" s="70" t="s">
        <v>363</v>
      </c>
      <c r="G185" s="71" t="s">
        <v>364</v>
      </c>
      <c r="H185" s="41" t="str">
        <f>IFERROR(__xludf.DUMMYFUNCTION("vlookup($D185,IMPORTRANGE(""https://docs.google.com/spreadsheets/d/1swGwZOEqYlTEUCJLY-eeJM1911Kvaei5oySBIxdgtNo/edit?pli=1#gid=257618397"",""stock untanna!B:F""),5,false)"),"KY")</f>
        <v>KY</v>
      </c>
      <c r="I185" s="42">
        <f>IFERROR(__xludf.DUMMYFUNCTION("vlookup($D185,IMPORTRANGE(""https://docs.google.com/spreadsheets/d/1swGwZOEqYlTEUCJLY-eeJM1911Kvaei5oySBIxdgtNo/edit?pli=1#gid=257618397"",""stock untanna!B:G""),6,false)"),3122.0)</f>
        <v>3122</v>
      </c>
      <c r="J185" s="43" t="str">
        <f t="shared" si="1"/>
        <v>ADA</v>
      </c>
      <c r="K185" s="72">
        <v>8.0</v>
      </c>
      <c r="L185" s="53" t="s">
        <v>62</v>
      </c>
      <c r="M185" s="73">
        <v>35000.0</v>
      </c>
      <c r="N185" s="74"/>
      <c r="O185" s="73">
        <v>280000.0</v>
      </c>
      <c r="P185" s="46" t="str">
        <f t="shared" si="2"/>
        <v>Rp35,000-8 LSN-0.00%</v>
      </c>
      <c r="Q185" s="75">
        <v>45408.0</v>
      </c>
      <c r="R185" s="76"/>
      <c r="S185" s="75">
        <v>45418.0</v>
      </c>
      <c r="T185" s="49"/>
    </row>
    <row r="186">
      <c r="A186" s="69">
        <v>4323.0</v>
      </c>
      <c r="B186" s="69" t="s">
        <v>29</v>
      </c>
      <c r="C186" s="70" t="s">
        <v>155</v>
      </c>
      <c r="D186" s="50" t="s">
        <v>365</v>
      </c>
      <c r="E186" s="41" t="str">
        <f>IFERROR(__xludf.DUMMYFUNCTION("vlookup(D186,IMPORTRANGE(""https://docs.google.com/spreadsheets/d/1swGwZOEqYlTEUCJLY-eeJM1911Kvaei5oySBIxdgtNo/edit?pli=1#gid=257618397"",""stock untanna!B:C""),2,false)"),"GARISAN 30CM KAYAGI 3123")</f>
        <v>GARISAN 30CM KAYAGI 3123</v>
      </c>
      <c r="F186" s="70" t="s">
        <v>366</v>
      </c>
      <c r="G186" s="71" t="s">
        <v>367</v>
      </c>
      <c r="H186" s="41" t="str">
        <f>IFERROR(__xludf.DUMMYFUNCTION("vlookup($D186,IMPORTRANGE(""https://docs.google.com/spreadsheets/d/1swGwZOEqYlTEUCJLY-eeJM1911Kvaei5oySBIxdgtNo/edit?pli=1#gid=257618397"",""stock untanna!B:F""),5,false)"),"KY")</f>
        <v>KY</v>
      </c>
      <c r="I186" s="42" t="str">
        <f>IFERROR(__xludf.DUMMYFUNCTION("vlookup($D186,IMPORTRANGE(""https://docs.google.com/spreadsheets/d/1swGwZOEqYlTEUCJLY-eeJM1911Kvaei5oySBIxdgtNo/edit?pli=1#gid=257618397"",""stock untanna!B:G""),6,false)"),"3123")</f>
        <v>3123</v>
      </c>
      <c r="J186" s="43" t="str">
        <f t="shared" si="1"/>
        <v>ADA</v>
      </c>
      <c r="K186" s="72">
        <v>8.0</v>
      </c>
      <c r="L186" s="53" t="s">
        <v>62</v>
      </c>
      <c r="M186" s="73">
        <v>35000.0</v>
      </c>
      <c r="N186" s="74"/>
      <c r="O186" s="73">
        <v>280000.0</v>
      </c>
      <c r="P186" s="46" t="str">
        <f t="shared" si="2"/>
        <v>Rp35,000-8 LSN-0.00%</v>
      </c>
      <c r="Q186" s="75">
        <v>45408.0</v>
      </c>
      <c r="R186" s="76"/>
      <c r="S186" s="75">
        <v>45418.0</v>
      </c>
      <c r="T186" s="49"/>
    </row>
    <row r="187">
      <c r="A187" s="69">
        <v>4323.0</v>
      </c>
      <c r="B187" s="69" t="s">
        <v>29</v>
      </c>
      <c r="C187" s="70" t="s">
        <v>155</v>
      </c>
      <c r="D187" s="50" t="s">
        <v>368</v>
      </c>
      <c r="E187" s="41" t="str">
        <f>IFERROR(__xludf.DUMMYFUNCTION("vlookup(D187,IMPORTRANGE(""https://docs.google.com/spreadsheets/d/1swGwZOEqYlTEUCJLY-eeJM1911Kvaei5oySBIxdgtNo/edit?pli=1#gid=257618397"",""stock untanna!B:C""),2,false)"),"GARISAN 30CM KAYAGI 3121")</f>
        <v>GARISAN 30CM KAYAGI 3121</v>
      </c>
      <c r="F187" s="70" t="s">
        <v>369</v>
      </c>
      <c r="G187" s="71" t="s">
        <v>370</v>
      </c>
      <c r="H187" s="41" t="str">
        <f>IFERROR(__xludf.DUMMYFUNCTION("vlookup($D187,IMPORTRANGE(""https://docs.google.com/spreadsheets/d/1swGwZOEqYlTEUCJLY-eeJM1911Kvaei5oySBIxdgtNo/edit?pli=1#gid=257618397"",""stock untanna!B:F""),5,false)"),"KY")</f>
        <v>KY</v>
      </c>
      <c r="I187" s="42" t="str">
        <f>IFERROR(__xludf.DUMMYFUNCTION("vlookup($D187,IMPORTRANGE(""https://docs.google.com/spreadsheets/d/1swGwZOEqYlTEUCJLY-eeJM1911Kvaei5oySBIxdgtNo/edit?pli=1#gid=257618397"",""stock untanna!B:G""),6,false)"),"3121")</f>
        <v>3121</v>
      </c>
      <c r="J187" s="43" t="str">
        <f t="shared" si="1"/>
        <v>ADA</v>
      </c>
      <c r="K187" s="72">
        <v>8.0</v>
      </c>
      <c r="L187" s="53" t="s">
        <v>62</v>
      </c>
      <c r="M187" s="73">
        <v>35000.0</v>
      </c>
      <c r="N187" s="74"/>
      <c r="O187" s="73">
        <v>280000.0</v>
      </c>
      <c r="P187" s="46" t="str">
        <f t="shared" si="2"/>
        <v>Rp35,000-8 LSN-0.00%</v>
      </c>
      <c r="Q187" s="75">
        <v>45408.0</v>
      </c>
      <c r="R187" s="76"/>
      <c r="S187" s="75">
        <v>45418.0</v>
      </c>
      <c r="T187" s="49"/>
    </row>
    <row r="188">
      <c r="A188" s="69">
        <v>4323.0</v>
      </c>
      <c r="B188" s="69" t="s">
        <v>29</v>
      </c>
      <c r="C188" s="70" t="s">
        <v>155</v>
      </c>
      <c r="D188" s="21" t="s">
        <v>371</v>
      </c>
      <c r="E188" s="41" t="str">
        <f>IFERROR(__xludf.DUMMYFUNCTION("vlookup(D188,IMPORTRANGE(""https://docs.google.com/spreadsheets/d/1swGwZOEqYlTEUCJLY-eeJM1911Kvaei5oySBIxdgtNo/edit?pli=1#gid=257618397"",""stock untanna!B:C""),2,false)"),"GARISAN 30CM KAYAGI 3125")</f>
        <v>GARISAN 30CM KAYAGI 3125</v>
      </c>
      <c r="F188" s="70" t="s">
        <v>372</v>
      </c>
      <c r="G188" s="71" t="s">
        <v>373</v>
      </c>
      <c r="H188" s="41" t="str">
        <f>IFERROR(__xludf.DUMMYFUNCTION("vlookup($D188,IMPORTRANGE(""https://docs.google.com/spreadsheets/d/1swGwZOEqYlTEUCJLY-eeJM1911Kvaei5oySBIxdgtNo/edit?pli=1#gid=257618397"",""stock untanna!B:F""),5,false)"),"KY")</f>
        <v>KY</v>
      </c>
      <c r="I188" s="42" t="str">
        <f>IFERROR(__xludf.DUMMYFUNCTION("vlookup($D188,IMPORTRANGE(""https://docs.google.com/spreadsheets/d/1swGwZOEqYlTEUCJLY-eeJM1911Kvaei5oySBIxdgtNo/edit?pli=1#gid=257618397"",""stock untanna!B:G""),6,false)"),"3125")</f>
        <v>3125</v>
      </c>
      <c r="J188" s="43" t="str">
        <f t="shared" si="1"/>
        <v>ADA</v>
      </c>
      <c r="K188" s="72">
        <v>8.0</v>
      </c>
      <c r="L188" s="53" t="s">
        <v>62</v>
      </c>
      <c r="M188" s="73">
        <v>35000.0</v>
      </c>
      <c r="N188" s="74"/>
      <c r="O188" s="73">
        <v>280000.0</v>
      </c>
      <c r="P188" s="46" t="str">
        <f t="shared" si="2"/>
        <v>Rp35,000-8 LSN-0.00%</v>
      </c>
      <c r="Q188" s="75">
        <v>45408.0</v>
      </c>
      <c r="R188" s="76"/>
      <c r="S188" s="75">
        <v>45418.0</v>
      </c>
      <c r="T188" s="49"/>
    </row>
    <row r="189">
      <c r="A189" s="69">
        <v>4323.0</v>
      </c>
      <c r="B189" s="69" t="s">
        <v>29</v>
      </c>
      <c r="C189" s="70" t="s">
        <v>155</v>
      </c>
      <c r="D189" s="69" t="s">
        <v>374</v>
      </c>
      <c r="E189" s="41" t="str">
        <f>IFERROR(__xludf.DUMMYFUNCTION("vlookup(D189,IMPORTRANGE(""https://docs.google.com/spreadsheets/d/1swGwZOEqYlTEUCJLY-eeJM1911Kvaei5oySBIxdgtNo/edit?pli=1#gid=257618397"",""stock untanna!B:C""),2,false)"),"GARISAN TF 1989 LINGKARAN")</f>
        <v>GARISAN TF 1989 LINGKARAN</v>
      </c>
      <c r="F189" s="70" t="s">
        <v>374</v>
      </c>
      <c r="G189" s="71" t="s">
        <v>375</v>
      </c>
      <c r="H189" s="41" t="str">
        <f>IFERROR(__xludf.DUMMYFUNCTION("vlookup($D189,IMPORTRANGE(""https://docs.google.com/spreadsheets/d/1swGwZOEqYlTEUCJLY-eeJM1911Kvaei5oySBIxdgtNo/edit?pli=1#gid=257618397"",""stock untanna!B:F""),5,false)"),"TF")</f>
        <v>TF</v>
      </c>
      <c r="I189" s="42" t="str">
        <f>IFERROR(__xludf.DUMMYFUNCTION("vlookup($D189,IMPORTRANGE(""https://docs.google.com/spreadsheets/d/1swGwZOEqYlTEUCJLY-eeJM1911Kvaei5oySBIxdgtNo/edit?pli=1#gid=257618397"",""stock untanna!B:G""),6,false)"),"")</f>
        <v/>
      </c>
      <c r="J189" s="43" t="str">
        <f t="shared" si="1"/>
        <v>ADA</v>
      </c>
      <c r="K189" s="72">
        <v>2.0</v>
      </c>
      <c r="L189" s="53" t="s">
        <v>62</v>
      </c>
      <c r="M189" s="73">
        <v>17500.0</v>
      </c>
      <c r="N189" s="74"/>
      <c r="O189" s="73">
        <v>35000.0</v>
      </c>
      <c r="P189" s="46" t="str">
        <f t="shared" si="2"/>
        <v>Rp17,500-2 LSN-0.00%</v>
      </c>
      <c r="Q189" s="75">
        <v>45408.0</v>
      </c>
      <c r="R189" s="76"/>
      <c r="S189" s="75">
        <v>45418.0</v>
      </c>
      <c r="T189" s="49"/>
    </row>
    <row r="190">
      <c r="A190" s="69">
        <v>4323.0</v>
      </c>
      <c r="B190" s="69" t="s">
        <v>29</v>
      </c>
      <c r="C190" s="70" t="s">
        <v>155</v>
      </c>
      <c r="D190" s="69" t="s">
        <v>376</v>
      </c>
      <c r="E190" s="41" t="str">
        <f>IFERROR(__xludf.DUMMYFUNCTION("vlookup(D190,IMPORTRANGE(""https://docs.google.com/spreadsheets/d/1swGwZOEqYlTEUCJLY-eeJM1911Kvaei5oySBIxdgtNo/edit?pli=1#gid=257618397"",""stock untanna!B:C""),2,false)"),"GARISAN BUSUR TF 1991")</f>
        <v>GARISAN BUSUR TF 1991</v>
      </c>
      <c r="F190" s="70" t="s">
        <v>376</v>
      </c>
      <c r="G190" s="71" t="s">
        <v>377</v>
      </c>
      <c r="H190" s="41" t="str">
        <f>IFERROR(__xludf.DUMMYFUNCTION("vlookup($D190,IMPORTRANGE(""https://docs.google.com/spreadsheets/d/1swGwZOEqYlTEUCJLY-eeJM1911Kvaei5oySBIxdgtNo/edit?pli=1#gid=257618397"",""stock untanna!B:F""),5,false)"),"TF")</f>
        <v>TF</v>
      </c>
      <c r="I190" s="42" t="str">
        <f>IFERROR(__xludf.DUMMYFUNCTION("vlookup($D190,IMPORTRANGE(""https://docs.google.com/spreadsheets/d/1swGwZOEqYlTEUCJLY-eeJM1911Kvaei5oySBIxdgtNo/edit?pli=1#gid=257618397"",""stock untanna!B:G""),6,false)"),"")</f>
        <v/>
      </c>
      <c r="J190" s="43" t="str">
        <f t="shared" si="1"/>
        <v>ADA</v>
      </c>
      <c r="K190" s="72">
        <v>2.0</v>
      </c>
      <c r="L190" s="53" t="s">
        <v>62</v>
      </c>
      <c r="M190" s="73">
        <v>35000.0</v>
      </c>
      <c r="N190" s="74"/>
      <c r="O190" s="73">
        <v>70000.0</v>
      </c>
      <c r="P190" s="46" t="str">
        <f t="shared" si="2"/>
        <v>Rp35,000-2 LSN-0.00%</v>
      </c>
      <c r="Q190" s="75">
        <v>45408.0</v>
      </c>
      <c r="R190" s="76"/>
      <c r="S190" s="75">
        <v>45418.0</v>
      </c>
      <c r="T190" s="49"/>
    </row>
    <row r="191">
      <c r="A191" s="69">
        <v>4323.0</v>
      </c>
      <c r="B191" s="69" t="s">
        <v>29</v>
      </c>
      <c r="C191" s="70" t="s">
        <v>155</v>
      </c>
      <c r="D191" s="69" t="s">
        <v>378</v>
      </c>
      <c r="E191" s="41" t="str">
        <f>IFERROR(__xludf.DUMMYFUNCTION("vlookup(D191,IMPORTRANGE(""https://docs.google.com/spreadsheets/d/1swGwZOEqYlTEUCJLY-eeJM1911Kvaei5oySBIxdgtNo/edit?pli=1#gid=257618397"",""stock untanna!B:C""),2,false)"),"GARISAN TF 1992")</f>
        <v>GARISAN TF 1992</v>
      </c>
      <c r="F191" s="70" t="s">
        <v>378</v>
      </c>
      <c r="G191" s="71" t="s">
        <v>379</v>
      </c>
      <c r="H191" s="41" t="str">
        <f>IFERROR(__xludf.DUMMYFUNCTION("vlookup($D191,IMPORTRANGE(""https://docs.google.com/spreadsheets/d/1swGwZOEqYlTEUCJLY-eeJM1911Kvaei5oySBIxdgtNo/edit?pli=1#gid=257618397"",""stock untanna!B:F""),5,false)"),"TF")</f>
        <v>TF</v>
      </c>
      <c r="I191" s="42" t="str">
        <f>IFERROR(__xludf.DUMMYFUNCTION("vlookup($D191,IMPORTRANGE(""https://docs.google.com/spreadsheets/d/1swGwZOEqYlTEUCJLY-eeJM1911Kvaei5oySBIxdgtNo/edit?pli=1#gid=257618397"",""stock untanna!B:G""),6,false)"),"")</f>
        <v/>
      </c>
      <c r="J191" s="43" t="str">
        <f t="shared" si="1"/>
        <v>ADA</v>
      </c>
      <c r="K191" s="72">
        <v>2.0</v>
      </c>
      <c r="L191" s="53" t="s">
        <v>62</v>
      </c>
      <c r="M191" s="73">
        <v>47500.0</v>
      </c>
      <c r="N191" s="74"/>
      <c r="O191" s="73">
        <v>95000.0</v>
      </c>
      <c r="P191" s="46" t="str">
        <f t="shared" si="2"/>
        <v>Rp47,500-2 LSN-0.00%</v>
      </c>
      <c r="Q191" s="75">
        <v>45408.0</v>
      </c>
      <c r="R191" s="76"/>
      <c r="S191" s="75">
        <v>45418.0</v>
      </c>
      <c r="T191" s="49"/>
    </row>
    <row r="192">
      <c r="A192" s="69">
        <v>4323.0</v>
      </c>
      <c r="B192" s="69" t="s">
        <v>29</v>
      </c>
      <c r="C192" s="70" t="s">
        <v>155</v>
      </c>
      <c r="D192" s="69"/>
      <c r="E192" s="41" t="s">
        <v>380</v>
      </c>
      <c r="F192" s="70"/>
      <c r="G192" s="71" t="s">
        <v>380</v>
      </c>
      <c r="H192" s="41" t="str">
        <f>IFERROR(__xludf.DUMMYFUNCTION("vlookup($D192,IMPORTRANGE(""https://docs.google.com/spreadsheets/d/1swGwZOEqYlTEUCJLY-eeJM1911Kvaei5oySBIxdgtNo/edit?pli=1#gid=257618397"",""stock untanna!B:F""),5,false)"),"#N/A")</f>
        <v>#N/A</v>
      </c>
      <c r="I192" s="42" t="str">
        <f>IFERROR(__xludf.DUMMYFUNCTION("vlookup($D192,IMPORTRANGE(""https://docs.google.com/spreadsheets/d/1swGwZOEqYlTEUCJLY-eeJM1911Kvaei5oySBIxdgtNo/edit?pli=1#gid=257618397"",""stock untanna!B:G""),6,false)"),"#N/A")</f>
        <v>#N/A</v>
      </c>
      <c r="J192" s="43" t="str">
        <f t="shared" si="1"/>
        <v>TIDAK ADA</v>
      </c>
      <c r="K192" s="72">
        <v>2.0</v>
      </c>
      <c r="L192" s="53" t="s">
        <v>62</v>
      </c>
      <c r="M192" s="73">
        <v>25000.0</v>
      </c>
      <c r="N192" s="74"/>
      <c r="O192" s="73">
        <v>50000.0</v>
      </c>
      <c r="P192" s="46" t="str">
        <f t="shared" si="2"/>
        <v>Rp25,000-2 LSN-0.00%</v>
      </c>
      <c r="Q192" s="75">
        <v>45408.0</v>
      </c>
      <c r="R192" s="76"/>
      <c r="S192" s="75">
        <v>45418.0</v>
      </c>
      <c r="T192" s="49"/>
    </row>
    <row r="193">
      <c r="A193" s="69">
        <v>4323.0</v>
      </c>
      <c r="B193" s="69" t="s">
        <v>29</v>
      </c>
      <c r="C193" s="70" t="s">
        <v>155</v>
      </c>
      <c r="D193" s="69" t="s">
        <v>381</v>
      </c>
      <c r="E193" s="41" t="str">
        <f>IFERROR(__xludf.DUMMYFUNCTION("vlookup(D193,IMPORTRANGE(""https://docs.google.com/spreadsheets/d/1swGwZOEqYlTEUCJLY-eeJM1911Kvaei5oySBIxdgtNo/edit?pli=1#gid=257618397"",""stock untanna!B:C""),2,false)"),"GARISAN BUSUR TF 1988-180")</f>
        <v>GARISAN BUSUR TF 1988-180</v>
      </c>
      <c r="F193" s="70" t="s">
        <v>381</v>
      </c>
      <c r="G193" s="71" t="s">
        <v>382</v>
      </c>
      <c r="H193" s="41" t="str">
        <f>IFERROR(__xludf.DUMMYFUNCTION("vlookup($D193,IMPORTRANGE(""https://docs.google.com/spreadsheets/d/1swGwZOEqYlTEUCJLY-eeJM1911Kvaei5oySBIxdgtNo/edit?pli=1#gid=257618397"",""stock untanna!B:F""),5,false)"),"TF")</f>
        <v>TF</v>
      </c>
      <c r="I193" s="42" t="str">
        <f>IFERROR(__xludf.DUMMYFUNCTION("vlookup($D193,IMPORTRANGE(""https://docs.google.com/spreadsheets/d/1swGwZOEqYlTEUCJLY-eeJM1911Kvaei5oySBIxdgtNo/edit?pli=1#gid=257618397"",""stock untanna!B:G""),6,false)"),"1988-180")</f>
        <v>1988-180</v>
      </c>
      <c r="J193" s="43" t="str">
        <f t="shared" si="1"/>
        <v>ADA</v>
      </c>
      <c r="K193" s="72">
        <v>2.0</v>
      </c>
      <c r="L193" s="53" t="s">
        <v>62</v>
      </c>
      <c r="M193" s="73">
        <v>15000.0</v>
      </c>
      <c r="N193" s="74"/>
      <c r="O193" s="73">
        <v>30000.0</v>
      </c>
      <c r="P193" s="46" t="str">
        <f t="shared" si="2"/>
        <v>Rp15,000-2 LSN-0.00%</v>
      </c>
      <c r="Q193" s="75">
        <v>45408.0</v>
      </c>
      <c r="R193" s="76"/>
      <c r="S193" s="75">
        <v>45418.0</v>
      </c>
      <c r="T193" s="49"/>
    </row>
    <row r="194">
      <c r="A194" s="69">
        <v>4323.0</v>
      </c>
      <c r="B194" s="69" t="s">
        <v>29</v>
      </c>
      <c r="C194" s="70" t="s">
        <v>155</v>
      </c>
      <c r="D194" s="69" t="s">
        <v>383</v>
      </c>
      <c r="E194" s="41" t="str">
        <f>IFERROR(__xludf.DUMMYFUNCTION("vlookup(D194,IMPORTRANGE(""https://docs.google.com/spreadsheets/d/1swGwZOEqYlTEUCJLY-eeJM1911Kvaei5oySBIxdgtNo/edit?pli=1#gid=257618397"",""stock untanna!B:C""),2,false)"),"GARISAN BC-6018")</f>
        <v>GARISAN BC-6018</v>
      </c>
      <c r="F194" s="70" t="s">
        <v>383</v>
      </c>
      <c r="G194" s="71" t="s">
        <v>384</v>
      </c>
      <c r="H194" s="41" t="str">
        <f>IFERROR(__xludf.DUMMYFUNCTION("vlookup($D194,IMPORTRANGE(""https://docs.google.com/spreadsheets/d/1swGwZOEqYlTEUCJLY-eeJM1911Kvaei5oySBIxdgtNo/edit?pli=1#gid=257618397"",""stock untanna!B:F""),5,false)"),"IM")</f>
        <v>IM</v>
      </c>
      <c r="I194" s="42" t="str">
        <f>IFERROR(__xludf.DUMMYFUNCTION("vlookup($D194,IMPORTRANGE(""https://docs.google.com/spreadsheets/d/1swGwZOEqYlTEUCJLY-eeJM1911Kvaei5oySBIxdgtNo/edit?pli=1#gid=257618397"",""stock untanna!B:G""),6,false)"),"BC-6018")</f>
        <v>BC-6018</v>
      </c>
      <c r="J194" s="43" t="str">
        <f t="shared" si="1"/>
        <v>ADA</v>
      </c>
      <c r="K194" s="72">
        <v>50.0</v>
      </c>
      <c r="L194" s="53" t="s">
        <v>69</v>
      </c>
      <c r="M194" s="73">
        <v>4600.0</v>
      </c>
      <c r="N194" s="74"/>
      <c r="O194" s="73">
        <v>230000.0</v>
      </c>
      <c r="P194" s="46" t="str">
        <f t="shared" si="2"/>
        <v>Rp4,600-50 PCS-0.00%</v>
      </c>
      <c r="Q194" s="75">
        <v>45408.0</v>
      </c>
      <c r="R194" s="76"/>
      <c r="S194" s="75">
        <v>45418.0</v>
      </c>
      <c r="T194" s="49"/>
    </row>
    <row r="195">
      <c r="A195" s="69">
        <v>4323.0</v>
      </c>
      <c r="B195" s="69" t="s">
        <v>29</v>
      </c>
      <c r="C195" s="70" t="s">
        <v>155</v>
      </c>
      <c r="D195" s="69" t="s">
        <v>385</v>
      </c>
      <c r="E195" s="41" t="str">
        <f>IFERROR(__xludf.DUMMYFUNCTION("vlookup(D195,IMPORTRANGE(""https://docs.google.com/spreadsheets/d/1swGwZOEqYlTEUCJLY-eeJM1911Kvaei5oySBIxdgtNo/edit?pli=1#gid=257618397"",""stock untanna!B:C""),2,false)"),"GARISAN KM-8833")</f>
        <v>GARISAN KM-8833</v>
      </c>
      <c r="F195" s="70" t="s">
        <v>385</v>
      </c>
      <c r="G195" s="71" t="s">
        <v>386</v>
      </c>
      <c r="H195" s="41" t="str">
        <f>IFERROR(__xludf.DUMMYFUNCTION("vlookup($D195,IMPORTRANGE(""https://docs.google.com/spreadsheets/d/1swGwZOEqYlTEUCJLY-eeJM1911Kvaei5oySBIxdgtNo/edit?pli=1#gid=257618397"",""stock untanna!B:F""),5,false)"),"IM")</f>
        <v>IM</v>
      </c>
      <c r="I195" s="42" t="str">
        <f>IFERROR(__xludf.DUMMYFUNCTION("vlookup($D195,IMPORTRANGE(""https://docs.google.com/spreadsheets/d/1swGwZOEqYlTEUCJLY-eeJM1911Kvaei5oySBIxdgtNo/edit?pli=1#gid=257618397"",""stock untanna!B:G""),6,false)"),"")</f>
        <v/>
      </c>
      <c r="J195" s="43" t="str">
        <f t="shared" si="1"/>
        <v>ADA</v>
      </c>
      <c r="K195" s="72">
        <v>96.0</v>
      </c>
      <c r="L195" s="53" t="s">
        <v>69</v>
      </c>
      <c r="M195" s="73">
        <v>2500.0</v>
      </c>
      <c r="N195" s="74"/>
      <c r="O195" s="73">
        <v>240000.0</v>
      </c>
      <c r="P195" s="46" t="str">
        <f t="shared" si="2"/>
        <v>Rp2,500-96 PCS-0.00%</v>
      </c>
      <c r="Q195" s="75">
        <v>45408.0</v>
      </c>
      <c r="R195" s="76"/>
      <c r="S195" s="75">
        <v>45418.0</v>
      </c>
      <c r="T195" s="49"/>
    </row>
    <row r="196">
      <c r="A196" s="69">
        <v>4323.0</v>
      </c>
      <c r="B196" s="69" t="s">
        <v>29</v>
      </c>
      <c r="C196" s="70" t="s">
        <v>155</v>
      </c>
      <c r="D196" s="69" t="s">
        <v>387</v>
      </c>
      <c r="E196" s="41" t="str">
        <f>IFERROR(__xludf.DUMMYFUNCTION("vlookup(D196,IMPORTRANGE(""https://docs.google.com/spreadsheets/d/1swGwZOEqYlTEUCJLY-eeJM1911Kvaei5oySBIxdgtNo/edit?pli=1#gid=257618397"",""stock untanna!B:C""),2,false)"),"GARISAN ZH-243")</f>
        <v>GARISAN ZH-243</v>
      </c>
      <c r="F196" s="70" t="s">
        <v>387</v>
      </c>
      <c r="G196" s="71" t="s">
        <v>388</v>
      </c>
      <c r="H196" s="41" t="str">
        <f>IFERROR(__xludf.DUMMYFUNCTION("vlookup($D196,IMPORTRANGE(""https://docs.google.com/spreadsheets/d/1swGwZOEqYlTEUCJLY-eeJM1911Kvaei5oySBIxdgtNo/edit?pli=1#gid=257618397"",""stock untanna!B:F""),5,false)"),"IM")</f>
        <v>IM</v>
      </c>
      <c r="I196" s="42" t="str">
        <f>IFERROR(__xludf.DUMMYFUNCTION("vlookup($D196,IMPORTRANGE(""https://docs.google.com/spreadsheets/d/1swGwZOEqYlTEUCJLY-eeJM1911Kvaei5oySBIxdgtNo/edit?pli=1#gid=257618397"",""stock untanna!B:G""),6,false)"),"")</f>
        <v/>
      </c>
      <c r="J196" s="43" t="str">
        <f t="shared" si="1"/>
        <v>ADA</v>
      </c>
      <c r="K196" s="72">
        <v>100.0</v>
      </c>
      <c r="L196" s="53" t="s">
        <v>69</v>
      </c>
      <c r="M196" s="73">
        <v>1600.0</v>
      </c>
      <c r="N196" s="74"/>
      <c r="O196" s="73">
        <v>160000.0</v>
      </c>
      <c r="P196" s="46" t="str">
        <f t="shared" si="2"/>
        <v>Rp1,600-100 PCS-0.00%</v>
      </c>
      <c r="Q196" s="75">
        <v>45408.0</v>
      </c>
      <c r="R196" s="76"/>
      <c r="S196" s="75">
        <v>45418.0</v>
      </c>
      <c r="T196" s="49"/>
    </row>
    <row r="197">
      <c r="A197" s="69">
        <v>4323.0</v>
      </c>
      <c r="B197" s="69" t="s">
        <v>29</v>
      </c>
      <c r="C197" s="70" t="s">
        <v>155</v>
      </c>
      <c r="D197" s="69" t="s">
        <v>389</v>
      </c>
      <c r="E197" s="41" t="str">
        <f>IFERROR(__xludf.DUMMYFUNCTION("vlookup(D197,IMPORTRANGE(""https://docs.google.com/spreadsheets/d/1swGwZOEqYlTEUCJLY-eeJM1911Kvaei5oySBIxdgtNo/edit?pli=1#gid=257618397"",""stock untanna!B:C""),2,false)"),"GARISAN ZH-251 20 CM")</f>
        <v>GARISAN ZH-251 20 CM</v>
      </c>
      <c r="F197" s="70" t="s">
        <v>389</v>
      </c>
      <c r="G197" s="71" t="s">
        <v>390</v>
      </c>
      <c r="H197" s="41" t="str">
        <f>IFERROR(__xludf.DUMMYFUNCTION("vlookup($D197,IMPORTRANGE(""https://docs.google.com/spreadsheets/d/1swGwZOEqYlTEUCJLY-eeJM1911Kvaei5oySBIxdgtNo/edit?pli=1#gid=257618397"",""stock untanna!B:F""),5,false)"),"IM")</f>
        <v>IM</v>
      </c>
      <c r="I197" s="42" t="str">
        <f>IFERROR(__xludf.DUMMYFUNCTION("vlookup($D197,IMPORTRANGE(""https://docs.google.com/spreadsheets/d/1swGwZOEqYlTEUCJLY-eeJM1911Kvaei5oySBIxdgtNo/edit?pli=1#gid=257618397"",""stock untanna!B:G""),6,false)"),"ZH-251")</f>
        <v>ZH-251</v>
      </c>
      <c r="J197" s="43" t="str">
        <f t="shared" si="1"/>
        <v>ADA</v>
      </c>
      <c r="K197" s="72">
        <v>160.0</v>
      </c>
      <c r="L197" s="53" t="s">
        <v>69</v>
      </c>
      <c r="M197" s="73">
        <v>1600.0</v>
      </c>
      <c r="N197" s="74"/>
      <c r="O197" s="73">
        <v>256000.0</v>
      </c>
      <c r="P197" s="46" t="str">
        <f t="shared" si="2"/>
        <v>Rp1,600-160 PCS-0.00%</v>
      </c>
      <c r="Q197" s="75">
        <v>45408.0</v>
      </c>
      <c r="R197" s="76"/>
      <c r="S197" s="75">
        <v>45418.0</v>
      </c>
      <c r="T197" s="49"/>
    </row>
    <row r="198">
      <c r="A198" s="69">
        <v>4323.0</v>
      </c>
      <c r="B198" s="69" t="s">
        <v>29</v>
      </c>
      <c r="C198" s="70" t="s">
        <v>155</v>
      </c>
      <c r="D198" s="69"/>
      <c r="E198" s="41" t="s">
        <v>391</v>
      </c>
      <c r="F198" s="70"/>
      <c r="G198" s="71" t="s">
        <v>391</v>
      </c>
      <c r="H198" s="41" t="str">
        <f>IFERROR(__xludf.DUMMYFUNCTION("vlookup($D198,IMPORTRANGE(""https://docs.google.com/spreadsheets/d/1swGwZOEqYlTEUCJLY-eeJM1911Kvaei5oySBIxdgtNo/edit?pli=1#gid=257618397"",""stock untanna!B:F""),5,false)"),"#N/A")</f>
        <v>#N/A</v>
      </c>
      <c r="I198" s="42" t="str">
        <f>IFERROR(__xludf.DUMMYFUNCTION("vlookup($D198,IMPORTRANGE(""https://docs.google.com/spreadsheets/d/1swGwZOEqYlTEUCJLY-eeJM1911Kvaei5oySBIxdgtNo/edit?pli=1#gid=257618397"",""stock untanna!B:G""),6,false)"),"#N/A")</f>
        <v>#N/A</v>
      </c>
      <c r="J198" s="43" t="str">
        <f t="shared" si="1"/>
        <v>TIDAK ADA</v>
      </c>
      <c r="K198" s="72">
        <v>5.0</v>
      </c>
      <c r="L198" s="53" t="s">
        <v>62</v>
      </c>
      <c r="M198" s="73">
        <v>60000.0</v>
      </c>
      <c r="N198" s="74"/>
      <c r="O198" s="73">
        <v>300000.0</v>
      </c>
      <c r="P198" s="46" t="str">
        <f t="shared" si="2"/>
        <v>Rp60,000-5 LSN-0.00%</v>
      </c>
      <c r="Q198" s="75">
        <v>45408.0</v>
      </c>
      <c r="R198" s="76"/>
      <c r="S198" s="75">
        <v>45418.0</v>
      </c>
      <c r="T198" s="49"/>
    </row>
    <row r="199">
      <c r="A199" s="69">
        <v>4323.0</v>
      </c>
      <c r="B199" s="69" t="s">
        <v>29</v>
      </c>
      <c r="C199" s="70" t="s">
        <v>155</v>
      </c>
      <c r="D199" s="69"/>
      <c r="E199" s="41" t="s">
        <v>392</v>
      </c>
      <c r="F199" s="70"/>
      <c r="G199" s="71" t="s">
        <v>392</v>
      </c>
      <c r="H199" s="41" t="str">
        <f>IFERROR(__xludf.DUMMYFUNCTION("vlookup($D199,IMPORTRANGE(""https://docs.google.com/spreadsheets/d/1swGwZOEqYlTEUCJLY-eeJM1911Kvaei5oySBIxdgtNo/edit?pli=1#gid=257618397"",""stock untanna!B:F""),5,false)"),"#N/A")</f>
        <v>#N/A</v>
      </c>
      <c r="I199" s="42" t="str">
        <f>IFERROR(__xludf.DUMMYFUNCTION("vlookup($D199,IMPORTRANGE(""https://docs.google.com/spreadsheets/d/1swGwZOEqYlTEUCJLY-eeJM1911Kvaei5oySBIxdgtNo/edit?pli=1#gid=257618397"",""stock untanna!B:G""),6,false)"),"#N/A")</f>
        <v>#N/A</v>
      </c>
      <c r="J199" s="43" t="str">
        <f t="shared" si="1"/>
        <v>TIDAK ADA</v>
      </c>
      <c r="K199" s="72">
        <v>10.0</v>
      </c>
      <c r="L199" s="53" t="s">
        <v>62</v>
      </c>
      <c r="M199" s="73">
        <v>70000.0</v>
      </c>
      <c r="N199" s="74"/>
      <c r="O199" s="73">
        <v>700000.0</v>
      </c>
      <c r="P199" s="46" t="str">
        <f t="shared" si="2"/>
        <v>Rp70,000-10 LSN-0.00%</v>
      </c>
      <c r="Q199" s="75">
        <v>45408.0</v>
      </c>
      <c r="R199" s="76"/>
      <c r="S199" s="75">
        <v>45418.0</v>
      </c>
      <c r="T199" s="49"/>
    </row>
    <row r="200">
      <c r="A200" s="69">
        <v>4324.0</v>
      </c>
      <c r="B200" s="69" t="s">
        <v>29</v>
      </c>
      <c r="C200" s="70" t="s">
        <v>155</v>
      </c>
      <c r="D200" s="69" t="s">
        <v>393</v>
      </c>
      <c r="E200" s="41" t="str">
        <f>IFERROR(__xludf.DUMMYFUNCTION("vlookup(D200,IMPORTRANGE(""https://docs.google.com/spreadsheets/d/1swGwZOEqYlTEUCJLY-eeJM1911Kvaei5oySBIxdgtNo/edit?pli=1#gid=257618397"",""stock untanna!B:C""),2,false)"),"GARISAN ZH-248 ")</f>
        <v>GARISAN ZH-248 </v>
      </c>
      <c r="F200" s="70" t="s">
        <v>393</v>
      </c>
      <c r="G200" s="71" t="s">
        <v>394</v>
      </c>
      <c r="H200" s="41" t="str">
        <f>IFERROR(__xludf.DUMMYFUNCTION("vlookup($D200,IMPORTRANGE(""https://docs.google.com/spreadsheets/d/1swGwZOEqYlTEUCJLY-eeJM1911Kvaei5oySBIxdgtNo/edit?pli=1#gid=257618397"",""stock untanna!B:F""),5,false)"),"IM")</f>
        <v>IM</v>
      </c>
      <c r="I200" s="42" t="str">
        <f>IFERROR(__xludf.DUMMYFUNCTION("vlookup($D200,IMPORTRANGE(""https://docs.google.com/spreadsheets/d/1swGwZOEqYlTEUCJLY-eeJM1911Kvaei5oySBIxdgtNo/edit?pli=1#gid=257618397"",""stock untanna!B:G""),6,false)"),"ZH-248")</f>
        <v>ZH-248</v>
      </c>
      <c r="J200" s="43" t="str">
        <f t="shared" si="1"/>
        <v>ADA</v>
      </c>
      <c r="K200" s="72">
        <v>96.0</v>
      </c>
      <c r="L200" s="53" t="s">
        <v>69</v>
      </c>
      <c r="M200" s="73">
        <v>1600.0</v>
      </c>
      <c r="N200" s="74"/>
      <c r="O200" s="73">
        <v>153600.0</v>
      </c>
      <c r="P200" s="46" t="str">
        <f t="shared" si="2"/>
        <v>Rp1,600-96 PCS-0.00%</v>
      </c>
      <c r="Q200" s="75">
        <v>45408.0</v>
      </c>
      <c r="R200" s="76"/>
      <c r="S200" s="75">
        <v>45418.0</v>
      </c>
      <c r="T200" s="49"/>
    </row>
    <row r="201">
      <c r="A201" s="69">
        <v>4324.0</v>
      </c>
      <c r="B201" s="69" t="s">
        <v>29</v>
      </c>
      <c r="C201" s="70" t="s">
        <v>155</v>
      </c>
      <c r="D201" s="50" t="s">
        <v>395</v>
      </c>
      <c r="E201" s="41" t="str">
        <f>IFERROR(__xludf.DUMMYFUNCTION("vlookup(D201,IMPORTRANGE(""https://docs.google.com/spreadsheets/d/1swGwZOEqYlTEUCJLY-eeJM1911Kvaei5oySBIxdgtNo/edit?pli=1#gid=257618397"",""stock untanna!B:C""),2,false)"),"GARISAN SABLON 430")</f>
        <v>GARISAN SABLON 430</v>
      </c>
      <c r="F201" s="70" t="s">
        <v>396</v>
      </c>
      <c r="G201" s="71" t="s">
        <v>397</v>
      </c>
      <c r="H201" s="41" t="str">
        <f>IFERROR(__xludf.DUMMYFUNCTION("vlookup($D201,IMPORTRANGE(""https://docs.google.com/spreadsheets/d/1swGwZOEqYlTEUCJLY-eeJM1911Kvaei5oySBIxdgtNo/edit?pli=1#gid=257618397"",""stock untanna!B:F""),5,false)"),"NB")</f>
        <v>NB</v>
      </c>
      <c r="I201" s="42">
        <f>IFERROR(__xludf.DUMMYFUNCTION("vlookup($D201,IMPORTRANGE(""https://docs.google.com/spreadsheets/d/1swGwZOEqYlTEUCJLY-eeJM1911Kvaei5oySBIxdgtNo/edit?pli=1#gid=257618397"",""stock untanna!B:G""),6,false)"),430.0)</f>
        <v>430</v>
      </c>
      <c r="J201" s="43" t="str">
        <f t="shared" si="1"/>
        <v>ADA</v>
      </c>
      <c r="K201" s="72">
        <v>1.0</v>
      </c>
      <c r="L201" s="53" t="s">
        <v>62</v>
      </c>
      <c r="M201" s="73">
        <v>105000.0</v>
      </c>
      <c r="N201" s="74"/>
      <c r="O201" s="73">
        <v>105000.0</v>
      </c>
      <c r="P201" s="46" t="str">
        <f t="shared" si="2"/>
        <v>Rp105,000-1 LSN-0.00%</v>
      </c>
      <c r="Q201" s="75">
        <v>45408.0</v>
      </c>
      <c r="R201" s="76"/>
      <c r="S201" s="75">
        <v>45418.0</v>
      </c>
      <c r="T201" s="49"/>
    </row>
    <row r="202">
      <c r="A202" s="69">
        <v>4324.0</v>
      </c>
      <c r="B202" s="69" t="s">
        <v>29</v>
      </c>
      <c r="C202" s="70" t="s">
        <v>155</v>
      </c>
      <c r="D202" s="69" t="s">
        <v>398</v>
      </c>
      <c r="E202" s="41" t="str">
        <f>IFERROR(__xludf.DUMMYFUNCTION("vlookup(D202,IMPORTRANGE(""https://docs.google.com/spreadsheets/d/1swGwZOEqYlTEUCJLY-eeJM1911Kvaei5oySBIxdgtNo/edit?pli=1#gid=257618397"",""stock untanna!B:C""),2,false)"),"GUNTING TREND SS")</f>
        <v>GUNTING TREND SS</v>
      </c>
      <c r="F202" s="70" t="s">
        <v>398</v>
      </c>
      <c r="G202" s="71" t="s">
        <v>399</v>
      </c>
      <c r="H202" s="41" t="str">
        <f>IFERROR(__xludf.DUMMYFUNCTION("vlookup($D202,IMPORTRANGE(""https://docs.google.com/spreadsheets/d/1swGwZOEqYlTEUCJLY-eeJM1911Kvaei5oySBIxdgtNo/edit?pli=1#gid=257618397"",""stock untanna!B:F""),5,false)"),"TR")</f>
        <v>TR</v>
      </c>
      <c r="I202" s="42" t="str">
        <f>IFERROR(__xludf.DUMMYFUNCTION("vlookup($D202,IMPORTRANGE(""https://docs.google.com/spreadsheets/d/1swGwZOEqYlTEUCJLY-eeJM1911Kvaei5oySBIxdgtNo/edit?pli=1#gid=257618397"",""stock untanna!B:G""),6,false)"),"SS")</f>
        <v>SS</v>
      </c>
      <c r="J202" s="43" t="str">
        <f t="shared" si="1"/>
        <v>ADA</v>
      </c>
      <c r="K202" s="72">
        <v>2.0</v>
      </c>
      <c r="L202" s="53" t="s">
        <v>62</v>
      </c>
      <c r="M202" s="73">
        <v>32500.0</v>
      </c>
      <c r="N202" s="74"/>
      <c r="O202" s="73">
        <v>65000.0</v>
      </c>
      <c r="P202" s="46" t="str">
        <f t="shared" si="2"/>
        <v>Rp32,500-2 LSN-0.00%</v>
      </c>
      <c r="Q202" s="75">
        <v>45408.0</v>
      </c>
      <c r="R202" s="76"/>
      <c r="S202" s="75">
        <v>45418.0</v>
      </c>
      <c r="T202" s="49"/>
    </row>
    <row r="203">
      <c r="A203" s="69">
        <v>4324.0</v>
      </c>
      <c r="B203" s="69" t="s">
        <v>29</v>
      </c>
      <c r="C203" s="70" t="s">
        <v>155</v>
      </c>
      <c r="D203" s="69" t="s">
        <v>400</v>
      </c>
      <c r="E203" s="41" t="str">
        <f>IFERROR(__xludf.DUMMYFUNCTION("vlookup(D203,IMPORTRANGE(""https://docs.google.com/spreadsheets/d/1swGwZOEqYlTEUCJLY-eeJM1911Kvaei5oySBIxdgtNo/edit?pli=1#gid=257618397"",""stock untanna!B:C""),2,false)"),"GUNTING TREND LL")</f>
        <v>GUNTING TREND LL</v>
      </c>
      <c r="F203" s="70" t="s">
        <v>400</v>
      </c>
      <c r="G203" s="71" t="s">
        <v>401</v>
      </c>
      <c r="H203" s="41" t="str">
        <f>IFERROR(__xludf.DUMMYFUNCTION("vlookup($D203,IMPORTRANGE(""https://docs.google.com/spreadsheets/d/1swGwZOEqYlTEUCJLY-eeJM1911Kvaei5oySBIxdgtNo/edit?pli=1#gid=257618397"",""stock untanna!B:F""),5,false)"),"TR")</f>
        <v>TR</v>
      </c>
      <c r="I203" s="42" t="str">
        <f>IFERROR(__xludf.DUMMYFUNCTION("vlookup($D203,IMPORTRANGE(""https://docs.google.com/spreadsheets/d/1swGwZOEqYlTEUCJLY-eeJM1911Kvaei5oySBIxdgtNo/edit?pli=1#gid=257618397"",""stock untanna!B:G""),6,false)"),"LL")</f>
        <v>LL</v>
      </c>
      <c r="J203" s="43" t="str">
        <f t="shared" si="1"/>
        <v>ADA</v>
      </c>
      <c r="K203" s="72">
        <v>2.0</v>
      </c>
      <c r="L203" s="53" t="s">
        <v>62</v>
      </c>
      <c r="M203" s="73">
        <v>42500.0</v>
      </c>
      <c r="N203" s="74"/>
      <c r="O203" s="73">
        <v>85000.0</v>
      </c>
      <c r="P203" s="46" t="str">
        <f t="shared" si="2"/>
        <v>Rp42,500-2 LSN-0.00%</v>
      </c>
      <c r="Q203" s="75">
        <v>45408.0</v>
      </c>
      <c r="R203" s="76"/>
      <c r="S203" s="75">
        <v>45418.0</v>
      </c>
      <c r="T203" s="49"/>
    </row>
    <row r="204">
      <c r="A204" s="69">
        <v>4324.0</v>
      </c>
      <c r="B204" s="69" t="s">
        <v>29</v>
      </c>
      <c r="C204" s="70" t="s">
        <v>155</v>
      </c>
      <c r="D204" s="50" t="s">
        <v>402</v>
      </c>
      <c r="E204" s="41" t="str">
        <f>IFERROR(__xludf.DUMMYFUNCTION("vlookup(D204,IMPORTRANGE(""https://docs.google.com/spreadsheets/d/1swGwZOEqYlTEUCJLY-eeJM1911Kvaei5oySBIxdgtNo/edit?pli=1#gid=257618397"",""stock untanna!B:C""),2,false)"),"GUNTING TREND XL ")</f>
        <v>GUNTING TREND XL </v>
      </c>
      <c r="F204" s="70" t="s">
        <v>403</v>
      </c>
      <c r="G204" s="71" t="s">
        <v>404</v>
      </c>
      <c r="H204" s="41" t="str">
        <f>IFERROR(__xludf.DUMMYFUNCTION("vlookup($D204,IMPORTRANGE(""https://docs.google.com/spreadsheets/d/1swGwZOEqYlTEUCJLY-eeJM1911Kvaei5oySBIxdgtNo/edit?pli=1#gid=257618397"",""stock untanna!B:F""),5,false)"),"TR")</f>
        <v>TR</v>
      </c>
      <c r="I204" s="42" t="str">
        <f>IFERROR(__xludf.DUMMYFUNCTION("vlookup($D204,IMPORTRANGE(""https://docs.google.com/spreadsheets/d/1swGwZOEqYlTEUCJLY-eeJM1911Kvaei5oySBIxdgtNo/edit?pli=1#gid=257618397"",""stock untanna!B:G""),6,false)"),"")</f>
        <v/>
      </c>
      <c r="J204" s="43" t="str">
        <f t="shared" si="1"/>
        <v>ADA</v>
      </c>
      <c r="K204" s="72">
        <v>2.0</v>
      </c>
      <c r="L204" s="53" t="s">
        <v>62</v>
      </c>
      <c r="M204" s="73">
        <v>52500.0</v>
      </c>
      <c r="N204" s="74"/>
      <c r="O204" s="73">
        <v>105000.0</v>
      </c>
      <c r="P204" s="46" t="str">
        <f t="shared" si="2"/>
        <v>Rp52,500-2 LSN-0.00%</v>
      </c>
      <c r="Q204" s="75">
        <v>45408.0</v>
      </c>
      <c r="R204" s="76"/>
      <c r="S204" s="75">
        <v>45418.0</v>
      </c>
      <c r="T204" s="49"/>
    </row>
    <row r="205">
      <c r="A205" s="69">
        <v>4324.0</v>
      </c>
      <c r="B205" s="69" t="s">
        <v>29</v>
      </c>
      <c r="C205" s="70" t="s">
        <v>155</v>
      </c>
      <c r="D205" s="50" t="s">
        <v>405</v>
      </c>
      <c r="E205" s="41" t="str">
        <f>IFERROR(__xludf.DUMMYFUNCTION("vlookup(D205,IMPORTRANGE(""https://docs.google.com/spreadsheets/d/1swGwZOEqYlTEUCJLY-eeJM1911Kvaei5oySBIxdgtNo/edit?pli=1#gid=257618397"",""stock untanna!B:C""),2,false)"),"GUNTING STAINLESS SQ 05 B HITAM")</f>
        <v>GUNTING STAINLESS SQ 05 B HITAM</v>
      </c>
      <c r="F205" s="70" t="s">
        <v>406</v>
      </c>
      <c r="G205" s="71" t="s">
        <v>407</v>
      </c>
      <c r="H205" s="41" t="str">
        <f>IFERROR(__xludf.DUMMYFUNCTION("vlookup($D205,IMPORTRANGE(""https://docs.google.com/spreadsheets/d/1swGwZOEqYlTEUCJLY-eeJM1911Kvaei5oySBIxdgtNo/edit?pli=1#gid=257618397"",""stock untanna!B:F""),5,false)"),"NB")</f>
        <v>NB</v>
      </c>
      <c r="I205" s="42" t="str">
        <f>IFERROR(__xludf.DUMMYFUNCTION("vlookup($D205,IMPORTRANGE(""https://docs.google.com/spreadsheets/d/1swGwZOEqYlTEUCJLY-eeJM1911Kvaei5oySBIxdgtNo/edit?pli=1#gid=257618397"",""stock untanna!B:G""),6,false)"),"SQ 05 B")</f>
        <v>SQ 05 B</v>
      </c>
      <c r="J205" s="43" t="str">
        <f t="shared" si="1"/>
        <v>ADA</v>
      </c>
      <c r="K205" s="72">
        <v>2.0</v>
      </c>
      <c r="L205" s="53" t="s">
        <v>62</v>
      </c>
      <c r="M205" s="73">
        <v>45000.0</v>
      </c>
      <c r="N205" s="74"/>
      <c r="O205" s="73">
        <v>90000.0</v>
      </c>
      <c r="P205" s="46" t="str">
        <f t="shared" si="2"/>
        <v>Rp45,000-2 LSN-0.00%</v>
      </c>
      <c r="Q205" s="75">
        <v>45408.0</v>
      </c>
      <c r="R205" s="76"/>
      <c r="S205" s="75">
        <v>45418.0</v>
      </c>
      <c r="T205" s="49"/>
    </row>
    <row r="206">
      <c r="A206" s="69">
        <v>4324.0</v>
      </c>
      <c r="B206" s="69" t="s">
        <v>29</v>
      </c>
      <c r="C206" s="70" t="s">
        <v>155</v>
      </c>
      <c r="D206" s="69" t="s">
        <v>408</v>
      </c>
      <c r="E206" s="41" t="str">
        <f>IFERROR(__xludf.DUMMYFUNCTION("vlookup(D206,IMPORTRANGE(""https://docs.google.com/spreadsheets/d/1swGwZOEqYlTEUCJLY-eeJM1911Kvaei5oySBIxdgtNo/edit?pli=1#gid=257618397"",""stock untanna!B:C""),2,false)"),"GUNTING IDEAL DR 5")</f>
        <v>GUNTING IDEAL DR 5</v>
      </c>
      <c r="F206" s="70" t="s">
        <v>408</v>
      </c>
      <c r="G206" s="71" t="s">
        <v>409</v>
      </c>
      <c r="H206" s="41" t="str">
        <f>IFERROR(__xludf.DUMMYFUNCTION("vlookup($D206,IMPORTRANGE(""https://docs.google.com/spreadsheets/d/1swGwZOEqYlTEUCJLY-eeJM1911Kvaei5oySBIxdgtNo/edit?pli=1#gid=257618397"",""stock untanna!B:F""),5,false)"),"ID")</f>
        <v>ID</v>
      </c>
      <c r="I206" s="42" t="str">
        <f>IFERROR(__xludf.DUMMYFUNCTION("vlookup($D206,IMPORTRANGE(""https://docs.google.com/spreadsheets/d/1swGwZOEqYlTEUCJLY-eeJM1911Kvaei5oySBIxdgtNo/edit?pli=1#gid=257618397"",""stock untanna!B:G""),6,false)"),"DR-5")</f>
        <v>DR-5</v>
      </c>
      <c r="J206" s="43" t="str">
        <f t="shared" si="1"/>
        <v>ADA</v>
      </c>
      <c r="K206" s="72">
        <v>2.0</v>
      </c>
      <c r="L206" s="53" t="s">
        <v>62</v>
      </c>
      <c r="M206" s="73">
        <v>60000.0</v>
      </c>
      <c r="N206" s="74"/>
      <c r="O206" s="73">
        <v>120000.0</v>
      </c>
      <c r="P206" s="46" t="str">
        <f t="shared" si="2"/>
        <v>Rp60,000-2 LSN-0.00%</v>
      </c>
      <c r="Q206" s="75">
        <v>45408.0</v>
      </c>
      <c r="R206" s="76"/>
      <c r="S206" s="75">
        <v>45418.0</v>
      </c>
      <c r="T206" s="49"/>
    </row>
    <row r="207">
      <c r="A207" s="69">
        <v>4324.0</v>
      </c>
      <c r="B207" s="69" t="s">
        <v>29</v>
      </c>
      <c r="C207" s="70" t="s">
        <v>155</v>
      </c>
      <c r="D207" s="69" t="s">
        <v>410</v>
      </c>
      <c r="E207" s="41" t="str">
        <f>IFERROR(__xludf.DUMMYFUNCTION("vlookup(D207,IMPORTRANGE(""https://docs.google.com/spreadsheets/d/1swGwZOEqYlTEUCJLY-eeJM1911Kvaei5oySBIxdgtNo/edit?pli=1#gid=257618397"",""stock untanna!B:C""),2,false)"),"GUNTING GUNINDO MM GU03")</f>
        <v>GUNTING GUNINDO MM GU03</v>
      </c>
      <c r="F207" s="70" t="s">
        <v>410</v>
      </c>
      <c r="G207" s="71" t="s">
        <v>411</v>
      </c>
      <c r="H207" s="41" t="str">
        <f>IFERROR(__xludf.DUMMYFUNCTION("vlookup($D207,IMPORTRANGE(""https://docs.google.com/spreadsheets/d/1swGwZOEqYlTEUCJLY-eeJM1911Kvaei5oySBIxdgtNo/edit?pli=1#gid=257618397"",""stock untanna!B:F""),5,false)"),"GN")</f>
        <v>GN</v>
      </c>
      <c r="I207" s="42" t="str">
        <f>IFERROR(__xludf.DUMMYFUNCTION("vlookup($D207,IMPORTRANGE(""https://docs.google.com/spreadsheets/d/1swGwZOEqYlTEUCJLY-eeJM1911Kvaei5oySBIxdgtNo/edit?pli=1#gid=257618397"",""stock untanna!B:G""),6,false)"),"GU03")</f>
        <v>GU03</v>
      </c>
      <c r="J207" s="43" t="str">
        <f t="shared" si="1"/>
        <v>ADA</v>
      </c>
      <c r="K207" s="72">
        <v>2.0</v>
      </c>
      <c r="L207" s="53" t="s">
        <v>62</v>
      </c>
      <c r="M207" s="73">
        <v>65000.0</v>
      </c>
      <c r="N207" s="74"/>
      <c r="O207" s="73">
        <v>130000.0</v>
      </c>
      <c r="P207" s="46" t="str">
        <f t="shared" si="2"/>
        <v>Rp65,000-2 LSN-0.00%</v>
      </c>
      <c r="Q207" s="75">
        <v>45408.0</v>
      </c>
      <c r="R207" s="76"/>
      <c r="S207" s="75">
        <v>45418.0</v>
      </c>
      <c r="T207" s="49"/>
    </row>
    <row r="208">
      <c r="A208" s="69">
        <v>4324.0</v>
      </c>
      <c r="B208" s="69" t="s">
        <v>29</v>
      </c>
      <c r="C208" s="70" t="s">
        <v>155</v>
      </c>
      <c r="D208" s="69" t="s">
        <v>412</v>
      </c>
      <c r="E208" s="41" t="str">
        <f>IFERROR(__xludf.DUMMYFUNCTION("vlookup(D208,IMPORTRANGE(""https://docs.google.com/spreadsheets/d/1swGwZOEqYlTEUCJLY-eeJM1911Kvaei5oySBIxdgtNo/edit?pli=1#gid=257618397"",""stock untanna!B:C""),2,false)"),"GUNTING TREND MM")</f>
        <v>GUNTING TREND MM</v>
      </c>
      <c r="F208" s="70" t="s">
        <v>412</v>
      </c>
      <c r="G208" s="71" t="s">
        <v>413</v>
      </c>
      <c r="H208" s="41" t="str">
        <f>IFERROR(__xludf.DUMMYFUNCTION("vlookup($D208,IMPORTRANGE(""https://docs.google.com/spreadsheets/d/1swGwZOEqYlTEUCJLY-eeJM1911Kvaei5oySBIxdgtNo/edit?pli=1#gid=257618397"",""stock untanna!B:F""),5,false)"),"TR")</f>
        <v>TR</v>
      </c>
      <c r="I208" s="42" t="str">
        <f>IFERROR(__xludf.DUMMYFUNCTION("vlookup($D208,IMPORTRANGE(""https://docs.google.com/spreadsheets/d/1swGwZOEqYlTEUCJLY-eeJM1911Kvaei5oySBIxdgtNo/edit?pli=1#gid=257618397"",""stock untanna!B:G""),6,false)"),"MM")</f>
        <v>MM</v>
      </c>
      <c r="J208" s="43" t="str">
        <f t="shared" si="1"/>
        <v>ADA</v>
      </c>
      <c r="K208" s="72">
        <v>2.0</v>
      </c>
      <c r="L208" s="53" t="s">
        <v>62</v>
      </c>
      <c r="M208" s="73">
        <v>40000.0</v>
      </c>
      <c r="N208" s="74"/>
      <c r="O208" s="73">
        <v>80000.0</v>
      </c>
      <c r="P208" s="46" t="str">
        <f t="shared" si="2"/>
        <v>Rp40,000-2 LSN-0.00%</v>
      </c>
      <c r="Q208" s="75">
        <v>45408.0</v>
      </c>
      <c r="R208" s="76"/>
      <c r="S208" s="75">
        <v>45418.0</v>
      </c>
      <c r="T208" s="49"/>
    </row>
    <row r="209">
      <c r="A209" s="69">
        <v>4324.0</v>
      </c>
      <c r="B209" s="69" t="s">
        <v>29</v>
      </c>
      <c r="C209" s="70" t="s">
        <v>155</v>
      </c>
      <c r="D209" s="50" t="s">
        <v>414</v>
      </c>
      <c r="E209" s="41" t="str">
        <f>IFERROR(__xludf.DUMMYFUNCTION("vlookup(D209,IMPORTRANGE(""https://docs.google.com/spreadsheets/d/1swGwZOEqYlTEUCJLY-eeJM1911Kvaei5oySBIxdgtNo/edit?pli=1#gid=257618397"",""stock untanna!B:C""),2,false)"),"GUNTING STAINLESS SQUEZZY SQ06C WARNA")</f>
        <v>GUNTING STAINLESS SQUEZZY SQ06C WARNA</v>
      </c>
      <c r="F209" s="70" t="s">
        <v>415</v>
      </c>
      <c r="G209" s="78" t="s">
        <v>416</v>
      </c>
      <c r="H209" s="41" t="str">
        <f>IFERROR(__xludf.DUMMYFUNCTION("vlookup($D209,IMPORTRANGE(""https://docs.google.com/spreadsheets/d/1swGwZOEqYlTEUCJLY-eeJM1911Kvaei5oySBIxdgtNo/edit?pli=1#gid=257618397"",""stock untanna!B:F""),5,false)"),"NB")</f>
        <v>NB</v>
      </c>
      <c r="I209" s="42" t="str">
        <f>IFERROR(__xludf.DUMMYFUNCTION("vlookup($D209,IMPORTRANGE(""https://docs.google.com/spreadsheets/d/1swGwZOEqYlTEUCJLY-eeJM1911Kvaei5oySBIxdgtNo/edit?pli=1#gid=257618397"",""stock untanna!B:G""),6,false)"),"SQ06C")</f>
        <v>SQ06C</v>
      </c>
      <c r="J209" s="43" t="str">
        <f t="shared" si="1"/>
        <v>ADA</v>
      </c>
      <c r="K209" s="72">
        <v>24.0</v>
      </c>
      <c r="L209" s="53" t="s">
        <v>69</v>
      </c>
      <c r="M209" s="73">
        <v>3542.0</v>
      </c>
      <c r="N209" s="74"/>
      <c r="O209" s="73">
        <v>85008.0</v>
      </c>
      <c r="P209" s="46" t="str">
        <f t="shared" si="2"/>
        <v>Rp3,542-24 PCS-0.00%</v>
      </c>
      <c r="Q209" s="75">
        <v>45408.0</v>
      </c>
      <c r="R209" s="76"/>
      <c r="S209" s="75">
        <v>45418.0</v>
      </c>
      <c r="T209" s="49"/>
    </row>
    <row r="210">
      <c r="A210" s="69">
        <v>4324.0</v>
      </c>
      <c r="B210" s="69" t="s">
        <v>29</v>
      </c>
      <c r="C210" s="70" t="s">
        <v>155</v>
      </c>
      <c r="D210" s="21" t="s">
        <v>405</v>
      </c>
      <c r="E210" s="41" t="str">
        <f>IFERROR(__xludf.DUMMYFUNCTION("vlookup(D210,IMPORTRANGE(""https://docs.google.com/spreadsheets/d/1swGwZOEqYlTEUCJLY-eeJM1911Kvaei5oySBIxdgtNo/edit?pli=1#gid=257618397"",""stock untanna!B:C""),2,false)"),"GUNTING STAINLESS SQ 05 B HITAM")</f>
        <v>GUNTING STAINLESS SQ 05 B HITAM</v>
      </c>
      <c r="F210" s="70" t="s">
        <v>406</v>
      </c>
      <c r="G210" s="71" t="s">
        <v>407</v>
      </c>
      <c r="H210" s="41" t="str">
        <f>IFERROR(__xludf.DUMMYFUNCTION("vlookup($D210,IMPORTRANGE(""https://docs.google.com/spreadsheets/d/1swGwZOEqYlTEUCJLY-eeJM1911Kvaei5oySBIxdgtNo/edit?pli=1#gid=257618397"",""stock untanna!B:F""),5,false)"),"NB")</f>
        <v>NB</v>
      </c>
      <c r="I210" s="42" t="str">
        <f>IFERROR(__xludf.DUMMYFUNCTION("vlookup($D210,IMPORTRANGE(""https://docs.google.com/spreadsheets/d/1swGwZOEqYlTEUCJLY-eeJM1911Kvaei5oySBIxdgtNo/edit?pli=1#gid=257618397"",""stock untanna!B:G""),6,false)"),"SQ 05 B")</f>
        <v>SQ 05 B</v>
      </c>
      <c r="J210" s="43" t="str">
        <f t="shared" si="1"/>
        <v>ADA</v>
      </c>
      <c r="K210" s="72">
        <v>2.0</v>
      </c>
      <c r="L210" s="53" t="s">
        <v>62</v>
      </c>
      <c r="M210" s="73">
        <v>75000.0</v>
      </c>
      <c r="N210" s="74"/>
      <c r="O210" s="73">
        <v>150000.0</v>
      </c>
      <c r="P210" s="46" t="str">
        <f t="shared" si="2"/>
        <v>Rp75,000-2 LSN-0.00%</v>
      </c>
      <c r="Q210" s="75">
        <v>45408.0</v>
      </c>
      <c r="R210" s="76"/>
      <c r="S210" s="75">
        <v>45418.0</v>
      </c>
      <c r="T210" s="49"/>
    </row>
    <row r="211">
      <c r="A211" s="69">
        <v>4324.0</v>
      </c>
      <c r="B211" s="69" t="s">
        <v>29</v>
      </c>
      <c r="C211" s="70" t="s">
        <v>155</v>
      </c>
      <c r="D211" s="69" t="s">
        <v>417</v>
      </c>
      <c r="E211" s="41" t="str">
        <f>IFERROR(__xludf.DUMMYFUNCTION("vlookup(D211,IMPORTRANGE(""https://docs.google.com/spreadsheets/d/1swGwZOEqYlTEUCJLY-eeJM1911Kvaei5oySBIxdgtNo/edit?pli=1#gid=257618397"",""stock untanna!B:C""),2,false)"),"GUNTING DAVIS DVL 6")</f>
        <v>GUNTING DAVIS DVL 6</v>
      </c>
      <c r="F211" s="70" t="s">
        <v>417</v>
      </c>
      <c r="G211" s="71" t="s">
        <v>418</v>
      </c>
      <c r="H211" s="41" t="str">
        <f>IFERROR(__xludf.DUMMYFUNCTION("vlookup($D211,IMPORTRANGE(""https://docs.google.com/spreadsheets/d/1swGwZOEqYlTEUCJLY-eeJM1911Kvaei5oySBIxdgtNo/edit?pli=1#gid=257618397"",""stock untanna!B:F""),5,false)"),"DV")</f>
        <v>DV</v>
      </c>
      <c r="I211" s="42" t="str">
        <f>IFERROR(__xludf.DUMMYFUNCTION("vlookup($D211,IMPORTRANGE(""https://docs.google.com/spreadsheets/d/1swGwZOEqYlTEUCJLY-eeJM1911Kvaei5oySBIxdgtNo/edit?pli=1#gid=257618397"",""stock untanna!B:G""),6,false)"),"DUL 6")</f>
        <v>DUL 6</v>
      </c>
      <c r="J211" s="43" t="str">
        <f t="shared" si="1"/>
        <v>ADA</v>
      </c>
      <c r="K211" s="72">
        <v>2.0</v>
      </c>
      <c r="L211" s="53" t="s">
        <v>62</v>
      </c>
      <c r="M211" s="73">
        <v>47500.0</v>
      </c>
      <c r="N211" s="74"/>
      <c r="O211" s="73">
        <v>95000.0</v>
      </c>
      <c r="P211" s="46" t="str">
        <f t="shared" si="2"/>
        <v>Rp47,500-2 LSN-0.00%</v>
      </c>
      <c r="Q211" s="75">
        <v>45408.0</v>
      </c>
      <c r="R211" s="76"/>
      <c r="S211" s="75">
        <v>45418.0</v>
      </c>
      <c r="T211" s="49"/>
    </row>
    <row r="212">
      <c r="A212" s="69">
        <v>4324.0</v>
      </c>
      <c r="B212" s="69" t="s">
        <v>29</v>
      </c>
      <c r="C212" s="70" t="s">
        <v>155</v>
      </c>
      <c r="D212" s="69" t="s">
        <v>419</v>
      </c>
      <c r="E212" s="41" t="str">
        <f>IFERROR(__xludf.DUMMYFUNCTION("vlookup(D212,IMPORTRANGE(""https://docs.google.com/spreadsheets/d/1swGwZOEqYlTEUCJLY-eeJM1911Kvaei5oySBIxdgtNo/edit?pli=1#gid=257618397"",""stock untanna!B:C""),2,false)"),"BP GEL ZUI XUA HY-1020 HITAM")</f>
        <v>BP GEL ZUI XUA HY-1020 HITAM</v>
      </c>
      <c r="F212" s="70" t="s">
        <v>419</v>
      </c>
      <c r="G212" s="71" t="s">
        <v>420</v>
      </c>
      <c r="H212" s="41" t="str">
        <f>IFERROR(__xludf.DUMMYFUNCTION("vlookup($D212,IMPORTRANGE(""https://docs.google.com/spreadsheets/d/1swGwZOEqYlTEUCJLY-eeJM1911Kvaei5oySBIxdgtNo/edit?pli=1#gid=257618397"",""stock untanna!B:F""),5,false)"),"ZX")</f>
        <v>ZX</v>
      </c>
      <c r="I212" s="42" t="str">
        <f>IFERROR(__xludf.DUMMYFUNCTION("vlookup($D212,IMPORTRANGE(""https://docs.google.com/spreadsheets/d/1swGwZOEqYlTEUCJLY-eeJM1911Kvaei5oySBIxdgtNo/edit?pli=1#gid=257618397"",""stock untanna!B:G""),6,false)"),"HY-1020")</f>
        <v>HY-1020</v>
      </c>
      <c r="J212" s="43" t="str">
        <f t="shared" si="1"/>
        <v>ADA</v>
      </c>
      <c r="K212" s="72">
        <v>24.0</v>
      </c>
      <c r="L212" s="53" t="s">
        <v>62</v>
      </c>
      <c r="M212" s="73">
        <v>18500.0</v>
      </c>
      <c r="N212" s="74"/>
      <c r="O212" s="73">
        <v>444000.0</v>
      </c>
      <c r="P212" s="46" t="str">
        <f t="shared" si="2"/>
        <v>Rp18,500-24 LSN-0.00%</v>
      </c>
      <c r="Q212" s="75">
        <v>45408.0</v>
      </c>
      <c r="R212" s="76"/>
      <c r="S212" s="75">
        <v>45418.0</v>
      </c>
      <c r="T212" s="49"/>
    </row>
    <row r="213">
      <c r="A213" s="69">
        <v>4324.0</v>
      </c>
      <c r="B213" s="69" t="s">
        <v>29</v>
      </c>
      <c r="C213" s="70" t="s">
        <v>155</v>
      </c>
      <c r="D213" s="69" t="s">
        <v>421</v>
      </c>
      <c r="E213" s="41" t="str">
        <f>IFERROR(__xludf.DUMMYFUNCTION("vlookup(D213,IMPORTRANGE(""https://docs.google.com/spreadsheets/d/1swGwZOEqYlTEUCJLY-eeJM1911Kvaei5oySBIxdgtNo/edit?pli=1#gid=257618397"",""stock untanna!B:C""),2,false)"),"BP GEL ZUI ZHUA HY-1020 BIRU")</f>
        <v>BP GEL ZUI ZHUA HY-1020 BIRU</v>
      </c>
      <c r="F213" s="70" t="s">
        <v>421</v>
      </c>
      <c r="G213" s="71" t="s">
        <v>422</v>
      </c>
      <c r="H213" s="41" t="str">
        <f>IFERROR(__xludf.DUMMYFUNCTION("vlookup($D213,IMPORTRANGE(""https://docs.google.com/spreadsheets/d/1swGwZOEqYlTEUCJLY-eeJM1911Kvaei5oySBIxdgtNo/edit?pli=1#gid=257618397"",""stock untanna!B:F""),5,false)"),"ZZ")</f>
        <v>ZZ</v>
      </c>
      <c r="I213" s="42" t="str">
        <f>IFERROR(__xludf.DUMMYFUNCTION("vlookup($D213,IMPORTRANGE(""https://docs.google.com/spreadsheets/d/1swGwZOEqYlTEUCJLY-eeJM1911Kvaei5oySBIxdgtNo/edit?pli=1#gid=257618397"",""stock untanna!B:G""),6,false)"),"HY-1020")</f>
        <v>HY-1020</v>
      </c>
      <c r="J213" s="43" t="str">
        <f t="shared" si="1"/>
        <v>ADA</v>
      </c>
      <c r="K213" s="72">
        <v>12.0</v>
      </c>
      <c r="L213" s="53" t="s">
        <v>62</v>
      </c>
      <c r="M213" s="73">
        <v>18500.0</v>
      </c>
      <c r="N213" s="74"/>
      <c r="O213" s="73">
        <v>222000.0</v>
      </c>
      <c r="P213" s="46" t="str">
        <f t="shared" si="2"/>
        <v>Rp18,500-12 LSN-0.00%</v>
      </c>
      <c r="Q213" s="75">
        <v>45408.0</v>
      </c>
      <c r="R213" s="76"/>
      <c r="S213" s="75">
        <v>45418.0</v>
      </c>
      <c r="T213" s="49"/>
    </row>
    <row r="214">
      <c r="A214" s="69">
        <v>4324.0</v>
      </c>
      <c r="B214" s="69" t="s">
        <v>29</v>
      </c>
      <c r="C214" s="70" t="s">
        <v>155</v>
      </c>
      <c r="D214" s="69" t="s">
        <v>423</v>
      </c>
      <c r="E214" s="41" t="str">
        <f>IFERROR(__xludf.DUMMYFUNCTION("vlookup(D214,IMPORTRANGE(""https://docs.google.com/spreadsheets/d/1swGwZOEqYlTEUCJLY-eeJM1911Kvaei5oySBIxdgtNo/edit?pli=1#gid=257618397"",""stock untanna!B:C""),2,false)"),"BP GEL ZUI XUA HY-1020 MERAH")</f>
        <v>BP GEL ZUI XUA HY-1020 MERAH</v>
      </c>
      <c r="F214" s="70" t="s">
        <v>423</v>
      </c>
      <c r="G214" s="71" t="s">
        <v>424</v>
      </c>
      <c r="H214" s="41" t="str">
        <f>IFERROR(__xludf.DUMMYFUNCTION("vlookup($D214,IMPORTRANGE(""https://docs.google.com/spreadsheets/d/1swGwZOEqYlTEUCJLY-eeJM1911Kvaei5oySBIxdgtNo/edit?pli=1#gid=257618397"",""stock untanna!B:F""),5,false)"),"ZX")</f>
        <v>ZX</v>
      </c>
      <c r="I214" s="42" t="str">
        <f>IFERROR(__xludf.DUMMYFUNCTION("vlookup($D214,IMPORTRANGE(""https://docs.google.com/spreadsheets/d/1swGwZOEqYlTEUCJLY-eeJM1911Kvaei5oySBIxdgtNo/edit?pli=1#gid=257618397"",""stock untanna!B:G""),6,false)"),"HY-1020")</f>
        <v>HY-1020</v>
      </c>
      <c r="J214" s="43" t="str">
        <f t="shared" si="1"/>
        <v>ADA</v>
      </c>
      <c r="K214" s="72">
        <v>12.0</v>
      </c>
      <c r="L214" s="53" t="s">
        <v>62</v>
      </c>
      <c r="M214" s="73">
        <v>18500.0</v>
      </c>
      <c r="N214" s="74"/>
      <c r="O214" s="73">
        <v>222000.0</v>
      </c>
      <c r="P214" s="46" t="str">
        <f t="shared" si="2"/>
        <v>Rp18,500-12 LSN-0.00%</v>
      </c>
      <c r="Q214" s="75">
        <v>45408.0</v>
      </c>
      <c r="R214" s="76"/>
      <c r="S214" s="75">
        <v>45418.0</v>
      </c>
      <c r="T214" s="49"/>
    </row>
    <row r="215">
      <c r="A215" s="69">
        <v>4324.0</v>
      </c>
      <c r="B215" s="69" t="s">
        <v>29</v>
      </c>
      <c r="C215" s="70" t="s">
        <v>155</v>
      </c>
      <c r="D215" s="69"/>
      <c r="E215" s="41" t="s">
        <v>135</v>
      </c>
      <c r="F215" s="70"/>
      <c r="G215" s="71" t="s">
        <v>135</v>
      </c>
      <c r="H215" s="41" t="str">
        <f>IFERROR(__xludf.DUMMYFUNCTION("vlookup($D215,IMPORTRANGE(""https://docs.google.com/spreadsheets/d/1swGwZOEqYlTEUCJLY-eeJM1911Kvaei5oySBIxdgtNo/edit?pli=1#gid=257618397"",""stock untanna!B:F""),5,false)"),"#N/A")</f>
        <v>#N/A</v>
      </c>
      <c r="I215" s="42" t="str">
        <f>IFERROR(__xludf.DUMMYFUNCTION("vlookup($D215,IMPORTRANGE(""https://docs.google.com/spreadsheets/d/1swGwZOEqYlTEUCJLY-eeJM1911Kvaei5oySBIxdgtNo/edit?pli=1#gid=257618397"",""stock untanna!B:G""),6,false)"),"#N/A")</f>
        <v>#N/A</v>
      </c>
      <c r="J215" s="43" t="str">
        <f t="shared" si="1"/>
        <v>TIDAK ADA</v>
      </c>
      <c r="K215" s="72">
        <v>1.0</v>
      </c>
      <c r="L215" s="53" t="s">
        <v>131</v>
      </c>
      <c r="M215" s="73">
        <v>110000.0</v>
      </c>
      <c r="N215" s="74"/>
      <c r="O215" s="73">
        <v>110000.0</v>
      </c>
      <c r="P215" s="46" t="str">
        <f t="shared" si="2"/>
        <v>Rp110,000-1 GRS-0.00%</v>
      </c>
      <c r="Q215" s="75">
        <v>45408.0</v>
      </c>
      <c r="R215" s="76"/>
      <c r="S215" s="75">
        <v>45418.0</v>
      </c>
      <c r="T215" s="49"/>
    </row>
    <row r="216">
      <c r="A216" s="69">
        <v>4325.0</v>
      </c>
      <c r="B216" s="69" t="s">
        <v>29</v>
      </c>
      <c r="C216" s="70" t="s">
        <v>155</v>
      </c>
      <c r="D216" s="50" t="s">
        <v>425</v>
      </c>
      <c r="E216" s="41" t="str">
        <f>IFERROR(__xludf.DUMMYFUNCTION("vlookup(D216,IMPORTRANGE(""https://docs.google.com/spreadsheets/d/1swGwZOEqYlTEUCJLY-eeJM1911Kvaei5oySBIxdgtNo/edit?pli=1#gid=257618397"",""stock untanna!B:C""),2,false)"),"GARISAN BT NO 15 SEGITIGA")</f>
        <v>GARISAN BT NO 15 SEGITIGA</v>
      </c>
      <c r="F216" s="70" t="s">
        <v>426</v>
      </c>
      <c r="G216" s="71" t="s">
        <v>427</v>
      </c>
      <c r="H216" s="41" t="str">
        <f>IFERROR(__xludf.DUMMYFUNCTION("vlookup($D216,IMPORTRANGE(""https://docs.google.com/spreadsheets/d/1swGwZOEqYlTEUCJLY-eeJM1911Kvaei5oySBIxdgtNo/edit?pli=1#gid=257618397"",""stock untanna!B:F""),5,false)"),"BT")</f>
        <v>BT</v>
      </c>
      <c r="I216" s="42">
        <f>IFERROR(__xludf.DUMMYFUNCTION("vlookup($D216,IMPORTRANGE(""https://docs.google.com/spreadsheets/d/1swGwZOEqYlTEUCJLY-eeJM1911Kvaei5oySBIxdgtNo/edit?pli=1#gid=257618397"",""stock untanna!B:G""),6,false)"),5.0)</f>
        <v>5</v>
      </c>
      <c r="J216" s="43" t="str">
        <f t="shared" si="1"/>
        <v>ADA</v>
      </c>
      <c r="K216" s="72">
        <v>1.0</v>
      </c>
      <c r="L216" s="53" t="s">
        <v>62</v>
      </c>
      <c r="M216" s="73">
        <v>325000.0</v>
      </c>
      <c r="N216" s="74"/>
      <c r="O216" s="73">
        <v>325000.0</v>
      </c>
      <c r="P216" s="46" t="str">
        <f t="shared" si="2"/>
        <v>Rp325,000-1 LSN-0.00%</v>
      </c>
      <c r="Q216" s="75">
        <v>45408.0</v>
      </c>
      <c r="R216" s="76"/>
      <c r="S216" s="75">
        <v>45418.0</v>
      </c>
      <c r="T216" s="49"/>
    </row>
    <row r="217">
      <c r="A217" s="69">
        <v>4325.0</v>
      </c>
      <c r="B217" s="69" t="s">
        <v>29</v>
      </c>
      <c r="C217" s="70" t="s">
        <v>155</v>
      </c>
      <c r="D217" s="69" t="s">
        <v>428</v>
      </c>
      <c r="E217" s="41" t="str">
        <f>IFERROR(__xludf.DUMMYFUNCTION("vlookup(D217,IMPORTRANGE(""https://docs.google.com/spreadsheets/d/1swGwZOEqYlTEUCJLY-eeJM1911Kvaei5oySBIxdgtNo/edit?pli=1#gid=257618397"",""stock untanna!B:C""),2,false)"),"CAT ACRYLIC TF 001")</f>
        <v>CAT ACRYLIC TF 001</v>
      </c>
      <c r="F217" s="70" t="s">
        <v>428</v>
      </c>
      <c r="G217" s="71" t="s">
        <v>429</v>
      </c>
      <c r="H217" s="41" t="str">
        <f>IFERROR(__xludf.DUMMYFUNCTION("vlookup($D217,IMPORTRANGE(""https://docs.google.com/spreadsheets/d/1swGwZOEqYlTEUCJLY-eeJM1911Kvaei5oySBIxdgtNo/edit?pli=1#gid=257618397"",""stock untanna!B:F""),5,false)"),"TF")</f>
        <v>TF</v>
      </c>
      <c r="I217" s="42" t="str">
        <f>IFERROR(__xludf.DUMMYFUNCTION("vlookup($D217,IMPORTRANGE(""https://docs.google.com/spreadsheets/d/1swGwZOEqYlTEUCJLY-eeJM1911Kvaei5oySBIxdgtNo/edit?pli=1#gid=257618397"",""stock untanna!B:G""),6,false)"),"001")</f>
        <v>001</v>
      </c>
      <c r="J217" s="43" t="str">
        <f t="shared" si="1"/>
        <v>ADA</v>
      </c>
      <c r="K217" s="72">
        <v>1.0</v>
      </c>
      <c r="L217" s="53" t="s">
        <v>62</v>
      </c>
      <c r="M217" s="73">
        <v>262500.0</v>
      </c>
      <c r="N217" s="74"/>
      <c r="O217" s="73">
        <v>262500.0</v>
      </c>
      <c r="P217" s="46" t="str">
        <f t="shared" si="2"/>
        <v>Rp262,500-1 LSN-0.00%</v>
      </c>
      <c r="Q217" s="75">
        <v>45408.0</v>
      </c>
      <c r="R217" s="76"/>
      <c r="S217" s="75">
        <v>45418.0</v>
      </c>
      <c r="T217" s="49"/>
    </row>
    <row r="218">
      <c r="A218" s="69">
        <v>4325.0</v>
      </c>
      <c r="B218" s="69" t="s">
        <v>29</v>
      </c>
      <c r="C218" s="70" t="s">
        <v>155</v>
      </c>
      <c r="D218" s="69" t="s">
        <v>430</v>
      </c>
      <c r="E218" s="41" t="str">
        <f>IFERROR(__xludf.DUMMYFUNCTION("vlookup(D218,IMPORTRANGE(""https://docs.google.com/spreadsheets/d/1swGwZOEqYlTEUCJLY-eeJM1911Kvaei5oySBIxdgtNo/edit?pli=1#gid=257618397"",""stock untanna!B:C""),2,false)"),"CAT ACRYLIC COLOUR TF AC-006M METALIC")</f>
        <v>CAT ACRYLIC COLOUR TF AC-006M METALIC</v>
      </c>
      <c r="F218" s="70" t="s">
        <v>430</v>
      </c>
      <c r="G218" s="78" t="s">
        <v>431</v>
      </c>
      <c r="H218" s="41" t="str">
        <f>IFERROR(__xludf.DUMMYFUNCTION("vlookup($D218,IMPORTRANGE(""https://docs.google.com/spreadsheets/d/1swGwZOEqYlTEUCJLY-eeJM1911Kvaei5oySBIxdgtNo/edit?pli=1#gid=257618397"",""stock untanna!B:F""),5,false)"),"TF")</f>
        <v>TF</v>
      </c>
      <c r="I218" s="42" t="str">
        <f>IFERROR(__xludf.DUMMYFUNCTION("vlookup($D218,IMPORTRANGE(""https://docs.google.com/spreadsheets/d/1swGwZOEqYlTEUCJLY-eeJM1911Kvaei5oySBIxdgtNo/edit?pli=1#gid=257618397"",""stock untanna!B:G""),6,false)"),"AC-006M")</f>
        <v>AC-006M</v>
      </c>
      <c r="J218" s="43" t="str">
        <f t="shared" si="1"/>
        <v>ADA</v>
      </c>
      <c r="K218" s="72">
        <v>1.0</v>
      </c>
      <c r="L218" s="53" t="s">
        <v>62</v>
      </c>
      <c r="M218" s="73">
        <v>325000.0</v>
      </c>
      <c r="N218" s="74"/>
      <c r="O218" s="73">
        <v>325000.0</v>
      </c>
      <c r="P218" s="46" t="str">
        <f t="shared" si="2"/>
        <v>Rp325,000-1 LSN-0.00%</v>
      </c>
      <c r="Q218" s="75">
        <v>45408.0</v>
      </c>
      <c r="R218" s="76"/>
      <c r="S218" s="75">
        <v>45418.0</v>
      </c>
      <c r="T218" s="49"/>
    </row>
    <row r="219">
      <c r="A219" s="69">
        <v>4325.0</v>
      </c>
      <c r="B219" s="69" t="s">
        <v>29</v>
      </c>
      <c r="C219" s="70" t="s">
        <v>155</v>
      </c>
      <c r="D219" s="69" t="s">
        <v>432</v>
      </c>
      <c r="E219" s="41" t="str">
        <f>IFERROR(__xludf.DUMMYFUNCTION("vlookup(D219,IMPORTRANGE(""https://docs.google.com/spreadsheets/d/1swGwZOEqYlTEUCJLY-eeJM1911Kvaei5oySBIxdgtNo/edit?pli=1#gid=257618397"",""stock untanna!B:C""),2,false)"),"CAT ACRYLIC COLOUR TF AC-005P PASTEL")</f>
        <v>CAT ACRYLIC COLOUR TF AC-005P PASTEL</v>
      </c>
      <c r="F219" s="70" t="s">
        <v>432</v>
      </c>
      <c r="G219" s="78" t="s">
        <v>433</v>
      </c>
      <c r="H219" s="41" t="str">
        <f>IFERROR(__xludf.DUMMYFUNCTION("vlookup($D219,IMPORTRANGE(""https://docs.google.com/spreadsheets/d/1swGwZOEqYlTEUCJLY-eeJM1911Kvaei5oySBIxdgtNo/edit?pli=1#gid=257618397"",""stock untanna!B:F""),5,false)"),"TF")</f>
        <v>TF</v>
      </c>
      <c r="I219" s="42" t="str">
        <f>IFERROR(__xludf.DUMMYFUNCTION("vlookup($D219,IMPORTRANGE(""https://docs.google.com/spreadsheets/d/1swGwZOEqYlTEUCJLY-eeJM1911Kvaei5oySBIxdgtNo/edit?pli=1#gid=257618397"",""stock untanna!B:G""),6,false)"),"AC-005P")</f>
        <v>AC-005P</v>
      </c>
      <c r="J219" s="43" t="str">
        <f t="shared" si="1"/>
        <v>ADA</v>
      </c>
      <c r="K219" s="72">
        <v>1.0</v>
      </c>
      <c r="L219" s="53" t="s">
        <v>62</v>
      </c>
      <c r="M219" s="73">
        <v>300000.0</v>
      </c>
      <c r="N219" s="74"/>
      <c r="O219" s="73">
        <v>300000.0</v>
      </c>
      <c r="P219" s="46" t="str">
        <f t="shared" si="2"/>
        <v>Rp300,000-1 LSN-0.00%</v>
      </c>
      <c r="Q219" s="75">
        <v>45408.0</v>
      </c>
      <c r="R219" s="76"/>
      <c r="S219" s="75">
        <v>45418.0</v>
      </c>
      <c r="T219" s="49"/>
    </row>
    <row r="220">
      <c r="A220" s="69">
        <v>4325.0</v>
      </c>
      <c r="B220" s="69" t="s">
        <v>29</v>
      </c>
      <c r="C220" s="70" t="s">
        <v>155</v>
      </c>
      <c r="D220" s="69" t="s">
        <v>143</v>
      </c>
      <c r="E220" s="41" t="str">
        <f>IFERROR(__xludf.DUMMYFUNCTION("vlookup(D220,IMPORTRANGE(""https://docs.google.com/spreadsheets/d/1swGwZOEqYlTEUCJLY-eeJM1911Kvaei5oySBIxdgtNo/edit?pli=1#gid=257618397"",""stock untanna!B:C""),2,false)"),"BP GEL DTIAN 923 ")</f>
        <v>BP GEL DTIAN 923 </v>
      </c>
      <c r="F220" s="70" t="s">
        <v>143</v>
      </c>
      <c r="G220" s="71" t="s">
        <v>144</v>
      </c>
      <c r="H220" s="41" t="str">
        <f>IFERROR(__xludf.DUMMYFUNCTION("vlookup($D220,IMPORTRANGE(""https://docs.google.com/spreadsheets/d/1swGwZOEqYlTEUCJLY-eeJM1911Kvaei5oySBIxdgtNo/edit?pli=1#gid=257618397"",""stock untanna!B:F""),5,false)"),"IM")</f>
        <v>IM</v>
      </c>
      <c r="I220" s="42" t="str">
        <f>IFERROR(__xludf.DUMMYFUNCTION("vlookup($D220,IMPORTRANGE(""https://docs.google.com/spreadsheets/d/1swGwZOEqYlTEUCJLY-eeJM1911Kvaei5oySBIxdgtNo/edit?pli=1#gid=257618397"",""stock untanna!B:G""),6,false)"),"DT 923")</f>
        <v>DT 923</v>
      </c>
      <c r="J220" s="43" t="str">
        <f t="shared" si="1"/>
        <v>ADA</v>
      </c>
      <c r="K220" s="72">
        <v>6.0</v>
      </c>
      <c r="L220" s="53" t="s">
        <v>62</v>
      </c>
      <c r="M220" s="73">
        <v>13000.0</v>
      </c>
      <c r="N220" s="74"/>
      <c r="O220" s="73">
        <v>78000.0</v>
      </c>
      <c r="P220" s="46" t="str">
        <f t="shared" si="2"/>
        <v>Rp13,000-6 LSN-0.00%</v>
      </c>
      <c r="Q220" s="75">
        <v>45408.0</v>
      </c>
      <c r="R220" s="76"/>
      <c r="S220" s="75">
        <v>45418.0</v>
      </c>
      <c r="T220" s="49"/>
    </row>
    <row r="221">
      <c r="A221" s="69">
        <v>4325.0</v>
      </c>
      <c r="B221" s="69" t="s">
        <v>29</v>
      </c>
      <c r="C221" s="70" t="s">
        <v>155</v>
      </c>
      <c r="D221" s="69" t="s">
        <v>434</v>
      </c>
      <c r="E221" s="41" t="str">
        <f>IFERROR(__xludf.DUMMYFUNCTION("vlookup(D221,IMPORTRANGE(""https://docs.google.com/spreadsheets/d/1swGwZOEqYlTEUCJLY-eeJM1911Kvaei5oySBIxdgtNo/edit?pli=1#gid=257618397"",""stock untanna!B:C""),2,false)"),"BP GEL DTIAN 8801")</f>
        <v>BP GEL DTIAN 8801</v>
      </c>
      <c r="F221" s="70" t="s">
        <v>434</v>
      </c>
      <c r="G221" s="71" t="s">
        <v>435</v>
      </c>
      <c r="H221" s="41" t="str">
        <f>IFERROR(__xludf.DUMMYFUNCTION("vlookup($D221,IMPORTRANGE(""https://docs.google.com/spreadsheets/d/1swGwZOEqYlTEUCJLY-eeJM1911Kvaei5oySBIxdgtNo/edit?pli=1#gid=257618397"",""stock untanna!B:F""),5,false)"),"IM")</f>
        <v>IM</v>
      </c>
      <c r="I221" s="42" t="str">
        <f>IFERROR(__xludf.DUMMYFUNCTION("vlookup($D221,IMPORTRANGE(""https://docs.google.com/spreadsheets/d/1swGwZOEqYlTEUCJLY-eeJM1911Kvaei5oySBIxdgtNo/edit?pli=1#gid=257618397"",""stock untanna!B:G""),6,false)"),"8801")</f>
        <v>8801</v>
      </c>
      <c r="J221" s="43" t="str">
        <f t="shared" si="1"/>
        <v>ADA</v>
      </c>
      <c r="K221" s="72">
        <v>6.0</v>
      </c>
      <c r="L221" s="53" t="s">
        <v>62</v>
      </c>
      <c r="M221" s="73">
        <v>13000.0</v>
      </c>
      <c r="N221" s="74"/>
      <c r="O221" s="73">
        <v>78000.0</v>
      </c>
      <c r="P221" s="46" t="str">
        <f t="shared" si="2"/>
        <v>Rp13,000-6 LSN-0.00%</v>
      </c>
      <c r="Q221" s="75">
        <v>45408.0</v>
      </c>
      <c r="R221" s="76"/>
      <c r="S221" s="75">
        <v>45418.0</v>
      </c>
      <c r="T221" s="49"/>
    </row>
    <row r="222">
      <c r="A222" s="69">
        <v>4325.0</v>
      </c>
      <c r="B222" s="69" t="s">
        <v>29</v>
      </c>
      <c r="C222" s="70" t="s">
        <v>155</v>
      </c>
      <c r="D222" s="69" t="s">
        <v>436</v>
      </c>
      <c r="E222" s="41" t="str">
        <f>IFERROR(__xludf.DUMMYFUNCTION("vlookup(D222,IMPORTRANGE(""https://docs.google.com/spreadsheets/d/1swGwZOEqYlTEUCJLY-eeJM1911Kvaei5oySBIxdgtNo/edit?pli=1#gid=257618397"",""stock untanna!B:C""),2,false)"),"BP COSH CS 8601")</f>
        <v>BP COSH CS 8601</v>
      </c>
      <c r="F222" s="70" t="s">
        <v>436</v>
      </c>
      <c r="G222" s="71" t="s">
        <v>437</v>
      </c>
      <c r="H222" s="41" t="str">
        <f>IFERROR(__xludf.DUMMYFUNCTION("vlookup($D222,IMPORTRANGE(""https://docs.google.com/spreadsheets/d/1swGwZOEqYlTEUCJLY-eeJM1911Kvaei5oySBIxdgtNo/edit?pli=1#gid=257618397"",""stock untanna!B:F""),5,false)"),"CS")</f>
        <v>CS</v>
      </c>
      <c r="I222" s="42" t="str">
        <f>IFERROR(__xludf.DUMMYFUNCTION("vlookup($D222,IMPORTRANGE(""https://docs.google.com/spreadsheets/d/1swGwZOEqYlTEUCJLY-eeJM1911Kvaei5oySBIxdgtNo/edit?pli=1#gid=257618397"",""stock untanna!B:G""),6,false)"),"CS-8601")</f>
        <v>CS-8601</v>
      </c>
      <c r="J222" s="43" t="str">
        <f t="shared" si="1"/>
        <v>ADA</v>
      </c>
      <c r="K222" s="72">
        <v>6.0</v>
      </c>
      <c r="L222" s="53" t="s">
        <v>62</v>
      </c>
      <c r="M222" s="73">
        <v>22500.0</v>
      </c>
      <c r="N222" s="74"/>
      <c r="O222" s="73">
        <v>135000.0</v>
      </c>
      <c r="P222" s="46" t="str">
        <f t="shared" si="2"/>
        <v>Rp22,500-6 LSN-0.00%</v>
      </c>
      <c r="Q222" s="75">
        <v>45408.0</v>
      </c>
      <c r="R222" s="76"/>
      <c r="S222" s="75">
        <v>45418.0</v>
      </c>
      <c r="T222" s="49"/>
    </row>
    <row r="223">
      <c r="A223" s="69">
        <v>4325.0</v>
      </c>
      <c r="B223" s="69" t="s">
        <v>29</v>
      </c>
      <c r="C223" s="70" t="s">
        <v>155</v>
      </c>
      <c r="D223" s="69"/>
      <c r="E223" s="41" t="s">
        <v>438</v>
      </c>
      <c r="F223" s="70"/>
      <c r="G223" s="71" t="s">
        <v>438</v>
      </c>
      <c r="H223" s="41" t="str">
        <f>IFERROR(__xludf.DUMMYFUNCTION("vlookup($D223,IMPORTRANGE(""https://docs.google.com/spreadsheets/d/1swGwZOEqYlTEUCJLY-eeJM1911Kvaei5oySBIxdgtNo/edit?pli=1#gid=257618397"",""stock untanna!B:F""),5,false)"),"#N/A")</f>
        <v>#N/A</v>
      </c>
      <c r="I223" s="42" t="str">
        <f>IFERROR(__xludf.DUMMYFUNCTION("vlookup($D223,IMPORTRANGE(""https://docs.google.com/spreadsheets/d/1swGwZOEqYlTEUCJLY-eeJM1911Kvaei5oySBIxdgtNo/edit?pli=1#gid=257618397"",""stock untanna!B:G""),6,false)"),"#N/A")</f>
        <v>#N/A</v>
      </c>
      <c r="J223" s="43" t="str">
        <f t="shared" si="1"/>
        <v>TIDAK ADA</v>
      </c>
      <c r="K223" s="72">
        <v>3.0</v>
      </c>
      <c r="L223" s="53" t="s">
        <v>62</v>
      </c>
      <c r="M223" s="73">
        <v>18000.0</v>
      </c>
      <c r="N223" s="74"/>
      <c r="O223" s="73">
        <v>54000.0</v>
      </c>
      <c r="P223" s="46" t="str">
        <f t="shared" si="2"/>
        <v>Rp18,000-3 LSN-0.00%</v>
      </c>
      <c r="Q223" s="75">
        <v>45408.0</v>
      </c>
      <c r="R223" s="76"/>
      <c r="S223" s="75">
        <v>45418.0</v>
      </c>
      <c r="T223" s="49"/>
    </row>
    <row r="224">
      <c r="A224" s="69">
        <v>4325.0</v>
      </c>
      <c r="B224" s="69" t="s">
        <v>29</v>
      </c>
      <c r="C224" s="70" t="s">
        <v>155</v>
      </c>
      <c r="D224" s="69"/>
      <c r="E224" s="41" t="s">
        <v>439</v>
      </c>
      <c r="F224" s="70"/>
      <c r="G224" s="71" t="s">
        <v>439</v>
      </c>
      <c r="H224" s="41" t="str">
        <f>IFERROR(__xludf.DUMMYFUNCTION("vlookup($D224,IMPORTRANGE(""https://docs.google.com/spreadsheets/d/1swGwZOEqYlTEUCJLY-eeJM1911Kvaei5oySBIxdgtNo/edit?pli=1#gid=257618397"",""stock untanna!B:F""),5,false)"),"#N/A")</f>
        <v>#N/A</v>
      </c>
      <c r="I224" s="42" t="str">
        <f>IFERROR(__xludf.DUMMYFUNCTION("vlookup($D224,IMPORTRANGE(""https://docs.google.com/spreadsheets/d/1swGwZOEqYlTEUCJLY-eeJM1911Kvaei5oySBIxdgtNo/edit?pli=1#gid=257618397"",""stock untanna!B:G""),6,false)"),"#N/A")</f>
        <v>#N/A</v>
      </c>
      <c r="J224" s="43" t="str">
        <f t="shared" si="1"/>
        <v>TIDAK ADA</v>
      </c>
      <c r="K224" s="72">
        <v>96.0</v>
      </c>
      <c r="L224" s="53" t="s">
        <v>69</v>
      </c>
      <c r="M224" s="73">
        <v>2600.0</v>
      </c>
      <c r="N224" s="74"/>
      <c r="O224" s="73">
        <v>249600.0</v>
      </c>
      <c r="P224" s="46" t="str">
        <f t="shared" si="2"/>
        <v>Rp2,600-96 PCS-0.00%</v>
      </c>
      <c r="Q224" s="75">
        <v>45408.0</v>
      </c>
      <c r="R224" s="76"/>
      <c r="S224" s="75">
        <v>45418.0</v>
      </c>
      <c r="T224" s="49"/>
    </row>
    <row r="225">
      <c r="A225" s="69">
        <v>4325.0</v>
      </c>
      <c r="B225" s="69" t="s">
        <v>29</v>
      </c>
      <c r="C225" s="70" t="s">
        <v>155</v>
      </c>
      <c r="D225" s="69"/>
      <c r="E225" s="41" t="s">
        <v>440</v>
      </c>
      <c r="F225" s="70"/>
      <c r="G225" s="71" t="s">
        <v>440</v>
      </c>
      <c r="H225" s="41" t="str">
        <f>IFERROR(__xludf.DUMMYFUNCTION("vlookup($D225,IMPORTRANGE(""https://docs.google.com/spreadsheets/d/1swGwZOEqYlTEUCJLY-eeJM1911Kvaei5oySBIxdgtNo/edit?pli=1#gid=257618397"",""stock untanna!B:F""),5,false)"),"#N/A")</f>
        <v>#N/A</v>
      </c>
      <c r="I225" s="42" t="str">
        <f>IFERROR(__xludf.DUMMYFUNCTION("vlookup($D225,IMPORTRANGE(""https://docs.google.com/spreadsheets/d/1swGwZOEqYlTEUCJLY-eeJM1911Kvaei5oySBIxdgtNo/edit?pli=1#gid=257618397"",""stock untanna!B:G""),6,false)"),"#N/A")</f>
        <v>#N/A</v>
      </c>
      <c r="J225" s="43" t="str">
        <f t="shared" si="1"/>
        <v>TIDAK ADA</v>
      </c>
      <c r="K225" s="72">
        <v>96.0</v>
      </c>
      <c r="L225" s="53" t="s">
        <v>69</v>
      </c>
      <c r="M225" s="73">
        <v>2600.0</v>
      </c>
      <c r="N225" s="74"/>
      <c r="O225" s="73">
        <v>249600.0</v>
      </c>
      <c r="P225" s="46" t="str">
        <f t="shared" si="2"/>
        <v>Rp2,600-96 PCS-0.00%</v>
      </c>
      <c r="Q225" s="75">
        <v>45408.0</v>
      </c>
      <c r="R225" s="76"/>
      <c r="S225" s="75">
        <v>45418.0</v>
      </c>
      <c r="T225" s="49"/>
    </row>
    <row r="226">
      <c r="A226" s="69">
        <v>4325.0</v>
      </c>
      <c r="B226" s="69" t="s">
        <v>29</v>
      </c>
      <c r="C226" s="70" t="s">
        <v>155</v>
      </c>
      <c r="D226" s="69"/>
      <c r="E226" s="41" t="s">
        <v>441</v>
      </c>
      <c r="F226" s="70"/>
      <c r="G226" s="71" t="s">
        <v>441</v>
      </c>
      <c r="H226" s="41" t="str">
        <f>IFERROR(__xludf.DUMMYFUNCTION("vlookup($D226,IMPORTRANGE(""https://docs.google.com/spreadsheets/d/1swGwZOEqYlTEUCJLY-eeJM1911Kvaei5oySBIxdgtNo/edit?pli=1#gid=257618397"",""stock untanna!B:F""),5,false)"),"#N/A")</f>
        <v>#N/A</v>
      </c>
      <c r="I226" s="42" t="str">
        <f>IFERROR(__xludf.DUMMYFUNCTION("vlookup($D226,IMPORTRANGE(""https://docs.google.com/spreadsheets/d/1swGwZOEqYlTEUCJLY-eeJM1911Kvaei5oySBIxdgtNo/edit?pli=1#gid=257618397"",""stock untanna!B:G""),6,false)"),"#N/A")</f>
        <v>#N/A</v>
      </c>
      <c r="J226" s="43" t="str">
        <f t="shared" si="1"/>
        <v>TIDAK ADA</v>
      </c>
      <c r="K226" s="72">
        <v>96.0</v>
      </c>
      <c r="L226" s="53" t="s">
        <v>69</v>
      </c>
      <c r="M226" s="73">
        <v>2600.0</v>
      </c>
      <c r="N226" s="74"/>
      <c r="O226" s="73">
        <v>249600.0</v>
      </c>
      <c r="P226" s="46" t="str">
        <f t="shared" si="2"/>
        <v>Rp2,600-96 PCS-0.00%</v>
      </c>
      <c r="Q226" s="75">
        <v>45408.0</v>
      </c>
      <c r="R226" s="76"/>
      <c r="S226" s="75">
        <v>45418.0</v>
      </c>
      <c r="T226" s="49"/>
    </row>
    <row r="227">
      <c r="A227" s="69">
        <v>4325.0</v>
      </c>
      <c r="B227" s="69" t="s">
        <v>29</v>
      </c>
      <c r="C227" s="70" t="s">
        <v>155</v>
      </c>
      <c r="D227" s="69"/>
      <c r="E227" s="41" t="s">
        <v>442</v>
      </c>
      <c r="F227" s="70"/>
      <c r="G227" s="71" t="s">
        <v>442</v>
      </c>
      <c r="H227" s="41" t="str">
        <f>IFERROR(__xludf.DUMMYFUNCTION("vlookup($D227,IMPORTRANGE(""https://docs.google.com/spreadsheets/d/1swGwZOEqYlTEUCJLY-eeJM1911Kvaei5oySBIxdgtNo/edit?pli=1#gid=257618397"",""stock untanna!B:F""),5,false)"),"#N/A")</f>
        <v>#N/A</v>
      </c>
      <c r="I227" s="42" t="str">
        <f>IFERROR(__xludf.DUMMYFUNCTION("vlookup($D227,IMPORTRANGE(""https://docs.google.com/spreadsheets/d/1swGwZOEqYlTEUCJLY-eeJM1911Kvaei5oySBIxdgtNo/edit?pli=1#gid=257618397"",""stock untanna!B:G""),6,false)"),"#N/A")</f>
        <v>#N/A</v>
      </c>
      <c r="J227" s="43" t="str">
        <f t="shared" si="1"/>
        <v>TIDAK ADA</v>
      </c>
      <c r="K227" s="72">
        <v>96.0</v>
      </c>
      <c r="L227" s="53" t="s">
        <v>69</v>
      </c>
      <c r="M227" s="73">
        <v>2600.0</v>
      </c>
      <c r="N227" s="74"/>
      <c r="O227" s="73">
        <v>249600.0</v>
      </c>
      <c r="P227" s="46" t="str">
        <f t="shared" si="2"/>
        <v>Rp2,600-96 PCS-0.00%</v>
      </c>
      <c r="Q227" s="75">
        <v>45408.0</v>
      </c>
      <c r="R227" s="76"/>
      <c r="S227" s="75">
        <v>45418.0</v>
      </c>
      <c r="T227" s="49"/>
    </row>
    <row r="228">
      <c r="A228" s="69">
        <v>4325.0</v>
      </c>
      <c r="B228" s="69" t="s">
        <v>29</v>
      </c>
      <c r="C228" s="70" t="s">
        <v>155</v>
      </c>
      <c r="D228" s="69"/>
      <c r="E228" s="41" t="s">
        <v>443</v>
      </c>
      <c r="F228" s="70"/>
      <c r="G228" s="71" t="s">
        <v>443</v>
      </c>
      <c r="H228" s="41" t="str">
        <f>IFERROR(__xludf.DUMMYFUNCTION("vlookup($D228,IMPORTRANGE(""https://docs.google.com/spreadsheets/d/1swGwZOEqYlTEUCJLY-eeJM1911Kvaei5oySBIxdgtNo/edit?pli=1#gid=257618397"",""stock untanna!B:F""),5,false)"),"#N/A")</f>
        <v>#N/A</v>
      </c>
      <c r="I228" s="42" t="str">
        <f>IFERROR(__xludf.DUMMYFUNCTION("vlookup($D228,IMPORTRANGE(""https://docs.google.com/spreadsheets/d/1swGwZOEqYlTEUCJLY-eeJM1911Kvaei5oySBIxdgtNo/edit?pli=1#gid=257618397"",""stock untanna!B:G""),6,false)"),"#N/A")</f>
        <v>#N/A</v>
      </c>
      <c r="J228" s="43" t="str">
        <f t="shared" si="1"/>
        <v>TIDAK ADA</v>
      </c>
      <c r="K228" s="72">
        <v>96.0</v>
      </c>
      <c r="L228" s="53" t="s">
        <v>69</v>
      </c>
      <c r="M228" s="73">
        <v>2600.0</v>
      </c>
      <c r="N228" s="74"/>
      <c r="O228" s="73">
        <v>249600.0</v>
      </c>
      <c r="P228" s="46" t="str">
        <f t="shared" si="2"/>
        <v>Rp2,600-96 PCS-0.00%</v>
      </c>
      <c r="Q228" s="75">
        <v>45408.0</v>
      </c>
      <c r="R228" s="76"/>
      <c r="S228" s="75">
        <v>45418.0</v>
      </c>
      <c r="T228" s="49"/>
    </row>
    <row r="229">
      <c r="A229" s="69">
        <v>4325.0</v>
      </c>
      <c r="B229" s="69" t="s">
        <v>29</v>
      </c>
      <c r="C229" s="70" t="s">
        <v>155</v>
      </c>
      <c r="D229" s="69"/>
      <c r="E229" s="41" t="s">
        <v>444</v>
      </c>
      <c r="F229" s="70"/>
      <c r="G229" s="71" t="s">
        <v>444</v>
      </c>
      <c r="H229" s="41" t="str">
        <f>IFERROR(__xludf.DUMMYFUNCTION("vlookup($D229,IMPORTRANGE(""https://docs.google.com/spreadsheets/d/1swGwZOEqYlTEUCJLY-eeJM1911Kvaei5oySBIxdgtNo/edit?pli=1#gid=257618397"",""stock untanna!B:F""),5,false)"),"#N/A")</f>
        <v>#N/A</v>
      </c>
      <c r="I229" s="42" t="str">
        <f>IFERROR(__xludf.DUMMYFUNCTION("vlookup($D229,IMPORTRANGE(""https://docs.google.com/spreadsheets/d/1swGwZOEqYlTEUCJLY-eeJM1911Kvaei5oySBIxdgtNo/edit?pli=1#gid=257618397"",""stock untanna!B:G""),6,false)"),"#N/A")</f>
        <v>#N/A</v>
      </c>
      <c r="J229" s="43" t="str">
        <f t="shared" si="1"/>
        <v>TIDAK ADA</v>
      </c>
      <c r="K229" s="72">
        <v>96.0</v>
      </c>
      <c r="L229" s="53" t="s">
        <v>69</v>
      </c>
      <c r="M229" s="73">
        <v>2600.0</v>
      </c>
      <c r="N229" s="74"/>
      <c r="O229" s="73">
        <v>249600.0</v>
      </c>
      <c r="P229" s="46" t="str">
        <f t="shared" si="2"/>
        <v>Rp2,600-96 PCS-0.00%</v>
      </c>
      <c r="Q229" s="75">
        <v>45408.0</v>
      </c>
      <c r="R229" s="76"/>
      <c r="S229" s="75">
        <v>45418.0</v>
      </c>
      <c r="T229" s="49"/>
    </row>
    <row r="230">
      <c r="A230" s="69">
        <v>4325.0</v>
      </c>
      <c r="B230" s="69" t="s">
        <v>29</v>
      </c>
      <c r="C230" s="70" t="s">
        <v>155</v>
      </c>
      <c r="D230" s="69"/>
      <c r="E230" s="41" t="s">
        <v>445</v>
      </c>
      <c r="F230" s="70"/>
      <c r="G230" s="71" t="s">
        <v>445</v>
      </c>
      <c r="H230" s="41" t="str">
        <f>IFERROR(__xludf.DUMMYFUNCTION("vlookup($D230,IMPORTRANGE(""https://docs.google.com/spreadsheets/d/1swGwZOEqYlTEUCJLY-eeJM1911Kvaei5oySBIxdgtNo/edit?pli=1#gid=257618397"",""stock untanna!B:F""),5,false)"),"#N/A")</f>
        <v>#N/A</v>
      </c>
      <c r="I230" s="42" t="str">
        <f>IFERROR(__xludf.DUMMYFUNCTION("vlookup($D230,IMPORTRANGE(""https://docs.google.com/spreadsheets/d/1swGwZOEqYlTEUCJLY-eeJM1911Kvaei5oySBIxdgtNo/edit?pli=1#gid=257618397"",""stock untanna!B:G""),6,false)"),"#N/A")</f>
        <v>#N/A</v>
      </c>
      <c r="J230" s="43" t="str">
        <f t="shared" si="1"/>
        <v>TIDAK ADA</v>
      </c>
      <c r="K230" s="72">
        <v>96.0</v>
      </c>
      <c r="L230" s="53" t="s">
        <v>69</v>
      </c>
      <c r="M230" s="73">
        <v>2600.0</v>
      </c>
      <c r="N230" s="74"/>
      <c r="O230" s="73">
        <v>249600.0</v>
      </c>
      <c r="P230" s="46" t="str">
        <f t="shared" si="2"/>
        <v>Rp2,600-96 PCS-0.00%</v>
      </c>
      <c r="Q230" s="75">
        <v>45408.0</v>
      </c>
      <c r="R230" s="76"/>
      <c r="S230" s="75">
        <v>45418.0</v>
      </c>
      <c r="T230" s="49"/>
    </row>
    <row r="231">
      <c r="A231" s="69">
        <v>4325.0</v>
      </c>
      <c r="B231" s="69" t="s">
        <v>29</v>
      </c>
      <c r="C231" s="70" t="s">
        <v>155</v>
      </c>
      <c r="D231" s="69"/>
      <c r="E231" s="41" t="s">
        <v>446</v>
      </c>
      <c r="F231" s="70"/>
      <c r="G231" s="71" t="s">
        <v>446</v>
      </c>
      <c r="H231" s="41" t="str">
        <f>IFERROR(__xludf.DUMMYFUNCTION("vlookup($D231,IMPORTRANGE(""https://docs.google.com/spreadsheets/d/1swGwZOEqYlTEUCJLY-eeJM1911Kvaei5oySBIxdgtNo/edit?pli=1#gid=257618397"",""stock untanna!B:F""),5,false)"),"#N/A")</f>
        <v>#N/A</v>
      </c>
      <c r="I231" s="42" t="str">
        <f>IFERROR(__xludf.DUMMYFUNCTION("vlookup($D231,IMPORTRANGE(""https://docs.google.com/spreadsheets/d/1swGwZOEqYlTEUCJLY-eeJM1911Kvaei5oySBIxdgtNo/edit?pli=1#gid=257618397"",""stock untanna!B:G""),6,false)"),"#N/A")</f>
        <v>#N/A</v>
      </c>
      <c r="J231" s="43" t="str">
        <f t="shared" si="1"/>
        <v>TIDAK ADA</v>
      </c>
      <c r="K231" s="72">
        <v>96.0</v>
      </c>
      <c r="L231" s="53" t="s">
        <v>69</v>
      </c>
      <c r="M231" s="73">
        <v>2600.0</v>
      </c>
      <c r="N231" s="74"/>
      <c r="O231" s="73">
        <v>249600.0</v>
      </c>
      <c r="P231" s="46" t="str">
        <f t="shared" si="2"/>
        <v>Rp2,600-96 PCS-0.00%</v>
      </c>
      <c r="Q231" s="75">
        <v>45408.0</v>
      </c>
      <c r="R231" s="76"/>
      <c r="S231" s="75">
        <v>45418.0</v>
      </c>
      <c r="T231" s="49"/>
    </row>
    <row r="232">
      <c r="A232" s="69">
        <v>4326.0</v>
      </c>
      <c r="B232" s="69" t="s">
        <v>29</v>
      </c>
      <c r="C232" s="70" t="s">
        <v>155</v>
      </c>
      <c r="D232" s="69" t="s">
        <v>447</v>
      </c>
      <c r="E232" s="41" t="str">
        <f>IFERROR(__xludf.DUMMYFUNCTION("vlookup(D232,IMPORTRANGE(""https://docs.google.com/spreadsheets/d/1swGwZOEqYlTEUCJLY-eeJM1911Kvaei5oySBIxdgtNo/edit?pli=1#gid=257618397"",""stock untanna!B:C""),2,false)"),"BP GEL BP-8793")</f>
        <v>BP GEL BP-8793</v>
      </c>
      <c r="F232" s="70" t="s">
        <v>447</v>
      </c>
      <c r="G232" s="71" t="s">
        <v>448</v>
      </c>
      <c r="H232" s="41" t="str">
        <f>IFERROR(__xludf.DUMMYFUNCTION("vlookup($D232,IMPORTRANGE(""https://docs.google.com/spreadsheets/d/1swGwZOEqYlTEUCJLY-eeJM1911Kvaei5oySBIxdgtNo/edit?pli=1#gid=257618397"",""stock untanna!B:F""),5,false)"),"IM")</f>
        <v>IM</v>
      </c>
      <c r="I232" s="42" t="str">
        <f>IFERROR(__xludf.DUMMYFUNCTION("vlookup($D232,IMPORTRANGE(""https://docs.google.com/spreadsheets/d/1swGwZOEqYlTEUCJLY-eeJM1911Kvaei5oySBIxdgtNo/edit?pli=1#gid=257618397"",""stock untanna!B:G""),6,false)"),"")</f>
        <v/>
      </c>
      <c r="J232" s="43" t="str">
        <f t="shared" si="1"/>
        <v>ADA</v>
      </c>
      <c r="K232" s="72">
        <v>36.0</v>
      </c>
      <c r="L232" s="53" t="s">
        <v>69</v>
      </c>
      <c r="M232" s="73">
        <v>4375.0</v>
      </c>
      <c r="N232" s="74"/>
      <c r="O232" s="73">
        <v>157500.0</v>
      </c>
      <c r="P232" s="46" t="str">
        <f t="shared" si="2"/>
        <v>Rp4,375-36 PCS-0.00%</v>
      </c>
      <c r="Q232" s="75">
        <v>45408.0</v>
      </c>
      <c r="R232" s="76"/>
      <c r="S232" s="75">
        <v>45418.0</v>
      </c>
      <c r="T232" s="49"/>
    </row>
    <row r="233">
      <c r="A233" s="69">
        <v>4326.0</v>
      </c>
      <c r="B233" s="69" t="s">
        <v>29</v>
      </c>
      <c r="C233" s="70" t="s">
        <v>155</v>
      </c>
      <c r="D233" s="69"/>
      <c r="E233" s="41" t="s">
        <v>449</v>
      </c>
      <c r="F233" s="70"/>
      <c r="G233" s="71" t="s">
        <v>449</v>
      </c>
      <c r="H233" s="41" t="str">
        <f>IFERROR(__xludf.DUMMYFUNCTION("vlookup($D233,IMPORTRANGE(""https://docs.google.com/spreadsheets/d/1swGwZOEqYlTEUCJLY-eeJM1911Kvaei5oySBIxdgtNo/edit?pli=1#gid=257618397"",""stock untanna!B:F""),5,false)"),"#N/A")</f>
        <v>#N/A</v>
      </c>
      <c r="I233" s="42" t="str">
        <f>IFERROR(__xludf.DUMMYFUNCTION("vlookup($D233,IMPORTRANGE(""https://docs.google.com/spreadsheets/d/1swGwZOEqYlTEUCJLY-eeJM1911Kvaei5oySBIxdgtNo/edit?pli=1#gid=257618397"",""stock untanna!B:G""),6,false)"),"#N/A")</f>
        <v>#N/A</v>
      </c>
      <c r="J233" s="43" t="str">
        <f t="shared" si="1"/>
        <v>TIDAK ADA</v>
      </c>
      <c r="K233" s="72">
        <v>3.0</v>
      </c>
      <c r="L233" s="53" t="s">
        <v>62</v>
      </c>
      <c r="M233" s="73">
        <v>52500.0</v>
      </c>
      <c r="N233" s="74"/>
      <c r="O233" s="73">
        <v>157500.0</v>
      </c>
      <c r="P233" s="46" t="str">
        <f t="shared" si="2"/>
        <v>Rp52,500-3 LSN-0.00%</v>
      </c>
      <c r="Q233" s="75">
        <v>45408.0</v>
      </c>
      <c r="R233" s="76"/>
      <c r="S233" s="75">
        <v>45418.0</v>
      </c>
      <c r="T233" s="49"/>
    </row>
    <row r="234">
      <c r="A234" s="69">
        <v>4326.0</v>
      </c>
      <c r="B234" s="69" t="s">
        <v>29</v>
      </c>
      <c r="C234" s="70" t="s">
        <v>155</v>
      </c>
      <c r="D234" s="69" t="s">
        <v>450</v>
      </c>
      <c r="E234" s="41" t="str">
        <f>IFERROR(__xludf.DUMMYFUNCTION("vlookup(D234,IMPORTRANGE(""https://docs.google.com/spreadsheets/d/1swGwZOEqYlTEUCJLY-eeJM1911Kvaei5oySBIxdgtNo/edit?pli=1#gid=257618397"",""stock untanna!B:C""),2,false)"),"BP GEL BP-8788")</f>
        <v>BP GEL BP-8788</v>
      </c>
      <c r="F234" s="70" t="s">
        <v>450</v>
      </c>
      <c r="G234" s="71" t="s">
        <v>451</v>
      </c>
      <c r="H234" s="41" t="str">
        <f>IFERROR(__xludf.DUMMYFUNCTION("vlookup($D234,IMPORTRANGE(""https://docs.google.com/spreadsheets/d/1swGwZOEqYlTEUCJLY-eeJM1911Kvaei5oySBIxdgtNo/edit?pli=1#gid=257618397"",""stock untanna!B:F""),5,false)"),"IM")</f>
        <v>IM</v>
      </c>
      <c r="I234" s="42" t="str">
        <f>IFERROR(__xludf.DUMMYFUNCTION("vlookup($D234,IMPORTRANGE(""https://docs.google.com/spreadsheets/d/1swGwZOEqYlTEUCJLY-eeJM1911Kvaei5oySBIxdgtNo/edit?pli=1#gid=257618397"",""stock untanna!B:G""),6,false)"),"")</f>
        <v/>
      </c>
      <c r="J234" s="43" t="str">
        <f t="shared" si="1"/>
        <v>ADA</v>
      </c>
      <c r="K234" s="72">
        <v>36.0</v>
      </c>
      <c r="L234" s="53" t="s">
        <v>69</v>
      </c>
      <c r="M234" s="73">
        <v>4375.0</v>
      </c>
      <c r="N234" s="74"/>
      <c r="O234" s="73">
        <v>157500.0</v>
      </c>
      <c r="P234" s="46" t="str">
        <f t="shared" si="2"/>
        <v>Rp4,375-36 PCS-0.00%</v>
      </c>
      <c r="Q234" s="75">
        <v>45408.0</v>
      </c>
      <c r="R234" s="76"/>
      <c r="S234" s="75">
        <v>45418.0</v>
      </c>
      <c r="T234" s="49"/>
    </row>
    <row r="235">
      <c r="A235" s="69">
        <v>4326.0</v>
      </c>
      <c r="B235" s="69" t="s">
        <v>29</v>
      </c>
      <c r="C235" s="70" t="s">
        <v>155</v>
      </c>
      <c r="D235" s="69" t="s">
        <v>452</v>
      </c>
      <c r="E235" s="41" t="str">
        <f>IFERROR(__xludf.DUMMYFUNCTION("vlookup(D235,IMPORTRANGE(""https://docs.google.com/spreadsheets/d/1swGwZOEqYlTEUCJLY-eeJM1911Kvaei5oySBIxdgtNo/edit?pli=1#gid=257618397"",""stock untanna!B:C""),2,false)"),"BP GEL 8789")</f>
        <v>BP GEL 8789</v>
      </c>
      <c r="F235" s="70" t="s">
        <v>452</v>
      </c>
      <c r="G235" s="71" t="s">
        <v>453</v>
      </c>
      <c r="H235" s="41" t="str">
        <f>IFERROR(__xludf.DUMMYFUNCTION("vlookup($D235,IMPORTRANGE(""https://docs.google.com/spreadsheets/d/1swGwZOEqYlTEUCJLY-eeJM1911Kvaei5oySBIxdgtNo/edit?pli=1#gid=257618397"",""stock untanna!B:F""),5,false)"),"IM")</f>
        <v>IM</v>
      </c>
      <c r="I235" s="42" t="str">
        <f>IFERROR(__xludf.DUMMYFUNCTION("vlookup($D235,IMPORTRANGE(""https://docs.google.com/spreadsheets/d/1swGwZOEqYlTEUCJLY-eeJM1911Kvaei5oySBIxdgtNo/edit?pli=1#gid=257618397"",""stock untanna!B:G""),6,false)"),"")</f>
        <v/>
      </c>
      <c r="J235" s="43" t="str">
        <f t="shared" si="1"/>
        <v>ADA</v>
      </c>
      <c r="K235" s="72">
        <v>36.0</v>
      </c>
      <c r="L235" s="53" t="s">
        <v>69</v>
      </c>
      <c r="M235" s="73">
        <v>4375.0</v>
      </c>
      <c r="N235" s="74"/>
      <c r="O235" s="73">
        <v>157500.0</v>
      </c>
      <c r="P235" s="46" t="str">
        <f t="shared" si="2"/>
        <v>Rp4,375-36 PCS-0.00%</v>
      </c>
      <c r="Q235" s="75">
        <v>45408.0</v>
      </c>
      <c r="R235" s="76"/>
      <c r="S235" s="75">
        <v>45418.0</v>
      </c>
      <c r="T235" s="49"/>
    </row>
    <row r="236">
      <c r="A236" s="69">
        <v>4326.0</v>
      </c>
      <c r="B236" s="69" t="s">
        <v>29</v>
      </c>
      <c r="C236" s="70" t="s">
        <v>155</v>
      </c>
      <c r="D236" s="69" t="s">
        <v>454</v>
      </c>
      <c r="E236" s="41" t="str">
        <f>IFERROR(__xludf.DUMMYFUNCTION("vlookup(D236,IMPORTRANGE(""https://docs.google.com/spreadsheets/d/1swGwZOEqYlTEUCJLY-eeJM1911Kvaei5oySBIxdgtNo/edit?pli=1#gid=257618397"",""stock untanna!B:C""),2,false)"),"BP GEL BP-8781")</f>
        <v>BP GEL BP-8781</v>
      </c>
      <c r="F236" s="70" t="s">
        <v>454</v>
      </c>
      <c r="G236" s="71" t="s">
        <v>455</v>
      </c>
      <c r="H236" s="41" t="str">
        <f>IFERROR(__xludf.DUMMYFUNCTION("vlookup($D236,IMPORTRANGE(""https://docs.google.com/spreadsheets/d/1swGwZOEqYlTEUCJLY-eeJM1911Kvaei5oySBIxdgtNo/edit?pli=1#gid=257618397"",""stock untanna!B:F""),5,false)"),"IM")</f>
        <v>IM</v>
      </c>
      <c r="I236" s="42" t="str">
        <f>IFERROR(__xludf.DUMMYFUNCTION("vlookup($D236,IMPORTRANGE(""https://docs.google.com/spreadsheets/d/1swGwZOEqYlTEUCJLY-eeJM1911Kvaei5oySBIxdgtNo/edit?pli=1#gid=257618397"",""stock untanna!B:G""),6,false)"),"")</f>
        <v/>
      </c>
      <c r="J236" s="43" t="str">
        <f t="shared" si="1"/>
        <v>ADA</v>
      </c>
      <c r="K236" s="72">
        <v>36.0</v>
      </c>
      <c r="L236" s="53" t="s">
        <v>69</v>
      </c>
      <c r="M236" s="73">
        <v>4375.0</v>
      </c>
      <c r="N236" s="74"/>
      <c r="O236" s="73">
        <v>157500.0</v>
      </c>
      <c r="P236" s="46" t="str">
        <f t="shared" si="2"/>
        <v>Rp4,375-36 PCS-0.00%</v>
      </c>
      <c r="Q236" s="75">
        <v>45408.0</v>
      </c>
      <c r="R236" s="76"/>
      <c r="S236" s="75">
        <v>45418.0</v>
      </c>
      <c r="T236" s="49"/>
    </row>
    <row r="237">
      <c r="A237" s="69">
        <v>4326.0</v>
      </c>
      <c r="B237" s="69" t="s">
        <v>29</v>
      </c>
      <c r="C237" s="70" t="s">
        <v>155</v>
      </c>
      <c r="D237" s="69" t="s">
        <v>456</v>
      </c>
      <c r="E237" s="41" t="str">
        <f>IFERROR(__xludf.DUMMYFUNCTION("vlookup(D237,IMPORTRANGE(""https://docs.google.com/spreadsheets/d/1swGwZOEqYlTEUCJLY-eeJM1911Kvaei5oySBIxdgtNo/edit?pli=1#gid=257618397"",""stock untanna!B:C""),2,false)"),"BP GEL BP-8782")</f>
        <v>BP GEL BP-8782</v>
      </c>
      <c r="F237" s="70" t="s">
        <v>456</v>
      </c>
      <c r="G237" s="71" t="s">
        <v>457</v>
      </c>
      <c r="H237" s="41" t="str">
        <f>IFERROR(__xludf.DUMMYFUNCTION("vlookup($D237,IMPORTRANGE(""https://docs.google.com/spreadsheets/d/1swGwZOEqYlTEUCJLY-eeJM1911Kvaei5oySBIxdgtNo/edit?pli=1#gid=257618397"",""stock untanna!B:F""),5,false)"),"IM")</f>
        <v>IM</v>
      </c>
      <c r="I237" s="42" t="str">
        <f>IFERROR(__xludf.DUMMYFUNCTION("vlookup($D237,IMPORTRANGE(""https://docs.google.com/spreadsheets/d/1swGwZOEqYlTEUCJLY-eeJM1911Kvaei5oySBIxdgtNo/edit?pli=1#gid=257618397"",""stock untanna!B:G""),6,false)"),"")</f>
        <v/>
      </c>
      <c r="J237" s="43" t="str">
        <f t="shared" si="1"/>
        <v>ADA</v>
      </c>
      <c r="K237" s="72">
        <v>36.0</v>
      </c>
      <c r="L237" s="53" t="s">
        <v>69</v>
      </c>
      <c r="M237" s="73">
        <v>4375.0</v>
      </c>
      <c r="N237" s="74"/>
      <c r="O237" s="73">
        <v>157500.0</v>
      </c>
      <c r="P237" s="46" t="str">
        <f t="shared" si="2"/>
        <v>Rp4,375-36 PCS-0.00%</v>
      </c>
      <c r="Q237" s="75">
        <v>45408.0</v>
      </c>
      <c r="R237" s="76"/>
      <c r="S237" s="75">
        <v>45418.0</v>
      </c>
      <c r="T237" s="49"/>
    </row>
    <row r="238">
      <c r="A238" s="69">
        <v>4326.0</v>
      </c>
      <c r="B238" s="69" t="s">
        <v>29</v>
      </c>
      <c r="C238" s="70" t="s">
        <v>155</v>
      </c>
      <c r="D238" s="69" t="s">
        <v>458</v>
      </c>
      <c r="E238" s="41" t="str">
        <f>IFERROR(__xludf.DUMMYFUNCTION("vlookup(D238,IMPORTRANGE(""https://docs.google.com/spreadsheets/d/1swGwZOEqYlTEUCJLY-eeJM1911Kvaei5oySBIxdgtNo/edit?pli=1#gid=257618397"",""stock untanna!B:C""),2,false)"),"BP GEL + GANTUNGAN A931")</f>
        <v>BP GEL + GANTUNGAN A931</v>
      </c>
      <c r="F238" s="70" t="s">
        <v>458</v>
      </c>
      <c r="G238" s="71" t="s">
        <v>459</v>
      </c>
      <c r="H238" s="41" t="str">
        <f>IFERROR(__xludf.DUMMYFUNCTION("vlookup($D238,IMPORTRANGE(""https://docs.google.com/spreadsheets/d/1swGwZOEqYlTEUCJLY-eeJM1911Kvaei5oySBIxdgtNo/edit?pli=1#gid=257618397"",""stock untanna!B:F""),5,false)"),"IM")</f>
        <v>IM</v>
      </c>
      <c r="I238" s="42" t="str">
        <f>IFERROR(__xludf.DUMMYFUNCTION("vlookup($D238,IMPORTRANGE(""https://docs.google.com/spreadsheets/d/1swGwZOEqYlTEUCJLY-eeJM1911Kvaei5oySBIxdgtNo/edit?pli=1#gid=257618397"",""stock untanna!B:G""),6,false)"),"A931")</f>
        <v>A931</v>
      </c>
      <c r="J238" s="43" t="str">
        <f t="shared" si="1"/>
        <v>ADA</v>
      </c>
      <c r="K238" s="72">
        <v>3.0</v>
      </c>
      <c r="L238" s="53" t="s">
        <v>62</v>
      </c>
      <c r="M238" s="73">
        <v>52500.0</v>
      </c>
      <c r="N238" s="74"/>
      <c r="O238" s="73">
        <v>157500.0</v>
      </c>
      <c r="P238" s="46" t="str">
        <f t="shared" si="2"/>
        <v>Rp52,500-3 LSN-0.00%</v>
      </c>
      <c r="Q238" s="75">
        <v>45408.0</v>
      </c>
      <c r="R238" s="76"/>
      <c r="S238" s="75">
        <v>45418.0</v>
      </c>
      <c r="T238" s="49"/>
    </row>
    <row r="239">
      <c r="A239" s="69">
        <v>4326.0</v>
      </c>
      <c r="B239" s="69" t="s">
        <v>29</v>
      </c>
      <c r="C239" s="70" t="s">
        <v>155</v>
      </c>
      <c r="D239" s="69"/>
      <c r="E239" s="41" t="s">
        <v>460</v>
      </c>
      <c r="F239" s="70"/>
      <c r="G239" s="71" t="s">
        <v>460</v>
      </c>
      <c r="H239" s="41" t="str">
        <f>IFERROR(__xludf.DUMMYFUNCTION("vlookup($D239,IMPORTRANGE(""https://docs.google.com/spreadsheets/d/1swGwZOEqYlTEUCJLY-eeJM1911Kvaei5oySBIxdgtNo/edit?pli=1#gid=257618397"",""stock untanna!B:F""),5,false)"),"#N/A")</f>
        <v>#N/A</v>
      </c>
      <c r="I239" s="42" t="str">
        <f>IFERROR(__xludf.DUMMYFUNCTION("vlookup($D239,IMPORTRANGE(""https://docs.google.com/spreadsheets/d/1swGwZOEqYlTEUCJLY-eeJM1911Kvaei5oySBIxdgtNo/edit?pli=1#gid=257618397"",""stock untanna!B:G""),6,false)"),"#N/A")</f>
        <v>#N/A</v>
      </c>
      <c r="J239" s="43" t="str">
        <f t="shared" si="1"/>
        <v>TIDAK ADA</v>
      </c>
      <c r="K239" s="72">
        <v>3.0</v>
      </c>
      <c r="L239" s="53" t="s">
        <v>62</v>
      </c>
      <c r="M239" s="73">
        <v>52500.0</v>
      </c>
      <c r="N239" s="74"/>
      <c r="O239" s="73">
        <v>157500.0</v>
      </c>
      <c r="P239" s="46" t="str">
        <f t="shared" si="2"/>
        <v>Rp52,500-3 LSN-0.00%</v>
      </c>
      <c r="Q239" s="75">
        <v>45408.0</v>
      </c>
      <c r="R239" s="76"/>
      <c r="S239" s="75">
        <v>45418.0</v>
      </c>
      <c r="T239" s="49"/>
    </row>
    <row r="240">
      <c r="A240" s="69">
        <v>4326.0</v>
      </c>
      <c r="B240" s="69" t="s">
        <v>29</v>
      </c>
      <c r="C240" s="70" t="s">
        <v>155</v>
      </c>
      <c r="D240" s="69" t="s">
        <v>461</v>
      </c>
      <c r="E240" s="41" t="str">
        <f>IFERROR(__xludf.DUMMYFUNCTION("vlookup(D240,IMPORTRANGE(""https://docs.google.com/spreadsheets/d/1swGwZOEqYlTEUCJLY-eeJM1911Kvaei5oySBIxdgtNo/edit?pli=1#gid=257618397"",""stock untanna!B:C""),2,false)"),"TIPEX KERTAS NO.8539")</f>
        <v>TIPEX KERTAS NO.8539</v>
      </c>
      <c r="F240" s="70" t="s">
        <v>461</v>
      </c>
      <c r="G240" s="71" t="s">
        <v>462</v>
      </c>
      <c r="H240" s="41" t="str">
        <f>IFERROR(__xludf.DUMMYFUNCTION("vlookup($D240,IMPORTRANGE(""https://docs.google.com/spreadsheets/d/1swGwZOEqYlTEUCJLY-eeJM1911Kvaei5oySBIxdgtNo/edit?pli=1#gid=257618397"",""stock untanna!B:F""),5,false)"),"IM")</f>
        <v>IM</v>
      </c>
      <c r="I240" s="42" t="str">
        <f>IFERROR(__xludf.DUMMYFUNCTION("vlookup($D240,IMPORTRANGE(""https://docs.google.com/spreadsheets/d/1swGwZOEqYlTEUCJLY-eeJM1911Kvaei5oySBIxdgtNo/edit?pli=1#gid=257618397"",""stock untanna!B:G""),6,false)"),"8539")</f>
        <v>8539</v>
      </c>
      <c r="J240" s="43" t="str">
        <f t="shared" si="1"/>
        <v>ADA</v>
      </c>
      <c r="K240" s="72">
        <v>2.0</v>
      </c>
      <c r="L240" s="53" t="s">
        <v>62</v>
      </c>
      <c r="M240" s="73">
        <v>120000.0</v>
      </c>
      <c r="N240" s="74"/>
      <c r="O240" s="73">
        <v>240000.0</v>
      </c>
      <c r="P240" s="46" t="str">
        <f t="shared" si="2"/>
        <v>Rp120,000-2 LSN-0.00%</v>
      </c>
      <c r="Q240" s="75">
        <v>45408.0</v>
      </c>
      <c r="R240" s="76"/>
      <c r="S240" s="75">
        <v>45418.0</v>
      </c>
      <c r="T240" s="49"/>
    </row>
    <row r="241">
      <c r="A241" s="69">
        <v>4326.0</v>
      </c>
      <c r="B241" s="69" t="s">
        <v>29</v>
      </c>
      <c r="C241" s="70" t="s">
        <v>155</v>
      </c>
      <c r="D241" s="69" t="s">
        <v>463</v>
      </c>
      <c r="E241" s="41" t="str">
        <f>IFERROR(__xludf.DUMMYFUNCTION("vlookup(D241,IMPORTRANGE(""https://docs.google.com/spreadsheets/d/1swGwZOEqYlTEUCJLY-eeJM1911Kvaei5oySBIxdgtNo/edit?pli=1#gid=257618397"",""stock untanna!B:C""),2,false)"),"TIPEX KERTAS NO.8546")</f>
        <v>TIPEX KERTAS NO.8546</v>
      </c>
      <c r="F241" s="70" t="s">
        <v>463</v>
      </c>
      <c r="G241" s="71" t="s">
        <v>464</v>
      </c>
      <c r="H241" s="41" t="str">
        <f>IFERROR(__xludf.DUMMYFUNCTION("vlookup($D241,IMPORTRANGE(""https://docs.google.com/spreadsheets/d/1swGwZOEqYlTEUCJLY-eeJM1911Kvaei5oySBIxdgtNo/edit?pli=1#gid=257618397"",""stock untanna!B:F""),5,false)"),"IM")</f>
        <v>IM</v>
      </c>
      <c r="I241" s="42" t="str">
        <f>IFERROR(__xludf.DUMMYFUNCTION("vlookup($D241,IMPORTRANGE(""https://docs.google.com/spreadsheets/d/1swGwZOEqYlTEUCJLY-eeJM1911Kvaei5oySBIxdgtNo/edit?pli=1#gid=257618397"",""stock untanna!B:G""),6,false)"),"8546")</f>
        <v>8546</v>
      </c>
      <c r="J241" s="43" t="str">
        <f t="shared" si="1"/>
        <v>ADA</v>
      </c>
      <c r="K241" s="72">
        <v>2.0</v>
      </c>
      <c r="L241" s="53" t="s">
        <v>62</v>
      </c>
      <c r="M241" s="73">
        <v>120000.0</v>
      </c>
      <c r="N241" s="74"/>
      <c r="O241" s="73">
        <v>240000.0</v>
      </c>
      <c r="P241" s="46" t="str">
        <f t="shared" si="2"/>
        <v>Rp120,000-2 LSN-0.00%</v>
      </c>
      <c r="Q241" s="75">
        <v>45408.0</v>
      </c>
      <c r="R241" s="76"/>
      <c r="S241" s="75">
        <v>45418.0</v>
      </c>
      <c r="T241" s="49"/>
    </row>
    <row r="242">
      <c r="A242" s="69">
        <v>4326.0</v>
      </c>
      <c r="B242" s="69" t="s">
        <v>29</v>
      </c>
      <c r="C242" s="70" t="s">
        <v>155</v>
      </c>
      <c r="D242" s="69" t="s">
        <v>465</v>
      </c>
      <c r="E242" s="41" t="str">
        <f>IFERROR(__xludf.DUMMYFUNCTION("vlookup(D242,IMPORTRANGE(""https://docs.google.com/spreadsheets/d/1swGwZOEqYlTEUCJLY-eeJM1911Kvaei5oySBIxdgtNo/edit?pli=1#gid=257618397"",""stock untanna!B:C""),2,false)"),"TIPEX KERTAS 8525")</f>
        <v>TIPEX KERTAS 8525</v>
      </c>
      <c r="F242" s="70" t="s">
        <v>465</v>
      </c>
      <c r="G242" s="71" t="s">
        <v>466</v>
      </c>
      <c r="H242" s="41" t="str">
        <f>IFERROR(__xludf.DUMMYFUNCTION("vlookup($D242,IMPORTRANGE(""https://docs.google.com/spreadsheets/d/1swGwZOEqYlTEUCJLY-eeJM1911Kvaei5oySBIxdgtNo/edit?pli=1#gid=257618397"",""stock untanna!B:F""),5,false)"),"IM")</f>
        <v>IM</v>
      </c>
      <c r="I242" s="42" t="str">
        <f>IFERROR(__xludf.DUMMYFUNCTION("vlookup($D242,IMPORTRANGE(""https://docs.google.com/spreadsheets/d/1swGwZOEqYlTEUCJLY-eeJM1911Kvaei5oySBIxdgtNo/edit?pli=1#gid=257618397"",""stock untanna!B:G""),6,false)"),"8525")</f>
        <v>8525</v>
      </c>
      <c r="J242" s="43" t="str">
        <f t="shared" si="1"/>
        <v>ADA</v>
      </c>
      <c r="K242" s="72">
        <v>2.0</v>
      </c>
      <c r="L242" s="53" t="s">
        <v>62</v>
      </c>
      <c r="M242" s="73">
        <v>120000.0</v>
      </c>
      <c r="N242" s="74"/>
      <c r="O242" s="73">
        <v>240000.0</v>
      </c>
      <c r="P242" s="46" t="str">
        <f t="shared" si="2"/>
        <v>Rp120,000-2 LSN-0.00%</v>
      </c>
      <c r="Q242" s="75">
        <v>45408.0</v>
      </c>
      <c r="R242" s="76"/>
      <c r="S242" s="75">
        <v>45418.0</v>
      </c>
      <c r="T242" s="49"/>
    </row>
    <row r="243">
      <c r="A243" s="69">
        <v>4326.0</v>
      </c>
      <c r="B243" s="69" t="s">
        <v>29</v>
      </c>
      <c r="C243" s="70" t="s">
        <v>155</v>
      </c>
      <c r="D243" s="69" t="s">
        <v>467</v>
      </c>
      <c r="E243" s="41" t="str">
        <f>IFERROR(__xludf.DUMMYFUNCTION("vlookup(D243,IMPORTRANGE(""https://docs.google.com/spreadsheets/d/1swGwZOEqYlTEUCJLY-eeJM1911Kvaei5oySBIxdgtNo/edit?pli=1#gid=257618397"",""stock untanna!B:C""),2,false)"),"BENSIA 03LM4 (6202)")</f>
        <v>BENSIA 03LM4 (6202)</v>
      </c>
      <c r="F243" s="70" t="s">
        <v>467</v>
      </c>
      <c r="G243" s="71" t="s">
        <v>468</v>
      </c>
      <c r="H243" s="41" t="str">
        <f>IFERROR(__xludf.DUMMYFUNCTION("vlookup($D243,IMPORTRANGE(""https://docs.google.com/spreadsheets/d/1swGwZOEqYlTEUCJLY-eeJM1911Kvaei5oySBIxdgtNo/edit?pli=1#gid=257618397"",""stock untanna!B:F""),5,false)"),"PN")</f>
        <v>PN</v>
      </c>
      <c r="I243" s="42" t="str">
        <f>IFERROR(__xludf.DUMMYFUNCTION("vlookup($D243,IMPORTRANGE(""https://docs.google.com/spreadsheets/d/1swGwZOEqYlTEUCJLY-eeJM1911Kvaei5oySBIxdgtNo/edit?pli=1#gid=257618397"",""stock untanna!B:G""),6,false)"),"6202")</f>
        <v>6202</v>
      </c>
      <c r="J243" s="43" t="str">
        <f t="shared" si="1"/>
        <v>ADA</v>
      </c>
      <c r="K243" s="72">
        <v>2.0</v>
      </c>
      <c r="L243" s="53" t="s">
        <v>88</v>
      </c>
      <c r="M243" s="73">
        <v>73500.0</v>
      </c>
      <c r="N243" s="74"/>
      <c r="O243" s="73">
        <v>147000.0</v>
      </c>
      <c r="P243" s="46" t="str">
        <f t="shared" si="2"/>
        <v>Rp73,500-2 BOX-0.00%</v>
      </c>
      <c r="Q243" s="75">
        <v>45408.0</v>
      </c>
      <c r="R243" s="76"/>
      <c r="S243" s="75">
        <v>45418.0</v>
      </c>
      <c r="T243" s="49"/>
    </row>
    <row r="244">
      <c r="A244" s="69">
        <v>4326.0</v>
      </c>
      <c r="B244" s="69" t="s">
        <v>29</v>
      </c>
      <c r="C244" s="70" t="s">
        <v>155</v>
      </c>
      <c r="D244" s="69" t="s">
        <v>469</v>
      </c>
      <c r="E244" s="41" t="str">
        <f>IFERROR(__xludf.DUMMYFUNCTION("vlookup(D244,IMPORTRANGE(""https://docs.google.com/spreadsheets/d/1swGwZOEqYlTEUCJLY-eeJM1911Kvaei5oySBIxdgtNo/edit?pli=1#gid=257618397"",""stock untanna!B:C""),2,false)"),"BENSIA ZC 9937 (50)")</f>
        <v>BENSIA ZC 9937 (50)</v>
      </c>
      <c r="F244" s="70" t="s">
        <v>469</v>
      </c>
      <c r="G244" s="71" t="s">
        <v>470</v>
      </c>
      <c r="H244" s="41" t="str">
        <f>IFERROR(__xludf.DUMMYFUNCTION("vlookup($D244,IMPORTRANGE(""https://docs.google.com/spreadsheets/d/1swGwZOEqYlTEUCJLY-eeJM1911Kvaei5oySBIxdgtNo/edit?pli=1#gid=257618397"",""stock untanna!B:F""),5,false)"),"NB")</f>
        <v>NB</v>
      </c>
      <c r="I244" s="42" t="str">
        <f>IFERROR(__xludf.DUMMYFUNCTION("vlookup($D244,IMPORTRANGE(""https://docs.google.com/spreadsheets/d/1swGwZOEqYlTEUCJLY-eeJM1911Kvaei5oySBIxdgtNo/edit?pli=1#gid=257618397"",""stock untanna!B:G""),6,false)"),"9937")</f>
        <v>9937</v>
      </c>
      <c r="J244" s="43" t="str">
        <f t="shared" si="1"/>
        <v>ADA</v>
      </c>
      <c r="K244" s="72">
        <v>2.0</v>
      </c>
      <c r="L244" s="53" t="s">
        <v>88</v>
      </c>
      <c r="M244" s="73">
        <v>35000.0</v>
      </c>
      <c r="N244" s="74"/>
      <c r="O244" s="73">
        <v>70000.0</v>
      </c>
      <c r="P244" s="46" t="str">
        <f t="shared" si="2"/>
        <v>Rp35,000-2 BOX-0.00%</v>
      </c>
      <c r="Q244" s="75">
        <v>45408.0</v>
      </c>
      <c r="R244" s="76"/>
      <c r="S244" s="75">
        <v>45418.0</v>
      </c>
      <c r="T244" s="49"/>
    </row>
    <row r="245">
      <c r="A245" s="69">
        <v>4326.0</v>
      </c>
      <c r="B245" s="69" t="s">
        <v>29</v>
      </c>
      <c r="C245" s="70" t="s">
        <v>155</v>
      </c>
      <c r="D245" s="69" t="s">
        <v>471</v>
      </c>
      <c r="E245" s="41" t="str">
        <f>IFERROR(__xludf.DUMMYFUNCTION("vlookup(D245,IMPORTRANGE(""https://docs.google.com/spreadsheets/d/1swGwZOEqYlTEUCJLY-eeJM1911Kvaei5oySBIxdgtNo/edit?pli=1#gid=257618397"",""stock untanna!B:C""),2,false)"),"BENSIA 09LM1 (6213)")</f>
        <v>BENSIA 09LM1 (6213)</v>
      </c>
      <c r="F245" s="70" t="s">
        <v>471</v>
      </c>
      <c r="G245" s="71" t="s">
        <v>472</v>
      </c>
      <c r="H245" s="41" t="str">
        <f>IFERROR(__xludf.DUMMYFUNCTION("vlookup($D245,IMPORTRANGE(""https://docs.google.com/spreadsheets/d/1swGwZOEqYlTEUCJLY-eeJM1911Kvaei5oySBIxdgtNo/edit?pli=1#gid=257618397"",""stock untanna!B:F""),5,false)"),"PN")</f>
        <v>PN</v>
      </c>
      <c r="I245" s="42" t="str">
        <f>IFERROR(__xludf.DUMMYFUNCTION("vlookup($D245,IMPORTRANGE(""https://docs.google.com/spreadsheets/d/1swGwZOEqYlTEUCJLY-eeJM1911Kvaei5oySBIxdgtNo/edit?pli=1#gid=257618397"",""stock untanna!B:G""),6,false)"),"6213")</f>
        <v>6213</v>
      </c>
      <c r="J245" s="43" t="str">
        <f t="shared" si="1"/>
        <v>ADA</v>
      </c>
      <c r="K245" s="72">
        <v>2.0</v>
      </c>
      <c r="L245" s="53" t="s">
        <v>88</v>
      </c>
      <c r="M245" s="73">
        <v>73500.0</v>
      </c>
      <c r="N245" s="74"/>
      <c r="O245" s="73">
        <v>147000.0</v>
      </c>
      <c r="P245" s="46" t="str">
        <f t="shared" si="2"/>
        <v>Rp73,500-2 BOX-0.00%</v>
      </c>
      <c r="Q245" s="75">
        <v>45408.0</v>
      </c>
      <c r="R245" s="76"/>
      <c r="S245" s="75">
        <v>45418.0</v>
      </c>
      <c r="T245" s="49"/>
    </row>
    <row r="246">
      <c r="A246" s="69">
        <v>4326.0</v>
      </c>
      <c r="B246" s="69" t="s">
        <v>29</v>
      </c>
      <c r="C246" s="70" t="s">
        <v>155</v>
      </c>
      <c r="D246" s="69" t="s">
        <v>473</v>
      </c>
      <c r="E246" s="41" t="str">
        <f>IFERROR(__xludf.DUMMYFUNCTION("vlookup(D246,IMPORTRANGE(""https://docs.google.com/spreadsheets/d/1swGwZOEqYlTEUCJLY-eeJM1911Kvaei5oySBIxdgtNo/edit?pli=1#gid=257618397"",""stock untanna!B:C""),2,false)"),"BENSIA CYLN 6203/ 5333")</f>
        <v>BENSIA CYLN 6203/ 5333</v>
      </c>
      <c r="F246" s="70" t="s">
        <v>473</v>
      </c>
      <c r="G246" s="71" t="s">
        <v>474</v>
      </c>
      <c r="H246" s="41" t="str">
        <f>IFERROR(__xludf.DUMMYFUNCTION("vlookup($D246,IMPORTRANGE(""https://docs.google.com/spreadsheets/d/1swGwZOEqYlTEUCJLY-eeJM1911Kvaei5oySBIxdgtNo/edit?pli=1#gid=257618397"",""stock untanna!B:F""),5,false)"),"PN")</f>
        <v>PN</v>
      </c>
      <c r="I246" s="42" t="str">
        <f>IFERROR(__xludf.DUMMYFUNCTION("vlookup($D246,IMPORTRANGE(""https://docs.google.com/spreadsheets/d/1swGwZOEqYlTEUCJLY-eeJM1911Kvaei5oySBIxdgtNo/edit?pli=1#gid=257618397"",""stock untanna!B:G""),6,false)"),"6203")</f>
        <v>6203</v>
      </c>
      <c r="J246" s="43" t="str">
        <f t="shared" si="1"/>
        <v>ADA</v>
      </c>
      <c r="K246" s="72">
        <v>2.0</v>
      </c>
      <c r="L246" s="53" t="s">
        <v>88</v>
      </c>
      <c r="M246" s="73">
        <v>87500.0</v>
      </c>
      <c r="N246" s="74"/>
      <c r="O246" s="73">
        <v>175000.0</v>
      </c>
      <c r="P246" s="46" t="str">
        <f t="shared" si="2"/>
        <v>Rp87,500-2 BOX-0.00%</v>
      </c>
      <c r="Q246" s="75">
        <v>45408.0</v>
      </c>
      <c r="R246" s="76"/>
      <c r="S246" s="75">
        <v>45418.0</v>
      </c>
      <c r="T246" s="49"/>
    </row>
    <row r="247">
      <c r="A247" s="69">
        <v>4326.0</v>
      </c>
      <c r="B247" s="69" t="s">
        <v>29</v>
      </c>
      <c r="C247" s="70" t="s">
        <v>155</v>
      </c>
      <c r="D247" s="69" t="s">
        <v>475</v>
      </c>
      <c r="E247" s="41" t="str">
        <f>IFERROR(__xludf.DUMMYFUNCTION("vlookup(D247,IMPORTRANGE(""https://docs.google.com/spreadsheets/d/1swGwZOEqYlTEUCJLY-eeJM1911Kvaei5oySBIxdgtNo/edit?pli=1#gid=257618397"",""stock untanna!B:C""),2,false)"),"BENSIA 13LM1 (6212)")</f>
        <v>BENSIA 13LM1 (6212)</v>
      </c>
      <c r="F247" s="70" t="s">
        <v>475</v>
      </c>
      <c r="G247" s="71" t="s">
        <v>476</v>
      </c>
      <c r="H247" s="41" t="str">
        <f>IFERROR(__xludf.DUMMYFUNCTION("vlookup($D247,IMPORTRANGE(""https://docs.google.com/spreadsheets/d/1swGwZOEqYlTEUCJLY-eeJM1911Kvaei5oySBIxdgtNo/edit?pli=1#gid=257618397"",""stock untanna!B:F""),5,false)"),"PN")</f>
        <v>PN</v>
      </c>
      <c r="I247" s="42" t="str">
        <f>IFERROR(__xludf.DUMMYFUNCTION("vlookup($D247,IMPORTRANGE(""https://docs.google.com/spreadsheets/d/1swGwZOEqYlTEUCJLY-eeJM1911Kvaei5oySBIxdgtNo/edit?pli=1#gid=257618397"",""stock untanna!B:G""),6,false)"),"6212")</f>
        <v>6212</v>
      </c>
      <c r="J247" s="43" t="str">
        <f t="shared" si="1"/>
        <v>ADA</v>
      </c>
      <c r="K247" s="72">
        <v>2.0</v>
      </c>
      <c r="L247" s="53" t="s">
        <v>88</v>
      </c>
      <c r="M247" s="73">
        <v>87500.0</v>
      </c>
      <c r="N247" s="74"/>
      <c r="O247" s="73">
        <v>175000.0</v>
      </c>
      <c r="P247" s="46" t="str">
        <f t="shared" si="2"/>
        <v>Rp87,500-2 BOX-0.00%</v>
      </c>
      <c r="Q247" s="75">
        <v>45408.0</v>
      </c>
      <c r="R247" s="76"/>
      <c r="S247" s="75">
        <v>45418.0</v>
      </c>
      <c r="T247" s="49"/>
    </row>
    <row r="248">
      <c r="A248" s="69">
        <v>4327.0</v>
      </c>
      <c r="B248" s="69" t="s">
        <v>29</v>
      </c>
      <c r="C248" s="70" t="s">
        <v>155</v>
      </c>
      <c r="D248" s="69" t="s">
        <v>477</v>
      </c>
      <c r="E248" s="41" t="str">
        <f>IFERROR(__xludf.DUMMYFUNCTION("vlookup(D248,IMPORTRANGE(""https://docs.google.com/spreadsheets/d/1swGwZOEqYlTEUCJLY-eeJM1911Kvaei5oySBIxdgtNo/edit?pli=1#gid=257618397"",""stock untanna!B:C""),2,false)"),"BP ST 500 LIGHT")</f>
        <v>BP ST 500 LIGHT</v>
      </c>
      <c r="F248" s="70" t="s">
        <v>477</v>
      </c>
      <c r="G248" s="71" t="s">
        <v>478</v>
      </c>
      <c r="H248" s="41" t="str">
        <f>IFERROR(__xludf.DUMMYFUNCTION("vlookup($D248,IMPORTRANGE(""https://docs.google.com/spreadsheets/d/1swGwZOEqYlTEUCJLY-eeJM1911Kvaei5oySBIxdgtNo/edit?pli=1#gid=257618397"",""stock untanna!B:F""),5,false)"),"NB")</f>
        <v>NB</v>
      </c>
      <c r="I248" s="42" t="str">
        <f>IFERROR(__xludf.DUMMYFUNCTION("vlookup($D248,IMPORTRANGE(""https://docs.google.com/spreadsheets/d/1swGwZOEqYlTEUCJLY-eeJM1911Kvaei5oySBIxdgtNo/edit?pli=1#gid=257618397"",""stock untanna!B:G""),6,false)"),"")</f>
        <v/>
      </c>
      <c r="J248" s="43" t="str">
        <f t="shared" si="1"/>
        <v>ADA</v>
      </c>
      <c r="K248" s="72">
        <v>12.0</v>
      </c>
      <c r="L248" s="53" t="s">
        <v>62</v>
      </c>
      <c r="M248" s="73">
        <v>15000.0</v>
      </c>
      <c r="N248" s="74"/>
      <c r="O248" s="73">
        <v>180000.0</v>
      </c>
      <c r="P248" s="46" t="str">
        <f t="shared" si="2"/>
        <v>Rp15,000-12 LSN-0.00%</v>
      </c>
      <c r="Q248" s="75">
        <v>45408.0</v>
      </c>
      <c r="R248" s="76"/>
      <c r="S248" s="75">
        <v>45418.0</v>
      </c>
      <c r="T248" s="49"/>
    </row>
    <row r="249">
      <c r="A249" s="69">
        <v>4327.0</v>
      </c>
      <c r="B249" s="69" t="s">
        <v>29</v>
      </c>
      <c r="C249" s="70" t="s">
        <v>155</v>
      </c>
      <c r="D249" s="69" t="s">
        <v>479</v>
      </c>
      <c r="E249" s="41" t="str">
        <f>IFERROR(__xludf.DUMMYFUNCTION("vlookup(D249,IMPORTRANGE(""https://docs.google.com/spreadsheets/d/1swGwZOEqYlTEUCJLY-eeJM1911Kvaei5oySBIxdgtNo/edit?pli=1#gid=257618397"",""stock untanna!B:C""),2,false)"),"BP GEL DTIAN A 93")</f>
        <v>BP GEL DTIAN A 93</v>
      </c>
      <c r="F249" s="70" t="s">
        <v>479</v>
      </c>
      <c r="G249" s="71" t="s">
        <v>480</v>
      </c>
      <c r="H249" s="41" t="str">
        <f>IFERROR(__xludf.DUMMYFUNCTION("vlookup($D249,IMPORTRANGE(""https://docs.google.com/spreadsheets/d/1swGwZOEqYlTEUCJLY-eeJM1911Kvaei5oySBIxdgtNo/edit?pli=1#gid=257618397"",""stock untanna!B:F""),5,false)"),"IM")</f>
        <v>IM</v>
      </c>
      <c r="I249" s="42" t="str">
        <f>IFERROR(__xludf.DUMMYFUNCTION("vlookup($D249,IMPORTRANGE(""https://docs.google.com/spreadsheets/d/1swGwZOEqYlTEUCJLY-eeJM1911Kvaei5oySBIxdgtNo/edit?pli=1#gid=257618397"",""stock untanna!B:G""),6,false)"),"A 93")</f>
        <v>A 93</v>
      </c>
      <c r="J249" s="43" t="str">
        <f t="shared" si="1"/>
        <v>ADA</v>
      </c>
      <c r="K249" s="72">
        <v>12.0</v>
      </c>
      <c r="L249" s="53" t="s">
        <v>62</v>
      </c>
      <c r="M249" s="73">
        <v>18500.0</v>
      </c>
      <c r="N249" s="74"/>
      <c r="O249" s="73">
        <v>222000.0</v>
      </c>
      <c r="P249" s="46" t="str">
        <f t="shared" si="2"/>
        <v>Rp18,500-12 LSN-0.00%</v>
      </c>
      <c r="Q249" s="75">
        <v>45408.0</v>
      </c>
      <c r="R249" s="76"/>
      <c r="S249" s="75">
        <v>45418.0</v>
      </c>
      <c r="T249" s="49"/>
    </row>
    <row r="250">
      <c r="A250" s="69">
        <v>4327.0</v>
      </c>
      <c r="B250" s="69" t="s">
        <v>29</v>
      </c>
      <c r="C250" s="70" t="s">
        <v>155</v>
      </c>
      <c r="D250" s="69"/>
      <c r="E250" s="41" t="s">
        <v>481</v>
      </c>
      <c r="F250" s="70"/>
      <c r="G250" s="71" t="s">
        <v>481</v>
      </c>
      <c r="H250" s="41" t="str">
        <f>IFERROR(__xludf.DUMMYFUNCTION("vlookup($D250,IMPORTRANGE(""https://docs.google.com/spreadsheets/d/1swGwZOEqYlTEUCJLY-eeJM1911Kvaei5oySBIxdgtNo/edit?pli=1#gid=257618397"",""stock untanna!B:F""),5,false)"),"#N/A")</f>
        <v>#N/A</v>
      </c>
      <c r="I250" s="42" t="str">
        <f>IFERROR(__xludf.DUMMYFUNCTION("vlookup($D250,IMPORTRANGE(""https://docs.google.com/spreadsheets/d/1swGwZOEqYlTEUCJLY-eeJM1911Kvaei5oySBIxdgtNo/edit?pli=1#gid=257618397"",""stock untanna!B:G""),6,false)"),"#N/A")</f>
        <v>#N/A</v>
      </c>
      <c r="J250" s="43" t="str">
        <f t="shared" si="1"/>
        <v>TIDAK ADA</v>
      </c>
      <c r="K250" s="72">
        <v>6.0</v>
      </c>
      <c r="L250" s="53" t="s">
        <v>62</v>
      </c>
      <c r="M250" s="73">
        <v>25000.0</v>
      </c>
      <c r="N250" s="74"/>
      <c r="O250" s="73">
        <v>150000.0</v>
      </c>
      <c r="P250" s="46" t="str">
        <f t="shared" si="2"/>
        <v>Rp25,000-6 LSN-0.00%</v>
      </c>
      <c r="Q250" s="75">
        <v>45408.0</v>
      </c>
      <c r="R250" s="76"/>
      <c r="S250" s="75">
        <v>45418.0</v>
      </c>
      <c r="T250" s="49"/>
    </row>
    <row r="251">
      <c r="A251" s="69">
        <v>4327.0</v>
      </c>
      <c r="B251" s="69" t="s">
        <v>29</v>
      </c>
      <c r="C251" s="70" t="s">
        <v>155</v>
      </c>
      <c r="D251" s="69"/>
      <c r="E251" s="41" t="s">
        <v>482</v>
      </c>
      <c r="F251" s="70"/>
      <c r="G251" s="71" t="s">
        <v>482</v>
      </c>
      <c r="H251" s="41" t="str">
        <f>IFERROR(__xludf.DUMMYFUNCTION("vlookup($D251,IMPORTRANGE(""https://docs.google.com/spreadsheets/d/1swGwZOEqYlTEUCJLY-eeJM1911Kvaei5oySBIxdgtNo/edit?pli=1#gid=257618397"",""stock untanna!B:F""),5,false)"),"#N/A")</f>
        <v>#N/A</v>
      </c>
      <c r="I251" s="42" t="str">
        <f>IFERROR(__xludf.DUMMYFUNCTION("vlookup($D251,IMPORTRANGE(""https://docs.google.com/spreadsheets/d/1swGwZOEqYlTEUCJLY-eeJM1911Kvaei5oySBIxdgtNo/edit?pli=1#gid=257618397"",""stock untanna!B:G""),6,false)"),"#N/A")</f>
        <v>#N/A</v>
      </c>
      <c r="J251" s="43" t="str">
        <f t="shared" si="1"/>
        <v>TIDAK ADA</v>
      </c>
      <c r="K251" s="72">
        <v>6.0</v>
      </c>
      <c r="L251" s="53" t="s">
        <v>62</v>
      </c>
      <c r="M251" s="73">
        <v>15000.0</v>
      </c>
      <c r="N251" s="74"/>
      <c r="O251" s="73">
        <v>90000.0</v>
      </c>
      <c r="P251" s="46" t="str">
        <f t="shared" si="2"/>
        <v>Rp15,000-6 LSN-0.00%</v>
      </c>
      <c r="Q251" s="75">
        <v>45408.0</v>
      </c>
      <c r="R251" s="76"/>
      <c r="S251" s="75">
        <v>45418.0</v>
      </c>
      <c r="T251" s="49"/>
    </row>
    <row r="252">
      <c r="A252" s="69">
        <v>4327.0</v>
      </c>
      <c r="B252" s="69" t="s">
        <v>29</v>
      </c>
      <c r="C252" s="70" t="s">
        <v>155</v>
      </c>
      <c r="D252" s="69" t="s">
        <v>483</v>
      </c>
      <c r="E252" s="41" t="str">
        <f>IFERROR(__xludf.DUMMYFUNCTION("vlookup(D252,IMPORTRANGE(""https://docs.google.com/spreadsheets/d/1swGwZOEqYlTEUCJLY-eeJM1911Kvaei5oySBIxdgtNo/edit?pli=1#gid=257618397"",""stock untanna!B:C""),2,false)"),"BP GEL DTIAN DT-830 + STIP")</f>
        <v>BP GEL DTIAN DT-830 + STIP</v>
      </c>
      <c r="F252" s="70" t="s">
        <v>483</v>
      </c>
      <c r="G252" s="71" t="s">
        <v>484</v>
      </c>
      <c r="H252" s="41" t="str">
        <f>IFERROR(__xludf.DUMMYFUNCTION("vlookup($D252,IMPORTRANGE(""https://docs.google.com/spreadsheets/d/1swGwZOEqYlTEUCJLY-eeJM1911Kvaei5oySBIxdgtNo/edit?pli=1#gid=257618397"",""stock untanna!B:F""),5,false)"),"IM")</f>
        <v>IM</v>
      </c>
      <c r="I252" s="42" t="str">
        <f>IFERROR(__xludf.DUMMYFUNCTION("vlookup($D252,IMPORTRANGE(""https://docs.google.com/spreadsheets/d/1swGwZOEqYlTEUCJLY-eeJM1911Kvaei5oySBIxdgtNo/edit?pli=1#gid=257618397"",""stock untanna!B:G""),6,false)"),"DT-830")</f>
        <v>DT-830</v>
      </c>
      <c r="J252" s="43" t="str">
        <f t="shared" si="1"/>
        <v>ADA</v>
      </c>
      <c r="K252" s="72">
        <v>3.0</v>
      </c>
      <c r="L252" s="53" t="s">
        <v>62</v>
      </c>
      <c r="M252" s="73">
        <v>20000.0</v>
      </c>
      <c r="N252" s="74"/>
      <c r="O252" s="73">
        <v>60000.0</v>
      </c>
      <c r="P252" s="46" t="str">
        <f t="shared" si="2"/>
        <v>Rp20,000-3 LSN-0.00%</v>
      </c>
      <c r="Q252" s="75">
        <v>45408.0</v>
      </c>
      <c r="R252" s="76"/>
      <c r="S252" s="75">
        <v>45418.0</v>
      </c>
      <c r="T252" s="49"/>
    </row>
    <row r="253">
      <c r="A253" s="69">
        <v>4327.0</v>
      </c>
      <c r="B253" s="69" t="s">
        <v>29</v>
      </c>
      <c r="C253" s="70" t="s">
        <v>155</v>
      </c>
      <c r="D253" s="69" t="s">
        <v>485</v>
      </c>
      <c r="E253" s="41" t="str">
        <f>IFERROR(__xludf.DUMMYFUNCTION("vlookup(D253,IMPORTRANGE(""https://docs.google.com/spreadsheets/d/1swGwZOEqYlTEUCJLY-eeJM1911Kvaei5oySBIxdgtNo/edit?pli=1#gid=257618397"",""stock untanna!B:C""),2,false)"),"BP GEL DTIAN DT-832 + STIP")</f>
        <v>BP GEL DTIAN DT-832 + STIP</v>
      </c>
      <c r="F253" s="70" t="s">
        <v>485</v>
      </c>
      <c r="G253" s="71" t="s">
        <v>486</v>
      </c>
      <c r="H253" s="41" t="str">
        <f>IFERROR(__xludf.DUMMYFUNCTION("vlookup($D253,IMPORTRANGE(""https://docs.google.com/spreadsheets/d/1swGwZOEqYlTEUCJLY-eeJM1911Kvaei5oySBIxdgtNo/edit?pli=1#gid=257618397"",""stock untanna!B:F""),5,false)"),"IM")</f>
        <v>IM</v>
      </c>
      <c r="I253" s="42" t="str">
        <f>IFERROR(__xludf.DUMMYFUNCTION("vlookup($D253,IMPORTRANGE(""https://docs.google.com/spreadsheets/d/1swGwZOEqYlTEUCJLY-eeJM1911Kvaei5oySBIxdgtNo/edit?pli=1#gid=257618397"",""stock untanna!B:G""),6,false)"),"DT-832")</f>
        <v>DT-832</v>
      </c>
      <c r="J253" s="43" t="str">
        <f t="shared" si="1"/>
        <v>ADA</v>
      </c>
      <c r="K253" s="72">
        <v>3.0</v>
      </c>
      <c r="L253" s="53" t="s">
        <v>62</v>
      </c>
      <c r="M253" s="73">
        <v>20000.0</v>
      </c>
      <c r="N253" s="74"/>
      <c r="O253" s="73">
        <v>60000.0</v>
      </c>
      <c r="P253" s="46" t="str">
        <f t="shared" si="2"/>
        <v>Rp20,000-3 LSN-0.00%</v>
      </c>
      <c r="Q253" s="75">
        <v>45408.0</v>
      </c>
      <c r="R253" s="76"/>
      <c r="S253" s="75">
        <v>45418.0</v>
      </c>
      <c r="T253" s="49"/>
    </row>
    <row r="254">
      <c r="A254" s="69">
        <v>4327.0</v>
      </c>
      <c r="B254" s="69" t="s">
        <v>29</v>
      </c>
      <c r="C254" s="70" t="s">
        <v>155</v>
      </c>
      <c r="D254" s="69" t="s">
        <v>487</v>
      </c>
      <c r="E254" s="41" t="str">
        <f>IFERROR(__xludf.DUMMYFUNCTION("vlookup(D254,IMPORTRANGE(""https://docs.google.com/spreadsheets/d/1swGwZOEqYlTEUCJLY-eeJM1911Kvaei5oySBIxdgtNo/edit?pli=1#gid=257618397"",""stock untanna!B:C""),2,false)"),"BP GEL DTIAN DT-835 + STIP")</f>
        <v>BP GEL DTIAN DT-835 + STIP</v>
      </c>
      <c r="F254" s="70" t="s">
        <v>487</v>
      </c>
      <c r="G254" s="71" t="s">
        <v>488</v>
      </c>
      <c r="H254" s="41" t="str">
        <f>IFERROR(__xludf.DUMMYFUNCTION("vlookup($D254,IMPORTRANGE(""https://docs.google.com/spreadsheets/d/1swGwZOEqYlTEUCJLY-eeJM1911Kvaei5oySBIxdgtNo/edit?pli=1#gid=257618397"",""stock untanna!B:F""),5,false)"),"IM")</f>
        <v>IM</v>
      </c>
      <c r="I254" s="42" t="str">
        <f>IFERROR(__xludf.DUMMYFUNCTION("vlookup($D254,IMPORTRANGE(""https://docs.google.com/spreadsheets/d/1swGwZOEqYlTEUCJLY-eeJM1911Kvaei5oySBIxdgtNo/edit?pli=1#gid=257618397"",""stock untanna!B:G""),6,false)"),"DT-835")</f>
        <v>DT-835</v>
      </c>
      <c r="J254" s="43" t="str">
        <f t="shared" si="1"/>
        <v>ADA</v>
      </c>
      <c r="K254" s="72">
        <v>3.0</v>
      </c>
      <c r="L254" s="53" t="s">
        <v>62</v>
      </c>
      <c r="M254" s="73">
        <v>20000.0</v>
      </c>
      <c r="N254" s="74"/>
      <c r="O254" s="73">
        <v>60000.0</v>
      </c>
      <c r="P254" s="46" t="str">
        <f t="shared" si="2"/>
        <v>Rp20,000-3 LSN-0.00%</v>
      </c>
      <c r="Q254" s="75">
        <v>45408.0</v>
      </c>
      <c r="R254" s="76"/>
      <c r="S254" s="75">
        <v>45418.0</v>
      </c>
      <c r="T254" s="49"/>
    </row>
    <row r="255">
      <c r="A255" s="69">
        <v>4327.0</v>
      </c>
      <c r="B255" s="69" t="s">
        <v>29</v>
      </c>
      <c r="C255" s="70" t="s">
        <v>155</v>
      </c>
      <c r="D255" s="69" t="s">
        <v>489</v>
      </c>
      <c r="E255" s="41" t="str">
        <f>IFERROR(__xludf.DUMMYFUNCTION("vlookup(D255,IMPORTRANGE(""https://docs.google.com/spreadsheets/d/1swGwZOEqYlTEUCJLY-eeJM1911Kvaei5oySBIxdgtNo/edit?pli=1#gid=257618397"",""stock untanna!B:C""),2,false)"),"BP GEL 837 + STIP")</f>
        <v>BP GEL 837 + STIP</v>
      </c>
      <c r="F255" s="70" t="s">
        <v>489</v>
      </c>
      <c r="G255" s="71" t="s">
        <v>490</v>
      </c>
      <c r="H255" s="41" t="str">
        <f>IFERROR(__xludf.DUMMYFUNCTION("vlookup($D255,IMPORTRANGE(""https://docs.google.com/spreadsheets/d/1swGwZOEqYlTEUCJLY-eeJM1911Kvaei5oySBIxdgtNo/edit?pli=1#gid=257618397"",""stock untanna!B:F""),5,false)"),"IM")</f>
        <v>IM</v>
      </c>
      <c r="I255" s="42" t="str">
        <f>IFERROR(__xludf.DUMMYFUNCTION("vlookup($D255,IMPORTRANGE(""https://docs.google.com/spreadsheets/d/1swGwZOEqYlTEUCJLY-eeJM1911Kvaei5oySBIxdgtNo/edit?pli=1#gid=257618397"",""stock untanna!B:G""),6,false)"),"")</f>
        <v/>
      </c>
      <c r="J255" s="43" t="str">
        <f t="shared" si="1"/>
        <v>ADA</v>
      </c>
      <c r="K255" s="72">
        <v>36.0</v>
      </c>
      <c r="L255" s="53" t="s">
        <v>69</v>
      </c>
      <c r="M255" s="73">
        <v>1667.0</v>
      </c>
      <c r="N255" s="74"/>
      <c r="O255" s="73">
        <v>60012.0</v>
      </c>
      <c r="P255" s="46" t="str">
        <f t="shared" si="2"/>
        <v>Rp1,667-36 PCS-0.00%</v>
      </c>
      <c r="Q255" s="75">
        <v>45408.0</v>
      </c>
      <c r="R255" s="76"/>
      <c r="S255" s="75">
        <v>45418.0</v>
      </c>
      <c r="T255" s="49"/>
    </row>
    <row r="256">
      <c r="A256" s="69">
        <v>4327.0</v>
      </c>
      <c r="B256" s="69" t="s">
        <v>29</v>
      </c>
      <c r="C256" s="70" t="s">
        <v>155</v>
      </c>
      <c r="D256" s="69" t="s">
        <v>491</v>
      </c>
      <c r="E256" s="41" t="str">
        <f>IFERROR(__xludf.DUMMYFUNCTION("vlookup(D256,IMPORTRANGE(""https://docs.google.com/spreadsheets/d/1swGwZOEqYlTEUCJLY-eeJM1911Kvaei5oySBIxdgtNo/edit?pli=1#gid=257618397"",""stock untanna!B:C""),2,false)"),"BP GEL 8801 + STIP")</f>
        <v>BP GEL 8801 + STIP</v>
      </c>
      <c r="F256" s="70" t="s">
        <v>491</v>
      </c>
      <c r="G256" s="71" t="s">
        <v>492</v>
      </c>
      <c r="H256" s="41" t="str">
        <f>IFERROR(__xludf.DUMMYFUNCTION("vlookup($D256,IMPORTRANGE(""https://docs.google.com/spreadsheets/d/1swGwZOEqYlTEUCJLY-eeJM1911Kvaei5oySBIxdgtNo/edit?pli=1#gid=257618397"",""stock untanna!B:F""),5,false)"),"IM")</f>
        <v>IM</v>
      </c>
      <c r="I256" s="42" t="str">
        <f>IFERROR(__xludf.DUMMYFUNCTION("vlookup($D256,IMPORTRANGE(""https://docs.google.com/spreadsheets/d/1swGwZOEqYlTEUCJLY-eeJM1911Kvaei5oySBIxdgtNo/edit?pli=1#gid=257618397"",""stock untanna!B:G""),6,false)"),"")</f>
        <v/>
      </c>
      <c r="J256" s="43" t="str">
        <f t="shared" si="1"/>
        <v>ADA</v>
      </c>
      <c r="K256" s="72">
        <v>36.0</v>
      </c>
      <c r="L256" s="53" t="s">
        <v>69</v>
      </c>
      <c r="M256" s="73">
        <v>1667.0</v>
      </c>
      <c r="N256" s="74"/>
      <c r="O256" s="73">
        <v>60012.0</v>
      </c>
      <c r="P256" s="46" t="str">
        <f t="shared" si="2"/>
        <v>Rp1,667-36 PCS-0.00%</v>
      </c>
      <c r="Q256" s="75">
        <v>45408.0</v>
      </c>
      <c r="R256" s="76"/>
      <c r="S256" s="75">
        <v>45418.0</v>
      </c>
      <c r="T256" s="49"/>
    </row>
    <row r="257">
      <c r="A257" s="69">
        <v>4327.0</v>
      </c>
      <c r="B257" s="69" t="s">
        <v>29</v>
      </c>
      <c r="C257" s="70" t="s">
        <v>155</v>
      </c>
      <c r="D257" s="69" t="s">
        <v>493</v>
      </c>
      <c r="E257" s="41" t="str">
        <f>IFERROR(__xludf.DUMMYFUNCTION("vlookup(D257,IMPORTRANGE(""https://docs.google.com/spreadsheets/d/1swGwZOEqYlTEUCJLY-eeJM1911Kvaei5oySBIxdgtNo/edit?pli=1#gid=257618397"",""stock untanna!B:C""),2,false)"),"BP GEL 8803 + STIP")</f>
        <v>BP GEL 8803 + STIP</v>
      </c>
      <c r="F257" s="70" t="s">
        <v>493</v>
      </c>
      <c r="G257" s="71" t="s">
        <v>494</v>
      </c>
      <c r="H257" s="41" t="str">
        <f>IFERROR(__xludf.DUMMYFUNCTION("vlookup($D257,IMPORTRANGE(""https://docs.google.com/spreadsheets/d/1swGwZOEqYlTEUCJLY-eeJM1911Kvaei5oySBIxdgtNo/edit?pli=1#gid=257618397"",""stock untanna!B:F""),5,false)"),"IM")</f>
        <v>IM</v>
      </c>
      <c r="I257" s="42" t="str">
        <f>IFERROR(__xludf.DUMMYFUNCTION("vlookup($D257,IMPORTRANGE(""https://docs.google.com/spreadsheets/d/1swGwZOEqYlTEUCJLY-eeJM1911Kvaei5oySBIxdgtNo/edit?pli=1#gid=257618397"",""stock untanna!B:G""),6,false)"),"")</f>
        <v/>
      </c>
      <c r="J257" s="43" t="str">
        <f t="shared" si="1"/>
        <v>ADA</v>
      </c>
      <c r="K257" s="72">
        <v>36.0</v>
      </c>
      <c r="L257" s="53" t="s">
        <v>69</v>
      </c>
      <c r="M257" s="73">
        <v>1667.0</v>
      </c>
      <c r="N257" s="74"/>
      <c r="O257" s="73">
        <v>60012.0</v>
      </c>
      <c r="P257" s="46" t="str">
        <f t="shared" si="2"/>
        <v>Rp1,667-36 PCS-0.00%</v>
      </c>
      <c r="Q257" s="75">
        <v>45408.0</v>
      </c>
      <c r="R257" s="76"/>
      <c r="S257" s="75">
        <v>45418.0</v>
      </c>
      <c r="T257" s="49"/>
    </row>
    <row r="258">
      <c r="A258" s="69">
        <v>4327.0</v>
      </c>
      <c r="B258" s="69" t="s">
        <v>29</v>
      </c>
      <c r="C258" s="70" t="s">
        <v>155</v>
      </c>
      <c r="D258" s="69" t="s">
        <v>495</v>
      </c>
      <c r="E258" s="41" t="str">
        <f>IFERROR(__xludf.DUMMYFUNCTION("vlookup(D258,IMPORTRANGE(""https://docs.google.com/spreadsheets/d/1swGwZOEqYlTEUCJLY-eeJM1911Kvaei5oySBIxdgtNo/edit?pli=1#gid=257618397"",""stock untanna!B:C""),2,false)"),"BP GEL 8805 + STIP")</f>
        <v>BP GEL 8805 + STIP</v>
      </c>
      <c r="F258" s="70" t="s">
        <v>495</v>
      </c>
      <c r="G258" s="71" t="s">
        <v>496</v>
      </c>
      <c r="H258" s="41" t="str">
        <f>IFERROR(__xludf.DUMMYFUNCTION("vlookup($D258,IMPORTRANGE(""https://docs.google.com/spreadsheets/d/1swGwZOEqYlTEUCJLY-eeJM1911Kvaei5oySBIxdgtNo/edit?pli=1#gid=257618397"",""stock untanna!B:F""),5,false)"),"IM")</f>
        <v>IM</v>
      </c>
      <c r="I258" s="42" t="str">
        <f>IFERROR(__xludf.DUMMYFUNCTION("vlookup($D258,IMPORTRANGE(""https://docs.google.com/spreadsheets/d/1swGwZOEqYlTEUCJLY-eeJM1911Kvaei5oySBIxdgtNo/edit?pli=1#gid=257618397"",""stock untanna!B:G""),6,false)"),"")</f>
        <v/>
      </c>
      <c r="J258" s="43" t="str">
        <f t="shared" si="1"/>
        <v>ADA</v>
      </c>
      <c r="K258" s="72">
        <v>36.0</v>
      </c>
      <c r="L258" s="53" t="s">
        <v>69</v>
      </c>
      <c r="M258" s="73">
        <v>1667.0</v>
      </c>
      <c r="N258" s="74"/>
      <c r="O258" s="73">
        <v>60012.0</v>
      </c>
      <c r="P258" s="46" t="str">
        <f t="shared" si="2"/>
        <v>Rp1,667-36 PCS-0.00%</v>
      </c>
      <c r="Q258" s="75">
        <v>45408.0</v>
      </c>
      <c r="R258" s="76"/>
      <c r="S258" s="75">
        <v>45418.0</v>
      </c>
      <c r="T258" s="49"/>
    </row>
    <row r="259">
      <c r="A259" s="69">
        <v>4327.0</v>
      </c>
      <c r="B259" s="69" t="s">
        <v>29</v>
      </c>
      <c r="C259" s="70" t="s">
        <v>155</v>
      </c>
      <c r="D259" s="69" t="s">
        <v>497</v>
      </c>
      <c r="E259" s="41" t="str">
        <f>IFERROR(__xludf.DUMMYFUNCTION("vlookup(D259,IMPORTRANGE(""https://docs.google.com/spreadsheets/d/1swGwZOEqYlTEUCJLY-eeJM1911Kvaei5oySBIxdgtNo/edit?pli=1#gid=257618397"",""stock untanna!B:C""),2,false)"),"BP GEL 8807 + STIP")</f>
        <v>BP GEL 8807 + STIP</v>
      </c>
      <c r="F259" s="70" t="s">
        <v>497</v>
      </c>
      <c r="G259" s="71" t="s">
        <v>498</v>
      </c>
      <c r="H259" s="41" t="str">
        <f>IFERROR(__xludf.DUMMYFUNCTION("vlookup($D259,IMPORTRANGE(""https://docs.google.com/spreadsheets/d/1swGwZOEqYlTEUCJLY-eeJM1911Kvaei5oySBIxdgtNo/edit?pli=1#gid=257618397"",""stock untanna!B:F""),5,false)"),"IM")</f>
        <v>IM</v>
      </c>
      <c r="I259" s="42" t="str">
        <f>IFERROR(__xludf.DUMMYFUNCTION("vlookup($D259,IMPORTRANGE(""https://docs.google.com/spreadsheets/d/1swGwZOEqYlTEUCJLY-eeJM1911Kvaei5oySBIxdgtNo/edit?pli=1#gid=257618397"",""stock untanna!B:G""),6,false)"),"8807")</f>
        <v>8807</v>
      </c>
      <c r="J259" s="43" t="str">
        <f t="shared" si="1"/>
        <v>ADA</v>
      </c>
      <c r="K259" s="72">
        <v>3.0</v>
      </c>
      <c r="L259" s="53" t="s">
        <v>62</v>
      </c>
      <c r="M259" s="73">
        <v>20000.0</v>
      </c>
      <c r="N259" s="74"/>
      <c r="O259" s="73">
        <v>60000.0</v>
      </c>
      <c r="P259" s="46" t="str">
        <f t="shared" si="2"/>
        <v>Rp20,000-3 LSN-0.00%</v>
      </c>
      <c r="Q259" s="75">
        <v>45408.0</v>
      </c>
      <c r="R259" s="76"/>
      <c r="S259" s="75">
        <v>45418.0</v>
      </c>
      <c r="T259" s="49"/>
    </row>
    <row r="260">
      <c r="A260" s="69">
        <v>4327.0</v>
      </c>
      <c r="B260" s="69" t="s">
        <v>29</v>
      </c>
      <c r="C260" s="70" t="s">
        <v>155</v>
      </c>
      <c r="D260" s="69"/>
      <c r="E260" s="41" t="s">
        <v>499</v>
      </c>
      <c r="F260" s="70"/>
      <c r="G260" s="71" t="s">
        <v>499</v>
      </c>
      <c r="H260" s="41" t="str">
        <f>IFERROR(__xludf.DUMMYFUNCTION("vlookup($D260,IMPORTRANGE(""https://docs.google.com/spreadsheets/d/1swGwZOEqYlTEUCJLY-eeJM1911Kvaei5oySBIxdgtNo/edit?pli=1#gid=257618397"",""stock untanna!B:F""),5,false)"),"#N/A")</f>
        <v>#N/A</v>
      </c>
      <c r="I260" s="42" t="str">
        <f>IFERROR(__xludf.DUMMYFUNCTION("vlookup($D260,IMPORTRANGE(""https://docs.google.com/spreadsheets/d/1swGwZOEqYlTEUCJLY-eeJM1911Kvaei5oySBIxdgtNo/edit?pli=1#gid=257618397"",""stock untanna!B:G""),6,false)"),"#N/A")</f>
        <v>#N/A</v>
      </c>
      <c r="J260" s="43" t="str">
        <f t="shared" si="1"/>
        <v>TIDAK ADA</v>
      </c>
      <c r="K260" s="72">
        <v>2.0</v>
      </c>
      <c r="L260" s="53" t="s">
        <v>62</v>
      </c>
      <c r="M260" s="73">
        <v>300000.0</v>
      </c>
      <c r="N260" s="74"/>
      <c r="O260" s="73">
        <v>600000.0</v>
      </c>
      <c r="P260" s="46" t="str">
        <f t="shared" si="2"/>
        <v>Rp300,000-2 LSN-0.00%</v>
      </c>
      <c r="Q260" s="75">
        <v>45408.0</v>
      </c>
      <c r="R260" s="76"/>
      <c r="S260" s="75">
        <v>45418.0</v>
      </c>
      <c r="T260" s="49"/>
    </row>
    <row r="261">
      <c r="A261" s="69">
        <v>4327.0</v>
      </c>
      <c r="B261" s="69" t="s">
        <v>29</v>
      </c>
      <c r="C261" s="70" t="s">
        <v>155</v>
      </c>
      <c r="D261" s="69"/>
      <c r="E261" s="41" t="s">
        <v>500</v>
      </c>
      <c r="F261" s="70"/>
      <c r="G261" s="71" t="s">
        <v>500</v>
      </c>
      <c r="H261" s="41" t="str">
        <f>IFERROR(__xludf.DUMMYFUNCTION("vlookup($D261,IMPORTRANGE(""https://docs.google.com/spreadsheets/d/1swGwZOEqYlTEUCJLY-eeJM1911Kvaei5oySBIxdgtNo/edit?pli=1#gid=257618397"",""stock untanna!B:F""),5,false)"),"#N/A")</f>
        <v>#N/A</v>
      </c>
      <c r="I261" s="42" t="str">
        <f>IFERROR(__xludf.DUMMYFUNCTION("vlookup($D261,IMPORTRANGE(""https://docs.google.com/spreadsheets/d/1swGwZOEqYlTEUCJLY-eeJM1911Kvaei5oySBIxdgtNo/edit?pli=1#gid=257618397"",""stock untanna!B:G""),6,false)"),"#N/A")</f>
        <v>#N/A</v>
      </c>
      <c r="J261" s="43" t="str">
        <f t="shared" si="1"/>
        <v>TIDAK ADA</v>
      </c>
      <c r="K261" s="72">
        <v>1.0</v>
      </c>
      <c r="L261" s="53" t="s">
        <v>62</v>
      </c>
      <c r="M261" s="73">
        <v>12000.0</v>
      </c>
      <c r="N261" s="74"/>
      <c r="O261" s="73">
        <v>12000.0</v>
      </c>
      <c r="P261" s="46" t="str">
        <f t="shared" si="2"/>
        <v>Rp12,000-1 LSN-0.00%</v>
      </c>
      <c r="Q261" s="75">
        <v>45408.0</v>
      </c>
      <c r="R261" s="76"/>
      <c r="S261" s="75">
        <v>45418.0</v>
      </c>
      <c r="T261" s="49"/>
    </row>
    <row r="262">
      <c r="A262" s="69">
        <v>4328.0</v>
      </c>
      <c r="B262" s="69" t="s">
        <v>29</v>
      </c>
      <c r="C262" s="70" t="s">
        <v>155</v>
      </c>
      <c r="D262" s="69"/>
      <c r="E262" s="41" t="s">
        <v>501</v>
      </c>
      <c r="F262" s="70"/>
      <c r="G262" s="71" t="s">
        <v>501</v>
      </c>
      <c r="H262" s="41" t="str">
        <f>IFERROR(__xludf.DUMMYFUNCTION("vlookup($D262,IMPORTRANGE(""https://docs.google.com/spreadsheets/d/1swGwZOEqYlTEUCJLY-eeJM1911Kvaei5oySBIxdgtNo/edit?pli=1#gid=257618397"",""stock untanna!B:F""),5,false)"),"#N/A")</f>
        <v>#N/A</v>
      </c>
      <c r="I262" s="42" t="str">
        <f>IFERROR(__xludf.DUMMYFUNCTION("vlookup($D262,IMPORTRANGE(""https://docs.google.com/spreadsheets/d/1swGwZOEqYlTEUCJLY-eeJM1911Kvaei5oySBIxdgtNo/edit?pli=1#gid=257618397"",""stock untanna!B:G""),6,false)"),"#N/A")</f>
        <v>#N/A</v>
      </c>
      <c r="J262" s="43" t="str">
        <f t="shared" si="1"/>
        <v>TIDAK ADA</v>
      </c>
      <c r="K262" s="72">
        <v>1.0</v>
      </c>
      <c r="L262" s="53" t="s">
        <v>131</v>
      </c>
      <c r="M262" s="73">
        <v>300000.0</v>
      </c>
      <c r="N262" s="74"/>
      <c r="O262" s="73">
        <v>300000.0</v>
      </c>
      <c r="P262" s="46" t="str">
        <f t="shared" si="2"/>
        <v>Rp300,000-1 GRS-0.00%</v>
      </c>
      <c r="Q262" s="75">
        <v>45408.0</v>
      </c>
      <c r="R262" s="76"/>
      <c r="S262" s="75">
        <v>45418.0</v>
      </c>
      <c r="T262" s="49"/>
    </row>
    <row r="263">
      <c r="A263" s="69">
        <v>4328.0</v>
      </c>
      <c r="B263" s="69" t="s">
        <v>29</v>
      </c>
      <c r="C263" s="70" t="s">
        <v>155</v>
      </c>
      <c r="D263" s="69"/>
      <c r="E263" s="41" t="s">
        <v>502</v>
      </c>
      <c r="F263" s="70"/>
      <c r="G263" s="71" t="s">
        <v>502</v>
      </c>
      <c r="H263" s="41" t="str">
        <f>IFERROR(__xludf.DUMMYFUNCTION("vlookup($D263,IMPORTRANGE(""https://docs.google.com/spreadsheets/d/1swGwZOEqYlTEUCJLY-eeJM1911Kvaei5oySBIxdgtNo/edit?pli=1#gid=257618397"",""stock untanna!B:F""),5,false)"),"#N/A")</f>
        <v>#N/A</v>
      </c>
      <c r="I263" s="42" t="str">
        <f>IFERROR(__xludf.DUMMYFUNCTION("vlookup($D263,IMPORTRANGE(""https://docs.google.com/spreadsheets/d/1swGwZOEqYlTEUCJLY-eeJM1911Kvaei5oySBIxdgtNo/edit?pli=1#gid=257618397"",""stock untanna!B:G""),6,false)"),"#N/A")</f>
        <v>#N/A</v>
      </c>
      <c r="J263" s="43" t="str">
        <f t="shared" si="1"/>
        <v>TIDAK ADA</v>
      </c>
      <c r="K263" s="72">
        <v>1.0</v>
      </c>
      <c r="L263" s="53" t="s">
        <v>131</v>
      </c>
      <c r="M263" s="73">
        <v>415000.0</v>
      </c>
      <c r="N263" s="74"/>
      <c r="O263" s="73">
        <v>415000.0</v>
      </c>
      <c r="P263" s="46" t="str">
        <f t="shared" si="2"/>
        <v>Rp415,000-1 GRS-0.00%</v>
      </c>
      <c r="Q263" s="75">
        <v>45408.0</v>
      </c>
      <c r="R263" s="76"/>
      <c r="S263" s="75">
        <v>45418.0</v>
      </c>
      <c r="T263" s="80" t="s">
        <v>280</v>
      </c>
    </row>
    <row r="264">
      <c r="A264" s="69">
        <v>4328.0</v>
      </c>
      <c r="B264" s="69" t="s">
        <v>29</v>
      </c>
      <c r="C264" s="70" t="s">
        <v>155</v>
      </c>
      <c r="D264" s="69" t="s">
        <v>503</v>
      </c>
      <c r="E264" s="41" t="str">
        <f>IFERROR(__xludf.DUMMYFUNCTION("vlookup(D264,IMPORTRANGE(""https://docs.google.com/spreadsheets/d/1swGwZOEqYlTEUCJLY-eeJM1911Kvaei5oySBIxdgtNo/edit?pli=1#gid=257618397"",""stock untanna!B:C""),2,false)"),"CUTTER TACO 78 KECIL TRANSPARAN")</f>
        <v>CUTTER TACO 78 KECIL TRANSPARAN</v>
      </c>
      <c r="F264" s="70" t="s">
        <v>503</v>
      </c>
      <c r="G264" s="71" t="s">
        <v>504</v>
      </c>
      <c r="H264" s="41" t="str">
        <f>IFERROR(__xludf.DUMMYFUNCTION("vlookup($D264,IMPORTRANGE(""https://docs.google.com/spreadsheets/d/1swGwZOEqYlTEUCJLY-eeJM1911Kvaei5oySBIxdgtNo/edit?pli=1#gid=257618397"",""stock untanna!B:F""),5,false)"),"TC")</f>
        <v>TC</v>
      </c>
      <c r="I264" s="42" t="str">
        <f>IFERROR(__xludf.DUMMYFUNCTION("vlookup($D264,IMPORTRANGE(""https://docs.google.com/spreadsheets/d/1swGwZOEqYlTEUCJLY-eeJM1911Kvaei5oySBIxdgtNo/edit?pli=1#gid=257618397"",""stock untanna!B:G""),6,false)"),"")</f>
        <v/>
      </c>
      <c r="J264" s="43" t="str">
        <f t="shared" si="1"/>
        <v>ADA</v>
      </c>
      <c r="K264" s="72">
        <v>5.0</v>
      </c>
      <c r="L264" s="53" t="s">
        <v>62</v>
      </c>
      <c r="M264" s="73">
        <v>25000.0</v>
      </c>
      <c r="N264" s="74"/>
      <c r="O264" s="73">
        <v>125000.0</v>
      </c>
      <c r="P264" s="46" t="str">
        <f t="shared" si="2"/>
        <v>Rp25,000-5 LSN-0.00%</v>
      </c>
      <c r="Q264" s="75">
        <v>45408.0</v>
      </c>
      <c r="R264" s="76"/>
      <c r="S264" s="75">
        <v>45418.0</v>
      </c>
      <c r="T264" s="49"/>
    </row>
    <row r="265">
      <c r="A265" s="69">
        <v>4328.0</v>
      </c>
      <c r="B265" s="69" t="s">
        <v>29</v>
      </c>
      <c r="C265" s="70" t="s">
        <v>155</v>
      </c>
      <c r="D265" s="69" t="s">
        <v>505</v>
      </c>
      <c r="E265" s="41" t="str">
        <f>IFERROR(__xludf.DUMMYFUNCTION("vlookup(D265,IMPORTRANGE(""https://docs.google.com/spreadsheets/d/1swGwZOEqYlTEUCJLY-eeJM1911Kvaei5oySBIxdgtNo/edit?pli=1#gid=257618397"",""stock untanna!B:C""),2,false)"),"CUTTER TACO 88 BESAR")</f>
        <v>CUTTER TACO 88 BESAR</v>
      </c>
      <c r="F265" s="70" t="s">
        <v>505</v>
      </c>
      <c r="G265" s="71" t="s">
        <v>506</v>
      </c>
      <c r="H265" s="41" t="str">
        <f>IFERROR(__xludf.DUMMYFUNCTION("vlookup($D265,IMPORTRANGE(""https://docs.google.com/spreadsheets/d/1swGwZOEqYlTEUCJLY-eeJM1911Kvaei5oySBIxdgtNo/edit?pli=1#gid=257618397"",""stock untanna!B:F""),5,false)"),"TC")</f>
        <v>TC</v>
      </c>
      <c r="I265" s="42" t="str">
        <f>IFERROR(__xludf.DUMMYFUNCTION("vlookup($D265,IMPORTRANGE(""https://docs.google.com/spreadsheets/d/1swGwZOEqYlTEUCJLY-eeJM1911Kvaei5oySBIxdgtNo/edit?pli=1#gid=257618397"",""stock untanna!B:G""),6,false)"),"")</f>
        <v/>
      </c>
      <c r="J265" s="43" t="str">
        <f t="shared" si="1"/>
        <v>ADA</v>
      </c>
      <c r="K265" s="72">
        <v>5.0</v>
      </c>
      <c r="L265" s="53" t="s">
        <v>62</v>
      </c>
      <c r="M265" s="73">
        <v>35000.0</v>
      </c>
      <c r="N265" s="74"/>
      <c r="O265" s="73">
        <v>175000.0</v>
      </c>
      <c r="P265" s="46" t="str">
        <f t="shared" si="2"/>
        <v>Rp35,000-5 LSN-0.00%</v>
      </c>
      <c r="Q265" s="75">
        <v>45408.0</v>
      </c>
      <c r="R265" s="76"/>
      <c r="S265" s="75">
        <v>45418.0</v>
      </c>
      <c r="T265" s="49"/>
    </row>
    <row r="266">
      <c r="A266" s="69">
        <v>4328.0</v>
      </c>
      <c r="B266" s="69" t="s">
        <v>29</v>
      </c>
      <c r="C266" s="70" t="s">
        <v>155</v>
      </c>
      <c r="D266" s="69"/>
      <c r="E266" s="41" t="s">
        <v>507</v>
      </c>
      <c r="F266" s="70"/>
      <c r="G266" s="71" t="s">
        <v>507</v>
      </c>
      <c r="H266" s="41" t="str">
        <f>IFERROR(__xludf.DUMMYFUNCTION("vlookup($D266,IMPORTRANGE(""https://docs.google.com/spreadsheets/d/1swGwZOEqYlTEUCJLY-eeJM1911Kvaei5oySBIxdgtNo/edit?pli=1#gid=257618397"",""stock untanna!B:F""),5,false)"),"#N/A")</f>
        <v>#N/A</v>
      </c>
      <c r="I266" s="42" t="str">
        <f>IFERROR(__xludf.DUMMYFUNCTION("vlookup($D266,IMPORTRANGE(""https://docs.google.com/spreadsheets/d/1swGwZOEqYlTEUCJLY-eeJM1911Kvaei5oySBIxdgtNo/edit?pli=1#gid=257618397"",""stock untanna!B:G""),6,false)"),"#N/A")</f>
        <v>#N/A</v>
      </c>
      <c r="J266" s="43" t="str">
        <f t="shared" si="1"/>
        <v>TIDAK ADA</v>
      </c>
      <c r="K266" s="72">
        <v>1.0</v>
      </c>
      <c r="L266" s="53" t="s">
        <v>62</v>
      </c>
      <c r="M266" s="73">
        <v>125000.0</v>
      </c>
      <c r="N266" s="74"/>
      <c r="O266" s="73">
        <v>125000.0</v>
      </c>
      <c r="P266" s="46" t="str">
        <f t="shared" si="2"/>
        <v>Rp125,000-1 LSN-0.00%</v>
      </c>
      <c r="Q266" s="75">
        <v>45408.0</v>
      </c>
      <c r="R266" s="76"/>
      <c r="S266" s="75">
        <v>45418.0</v>
      </c>
      <c r="T266" s="49"/>
    </row>
    <row r="267">
      <c r="A267" s="69">
        <v>4328.0</v>
      </c>
      <c r="B267" s="69" t="s">
        <v>29</v>
      </c>
      <c r="C267" s="70" t="s">
        <v>155</v>
      </c>
      <c r="D267" s="69"/>
      <c r="E267" s="41" t="s">
        <v>508</v>
      </c>
      <c r="F267" s="70"/>
      <c r="G267" s="71" t="s">
        <v>508</v>
      </c>
      <c r="H267" s="41" t="str">
        <f>IFERROR(__xludf.DUMMYFUNCTION("vlookup($D267,IMPORTRANGE(""https://docs.google.com/spreadsheets/d/1swGwZOEqYlTEUCJLY-eeJM1911Kvaei5oySBIxdgtNo/edit?pli=1#gid=257618397"",""stock untanna!B:F""),5,false)"),"#N/A")</f>
        <v>#N/A</v>
      </c>
      <c r="I267" s="42" t="str">
        <f>IFERROR(__xludf.DUMMYFUNCTION("vlookup($D267,IMPORTRANGE(""https://docs.google.com/spreadsheets/d/1swGwZOEqYlTEUCJLY-eeJM1911Kvaei5oySBIxdgtNo/edit?pli=1#gid=257618397"",""stock untanna!B:G""),6,false)"),"#N/A")</f>
        <v>#N/A</v>
      </c>
      <c r="J267" s="43" t="str">
        <f t="shared" si="1"/>
        <v>TIDAK ADA</v>
      </c>
      <c r="K267" s="72">
        <v>10.0</v>
      </c>
      <c r="L267" s="53" t="s">
        <v>114</v>
      </c>
      <c r="M267" s="73">
        <v>9500.0</v>
      </c>
      <c r="N267" s="74"/>
      <c r="O267" s="73">
        <v>95000.0</v>
      </c>
      <c r="P267" s="46" t="str">
        <f t="shared" si="2"/>
        <v>Rp9,500-10 PAK-0.00%</v>
      </c>
      <c r="Q267" s="75">
        <v>45408.0</v>
      </c>
      <c r="R267" s="76"/>
      <c r="S267" s="75">
        <v>45418.0</v>
      </c>
      <c r="T267" s="49"/>
    </row>
    <row r="268">
      <c r="A268" s="69">
        <v>4328.0</v>
      </c>
      <c r="B268" s="69" t="s">
        <v>29</v>
      </c>
      <c r="C268" s="70" t="s">
        <v>155</v>
      </c>
      <c r="D268" s="69"/>
      <c r="E268" s="41" t="s">
        <v>509</v>
      </c>
      <c r="F268" s="70"/>
      <c r="G268" s="71" t="s">
        <v>509</v>
      </c>
      <c r="H268" s="41" t="str">
        <f>IFERROR(__xludf.DUMMYFUNCTION("vlookup($D268,IMPORTRANGE(""https://docs.google.com/spreadsheets/d/1swGwZOEqYlTEUCJLY-eeJM1911Kvaei5oySBIxdgtNo/edit?pli=1#gid=257618397"",""stock untanna!B:F""),5,false)"),"#N/A")</f>
        <v>#N/A</v>
      </c>
      <c r="I268" s="42" t="str">
        <f>IFERROR(__xludf.DUMMYFUNCTION("vlookup($D268,IMPORTRANGE(""https://docs.google.com/spreadsheets/d/1swGwZOEqYlTEUCJLY-eeJM1911Kvaei5oySBIxdgtNo/edit?pli=1#gid=257618397"",""stock untanna!B:G""),6,false)"),"#N/A")</f>
        <v>#N/A</v>
      </c>
      <c r="J268" s="43" t="str">
        <f t="shared" si="1"/>
        <v>TIDAK ADA</v>
      </c>
      <c r="K268" s="72">
        <v>10.0</v>
      </c>
      <c r="L268" s="53" t="s">
        <v>510</v>
      </c>
      <c r="M268" s="73">
        <v>9500.0</v>
      </c>
      <c r="N268" s="74"/>
      <c r="O268" s="73">
        <v>95000.0</v>
      </c>
      <c r="P268" s="46" t="str">
        <f t="shared" si="2"/>
        <v>Rp9,500-10 PAK (10)-0.00%</v>
      </c>
      <c r="Q268" s="75">
        <v>45408.0</v>
      </c>
      <c r="R268" s="76"/>
      <c r="S268" s="75">
        <v>45418.0</v>
      </c>
      <c r="T268" s="49"/>
    </row>
    <row r="269">
      <c r="A269" s="69">
        <v>4328.0</v>
      </c>
      <c r="B269" s="69" t="s">
        <v>29</v>
      </c>
      <c r="C269" s="70" t="s">
        <v>155</v>
      </c>
      <c r="D269" s="69" t="s">
        <v>511</v>
      </c>
      <c r="E269" s="41" t="str">
        <f>IFERROR(__xludf.DUMMYFUNCTION("vlookup(D269,IMPORTRANGE(""https://docs.google.com/spreadsheets/d/1swGwZOEqYlTEUCJLY-eeJM1911Kvaei5oySBIxdgtNo/edit?pli=1#gid=257618397"",""stock untanna!B:C""),2,false)"),"TAPE 1505 FANCY")</f>
        <v>TAPE 1505 FANCY</v>
      </c>
      <c r="F269" s="70" t="s">
        <v>511</v>
      </c>
      <c r="G269" s="71" t="s">
        <v>512</v>
      </c>
      <c r="H269" s="41" t="str">
        <f>IFERROR(__xludf.DUMMYFUNCTION("vlookup($D269,IMPORTRANGE(""https://docs.google.com/spreadsheets/d/1swGwZOEqYlTEUCJLY-eeJM1911Kvaei5oySBIxdgtNo/edit?pli=1#gid=257618397"",""stock untanna!B:F""),5,false)"),"IM")</f>
        <v>IM</v>
      </c>
      <c r="I269" s="42" t="str">
        <f>IFERROR(__xludf.DUMMYFUNCTION("vlookup($D269,IMPORTRANGE(""https://docs.google.com/spreadsheets/d/1swGwZOEqYlTEUCJLY-eeJM1911Kvaei5oySBIxdgtNo/edit?pli=1#gid=257618397"",""stock untanna!B:G""),6,false)"),"1505")</f>
        <v>1505</v>
      </c>
      <c r="J269" s="43" t="str">
        <f t="shared" si="1"/>
        <v>ADA</v>
      </c>
      <c r="K269" s="72">
        <v>100.0</v>
      </c>
      <c r="L269" s="53" t="s">
        <v>69</v>
      </c>
      <c r="M269" s="73">
        <v>900.0</v>
      </c>
      <c r="N269" s="74"/>
      <c r="O269" s="73">
        <v>90000.0</v>
      </c>
      <c r="P269" s="46" t="str">
        <f t="shared" si="2"/>
        <v>Rp900-100 PCS-0.00%</v>
      </c>
      <c r="Q269" s="75">
        <v>45408.0</v>
      </c>
      <c r="R269" s="76"/>
      <c r="S269" s="75">
        <v>45418.0</v>
      </c>
      <c r="T269" s="49"/>
    </row>
    <row r="270">
      <c r="A270" s="69">
        <v>4328.0</v>
      </c>
      <c r="B270" s="69" t="s">
        <v>29</v>
      </c>
      <c r="C270" s="70" t="s">
        <v>155</v>
      </c>
      <c r="D270" s="69"/>
      <c r="E270" s="41" t="s">
        <v>513</v>
      </c>
      <c r="F270" s="70"/>
      <c r="G270" s="71" t="s">
        <v>513</v>
      </c>
      <c r="H270" s="41" t="str">
        <f>IFERROR(__xludf.DUMMYFUNCTION("vlookup($D270,IMPORTRANGE(""https://docs.google.com/spreadsheets/d/1swGwZOEqYlTEUCJLY-eeJM1911Kvaei5oySBIxdgtNo/edit?pli=1#gid=257618397"",""stock untanna!B:F""),5,false)"),"#N/A")</f>
        <v>#N/A</v>
      </c>
      <c r="I270" s="42" t="str">
        <f>IFERROR(__xludf.DUMMYFUNCTION("vlookup($D270,IMPORTRANGE(""https://docs.google.com/spreadsheets/d/1swGwZOEqYlTEUCJLY-eeJM1911Kvaei5oySBIxdgtNo/edit?pli=1#gid=257618397"",""stock untanna!B:G""),6,false)"),"#N/A")</f>
        <v>#N/A</v>
      </c>
      <c r="J270" s="43" t="str">
        <f t="shared" si="1"/>
        <v>TIDAK ADA</v>
      </c>
      <c r="K270" s="72">
        <v>10.0</v>
      </c>
      <c r="L270" s="53" t="s">
        <v>510</v>
      </c>
      <c r="M270" s="73">
        <v>8000.0</v>
      </c>
      <c r="N270" s="74"/>
      <c r="O270" s="73">
        <v>80000.0</v>
      </c>
      <c r="P270" s="46" t="str">
        <f t="shared" si="2"/>
        <v>Rp8,000-10 PAK (10)-0.00%</v>
      </c>
      <c r="Q270" s="75">
        <v>45408.0</v>
      </c>
      <c r="R270" s="76"/>
      <c r="S270" s="75">
        <v>45418.0</v>
      </c>
      <c r="T270" s="49"/>
    </row>
    <row r="271">
      <c r="A271" s="69">
        <v>4328.0</v>
      </c>
      <c r="B271" s="69" t="s">
        <v>29</v>
      </c>
      <c r="C271" s="70" t="s">
        <v>155</v>
      </c>
      <c r="D271" s="69"/>
      <c r="E271" s="41" t="s">
        <v>514</v>
      </c>
      <c r="F271" s="70"/>
      <c r="G271" s="71" t="s">
        <v>514</v>
      </c>
      <c r="H271" s="41" t="str">
        <f>IFERROR(__xludf.DUMMYFUNCTION("vlookup($D271,IMPORTRANGE(""https://docs.google.com/spreadsheets/d/1swGwZOEqYlTEUCJLY-eeJM1911Kvaei5oySBIxdgtNo/edit?pli=1#gid=257618397"",""stock untanna!B:F""),5,false)"),"#N/A")</f>
        <v>#N/A</v>
      </c>
      <c r="I271" s="42" t="str">
        <f>IFERROR(__xludf.DUMMYFUNCTION("vlookup($D271,IMPORTRANGE(""https://docs.google.com/spreadsheets/d/1swGwZOEqYlTEUCJLY-eeJM1911Kvaei5oySBIxdgtNo/edit?pli=1#gid=257618397"",""stock untanna!B:G""),6,false)"),"#N/A")</f>
        <v>#N/A</v>
      </c>
      <c r="J271" s="43" t="str">
        <f t="shared" si="1"/>
        <v>TIDAK ADA</v>
      </c>
      <c r="K271" s="72">
        <v>10.0</v>
      </c>
      <c r="L271" s="53" t="s">
        <v>114</v>
      </c>
      <c r="M271" s="73">
        <v>5000.0</v>
      </c>
      <c r="N271" s="74"/>
      <c r="O271" s="73">
        <v>50000.0</v>
      </c>
      <c r="P271" s="46" t="str">
        <f t="shared" si="2"/>
        <v>Rp5,000-10 PAK-0.00%</v>
      </c>
      <c r="Q271" s="75">
        <v>45408.0</v>
      </c>
      <c r="R271" s="76"/>
      <c r="S271" s="75">
        <v>45418.0</v>
      </c>
      <c r="T271" s="49"/>
    </row>
    <row r="272">
      <c r="A272" s="69">
        <v>4328.0</v>
      </c>
      <c r="B272" s="69" t="s">
        <v>29</v>
      </c>
      <c r="C272" s="70" t="s">
        <v>155</v>
      </c>
      <c r="D272" s="69" t="s">
        <v>515</v>
      </c>
      <c r="E272" s="41" t="str">
        <f>IFERROR(__xludf.DUMMYFUNCTION("vlookup(D272,IMPORTRANGE(""https://docs.google.com/spreadsheets/d/1swGwZOEqYlTEUCJLY-eeJM1911Kvaei5oySBIxdgtNo/edit?pli=1#gid=257618397"",""stock untanna!B:C""),2,false)"),"ASAHAN PAYU 845 KEPITING")</f>
        <v>ASAHAN PAYU 845 KEPITING</v>
      </c>
      <c r="F272" s="70" t="s">
        <v>515</v>
      </c>
      <c r="G272" s="71" t="s">
        <v>516</v>
      </c>
      <c r="H272" s="41" t="str">
        <f>IFERROR(__xludf.DUMMYFUNCTION("vlookup($D272,IMPORTRANGE(""https://docs.google.com/spreadsheets/d/1swGwZOEqYlTEUCJLY-eeJM1911Kvaei5oySBIxdgtNo/edit?pli=1#gid=257618397"",""stock untanna!B:F""),5,false)"),"PY")</f>
        <v>PY</v>
      </c>
      <c r="I272" s="42" t="str">
        <f>IFERROR(__xludf.DUMMYFUNCTION("vlookup($D272,IMPORTRANGE(""https://docs.google.com/spreadsheets/d/1swGwZOEqYlTEUCJLY-eeJM1911Kvaei5oySBIxdgtNo/edit?pli=1#gid=257618397"",""stock untanna!B:G""),6,false)"),"845")</f>
        <v>845</v>
      </c>
      <c r="J272" s="43" t="str">
        <f t="shared" si="1"/>
        <v>ADA</v>
      </c>
      <c r="K272" s="72">
        <v>3.0</v>
      </c>
      <c r="L272" s="53" t="s">
        <v>88</v>
      </c>
      <c r="M272" s="73">
        <v>15000.0</v>
      </c>
      <c r="N272" s="74"/>
      <c r="O272" s="73">
        <v>45000.0</v>
      </c>
      <c r="P272" s="46" t="str">
        <f t="shared" si="2"/>
        <v>Rp15,000-3 BOX-0.00%</v>
      </c>
      <c r="Q272" s="75">
        <v>45408.0</v>
      </c>
      <c r="R272" s="76"/>
      <c r="S272" s="75">
        <v>45418.0</v>
      </c>
      <c r="T272" s="49"/>
    </row>
    <row r="273">
      <c r="A273" s="69">
        <v>4328.0</v>
      </c>
      <c r="B273" s="69" t="s">
        <v>29</v>
      </c>
      <c r="C273" s="70" t="s">
        <v>155</v>
      </c>
      <c r="D273" s="69" t="s">
        <v>517</v>
      </c>
      <c r="E273" s="41" t="str">
        <f>IFERROR(__xludf.DUMMYFUNCTION("vlookup(D273,IMPORTRANGE(""https://docs.google.com/spreadsheets/d/1swGwZOEqYlTEUCJLY-eeJM1911Kvaei5oySBIxdgtNo/edit?pli=1#gid=257618397"",""stock untanna!B:C""),2,false)"),"ASAHAN PAYU 846 KUDA GOYANG")</f>
        <v>ASAHAN PAYU 846 KUDA GOYANG</v>
      </c>
      <c r="F273" s="70" t="s">
        <v>517</v>
      </c>
      <c r="G273" s="71" t="s">
        <v>518</v>
      </c>
      <c r="H273" s="41" t="str">
        <f>IFERROR(__xludf.DUMMYFUNCTION("vlookup($D273,IMPORTRANGE(""https://docs.google.com/spreadsheets/d/1swGwZOEqYlTEUCJLY-eeJM1911Kvaei5oySBIxdgtNo/edit?pli=1#gid=257618397"",""stock untanna!B:F""),5,false)"),"PY")</f>
        <v>PY</v>
      </c>
      <c r="I273" s="42" t="str">
        <f>IFERROR(__xludf.DUMMYFUNCTION("vlookup($D273,IMPORTRANGE(""https://docs.google.com/spreadsheets/d/1swGwZOEqYlTEUCJLY-eeJM1911Kvaei5oySBIxdgtNo/edit?pli=1#gid=257618397"",""stock untanna!B:G""),6,false)"),"846")</f>
        <v>846</v>
      </c>
      <c r="J273" s="43" t="str">
        <f t="shared" si="1"/>
        <v>ADA</v>
      </c>
      <c r="K273" s="72">
        <v>3.0</v>
      </c>
      <c r="L273" s="53" t="s">
        <v>88</v>
      </c>
      <c r="M273" s="73">
        <v>15000.0</v>
      </c>
      <c r="N273" s="74"/>
      <c r="O273" s="73">
        <v>45000.0</v>
      </c>
      <c r="P273" s="46" t="str">
        <f t="shared" si="2"/>
        <v>Rp15,000-3 BOX-0.00%</v>
      </c>
      <c r="Q273" s="75">
        <v>45408.0</v>
      </c>
      <c r="R273" s="76"/>
      <c r="S273" s="75">
        <v>45418.0</v>
      </c>
      <c r="T273" s="49"/>
    </row>
    <row r="274">
      <c r="A274" s="69">
        <v>4328.0</v>
      </c>
      <c r="B274" s="69" t="s">
        <v>29</v>
      </c>
      <c r="C274" s="70" t="s">
        <v>155</v>
      </c>
      <c r="D274" s="69" t="s">
        <v>519</v>
      </c>
      <c r="E274" s="41" t="str">
        <f>IFERROR(__xludf.DUMMYFUNCTION("vlookup(D274,IMPORTRANGE(""https://docs.google.com/spreadsheets/d/1swGwZOEqYlTEUCJLY-eeJM1911Kvaei5oySBIxdgtNo/edit?pli=1#gid=257618397"",""stock untanna!B:C""),2,false)"),"ASAHAN PAYU 856 ANJING")</f>
        <v>ASAHAN PAYU 856 ANJING</v>
      </c>
      <c r="F274" s="70" t="s">
        <v>519</v>
      </c>
      <c r="G274" s="71" t="s">
        <v>520</v>
      </c>
      <c r="H274" s="41" t="str">
        <f>IFERROR(__xludf.DUMMYFUNCTION("vlookup($D274,IMPORTRANGE(""https://docs.google.com/spreadsheets/d/1swGwZOEqYlTEUCJLY-eeJM1911Kvaei5oySBIxdgtNo/edit?pli=1#gid=257618397"",""stock untanna!B:F""),5,false)"),"PY")</f>
        <v>PY</v>
      </c>
      <c r="I274" s="42" t="str">
        <f>IFERROR(__xludf.DUMMYFUNCTION("vlookup($D274,IMPORTRANGE(""https://docs.google.com/spreadsheets/d/1swGwZOEqYlTEUCJLY-eeJM1911Kvaei5oySBIxdgtNo/edit?pli=1#gid=257618397"",""stock untanna!B:G""),6,false)"),"856")</f>
        <v>856</v>
      </c>
      <c r="J274" s="43" t="str">
        <f t="shared" si="1"/>
        <v>ADA</v>
      </c>
      <c r="K274" s="72">
        <v>3.0</v>
      </c>
      <c r="L274" s="53" t="s">
        <v>88</v>
      </c>
      <c r="M274" s="73">
        <v>15000.0</v>
      </c>
      <c r="N274" s="74"/>
      <c r="O274" s="73">
        <v>45000.0</v>
      </c>
      <c r="P274" s="46" t="str">
        <f t="shared" si="2"/>
        <v>Rp15,000-3 BOX-0.00%</v>
      </c>
      <c r="Q274" s="75">
        <v>45408.0</v>
      </c>
      <c r="R274" s="76"/>
      <c r="S274" s="75">
        <v>45418.0</v>
      </c>
      <c r="T274" s="49"/>
    </row>
    <row r="275">
      <c r="A275" s="69">
        <v>4328.0</v>
      </c>
      <c r="B275" s="69" t="s">
        <v>29</v>
      </c>
      <c r="C275" s="70" t="s">
        <v>155</v>
      </c>
      <c r="D275" s="69" t="s">
        <v>521</v>
      </c>
      <c r="E275" s="41" t="str">
        <f>IFERROR(__xludf.DUMMYFUNCTION("vlookup(D275,IMPORTRANGE(""https://docs.google.com/spreadsheets/d/1swGwZOEqYlTEUCJLY-eeJM1911Kvaei5oySBIxdgtNo/edit?pli=1#gid=257618397"",""stock untanna!B:C""),2,false)"),"ASAHAN PAYU 831 IKAN")</f>
        <v>ASAHAN PAYU 831 IKAN</v>
      </c>
      <c r="F275" s="70" t="s">
        <v>521</v>
      </c>
      <c r="G275" s="71" t="s">
        <v>522</v>
      </c>
      <c r="H275" s="41" t="str">
        <f>IFERROR(__xludf.DUMMYFUNCTION("vlookup($D275,IMPORTRANGE(""https://docs.google.com/spreadsheets/d/1swGwZOEqYlTEUCJLY-eeJM1911Kvaei5oySBIxdgtNo/edit?pli=1#gid=257618397"",""stock untanna!B:F""),5,false)"),"PY")</f>
        <v>PY</v>
      </c>
      <c r="I275" s="42" t="str">
        <f>IFERROR(__xludf.DUMMYFUNCTION("vlookup($D275,IMPORTRANGE(""https://docs.google.com/spreadsheets/d/1swGwZOEqYlTEUCJLY-eeJM1911Kvaei5oySBIxdgtNo/edit?pli=1#gid=257618397"",""stock untanna!B:G""),6,false)"),"831")</f>
        <v>831</v>
      </c>
      <c r="J275" s="43" t="str">
        <f t="shared" si="1"/>
        <v>ADA</v>
      </c>
      <c r="K275" s="72">
        <v>3.0</v>
      </c>
      <c r="L275" s="53" t="s">
        <v>88</v>
      </c>
      <c r="M275" s="73">
        <v>15000.0</v>
      </c>
      <c r="N275" s="74"/>
      <c r="O275" s="73">
        <v>45000.0</v>
      </c>
      <c r="P275" s="46" t="str">
        <f t="shared" si="2"/>
        <v>Rp15,000-3 BOX-0.00%</v>
      </c>
      <c r="Q275" s="75">
        <v>45408.0</v>
      </c>
      <c r="R275" s="76"/>
      <c r="S275" s="75">
        <v>45418.0</v>
      </c>
      <c r="T275" s="49"/>
    </row>
    <row r="276">
      <c r="A276" s="69">
        <v>4328.0</v>
      </c>
      <c r="B276" s="69" t="s">
        <v>29</v>
      </c>
      <c r="C276" s="70" t="s">
        <v>155</v>
      </c>
      <c r="D276" s="69"/>
      <c r="E276" s="41" t="s">
        <v>523</v>
      </c>
      <c r="F276" s="70"/>
      <c r="G276" s="71" t="s">
        <v>523</v>
      </c>
      <c r="H276" s="41" t="str">
        <f>IFERROR(__xludf.DUMMYFUNCTION("vlookup($D276,IMPORTRANGE(""https://docs.google.com/spreadsheets/d/1swGwZOEqYlTEUCJLY-eeJM1911Kvaei5oySBIxdgtNo/edit?pli=1#gid=257618397"",""stock untanna!B:F""),5,false)"),"#N/A")</f>
        <v>#N/A</v>
      </c>
      <c r="I276" s="42" t="str">
        <f>IFERROR(__xludf.DUMMYFUNCTION("vlookup($D276,IMPORTRANGE(""https://docs.google.com/spreadsheets/d/1swGwZOEqYlTEUCJLY-eeJM1911Kvaei5oySBIxdgtNo/edit?pli=1#gid=257618397"",""stock untanna!B:G""),6,false)"),"#N/A")</f>
        <v>#N/A</v>
      </c>
      <c r="J276" s="43" t="str">
        <f t="shared" si="1"/>
        <v>TIDAK ADA</v>
      </c>
      <c r="K276" s="72">
        <v>3.0</v>
      </c>
      <c r="L276" s="53" t="s">
        <v>88</v>
      </c>
      <c r="M276" s="73">
        <v>15000.0</v>
      </c>
      <c r="N276" s="74"/>
      <c r="O276" s="73">
        <v>45000.0</v>
      </c>
      <c r="P276" s="46" t="str">
        <f t="shared" si="2"/>
        <v>Rp15,000-3 BOX-0.00%</v>
      </c>
      <c r="Q276" s="75">
        <v>45408.0</v>
      </c>
      <c r="R276" s="76"/>
      <c r="S276" s="75">
        <v>45418.0</v>
      </c>
      <c r="T276" s="49"/>
    </row>
    <row r="277">
      <c r="A277" s="69">
        <v>4328.0</v>
      </c>
      <c r="B277" s="69" t="s">
        <v>29</v>
      </c>
      <c r="C277" s="70" t="s">
        <v>155</v>
      </c>
      <c r="D277" s="69" t="s">
        <v>524</v>
      </c>
      <c r="E277" s="41" t="str">
        <f>IFERROR(__xludf.DUMMYFUNCTION("vlookup(D277,IMPORTRANGE(""https://docs.google.com/spreadsheets/d/1swGwZOEqYlTEUCJLY-eeJM1911Kvaei5oySBIxdgtNo/edit?pli=1#gid=257618397"",""stock untanna!B:C""),2,false)"),"ASAHAN PAYU 823 AYAM")</f>
        <v>ASAHAN PAYU 823 AYAM</v>
      </c>
      <c r="F277" s="70" t="s">
        <v>524</v>
      </c>
      <c r="G277" s="71" t="s">
        <v>525</v>
      </c>
      <c r="H277" s="41" t="str">
        <f>IFERROR(__xludf.DUMMYFUNCTION("vlookup($D277,IMPORTRANGE(""https://docs.google.com/spreadsheets/d/1swGwZOEqYlTEUCJLY-eeJM1911Kvaei5oySBIxdgtNo/edit?pli=1#gid=257618397"",""stock untanna!B:F""),5,false)"),"PY")</f>
        <v>PY</v>
      </c>
      <c r="I277" s="42" t="str">
        <f>IFERROR(__xludf.DUMMYFUNCTION("vlookup($D277,IMPORTRANGE(""https://docs.google.com/spreadsheets/d/1swGwZOEqYlTEUCJLY-eeJM1911Kvaei5oySBIxdgtNo/edit?pli=1#gid=257618397"",""stock untanna!B:G""),6,false)"),"823")</f>
        <v>823</v>
      </c>
      <c r="J277" s="43" t="str">
        <f t="shared" si="1"/>
        <v>ADA</v>
      </c>
      <c r="K277" s="72">
        <v>3.0</v>
      </c>
      <c r="L277" s="53" t="s">
        <v>88</v>
      </c>
      <c r="M277" s="73">
        <v>15000.0</v>
      </c>
      <c r="N277" s="74"/>
      <c r="O277" s="73">
        <v>45000.0</v>
      </c>
      <c r="P277" s="46" t="str">
        <f t="shared" si="2"/>
        <v>Rp15,000-3 BOX-0.00%</v>
      </c>
      <c r="Q277" s="75">
        <v>45408.0</v>
      </c>
      <c r="R277" s="76"/>
      <c r="S277" s="75">
        <v>45418.0</v>
      </c>
      <c r="T277" s="49"/>
    </row>
    <row r="278">
      <c r="A278" s="69">
        <v>4329.0</v>
      </c>
      <c r="B278" s="69" t="s">
        <v>29</v>
      </c>
      <c r="C278" s="70" t="s">
        <v>155</v>
      </c>
      <c r="D278" s="69" t="s">
        <v>526</v>
      </c>
      <c r="E278" s="41" t="str">
        <f>IFERROR(__xludf.DUMMYFUNCTION("vlookup(D278,IMPORTRANGE(""https://docs.google.com/spreadsheets/d/1swGwZOEqYlTEUCJLY-eeJM1911Kvaei5oySBIxdgtNo/edit?pli=1#gid=257618397"",""stock untanna!B:C""),2,false)"),"ASAHAN PAYU 851 PERMEN")</f>
        <v>ASAHAN PAYU 851 PERMEN</v>
      </c>
      <c r="F278" s="70" t="s">
        <v>526</v>
      </c>
      <c r="G278" s="71" t="s">
        <v>527</v>
      </c>
      <c r="H278" s="41" t="str">
        <f>IFERROR(__xludf.DUMMYFUNCTION("vlookup($D278,IMPORTRANGE(""https://docs.google.com/spreadsheets/d/1swGwZOEqYlTEUCJLY-eeJM1911Kvaei5oySBIxdgtNo/edit?pli=1#gid=257618397"",""stock untanna!B:F""),5,false)"),"PY")</f>
        <v>PY</v>
      </c>
      <c r="I278" s="42" t="str">
        <f>IFERROR(__xludf.DUMMYFUNCTION("vlookup($D278,IMPORTRANGE(""https://docs.google.com/spreadsheets/d/1swGwZOEqYlTEUCJLY-eeJM1911Kvaei5oySBIxdgtNo/edit?pli=1#gid=257618397"",""stock untanna!B:G""),6,false)"),"851")</f>
        <v>851</v>
      </c>
      <c r="J278" s="43" t="str">
        <f t="shared" si="1"/>
        <v>ADA</v>
      </c>
      <c r="K278" s="72">
        <v>3.0</v>
      </c>
      <c r="L278" s="53" t="s">
        <v>88</v>
      </c>
      <c r="M278" s="73">
        <v>15000.0</v>
      </c>
      <c r="N278" s="74"/>
      <c r="O278" s="73">
        <v>45000.0</v>
      </c>
      <c r="P278" s="46" t="str">
        <f t="shared" si="2"/>
        <v>Rp15,000-3 BOX-0.00%</v>
      </c>
      <c r="Q278" s="75">
        <v>45408.0</v>
      </c>
      <c r="R278" s="76"/>
      <c r="S278" s="75">
        <v>45418.0</v>
      </c>
      <c r="T278" s="49"/>
    </row>
    <row r="279">
      <c r="A279" s="69">
        <v>4329.0</v>
      </c>
      <c r="B279" s="69" t="s">
        <v>29</v>
      </c>
      <c r="C279" s="70" t="s">
        <v>155</v>
      </c>
      <c r="D279" s="69"/>
      <c r="E279" s="41" t="s">
        <v>528</v>
      </c>
      <c r="F279" s="70"/>
      <c r="G279" s="71" t="s">
        <v>528</v>
      </c>
      <c r="H279" s="41" t="str">
        <f>IFERROR(__xludf.DUMMYFUNCTION("vlookup($D279,IMPORTRANGE(""https://docs.google.com/spreadsheets/d/1swGwZOEqYlTEUCJLY-eeJM1911Kvaei5oySBIxdgtNo/edit?pli=1#gid=257618397"",""stock untanna!B:F""),5,false)"),"#N/A")</f>
        <v>#N/A</v>
      </c>
      <c r="I279" s="42" t="str">
        <f>IFERROR(__xludf.DUMMYFUNCTION("vlookup($D279,IMPORTRANGE(""https://docs.google.com/spreadsheets/d/1swGwZOEqYlTEUCJLY-eeJM1911Kvaei5oySBIxdgtNo/edit?pli=1#gid=257618397"",""stock untanna!B:G""),6,false)"),"#N/A")</f>
        <v>#N/A</v>
      </c>
      <c r="J279" s="43" t="str">
        <f t="shared" si="1"/>
        <v>TIDAK ADA</v>
      </c>
      <c r="K279" s="72">
        <v>3.0</v>
      </c>
      <c r="L279" s="53" t="s">
        <v>88</v>
      </c>
      <c r="M279" s="73">
        <v>15000.0</v>
      </c>
      <c r="N279" s="74"/>
      <c r="O279" s="73">
        <v>45000.0</v>
      </c>
      <c r="P279" s="46" t="str">
        <f t="shared" si="2"/>
        <v>Rp15,000-3 BOX-0.00%</v>
      </c>
      <c r="Q279" s="75">
        <v>45408.0</v>
      </c>
      <c r="R279" s="76"/>
      <c r="S279" s="75">
        <v>45418.0</v>
      </c>
      <c r="T279" s="49"/>
    </row>
    <row r="280">
      <c r="A280" s="69">
        <v>4329.0</v>
      </c>
      <c r="B280" s="69" t="s">
        <v>29</v>
      </c>
      <c r="C280" s="70" t="s">
        <v>155</v>
      </c>
      <c r="D280" s="69" t="s">
        <v>529</v>
      </c>
      <c r="E280" s="41" t="str">
        <f>IFERROR(__xludf.DUMMYFUNCTION("vlookup(D280,IMPORTRANGE(""https://docs.google.com/spreadsheets/d/1swGwZOEqYlTEUCJLY-eeJM1911Kvaei5oySBIxdgtNo/edit?pli=1#gid=257618397"",""stock untanna!B:C""),2,false)"),"LEM CAIR BY 820 30ML (24)")</f>
        <v>LEM CAIR BY 820 30ML (24)</v>
      </c>
      <c r="F280" s="70" t="s">
        <v>529</v>
      </c>
      <c r="G280" s="71" t="s">
        <v>530</v>
      </c>
      <c r="H280" s="41" t="str">
        <f>IFERROR(__xludf.DUMMYFUNCTION("vlookup($D280,IMPORTRANGE(""https://docs.google.com/spreadsheets/d/1swGwZOEqYlTEUCJLY-eeJM1911Kvaei5oySBIxdgtNo/edit?pli=1#gid=257618397"",""stock untanna!B:F""),5,false)"),"NB")</f>
        <v>NB</v>
      </c>
      <c r="I280" s="42" t="str">
        <f>IFERROR(__xludf.DUMMYFUNCTION("vlookup($D280,IMPORTRANGE(""https://docs.google.com/spreadsheets/d/1swGwZOEqYlTEUCJLY-eeJM1911Kvaei5oySBIxdgtNo/edit?pli=1#gid=257618397"",""stock untanna!B:G""),6,false)"),"820")</f>
        <v>820</v>
      </c>
      <c r="J280" s="43" t="str">
        <f t="shared" si="1"/>
        <v>ADA</v>
      </c>
      <c r="K280" s="72">
        <v>2.0</v>
      </c>
      <c r="L280" s="53" t="s">
        <v>88</v>
      </c>
      <c r="M280" s="73">
        <v>50000.0</v>
      </c>
      <c r="N280" s="74"/>
      <c r="O280" s="73">
        <v>100000.0</v>
      </c>
      <c r="P280" s="46" t="str">
        <f t="shared" si="2"/>
        <v>Rp50,000-2 BOX-0.00%</v>
      </c>
      <c r="Q280" s="75">
        <v>45408.0</v>
      </c>
      <c r="R280" s="76"/>
      <c r="S280" s="75">
        <v>45418.0</v>
      </c>
      <c r="T280" s="49"/>
    </row>
    <row r="281">
      <c r="A281" s="69">
        <v>4329.0</v>
      </c>
      <c r="B281" s="69" t="s">
        <v>29</v>
      </c>
      <c r="C281" s="70" t="s">
        <v>155</v>
      </c>
      <c r="D281" s="69" t="s">
        <v>531</v>
      </c>
      <c r="E281" s="41" t="str">
        <f>IFERROR(__xludf.DUMMYFUNCTION("vlookup(D281,IMPORTRANGE(""https://docs.google.com/spreadsheets/d/1swGwZOEqYlTEUCJLY-eeJM1911Kvaei5oySBIxdgtNo/edit?pli=1#gid=257618397"",""stock untanna!B:C""),2,false)"),"ASAHAN 8095")</f>
        <v>ASAHAN 8095</v>
      </c>
      <c r="F281" s="70" t="s">
        <v>531</v>
      </c>
      <c r="G281" s="71" t="s">
        <v>532</v>
      </c>
      <c r="H281" s="41" t="str">
        <f>IFERROR(__xludf.DUMMYFUNCTION("vlookup($D281,IMPORTRANGE(""https://docs.google.com/spreadsheets/d/1swGwZOEqYlTEUCJLY-eeJM1911Kvaei5oySBIxdgtNo/edit?pli=1#gid=257618397"",""stock untanna!B:F""),5,false)"),"IM")</f>
        <v>IM</v>
      </c>
      <c r="I281" s="42" t="str">
        <f>IFERROR(__xludf.DUMMYFUNCTION("vlookup($D281,IMPORTRANGE(""https://docs.google.com/spreadsheets/d/1swGwZOEqYlTEUCJLY-eeJM1911Kvaei5oySBIxdgtNo/edit?pli=1#gid=257618397"",""stock untanna!B:G""),6,false)"),"8095")</f>
        <v>8095</v>
      </c>
      <c r="J281" s="43" t="str">
        <f t="shared" si="1"/>
        <v>ADA</v>
      </c>
      <c r="K281" s="72">
        <v>48.0</v>
      </c>
      <c r="L281" s="53" t="s">
        <v>69</v>
      </c>
      <c r="M281" s="73">
        <v>2250.0</v>
      </c>
      <c r="N281" s="74"/>
      <c r="O281" s="73">
        <v>108000.0</v>
      </c>
      <c r="P281" s="46" t="str">
        <f t="shared" si="2"/>
        <v>Rp2,250-48 PCS-0.00%</v>
      </c>
      <c r="Q281" s="75">
        <v>45408.0</v>
      </c>
      <c r="R281" s="76"/>
      <c r="S281" s="75">
        <v>45418.0</v>
      </c>
      <c r="T281" s="49"/>
    </row>
    <row r="282">
      <c r="A282" s="69">
        <v>4329.0</v>
      </c>
      <c r="B282" s="69" t="s">
        <v>29</v>
      </c>
      <c r="C282" s="70" t="s">
        <v>155</v>
      </c>
      <c r="D282" s="69" t="s">
        <v>533</v>
      </c>
      <c r="E282" s="41" t="str">
        <f>IFERROR(__xludf.DUMMYFUNCTION("vlookup(D282,IMPORTRANGE(""https://docs.google.com/spreadsheets/d/1swGwZOEqYlTEUCJLY-eeJM1911Kvaei5oySBIxdgtNo/edit?pli=1#gid=257618397"",""stock untanna!B:C""),2,false)"),"ASAHAN 8809")</f>
        <v>ASAHAN 8809</v>
      </c>
      <c r="F282" s="70" t="s">
        <v>533</v>
      </c>
      <c r="G282" s="71" t="s">
        <v>534</v>
      </c>
      <c r="H282" s="41" t="str">
        <f>IFERROR(__xludf.DUMMYFUNCTION("vlookup($D282,IMPORTRANGE(""https://docs.google.com/spreadsheets/d/1swGwZOEqYlTEUCJLY-eeJM1911Kvaei5oySBIxdgtNo/edit?pli=1#gid=257618397"",""stock untanna!B:F""),5,false)"),"IM")</f>
        <v>IM</v>
      </c>
      <c r="I282" s="42" t="str">
        <f>IFERROR(__xludf.DUMMYFUNCTION("vlookup($D282,IMPORTRANGE(""https://docs.google.com/spreadsheets/d/1swGwZOEqYlTEUCJLY-eeJM1911Kvaei5oySBIxdgtNo/edit?pli=1#gid=257618397"",""stock untanna!B:G""),6,false)"),"8809")</f>
        <v>8809</v>
      </c>
      <c r="J282" s="43" t="str">
        <f t="shared" si="1"/>
        <v>ADA</v>
      </c>
      <c r="K282" s="72">
        <v>60.0</v>
      </c>
      <c r="L282" s="53" t="s">
        <v>69</v>
      </c>
      <c r="M282" s="73">
        <v>2250.0</v>
      </c>
      <c r="N282" s="74"/>
      <c r="O282" s="73">
        <v>135000.0</v>
      </c>
      <c r="P282" s="46" t="str">
        <f t="shared" si="2"/>
        <v>Rp2,250-60 PCS-0.00%</v>
      </c>
      <c r="Q282" s="75">
        <v>45408.0</v>
      </c>
      <c r="R282" s="76"/>
      <c r="S282" s="75">
        <v>45418.0</v>
      </c>
      <c r="T282" s="49"/>
    </row>
    <row r="283">
      <c r="A283" s="69">
        <v>4329.0</v>
      </c>
      <c r="B283" s="69" t="s">
        <v>29</v>
      </c>
      <c r="C283" s="70" t="s">
        <v>155</v>
      </c>
      <c r="D283" s="69" t="s">
        <v>535</v>
      </c>
      <c r="E283" s="41" t="str">
        <f>IFERROR(__xludf.DUMMYFUNCTION("vlookup(D283,IMPORTRANGE(""https://docs.google.com/spreadsheets/d/1swGwZOEqYlTEUCJLY-eeJM1911Kvaei5oySBIxdgtNo/edit?pli=1#gid=257618397"",""stock untanna!B:C""),2,false)"),"ASAHAN TOPLES SP 8865 IKAN")</f>
        <v>ASAHAN TOPLES SP 8865 IKAN</v>
      </c>
      <c r="F283" s="70" t="s">
        <v>535</v>
      </c>
      <c r="G283" s="71" t="s">
        <v>536</v>
      </c>
      <c r="H283" s="41" t="str">
        <f>IFERROR(__xludf.DUMMYFUNCTION("vlookup($D283,IMPORTRANGE(""https://docs.google.com/spreadsheets/d/1swGwZOEqYlTEUCJLY-eeJM1911Kvaei5oySBIxdgtNo/edit?pli=1#gid=257618397"",""stock untanna!B:F""),5,false)"),"NB")</f>
        <v>NB</v>
      </c>
      <c r="I283" s="42" t="str">
        <f>IFERROR(__xludf.DUMMYFUNCTION("vlookup($D283,IMPORTRANGE(""https://docs.google.com/spreadsheets/d/1swGwZOEqYlTEUCJLY-eeJM1911Kvaei5oySBIxdgtNo/edit?pli=1#gid=257618397"",""stock untanna!B:G""),6,false)"),"8865")</f>
        <v>8865</v>
      </c>
      <c r="J283" s="43" t="str">
        <f t="shared" si="1"/>
        <v>ADA</v>
      </c>
      <c r="K283" s="72">
        <v>1.0</v>
      </c>
      <c r="L283" s="53" t="s">
        <v>88</v>
      </c>
      <c r="M283" s="73">
        <v>108000.0</v>
      </c>
      <c r="N283" s="74"/>
      <c r="O283" s="73">
        <v>108000.0</v>
      </c>
      <c r="P283" s="46" t="str">
        <f t="shared" si="2"/>
        <v>Rp108,000-1 BOX-0.00%</v>
      </c>
      <c r="Q283" s="75">
        <v>45408.0</v>
      </c>
      <c r="R283" s="76"/>
      <c r="S283" s="75">
        <v>45418.0</v>
      </c>
      <c r="T283" s="49"/>
    </row>
    <row r="284">
      <c r="A284" s="69">
        <v>4329.0</v>
      </c>
      <c r="B284" s="69" t="s">
        <v>29</v>
      </c>
      <c r="C284" s="70" t="s">
        <v>155</v>
      </c>
      <c r="D284" s="69" t="s">
        <v>537</v>
      </c>
      <c r="E284" s="41" t="str">
        <f>IFERROR(__xludf.DUMMYFUNCTION("vlookup(D284,IMPORTRANGE(""https://docs.google.com/spreadsheets/d/1swGwZOEqYlTEUCJLY-eeJM1911Kvaei5oySBIxdgtNo/edit?pli=1#gid=257618397"",""stock untanna!B:C""),2,false)"),"ASAHAN NO.8807")</f>
        <v>ASAHAN NO.8807</v>
      </c>
      <c r="F284" s="70" t="s">
        <v>537</v>
      </c>
      <c r="G284" s="71" t="s">
        <v>538</v>
      </c>
      <c r="H284" s="41" t="str">
        <f>IFERROR(__xludf.DUMMYFUNCTION("vlookup($D284,IMPORTRANGE(""https://docs.google.com/spreadsheets/d/1swGwZOEqYlTEUCJLY-eeJM1911Kvaei5oySBIxdgtNo/edit?pli=1#gid=257618397"",""stock untanna!B:F""),5,false)"),"IM")</f>
        <v>IM</v>
      </c>
      <c r="I284" s="42" t="str">
        <f>IFERROR(__xludf.DUMMYFUNCTION("vlookup($D284,IMPORTRANGE(""https://docs.google.com/spreadsheets/d/1swGwZOEqYlTEUCJLY-eeJM1911Kvaei5oySBIxdgtNo/edit?pli=1#gid=257618397"",""stock untanna!B:G""),6,false)"),"8807")</f>
        <v>8807</v>
      </c>
      <c r="J284" s="43" t="str">
        <f t="shared" si="1"/>
        <v>ADA</v>
      </c>
      <c r="K284" s="72">
        <v>60.0</v>
      </c>
      <c r="L284" s="53" t="s">
        <v>69</v>
      </c>
      <c r="M284" s="73">
        <v>2250.0</v>
      </c>
      <c r="N284" s="74"/>
      <c r="O284" s="73">
        <v>135000.0</v>
      </c>
      <c r="P284" s="46" t="str">
        <f t="shared" si="2"/>
        <v>Rp2,250-60 PCS-0.00%</v>
      </c>
      <c r="Q284" s="75">
        <v>45408.0</v>
      </c>
      <c r="R284" s="76"/>
      <c r="S284" s="75">
        <v>45418.0</v>
      </c>
      <c r="T284" s="49"/>
    </row>
    <row r="285">
      <c r="A285" s="69">
        <v>4329.0</v>
      </c>
      <c r="B285" s="69" t="s">
        <v>29</v>
      </c>
      <c r="C285" s="70" t="s">
        <v>155</v>
      </c>
      <c r="D285" s="69" t="s">
        <v>539</v>
      </c>
      <c r="E285" s="41" t="str">
        <f>IFERROR(__xludf.DUMMYFUNCTION("vlookup(D285,IMPORTRANGE(""https://docs.google.com/spreadsheets/d/1swGwZOEqYlTEUCJLY-eeJM1911Kvaei5oySBIxdgtNo/edit?pli=1#gid=257618397"",""stock untanna!B:C""),2,false)"),"LEM FANCY MY 105 (12)")</f>
        <v>LEM FANCY MY 105 (12)</v>
      </c>
      <c r="F285" s="70" t="s">
        <v>539</v>
      </c>
      <c r="G285" s="71" t="s">
        <v>540</v>
      </c>
      <c r="H285" s="41" t="str">
        <f>IFERROR(__xludf.DUMMYFUNCTION("vlookup($D285,IMPORTRANGE(""https://docs.google.com/spreadsheets/d/1swGwZOEqYlTEUCJLY-eeJM1911Kvaei5oySBIxdgtNo/edit?pli=1#gid=257618397"",""stock untanna!B:F""),5,false)"),"NB")</f>
        <v>NB</v>
      </c>
      <c r="I285" s="42" t="str">
        <f>IFERROR(__xludf.DUMMYFUNCTION("vlookup($D285,IMPORTRANGE(""https://docs.google.com/spreadsheets/d/1swGwZOEqYlTEUCJLY-eeJM1911Kvaei5oySBIxdgtNo/edit?pli=1#gid=257618397"",""stock untanna!B:G""),6,false)"),"")</f>
        <v/>
      </c>
      <c r="J285" s="43" t="str">
        <f t="shared" si="1"/>
        <v>ADA</v>
      </c>
      <c r="K285" s="72">
        <v>2.0</v>
      </c>
      <c r="L285" s="53" t="s">
        <v>62</v>
      </c>
      <c r="M285" s="73">
        <v>27500.0</v>
      </c>
      <c r="N285" s="74"/>
      <c r="O285" s="73">
        <v>55000.0</v>
      </c>
      <c r="P285" s="46" t="str">
        <f t="shared" si="2"/>
        <v>Rp27,500-2 LSN-0.00%</v>
      </c>
      <c r="Q285" s="75">
        <v>45408.0</v>
      </c>
      <c r="R285" s="76"/>
      <c r="S285" s="75">
        <v>45418.0</v>
      </c>
      <c r="T285" s="49" t="s">
        <v>100</v>
      </c>
    </row>
    <row r="286">
      <c r="A286" s="69">
        <v>4329.0</v>
      </c>
      <c r="B286" s="69" t="s">
        <v>29</v>
      </c>
      <c r="C286" s="70" t="s">
        <v>155</v>
      </c>
      <c r="D286" s="69" t="s">
        <v>541</v>
      </c>
      <c r="E286" s="41" t="str">
        <f>IFERROR(__xludf.DUMMYFUNCTION("vlookup(D286,IMPORTRANGE(""https://docs.google.com/spreadsheets/d/1swGwZOEqYlTEUCJLY-eeJM1911Kvaei5oySBIxdgtNo/edit?pli=1#gid=257618397"",""stock untanna!B:C""),2,false)"),"PALET CAT AIR SAKURA TRANS")</f>
        <v>PALET CAT AIR SAKURA TRANS</v>
      </c>
      <c r="F286" s="70" t="s">
        <v>541</v>
      </c>
      <c r="G286" s="71" t="s">
        <v>542</v>
      </c>
      <c r="H286" s="41" t="str">
        <f>IFERROR(__xludf.DUMMYFUNCTION("vlookup($D286,IMPORTRANGE(""https://docs.google.com/spreadsheets/d/1swGwZOEqYlTEUCJLY-eeJM1911Kvaei5oySBIxdgtNo/edit?pli=1#gid=257618397"",""stock untanna!B:F""),5,false)"),"NB")</f>
        <v>NB</v>
      </c>
      <c r="I286" s="42" t="str">
        <f>IFERROR(__xludf.DUMMYFUNCTION("vlookup($D286,IMPORTRANGE(""https://docs.google.com/spreadsheets/d/1swGwZOEqYlTEUCJLY-eeJM1911Kvaei5oySBIxdgtNo/edit?pli=1#gid=257618397"",""stock untanna!B:G""),6,false)"),"")</f>
        <v/>
      </c>
      <c r="J286" s="43" t="str">
        <f t="shared" si="1"/>
        <v>ADA</v>
      </c>
      <c r="K286" s="72">
        <v>5.0</v>
      </c>
      <c r="L286" s="53" t="s">
        <v>62</v>
      </c>
      <c r="M286" s="73">
        <v>10500.0</v>
      </c>
      <c r="N286" s="74"/>
      <c r="O286" s="73">
        <v>52500.0</v>
      </c>
      <c r="P286" s="46" t="str">
        <f t="shared" si="2"/>
        <v>Rp10,500-5 LSN-0.00%</v>
      </c>
      <c r="Q286" s="75">
        <v>45408.0</v>
      </c>
      <c r="R286" s="76"/>
      <c r="S286" s="75">
        <v>45418.0</v>
      </c>
      <c r="T286" s="49"/>
    </row>
    <row r="287">
      <c r="A287" s="69">
        <v>4329.0</v>
      </c>
      <c r="B287" s="69" t="s">
        <v>29</v>
      </c>
      <c r="C287" s="70" t="s">
        <v>155</v>
      </c>
      <c r="D287" s="69"/>
      <c r="E287" s="41" t="s">
        <v>543</v>
      </c>
      <c r="F287" s="70"/>
      <c r="G287" s="71" t="s">
        <v>543</v>
      </c>
      <c r="H287" s="41" t="str">
        <f>IFERROR(__xludf.DUMMYFUNCTION("vlookup($D287,IMPORTRANGE(""https://docs.google.com/spreadsheets/d/1swGwZOEqYlTEUCJLY-eeJM1911Kvaei5oySBIxdgtNo/edit?pli=1#gid=257618397"",""stock untanna!B:F""),5,false)"),"#N/A")</f>
        <v>#N/A</v>
      </c>
      <c r="I287" s="42" t="str">
        <f>IFERROR(__xludf.DUMMYFUNCTION("vlookup($D287,IMPORTRANGE(""https://docs.google.com/spreadsheets/d/1swGwZOEqYlTEUCJLY-eeJM1911Kvaei5oySBIxdgtNo/edit?pli=1#gid=257618397"",""stock untanna!B:G""),6,false)"),"#N/A")</f>
        <v>#N/A</v>
      </c>
      <c r="J287" s="43" t="str">
        <f t="shared" si="1"/>
        <v>TIDAK ADA</v>
      </c>
      <c r="K287" s="72">
        <v>3.0</v>
      </c>
      <c r="L287" s="53" t="s">
        <v>62</v>
      </c>
      <c r="M287" s="73">
        <v>38500.0</v>
      </c>
      <c r="N287" s="74"/>
      <c r="O287" s="73">
        <v>115500.0</v>
      </c>
      <c r="P287" s="46" t="str">
        <f t="shared" si="2"/>
        <v>Rp38,500-3 LSN-0.00%</v>
      </c>
      <c r="Q287" s="75">
        <v>45408.0</v>
      </c>
      <c r="R287" s="76"/>
      <c r="S287" s="75">
        <v>45418.0</v>
      </c>
      <c r="T287" s="49"/>
    </row>
    <row r="288">
      <c r="A288" s="69">
        <v>4329.0</v>
      </c>
      <c r="B288" s="69" t="s">
        <v>29</v>
      </c>
      <c r="C288" s="70" t="s">
        <v>155</v>
      </c>
      <c r="D288" s="69"/>
      <c r="E288" s="41" t="s">
        <v>544</v>
      </c>
      <c r="F288" s="70"/>
      <c r="G288" s="71" t="s">
        <v>544</v>
      </c>
      <c r="H288" s="41" t="str">
        <f>IFERROR(__xludf.DUMMYFUNCTION("vlookup($D288,IMPORTRANGE(""https://docs.google.com/spreadsheets/d/1swGwZOEqYlTEUCJLY-eeJM1911Kvaei5oySBIxdgtNo/edit?pli=1#gid=257618397"",""stock untanna!B:F""),5,false)"),"#N/A")</f>
        <v>#N/A</v>
      </c>
      <c r="I288" s="42" t="str">
        <f>IFERROR(__xludf.DUMMYFUNCTION("vlookup($D288,IMPORTRANGE(""https://docs.google.com/spreadsheets/d/1swGwZOEqYlTEUCJLY-eeJM1911Kvaei5oySBIxdgtNo/edit?pli=1#gid=257618397"",""stock untanna!B:G""),6,false)"),"#N/A")</f>
        <v>#N/A</v>
      </c>
      <c r="J288" s="43" t="str">
        <f t="shared" si="1"/>
        <v>TIDAK ADA</v>
      </c>
      <c r="K288" s="72">
        <v>2.0</v>
      </c>
      <c r="L288" s="53" t="s">
        <v>62</v>
      </c>
      <c r="M288" s="73">
        <v>10000.0</v>
      </c>
      <c r="N288" s="74"/>
      <c r="O288" s="73">
        <v>20000.0</v>
      </c>
      <c r="P288" s="46" t="str">
        <f t="shared" si="2"/>
        <v>Rp10,000-2 LSN-0.00%</v>
      </c>
      <c r="Q288" s="75">
        <v>45408.0</v>
      </c>
      <c r="R288" s="76"/>
      <c r="S288" s="75">
        <v>45418.0</v>
      </c>
      <c r="T288" s="49"/>
    </row>
    <row r="289">
      <c r="A289" s="69">
        <v>4329.0</v>
      </c>
      <c r="B289" s="69" t="s">
        <v>29</v>
      </c>
      <c r="C289" s="70" t="s">
        <v>155</v>
      </c>
      <c r="D289" s="69" t="s">
        <v>545</v>
      </c>
      <c r="E289" s="41" t="str">
        <f>IFERROR(__xludf.DUMMYFUNCTION("vlookup(D289,IMPORTRANGE(""https://docs.google.com/spreadsheets/d/1swGwZOEqYlTEUCJLY-eeJM1911Kvaei5oySBIxdgtNo/edit?pli=1#gid=257618397"",""stock untanna!B:C""),2,false)"),"PALET CAT AIR SAKURA PUTIH UTN")</f>
        <v>PALET CAT AIR SAKURA PUTIH UTN</v>
      </c>
      <c r="F289" s="70" t="s">
        <v>545</v>
      </c>
      <c r="G289" s="71" t="s">
        <v>546</v>
      </c>
      <c r="H289" s="41" t="str">
        <f>IFERROR(__xludf.DUMMYFUNCTION("vlookup($D289,IMPORTRANGE(""https://docs.google.com/spreadsheets/d/1swGwZOEqYlTEUCJLY-eeJM1911Kvaei5oySBIxdgtNo/edit?pli=1#gid=257618397"",""stock untanna!B:F""),5,false)"),"NB")</f>
        <v>NB</v>
      </c>
      <c r="I289" s="42" t="str">
        <f>IFERROR(__xludf.DUMMYFUNCTION("vlookup($D289,IMPORTRANGE(""https://docs.google.com/spreadsheets/d/1swGwZOEqYlTEUCJLY-eeJM1911Kvaei5oySBIxdgtNo/edit?pli=1#gid=257618397"",""stock untanna!B:G""),6,false)"),"")</f>
        <v/>
      </c>
      <c r="J289" s="43" t="str">
        <f t="shared" si="1"/>
        <v>ADA</v>
      </c>
      <c r="K289" s="72">
        <v>2.0</v>
      </c>
      <c r="L289" s="53" t="s">
        <v>62</v>
      </c>
      <c r="M289" s="73">
        <v>16000.0</v>
      </c>
      <c r="N289" s="74"/>
      <c r="O289" s="73">
        <v>32000.0</v>
      </c>
      <c r="P289" s="46" t="str">
        <f t="shared" si="2"/>
        <v>Rp16,000-2 LSN-0.00%</v>
      </c>
      <c r="Q289" s="75">
        <v>45408.0</v>
      </c>
      <c r="R289" s="76"/>
      <c r="S289" s="75">
        <v>45418.0</v>
      </c>
      <c r="T289" s="49"/>
    </row>
    <row r="290">
      <c r="A290" s="69">
        <v>4329.0</v>
      </c>
      <c r="B290" s="69" t="s">
        <v>29</v>
      </c>
      <c r="C290" s="70" t="s">
        <v>155</v>
      </c>
      <c r="D290" s="69" t="s">
        <v>547</v>
      </c>
      <c r="E290" s="41" t="str">
        <f>IFERROR(__xludf.DUMMYFUNCTION("vlookup(D290,IMPORTRANGE(""https://docs.google.com/spreadsheets/d/1swGwZOEqYlTEUCJLY-eeJM1911Kvaei5oySBIxdgtNo/edit?pli=1#gid=257618397"",""stock untanna!B:C""),2,false)"),"PALET 21839-12")</f>
        <v>PALET 21839-12</v>
      </c>
      <c r="F290" s="70" t="s">
        <v>547</v>
      </c>
      <c r="G290" s="71" t="s">
        <v>548</v>
      </c>
      <c r="H290" s="41" t="str">
        <f>IFERROR(__xludf.DUMMYFUNCTION("vlookup($D290,IMPORTRANGE(""https://docs.google.com/spreadsheets/d/1swGwZOEqYlTEUCJLY-eeJM1911Kvaei5oySBIxdgtNo/edit?pli=1#gid=257618397"",""stock untanna!B:F""),5,false)"),"IM")</f>
        <v>IM</v>
      </c>
      <c r="I290" s="42" t="str">
        <f>IFERROR(__xludf.DUMMYFUNCTION("vlookup($D290,IMPORTRANGE(""https://docs.google.com/spreadsheets/d/1swGwZOEqYlTEUCJLY-eeJM1911Kvaei5oySBIxdgtNo/edit?pli=1#gid=257618397"",""stock untanna!B:G""),6,false)"),"")</f>
        <v/>
      </c>
      <c r="J290" s="43" t="str">
        <f t="shared" si="1"/>
        <v>ADA</v>
      </c>
      <c r="K290" s="72">
        <v>24.0</v>
      </c>
      <c r="L290" s="53" t="s">
        <v>69</v>
      </c>
      <c r="M290" s="73">
        <v>2250.0</v>
      </c>
      <c r="N290" s="74"/>
      <c r="O290" s="73">
        <v>54000.0</v>
      </c>
      <c r="P290" s="46" t="str">
        <f t="shared" si="2"/>
        <v>Rp2,250-24 PCS-0.00%</v>
      </c>
      <c r="Q290" s="75">
        <v>45408.0</v>
      </c>
      <c r="R290" s="76"/>
      <c r="S290" s="75">
        <v>45418.0</v>
      </c>
      <c r="T290" s="49"/>
    </row>
    <row r="291">
      <c r="A291" s="69">
        <v>4329.0</v>
      </c>
      <c r="B291" s="69" t="s">
        <v>29</v>
      </c>
      <c r="C291" s="70" t="s">
        <v>155</v>
      </c>
      <c r="D291" s="69"/>
      <c r="E291" s="41" t="s">
        <v>549</v>
      </c>
      <c r="F291" s="70"/>
      <c r="G291" s="71" t="s">
        <v>549</v>
      </c>
      <c r="H291" s="41" t="str">
        <f>IFERROR(__xludf.DUMMYFUNCTION("vlookup($D291,IMPORTRANGE(""https://docs.google.com/spreadsheets/d/1swGwZOEqYlTEUCJLY-eeJM1911Kvaei5oySBIxdgtNo/edit?pli=1#gid=257618397"",""stock untanna!B:F""),5,false)"),"#N/A")</f>
        <v>#N/A</v>
      </c>
      <c r="I291" s="42" t="str">
        <f>IFERROR(__xludf.DUMMYFUNCTION("vlookup($D291,IMPORTRANGE(""https://docs.google.com/spreadsheets/d/1swGwZOEqYlTEUCJLY-eeJM1911Kvaei5oySBIxdgtNo/edit?pli=1#gid=257618397"",""stock untanna!B:G""),6,false)"),"#N/A")</f>
        <v>#N/A</v>
      </c>
      <c r="J291" s="43" t="str">
        <f t="shared" si="1"/>
        <v>TIDAK ADA</v>
      </c>
      <c r="K291" s="72">
        <v>50.0</v>
      </c>
      <c r="L291" s="53" t="s">
        <v>69</v>
      </c>
      <c r="M291" s="73">
        <v>3400.0</v>
      </c>
      <c r="N291" s="74"/>
      <c r="O291" s="73">
        <v>170000.0</v>
      </c>
      <c r="P291" s="46" t="str">
        <f t="shared" si="2"/>
        <v>Rp3,400-50 PCS-0.00%</v>
      </c>
      <c r="Q291" s="75">
        <v>45408.0</v>
      </c>
      <c r="R291" s="76"/>
      <c r="S291" s="75">
        <v>45418.0</v>
      </c>
      <c r="T291" s="49" t="s">
        <v>550</v>
      </c>
    </row>
    <row r="292">
      <c r="A292" s="69">
        <v>4329.0</v>
      </c>
      <c r="B292" s="69" t="s">
        <v>29</v>
      </c>
      <c r="C292" s="70" t="s">
        <v>155</v>
      </c>
      <c r="D292" s="69"/>
      <c r="E292" s="41" t="s">
        <v>549</v>
      </c>
      <c r="F292" s="70"/>
      <c r="G292" s="71" t="s">
        <v>549</v>
      </c>
      <c r="H292" s="41" t="str">
        <f>IFERROR(__xludf.DUMMYFUNCTION("vlookup($D292,IMPORTRANGE(""https://docs.google.com/spreadsheets/d/1swGwZOEqYlTEUCJLY-eeJM1911Kvaei5oySBIxdgtNo/edit?pli=1#gid=257618397"",""stock untanna!B:F""),5,false)"),"#N/A")</f>
        <v>#N/A</v>
      </c>
      <c r="I292" s="42" t="str">
        <f>IFERROR(__xludf.DUMMYFUNCTION("vlookup($D292,IMPORTRANGE(""https://docs.google.com/spreadsheets/d/1swGwZOEqYlTEUCJLY-eeJM1911Kvaei5oySBIxdgtNo/edit?pli=1#gid=257618397"",""stock untanna!B:G""),6,false)"),"#N/A")</f>
        <v>#N/A</v>
      </c>
      <c r="J292" s="43" t="str">
        <f t="shared" si="1"/>
        <v>TIDAK ADA</v>
      </c>
      <c r="K292" s="72">
        <v>50.0</v>
      </c>
      <c r="L292" s="53" t="s">
        <v>69</v>
      </c>
      <c r="M292" s="73">
        <v>3400.0</v>
      </c>
      <c r="N292" s="74"/>
      <c r="O292" s="73">
        <v>170000.0</v>
      </c>
      <c r="P292" s="46" t="str">
        <f t="shared" si="2"/>
        <v>Rp3,400-50 PCS-0.00%</v>
      </c>
      <c r="Q292" s="75">
        <v>45408.0</v>
      </c>
      <c r="R292" s="76"/>
      <c r="S292" s="75">
        <v>45418.0</v>
      </c>
      <c r="T292" s="49" t="s">
        <v>551</v>
      </c>
    </row>
    <row r="293">
      <c r="A293" s="69">
        <v>4329.0</v>
      </c>
      <c r="B293" s="69" t="s">
        <v>29</v>
      </c>
      <c r="C293" s="70" t="s">
        <v>155</v>
      </c>
      <c r="D293" s="69"/>
      <c r="E293" s="41" t="s">
        <v>549</v>
      </c>
      <c r="F293" s="70"/>
      <c r="G293" s="71" t="s">
        <v>549</v>
      </c>
      <c r="H293" s="41" t="str">
        <f>IFERROR(__xludf.DUMMYFUNCTION("vlookup($D293,IMPORTRANGE(""https://docs.google.com/spreadsheets/d/1swGwZOEqYlTEUCJLY-eeJM1911Kvaei5oySBIxdgtNo/edit?pli=1#gid=257618397"",""stock untanna!B:F""),5,false)"),"#N/A")</f>
        <v>#N/A</v>
      </c>
      <c r="I293" s="42" t="str">
        <f>IFERROR(__xludf.DUMMYFUNCTION("vlookup($D293,IMPORTRANGE(""https://docs.google.com/spreadsheets/d/1swGwZOEqYlTEUCJLY-eeJM1911Kvaei5oySBIxdgtNo/edit?pli=1#gid=257618397"",""stock untanna!B:G""),6,false)"),"#N/A")</f>
        <v>#N/A</v>
      </c>
      <c r="J293" s="43" t="str">
        <f t="shared" si="1"/>
        <v>TIDAK ADA</v>
      </c>
      <c r="K293" s="72">
        <v>50.0</v>
      </c>
      <c r="L293" s="53" t="s">
        <v>69</v>
      </c>
      <c r="M293" s="73">
        <v>3400.0</v>
      </c>
      <c r="N293" s="74"/>
      <c r="O293" s="73">
        <v>170000.0</v>
      </c>
      <c r="P293" s="46" t="str">
        <f t="shared" si="2"/>
        <v>Rp3,400-50 PCS-0.00%</v>
      </c>
      <c r="Q293" s="75">
        <v>45408.0</v>
      </c>
      <c r="R293" s="76"/>
      <c r="S293" s="75">
        <v>45418.0</v>
      </c>
      <c r="T293" s="49" t="s">
        <v>552</v>
      </c>
    </row>
    <row r="294">
      <c r="A294" s="69">
        <v>4330.0</v>
      </c>
      <c r="B294" s="69" t="s">
        <v>29</v>
      </c>
      <c r="C294" s="70" t="s">
        <v>155</v>
      </c>
      <c r="D294" s="69"/>
      <c r="E294" s="41" t="s">
        <v>553</v>
      </c>
      <c r="F294" s="70"/>
      <c r="G294" s="71" t="s">
        <v>553</v>
      </c>
      <c r="H294" s="41" t="str">
        <f>IFERROR(__xludf.DUMMYFUNCTION("vlookup($D294,IMPORTRANGE(""https://docs.google.com/spreadsheets/d/1swGwZOEqYlTEUCJLY-eeJM1911Kvaei5oySBIxdgtNo/edit?pli=1#gid=257618397"",""stock untanna!B:F""),5,false)"),"#N/A")</f>
        <v>#N/A</v>
      </c>
      <c r="I294" s="42" t="str">
        <f>IFERROR(__xludf.DUMMYFUNCTION("vlookup($D294,IMPORTRANGE(""https://docs.google.com/spreadsheets/d/1swGwZOEqYlTEUCJLY-eeJM1911Kvaei5oySBIxdgtNo/edit?pli=1#gid=257618397"",""stock untanna!B:G""),6,false)"),"#N/A")</f>
        <v>#N/A</v>
      </c>
      <c r="J294" s="43" t="str">
        <f t="shared" si="1"/>
        <v>TIDAK ADA</v>
      </c>
      <c r="K294" s="72">
        <v>1.0</v>
      </c>
      <c r="L294" s="53" t="s">
        <v>62</v>
      </c>
      <c r="M294" s="73">
        <v>135000.0</v>
      </c>
      <c r="N294" s="74"/>
      <c r="O294" s="73">
        <v>135000.0</v>
      </c>
      <c r="P294" s="46" t="str">
        <f t="shared" si="2"/>
        <v>Rp135,000-1 LSN-0.00%</v>
      </c>
      <c r="Q294" s="75">
        <v>45408.0</v>
      </c>
      <c r="R294" s="76"/>
      <c r="S294" s="75">
        <v>45418.0</v>
      </c>
      <c r="T294" s="80" t="s">
        <v>280</v>
      </c>
    </row>
    <row r="295">
      <c r="A295" s="69">
        <v>4330.0</v>
      </c>
      <c r="B295" s="69" t="s">
        <v>29</v>
      </c>
      <c r="C295" s="70" t="s">
        <v>155</v>
      </c>
      <c r="D295" s="69"/>
      <c r="E295" s="41" t="s">
        <v>554</v>
      </c>
      <c r="F295" s="70"/>
      <c r="G295" s="71" t="s">
        <v>554</v>
      </c>
      <c r="H295" s="41" t="str">
        <f>IFERROR(__xludf.DUMMYFUNCTION("vlookup($D295,IMPORTRANGE(""https://docs.google.com/spreadsheets/d/1swGwZOEqYlTEUCJLY-eeJM1911Kvaei5oySBIxdgtNo/edit?pli=1#gid=257618397"",""stock untanna!B:F""),5,false)"),"#N/A")</f>
        <v>#N/A</v>
      </c>
      <c r="I295" s="42" t="str">
        <f>IFERROR(__xludf.DUMMYFUNCTION("vlookup($D295,IMPORTRANGE(""https://docs.google.com/spreadsheets/d/1swGwZOEqYlTEUCJLY-eeJM1911Kvaei5oySBIxdgtNo/edit?pli=1#gid=257618397"",""stock untanna!B:G""),6,false)"),"#N/A")</f>
        <v>#N/A</v>
      </c>
      <c r="J295" s="43" t="str">
        <f t="shared" si="1"/>
        <v>TIDAK ADA</v>
      </c>
      <c r="K295" s="72">
        <v>1.0</v>
      </c>
      <c r="L295" s="53" t="s">
        <v>62</v>
      </c>
      <c r="M295" s="73">
        <v>100000.0</v>
      </c>
      <c r="N295" s="74"/>
      <c r="O295" s="73">
        <v>100000.0</v>
      </c>
      <c r="P295" s="46" t="str">
        <f t="shared" si="2"/>
        <v>Rp100,000-1 LSN-0.00%</v>
      </c>
      <c r="Q295" s="75">
        <v>45408.0</v>
      </c>
      <c r="R295" s="76"/>
      <c r="S295" s="75">
        <v>45418.0</v>
      </c>
      <c r="T295" s="80" t="s">
        <v>280</v>
      </c>
    </row>
    <row r="296">
      <c r="A296" s="69">
        <v>4330.0</v>
      </c>
      <c r="B296" s="69" t="s">
        <v>29</v>
      </c>
      <c r="C296" s="70" t="s">
        <v>155</v>
      </c>
      <c r="D296" s="69" t="s">
        <v>555</v>
      </c>
      <c r="E296" s="41" t="str">
        <f>IFERROR(__xludf.DUMMYFUNCTION("vlookup(D296,IMPORTRANGE(""https://docs.google.com/spreadsheets/d/1swGwZOEqYlTEUCJLY-eeJM1911Kvaei5oySBIxdgtNo/edit?pli=1#gid=257618397"",""stock untanna!B:C""),2,false)"),"PENSIL CASE ZL-178-1 MOBIL K")</f>
        <v>PENSIL CASE ZL-178-1 MOBIL K</v>
      </c>
      <c r="F296" s="70" t="s">
        <v>555</v>
      </c>
      <c r="G296" s="71" t="s">
        <v>556</v>
      </c>
      <c r="H296" s="41" t="str">
        <f>IFERROR(__xludf.DUMMYFUNCTION("vlookup($D296,IMPORTRANGE(""https://docs.google.com/spreadsheets/d/1swGwZOEqYlTEUCJLY-eeJM1911Kvaei5oySBIxdgtNo/edit?pli=1#gid=257618397"",""stock untanna!B:F""),5,false)"),"IM")</f>
        <v>IM</v>
      </c>
      <c r="I296" s="42" t="str">
        <f>IFERROR(__xludf.DUMMYFUNCTION("vlookup($D296,IMPORTRANGE(""https://docs.google.com/spreadsheets/d/1swGwZOEqYlTEUCJLY-eeJM1911Kvaei5oySBIxdgtNo/edit?pli=1#gid=257618397"",""stock untanna!B:G""),6,false)"),"")</f>
        <v/>
      </c>
      <c r="J296" s="43" t="str">
        <f t="shared" si="1"/>
        <v>ADA</v>
      </c>
      <c r="K296" s="72">
        <v>12.0</v>
      </c>
      <c r="L296" s="53" t="s">
        <v>69</v>
      </c>
      <c r="M296" s="73">
        <v>12500.0</v>
      </c>
      <c r="N296" s="74"/>
      <c r="O296" s="73">
        <v>150000.0</v>
      </c>
      <c r="P296" s="46" t="str">
        <f t="shared" si="2"/>
        <v>Rp12,500-12 PCS-0.00%</v>
      </c>
      <c r="Q296" s="75">
        <v>45408.0</v>
      </c>
      <c r="R296" s="76"/>
      <c r="S296" s="75">
        <v>45418.0</v>
      </c>
      <c r="T296" s="49"/>
    </row>
    <row r="297">
      <c r="A297" s="69">
        <v>4330.0</v>
      </c>
      <c r="B297" s="69" t="s">
        <v>29</v>
      </c>
      <c r="C297" s="70" t="s">
        <v>155</v>
      </c>
      <c r="D297" s="69"/>
      <c r="E297" s="41" t="s">
        <v>557</v>
      </c>
      <c r="F297" s="70"/>
      <c r="G297" s="71" t="s">
        <v>557</v>
      </c>
      <c r="H297" s="41" t="str">
        <f>IFERROR(__xludf.DUMMYFUNCTION("vlookup($D297,IMPORTRANGE(""https://docs.google.com/spreadsheets/d/1swGwZOEqYlTEUCJLY-eeJM1911Kvaei5oySBIxdgtNo/edit?pli=1#gid=257618397"",""stock untanna!B:F""),5,false)"),"#N/A")</f>
        <v>#N/A</v>
      </c>
      <c r="I297" s="42" t="str">
        <f>IFERROR(__xludf.DUMMYFUNCTION("vlookup($D297,IMPORTRANGE(""https://docs.google.com/spreadsheets/d/1swGwZOEqYlTEUCJLY-eeJM1911Kvaei5oySBIxdgtNo/edit?pli=1#gid=257618397"",""stock untanna!B:G""),6,false)"),"#N/A")</f>
        <v>#N/A</v>
      </c>
      <c r="J297" s="43" t="str">
        <f t="shared" si="1"/>
        <v>TIDAK ADA</v>
      </c>
      <c r="K297" s="72">
        <v>1.0</v>
      </c>
      <c r="L297" s="53" t="s">
        <v>62</v>
      </c>
      <c r="M297" s="73">
        <v>150000.0</v>
      </c>
      <c r="N297" s="74"/>
      <c r="O297" s="73">
        <v>150000.0</v>
      </c>
      <c r="P297" s="46" t="str">
        <f t="shared" si="2"/>
        <v>Rp150,000-1 LSN-0.00%</v>
      </c>
      <c r="Q297" s="75">
        <v>45408.0</v>
      </c>
      <c r="R297" s="76"/>
      <c r="S297" s="75">
        <v>45418.0</v>
      </c>
      <c r="T297" s="80" t="s">
        <v>280</v>
      </c>
    </row>
    <row r="298">
      <c r="A298" s="69">
        <v>4330.0</v>
      </c>
      <c r="B298" s="69" t="s">
        <v>29</v>
      </c>
      <c r="C298" s="70" t="s">
        <v>155</v>
      </c>
      <c r="D298" s="69" t="s">
        <v>558</v>
      </c>
      <c r="E298" s="41" t="str">
        <f>IFERROR(__xludf.DUMMYFUNCTION("vlookup(D298,IMPORTRANGE(""https://docs.google.com/spreadsheets/d/1swGwZOEqYlTEUCJLY-eeJM1911Kvaei5oySBIxdgtNo/edit?pli=1#gid=257618397"",""stock untanna!B:C""),2,false)"),"PENSIL CASE PC-633-5 MOBIL K")</f>
        <v>PENSIL CASE PC-633-5 MOBIL K</v>
      </c>
      <c r="F298" s="70" t="s">
        <v>558</v>
      </c>
      <c r="G298" s="71" t="s">
        <v>559</v>
      </c>
      <c r="H298" s="41" t="str">
        <f>IFERROR(__xludf.DUMMYFUNCTION("vlookup($D298,IMPORTRANGE(""https://docs.google.com/spreadsheets/d/1swGwZOEqYlTEUCJLY-eeJM1911Kvaei5oySBIxdgtNo/edit?pli=1#gid=257618397"",""stock untanna!B:F""),5,false)"),"IM")</f>
        <v>IM</v>
      </c>
      <c r="I298" s="42" t="str">
        <f>IFERROR(__xludf.DUMMYFUNCTION("vlookup($D298,IMPORTRANGE(""https://docs.google.com/spreadsheets/d/1swGwZOEqYlTEUCJLY-eeJM1911Kvaei5oySBIxdgtNo/edit?pli=1#gid=257618397"",""stock untanna!B:G""),6,false)"),"")</f>
        <v/>
      </c>
      <c r="J298" s="43" t="str">
        <f t="shared" si="1"/>
        <v>ADA</v>
      </c>
      <c r="K298" s="72">
        <v>12.0</v>
      </c>
      <c r="L298" s="53" t="s">
        <v>69</v>
      </c>
      <c r="M298" s="73">
        <v>13750.0</v>
      </c>
      <c r="N298" s="74"/>
      <c r="O298" s="73">
        <v>165000.0</v>
      </c>
      <c r="P298" s="46" t="str">
        <f t="shared" si="2"/>
        <v>Rp13,750-12 PCS-0.00%</v>
      </c>
      <c r="Q298" s="75">
        <v>45408.0</v>
      </c>
      <c r="R298" s="76"/>
      <c r="S298" s="75">
        <v>45418.0</v>
      </c>
      <c r="T298" s="49"/>
    </row>
    <row r="299">
      <c r="A299" s="69">
        <v>4330.0</v>
      </c>
      <c r="B299" s="69" t="s">
        <v>29</v>
      </c>
      <c r="C299" s="70" t="s">
        <v>155</v>
      </c>
      <c r="D299" s="69" t="s">
        <v>560</v>
      </c>
      <c r="E299" s="41" t="str">
        <f>IFERROR(__xludf.DUMMYFUNCTION("vlookup(D299,IMPORTRANGE(""https://docs.google.com/spreadsheets/d/1swGwZOEqYlTEUCJLY-eeJM1911Kvaei5oySBIxdgtNo/edit?pli=1#gid=257618397"",""stock untanna!B:C""),2,false)"),"PENSIL CASE 5872")</f>
        <v>PENSIL CASE 5872</v>
      </c>
      <c r="F299" s="70" t="s">
        <v>560</v>
      </c>
      <c r="G299" s="71" t="s">
        <v>561</v>
      </c>
      <c r="H299" s="41" t="str">
        <f>IFERROR(__xludf.DUMMYFUNCTION("vlookup($D299,IMPORTRANGE(""https://docs.google.com/spreadsheets/d/1swGwZOEqYlTEUCJLY-eeJM1911Kvaei5oySBIxdgtNo/edit?pli=1#gid=257618397"",""stock untanna!B:F""),5,false)"),"IM")</f>
        <v>IM</v>
      </c>
      <c r="I299" s="42" t="str">
        <f>IFERROR(__xludf.DUMMYFUNCTION("vlookup($D299,IMPORTRANGE(""https://docs.google.com/spreadsheets/d/1swGwZOEqYlTEUCJLY-eeJM1911Kvaei5oySBIxdgtNo/edit?pli=1#gid=257618397"",""stock untanna!B:G""),6,false)"),"")</f>
        <v/>
      </c>
      <c r="J299" s="43" t="str">
        <f t="shared" si="1"/>
        <v>ADA</v>
      </c>
      <c r="K299" s="72">
        <v>12.0</v>
      </c>
      <c r="L299" s="53" t="s">
        <v>69</v>
      </c>
      <c r="M299" s="73">
        <v>27083.0</v>
      </c>
      <c r="N299" s="74"/>
      <c r="O299" s="73">
        <v>324996.0</v>
      </c>
      <c r="P299" s="46" t="str">
        <f t="shared" si="2"/>
        <v>Rp27,083-12 PCS-0.00%</v>
      </c>
      <c r="Q299" s="75">
        <v>45408.0</v>
      </c>
      <c r="R299" s="76"/>
      <c r="S299" s="75">
        <v>45418.0</v>
      </c>
      <c r="T299" s="49"/>
    </row>
    <row r="300">
      <c r="A300" s="69">
        <v>4330.0</v>
      </c>
      <c r="B300" s="69" t="s">
        <v>29</v>
      </c>
      <c r="C300" s="70" t="s">
        <v>155</v>
      </c>
      <c r="D300" s="69" t="s">
        <v>562</v>
      </c>
      <c r="E300" s="41" t="str">
        <f>IFERROR(__xludf.DUMMYFUNCTION("vlookup(D300,IMPORTRANGE(""https://docs.google.com/spreadsheets/d/1swGwZOEqYlTEUCJLY-eeJM1911Kvaei5oySBIxdgtNo/edit?pli=1#gid=257618397"",""stock untanna!B:C""),2,false)"),"PENSIL CASE 5851")</f>
        <v>PENSIL CASE 5851</v>
      </c>
      <c r="F300" s="70" t="s">
        <v>562</v>
      </c>
      <c r="G300" s="71" t="s">
        <v>563</v>
      </c>
      <c r="H300" s="41" t="str">
        <f>IFERROR(__xludf.DUMMYFUNCTION("vlookup($D300,IMPORTRANGE(""https://docs.google.com/spreadsheets/d/1swGwZOEqYlTEUCJLY-eeJM1911Kvaei5oySBIxdgtNo/edit?pli=1#gid=257618397"",""stock untanna!B:F""),5,false)"),"IM")</f>
        <v>IM</v>
      </c>
      <c r="I300" s="42" t="str">
        <f>IFERROR(__xludf.DUMMYFUNCTION("vlookup($D300,IMPORTRANGE(""https://docs.google.com/spreadsheets/d/1swGwZOEqYlTEUCJLY-eeJM1911Kvaei5oySBIxdgtNo/edit?pli=1#gid=257618397"",""stock untanna!B:G""),6,false)"),"")</f>
        <v/>
      </c>
      <c r="J300" s="43" t="str">
        <f t="shared" si="1"/>
        <v>ADA</v>
      </c>
      <c r="K300" s="72">
        <v>12.0</v>
      </c>
      <c r="L300" s="53" t="s">
        <v>69</v>
      </c>
      <c r="M300" s="73">
        <v>25000.0</v>
      </c>
      <c r="N300" s="74"/>
      <c r="O300" s="73">
        <v>300000.0</v>
      </c>
      <c r="P300" s="46" t="str">
        <f t="shared" si="2"/>
        <v>Rp25,000-12 PCS-0.00%</v>
      </c>
      <c r="Q300" s="75">
        <v>45408.0</v>
      </c>
      <c r="R300" s="76"/>
      <c r="S300" s="75">
        <v>45418.0</v>
      </c>
      <c r="T300" s="49"/>
    </row>
    <row r="301">
      <c r="A301" s="69">
        <v>4330.0</v>
      </c>
      <c r="B301" s="69" t="s">
        <v>29</v>
      </c>
      <c r="C301" s="70" t="s">
        <v>155</v>
      </c>
      <c r="D301" s="69" t="s">
        <v>564</v>
      </c>
      <c r="E301" s="41" t="str">
        <f>IFERROR(__xludf.DUMMYFUNCTION("vlookup(D301,IMPORTRANGE(""https://docs.google.com/spreadsheets/d/1swGwZOEqYlTEUCJLY-eeJM1911Kvaei5oySBIxdgtNo/edit?pli=1#gid=257618397"",""stock untanna!B:C""),2,false)"),"PENSIL CASE 5842")</f>
        <v>PENSIL CASE 5842</v>
      </c>
      <c r="F301" s="70" t="s">
        <v>564</v>
      </c>
      <c r="G301" s="71" t="s">
        <v>565</v>
      </c>
      <c r="H301" s="41" t="str">
        <f>IFERROR(__xludf.DUMMYFUNCTION("vlookup($D301,IMPORTRANGE(""https://docs.google.com/spreadsheets/d/1swGwZOEqYlTEUCJLY-eeJM1911Kvaei5oySBIxdgtNo/edit?pli=1#gid=257618397"",""stock untanna!B:F""),5,false)"),"IM")</f>
        <v>IM</v>
      </c>
      <c r="I301" s="42" t="str">
        <f>IFERROR(__xludf.DUMMYFUNCTION("vlookup($D301,IMPORTRANGE(""https://docs.google.com/spreadsheets/d/1swGwZOEqYlTEUCJLY-eeJM1911Kvaei5oySBIxdgtNo/edit?pli=1#gid=257618397"",""stock untanna!B:G""),6,false)"),"")</f>
        <v/>
      </c>
      <c r="J301" s="43" t="str">
        <f t="shared" si="1"/>
        <v>ADA</v>
      </c>
      <c r="K301" s="72">
        <v>12.0</v>
      </c>
      <c r="L301" s="53" t="s">
        <v>69</v>
      </c>
      <c r="M301" s="73">
        <v>25000.0</v>
      </c>
      <c r="N301" s="74"/>
      <c r="O301" s="73">
        <v>300000.0</v>
      </c>
      <c r="P301" s="46" t="str">
        <f t="shared" si="2"/>
        <v>Rp25,000-12 PCS-0.00%</v>
      </c>
      <c r="Q301" s="75">
        <v>45408.0</v>
      </c>
      <c r="R301" s="76"/>
      <c r="S301" s="75">
        <v>45418.0</v>
      </c>
      <c r="T301" s="49"/>
    </row>
    <row r="302">
      <c r="A302" s="69">
        <v>4330.0</v>
      </c>
      <c r="B302" s="69" t="s">
        <v>29</v>
      </c>
      <c r="C302" s="70" t="s">
        <v>155</v>
      </c>
      <c r="D302" s="69" t="s">
        <v>566</v>
      </c>
      <c r="E302" s="41" t="str">
        <f>IFERROR(__xludf.DUMMYFUNCTION("vlookup(D302,IMPORTRANGE(""https://docs.google.com/spreadsheets/d/1swGwZOEqYlTEUCJLY-eeJM1911Kvaei5oySBIxdgtNo/edit?pli=1#gid=257618397"",""stock untanna!B:C""),2,false)"),"PENCIL CASE XLG BD194-B")</f>
        <v>PENCIL CASE XLG BD194-B</v>
      </c>
      <c r="F302" s="70" t="s">
        <v>566</v>
      </c>
      <c r="G302" s="71" t="s">
        <v>567</v>
      </c>
      <c r="H302" s="41" t="str">
        <f>IFERROR(__xludf.DUMMYFUNCTION("vlookup($D302,IMPORTRANGE(""https://docs.google.com/spreadsheets/d/1swGwZOEqYlTEUCJLY-eeJM1911Kvaei5oySBIxdgtNo/edit?pli=1#gid=257618397"",""stock untanna!B:F""),5,false)"),"XL")</f>
        <v>XL</v>
      </c>
      <c r="I302" s="42" t="str">
        <f>IFERROR(__xludf.DUMMYFUNCTION("vlookup($D302,IMPORTRANGE(""https://docs.google.com/spreadsheets/d/1swGwZOEqYlTEUCJLY-eeJM1911Kvaei5oySBIxdgtNo/edit?pli=1#gid=257618397"",""stock untanna!B:G""),6,false)"),"BD194-B")</f>
        <v>BD194-B</v>
      </c>
      <c r="J302" s="43" t="str">
        <f t="shared" si="1"/>
        <v>ADA</v>
      </c>
      <c r="K302" s="72">
        <v>12.0</v>
      </c>
      <c r="L302" s="53" t="s">
        <v>69</v>
      </c>
      <c r="M302" s="73">
        <v>22917.0</v>
      </c>
      <c r="N302" s="74"/>
      <c r="O302" s="73">
        <v>275004.0</v>
      </c>
      <c r="P302" s="46" t="str">
        <f t="shared" si="2"/>
        <v>Rp22,917-12 PCS-0.00%</v>
      </c>
      <c r="Q302" s="75">
        <v>45408.0</v>
      </c>
      <c r="R302" s="76"/>
      <c r="S302" s="75">
        <v>45418.0</v>
      </c>
      <c r="T302" s="49"/>
    </row>
    <row r="303">
      <c r="A303" s="69">
        <v>4330.0</v>
      </c>
      <c r="B303" s="69" t="s">
        <v>29</v>
      </c>
      <c r="C303" s="70" t="s">
        <v>155</v>
      </c>
      <c r="D303" s="69" t="s">
        <v>568</v>
      </c>
      <c r="E303" s="41" t="str">
        <f>IFERROR(__xludf.DUMMYFUNCTION("vlookup(D303,IMPORTRANGE(""https://docs.google.com/spreadsheets/d/1swGwZOEqYlTEUCJLY-eeJM1911Kvaei5oySBIxdgtNo/edit?pli=1#gid=257618397"",""stock untanna!B:C""),2,false)"),"PENSIL CASE SH-8704")</f>
        <v>PENSIL CASE SH-8704</v>
      </c>
      <c r="F303" s="70" t="s">
        <v>568</v>
      </c>
      <c r="G303" s="71" t="s">
        <v>569</v>
      </c>
      <c r="H303" s="41" t="str">
        <f>IFERROR(__xludf.DUMMYFUNCTION("vlookup($D303,IMPORTRANGE(""https://docs.google.com/spreadsheets/d/1swGwZOEqYlTEUCJLY-eeJM1911Kvaei5oySBIxdgtNo/edit?pli=1#gid=257618397"",""stock untanna!B:F""),5,false)"),"IM")</f>
        <v>IM</v>
      </c>
      <c r="I303" s="42" t="str">
        <f>IFERROR(__xludf.DUMMYFUNCTION("vlookup($D303,IMPORTRANGE(""https://docs.google.com/spreadsheets/d/1swGwZOEqYlTEUCJLY-eeJM1911Kvaei5oySBIxdgtNo/edit?pli=1#gid=257618397"",""stock untanna!B:G""),6,false)"),"")</f>
        <v/>
      </c>
      <c r="J303" s="43" t="str">
        <f t="shared" si="1"/>
        <v>ADA</v>
      </c>
      <c r="K303" s="72">
        <v>12.0</v>
      </c>
      <c r="L303" s="53" t="s">
        <v>69</v>
      </c>
      <c r="M303" s="73">
        <v>25000.0</v>
      </c>
      <c r="N303" s="74"/>
      <c r="O303" s="73">
        <v>300000.0</v>
      </c>
      <c r="P303" s="46" t="str">
        <f t="shared" si="2"/>
        <v>Rp25,000-12 PCS-0.00%</v>
      </c>
      <c r="Q303" s="75">
        <v>45408.0</v>
      </c>
      <c r="R303" s="76"/>
      <c r="S303" s="75">
        <v>45418.0</v>
      </c>
      <c r="T303" s="49"/>
    </row>
    <row r="304">
      <c r="A304" s="69">
        <v>4330.0</v>
      </c>
      <c r="B304" s="69" t="s">
        <v>29</v>
      </c>
      <c r="C304" s="70" t="s">
        <v>155</v>
      </c>
      <c r="D304" s="69" t="s">
        <v>570</v>
      </c>
      <c r="E304" s="41" t="str">
        <f>IFERROR(__xludf.DUMMYFUNCTION("vlookup(D304,IMPORTRANGE(""https://docs.google.com/spreadsheets/d/1swGwZOEqYlTEUCJLY-eeJM1911Kvaei5oySBIxdgtNo/edit?pli=1#gid=257618397"",""stock untanna!B:C""),2,false)"),"PENSIL CASE SH-8701")</f>
        <v>PENSIL CASE SH-8701</v>
      </c>
      <c r="F304" s="70" t="s">
        <v>570</v>
      </c>
      <c r="G304" s="71" t="s">
        <v>571</v>
      </c>
      <c r="H304" s="41" t="str">
        <f>IFERROR(__xludf.DUMMYFUNCTION("vlookup($D304,IMPORTRANGE(""https://docs.google.com/spreadsheets/d/1swGwZOEqYlTEUCJLY-eeJM1911Kvaei5oySBIxdgtNo/edit?pli=1#gid=257618397"",""stock untanna!B:F""),5,false)"),"IM")</f>
        <v>IM</v>
      </c>
      <c r="I304" s="42" t="str">
        <f>IFERROR(__xludf.DUMMYFUNCTION("vlookup($D304,IMPORTRANGE(""https://docs.google.com/spreadsheets/d/1swGwZOEqYlTEUCJLY-eeJM1911Kvaei5oySBIxdgtNo/edit?pli=1#gid=257618397"",""stock untanna!B:G""),6,false)"),"")</f>
        <v/>
      </c>
      <c r="J304" s="43" t="str">
        <f t="shared" si="1"/>
        <v>ADA</v>
      </c>
      <c r="K304" s="72">
        <v>12.0</v>
      </c>
      <c r="L304" s="53" t="s">
        <v>69</v>
      </c>
      <c r="M304" s="73">
        <v>25000.0</v>
      </c>
      <c r="N304" s="74"/>
      <c r="O304" s="73">
        <v>300000.0</v>
      </c>
      <c r="P304" s="46" t="str">
        <f t="shared" si="2"/>
        <v>Rp25,000-12 PCS-0.00%</v>
      </c>
      <c r="Q304" s="75">
        <v>45408.0</v>
      </c>
      <c r="R304" s="76"/>
      <c r="S304" s="75">
        <v>45418.0</v>
      </c>
      <c r="T304" s="49"/>
    </row>
    <row r="305">
      <c r="A305" s="69">
        <v>4330.0</v>
      </c>
      <c r="B305" s="69" t="s">
        <v>29</v>
      </c>
      <c r="C305" s="70" t="s">
        <v>155</v>
      </c>
      <c r="D305" s="69"/>
      <c r="E305" s="41" t="s">
        <v>572</v>
      </c>
      <c r="F305" s="70"/>
      <c r="G305" s="71" t="s">
        <v>572</v>
      </c>
      <c r="H305" s="41" t="str">
        <f>IFERROR(__xludf.DUMMYFUNCTION("vlookup($D305,IMPORTRANGE(""https://docs.google.com/spreadsheets/d/1swGwZOEqYlTEUCJLY-eeJM1911Kvaei5oySBIxdgtNo/edit?pli=1#gid=257618397"",""stock untanna!B:F""),5,false)"),"#N/A")</f>
        <v>#N/A</v>
      </c>
      <c r="I305" s="42" t="str">
        <f>IFERROR(__xludf.DUMMYFUNCTION("vlookup($D305,IMPORTRANGE(""https://docs.google.com/spreadsheets/d/1swGwZOEqYlTEUCJLY-eeJM1911Kvaei5oySBIxdgtNo/edit?pli=1#gid=257618397"",""stock untanna!B:G""),6,false)"),"#N/A")</f>
        <v>#N/A</v>
      </c>
      <c r="J305" s="43" t="str">
        <f t="shared" si="1"/>
        <v>TIDAK ADA</v>
      </c>
      <c r="K305" s="72">
        <v>1.0</v>
      </c>
      <c r="L305" s="53" t="s">
        <v>62</v>
      </c>
      <c r="M305" s="73">
        <v>250000.0</v>
      </c>
      <c r="N305" s="74"/>
      <c r="O305" s="73">
        <v>250000.0</v>
      </c>
      <c r="P305" s="46" t="str">
        <f t="shared" si="2"/>
        <v>Rp250,000-1 LSN-0.00%</v>
      </c>
      <c r="Q305" s="75">
        <v>45408.0</v>
      </c>
      <c r="R305" s="76"/>
      <c r="S305" s="75">
        <v>45418.0</v>
      </c>
      <c r="T305" s="49"/>
    </row>
    <row r="306">
      <c r="A306" s="69">
        <v>4330.0</v>
      </c>
      <c r="B306" s="69" t="s">
        <v>29</v>
      </c>
      <c r="C306" s="70" t="s">
        <v>155</v>
      </c>
      <c r="D306" s="69" t="s">
        <v>573</v>
      </c>
      <c r="E306" s="41" t="str">
        <f>IFERROR(__xludf.DUMMYFUNCTION("vlookup(D306,IMPORTRANGE(""https://docs.google.com/spreadsheets/d/1swGwZOEqYlTEUCJLY-eeJM1911Kvaei5oySBIxdgtNo/edit?pli=1#gid=257618397"",""stock untanna!B:C""),2,false)"),"PENSIL CASE 5870")</f>
        <v>PENSIL CASE 5870</v>
      </c>
      <c r="F306" s="70" t="s">
        <v>573</v>
      </c>
      <c r="G306" s="71" t="s">
        <v>574</v>
      </c>
      <c r="H306" s="41" t="str">
        <f>IFERROR(__xludf.DUMMYFUNCTION("vlookup($D306,IMPORTRANGE(""https://docs.google.com/spreadsheets/d/1swGwZOEqYlTEUCJLY-eeJM1911Kvaei5oySBIxdgtNo/edit?pli=1#gid=257618397"",""stock untanna!B:F""),5,false)"),"IM")</f>
        <v>IM</v>
      </c>
      <c r="I306" s="42" t="str">
        <f>IFERROR(__xludf.DUMMYFUNCTION("vlookup($D306,IMPORTRANGE(""https://docs.google.com/spreadsheets/d/1swGwZOEqYlTEUCJLY-eeJM1911Kvaei5oySBIxdgtNo/edit?pli=1#gid=257618397"",""stock untanna!B:G""),6,false)"),"")</f>
        <v/>
      </c>
      <c r="J306" s="43" t="str">
        <f t="shared" si="1"/>
        <v>ADA</v>
      </c>
      <c r="K306" s="72">
        <v>12.0</v>
      </c>
      <c r="L306" s="53" t="s">
        <v>69</v>
      </c>
      <c r="M306" s="73">
        <v>25000.0</v>
      </c>
      <c r="N306" s="74"/>
      <c r="O306" s="73">
        <v>300000.0</v>
      </c>
      <c r="P306" s="46" t="str">
        <f t="shared" si="2"/>
        <v>Rp25,000-12 PCS-0.00%</v>
      </c>
      <c r="Q306" s="75">
        <v>45408.0</v>
      </c>
      <c r="R306" s="76"/>
      <c r="S306" s="75">
        <v>45418.0</v>
      </c>
      <c r="T306" s="49"/>
    </row>
    <row r="307">
      <c r="A307" s="69">
        <v>4330.0</v>
      </c>
      <c r="B307" s="69" t="s">
        <v>29</v>
      </c>
      <c r="C307" s="70" t="s">
        <v>155</v>
      </c>
      <c r="D307" s="69" t="s">
        <v>575</v>
      </c>
      <c r="E307" s="41" t="str">
        <f>IFERROR(__xludf.DUMMYFUNCTION("vlookup(D307,IMPORTRANGE(""https://docs.google.com/spreadsheets/d/1swGwZOEqYlTEUCJLY-eeJM1911Kvaei5oySBIxdgtNo/edit?pli=1#gid=257618397"",""stock untanna!B:C""),2,false)"),"PENSIL CASE SH-8702")</f>
        <v>PENSIL CASE SH-8702</v>
      </c>
      <c r="F307" s="70" t="s">
        <v>575</v>
      </c>
      <c r="G307" s="71" t="s">
        <v>576</v>
      </c>
      <c r="H307" s="41" t="str">
        <f>IFERROR(__xludf.DUMMYFUNCTION("vlookup($D307,IMPORTRANGE(""https://docs.google.com/spreadsheets/d/1swGwZOEqYlTEUCJLY-eeJM1911Kvaei5oySBIxdgtNo/edit?pli=1#gid=257618397"",""stock untanna!B:F""),5,false)"),"IM")</f>
        <v>IM</v>
      </c>
      <c r="I307" s="42" t="str">
        <f>IFERROR(__xludf.DUMMYFUNCTION("vlookup($D307,IMPORTRANGE(""https://docs.google.com/spreadsheets/d/1swGwZOEqYlTEUCJLY-eeJM1911Kvaei5oySBIxdgtNo/edit?pli=1#gid=257618397"",""stock untanna!B:G""),6,false)"),"")</f>
        <v/>
      </c>
      <c r="J307" s="43" t="str">
        <f t="shared" si="1"/>
        <v>ADA</v>
      </c>
      <c r="K307" s="72">
        <v>12.0</v>
      </c>
      <c r="L307" s="53" t="s">
        <v>69</v>
      </c>
      <c r="M307" s="73">
        <v>25000.0</v>
      </c>
      <c r="N307" s="74"/>
      <c r="O307" s="73">
        <v>300000.0</v>
      </c>
      <c r="P307" s="46" t="str">
        <f t="shared" si="2"/>
        <v>Rp25,000-12 PCS-0.00%</v>
      </c>
      <c r="Q307" s="75">
        <v>45408.0</v>
      </c>
      <c r="R307" s="76"/>
      <c r="S307" s="75">
        <v>45418.0</v>
      </c>
      <c r="T307" s="49"/>
    </row>
    <row r="308">
      <c r="A308" s="69">
        <v>4330.0</v>
      </c>
      <c r="B308" s="69" t="s">
        <v>29</v>
      </c>
      <c r="C308" s="70" t="s">
        <v>155</v>
      </c>
      <c r="D308" s="69" t="s">
        <v>108</v>
      </c>
      <c r="E308" s="41" t="str">
        <f>IFERROR(__xludf.DUMMYFUNCTION("vlookup(D308,IMPORTRANGE(""https://docs.google.com/spreadsheets/d/1swGwZOEqYlTEUCJLY-eeJM1911Kvaei5oySBIxdgtNo/edit?pli=1#gid=257618397"",""stock untanna!B:C""),2,false)"),"PENCIL CASE KALENG BH-20232")</f>
        <v>PENCIL CASE KALENG BH-20232</v>
      </c>
      <c r="F308" s="70" t="s">
        <v>108</v>
      </c>
      <c r="G308" s="71" t="s">
        <v>109</v>
      </c>
      <c r="H308" s="41" t="str">
        <f>IFERROR(__xludf.DUMMYFUNCTION("vlookup($D308,IMPORTRANGE(""https://docs.google.com/spreadsheets/d/1swGwZOEqYlTEUCJLY-eeJM1911Kvaei5oySBIxdgtNo/edit?pli=1#gid=257618397"",""stock untanna!B:F""),5,false)"),"IM")</f>
        <v>IM</v>
      </c>
      <c r="I308" s="42" t="str">
        <f>IFERROR(__xludf.DUMMYFUNCTION("vlookup($D308,IMPORTRANGE(""https://docs.google.com/spreadsheets/d/1swGwZOEqYlTEUCJLY-eeJM1911Kvaei5oySBIxdgtNo/edit?pli=1#gid=257618397"",""stock untanna!B:G""),6,false)"),"BH-20232")</f>
        <v>BH-20232</v>
      </c>
      <c r="J308" s="43" t="str">
        <f t="shared" si="1"/>
        <v>ADA</v>
      </c>
      <c r="K308" s="72">
        <v>12.0</v>
      </c>
      <c r="L308" s="53" t="s">
        <v>69</v>
      </c>
      <c r="M308" s="73">
        <v>9167.0</v>
      </c>
      <c r="N308" s="74"/>
      <c r="O308" s="73">
        <v>110004.0</v>
      </c>
      <c r="P308" s="46" t="str">
        <f t="shared" si="2"/>
        <v>Rp9,167-12 PCS-0.00%</v>
      </c>
      <c r="Q308" s="75">
        <v>45408.0</v>
      </c>
      <c r="R308" s="76"/>
      <c r="S308" s="75">
        <v>45418.0</v>
      </c>
      <c r="T308" s="49"/>
    </row>
    <row r="309">
      <c r="A309" s="69">
        <v>4330.0</v>
      </c>
      <c r="B309" s="69" t="s">
        <v>29</v>
      </c>
      <c r="C309" s="70" t="s">
        <v>155</v>
      </c>
      <c r="D309" s="69"/>
      <c r="E309" s="41" t="s">
        <v>577</v>
      </c>
      <c r="F309" s="70"/>
      <c r="G309" s="71" t="s">
        <v>577</v>
      </c>
      <c r="H309" s="41" t="str">
        <f>IFERROR(__xludf.DUMMYFUNCTION("vlookup($D309,IMPORTRANGE(""https://docs.google.com/spreadsheets/d/1swGwZOEqYlTEUCJLY-eeJM1911Kvaei5oySBIxdgtNo/edit?pli=1#gid=257618397"",""stock untanna!B:F""),5,false)"),"#N/A")</f>
        <v>#N/A</v>
      </c>
      <c r="I309" s="42" t="str">
        <f>IFERROR(__xludf.DUMMYFUNCTION("vlookup($D309,IMPORTRANGE(""https://docs.google.com/spreadsheets/d/1swGwZOEqYlTEUCJLY-eeJM1911Kvaei5oySBIxdgtNo/edit?pli=1#gid=257618397"",""stock untanna!B:G""),6,false)"),"#N/A")</f>
        <v>#N/A</v>
      </c>
      <c r="J309" s="43" t="str">
        <f t="shared" si="1"/>
        <v>TIDAK ADA</v>
      </c>
      <c r="K309" s="72">
        <v>1.0</v>
      </c>
      <c r="L309" s="53" t="s">
        <v>62</v>
      </c>
      <c r="M309" s="73">
        <v>275000.0</v>
      </c>
      <c r="N309" s="74"/>
      <c r="O309" s="73">
        <v>275000.0</v>
      </c>
      <c r="P309" s="46" t="str">
        <f t="shared" si="2"/>
        <v>Rp275,000-1 LSN-0.00%</v>
      </c>
      <c r="Q309" s="75">
        <v>45408.0</v>
      </c>
      <c r="R309" s="76"/>
      <c r="S309" s="75">
        <v>45418.0</v>
      </c>
      <c r="T309" s="49"/>
    </row>
    <row r="310">
      <c r="A310" s="69">
        <v>4331.0</v>
      </c>
      <c r="B310" s="69" t="s">
        <v>29</v>
      </c>
      <c r="C310" s="70" t="s">
        <v>155</v>
      </c>
      <c r="D310" s="69"/>
      <c r="E310" s="41" t="s">
        <v>578</v>
      </c>
      <c r="F310" s="70"/>
      <c r="G310" s="71" t="s">
        <v>578</v>
      </c>
      <c r="H310" s="41" t="str">
        <f>IFERROR(__xludf.DUMMYFUNCTION("vlookup($D310,IMPORTRANGE(""https://docs.google.com/spreadsheets/d/1swGwZOEqYlTEUCJLY-eeJM1911Kvaei5oySBIxdgtNo/edit?pli=1#gid=257618397"",""stock untanna!B:F""),5,false)"),"#N/A")</f>
        <v>#N/A</v>
      </c>
      <c r="I310" s="42" t="str">
        <f>IFERROR(__xludf.DUMMYFUNCTION("vlookup($D310,IMPORTRANGE(""https://docs.google.com/spreadsheets/d/1swGwZOEqYlTEUCJLY-eeJM1911Kvaei5oySBIxdgtNo/edit?pli=1#gid=257618397"",""stock untanna!B:G""),6,false)"),"#N/A")</f>
        <v>#N/A</v>
      </c>
      <c r="J310" s="43" t="str">
        <f t="shared" si="1"/>
        <v>TIDAK ADA</v>
      </c>
      <c r="K310" s="72">
        <v>1.0</v>
      </c>
      <c r="L310" s="53" t="s">
        <v>62</v>
      </c>
      <c r="M310" s="73">
        <v>375000.0</v>
      </c>
      <c r="N310" s="74"/>
      <c r="O310" s="73">
        <v>375000.0</v>
      </c>
      <c r="P310" s="46" t="str">
        <f t="shared" si="2"/>
        <v>Rp375,000-1 LSN-0.00%</v>
      </c>
      <c r="Q310" s="75">
        <v>45408.0</v>
      </c>
      <c r="R310" s="76"/>
      <c r="S310" s="75">
        <v>45418.0</v>
      </c>
      <c r="T310" s="49"/>
    </row>
    <row r="311">
      <c r="A311" s="69">
        <v>4331.0</v>
      </c>
      <c r="B311" s="69" t="s">
        <v>29</v>
      </c>
      <c r="C311" s="70" t="s">
        <v>155</v>
      </c>
      <c r="D311" s="69"/>
      <c r="E311" s="41" t="s">
        <v>579</v>
      </c>
      <c r="F311" s="70"/>
      <c r="G311" s="71" t="s">
        <v>579</v>
      </c>
      <c r="H311" s="41" t="str">
        <f>IFERROR(__xludf.DUMMYFUNCTION("vlookup($D311,IMPORTRANGE(""https://docs.google.com/spreadsheets/d/1swGwZOEqYlTEUCJLY-eeJM1911Kvaei5oySBIxdgtNo/edit?pli=1#gid=257618397"",""stock untanna!B:F""),5,false)"),"#N/A")</f>
        <v>#N/A</v>
      </c>
      <c r="I311" s="42" t="str">
        <f>IFERROR(__xludf.DUMMYFUNCTION("vlookup($D311,IMPORTRANGE(""https://docs.google.com/spreadsheets/d/1swGwZOEqYlTEUCJLY-eeJM1911Kvaei5oySBIxdgtNo/edit?pli=1#gid=257618397"",""stock untanna!B:G""),6,false)"),"#N/A")</f>
        <v>#N/A</v>
      </c>
      <c r="J311" s="43" t="str">
        <f t="shared" si="1"/>
        <v>TIDAK ADA</v>
      </c>
      <c r="K311" s="72">
        <v>1.0</v>
      </c>
      <c r="L311" s="53" t="s">
        <v>62</v>
      </c>
      <c r="M311" s="73">
        <v>425000.0</v>
      </c>
      <c r="N311" s="74"/>
      <c r="O311" s="73">
        <v>425000.0</v>
      </c>
      <c r="P311" s="46" t="str">
        <f t="shared" si="2"/>
        <v>Rp425,000-1 LSN-0.00%</v>
      </c>
      <c r="Q311" s="75">
        <v>45408.0</v>
      </c>
      <c r="R311" s="76"/>
      <c r="S311" s="75">
        <v>45418.0</v>
      </c>
      <c r="T311" s="49"/>
    </row>
    <row r="312">
      <c r="A312" s="69">
        <v>4331.0</v>
      </c>
      <c r="B312" s="69" t="s">
        <v>29</v>
      </c>
      <c r="C312" s="70" t="s">
        <v>155</v>
      </c>
      <c r="D312" s="69" t="s">
        <v>106</v>
      </c>
      <c r="E312" s="41" t="str">
        <f>IFERROR(__xludf.DUMMYFUNCTION("vlookup(D312,IMPORTRANGE(""https://docs.google.com/spreadsheets/d/1swGwZOEqYlTEUCJLY-eeJM1911Kvaei5oySBIxdgtNo/edit?pli=1#gid=257618397"",""stock untanna!B:C""),2,false)"),"PENSIL CASE QY-2023 MOBIL")</f>
        <v>PENSIL CASE QY-2023 MOBIL</v>
      </c>
      <c r="F312" s="70" t="s">
        <v>106</v>
      </c>
      <c r="G312" s="71" t="s">
        <v>107</v>
      </c>
      <c r="H312" s="41" t="str">
        <f>IFERROR(__xludf.DUMMYFUNCTION("vlookup($D312,IMPORTRANGE(""https://docs.google.com/spreadsheets/d/1swGwZOEqYlTEUCJLY-eeJM1911Kvaei5oySBIxdgtNo/edit?pli=1#gid=257618397"",""stock untanna!B:F""),5,false)"),"IM")</f>
        <v>IM</v>
      </c>
      <c r="I312" s="42" t="str">
        <f>IFERROR(__xludf.DUMMYFUNCTION("vlookup($D312,IMPORTRANGE(""https://docs.google.com/spreadsheets/d/1swGwZOEqYlTEUCJLY-eeJM1911Kvaei5oySBIxdgtNo/edit?pli=1#gid=257618397"",""stock untanna!B:G""),6,false)"),"")</f>
        <v/>
      </c>
      <c r="J312" s="43" t="str">
        <f t="shared" si="1"/>
        <v>ADA</v>
      </c>
      <c r="K312" s="72">
        <v>12.0</v>
      </c>
      <c r="L312" s="53" t="s">
        <v>69</v>
      </c>
      <c r="M312" s="73">
        <v>13333.0</v>
      </c>
      <c r="N312" s="74"/>
      <c r="O312" s="73">
        <v>159996.0</v>
      </c>
      <c r="P312" s="46" t="str">
        <f t="shared" si="2"/>
        <v>Rp13,333-12 PCS-0.00%</v>
      </c>
      <c r="Q312" s="75">
        <v>45408.0</v>
      </c>
      <c r="R312" s="76"/>
      <c r="S312" s="75">
        <v>45418.0</v>
      </c>
      <c r="T312" s="49"/>
    </row>
    <row r="313">
      <c r="A313" s="69">
        <v>4331.0</v>
      </c>
      <c r="B313" s="69" t="s">
        <v>29</v>
      </c>
      <c r="C313" s="70" t="s">
        <v>155</v>
      </c>
      <c r="D313" s="50" t="s">
        <v>580</v>
      </c>
      <c r="E313" s="41" t="str">
        <f>IFERROR(__xludf.DUMMYFUNCTION("IFNA(vlookup(D313,IMPORTRANGE(""https://docs.google.com/spreadsheets/d/1swGwZOEqYlTEUCJLY-eeJM1911Kvaei5oySBIxdgtNo/edit?pli=1#gid=257618397"",""stock untanna!B:C""),2,false),V:V)"),"PC MAGNIT CC 7808")</f>
        <v>PC MAGNIT CC 7808</v>
      </c>
      <c r="F313" s="70"/>
      <c r="G313" s="71" t="s">
        <v>581</v>
      </c>
      <c r="H313" s="41" t="str">
        <f>IFERROR(__xludf.DUMMYFUNCTION("vlookup($D313,IMPORTRANGE(""https://docs.google.com/spreadsheets/d/1swGwZOEqYlTEUCJLY-eeJM1911Kvaei5oySBIxdgtNo/edit?pli=1#gid=257618397"",""stock untanna!B:F""),5,false)"),"NB")</f>
        <v>NB</v>
      </c>
      <c r="I313" s="42" t="str">
        <f>IFERROR(__xludf.DUMMYFUNCTION("vlookup($D313,IMPORTRANGE(""https://docs.google.com/spreadsheets/d/1swGwZOEqYlTEUCJLY-eeJM1911Kvaei5oySBIxdgtNo/edit?pli=1#gid=257618397"",""stock untanna!B:G""),6,false)"),"7808")</f>
        <v>7808</v>
      </c>
      <c r="J313" s="43" t="str">
        <f t="shared" si="1"/>
        <v>ADA</v>
      </c>
      <c r="K313" s="72">
        <v>1.0</v>
      </c>
      <c r="L313" s="53" t="s">
        <v>62</v>
      </c>
      <c r="M313" s="73">
        <v>135000.0</v>
      </c>
      <c r="N313" s="74"/>
      <c r="O313" s="73">
        <v>135000.0</v>
      </c>
      <c r="P313" s="46" t="str">
        <f t="shared" si="2"/>
        <v>Rp135,000-1 LSN-0.00%</v>
      </c>
      <c r="Q313" s="75">
        <v>45408.0</v>
      </c>
      <c r="R313" s="76"/>
      <c r="S313" s="75">
        <v>45418.0</v>
      </c>
      <c r="T313" s="80" t="s">
        <v>280</v>
      </c>
    </row>
    <row r="314">
      <c r="A314" s="69">
        <v>4331.0</v>
      </c>
      <c r="B314" s="69" t="s">
        <v>29</v>
      </c>
      <c r="C314" s="70" t="s">
        <v>155</v>
      </c>
      <c r="D314" s="69" t="s">
        <v>582</v>
      </c>
      <c r="E314" s="41" t="str">
        <f>IFERROR(__xludf.DUMMYFUNCTION("vlookup(D314,IMPORTRANGE(""https://docs.google.com/spreadsheets/d/1swGwZOEqYlTEUCJLY-eeJM1911Kvaei5oySBIxdgtNo/edit?pli=1#gid=257618397"",""stock untanna!B:C""),2,false)"),"PENCIL CASE DZ-0065 MAGNET")</f>
        <v>PENCIL CASE DZ-0065 MAGNET</v>
      </c>
      <c r="F314" s="70" t="s">
        <v>582</v>
      </c>
      <c r="G314" s="71" t="s">
        <v>583</v>
      </c>
      <c r="H314" s="41" t="str">
        <f>IFERROR(__xludf.DUMMYFUNCTION("vlookup($D314,IMPORTRANGE(""https://docs.google.com/spreadsheets/d/1swGwZOEqYlTEUCJLY-eeJM1911Kvaei5oySBIxdgtNo/edit?pli=1#gid=257618397"",""stock untanna!B:F""),5,false)"),"IM")</f>
        <v>IM</v>
      </c>
      <c r="I314" s="42" t="str">
        <f>IFERROR(__xludf.DUMMYFUNCTION("vlookup($D314,IMPORTRANGE(""https://docs.google.com/spreadsheets/d/1swGwZOEqYlTEUCJLY-eeJM1911Kvaei5oySBIxdgtNo/edit?pli=1#gid=257618397"",""stock untanna!B:G""),6,false)"),"")</f>
        <v/>
      </c>
      <c r="J314" s="43" t="str">
        <f t="shared" si="1"/>
        <v>ADA</v>
      </c>
      <c r="K314" s="72">
        <v>12.0</v>
      </c>
      <c r="L314" s="53" t="s">
        <v>69</v>
      </c>
      <c r="M314" s="73">
        <v>12500.0</v>
      </c>
      <c r="N314" s="74"/>
      <c r="O314" s="73">
        <v>150000.0</v>
      </c>
      <c r="P314" s="46" t="str">
        <f t="shared" si="2"/>
        <v>Rp12,500-12 PCS-0.00%</v>
      </c>
      <c r="Q314" s="75">
        <v>45408.0</v>
      </c>
      <c r="R314" s="76"/>
      <c r="S314" s="75">
        <v>45418.0</v>
      </c>
      <c r="T314" s="49"/>
    </row>
    <row r="315">
      <c r="A315" s="69">
        <v>4331.0</v>
      </c>
      <c r="B315" s="69" t="s">
        <v>29</v>
      </c>
      <c r="C315" s="70" t="s">
        <v>155</v>
      </c>
      <c r="D315" s="69" t="s">
        <v>584</v>
      </c>
      <c r="E315" s="41" t="str">
        <f>IFERROR(__xludf.DUMMYFUNCTION("vlookup(D315,IMPORTRANGE(""https://docs.google.com/spreadsheets/d/1swGwZOEqYlTEUCJLY-eeJM1911Kvaei5oySBIxdgtNo/edit?pli=1#gid=257618397"",""stock untanna!B:C""),2,false)"),"PENSIL CASE 8300AV TIMBUL")</f>
        <v>PENSIL CASE 8300AV TIMBUL</v>
      </c>
      <c r="F315" s="70" t="s">
        <v>584</v>
      </c>
      <c r="G315" s="71" t="s">
        <v>585</v>
      </c>
      <c r="H315" s="41" t="str">
        <f>IFERROR(__xludf.DUMMYFUNCTION("vlookup($D315,IMPORTRANGE(""https://docs.google.com/spreadsheets/d/1swGwZOEqYlTEUCJLY-eeJM1911Kvaei5oySBIxdgtNo/edit?pli=1#gid=257618397"",""stock untanna!B:F""),5,false)"),"IM")</f>
        <v>IM</v>
      </c>
      <c r="I315" s="42" t="str">
        <f>IFERROR(__xludf.DUMMYFUNCTION("vlookup($D315,IMPORTRANGE(""https://docs.google.com/spreadsheets/d/1swGwZOEqYlTEUCJLY-eeJM1911Kvaei5oySBIxdgtNo/edit?pli=1#gid=257618397"",""stock untanna!B:G""),6,false)"),"")</f>
        <v/>
      </c>
      <c r="J315" s="43" t="str">
        <f t="shared" si="1"/>
        <v>ADA</v>
      </c>
      <c r="K315" s="72">
        <v>12.0</v>
      </c>
      <c r="L315" s="53" t="s">
        <v>69</v>
      </c>
      <c r="M315" s="73">
        <v>35417.0</v>
      </c>
      <c r="N315" s="74"/>
      <c r="O315" s="73">
        <v>425004.0</v>
      </c>
      <c r="P315" s="46" t="str">
        <f t="shared" si="2"/>
        <v>Rp35,417-12 PCS-0.00%</v>
      </c>
      <c r="Q315" s="75">
        <v>45408.0</v>
      </c>
      <c r="R315" s="76"/>
      <c r="S315" s="75">
        <v>45418.0</v>
      </c>
      <c r="T315" s="49"/>
    </row>
    <row r="316">
      <c r="A316" s="69">
        <v>4331.0</v>
      </c>
      <c r="B316" s="69" t="s">
        <v>29</v>
      </c>
      <c r="C316" s="70" t="s">
        <v>155</v>
      </c>
      <c r="D316" s="69"/>
      <c r="E316" s="41" t="s">
        <v>586</v>
      </c>
      <c r="F316" s="70"/>
      <c r="G316" s="71" t="s">
        <v>586</v>
      </c>
      <c r="H316" s="41" t="str">
        <f>IFERROR(__xludf.DUMMYFUNCTION("vlookup($D316,IMPORTRANGE(""https://docs.google.com/spreadsheets/d/1swGwZOEqYlTEUCJLY-eeJM1911Kvaei5oySBIxdgtNo/edit?pli=1#gid=257618397"",""stock untanna!B:F""),5,false)"),"#N/A")</f>
        <v>#N/A</v>
      </c>
      <c r="I316" s="42" t="str">
        <f>IFERROR(__xludf.DUMMYFUNCTION("vlookup($D316,IMPORTRANGE(""https://docs.google.com/spreadsheets/d/1swGwZOEqYlTEUCJLY-eeJM1911Kvaei5oySBIxdgtNo/edit?pli=1#gid=257618397"",""stock untanna!B:G""),6,false)"),"#N/A")</f>
        <v>#N/A</v>
      </c>
      <c r="J316" s="43" t="str">
        <f t="shared" si="1"/>
        <v>TIDAK ADA</v>
      </c>
      <c r="K316" s="72">
        <v>1.0</v>
      </c>
      <c r="L316" s="53" t="s">
        <v>62</v>
      </c>
      <c r="M316" s="73">
        <v>425000.0</v>
      </c>
      <c r="N316" s="74"/>
      <c r="O316" s="73">
        <v>425000.0</v>
      </c>
      <c r="P316" s="46" t="str">
        <f t="shared" si="2"/>
        <v>Rp425,000-1 LSN-0.00%</v>
      </c>
      <c r="Q316" s="75">
        <v>45408.0</v>
      </c>
      <c r="R316" s="76"/>
      <c r="S316" s="75">
        <v>45418.0</v>
      </c>
      <c r="T316" s="49"/>
    </row>
    <row r="317">
      <c r="A317" s="69">
        <v>4331.0</v>
      </c>
      <c r="B317" s="69" t="s">
        <v>29</v>
      </c>
      <c r="C317" s="70" t="s">
        <v>155</v>
      </c>
      <c r="D317" s="69"/>
      <c r="E317" s="41" t="s">
        <v>587</v>
      </c>
      <c r="F317" s="70"/>
      <c r="G317" s="71" t="s">
        <v>587</v>
      </c>
      <c r="H317" s="41" t="str">
        <f>IFERROR(__xludf.DUMMYFUNCTION("vlookup($D317,IMPORTRANGE(""https://docs.google.com/spreadsheets/d/1swGwZOEqYlTEUCJLY-eeJM1911Kvaei5oySBIxdgtNo/edit?pli=1#gid=257618397"",""stock untanna!B:F""),5,false)"),"#N/A")</f>
        <v>#N/A</v>
      </c>
      <c r="I317" s="42" t="str">
        <f>IFERROR(__xludf.DUMMYFUNCTION("vlookup($D317,IMPORTRANGE(""https://docs.google.com/spreadsheets/d/1swGwZOEqYlTEUCJLY-eeJM1911Kvaei5oySBIxdgtNo/edit?pli=1#gid=257618397"",""stock untanna!B:G""),6,false)"),"#N/A")</f>
        <v>#N/A</v>
      </c>
      <c r="J317" s="43" t="str">
        <f t="shared" si="1"/>
        <v>TIDAK ADA</v>
      </c>
      <c r="K317" s="72">
        <v>1.0</v>
      </c>
      <c r="L317" s="53" t="s">
        <v>62</v>
      </c>
      <c r="M317" s="73">
        <v>350000.0</v>
      </c>
      <c r="N317" s="74"/>
      <c r="O317" s="73">
        <v>350000.0</v>
      </c>
      <c r="P317" s="46" t="str">
        <f t="shared" si="2"/>
        <v>Rp350,000-1 LSN-0.00%</v>
      </c>
      <c r="Q317" s="75">
        <v>45408.0</v>
      </c>
      <c r="R317" s="76"/>
      <c r="S317" s="75">
        <v>45418.0</v>
      </c>
      <c r="T317" s="49"/>
    </row>
    <row r="318">
      <c r="A318" s="69">
        <v>4331.0</v>
      </c>
      <c r="B318" s="69" t="s">
        <v>29</v>
      </c>
      <c r="C318" s="70" t="s">
        <v>155</v>
      </c>
      <c r="D318" s="69" t="s">
        <v>588</v>
      </c>
      <c r="E318" s="41" t="str">
        <f>IFERROR(__xludf.DUMMYFUNCTION("vlookup(D318,IMPORTRANGE(""https://docs.google.com/spreadsheets/d/1swGwZOEqYlTEUCJLY-eeJM1911Kvaei5oySBIxdgtNo/edit?pli=1#gid=257618397"",""stock untanna!B:C""),2,false)"),"PENSIL CASE 8300D TIMBUL")</f>
        <v>PENSIL CASE 8300D TIMBUL</v>
      </c>
      <c r="F318" s="70" t="s">
        <v>588</v>
      </c>
      <c r="G318" s="71" t="s">
        <v>589</v>
      </c>
      <c r="H318" s="41" t="str">
        <f>IFERROR(__xludf.DUMMYFUNCTION("vlookup($D318,IMPORTRANGE(""https://docs.google.com/spreadsheets/d/1swGwZOEqYlTEUCJLY-eeJM1911Kvaei5oySBIxdgtNo/edit?pli=1#gid=257618397"",""stock untanna!B:F""),5,false)"),"IM")</f>
        <v>IM</v>
      </c>
      <c r="I318" s="42" t="str">
        <f>IFERROR(__xludf.DUMMYFUNCTION("vlookup($D318,IMPORTRANGE(""https://docs.google.com/spreadsheets/d/1swGwZOEqYlTEUCJLY-eeJM1911Kvaei5oySBIxdgtNo/edit?pli=1#gid=257618397"",""stock untanna!B:G""),6,false)"),"")</f>
        <v/>
      </c>
      <c r="J318" s="43" t="str">
        <f t="shared" si="1"/>
        <v>ADA</v>
      </c>
      <c r="K318" s="72">
        <v>12.0</v>
      </c>
      <c r="L318" s="53" t="s">
        <v>69</v>
      </c>
      <c r="M318" s="73">
        <v>35417.0</v>
      </c>
      <c r="N318" s="74"/>
      <c r="O318" s="73">
        <v>425004.0</v>
      </c>
      <c r="P318" s="46" t="str">
        <f t="shared" si="2"/>
        <v>Rp35,417-12 PCS-0.00%</v>
      </c>
      <c r="Q318" s="75">
        <v>45408.0</v>
      </c>
      <c r="R318" s="76"/>
      <c r="S318" s="75">
        <v>45418.0</v>
      </c>
      <c r="T318" s="49"/>
    </row>
    <row r="319">
      <c r="A319" s="69">
        <v>4331.0</v>
      </c>
      <c r="B319" s="69" t="s">
        <v>29</v>
      </c>
      <c r="C319" s="70" t="s">
        <v>155</v>
      </c>
      <c r="D319" s="69" t="s">
        <v>590</v>
      </c>
      <c r="E319" s="41" t="str">
        <f>IFERROR(__xludf.DUMMYFUNCTION("vlookup(D319,IMPORTRANGE(""https://docs.google.com/spreadsheets/d/1swGwZOEqYlTEUCJLY-eeJM1911Kvaei5oySBIxdgtNo/edit?pli=1#gid=257618397"",""stock untanna!B:C""),2,false)"),"PENSIL CASE A-870")</f>
        <v>PENSIL CASE A-870</v>
      </c>
      <c r="F319" s="70" t="s">
        <v>590</v>
      </c>
      <c r="G319" s="71" t="s">
        <v>591</v>
      </c>
      <c r="H319" s="41" t="str">
        <f>IFERROR(__xludf.DUMMYFUNCTION("vlookup($D319,IMPORTRANGE(""https://docs.google.com/spreadsheets/d/1swGwZOEqYlTEUCJLY-eeJM1911Kvaei5oySBIxdgtNo/edit?pli=1#gid=257618397"",""stock untanna!B:F""),5,false)"),"IM")</f>
        <v>IM</v>
      </c>
      <c r="I319" s="42" t="str">
        <f>IFERROR(__xludf.DUMMYFUNCTION("vlookup($D319,IMPORTRANGE(""https://docs.google.com/spreadsheets/d/1swGwZOEqYlTEUCJLY-eeJM1911Kvaei5oySBIxdgtNo/edit?pli=1#gid=257618397"",""stock untanna!B:G""),6,false)"),"")</f>
        <v/>
      </c>
      <c r="J319" s="43" t="str">
        <f t="shared" si="1"/>
        <v>ADA</v>
      </c>
      <c r="K319" s="72">
        <v>12.0</v>
      </c>
      <c r="L319" s="53" t="s">
        <v>69</v>
      </c>
      <c r="M319" s="73">
        <v>13333.0</v>
      </c>
      <c r="N319" s="74"/>
      <c r="O319" s="73">
        <v>159996.0</v>
      </c>
      <c r="P319" s="46" t="str">
        <f t="shared" si="2"/>
        <v>Rp13,333-12 PCS-0.00%</v>
      </c>
      <c r="Q319" s="75">
        <v>45408.0</v>
      </c>
      <c r="R319" s="76"/>
      <c r="S319" s="75">
        <v>45418.0</v>
      </c>
      <c r="T319" s="49"/>
    </row>
    <row r="320">
      <c r="A320" s="69">
        <v>4331.0</v>
      </c>
      <c r="B320" s="69" t="s">
        <v>29</v>
      </c>
      <c r="C320" s="70" t="s">
        <v>155</v>
      </c>
      <c r="D320" s="69" t="s">
        <v>592</v>
      </c>
      <c r="E320" s="41" t="str">
        <f>IFERROR(__xludf.DUMMYFUNCTION("vlookup(D320,IMPORTRANGE(""https://docs.google.com/spreadsheets/d/1swGwZOEqYlTEUCJLY-eeJM1911Kvaei5oySBIxdgtNo/edit?pli=1#gid=257618397"",""stock untanna!B:C""),2,false)"),"PENSIL CASE A-1037 + CAL")</f>
        <v>PENSIL CASE A-1037 + CAL</v>
      </c>
      <c r="F320" s="70" t="s">
        <v>592</v>
      </c>
      <c r="G320" s="71" t="s">
        <v>593</v>
      </c>
      <c r="H320" s="41" t="str">
        <f>IFERROR(__xludf.DUMMYFUNCTION("vlookup($D320,IMPORTRANGE(""https://docs.google.com/spreadsheets/d/1swGwZOEqYlTEUCJLY-eeJM1911Kvaei5oySBIxdgtNo/edit?pli=1#gid=257618397"",""stock untanna!B:F""),5,false)"),"IM")</f>
        <v>IM</v>
      </c>
      <c r="I320" s="42" t="str">
        <f>IFERROR(__xludf.DUMMYFUNCTION("vlookup($D320,IMPORTRANGE(""https://docs.google.com/spreadsheets/d/1swGwZOEqYlTEUCJLY-eeJM1911Kvaei5oySBIxdgtNo/edit?pli=1#gid=257618397"",""stock untanna!B:G""),6,false)"),"")</f>
        <v/>
      </c>
      <c r="J320" s="43" t="str">
        <f t="shared" si="1"/>
        <v>ADA</v>
      </c>
      <c r="K320" s="72">
        <v>12.0</v>
      </c>
      <c r="L320" s="53" t="s">
        <v>69</v>
      </c>
      <c r="M320" s="73">
        <v>15000.0</v>
      </c>
      <c r="N320" s="74"/>
      <c r="O320" s="73">
        <v>180000.0</v>
      </c>
      <c r="P320" s="46" t="str">
        <f t="shared" si="2"/>
        <v>Rp15,000-12 PCS-0.00%</v>
      </c>
      <c r="Q320" s="75">
        <v>45408.0</v>
      </c>
      <c r="R320" s="76"/>
      <c r="S320" s="75">
        <v>45418.0</v>
      </c>
      <c r="T320" s="49"/>
    </row>
    <row r="321">
      <c r="A321" s="69">
        <v>4331.0</v>
      </c>
      <c r="B321" s="69" t="s">
        <v>29</v>
      </c>
      <c r="C321" s="70" t="s">
        <v>155</v>
      </c>
      <c r="D321" s="50" t="s">
        <v>594</v>
      </c>
      <c r="E321" s="41" t="str">
        <f>IFERROR(__xludf.DUMMYFUNCTION("IFNA(vlookup(D321,IMPORTRANGE(""https://docs.google.com/spreadsheets/d/1swGwZOEqYlTEUCJLY-eeJM1911Kvaei5oySBIxdgtNo/edit?pli=1#gid=257618397"",""stock untanna!B:C""),2,false),V:V)"),"PC MAGNIT A853")</f>
        <v>PC MAGNIT A853</v>
      </c>
      <c r="F321" s="70"/>
      <c r="G321" s="71" t="s">
        <v>595</v>
      </c>
      <c r="H321" s="41" t="str">
        <f>IFERROR(__xludf.DUMMYFUNCTION("vlookup($D321,IMPORTRANGE(""https://docs.google.com/spreadsheets/d/1swGwZOEqYlTEUCJLY-eeJM1911Kvaei5oySBIxdgtNo/edit?pli=1#gid=257618397"",""stock untanna!B:F""),5,false)"),"NB")</f>
        <v>NB</v>
      </c>
      <c r="I321" s="42" t="str">
        <f>IFERROR(__xludf.DUMMYFUNCTION("vlookup($D321,IMPORTRANGE(""https://docs.google.com/spreadsheets/d/1swGwZOEqYlTEUCJLY-eeJM1911Kvaei5oySBIxdgtNo/edit?pli=1#gid=257618397"",""stock untanna!B:G""),6,false)"),"A853")</f>
        <v>A853</v>
      </c>
      <c r="J321" s="43" t="str">
        <f t="shared" si="1"/>
        <v>ADA</v>
      </c>
      <c r="K321" s="72">
        <v>1.0</v>
      </c>
      <c r="L321" s="53" t="s">
        <v>62</v>
      </c>
      <c r="M321" s="73">
        <v>300000.0</v>
      </c>
      <c r="N321" s="74"/>
      <c r="O321" s="73">
        <v>300000.0</v>
      </c>
      <c r="P321" s="46" t="str">
        <f t="shared" si="2"/>
        <v>Rp300,000-1 LSN-0.00%</v>
      </c>
      <c r="Q321" s="75">
        <v>45408.0</v>
      </c>
      <c r="R321" s="76"/>
      <c r="S321" s="75">
        <v>45418.0</v>
      </c>
      <c r="T321" s="80" t="s">
        <v>280</v>
      </c>
    </row>
    <row r="322">
      <c r="A322" s="69">
        <v>4331.0</v>
      </c>
      <c r="B322" s="69" t="s">
        <v>29</v>
      </c>
      <c r="C322" s="70" t="s">
        <v>155</v>
      </c>
      <c r="D322" s="69" t="s">
        <v>596</v>
      </c>
      <c r="E322" s="41" t="str">
        <f>IFERROR(__xludf.DUMMYFUNCTION("vlookup(D322,IMPORTRANGE(""https://docs.google.com/spreadsheets/d/1swGwZOEqYlTEUCJLY-eeJM1911Kvaei5oySBIxdgtNo/edit?pli=1#gid=257618397"",""stock untanna!B:C""),2,false)"),"PENSIL CASE 6A-26")</f>
        <v>PENSIL CASE 6A-26</v>
      </c>
      <c r="F322" s="70" t="s">
        <v>596</v>
      </c>
      <c r="G322" s="71" t="s">
        <v>597</v>
      </c>
      <c r="H322" s="41" t="str">
        <f>IFERROR(__xludf.DUMMYFUNCTION("vlookup($D322,IMPORTRANGE(""https://docs.google.com/spreadsheets/d/1swGwZOEqYlTEUCJLY-eeJM1911Kvaei5oySBIxdgtNo/edit?pli=1#gid=257618397"",""stock untanna!B:F""),5,false)"),"IM")</f>
        <v>IM</v>
      </c>
      <c r="I322" s="42" t="str">
        <f>IFERROR(__xludf.DUMMYFUNCTION("vlookup($D322,IMPORTRANGE(""https://docs.google.com/spreadsheets/d/1swGwZOEqYlTEUCJLY-eeJM1911Kvaei5oySBIxdgtNo/edit?pli=1#gid=257618397"",""stock untanna!B:G""),6,false)"),"")</f>
        <v/>
      </c>
      <c r="J322" s="43" t="str">
        <f t="shared" si="1"/>
        <v>ADA</v>
      </c>
      <c r="K322" s="72">
        <v>12.0</v>
      </c>
      <c r="L322" s="53" t="s">
        <v>69</v>
      </c>
      <c r="M322" s="73">
        <v>20000.0</v>
      </c>
      <c r="N322" s="74"/>
      <c r="O322" s="73">
        <v>240000.0</v>
      </c>
      <c r="P322" s="46" t="str">
        <f t="shared" si="2"/>
        <v>Rp20,000-12 PCS-0.00%</v>
      </c>
      <c r="Q322" s="75">
        <v>45408.0</v>
      </c>
      <c r="R322" s="76"/>
      <c r="S322" s="75">
        <v>45418.0</v>
      </c>
      <c r="T322" s="49"/>
    </row>
    <row r="323">
      <c r="A323" s="69">
        <v>4331.0</v>
      </c>
      <c r="B323" s="69" t="s">
        <v>29</v>
      </c>
      <c r="C323" s="70" t="s">
        <v>155</v>
      </c>
      <c r="D323" s="69" t="s">
        <v>598</v>
      </c>
      <c r="E323" s="41" t="str">
        <f>IFERROR(__xludf.DUMMYFUNCTION("vlookup(D323,IMPORTRANGE(""https://docs.google.com/spreadsheets/d/1swGwZOEqYlTEUCJLY-eeJM1911Kvaei5oySBIxdgtNo/edit?pli=1#gid=257618397"",""stock untanna!B:C""),2,false)"),"PENSIL CASE AC-2893-3")</f>
        <v>PENSIL CASE AC-2893-3</v>
      </c>
      <c r="F323" s="70" t="s">
        <v>598</v>
      </c>
      <c r="G323" s="71" t="s">
        <v>599</v>
      </c>
      <c r="H323" s="41" t="str">
        <f>IFERROR(__xludf.DUMMYFUNCTION("vlookup($D323,IMPORTRANGE(""https://docs.google.com/spreadsheets/d/1swGwZOEqYlTEUCJLY-eeJM1911Kvaei5oySBIxdgtNo/edit?pli=1#gid=257618397"",""stock untanna!B:F""),5,false)"),"IM")</f>
        <v>IM</v>
      </c>
      <c r="I323" s="42" t="str">
        <f>IFERROR(__xludf.DUMMYFUNCTION("vlookup($D323,IMPORTRANGE(""https://docs.google.com/spreadsheets/d/1swGwZOEqYlTEUCJLY-eeJM1911Kvaei5oySBIxdgtNo/edit?pli=1#gid=257618397"",""stock untanna!B:G""),6,false)"),"")</f>
        <v/>
      </c>
      <c r="J323" s="43" t="str">
        <f t="shared" si="1"/>
        <v>ADA</v>
      </c>
      <c r="K323" s="72">
        <v>12.0</v>
      </c>
      <c r="L323" s="53" t="s">
        <v>69</v>
      </c>
      <c r="M323" s="73">
        <v>13333.0</v>
      </c>
      <c r="N323" s="74"/>
      <c r="O323" s="73">
        <v>159996.0</v>
      </c>
      <c r="P323" s="46" t="str">
        <f t="shared" si="2"/>
        <v>Rp13,333-12 PCS-0.00%</v>
      </c>
      <c r="Q323" s="75">
        <v>45408.0</v>
      </c>
      <c r="R323" s="76"/>
      <c r="S323" s="75">
        <v>45418.0</v>
      </c>
      <c r="T323" s="49"/>
    </row>
    <row r="324">
      <c r="A324" s="69">
        <v>4331.0</v>
      </c>
      <c r="B324" s="69" t="s">
        <v>29</v>
      </c>
      <c r="C324" s="70" t="s">
        <v>155</v>
      </c>
      <c r="D324" s="69"/>
      <c r="E324" s="41" t="s">
        <v>600</v>
      </c>
      <c r="F324" s="70"/>
      <c r="G324" s="71" t="s">
        <v>600</v>
      </c>
      <c r="H324" s="41" t="str">
        <f>IFERROR(__xludf.DUMMYFUNCTION("vlookup($D324,IMPORTRANGE(""https://docs.google.com/spreadsheets/d/1swGwZOEqYlTEUCJLY-eeJM1911Kvaei5oySBIxdgtNo/edit?pli=1#gid=257618397"",""stock untanna!B:F""),5,false)"),"#N/A")</f>
        <v>#N/A</v>
      </c>
      <c r="I324" s="42" t="str">
        <f>IFERROR(__xludf.DUMMYFUNCTION("vlookup($D324,IMPORTRANGE(""https://docs.google.com/spreadsheets/d/1swGwZOEqYlTEUCJLY-eeJM1911Kvaei5oySBIxdgtNo/edit?pli=1#gid=257618397"",""stock untanna!B:G""),6,false)"),"#N/A")</f>
        <v>#N/A</v>
      </c>
      <c r="J324" s="43" t="str">
        <f t="shared" si="1"/>
        <v>TIDAK ADA</v>
      </c>
      <c r="K324" s="72">
        <v>100.0</v>
      </c>
      <c r="L324" s="53" t="s">
        <v>69</v>
      </c>
      <c r="M324" s="73">
        <v>1500.0</v>
      </c>
      <c r="N324" s="74"/>
      <c r="O324" s="73">
        <v>150000.0</v>
      </c>
      <c r="P324" s="46" t="str">
        <f t="shared" si="2"/>
        <v>Rp1,500-100 PCS-0.00%</v>
      </c>
      <c r="Q324" s="75">
        <v>45408.0</v>
      </c>
      <c r="R324" s="76"/>
      <c r="S324" s="75">
        <v>45418.0</v>
      </c>
      <c r="T324" s="49"/>
    </row>
    <row r="325">
      <c r="A325" s="69">
        <v>4331.0</v>
      </c>
      <c r="B325" s="69" t="s">
        <v>29</v>
      </c>
      <c r="C325" s="70" t="s">
        <v>155</v>
      </c>
      <c r="D325" s="69"/>
      <c r="E325" s="41" t="s">
        <v>601</v>
      </c>
      <c r="F325" s="70"/>
      <c r="G325" s="71" t="s">
        <v>601</v>
      </c>
      <c r="H325" s="41" t="str">
        <f>IFERROR(__xludf.DUMMYFUNCTION("vlookup($D325,IMPORTRANGE(""https://docs.google.com/spreadsheets/d/1swGwZOEqYlTEUCJLY-eeJM1911Kvaei5oySBIxdgtNo/edit?pli=1#gid=257618397"",""stock untanna!B:F""),5,false)"),"#N/A")</f>
        <v>#N/A</v>
      </c>
      <c r="I325" s="42" t="str">
        <f>IFERROR(__xludf.DUMMYFUNCTION("vlookup($D325,IMPORTRANGE(""https://docs.google.com/spreadsheets/d/1swGwZOEqYlTEUCJLY-eeJM1911Kvaei5oySBIxdgtNo/edit?pli=1#gid=257618397"",""stock untanna!B:G""),6,false)"),"#N/A")</f>
        <v>#N/A</v>
      </c>
      <c r="J325" s="43" t="str">
        <f t="shared" si="1"/>
        <v>TIDAK ADA</v>
      </c>
      <c r="K325" s="72">
        <v>100.0</v>
      </c>
      <c r="L325" s="53" t="s">
        <v>69</v>
      </c>
      <c r="M325" s="73">
        <v>1500.0</v>
      </c>
      <c r="N325" s="74"/>
      <c r="O325" s="73">
        <v>150000.0</v>
      </c>
      <c r="P325" s="46" t="str">
        <f t="shared" si="2"/>
        <v>Rp1,500-100 PCS-0.00%</v>
      </c>
      <c r="Q325" s="75">
        <v>45408.0</v>
      </c>
      <c r="R325" s="76"/>
      <c r="S325" s="75">
        <v>45418.0</v>
      </c>
      <c r="T325" s="49"/>
    </row>
    <row r="326">
      <c r="A326" s="69">
        <v>4332.0</v>
      </c>
      <c r="B326" s="69" t="s">
        <v>29</v>
      </c>
      <c r="C326" s="70" t="s">
        <v>155</v>
      </c>
      <c r="D326" s="69"/>
      <c r="E326" s="41" t="s">
        <v>602</v>
      </c>
      <c r="F326" s="70"/>
      <c r="G326" s="71" t="s">
        <v>602</v>
      </c>
      <c r="H326" s="41" t="str">
        <f>IFERROR(__xludf.DUMMYFUNCTION("vlookup($D326,IMPORTRANGE(""https://docs.google.com/spreadsheets/d/1swGwZOEqYlTEUCJLY-eeJM1911Kvaei5oySBIxdgtNo/edit?pli=1#gid=257618397"",""stock untanna!B:F""),5,false)"),"#N/A")</f>
        <v>#N/A</v>
      </c>
      <c r="I326" s="42" t="str">
        <f>IFERROR(__xludf.DUMMYFUNCTION("vlookup($D326,IMPORTRANGE(""https://docs.google.com/spreadsheets/d/1swGwZOEqYlTEUCJLY-eeJM1911Kvaei5oySBIxdgtNo/edit?pli=1#gid=257618397"",""stock untanna!B:G""),6,false)"),"#N/A")</f>
        <v>#N/A</v>
      </c>
      <c r="J326" s="43" t="str">
        <f t="shared" si="1"/>
        <v>TIDAK ADA</v>
      </c>
      <c r="K326" s="72">
        <v>1.0</v>
      </c>
      <c r="L326" s="53" t="s">
        <v>62</v>
      </c>
      <c r="M326" s="73">
        <v>165000.0</v>
      </c>
      <c r="N326" s="74"/>
      <c r="O326" s="73">
        <v>165000.0</v>
      </c>
      <c r="P326" s="46" t="str">
        <f t="shared" si="2"/>
        <v>Rp165,000-1 LSN-0.00%</v>
      </c>
      <c r="Q326" s="75">
        <v>45408.0</v>
      </c>
      <c r="R326" s="76"/>
      <c r="S326" s="75">
        <v>45418.0</v>
      </c>
      <c r="T326" s="49"/>
    </row>
    <row r="327">
      <c r="A327" s="69">
        <v>4332.0</v>
      </c>
      <c r="B327" s="69" t="s">
        <v>29</v>
      </c>
      <c r="C327" s="70" t="s">
        <v>155</v>
      </c>
      <c r="D327" s="69"/>
      <c r="E327" s="41" t="s">
        <v>603</v>
      </c>
      <c r="F327" s="70"/>
      <c r="G327" s="71" t="s">
        <v>603</v>
      </c>
      <c r="H327" s="41" t="str">
        <f>IFERROR(__xludf.DUMMYFUNCTION("vlookup($D327,IMPORTRANGE(""https://docs.google.com/spreadsheets/d/1swGwZOEqYlTEUCJLY-eeJM1911Kvaei5oySBIxdgtNo/edit?pli=1#gid=257618397"",""stock untanna!B:F""),5,false)"),"#N/A")</f>
        <v>#N/A</v>
      </c>
      <c r="I327" s="42" t="str">
        <f>IFERROR(__xludf.DUMMYFUNCTION("vlookup($D327,IMPORTRANGE(""https://docs.google.com/spreadsheets/d/1swGwZOEqYlTEUCJLY-eeJM1911Kvaei5oySBIxdgtNo/edit?pli=1#gid=257618397"",""stock untanna!B:G""),6,false)"),"#N/A")</f>
        <v>#N/A</v>
      </c>
      <c r="J327" s="43" t="str">
        <f t="shared" si="1"/>
        <v>TIDAK ADA</v>
      </c>
      <c r="K327" s="72">
        <v>50.0</v>
      </c>
      <c r="L327" s="53" t="s">
        <v>69</v>
      </c>
      <c r="M327" s="73">
        <v>4000.0</v>
      </c>
      <c r="N327" s="74"/>
      <c r="O327" s="73">
        <v>200000.0</v>
      </c>
      <c r="P327" s="46" t="str">
        <f t="shared" si="2"/>
        <v>Rp4,000-50 PCS-0.00%</v>
      </c>
      <c r="Q327" s="75">
        <v>45408.0</v>
      </c>
      <c r="R327" s="76"/>
      <c r="S327" s="75">
        <v>45418.0</v>
      </c>
      <c r="T327" s="49"/>
    </row>
    <row r="328">
      <c r="A328" s="69">
        <v>4332.0</v>
      </c>
      <c r="B328" s="69" t="s">
        <v>29</v>
      </c>
      <c r="C328" s="70" t="s">
        <v>155</v>
      </c>
      <c r="D328" s="69"/>
      <c r="E328" s="41" t="s">
        <v>604</v>
      </c>
      <c r="F328" s="70"/>
      <c r="G328" s="71" t="s">
        <v>604</v>
      </c>
      <c r="H328" s="41" t="str">
        <f>IFERROR(__xludf.DUMMYFUNCTION("vlookup($D328,IMPORTRANGE(""https://docs.google.com/spreadsheets/d/1swGwZOEqYlTEUCJLY-eeJM1911Kvaei5oySBIxdgtNo/edit?pli=1#gid=257618397"",""stock untanna!B:F""),5,false)"),"#N/A")</f>
        <v>#N/A</v>
      </c>
      <c r="I328" s="42" t="str">
        <f>IFERROR(__xludf.DUMMYFUNCTION("vlookup($D328,IMPORTRANGE(""https://docs.google.com/spreadsheets/d/1swGwZOEqYlTEUCJLY-eeJM1911Kvaei5oySBIxdgtNo/edit?pli=1#gid=257618397"",""stock untanna!B:G""),6,false)"),"#N/A")</f>
        <v>#N/A</v>
      </c>
      <c r="J328" s="43" t="str">
        <f t="shared" si="1"/>
        <v>TIDAK ADA</v>
      </c>
      <c r="K328" s="72">
        <v>50.0</v>
      </c>
      <c r="L328" s="53" t="s">
        <v>69</v>
      </c>
      <c r="M328" s="73">
        <v>4000.0</v>
      </c>
      <c r="N328" s="74"/>
      <c r="O328" s="73">
        <v>200000.0</v>
      </c>
      <c r="P328" s="46" t="str">
        <f t="shared" si="2"/>
        <v>Rp4,000-50 PCS-0.00%</v>
      </c>
      <c r="Q328" s="75">
        <v>45408.0</v>
      </c>
      <c r="R328" s="76"/>
      <c r="S328" s="75">
        <v>45418.0</v>
      </c>
      <c r="T328" s="49"/>
    </row>
    <row r="329">
      <c r="A329" s="69">
        <v>4332.0</v>
      </c>
      <c r="B329" s="69" t="s">
        <v>29</v>
      </c>
      <c r="C329" s="70" t="s">
        <v>155</v>
      </c>
      <c r="D329" s="69"/>
      <c r="E329" s="41" t="s">
        <v>605</v>
      </c>
      <c r="F329" s="70"/>
      <c r="G329" s="71" t="s">
        <v>605</v>
      </c>
      <c r="H329" s="41" t="str">
        <f>IFERROR(__xludf.DUMMYFUNCTION("vlookup($D329,IMPORTRANGE(""https://docs.google.com/spreadsheets/d/1swGwZOEqYlTEUCJLY-eeJM1911Kvaei5oySBIxdgtNo/edit?pli=1#gid=257618397"",""stock untanna!B:F""),5,false)"),"#N/A")</f>
        <v>#N/A</v>
      </c>
      <c r="I329" s="42" t="str">
        <f>IFERROR(__xludf.DUMMYFUNCTION("vlookup($D329,IMPORTRANGE(""https://docs.google.com/spreadsheets/d/1swGwZOEqYlTEUCJLY-eeJM1911Kvaei5oySBIxdgtNo/edit?pli=1#gid=257618397"",""stock untanna!B:G""),6,false)"),"#N/A")</f>
        <v>#N/A</v>
      </c>
      <c r="J329" s="43" t="str">
        <f t="shared" si="1"/>
        <v>TIDAK ADA</v>
      </c>
      <c r="K329" s="72">
        <v>50.0</v>
      </c>
      <c r="L329" s="53" t="s">
        <v>69</v>
      </c>
      <c r="M329" s="73">
        <v>4000.0</v>
      </c>
      <c r="N329" s="74"/>
      <c r="O329" s="73">
        <v>200000.0</v>
      </c>
      <c r="P329" s="46" t="str">
        <f t="shared" si="2"/>
        <v>Rp4,000-50 PCS-0.00%</v>
      </c>
      <c r="Q329" s="75">
        <v>45408.0</v>
      </c>
      <c r="R329" s="76"/>
      <c r="S329" s="75">
        <v>45418.0</v>
      </c>
      <c r="T329" s="49"/>
    </row>
    <row r="330">
      <c r="A330" s="69">
        <v>4332.0</v>
      </c>
      <c r="B330" s="69" t="s">
        <v>29</v>
      </c>
      <c r="C330" s="70" t="s">
        <v>155</v>
      </c>
      <c r="D330" s="69" t="s">
        <v>606</v>
      </c>
      <c r="E330" s="41" t="str">
        <f>IFERROR(__xludf.DUMMYFUNCTION("vlookup(D330,IMPORTRANGE(""https://docs.google.com/spreadsheets/d/1swGwZOEqYlTEUCJLY-eeJM1911Kvaei5oySBIxdgtNo/edit?pli=1#gid=257618397"",""stock untanna!B:C""),2,false)"),"GLITTER POWDER 15GR CC888")</f>
        <v>GLITTER POWDER 15GR CC888</v>
      </c>
      <c r="F330" s="70" t="s">
        <v>606</v>
      </c>
      <c r="G330" s="71" t="s">
        <v>607</v>
      </c>
      <c r="H330" s="41" t="str">
        <f>IFERROR(__xludf.DUMMYFUNCTION("vlookup($D330,IMPORTRANGE(""https://docs.google.com/spreadsheets/d/1swGwZOEqYlTEUCJLY-eeJM1911Kvaei5oySBIxdgtNo/edit?pli=1#gid=257618397"",""stock untanna!B:F""),5,false)"),"NB")</f>
        <v>NB</v>
      </c>
      <c r="I330" s="42" t="str">
        <f>IFERROR(__xludf.DUMMYFUNCTION("vlookup($D330,IMPORTRANGE(""https://docs.google.com/spreadsheets/d/1swGwZOEqYlTEUCJLY-eeJM1911Kvaei5oySBIxdgtNo/edit?pli=1#gid=257618397"",""stock untanna!B:G""),6,false)"),"CC888")</f>
        <v>CC888</v>
      </c>
      <c r="J330" s="43" t="str">
        <f t="shared" si="1"/>
        <v>ADA</v>
      </c>
      <c r="K330" s="72">
        <v>12.0</v>
      </c>
      <c r="L330" s="53" t="s">
        <v>69</v>
      </c>
      <c r="M330" s="73">
        <v>4583.0</v>
      </c>
      <c r="N330" s="74"/>
      <c r="O330" s="73">
        <v>54996.0</v>
      </c>
      <c r="P330" s="46" t="str">
        <f t="shared" si="2"/>
        <v>Rp4,583-12 PCS-0.00%</v>
      </c>
      <c r="Q330" s="75">
        <v>45408.0</v>
      </c>
      <c r="R330" s="76"/>
      <c r="S330" s="75">
        <v>45418.0</v>
      </c>
      <c r="T330" s="49"/>
    </row>
    <row r="331">
      <c r="A331" s="69">
        <v>4332.0</v>
      </c>
      <c r="B331" s="69" t="s">
        <v>29</v>
      </c>
      <c r="C331" s="70" t="s">
        <v>155</v>
      </c>
      <c r="D331" s="69"/>
      <c r="E331" s="41" t="s">
        <v>608</v>
      </c>
      <c r="F331" s="70"/>
      <c r="G331" s="71" t="s">
        <v>608</v>
      </c>
      <c r="H331" s="41"/>
      <c r="I331" s="42"/>
      <c r="J331" s="43" t="str">
        <f t="shared" si="1"/>
        <v>TIDAK ADA</v>
      </c>
      <c r="K331" s="72">
        <v>2.0</v>
      </c>
      <c r="L331" s="53" t="s">
        <v>84</v>
      </c>
      <c r="M331" s="73">
        <v>22000.0</v>
      </c>
      <c r="N331" s="74"/>
      <c r="O331" s="73">
        <v>44000.0</v>
      </c>
      <c r="P331" s="46" t="str">
        <f t="shared" si="2"/>
        <v>Rp22,000-2 SET-0.00%</v>
      </c>
      <c r="Q331" s="75">
        <v>45408.0</v>
      </c>
      <c r="R331" s="76"/>
      <c r="S331" s="75">
        <v>45418.0</v>
      </c>
      <c r="T331" s="80" t="s">
        <v>280</v>
      </c>
    </row>
    <row r="332">
      <c r="A332" s="69">
        <v>4332.0</v>
      </c>
      <c r="B332" s="69" t="s">
        <v>29</v>
      </c>
      <c r="C332" s="70" t="s">
        <v>155</v>
      </c>
      <c r="D332" s="69"/>
      <c r="E332" s="41" t="s">
        <v>609</v>
      </c>
      <c r="F332" s="70"/>
      <c r="G332" s="71" t="s">
        <v>609</v>
      </c>
      <c r="H332" s="41"/>
      <c r="I332" s="42"/>
      <c r="J332" s="43" t="str">
        <f t="shared" si="1"/>
        <v>TIDAK ADA</v>
      </c>
      <c r="K332" s="72">
        <v>1.0</v>
      </c>
      <c r="L332" s="53" t="s">
        <v>62</v>
      </c>
      <c r="M332" s="73">
        <v>65000.0</v>
      </c>
      <c r="N332" s="74"/>
      <c r="O332" s="73">
        <v>65000.0</v>
      </c>
      <c r="P332" s="46" t="str">
        <f t="shared" si="2"/>
        <v>Rp65,000-1 LSN-0.00%</v>
      </c>
      <c r="Q332" s="75">
        <v>45408.0</v>
      </c>
      <c r="R332" s="76"/>
      <c r="S332" s="75">
        <v>45418.0</v>
      </c>
      <c r="T332" s="80" t="s">
        <v>280</v>
      </c>
    </row>
    <row r="333">
      <c r="A333" s="69">
        <v>4332.0</v>
      </c>
      <c r="B333" s="69" t="s">
        <v>29</v>
      </c>
      <c r="C333" s="70" t="s">
        <v>155</v>
      </c>
      <c r="D333" s="69"/>
      <c r="E333" s="41" t="s">
        <v>610</v>
      </c>
      <c r="F333" s="70"/>
      <c r="G333" s="71" t="s">
        <v>610</v>
      </c>
      <c r="H333" s="41"/>
      <c r="I333" s="42"/>
      <c r="J333" s="43" t="str">
        <f t="shared" si="1"/>
        <v>TIDAK ADA</v>
      </c>
      <c r="K333" s="72">
        <v>1.0</v>
      </c>
      <c r="L333" s="53" t="s">
        <v>62</v>
      </c>
      <c r="M333" s="73">
        <v>47500.0</v>
      </c>
      <c r="N333" s="74"/>
      <c r="O333" s="73">
        <v>47500.0</v>
      </c>
      <c r="P333" s="46" t="str">
        <f t="shared" si="2"/>
        <v>Rp47,500-1 LSN-0.00%</v>
      </c>
      <c r="Q333" s="75">
        <v>45408.0</v>
      </c>
      <c r="R333" s="76"/>
      <c r="S333" s="75">
        <v>45418.0</v>
      </c>
      <c r="T333" s="80" t="s">
        <v>280</v>
      </c>
    </row>
    <row r="334">
      <c r="A334" s="69">
        <v>4332.0</v>
      </c>
      <c r="B334" s="69" t="s">
        <v>29</v>
      </c>
      <c r="C334" s="70" t="s">
        <v>155</v>
      </c>
      <c r="D334" s="69"/>
      <c r="E334" s="41" t="s">
        <v>611</v>
      </c>
      <c r="F334" s="70"/>
      <c r="G334" s="71" t="s">
        <v>611</v>
      </c>
      <c r="H334" s="41"/>
      <c r="I334" s="42"/>
      <c r="J334" s="43" t="str">
        <f t="shared" si="1"/>
        <v>TIDAK ADA</v>
      </c>
      <c r="K334" s="72">
        <v>1.0</v>
      </c>
      <c r="L334" s="53" t="s">
        <v>62</v>
      </c>
      <c r="M334" s="73">
        <v>50000.0</v>
      </c>
      <c r="N334" s="74"/>
      <c r="O334" s="73">
        <v>50000.0</v>
      </c>
      <c r="P334" s="46" t="str">
        <f t="shared" si="2"/>
        <v>Rp50,000-1 LSN-0.00%</v>
      </c>
      <c r="Q334" s="75">
        <v>45408.0</v>
      </c>
      <c r="R334" s="76"/>
      <c r="S334" s="75">
        <v>45418.0</v>
      </c>
      <c r="T334" s="80" t="s">
        <v>280</v>
      </c>
    </row>
    <row r="335">
      <c r="A335" s="69">
        <v>4332.0</v>
      </c>
      <c r="B335" s="69" t="s">
        <v>29</v>
      </c>
      <c r="C335" s="70" t="s">
        <v>155</v>
      </c>
      <c r="D335" s="69"/>
      <c r="E335" s="41" t="s">
        <v>612</v>
      </c>
      <c r="F335" s="70"/>
      <c r="G335" s="71" t="s">
        <v>612</v>
      </c>
      <c r="H335" s="41"/>
      <c r="I335" s="42"/>
      <c r="J335" s="43" t="str">
        <f t="shared" si="1"/>
        <v>TIDAK ADA</v>
      </c>
      <c r="K335" s="72">
        <v>1.0</v>
      </c>
      <c r="L335" s="53" t="s">
        <v>62</v>
      </c>
      <c r="M335" s="73">
        <v>47500.0</v>
      </c>
      <c r="N335" s="74"/>
      <c r="O335" s="73">
        <v>47500.0</v>
      </c>
      <c r="P335" s="46" t="str">
        <f t="shared" si="2"/>
        <v>Rp47,500-1 LSN-0.00%</v>
      </c>
      <c r="Q335" s="75">
        <v>45408.0</v>
      </c>
      <c r="R335" s="76"/>
      <c r="S335" s="75">
        <v>45418.0</v>
      </c>
      <c r="T335" s="80" t="s">
        <v>280</v>
      </c>
    </row>
    <row r="336">
      <c r="A336" s="69">
        <v>4332.0</v>
      </c>
      <c r="B336" s="69" t="s">
        <v>29</v>
      </c>
      <c r="C336" s="70" t="s">
        <v>155</v>
      </c>
      <c r="D336" s="69"/>
      <c r="E336" s="41" t="s">
        <v>613</v>
      </c>
      <c r="F336" s="70"/>
      <c r="G336" s="71" t="s">
        <v>613</v>
      </c>
      <c r="H336" s="41"/>
      <c r="I336" s="42"/>
      <c r="J336" s="43" t="str">
        <f t="shared" si="1"/>
        <v>TIDAK ADA</v>
      </c>
      <c r="K336" s="72">
        <v>1.0</v>
      </c>
      <c r="L336" s="53" t="s">
        <v>88</v>
      </c>
      <c r="M336" s="73">
        <v>71500.0</v>
      </c>
      <c r="N336" s="74"/>
      <c r="O336" s="73">
        <v>71500.0</v>
      </c>
      <c r="P336" s="46" t="str">
        <f t="shared" si="2"/>
        <v>Rp71,500-1 BOX-0.00%</v>
      </c>
      <c r="Q336" s="75">
        <v>45408.0</v>
      </c>
      <c r="R336" s="76"/>
      <c r="S336" s="75">
        <v>45418.0</v>
      </c>
      <c r="T336" s="80" t="s">
        <v>280</v>
      </c>
    </row>
    <row r="337">
      <c r="A337" s="69">
        <v>4332.0</v>
      </c>
      <c r="B337" s="69" t="s">
        <v>29</v>
      </c>
      <c r="C337" s="70" t="s">
        <v>155</v>
      </c>
      <c r="D337" s="69"/>
      <c r="E337" s="41" t="s">
        <v>614</v>
      </c>
      <c r="F337" s="70"/>
      <c r="G337" s="71" t="s">
        <v>614</v>
      </c>
      <c r="H337" s="41"/>
      <c r="I337" s="42"/>
      <c r="J337" s="43" t="str">
        <f t="shared" si="1"/>
        <v>TIDAK ADA</v>
      </c>
      <c r="K337" s="72">
        <v>2.0</v>
      </c>
      <c r="L337" s="53" t="s">
        <v>84</v>
      </c>
      <c r="M337" s="73">
        <v>24000.0</v>
      </c>
      <c r="N337" s="74"/>
      <c r="O337" s="73">
        <v>48000.0</v>
      </c>
      <c r="P337" s="46" t="str">
        <f t="shared" si="2"/>
        <v>Rp24,000-2 SET-0.00%</v>
      </c>
      <c r="Q337" s="75">
        <v>45408.0</v>
      </c>
      <c r="R337" s="76"/>
      <c r="S337" s="75">
        <v>45418.0</v>
      </c>
      <c r="T337" s="80" t="s">
        <v>280</v>
      </c>
    </row>
    <row r="338">
      <c r="A338" s="69">
        <v>4332.0</v>
      </c>
      <c r="B338" s="69" t="s">
        <v>29</v>
      </c>
      <c r="C338" s="70" t="s">
        <v>155</v>
      </c>
      <c r="D338" s="69" t="s">
        <v>615</v>
      </c>
      <c r="E338" s="41" t="str">
        <f>IFERROR(__xludf.DUMMYFUNCTION("vlookup(D338,IMPORTRANGE(""https://docs.google.com/spreadsheets/d/1swGwZOEqYlTEUCJLY-eeJM1911Kvaei5oySBIxdgtNo/edit?pli=1#gid=257618397"",""stock untanna!B:C""),2,false)"),"GLITTER GF-88")</f>
        <v>GLITTER GF-88</v>
      </c>
      <c r="F338" s="70" t="s">
        <v>615</v>
      </c>
      <c r="G338" s="71" t="s">
        <v>616</v>
      </c>
      <c r="H338" s="41"/>
      <c r="I338" s="42"/>
      <c r="J338" s="43" t="str">
        <f t="shared" si="1"/>
        <v>ADA</v>
      </c>
      <c r="K338" s="72">
        <v>2.0</v>
      </c>
      <c r="L338" s="53" t="s">
        <v>62</v>
      </c>
      <c r="M338" s="73">
        <v>19500.0</v>
      </c>
      <c r="N338" s="74"/>
      <c r="O338" s="73">
        <v>39000.0</v>
      </c>
      <c r="P338" s="46" t="str">
        <f t="shared" si="2"/>
        <v>Rp19,500-2 LSN-0.00%</v>
      </c>
      <c r="Q338" s="75">
        <v>45408.0</v>
      </c>
      <c r="R338" s="76"/>
      <c r="S338" s="75">
        <v>45418.0</v>
      </c>
      <c r="T338" s="49"/>
    </row>
    <row r="339">
      <c r="A339" s="69">
        <v>4332.0</v>
      </c>
      <c r="B339" s="69" t="s">
        <v>29</v>
      </c>
      <c r="C339" s="70" t="s">
        <v>155</v>
      </c>
      <c r="D339" s="69"/>
      <c r="E339" s="41" t="s">
        <v>617</v>
      </c>
      <c r="F339" s="70"/>
      <c r="G339" s="71" t="s">
        <v>617</v>
      </c>
      <c r="H339" s="41"/>
      <c r="I339" s="42"/>
      <c r="J339" s="43" t="str">
        <f t="shared" si="1"/>
        <v>TIDAK ADA</v>
      </c>
      <c r="K339" s="72">
        <v>2.0</v>
      </c>
      <c r="L339" s="53" t="s">
        <v>62</v>
      </c>
      <c r="M339" s="73">
        <v>19500.0</v>
      </c>
      <c r="N339" s="74"/>
      <c r="O339" s="73">
        <v>39000.0</v>
      </c>
      <c r="P339" s="46" t="str">
        <f t="shared" si="2"/>
        <v>Rp19,500-2 LSN-0.00%</v>
      </c>
      <c r="Q339" s="75">
        <v>45408.0</v>
      </c>
      <c r="R339" s="76"/>
      <c r="S339" s="75">
        <v>45418.0</v>
      </c>
      <c r="T339" s="80" t="s">
        <v>280</v>
      </c>
    </row>
    <row r="340">
      <c r="A340" s="69">
        <v>4332.0</v>
      </c>
      <c r="B340" s="69" t="s">
        <v>29</v>
      </c>
      <c r="C340" s="70" t="s">
        <v>155</v>
      </c>
      <c r="D340" s="69"/>
      <c r="E340" s="41" t="s">
        <v>618</v>
      </c>
      <c r="F340" s="70"/>
      <c r="G340" s="71" t="s">
        <v>618</v>
      </c>
      <c r="H340" s="41"/>
      <c r="I340" s="42"/>
      <c r="J340" s="43" t="str">
        <f t="shared" si="1"/>
        <v>TIDAK ADA</v>
      </c>
      <c r="K340" s="72">
        <v>2.0</v>
      </c>
      <c r="L340" s="53" t="s">
        <v>62</v>
      </c>
      <c r="M340" s="73">
        <v>19500.0</v>
      </c>
      <c r="N340" s="74"/>
      <c r="O340" s="73">
        <v>39000.0</v>
      </c>
      <c r="P340" s="46" t="str">
        <f t="shared" si="2"/>
        <v>Rp19,500-2 LSN-0.00%</v>
      </c>
      <c r="Q340" s="75">
        <v>45408.0</v>
      </c>
      <c r="R340" s="76"/>
      <c r="S340" s="75">
        <v>45418.0</v>
      </c>
      <c r="T340" s="80" t="s">
        <v>280</v>
      </c>
    </row>
    <row r="341">
      <c r="A341" s="69">
        <v>4332.0</v>
      </c>
      <c r="B341" s="69" t="s">
        <v>29</v>
      </c>
      <c r="C341" s="70" t="s">
        <v>155</v>
      </c>
      <c r="D341" s="69"/>
      <c r="E341" s="41" t="s">
        <v>619</v>
      </c>
      <c r="F341" s="70"/>
      <c r="G341" s="71" t="s">
        <v>619</v>
      </c>
      <c r="H341" s="41"/>
      <c r="I341" s="42"/>
      <c r="J341" s="43" t="str">
        <f t="shared" si="1"/>
        <v>TIDAK ADA</v>
      </c>
      <c r="K341" s="72">
        <v>2.0</v>
      </c>
      <c r="L341" s="53" t="s">
        <v>62</v>
      </c>
      <c r="M341" s="73">
        <v>19500.0</v>
      </c>
      <c r="N341" s="74"/>
      <c r="O341" s="73">
        <v>39000.0</v>
      </c>
      <c r="P341" s="46" t="str">
        <f t="shared" si="2"/>
        <v>Rp19,500-2 LSN-0.00%</v>
      </c>
      <c r="Q341" s="75">
        <v>45408.0</v>
      </c>
      <c r="R341" s="76"/>
      <c r="S341" s="75">
        <v>45418.0</v>
      </c>
      <c r="T341" s="80" t="s">
        <v>280</v>
      </c>
    </row>
    <row r="342">
      <c r="A342" s="69">
        <v>4333.0</v>
      </c>
      <c r="B342" s="69" t="s">
        <v>29</v>
      </c>
      <c r="C342" s="70" t="s">
        <v>155</v>
      </c>
      <c r="D342" s="69"/>
      <c r="E342" s="41" t="s">
        <v>620</v>
      </c>
      <c r="F342" s="70"/>
      <c r="G342" s="71" t="s">
        <v>620</v>
      </c>
      <c r="H342" s="41"/>
      <c r="I342" s="42"/>
      <c r="J342" s="43" t="str">
        <f t="shared" si="1"/>
        <v>TIDAK ADA</v>
      </c>
      <c r="K342" s="72">
        <v>2.0</v>
      </c>
      <c r="L342" s="53" t="s">
        <v>62</v>
      </c>
      <c r="M342" s="73">
        <v>19500.0</v>
      </c>
      <c r="N342" s="74"/>
      <c r="O342" s="73">
        <v>39000.0</v>
      </c>
      <c r="P342" s="46" t="str">
        <f t="shared" si="2"/>
        <v>Rp19,500-2 LSN-0.00%</v>
      </c>
      <c r="Q342" s="75">
        <v>45408.0</v>
      </c>
      <c r="R342" s="76"/>
      <c r="S342" s="75">
        <v>45418.0</v>
      </c>
      <c r="T342" s="49"/>
    </row>
    <row r="343">
      <c r="A343" s="69">
        <v>4333.0</v>
      </c>
      <c r="B343" s="69" t="s">
        <v>29</v>
      </c>
      <c r="C343" s="70" t="s">
        <v>155</v>
      </c>
      <c r="D343" s="69"/>
      <c r="E343" s="41" t="s">
        <v>621</v>
      </c>
      <c r="F343" s="70"/>
      <c r="G343" s="71" t="s">
        <v>621</v>
      </c>
      <c r="H343" s="41"/>
      <c r="I343" s="42"/>
      <c r="J343" s="43" t="str">
        <f t="shared" si="1"/>
        <v>TIDAK ADA</v>
      </c>
      <c r="K343" s="72">
        <v>50.0</v>
      </c>
      <c r="L343" s="53" t="s">
        <v>69</v>
      </c>
      <c r="M343" s="73">
        <v>1750.0</v>
      </c>
      <c r="N343" s="74"/>
      <c r="O343" s="73">
        <v>87500.0</v>
      </c>
      <c r="P343" s="46" t="str">
        <f t="shared" si="2"/>
        <v>Rp1,750-50 PCS-0.00%</v>
      </c>
      <c r="Q343" s="75">
        <v>45408.0</v>
      </c>
      <c r="R343" s="76"/>
      <c r="S343" s="75">
        <v>45418.0</v>
      </c>
      <c r="T343" s="80" t="s">
        <v>280</v>
      </c>
    </row>
    <row r="344">
      <c r="A344" s="69">
        <v>4333.0</v>
      </c>
      <c r="B344" s="69" t="s">
        <v>29</v>
      </c>
      <c r="C344" s="70" t="s">
        <v>155</v>
      </c>
      <c r="D344" s="69"/>
      <c r="E344" s="41" t="s">
        <v>622</v>
      </c>
      <c r="F344" s="70"/>
      <c r="G344" s="71" t="s">
        <v>622</v>
      </c>
      <c r="H344" s="41"/>
      <c r="I344" s="42"/>
      <c r="J344" s="43" t="str">
        <f t="shared" si="1"/>
        <v>TIDAK ADA</v>
      </c>
      <c r="K344" s="72">
        <v>50.0</v>
      </c>
      <c r="L344" s="53" t="s">
        <v>69</v>
      </c>
      <c r="M344" s="73">
        <v>1750.0</v>
      </c>
      <c r="N344" s="74"/>
      <c r="O344" s="73">
        <v>87500.0</v>
      </c>
      <c r="P344" s="46" t="str">
        <f t="shared" si="2"/>
        <v>Rp1,750-50 PCS-0.00%</v>
      </c>
      <c r="Q344" s="75">
        <v>45408.0</v>
      </c>
      <c r="R344" s="76"/>
      <c r="S344" s="75">
        <v>45418.0</v>
      </c>
      <c r="T344" s="80" t="s">
        <v>280</v>
      </c>
    </row>
    <row r="345">
      <c r="A345" s="69">
        <v>4333.0</v>
      </c>
      <c r="B345" s="69" t="s">
        <v>29</v>
      </c>
      <c r="C345" s="70" t="s">
        <v>155</v>
      </c>
      <c r="D345" s="69" t="s">
        <v>623</v>
      </c>
      <c r="E345" s="41" t="str">
        <f>IFERROR(__xludf.DUMMYFUNCTION("vlookup(D345,IMPORTRANGE(""https://docs.google.com/spreadsheets/d/1swGwZOEqYlTEUCJLY-eeJM1911Kvaei5oySBIxdgtNo/edit?pli=1#gid=257618397"",""stock untanna!B:C""),2,false)"),"BP GEL TF-1190 0.3MM HIGHTECH (H)")</f>
        <v>BP GEL TF-1190 0.3MM HIGHTECH (H)</v>
      </c>
      <c r="F345" s="70" t="s">
        <v>623</v>
      </c>
      <c r="G345" s="71" t="s">
        <v>624</v>
      </c>
      <c r="H345" s="41"/>
      <c r="I345" s="42"/>
      <c r="J345" s="43" t="str">
        <f t="shared" si="1"/>
        <v>ADA</v>
      </c>
      <c r="K345" s="72">
        <v>12.0</v>
      </c>
      <c r="L345" s="53" t="s">
        <v>62</v>
      </c>
      <c r="M345" s="73">
        <v>33000.0</v>
      </c>
      <c r="N345" s="74"/>
      <c r="O345" s="73">
        <v>396000.0</v>
      </c>
      <c r="P345" s="46" t="str">
        <f t="shared" si="2"/>
        <v>Rp33,000-12 LSN-0.00%</v>
      </c>
      <c r="Q345" s="75">
        <v>45408.0</v>
      </c>
      <c r="R345" s="76"/>
      <c r="S345" s="75">
        <v>45418.0</v>
      </c>
      <c r="T345" s="49"/>
    </row>
    <row r="346">
      <c r="A346" s="69">
        <v>4092.0</v>
      </c>
      <c r="B346" s="69" t="s">
        <v>29</v>
      </c>
      <c r="C346" s="70" t="s">
        <v>625</v>
      </c>
      <c r="D346" s="69" t="s">
        <v>419</v>
      </c>
      <c r="E346" s="41" t="str">
        <f>IFERROR(__xludf.DUMMYFUNCTION("vlookup(D346,IMPORTRANGE(""https://docs.google.com/spreadsheets/d/1swGwZOEqYlTEUCJLY-eeJM1911Kvaei5oySBIxdgtNo/edit?pli=1#gid=257618397"",""stock untanna!B:C""),2,false)"),"BP GEL ZUI XUA HY-1020 HITAM")</f>
        <v>BP GEL ZUI XUA HY-1020 HITAM</v>
      </c>
      <c r="F346" s="70" t="s">
        <v>419</v>
      </c>
      <c r="G346" s="71" t="s">
        <v>420</v>
      </c>
      <c r="H346" s="41"/>
      <c r="I346" s="42"/>
      <c r="J346" s="43" t="str">
        <f t="shared" si="1"/>
        <v>ADA</v>
      </c>
      <c r="K346" s="72">
        <v>192.0</v>
      </c>
      <c r="L346" s="53" t="s">
        <v>62</v>
      </c>
      <c r="M346" s="73">
        <v>11500.0</v>
      </c>
      <c r="N346" s="74"/>
      <c r="O346" s="73">
        <v>2208000.0</v>
      </c>
      <c r="P346" s="46" t="str">
        <f t="shared" si="2"/>
        <v>Rp11,500-192 LSN-0.00%</v>
      </c>
      <c r="Q346" s="75">
        <v>45408.0</v>
      </c>
      <c r="R346" s="76"/>
      <c r="S346" s="75">
        <v>45418.0</v>
      </c>
      <c r="T346" s="49"/>
    </row>
    <row r="347">
      <c r="A347" s="82">
        <v>4043.0</v>
      </c>
      <c r="B347" s="69" t="s">
        <v>65</v>
      </c>
      <c r="C347" s="79" t="s">
        <v>626</v>
      </c>
      <c r="D347" s="69" t="s">
        <v>306</v>
      </c>
      <c r="E347" s="41" t="str">
        <f>IFERROR(__xludf.DUMMYFUNCTION("vlookup(D347,IMPORTRANGE(""https://docs.google.com/spreadsheets/d/1swGwZOEqYlTEUCJLY-eeJM1911Kvaei5oySBIxdgtNo/edit?pli=1#gid=257618397"",""stock untanna!B:C""),2,false)"),"BP TF-2037 6W")</f>
        <v>BP TF-2037 6W</v>
      </c>
      <c r="F347" s="70" t="s">
        <v>306</v>
      </c>
      <c r="G347" s="71" t="s">
        <v>307</v>
      </c>
      <c r="H347" s="41"/>
      <c r="I347" s="42"/>
      <c r="J347" s="43" t="str">
        <f t="shared" si="1"/>
        <v>ADA</v>
      </c>
      <c r="K347" s="72">
        <v>30.0</v>
      </c>
      <c r="L347" s="53" t="s">
        <v>62</v>
      </c>
      <c r="M347" s="73">
        <v>46000.0</v>
      </c>
      <c r="N347" s="74"/>
      <c r="O347" s="73">
        <v>1380000.0</v>
      </c>
      <c r="P347" s="46" t="str">
        <f t="shared" si="2"/>
        <v>Rp46,000-30 LSN-0.00%</v>
      </c>
      <c r="Q347" s="75">
        <v>45409.0</v>
      </c>
      <c r="R347" s="76"/>
      <c r="S347" s="75">
        <v>45419.0</v>
      </c>
      <c r="T347" s="49"/>
    </row>
    <row r="348">
      <c r="A348" s="82">
        <v>4043.0</v>
      </c>
      <c r="B348" s="69" t="s">
        <v>65</v>
      </c>
      <c r="C348" s="79" t="s">
        <v>626</v>
      </c>
      <c r="D348" s="69" t="s">
        <v>627</v>
      </c>
      <c r="E348" s="41" t="str">
        <f>IFERROR(__xludf.DUMMYFUNCTION("vlookup(D348,IMPORTRANGE(""https://docs.google.com/spreadsheets/d/1swGwZOEqYlTEUCJLY-eeJM1911Kvaei5oySBIxdgtNo/edit?pli=1#gid=257618397"",""stock untanna!B:C""),2,false)"),"BP TIZO TG 30541F FANCY")</f>
        <v>BP TIZO TG 30541F FANCY</v>
      </c>
      <c r="F348" s="70" t="s">
        <v>627</v>
      </c>
      <c r="G348" s="71" t="s">
        <v>628</v>
      </c>
      <c r="H348" s="41"/>
      <c r="I348" s="42"/>
      <c r="J348" s="43" t="str">
        <f t="shared" si="1"/>
        <v>ADA</v>
      </c>
      <c r="K348" s="72">
        <v>48.0</v>
      </c>
      <c r="L348" s="53" t="s">
        <v>62</v>
      </c>
      <c r="M348" s="73">
        <v>17500.0</v>
      </c>
      <c r="N348" s="74"/>
      <c r="O348" s="73">
        <v>840000.0</v>
      </c>
      <c r="P348" s="46" t="str">
        <f t="shared" si="2"/>
        <v>Rp17,500-48 LSN-0.00%</v>
      </c>
      <c r="Q348" s="75">
        <v>45409.0</v>
      </c>
      <c r="R348" s="76"/>
      <c r="S348" s="75">
        <v>45419.0</v>
      </c>
      <c r="T348" s="49"/>
    </row>
    <row r="349">
      <c r="A349" s="82">
        <v>4043.0</v>
      </c>
      <c r="B349" s="69" t="s">
        <v>65</v>
      </c>
      <c r="C349" s="79" t="s">
        <v>626</v>
      </c>
      <c r="D349" s="69" t="s">
        <v>629</v>
      </c>
      <c r="E349" s="41" t="str">
        <f>IFERROR(__xludf.DUMMYFUNCTION("vlookup(D349,IMPORTRANGE(""https://docs.google.com/spreadsheets/d/1swGwZOEqYlTEUCJLY-eeJM1911Kvaei5oySBIxdgtNo/edit?pli=1#gid=257618397"",""stock untanna!B:C""),2,false)"),"BP GEL TIZO 30801F S3 FANCY")</f>
        <v>BP GEL TIZO 30801F S3 FANCY</v>
      </c>
      <c r="F349" s="70" t="s">
        <v>629</v>
      </c>
      <c r="G349" s="71" t="s">
        <v>630</v>
      </c>
      <c r="H349" s="41"/>
      <c r="I349" s="42"/>
      <c r="J349" s="43" t="str">
        <f t="shared" si="1"/>
        <v>ADA</v>
      </c>
      <c r="K349" s="72">
        <v>48.0</v>
      </c>
      <c r="L349" s="53" t="s">
        <v>62</v>
      </c>
      <c r="M349" s="73">
        <v>17500.0</v>
      </c>
      <c r="N349" s="74"/>
      <c r="O349" s="73">
        <v>840000.0</v>
      </c>
      <c r="P349" s="46" t="str">
        <f t="shared" si="2"/>
        <v>Rp17,500-48 LSN-0.00%</v>
      </c>
      <c r="Q349" s="75">
        <v>45409.0</v>
      </c>
      <c r="R349" s="76"/>
      <c r="S349" s="75">
        <v>45419.0</v>
      </c>
      <c r="T349" s="49"/>
    </row>
    <row r="350">
      <c r="A350" s="82">
        <v>4043.0</v>
      </c>
      <c r="B350" s="69" t="s">
        <v>65</v>
      </c>
      <c r="C350" s="79" t="s">
        <v>626</v>
      </c>
      <c r="D350" s="69" t="s">
        <v>631</v>
      </c>
      <c r="E350" s="41" t="str">
        <f>IFERROR(__xludf.DUMMYFUNCTION("vlookup(D350,IMPORTRANGE(""https://docs.google.com/spreadsheets/d/1swGwZOEqYlTEUCJLY-eeJM1911Kvaei5oySBIxdgtNo/edit?pli=1#gid=257618397"",""stock untanna!B:C""),2,false)"),"BP TIZO 31810F FANCY")</f>
        <v>BP TIZO 31810F FANCY</v>
      </c>
      <c r="F350" s="70" t="s">
        <v>631</v>
      </c>
      <c r="G350" s="71" t="s">
        <v>632</v>
      </c>
      <c r="H350" s="41"/>
      <c r="I350" s="42"/>
      <c r="J350" s="43" t="str">
        <f t="shared" si="1"/>
        <v>ADA</v>
      </c>
      <c r="K350" s="72">
        <v>48.0</v>
      </c>
      <c r="L350" s="53" t="s">
        <v>62</v>
      </c>
      <c r="M350" s="73">
        <v>17500.0</v>
      </c>
      <c r="N350" s="74"/>
      <c r="O350" s="73">
        <v>840000.0</v>
      </c>
      <c r="P350" s="46" t="str">
        <f t="shared" si="2"/>
        <v>Rp17,500-48 LSN-0.00%</v>
      </c>
      <c r="Q350" s="75">
        <v>45409.0</v>
      </c>
      <c r="R350" s="76"/>
      <c r="S350" s="75">
        <v>45419.0</v>
      </c>
      <c r="T350" s="49"/>
    </row>
    <row r="351">
      <c r="A351" s="82">
        <v>4043.0</v>
      </c>
      <c r="B351" s="69" t="s">
        <v>65</v>
      </c>
      <c r="C351" s="79" t="s">
        <v>626</v>
      </c>
      <c r="D351" s="69" t="s">
        <v>633</v>
      </c>
      <c r="E351" s="41" t="str">
        <f>IFERROR(__xludf.DUMMYFUNCTION("vlookup(D351,IMPORTRANGE(""https://docs.google.com/spreadsheets/d/1swGwZOEqYlTEUCJLY-eeJM1911Kvaei5oySBIxdgtNo/edit?pli=1#gid=257618397"",""stock untanna!B:C""),2,false)"),"BP GEL TIZO 30734F FANCY")</f>
        <v>BP GEL TIZO 30734F FANCY</v>
      </c>
      <c r="F351" s="70" t="s">
        <v>633</v>
      </c>
      <c r="G351" s="71" t="s">
        <v>634</v>
      </c>
      <c r="H351" s="41"/>
      <c r="I351" s="42"/>
      <c r="J351" s="43" t="str">
        <f t="shared" si="1"/>
        <v>ADA</v>
      </c>
      <c r="K351" s="72">
        <v>36.0</v>
      </c>
      <c r="L351" s="53" t="s">
        <v>62</v>
      </c>
      <c r="M351" s="73">
        <v>17500.0</v>
      </c>
      <c r="N351" s="74"/>
      <c r="O351" s="73">
        <v>630000.0</v>
      </c>
      <c r="P351" s="46" t="str">
        <f t="shared" si="2"/>
        <v>Rp17,500-36 LSN-0.00%</v>
      </c>
      <c r="Q351" s="75">
        <v>45409.0</v>
      </c>
      <c r="R351" s="76"/>
      <c r="S351" s="75">
        <v>45419.0</v>
      </c>
      <c r="T351" s="49"/>
    </row>
    <row r="352">
      <c r="A352" s="82">
        <v>4043.0</v>
      </c>
      <c r="B352" s="69" t="s">
        <v>65</v>
      </c>
      <c r="C352" s="79" t="s">
        <v>626</v>
      </c>
      <c r="D352" s="69" t="s">
        <v>635</v>
      </c>
      <c r="E352" s="41" t="str">
        <f>IFERROR(__xludf.DUMMYFUNCTION("vlookup(D352,IMPORTRANGE(""https://docs.google.com/spreadsheets/d/1swGwZOEqYlTEUCJLY-eeJM1911Kvaei5oySBIxdgtNo/edit?pli=1#gid=257618397"",""stock untanna!B:C""),2,false)"),"BP GEL TIZO 31763F FANCY")</f>
        <v>BP GEL TIZO 31763F FANCY</v>
      </c>
      <c r="F352" s="70" t="s">
        <v>635</v>
      </c>
      <c r="G352" s="71" t="s">
        <v>636</v>
      </c>
      <c r="H352" s="41"/>
      <c r="I352" s="42"/>
      <c r="J352" s="43" t="str">
        <f t="shared" si="1"/>
        <v>ADA</v>
      </c>
      <c r="K352" s="72">
        <v>36.0</v>
      </c>
      <c r="L352" s="53" t="s">
        <v>62</v>
      </c>
      <c r="M352" s="73">
        <v>17500.0</v>
      </c>
      <c r="N352" s="74"/>
      <c r="O352" s="73">
        <v>630000.0</v>
      </c>
      <c r="P352" s="46" t="str">
        <f t="shared" si="2"/>
        <v>Rp17,500-36 LSN-0.00%</v>
      </c>
      <c r="Q352" s="75">
        <v>45409.0</v>
      </c>
      <c r="R352" s="76"/>
      <c r="S352" s="75">
        <v>45419.0</v>
      </c>
      <c r="T352" s="49"/>
    </row>
    <row r="353">
      <c r="A353" s="82">
        <v>4043.0</v>
      </c>
      <c r="B353" s="69" t="s">
        <v>65</v>
      </c>
      <c r="C353" s="79" t="s">
        <v>626</v>
      </c>
      <c r="D353" s="69" t="s">
        <v>637</v>
      </c>
      <c r="E353" s="41" t="str">
        <f>IFERROR(__xludf.DUMMYFUNCTION("vlookup(D353,IMPORTRANGE(""https://docs.google.com/spreadsheets/d/1swGwZOEqYlTEUCJLY-eeJM1911Kvaei5oySBIxdgtNo/edit?pli=1#gid=257618397"",""stock untanna!B:C""),2,false)"),"BP GEL TIZO 31762F FANCY")</f>
        <v>BP GEL TIZO 31762F FANCY</v>
      </c>
      <c r="F353" s="70" t="s">
        <v>637</v>
      </c>
      <c r="G353" s="71" t="s">
        <v>638</v>
      </c>
      <c r="H353" s="41"/>
      <c r="I353" s="42"/>
      <c r="J353" s="43" t="str">
        <f t="shared" si="1"/>
        <v>ADA</v>
      </c>
      <c r="K353" s="72">
        <v>24.0</v>
      </c>
      <c r="L353" s="53" t="s">
        <v>62</v>
      </c>
      <c r="M353" s="73">
        <v>17500.0</v>
      </c>
      <c r="N353" s="74"/>
      <c r="O353" s="73">
        <v>420000.0</v>
      </c>
      <c r="P353" s="46" t="str">
        <f t="shared" si="2"/>
        <v>Rp17,500-24 LSN-0.00%</v>
      </c>
      <c r="Q353" s="75">
        <v>45409.0</v>
      </c>
      <c r="R353" s="76"/>
      <c r="S353" s="75">
        <v>45419.0</v>
      </c>
      <c r="T353" s="49"/>
    </row>
    <row r="354">
      <c r="A354" s="82">
        <v>4043.0</v>
      </c>
      <c r="B354" s="69" t="s">
        <v>65</v>
      </c>
      <c r="C354" s="79" t="s">
        <v>626</v>
      </c>
      <c r="D354" s="69" t="s">
        <v>639</v>
      </c>
      <c r="E354" s="41" t="str">
        <f>IFERROR(__xludf.DUMMYFUNCTION("vlookup(D354,IMPORTRANGE(""https://docs.google.com/spreadsheets/d/1swGwZOEqYlTEUCJLY-eeJM1911Kvaei5oySBIxdgtNo/edit?pli=1#gid=257618397"",""stock untanna!B:C""),2,false)"),"BP GEL TIZO 31035F FANCY")</f>
        <v>BP GEL TIZO 31035F FANCY</v>
      </c>
      <c r="F354" s="70" t="s">
        <v>639</v>
      </c>
      <c r="G354" s="71" t="s">
        <v>640</v>
      </c>
      <c r="H354" s="41"/>
      <c r="I354" s="42"/>
      <c r="J354" s="43" t="str">
        <f t="shared" si="1"/>
        <v>ADA</v>
      </c>
      <c r="K354" s="72">
        <v>24.0</v>
      </c>
      <c r="L354" s="53" t="s">
        <v>62</v>
      </c>
      <c r="M354" s="73">
        <v>17500.0</v>
      </c>
      <c r="N354" s="74"/>
      <c r="O354" s="73">
        <v>420000.0</v>
      </c>
      <c r="P354" s="46" t="str">
        <f t="shared" si="2"/>
        <v>Rp17,500-24 LSN-0.00%</v>
      </c>
      <c r="Q354" s="75">
        <v>45409.0</v>
      </c>
      <c r="R354" s="76"/>
      <c r="S354" s="75">
        <v>45419.0</v>
      </c>
      <c r="T354" s="49"/>
    </row>
    <row r="355">
      <c r="A355" s="82">
        <v>4043.0</v>
      </c>
      <c r="B355" s="69" t="s">
        <v>65</v>
      </c>
      <c r="C355" s="79" t="s">
        <v>626</v>
      </c>
      <c r="D355" s="50" t="s">
        <v>641</v>
      </c>
      <c r="E355" s="41" t="str">
        <f>IFERROR(__xludf.DUMMYFUNCTION("IFNA(vlookup(D355,IMPORTRANGE(""https://docs.google.com/spreadsheets/d/1swGwZOEqYlTEUCJLY-eeJM1911Kvaei5oySBIxdgtNo/edit?pli=1#gid=257618397"",""stock untanna!B:C""),2,false),V:V)"),"BP GEL TIZO TG 348F FANCY")</f>
        <v>BP GEL TIZO TG 348F FANCY</v>
      </c>
      <c r="F355" s="70"/>
      <c r="G355" s="71" t="s">
        <v>642</v>
      </c>
      <c r="H355" s="41"/>
      <c r="I355" s="42"/>
      <c r="J355" s="43" t="str">
        <f t="shared" si="1"/>
        <v>ADA</v>
      </c>
      <c r="K355" s="72">
        <v>24.0</v>
      </c>
      <c r="L355" s="53" t="s">
        <v>62</v>
      </c>
      <c r="M355" s="73">
        <v>17500.0</v>
      </c>
      <c r="N355" s="74"/>
      <c r="O355" s="73">
        <v>420000.0</v>
      </c>
      <c r="P355" s="46" t="str">
        <f t="shared" si="2"/>
        <v>Rp17,500-24 LSN-0.00%</v>
      </c>
      <c r="Q355" s="75">
        <v>45409.0</v>
      </c>
      <c r="R355" s="76"/>
      <c r="S355" s="75">
        <v>45419.0</v>
      </c>
      <c r="T355" s="80" t="s">
        <v>280</v>
      </c>
    </row>
    <row r="356">
      <c r="A356" s="82">
        <v>4356.0</v>
      </c>
      <c r="B356" s="69" t="s">
        <v>58</v>
      </c>
      <c r="C356" s="70" t="s">
        <v>643</v>
      </c>
      <c r="D356" s="69" t="s">
        <v>644</v>
      </c>
      <c r="E356" s="41" t="str">
        <f>IFERROR(__xludf.DUMMYFUNCTION("vlookup(D356,IMPORTRANGE(""https://docs.google.com/spreadsheets/d/1swGwZOEqYlTEUCJLY-eeJM1911Kvaei5oySBIxdgtNo/edit?pli=1#gid=257618397"",""stock untanna!B:C""),2,false)"),"KUAS 21839-5H")</f>
        <v>KUAS 21839-5H</v>
      </c>
      <c r="F356" s="70" t="s">
        <v>644</v>
      </c>
      <c r="G356" s="71" t="s">
        <v>281</v>
      </c>
      <c r="H356" s="41"/>
      <c r="I356" s="42"/>
      <c r="J356" s="43" t="str">
        <f t="shared" si="1"/>
        <v>ADA</v>
      </c>
      <c r="K356" s="72">
        <v>30.0</v>
      </c>
      <c r="L356" s="53" t="s">
        <v>69</v>
      </c>
      <c r="M356" s="73">
        <v>9000.0</v>
      </c>
      <c r="N356" s="83">
        <v>0.1</v>
      </c>
      <c r="O356" s="73">
        <v>243000.0</v>
      </c>
      <c r="P356" s="46" t="str">
        <f t="shared" si="2"/>
        <v>Rp9,000-30 PCS-10.00%</v>
      </c>
      <c r="Q356" s="75">
        <v>45409.0</v>
      </c>
      <c r="R356" s="76"/>
      <c r="S356" s="75">
        <v>45419.0</v>
      </c>
      <c r="T356" s="49"/>
    </row>
    <row r="357">
      <c r="A357" s="82">
        <v>4356.0</v>
      </c>
      <c r="B357" s="69" t="s">
        <v>58</v>
      </c>
      <c r="C357" s="70" t="s">
        <v>643</v>
      </c>
      <c r="D357" s="69" t="s">
        <v>645</v>
      </c>
      <c r="E357" s="41" t="str">
        <f>IFERROR(__xludf.DUMMYFUNCTION("vlookup(D357,IMPORTRANGE(""https://docs.google.com/spreadsheets/d/1swGwZOEqYlTEUCJLY-eeJM1911Kvaei5oySBIxdgtNo/edit?pli=1#gid=257618397"",""stock untanna!B:C""),2,false)"),"KUAS 21839-6H4")</f>
        <v>KUAS 21839-6H4</v>
      </c>
      <c r="F357" s="70" t="s">
        <v>645</v>
      </c>
      <c r="G357" s="71" t="s">
        <v>646</v>
      </c>
      <c r="H357" s="41"/>
      <c r="I357" s="42"/>
      <c r="J357" s="43" t="str">
        <f t="shared" si="1"/>
        <v>ADA</v>
      </c>
      <c r="K357" s="72">
        <v>30.0</v>
      </c>
      <c r="L357" s="53" t="s">
        <v>69</v>
      </c>
      <c r="M357" s="73">
        <v>12000.0</v>
      </c>
      <c r="N357" s="83">
        <v>0.1</v>
      </c>
      <c r="O357" s="73">
        <v>324000.0</v>
      </c>
      <c r="P357" s="46" t="str">
        <f t="shared" si="2"/>
        <v>Rp12,000-30 PCS-10.00%</v>
      </c>
      <c r="Q357" s="75">
        <v>45409.0</v>
      </c>
      <c r="R357" s="76"/>
      <c r="S357" s="75">
        <v>45419.0</v>
      </c>
      <c r="T357" s="49"/>
    </row>
    <row r="358">
      <c r="A358" s="82">
        <v>4356.0</v>
      </c>
      <c r="B358" s="69" t="s">
        <v>58</v>
      </c>
      <c r="C358" s="70" t="s">
        <v>643</v>
      </c>
      <c r="D358" s="69" t="s">
        <v>647</v>
      </c>
      <c r="E358" s="41" t="str">
        <f>IFERROR(__xludf.DUMMYFUNCTION("vlookup(D358,IMPORTRANGE(""https://docs.google.com/spreadsheets/d/1swGwZOEqYlTEUCJLY-eeJM1911Kvaei5oySBIxdgtNo/edit?pli=1#gid=257618397"",""stock untanna!B:C""),2,false)"),"KUAS 251-6CJ")</f>
        <v>KUAS 251-6CJ</v>
      </c>
      <c r="F358" s="70" t="s">
        <v>647</v>
      </c>
      <c r="G358" s="71" t="s">
        <v>648</v>
      </c>
      <c r="H358" s="41"/>
      <c r="I358" s="42"/>
      <c r="J358" s="43" t="str">
        <f t="shared" si="1"/>
        <v>ADA</v>
      </c>
      <c r="K358" s="72">
        <v>30.0</v>
      </c>
      <c r="L358" s="53" t="s">
        <v>84</v>
      </c>
      <c r="M358" s="73">
        <v>10000.0</v>
      </c>
      <c r="N358" s="83">
        <v>0.1</v>
      </c>
      <c r="O358" s="73">
        <v>270000.0</v>
      </c>
      <c r="P358" s="46" t="str">
        <f t="shared" si="2"/>
        <v>Rp10,000-30 SET-10.00%</v>
      </c>
      <c r="Q358" s="75">
        <v>45409.0</v>
      </c>
      <c r="R358" s="76"/>
      <c r="S358" s="75">
        <v>45419.0</v>
      </c>
      <c r="T358" s="49"/>
    </row>
    <row r="359">
      <c r="A359" s="82">
        <v>4356.0</v>
      </c>
      <c r="B359" s="69" t="s">
        <v>58</v>
      </c>
      <c r="C359" s="70" t="s">
        <v>643</v>
      </c>
      <c r="D359" s="69"/>
      <c r="E359" s="41" t="s">
        <v>191</v>
      </c>
      <c r="F359" s="70"/>
      <c r="G359" s="71" t="s">
        <v>191</v>
      </c>
      <c r="H359" s="41"/>
      <c r="I359" s="42"/>
      <c r="J359" s="43" t="str">
        <f t="shared" si="1"/>
        <v>TIDAK ADA</v>
      </c>
      <c r="K359" s="72">
        <v>30.0</v>
      </c>
      <c r="L359" s="53" t="s">
        <v>84</v>
      </c>
      <c r="M359" s="73">
        <v>15000.0</v>
      </c>
      <c r="N359" s="83">
        <v>0.1</v>
      </c>
      <c r="O359" s="73">
        <v>405000.0</v>
      </c>
      <c r="P359" s="46" t="str">
        <f t="shared" si="2"/>
        <v>Rp15,000-30 SET-10.00%</v>
      </c>
      <c r="Q359" s="75">
        <v>45409.0</v>
      </c>
      <c r="R359" s="76"/>
      <c r="S359" s="75">
        <v>45419.0</v>
      </c>
      <c r="T359" s="80" t="s">
        <v>280</v>
      </c>
    </row>
    <row r="360">
      <c r="A360" s="82">
        <v>4356.0</v>
      </c>
      <c r="B360" s="69" t="s">
        <v>58</v>
      </c>
      <c r="C360" s="70" t="s">
        <v>643</v>
      </c>
      <c r="D360" s="69" t="s">
        <v>649</v>
      </c>
      <c r="E360" s="41" t="str">
        <f>IFERROR(__xludf.DUMMYFUNCTION("vlookup(D360,IMPORTRANGE(""https://docs.google.com/spreadsheets/d/1swGwZOEqYlTEUCJLY-eeJM1911Kvaei5oySBIxdgtNo/edit?pli=1#gid=257618397"",""stock untanna!B:C""),2,false)"),"KUAS TF ART TF-2023")</f>
        <v>KUAS TF ART TF-2023</v>
      </c>
      <c r="F360" s="70" t="s">
        <v>649</v>
      </c>
      <c r="G360" s="71" t="s">
        <v>650</v>
      </c>
      <c r="H360" s="41"/>
      <c r="I360" s="42"/>
      <c r="J360" s="43" t="str">
        <f t="shared" si="1"/>
        <v>ADA</v>
      </c>
      <c r="K360" s="72">
        <v>30.0</v>
      </c>
      <c r="L360" s="53" t="s">
        <v>84</v>
      </c>
      <c r="M360" s="73">
        <v>7000.0</v>
      </c>
      <c r="N360" s="74"/>
      <c r="O360" s="73">
        <v>210000.0</v>
      </c>
      <c r="P360" s="46" t="str">
        <f t="shared" si="2"/>
        <v>Rp7,000-30 SET-0.00%</v>
      </c>
      <c r="Q360" s="75">
        <v>45409.0</v>
      </c>
      <c r="R360" s="76"/>
      <c r="S360" s="75">
        <v>45419.0</v>
      </c>
      <c r="T360" s="49"/>
    </row>
    <row r="361">
      <c r="A361" s="82">
        <v>4356.0</v>
      </c>
      <c r="B361" s="69" t="s">
        <v>58</v>
      </c>
      <c r="C361" s="70" t="s">
        <v>643</v>
      </c>
      <c r="D361" s="69" t="s">
        <v>651</v>
      </c>
      <c r="E361" s="41" t="str">
        <f>IFERROR(__xludf.DUMMYFUNCTION("vlookup(D361,IMPORTRANGE(""https://docs.google.com/spreadsheets/d/1swGwZOEqYlTEUCJLY-eeJM1911Kvaei5oySBIxdgtNo/edit?pli=1#gid=257618397"",""stock untanna!B:C""),2,false)"),"TAS TALI GG-02 TANGGUNG GILAP")</f>
        <v>TAS TALI GG-02 TANGGUNG GILAP</v>
      </c>
      <c r="F361" s="70" t="s">
        <v>651</v>
      </c>
      <c r="G361" s="71" t="s">
        <v>652</v>
      </c>
      <c r="H361" s="41"/>
      <c r="I361" s="42"/>
      <c r="J361" s="43" t="str">
        <f t="shared" si="1"/>
        <v>ADA</v>
      </c>
      <c r="K361" s="72">
        <v>6.0</v>
      </c>
      <c r="L361" s="53" t="s">
        <v>62</v>
      </c>
      <c r="M361" s="73">
        <v>100000.0</v>
      </c>
      <c r="N361" s="83">
        <v>0.1</v>
      </c>
      <c r="O361" s="73">
        <v>540000.0</v>
      </c>
      <c r="P361" s="46" t="str">
        <f t="shared" si="2"/>
        <v>Rp100,000-6 LSN-10.00%</v>
      </c>
      <c r="Q361" s="75">
        <v>45409.0</v>
      </c>
      <c r="R361" s="76"/>
      <c r="S361" s="75">
        <v>45419.0</v>
      </c>
      <c r="T361" s="49"/>
    </row>
    <row r="362">
      <c r="A362" s="82">
        <v>4356.0</v>
      </c>
      <c r="B362" s="69" t="s">
        <v>58</v>
      </c>
      <c r="C362" s="70" t="s">
        <v>643</v>
      </c>
      <c r="D362" s="69" t="s">
        <v>653</v>
      </c>
      <c r="E362" s="41" t="str">
        <f>IFERROR(__xludf.DUMMYFUNCTION("vlookup(D362,IMPORTRANGE(""https://docs.google.com/spreadsheets/d/1swGwZOEqYlTEUCJLY-eeJM1911Kvaei5oySBIxdgtNo/edit?pli=1#gid=257618397"",""stock untanna!B:C""),2,false)"),"TAS TALI GG-03 BESAR GILAP")</f>
        <v>TAS TALI GG-03 BESAR GILAP</v>
      </c>
      <c r="F362" s="70" t="s">
        <v>653</v>
      </c>
      <c r="G362" s="71" t="s">
        <v>654</v>
      </c>
      <c r="H362" s="41"/>
      <c r="I362" s="42"/>
      <c r="J362" s="43" t="str">
        <f t="shared" si="1"/>
        <v>ADA</v>
      </c>
      <c r="K362" s="72">
        <v>6.0</v>
      </c>
      <c r="L362" s="53" t="s">
        <v>62</v>
      </c>
      <c r="M362" s="73">
        <v>120000.0</v>
      </c>
      <c r="N362" s="83">
        <v>0.1</v>
      </c>
      <c r="O362" s="73">
        <v>648000.0</v>
      </c>
      <c r="P362" s="46" t="str">
        <f t="shared" si="2"/>
        <v>Rp120,000-6 LSN-10.00%</v>
      </c>
      <c r="Q362" s="75">
        <v>45409.0</v>
      </c>
      <c r="R362" s="76"/>
      <c r="S362" s="75">
        <v>45419.0</v>
      </c>
      <c r="T362" s="49"/>
    </row>
    <row r="363">
      <c r="A363" s="82">
        <v>4356.0</v>
      </c>
      <c r="B363" s="69" t="s">
        <v>58</v>
      </c>
      <c r="C363" s="70" t="s">
        <v>643</v>
      </c>
      <c r="D363" s="69"/>
      <c r="E363" s="41" t="s">
        <v>655</v>
      </c>
      <c r="F363" s="70"/>
      <c r="G363" s="71" t="s">
        <v>655</v>
      </c>
      <c r="H363" s="41"/>
      <c r="I363" s="42"/>
      <c r="J363" s="43" t="str">
        <f t="shared" si="1"/>
        <v>TIDAK ADA</v>
      </c>
      <c r="K363" s="72">
        <v>10.0</v>
      </c>
      <c r="L363" s="53" t="s">
        <v>62</v>
      </c>
      <c r="M363" s="73">
        <v>17500.0</v>
      </c>
      <c r="N363" s="74"/>
      <c r="O363" s="73">
        <v>175000.0</v>
      </c>
      <c r="P363" s="46" t="str">
        <f t="shared" si="2"/>
        <v>Rp17,500-10 LSN-0.00%</v>
      </c>
      <c r="Q363" s="75">
        <v>45409.0</v>
      </c>
      <c r="R363" s="76"/>
      <c r="S363" s="75">
        <v>45419.0</v>
      </c>
      <c r="T363" s="49"/>
    </row>
    <row r="364">
      <c r="A364" s="82">
        <v>4356.0</v>
      </c>
      <c r="B364" s="69" t="s">
        <v>58</v>
      </c>
      <c r="C364" s="70" t="s">
        <v>643</v>
      </c>
      <c r="D364" s="50" t="s">
        <v>656</v>
      </c>
      <c r="E364" s="41" t="str">
        <f>IFERROR(__xludf.DUMMYFUNCTION("vlookup(D364,IMPORTRANGE(""https://docs.google.com/spreadsheets/d/1swGwZOEqYlTEUCJLY-eeJM1911Kvaei5oySBIxdgtNo/edit?pli=1#gid=257618397"",""stock untanna!B:C""),2,false)"),"TAS BATIK T ALPINDO ")</f>
        <v>TAS BATIK T ALPINDO </v>
      </c>
      <c r="F364" s="70"/>
      <c r="G364" s="71" t="s">
        <v>657</v>
      </c>
      <c r="H364" s="41"/>
      <c r="I364" s="42"/>
      <c r="J364" s="43" t="str">
        <f t="shared" si="1"/>
        <v>ADA</v>
      </c>
      <c r="K364" s="72">
        <v>10.0</v>
      </c>
      <c r="L364" s="53" t="s">
        <v>62</v>
      </c>
      <c r="M364" s="73">
        <v>29000.0</v>
      </c>
      <c r="N364" s="74"/>
      <c r="O364" s="73">
        <v>290000.0</v>
      </c>
      <c r="P364" s="46" t="str">
        <f t="shared" si="2"/>
        <v>Rp29,000-10 LSN-0.00%</v>
      </c>
      <c r="Q364" s="75">
        <v>45409.0</v>
      </c>
      <c r="R364" s="76"/>
      <c r="S364" s="75">
        <v>45419.0</v>
      </c>
      <c r="T364" s="49"/>
    </row>
    <row r="365">
      <c r="A365" s="82">
        <v>4356.0</v>
      </c>
      <c r="B365" s="69" t="s">
        <v>58</v>
      </c>
      <c r="C365" s="70" t="s">
        <v>643</v>
      </c>
      <c r="D365" s="69"/>
      <c r="E365" s="41" t="s">
        <v>658</v>
      </c>
      <c r="F365" s="70"/>
      <c r="G365" s="71" t="s">
        <v>658</v>
      </c>
      <c r="H365" s="41"/>
      <c r="I365" s="42"/>
      <c r="J365" s="43" t="str">
        <f t="shared" si="1"/>
        <v>TIDAK ADA</v>
      </c>
      <c r="K365" s="72">
        <v>10.0</v>
      </c>
      <c r="L365" s="53" t="s">
        <v>62</v>
      </c>
      <c r="M365" s="73">
        <v>33500.0</v>
      </c>
      <c r="N365" s="74"/>
      <c r="O365" s="73">
        <v>335000.0</v>
      </c>
      <c r="P365" s="46" t="str">
        <f t="shared" si="2"/>
        <v>Rp33,500-10 LSN-0.00%</v>
      </c>
      <c r="Q365" s="75">
        <v>45409.0</v>
      </c>
      <c r="R365" s="76"/>
      <c r="S365" s="75">
        <v>45419.0</v>
      </c>
      <c r="T365" s="49"/>
    </row>
    <row r="366">
      <c r="A366" s="82">
        <v>4356.0</v>
      </c>
      <c r="B366" s="69" t="s">
        <v>58</v>
      </c>
      <c r="C366" s="70" t="s">
        <v>643</v>
      </c>
      <c r="D366" s="69" t="s">
        <v>659</v>
      </c>
      <c r="E366" s="41" t="str">
        <f>IFERROR(__xludf.DUMMYFUNCTION("vlookup(D366,IMPORTRANGE(""https://docs.google.com/spreadsheets/d/1swGwZOEqYlTEUCJLY-eeJM1911Kvaei5oySBIxdgtNo/edit?pli=1#gid=257618397"",""stock untanna!B:C""),2,false)"),"CAT ACRYLIC V-TECH")</f>
        <v>CAT ACRYLIC V-TECH</v>
      </c>
      <c r="F366" s="70" t="s">
        <v>659</v>
      </c>
      <c r="G366" s="71" t="s">
        <v>660</v>
      </c>
      <c r="H366" s="41"/>
      <c r="I366" s="42"/>
      <c r="J366" s="43" t="str">
        <f t="shared" si="1"/>
        <v>ADA</v>
      </c>
      <c r="K366" s="72">
        <v>6.0</v>
      </c>
      <c r="L366" s="53" t="s">
        <v>62</v>
      </c>
      <c r="M366" s="73">
        <v>198000.0</v>
      </c>
      <c r="N366" s="74"/>
      <c r="O366" s="73">
        <v>1188000.0</v>
      </c>
      <c r="P366" s="46" t="str">
        <f t="shared" si="2"/>
        <v>Rp198,000-6 LSN-0.00%</v>
      </c>
      <c r="Q366" s="75">
        <v>45409.0</v>
      </c>
      <c r="R366" s="76"/>
      <c r="S366" s="75">
        <v>45419.0</v>
      </c>
      <c r="T366" s="49"/>
    </row>
    <row r="367">
      <c r="A367" s="82">
        <v>4356.0</v>
      </c>
      <c r="B367" s="69" t="s">
        <v>58</v>
      </c>
      <c r="C367" s="70" t="s">
        <v>643</v>
      </c>
      <c r="D367" s="69" t="s">
        <v>661</v>
      </c>
      <c r="E367" s="41" t="str">
        <f>IFERROR(__xludf.DUMMYFUNCTION("vlookup(D367,IMPORTRANGE(""https://docs.google.com/spreadsheets/d/1swGwZOEqYlTEUCJLY-eeJM1911Kvaei5oySBIxdgtNo/edit?pli=1#gid=257618397"",""stock untanna!B:C""),2,false)"),"PENCIL CASE KARTON KK 1299 3D/ 3 SUSUN")</f>
        <v>PENCIL CASE KARTON KK 1299 3D/ 3 SUSUN</v>
      </c>
      <c r="F367" s="70" t="s">
        <v>661</v>
      </c>
      <c r="G367" s="78" t="s">
        <v>662</v>
      </c>
      <c r="H367" s="41"/>
      <c r="I367" s="42"/>
      <c r="J367" s="43" t="str">
        <f t="shared" si="1"/>
        <v>ADA</v>
      </c>
      <c r="K367" s="72">
        <v>96.0</v>
      </c>
      <c r="L367" s="53" t="s">
        <v>69</v>
      </c>
      <c r="M367" s="73">
        <v>21000.0</v>
      </c>
      <c r="N367" s="74"/>
      <c r="O367" s="73">
        <v>2016000.0</v>
      </c>
      <c r="P367" s="46" t="str">
        <f t="shared" si="2"/>
        <v>Rp21,000-96 PCS-0.00%</v>
      </c>
      <c r="Q367" s="75">
        <v>45409.0</v>
      </c>
      <c r="R367" s="76"/>
      <c r="S367" s="75">
        <v>45419.0</v>
      </c>
      <c r="T367" s="49"/>
    </row>
    <row r="368">
      <c r="A368" s="82">
        <v>4356.0</v>
      </c>
      <c r="B368" s="69" t="s">
        <v>58</v>
      </c>
      <c r="C368" s="70" t="s">
        <v>643</v>
      </c>
      <c r="D368" s="69"/>
      <c r="E368" s="41" t="s">
        <v>663</v>
      </c>
      <c r="F368" s="70"/>
      <c r="G368" s="71" t="s">
        <v>663</v>
      </c>
      <c r="H368" s="41"/>
      <c r="I368" s="42"/>
      <c r="J368" s="43" t="str">
        <f t="shared" si="1"/>
        <v>TIDAK ADA</v>
      </c>
      <c r="K368" s="72">
        <v>5.0</v>
      </c>
      <c r="L368" s="53" t="s">
        <v>62</v>
      </c>
      <c r="M368" s="73">
        <v>183500.0</v>
      </c>
      <c r="N368" s="74"/>
      <c r="O368" s="73">
        <v>917500.0</v>
      </c>
      <c r="P368" s="46" t="str">
        <f t="shared" si="2"/>
        <v>Rp183,500-5 LSN-0.00%</v>
      </c>
      <c r="Q368" s="75">
        <v>45409.0</v>
      </c>
      <c r="R368" s="76"/>
      <c r="S368" s="75">
        <v>45419.0</v>
      </c>
      <c r="T368" s="80" t="s">
        <v>280</v>
      </c>
    </row>
    <row r="369">
      <c r="A369" s="82">
        <v>4356.0</v>
      </c>
      <c r="B369" s="69" t="s">
        <v>58</v>
      </c>
      <c r="C369" s="70" t="s">
        <v>643</v>
      </c>
      <c r="D369" s="69" t="s">
        <v>149</v>
      </c>
      <c r="E369" s="41" t="str">
        <f>IFERROR(__xludf.DUMMYFUNCTION("vlookup(D369,IMPORTRANGE(""https://docs.google.com/spreadsheets/d/1swGwZOEqYlTEUCJLY-eeJM1911Kvaei5oySBIxdgtNo/edit?pli=1#gid=257618397"",""stock untanna!B:C""),2,false)"),"BP GEL 8805")</f>
        <v>BP GEL 8805</v>
      </c>
      <c r="F369" s="70" t="s">
        <v>149</v>
      </c>
      <c r="G369" s="71" t="s">
        <v>150</v>
      </c>
      <c r="H369" s="41"/>
      <c r="I369" s="42"/>
      <c r="J369" s="43" t="str">
        <f t="shared" si="1"/>
        <v>ADA</v>
      </c>
      <c r="K369" s="72">
        <v>144.0</v>
      </c>
      <c r="L369" s="53" t="s">
        <v>69</v>
      </c>
      <c r="M369" s="73">
        <v>1000.0</v>
      </c>
      <c r="N369" s="74"/>
      <c r="O369" s="73">
        <v>144000.0</v>
      </c>
      <c r="P369" s="46" t="str">
        <f t="shared" si="2"/>
        <v>Rp1,000-144 PCS-0.00%</v>
      </c>
      <c r="Q369" s="75">
        <v>45409.0</v>
      </c>
      <c r="R369" s="76"/>
      <c r="S369" s="75">
        <v>45419.0</v>
      </c>
      <c r="T369" s="49"/>
    </row>
    <row r="370">
      <c r="A370" s="82">
        <v>4356.0</v>
      </c>
      <c r="B370" s="69" t="s">
        <v>58</v>
      </c>
      <c r="C370" s="70" t="s">
        <v>643</v>
      </c>
      <c r="D370" s="69" t="s">
        <v>664</v>
      </c>
      <c r="E370" s="41" t="str">
        <f>IFERROR(__xludf.DUMMYFUNCTION("vlookup(D370,IMPORTRANGE(""https://docs.google.com/spreadsheets/d/1swGwZOEqYlTEUCJLY-eeJM1911Kvaei5oySBIxdgtNo/edit?pli=1#gid=257618397"",""stock untanna!B:C""),2,false)"),"BP GEL 6603")</f>
        <v>BP GEL 6603</v>
      </c>
      <c r="F370" s="70" t="s">
        <v>664</v>
      </c>
      <c r="G370" s="71" t="s">
        <v>665</v>
      </c>
      <c r="H370" s="41"/>
      <c r="I370" s="42"/>
      <c r="J370" s="43" t="str">
        <f t="shared" si="1"/>
        <v>ADA</v>
      </c>
      <c r="K370" s="72">
        <v>144.0</v>
      </c>
      <c r="L370" s="53" t="s">
        <v>69</v>
      </c>
      <c r="M370" s="73">
        <v>1000.0</v>
      </c>
      <c r="N370" s="74"/>
      <c r="O370" s="73">
        <v>144000.0</v>
      </c>
      <c r="P370" s="46" t="str">
        <f t="shared" si="2"/>
        <v>Rp1,000-144 PCS-0.00%</v>
      </c>
      <c r="Q370" s="75">
        <v>45409.0</v>
      </c>
      <c r="R370" s="76"/>
      <c r="S370" s="75">
        <v>45419.0</v>
      </c>
      <c r="T370" s="49"/>
    </row>
    <row r="371">
      <c r="A371" s="82">
        <v>4357.0</v>
      </c>
      <c r="B371" s="69" t="s">
        <v>58</v>
      </c>
      <c r="C371" s="70" t="s">
        <v>643</v>
      </c>
      <c r="D371" s="69" t="s">
        <v>666</v>
      </c>
      <c r="E371" s="41" t="str">
        <f>IFERROR(__xludf.DUMMYFUNCTION("vlookup(D371,IMPORTRANGE(""https://docs.google.com/spreadsheets/d/1swGwZOEqYlTEUCJLY-eeJM1911Kvaei5oySBIxdgtNo/edit?pli=1#gid=257618397"",""stock untanna!B:C""),2,false)"),"BP GEL 935")</f>
        <v>BP GEL 935</v>
      </c>
      <c r="F371" s="70" t="s">
        <v>666</v>
      </c>
      <c r="G371" s="71" t="s">
        <v>667</v>
      </c>
      <c r="H371" s="41"/>
      <c r="I371" s="42"/>
      <c r="J371" s="43" t="str">
        <f t="shared" si="1"/>
        <v>ADA</v>
      </c>
      <c r="K371" s="72">
        <v>144.0</v>
      </c>
      <c r="L371" s="53" t="s">
        <v>69</v>
      </c>
      <c r="M371" s="73">
        <v>1000.0</v>
      </c>
      <c r="N371" s="74"/>
      <c r="O371" s="73">
        <v>144000.0</v>
      </c>
      <c r="P371" s="46" t="str">
        <f t="shared" si="2"/>
        <v>Rp1,000-144 PCS-0.00%</v>
      </c>
      <c r="Q371" s="75">
        <v>45409.0</v>
      </c>
      <c r="R371" s="76"/>
      <c r="S371" s="75">
        <v>45419.0</v>
      </c>
      <c r="T371" s="49"/>
    </row>
    <row r="372">
      <c r="A372" s="82">
        <v>4357.0</v>
      </c>
      <c r="B372" s="69" t="s">
        <v>58</v>
      </c>
      <c r="C372" s="70" t="s">
        <v>643</v>
      </c>
      <c r="D372" s="69" t="s">
        <v>668</v>
      </c>
      <c r="E372" s="41" t="str">
        <f>IFERROR(__xludf.DUMMYFUNCTION("vlookup(D372,IMPORTRANGE(""https://docs.google.com/spreadsheets/d/1swGwZOEqYlTEUCJLY-eeJM1911Kvaei5oySBIxdgtNo/edit?pli=1#gid=257618397"",""stock untanna!B:C""),2,false)"),"BP GEL DTIAN BIASA 959")</f>
        <v>BP GEL DTIAN BIASA 959</v>
      </c>
      <c r="F372" s="70" t="s">
        <v>668</v>
      </c>
      <c r="G372" s="71" t="s">
        <v>669</v>
      </c>
      <c r="H372" s="41"/>
      <c r="I372" s="42"/>
      <c r="J372" s="43" t="str">
        <f t="shared" si="1"/>
        <v>ADA</v>
      </c>
      <c r="K372" s="72">
        <v>12.0</v>
      </c>
      <c r="L372" s="53" t="s">
        <v>62</v>
      </c>
      <c r="M372" s="73">
        <v>12000.0</v>
      </c>
      <c r="N372" s="74"/>
      <c r="O372" s="73">
        <v>144000.0</v>
      </c>
      <c r="P372" s="46" t="str">
        <f t="shared" si="2"/>
        <v>Rp12,000-12 LSN-0.00%</v>
      </c>
      <c r="Q372" s="75">
        <v>45409.0</v>
      </c>
      <c r="R372" s="76"/>
      <c r="S372" s="75">
        <v>45419.0</v>
      </c>
      <c r="T372" s="49"/>
    </row>
    <row r="373">
      <c r="A373" s="82">
        <v>4357.0</v>
      </c>
      <c r="B373" s="69" t="s">
        <v>58</v>
      </c>
      <c r="C373" s="70" t="s">
        <v>643</v>
      </c>
      <c r="D373" s="69" t="s">
        <v>670</v>
      </c>
      <c r="E373" s="41" t="str">
        <f>IFERROR(__xludf.DUMMYFUNCTION("vlookup(D373,IMPORTRANGE(""https://docs.google.com/spreadsheets/d/1swGwZOEqYlTEUCJLY-eeJM1911Kvaei5oySBIxdgtNo/edit?pli=1#gid=257618397"",""stock untanna!B:C""),2,false)"),"BP GEL 936")</f>
        <v>BP GEL 936</v>
      </c>
      <c r="F373" s="70" t="s">
        <v>670</v>
      </c>
      <c r="G373" s="71" t="s">
        <v>671</v>
      </c>
      <c r="H373" s="41"/>
      <c r="I373" s="42"/>
      <c r="J373" s="43" t="str">
        <f t="shared" si="1"/>
        <v>ADA</v>
      </c>
      <c r="K373" s="72">
        <v>144.0</v>
      </c>
      <c r="L373" s="53" t="s">
        <v>69</v>
      </c>
      <c r="M373" s="73">
        <v>1000.0</v>
      </c>
      <c r="N373" s="74"/>
      <c r="O373" s="73">
        <v>144000.0</v>
      </c>
      <c r="P373" s="46" t="str">
        <f t="shared" si="2"/>
        <v>Rp1,000-144 PCS-0.00%</v>
      </c>
      <c r="Q373" s="75">
        <v>45409.0</v>
      </c>
      <c r="R373" s="76"/>
      <c r="S373" s="75">
        <v>45419.0</v>
      </c>
      <c r="T373" s="49"/>
    </row>
    <row r="374">
      <c r="A374" s="82">
        <v>4357.0</v>
      </c>
      <c r="B374" s="69" t="s">
        <v>58</v>
      </c>
      <c r="C374" s="70" t="s">
        <v>643</v>
      </c>
      <c r="D374" s="69" t="s">
        <v>672</v>
      </c>
      <c r="E374" s="41" t="str">
        <f>IFERROR(__xludf.DUMMYFUNCTION("vlookup(D374,IMPORTRANGE(""https://docs.google.com/spreadsheets/d/1swGwZOEqYlTEUCJLY-eeJM1911Kvaei5oySBIxdgtNo/edit?pli=1#gid=257618397"",""stock untanna!B:C""),2,false)"),"BP GEL DT 9906")</f>
        <v>BP GEL DT 9906</v>
      </c>
      <c r="F374" s="70" t="s">
        <v>672</v>
      </c>
      <c r="G374" s="71" t="s">
        <v>673</v>
      </c>
      <c r="H374" s="41"/>
      <c r="I374" s="42"/>
      <c r="J374" s="43" t="str">
        <f t="shared" si="1"/>
        <v>ADA</v>
      </c>
      <c r="K374" s="72">
        <v>12.0</v>
      </c>
      <c r="L374" s="53" t="s">
        <v>62</v>
      </c>
      <c r="M374" s="73">
        <v>12000.0</v>
      </c>
      <c r="N374" s="74"/>
      <c r="O374" s="73">
        <v>144000.0</v>
      </c>
      <c r="P374" s="46" t="str">
        <f t="shared" si="2"/>
        <v>Rp12,000-12 LSN-0.00%</v>
      </c>
      <c r="Q374" s="75">
        <v>45409.0</v>
      </c>
      <c r="R374" s="76"/>
      <c r="S374" s="75">
        <v>45419.0</v>
      </c>
      <c r="T374" s="49"/>
    </row>
    <row r="375">
      <c r="A375" s="82">
        <v>4357.0</v>
      </c>
      <c r="B375" s="69" t="s">
        <v>58</v>
      </c>
      <c r="C375" s="70" t="s">
        <v>643</v>
      </c>
      <c r="D375" s="69" t="s">
        <v>674</v>
      </c>
      <c r="E375" s="41" t="str">
        <f>IFERROR(__xludf.DUMMYFUNCTION("vlookup(D375,IMPORTRANGE(""https://docs.google.com/spreadsheets/d/1swGwZOEqYlTEUCJLY-eeJM1911Kvaei5oySBIxdgtNo/edit?pli=1#gid=257618397"",""stock untanna!B:C""),2,false)"),"BP GEL 931")</f>
        <v>BP GEL 931</v>
      </c>
      <c r="F375" s="70" t="s">
        <v>674</v>
      </c>
      <c r="G375" s="71" t="s">
        <v>675</v>
      </c>
      <c r="H375" s="41"/>
      <c r="I375" s="42"/>
      <c r="J375" s="43" t="str">
        <f t="shared" si="1"/>
        <v>ADA</v>
      </c>
      <c r="K375" s="72">
        <v>144.0</v>
      </c>
      <c r="L375" s="53" t="s">
        <v>69</v>
      </c>
      <c r="M375" s="73">
        <v>1000.0</v>
      </c>
      <c r="N375" s="74"/>
      <c r="O375" s="73">
        <v>144000.0</v>
      </c>
      <c r="P375" s="46" t="str">
        <f t="shared" si="2"/>
        <v>Rp1,000-144 PCS-0.00%</v>
      </c>
      <c r="Q375" s="75">
        <v>45409.0</v>
      </c>
      <c r="R375" s="76"/>
      <c r="S375" s="75">
        <v>45419.0</v>
      </c>
      <c r="T375" s="49"/>
    </row>
    <row r="376">
      <c r="A376" s="82">
        <v>4357.0</v>
      </c>
      <c r="B376" s="69" t="s">
        <v>58</v>
      </c>
      <c r="C376" s="70" t="s">
        <v>643</v>
      </c>
      <c r="D376" s="69" t="s">
        <v>676</v>
      </c>
      <c r="E376" s="41" t="str">
        <f>IFERROR(__xludf.DUMMYFUNCTION("vlookup(D376,IMPORTRANGE(""https://docs.google.com/spreadsheets/d/1swGwZOEqYlTEUCJLY-eeJM1911Kvaei5oySBIxdgtNo/edit?pli=1#gid=257618397"",""stock untanna!B:C""),2,false)"),"BP GEL 8807")</f>
        <v>BP GEL 8807</v>
      </c>
      <c r="F376" s="70" t="s">
        <v>676</v>
      </c>
      <c r="G376" s="71" t="s">
        <v>677</v>
      </c>
      <c r="H376" s="41"/>
      <c r="I376" s="42"/>
      <c r="J376" s="43" t="str">
        <f t="shared" si="1"/>
        <v>ADA</v>
      </c>
      <c r="K376" s="72">
        <v>12.0</v>
      </c>
      <c r="L376" s="53" t="s">
        <v>62</v>
      </c>
      <c r="M376" s="73">
        <v>12000.0</v>
      </c>
      <c r="N376" s="74"/>
      <c r="O376" s="73">
        <v>144000.0</v>
      </c>
      <c r="P376" s="46" t="str">
        <f t="shared" si="2"/>
        <v>Rp12,000-12 LSN-0.00%</v>
      </c>
      <c r="Q376" s="75">
        <v>45409.0</v>
      </c>
      <c r="R376" s="76"/>
      <c r="S376" s="75">
        <v>45419.0</v>
      </c>
      <c r="T376" s="49"/>
    </row>
    <row r="377">
      <c r="A377" s="82">
        <v>4357.0</v>
      </c>
      <c r="B377" s="69" t="s">
        <v>58</v>
      </c>
      <c r="C377" s="70" t="s">
        <v>643</v>
      </c>
      <c r="D377" s="69" t="s">
        <v>678</v>
      </c>
      <c r="E377" s="41" t="str">
        <f>IFERROR(__xludf.DUMMYFUNCTION("vlookup(D377,IMPORTRANGE(""https://docs.google.com/spreadsheets/d/1swGwZOEqYlTEUCJLY-eeJM1911Kvaei5oySBIxdgtNo/edit?pli=1#gid=257618397"",""stock untanna!B:C""),2,false)"),"BP GEL 8803")</f>
        <v>BP GEL 8803</v>
      </c>
      <c r="F377" s="70" t="s">
        <v>678</v>
      </c>
      <c r="G377" s="71" t="s">
        <v>679</v>
      </c>
      <c r="H377" s="41"/>
      <c r="I377" s="42"/>
      <c r="J377" s="43" t="str">
        <f t="shared" si="1"/>
        <v>ADA</v>
      </c>
      <c r="K377" s="72">
        <v>144.0</v>
      </c>
      <c r="L377" s="53" t="s">
        <v>69</v>
      </c>
      <c r="M377" s="73">
        <v>1000.0</v>
      </c>
      <c r="N377" s="74"/>
      <c r="O377" s="73">
        <v>144000.0</v>
      </c>
      <c r="P377" s="46" t="str">
        <f t="shared" si="2"/>
        <v>Rp1,000-144 PCS-0.00%</v>
      </c>
      <c r="Q377" s="75">
        <v>45409.0</v>
      </c>
      <c r="R377" s="76"/>
      <c r="S377" s="75">
        <v>45419.0</v>
      </c>
      <c r="T377" s="49"/>
    </row>
    <row r="378">
      <c r="A378" s="82">
        <v>4357.0</v>
      </c>
      <c r="B378" s="69" t="s">
        <v>58</v>
      </c>
      <c r="C378" s="70" t="s">
        <v>643</v>
      </c>
      <c r="D378" s="69" t="s">
        <v>680</v>
      </c>
      <c r="E378" s="41" t="str">
        <f>IFERROR(__xludf.DUMMYFUNCTION("vlookup(D378,IMPORTRANGE(""https://docs.google.com/spreadsheets/d/1swGwZOEqYlTEUCJLY-eeJM1911Kvaei5oySBIxdgtNo/edit?pli=1#gid=257618397"",""stock untanna!B:C""),2,false)"),"BP GEL 6608")</f>
        <v>BP GEL 6608</v>
      </c>
      <c r="F378" s="70" t="s">
        <v>680</v>
      </c>
      <c r="G378" s="71" t="s">
        <v>681</v>
      </c>
      <c r="H378" s="41"/>
      <c r="I378" s="42"/>
      <c r="J378" s="43" t="str">
        <f t="shared" si="1"/>
        <v>ADA</v>
      </c>
      <c r="K378" s="72">
        <v>144.0</v>
      </c>
      <c r="L378" s="53" t="s">
        <v>69</v>
      </c>
      <c r="M378" s="73">
        <v>1000.0</v>
      </c>
      <c r="N378" s="74"/>
      <c r="O378" s="73">
        <v>144000.0</v>
      </c>
      <c r="P378" s="46" t="str">
        <f t="shared" si="2"/>
        <v>Rp1,000-144 PCS-0.00%</v>
      </c>
      <c r="Q378" s="75">
        <v>45409.0</v>
      </c>
      <c r="R378" s="76"/>
      <c r="S378" s="75">
        <v>45419.0</v>
      </c>
      <c r="T378" s="49"/>
    </row>
    <row r="379">
      <c r="A379" s="82">
        <v>4357.0</v>
      </c>
      <c r="B379" s="69" t="s">
        <v>58</v>
      </c>
      <c r="C379" s="70" t="s">
        <v>643</v>
      </c>
      <c r="D379" s="69" t="s">
        <v>682</v>
      </c>
      <c r="E379" s="41" t="str">
        <f>IFERROR(__xludf.DUMMYFUNCTION("vlookup(D379,IMPORTRANGE(""https://docs.google.com/spreadsheets/d/1swGwZOEqYlTEUCJLY-eeJM1911Kvaei5oySBIxdgtNo/edit?pli=1#gid=257618397"",""stock untanna!B:C""),2,false)"),"BP GEL 830")</f>
        <v>BP GEL 830</v>
      </c>
      <c r="F379" s="70" t="s">
        <v>682</v>
      </c>
      <c r="G379" s="71" t="s">
        <v>683</v>
      </c>
      <c r="H379" s="41"/>
      <c r="I379" s="42"/>
      <c r="J379" s="43" t="str">
        <f t="shared" si="1"/>
        <v>ADA</v>
      </c>
      <c r="K379" s="72">
        <v>144.0</v>
      </c>
      <c r="L379" s="53" t="s">
        <v>69</v>
      </c>
      <c r="M379" s="73">
        <v>1000.0</v>
      </c>
      <c r="N379" s="74"/>
      <c r="O379" s="73">
        <v>144000.0</v>
      </c>
      <c r="P379" s="46" t="str">
        <f t="shared" si="2"/>
        <v>Rp1,000-144 PCS-0.00%</v>
      </c>
      <c r="Q379" s="75">
        <v>45409.0</v>
      </c>
      <c r="R379" s="76"/>
      <c r="S379" s="75">
        <v>45419.0</v>
      </c>
      <c r="T379" s="49"/>
    </row>
    <row r="380">
      <c r="A380" s="82">
        <v>4357.0</v>
      </c>
      <c r="B380" s="69" t="s">
        <v>58</v>
      </c>
      <c r="C380" s="70" t="s">
        <v>643</v>
      </c>
      <c r="D380" s="69" t="s">
        <v>151</v>
      </c>
      <c r="E380" s="41" t="str">
        <f>IFERROR(__xludf.DUMMYFUNCTION("vlookup(D380,IMPORTRANGE(""https://docs.google.com/spreadsheets/d/1swGwZOEqYlTEUCJLY-eeJM1911Kvaei5oySBIxdgtNo/edit?pli=1#gid=257618397"",""stock untanna!B:C""),2,false)"),"BP GEL DTIAN 837 ")</f>
        <v>BP GEL DTIAN 837 </v>
      </c>
      <c r="F380" s="70" t="s">
        <v>151</v>
      </c>
      <c r="G380" s="71" t="s">
        <v>152</v>
      </c>
      <c r="H380" s="41"/>
      <c r="I380" s="42"/>
      <c r="J380" s="43" t="str">
        <f t="shared" si="1"/>
        <v>ADA</v>
      </c>
      <c r="K380" s="72">
        <v>12.0</v>
      </c>
      <c r="L380" s="53" t="s">
        <v>62</v>
      </c>
      <c r="M380" s="73">
        <v>12000.0</v>
      </c>
      <c r="N380" s="74"/>
      <c r="O380" s="73">
        <v>144000.0</v>
      </c>
      <c r="P380" s="46" t="str">
        <f t="shared" si="2"/>
        <v>Rp12,000-12 LSN-0.00%</v>
      </c>
      <c r="Q380" s="75">
        <v>45409.0</v>
      </c>
      <c r="R380" s="76"/>
      <c r="S380" s="75">
        <v>45419.0</v>
      </c>
      <c r="T380" s="49"/>
    </row>
    <row r="381">
      <c r="A381" s="82">
        <v>4357.0</v>
      </c>
      <c r="B381" s="69" t="s">
        <v>58</v>
      </c>
      <c r="C381" s="70" t="s">
        <v>643</v>
      </c>
      <c r="D381" s="69" t="s">
        <v>684</v>
      </c>
      <c r="E381" s="41" t="str">
        <f>IFERROR(__xludf.DUMMYFUNCTION("vlookup(D381,IMPORTRANGE(""https://docs.google.com/spreadsheets/d/1swGwZOEqYlTEUCJLY-eeJM1911Kvaei5oySBIxdgtNo/edit?pli=1#gid=257618397"",""stock untanna!B:C""),2,false)"),"BP GEL 925")</f>
        <v>BP GEL 925</v>
      </c>
      <c r="F381" s="70" t="s">
        <v>684</v>
      </c>
      <c r="G381" s="71" t="s">
        <v>685</v>
      </c>
      <c r="H381" s="41"/>
      <c r="I381" s="42"/>
      <c r="J381" s="43" t="str">
        <f t="shared" si="1"/>
        <v>ADA</v>
      </c>
      <c r="K381" s="72">
        <v>144.0</v>
      </c>
      <c r="L381" s="53" t="s">
        <v>69</v>
      </c>
      <c r="M381" s="73">
        <v>1000.0</v>
      </c>
      <c r="N381" s="74"/>
      <c r="O381" s="73">
        <v>144000.0</v>
      </c>
      <c r="P381" s="46" t="str">
        <f t="shared" si="2"/>
        <v>Rp1,000-144 PCS-0.00%</v>
      </c>
      <c r="Q381" s="75">
        <v>45409.0</v>
      </c>
      <c r="R381" s="76"/>
      <c r="S381" s="75">
        <v>45419.0</v>
      </c>
      <c r="T381" s="49"/>
    </row>
    <row r="382">
      <c r="A382" s="82">
        <v>4357.0</v>
      </c>
      <c r="B382" s="69" t="s">
        <v>58</v>
      </c>
      <c r="C382" s="70" t="s">
        <v>643</v>
      </c>
      <c r="D382" s="69" t="s">
        <v>145</v>
      </c>
      <c r="E382" s="41" t="str">
        <f>IFERROR(__xludf.DUMMYFUNCTION("vlookup(D382,IMPORTRANGE(""https://docs.google.com/spreadsheets/d/1swGwZOEqYlTEUCJLY-eeJM1911Kvaei5oySBIxdgtNo/edit?pli=1#gid=257618397"",""stock untanna!B:C""),2,false)"),"BP GEL DTIAN BIASA 6605")</f>
        <v>BP GEL DTIAN BIASA 6605</v>
      </c>
      <c r="F382" s="70" t="s">
        <v>145</v>
      </c>
      <c r="G382" s="71" t="s">
        <v>146</v>
      </c>
      <c r="H382" s="41"/>
      <c r="I382" s="42"/>
      <c r="J382" s="43" t="str">
        <f t="shared" si="1"/>
        <v>ADA</v>
      </c>
      <c r="K382" s="72">
        <v>12.0</v>
      </c>
      <c r="L382" s="53" t="s">
        <v>62</v>
      </c>
      <c r="M382" s="73">
        <v>12000.0</v>
      </c>
      <c r="N382" s="74"/>
      <c r="O382" s="73">
        <v>144000.0</v>
      </c>
      <c r="P382" s="46" t="str">
        <f t="shared" si="2"/>
        <v>Rp12,000-12 LSN-0.00%</v>
      </c>
      <c r="Q382" s="75">
        <v>45409.0</v>
      </c>
      <c r="R382" s="76"/>
      <c r="S382" s="75">
        <v>45419.0</v>
      </c>
      <c r="T382" s="49"/>
    </row>
    <row r="383">
      <c r="A383" s="82">
        <v>4357.0</v>
      </c>
      <c r="B383" s="69" t="s">
        <v>58</v>
      </c>
      <c r="C383" s="70" t="s">
        <v>643</v>
      </c>
      <c r="D383" s="69" t="s">
        <v>434</v>
      </c>
      <c r="E383" s="41" t="str">
        <f>IFERROR(__xludf.DUMMYFUNCTION("vlookup(D383,IMPORTRANGE(""https://docs.google.com/spreadsheets/d/1swGwZOEqYlTEUCJLY-eeJM1911Kvaei5oySBIxdgtNo/edit?pli=1#gid=257618397"",""stock untanna!B:C""),2,false)"),"BP GEL DTIAN 8801")</f>
        <v>BP GEL DTIAN 8801</v>
      </c>
      <c r="F383" s="70" t="s">
        <v>434</v>
      </c>
      <c r="G383" s="71" t="s">
        <v>435</v>
      </c>
      <c r="H383" s="41"/>
      <c r="I383" s="42"/>
      <c r="J383" s="43" t="str">
        <f t="shared" si="1"/>
        <v>ADA</v>
      </c>
      <c r="K383" s="72">
        <v>12.0</v>
      </c>
      <c r="L383" s="53" t="s">
        <v>62</v>
      </c>
      <c r="M383" s="73">
        <v>12000.0</v>
      </c>
      <c r="N383" s="74"/>
      <c r="O383" s="73">
        <v>144000.0</v>
      </c>
      <c r="P383" s="46" t="str">
        <f t="shared" si="2"/>
        <v>Rp12,000-12 LSN-0.00%</v>
      </c>
      <c r="Q383" s="75">
        <v>45409.0</v>
      </c>
      <c r="R383" s="76"/>
      <c r="S383" s="75">
        <v>45419.0</v>
      </c>
      <c r="T383" s="49"/>
    </row>
    <row r="384">
      <c r="A384" s="82">
        <v>4357.0</v>
      </c>
      <c r="B384" s="69" t="s">
        <v>58</v>
      </c>
      <c r="C384" s="70" t="s">
        <v>643</v>
      </c>
      <c r="D384" s="69" t="s">
        <v>686</v>
      </c>
      <c r="E384" s="41" t="str">
        <f>IFERROR(__xludf.DUMMYFUNCTION("vlookup(D384,IMPORTRANGE(""https://docs.google.com/spreadsheets/d/1swGwZOEqYlTEUCJLY-eeJM1911Kvaei5oySBIxdgtNo/edit?pli=1#gid=257618397"",""stock untanna!B:C""),2,false)"),"BP GEL DTIAN BIASA 9908")</f>
        <v>BP GEL DTIAN BIASA 9908</v>
      </c>
      <c r="F384" s="70" t="s">
        <v>686</v>
      </c>
      <c r="G384" s="71" t="s">
        <v>687</v>
      </c>
      <c r="H384" s="41"/>
      <c r="I384" s="42"/>
      <c r="J384" s="43" t="str">
        <f t="shared" si="1"/>
        <v>ADA</v>
      </c>
      <c r="K384" s="72">
        <v>12.0</v>
      </c>
      <c r="L384" s="53" t="s">
        <v>62</v>
      </c>
      <c r="M384" s="73">
        <v>12000.0</v>
      </c>
      <c r="N384" s="74"/>
      <c r="O384" s="73">
        <v>144000.0</v>
      </c>
      <c r="P384" s="46" t="str">
        <f t="shared" si="2"/>
        <v>Rp12,000-12 LSN-0.00%</v>
      </c>
      <c r="Q384" s="75">
        <v>45409.0</v>
      </c>
      <c r="R384" s="76"/>
      <c r="S384" s="75">
        <v>45419.0</v>
      </c>
      <c r="T384" s="49"/>
    </row>
    <row r="385">
      <c r="A385" s="82">
        <v>4354.0</v>
      </c>
      <c r="B385" s="69" t="s">
        <v>58</v>
      </c>
      <c r="C385" s="70" t="s">
        <v>688</v>
      </c>
      <c r="D385" s="69" t="s">
        <v>623</v>
      </c>
      <c r="E385" s="41" t="str">
        <f>IFERROR(__xludf.DUMMYFUNCTION("vlookup(D385,IMPORTRANGE(""https://docs.google.com/spreadsheets/d/1swGwZOEqYlTEUCJLY-eeJM1911Kvaei5oySBIxdgtNo/edit?pli=1#gid=257618397"",""stock untanna!B:C""),2,false)"),"BP GEL TF-1190 0.3MM HIGHTECH (H)")</f>
        <v>BP GEL TF-1190 0.3MM HIGHTECH (H)</v>
      </c>
      <c r="F385" s="70" t="s">
        <v>623</v>
      </c>
      <c r="G385" s="71" t="s">
        <v>624</v>
      </c>
      <c r="H385" s="41"/>
      <c r="I385" s="42"/>
      <c r="J385" s="43" t="str">
        <f t="shared" si="1"/>
        <v>ADA</v>
      </c>
      <c r="K385" s="72">
        <v>144.0</v>
      </c>
      <c r="L385" s="53" t="s">
        <v>62</v>
      </c>
      <c r="M385" s="73">
        <v>29000.0</v>
      </c>
      <c r="N385" s="74"/>
      <c r="O385" s="73">
        <v>4176000.0</v>
      </c>
      <c r="P385" s="46" t="str">
        <f t="shared" si="2"/>
        <v>Rp29,000-144 LSN-0.00%</v>
      </c>
      <c r="Q385" s="75">
        <v>45411.0</v>
      </c>
      <c r="R385" s="75">
        <v>45409.0</v>
      </c>
      <c r="S385" s="75">
        <v>45419.0</v>
      </c>
      <c r="T385" s="49"/>
    </row>
    <row r="386">
      <c r="A386" s="82">
        <v>4355.0</v>
      </c>
      <c r="B386" s="69" t="s">
        <v>58</v>
      </c>
      <c r="C386" s="70" t="s">
        <v>689</v>
      </c>
      <c r="D386" s="69" t="s">
        <v>690</v>
      </c>
      <c r="E386" s="41" t="str">
        <f>IFERROR(__xludf.DUMMYFUNCTION("vlookup(D386,IMPORTRANGE(""https://docs.google.com/spreadsheets/d/1swGwZOEqYlTEUCJLY-eeJM1911Kvaei5oySBIxdgtNo/edit?pli=1#gid=257618397"",""stock untanna!B:C""),2,false)"),"CLIPBOARD ACRYLIC TF-016")</f>
        <v>CLIPBOARD ACRYLIC TF-016</v>
      </c>
      <c r="F386" s="70" t="s">
        <v>690</v>
      </c>
      <c r="G386" s="71" t="s">
        <v>691</v>
      </c>
      <c r="H386" s="41"/>
      <c r="I386" s="42"/>
      <c r="J386" s="43" t="str">
        <f t="shared" si="1"/>
        <v>ADA</v>
      </c>
      <c r="K386" s="72">
        <v>12.0</v>
      </c>
      <c r="L386" s="53" t="s">
        <v>69</v>
      </c>
      <c r="M386" s="73">
        <v>17500.0</v>
      </c>
      <c r="N386" s="74"/>
      <c r="O386" s="73">
        <v>210000.0</v>
      </c>
      <c r="P386" s="46" t="str">
        <f t="shared" si="2"/>
        <v>Rp17,500-12 PCS-0.00%</v>
      </c>
      <c r="Q386" s="75">
        <v>45409.0</v>
      </c>
      <c r="R386" s="76"/>
      <c r="S386" s="75">
        <v>45419.0</v>
      </c>
      <c r="T386" s="49"/>
    </row>
    <row r="387">
      <c r="A387" s="82">
        <v>4355.0</v>
      </c>
      <c r="B387" s="69" t="s">
        <v>58</v>
      </c>
      <c r="C387" s="70" t="s">
        <v>689</v>
      </c>
      <c r="D387" s="69" t="s">
        <v>692</v>
      </c>
      <c r="E387" s="41" t="str">
        <f>IFERROR(__xludf.DUMMYFUNCTION("vlookup(D387,IMPORTRANGE(""https://docs.google.com/spreadsheets/d/1swGwZOEqYlTEUCJLY-eeJM1911Kvaei5oySBIxdgtNo/edit?pli=1#gid=257618397"",""stock untanna!B:C""),2,false)"),"CLIPBOARD ACRYLIC TF-013")</f>
        <v>CLIPBOARD ACRYLIC TF-013</v>
      </c>
      <c r="F387" s="70" t="s">
        <v>692</v>
      </c>
      <c r="G387" s="71" t="s">
        <v>693</v>
      </c>
      <c r="H387" s="41"/>
      <c r="I387" s="42"/>
      <c r="J387" s="43" t="str">
        <f t="shared" si="1"/>
        <v>ADA</v>
      </c>
      <c r="K387" s="72">
        <v>12.0</v>
      </c>
      <c r="L387" s="53" t="s">
        <v>69</v>
      </c>
      <c r="M387" s="73">
        <v>17500.0</v>
      </c>
      <c r="N387" s="74"/>
      <c r="O387" s="73">
        <v>210000.0</v>
      </c>
      <c r="P387" s="46" t="str">
        <f t="shared" si="2"/>
        <v>Rp17,500-12 PCS-0.00%</v>
      </c>
      <c r="Q387" s="75">
        <v>45409.0</v>
      </c>
      <c r="R387" s="76"/>
      <c r="S387" s="75">
        <v>45419.0</v>
      </c>
      <c r="T387" s="49"/>
    </row>
    <row r="388">
      <c r="A388" s="82">
        <v>4355.0</v>
      </c>
      <c r="B388" s="69" t="s">
        <v>58</v>
      </c>
      <c r="C388" s="70" t="s">
        <v>689</v>
      </c>
      <c r="D388" s="69" t="s">
        <v>694</v>
      </c>
      <c r="E388" s="41" t="str">
        <f>IFERROR(__xludf.DUMMYFUNCTION("vlookup(D388,IMPORTRANGE(""https://docs.google.com/spreadsheets/d/1swGwZOEqYlTEUCJLY-eeJM1911Kvaei5oySBIxdgtNo/edit?pli=1#gid=257618397"",""stock untanna!B:C""),2,false)"),"CLIPBOARD ACRYLIC TF-012")</f>
        <v>CLIPBOARD ACRYLIC TF-012</v>
      </c>
      <c r="F388" s="70" t="s">
        <v>694</v>
      </c>
      <c r="G388" s="71" t="s">
        <v>695</v>
      </c>
      <c r="H388" s="41"/>
      <c r="I388" s="42"/>
      <c r="J388" s="43" t="str">
        <f t="shared" si="1"/>
        <v>ADA</v>
      </c>
      <c r="K388" s="72">
        <v>12.0</v>
      </c>
      <c r="L388" s="53" t="s">
        <v>69</v>
      </c>
      <c r="M388" s="73">
        <v>17500.0</v>
      </c>
      <c r="N388" s="74"/>
      <c r="O388" s="73">
        <v>210000.0</v>
      </c>
      <c r="P388" s="46" t="str">
        <f t="shared" si="2"/>
        <v>Rp17,500-12 PCS-0.00%</v>
      </c>
      <c r="Q388" s="75">
        <v>45409.0</v>
      </c>
      <c r="R388" s="76"/>
      <c r="S388" s="75">
        <v>45419.0</v>
      </c>
      <c r="T388" s="49"/>
    </row>
    <row r="389">
      <c r="A389" s="82">
        <v>4355.0</v>
      </c>
      <c r="B389" s="69" t="s">
        <v>58</v>
      </c>
      <c r="C389" s="70" t="s">
        <v>689</v>
      </c>
      <c r="D389" s="69" t="s">
        <v>696</v>
      </c>
      <c r="E389" s="41" t="str">
        <f>IFERROR(__xludf.DUMMYFUNCTION("vlookup(D389,IMPORTRANGE(""https://docs.google.com/spreadsheets/d/1swGwZOEqYlTEUCJLY-eeJM1911Kvaei5oySBIxdgtNo/edit?pli=1#gid=257618397"",""stock untanna!B:C""),2,false)"),"CLIPBOARD ACRYLIC TF-015")</f>
        <v>CLIPBOARD ACRYLIC TF-015</v>
      </c>
      <c r="F389" s="70" t="s">
        <v>696</v>
      </c>
      <c r="G389" s="71" t="s">
        <v>697</v>
      </c>
      <c r="H389" s="41"/>
      <c r="I389" s="42"/>
      <c r="J389" s="43" t="str">
        <f t="shared" si="1"/>
        <v>ADA</v>
      </c>
      <c r="K389" s="72">
        <v>12.0</v>
      </c>
      <c r="L389" s="53" t="s">
        <v>69</v>
      </c>
      <c r="M389" s="73">
        <v>17500.0</v>
      </c>
      <c r="N389" s="74"/>
      <c r="O389" s="73">
        <v>210000.0</v>
      </c>
      <c r="P389" s="46" t="str">
        <f t="shared" si="2"/>
        <v>Rp17,500-12 PCS-0.00%</v>
      </c>
      <c r="Q389" s="75">
        <v>45409.0</v>
      </c>
      <c r="R389" s="76"/>
      <c r="S389" s="75">
        <v>45419.0</v>
      </c>
      <c r="T389" s="49"/>
    </row>
    <row r="390">
      <c r="A390" s="82">
        <v>4355.0</v>
      </c>
      <c r="B390" s="69" t="s">
        <v>58</v>
      </c>
      <c r="C390" s="70" t="s">
        <v>689</v>
      </c>
      <c r="D390" s="69" t="s">
        <v>698</v>
      </c>
      <c r="E390" s="41" t="str">
        <f>IFERROR(__xludf.DUMMYFUNCTION("vlookup(D390,IMPORTRANGE(""https://docs.google.com/spreadsheets/d/1swGwZOEqYlTEUCJLY-eeJM1911Kvaei5oySBIxdgtNo/edit?pli=1#gid=257618397"",""stock untanna!B:C""),2,false)"),"BP GEL TIZO 1.0 TG630-A")</f>
        <v>BP GEL TIZO 1.0 TG630-A</v>
      </c>
      <c r="F390" s="70" t="s">
        <v>698</v>
      </c>
      <c r="G390" s="71" t="s">
        <v>699</v>
      </c>
      <c r="H390" s="41"/>
      <c r="I390" s="42"/>
      <c r="J390" s="43" t="str">
        <f t="shared" si="1"/>
        <v>ADA</v>
      </c>
      <c r="K390" s="72">
        <v>2.0</v>
      </c>
      <c r="L390" s="53" t="s">
        <v>62</v>
      </c>
      <c r="M390" s="73">
        <v>50000.0</v>
      </c>
      <c r="N390" s="74"/>
      <c r="O390" s="73">
        <v>100000.0</v>
      </c>
      <c r="P390" s="46" t="str">
        <f t="shared" si="2"/>
        <v>Rp50,000-2 LSN-0.00%</v>
      </c>
      <c r="Q390" s="75">
        <v>45409.0</v>
      </c>
      <c r="R390" s="76"/>
      <c r="S390" s="75">
        <v>45419.0</v>
      </c>
      <c r="T390" s="49"/>
    </row>
    <row r="391">
      <c r="A391" s="82">
        <v>4355.0</v>
      </c>
      <c r="B391" s="69" t="s">
        <v>58</v>
      </c>
      <c r="C391" s="70" t="s">
        <v>689</v>
      </c>
      <c r="D391" s="69" t="s">
        <v>664</v>
      </c>
      <c r="E391" s="41" t="str">
        <f>IFERROR(__xludf.DUMMYFUNCTION("vlookup(D391,IMPORTRANGE(""https://docs.google.com/spreadsheets/d/1swGwZOEqYlTEUCJLY-eeJM1911Kvaei5oySBIxdgtNo/edit?pli=1#gid=257618397"",""stock untanna!B:C""),2,false)"),"BP GEL 6603")</f>
        <v>BP GEL 6603</v>
      </c>
      <c r="F391" s="70" t="s">
        <v>664</v>
      </c>
      <c r="G391" s="71" t="s">
        <v>665</v>
      </c>
      <c r="H391" s="41"/>
      <c r="I391" s="42"/>
      <c r="J391" s="43" t="str">
        <f t="shared" si="1"/>
        <v>ADA</v>
      </c>
      <c r="K391" s="72">
        <v>72.0</v>
      </c>
      <c r="L391" s="53" t="s">
        <v>69</v>
      </c>
      <c r="M391" s="73">
        <v>1083.0</v>
      </c>
      <c r="N391" s="74"/>
      <c r="O391" s="73">
        <v>77976.0</v>
      </c>
      <c r="P391" s="46" t="str">
        <f t="shared" si="2"/>
        <v>Rp1,083-72 PCS-0.00%</v>
      </c>
      <c r="Q391" s="75">
        <v>45409.0</v>
      </c>
      <c r="R391" s="76"/>
      <c r="S391" s="75">
        <v>45419.0</v>
      </c>
      <c r="T391" s="49"/>
    </row>
    <row r="392">
      <c r="A392" s="82">
        <v>4355.0</v>
      </c>
      <c r="B392" s="69" t="s">
        <v>58</v>
      </c>
      <c r="C392" s="70" t="s">
        <v>689</v>
      </c>
      <c r="D392" s="69" t="s">
        <v>680</v>
      </c>
      <c r="E392" s="41" t="str">
        <f>IFERROR(__xludf.DUMMYFUNCTION("vlookup(D392,IMPORTRANGE(""https://docs.google.com/spreadsheets/d/1swGwZOEqYlTEUCJLY-eeJM1911Kvaei5oySBIxdgtNo/edit?pli=1#gid=257618397"",""stock untanna!B:C""),2,false)"),"BP GEL 6608")</f>
        <v>BP GEL 6608</v>
      </c>
      <c r="F392" s="70" t="s">
        <v>680</v>
      </c>
      <c r="G392" s="71" t="s">
        <v>681</v>
      </c>
      <c r="H392" s="41"/>
      <c r="I392" s="42"/>
      <c r="J392" s="43" t="str">
        <f t="shared" si="1"/>
        <v>ADA</v>
      </c>
      <c r="K392" s="72">
        <v>72.0</v>
      </c>
      <c r="L392" s="53" t="s">
        <v>69</v>
      </c>
      <c r="M392" s="73">
        <v>1083.0</v>
      </c>
      <c r="N392" s="74"/>
      <c r="O392" s="73">
        <v>77976.0</v>
      </c>
      <c r="P392" s="46" t="str">
        <f t="shared" si="2"/>
        <v>Rp1,083-72 PCS-0.00%</v>
      </c>
      <c r="Q392" s="75">
        <v>45409.0</v>
      </c>
      <c r="R392" s="76"/>
      <c r="S392" s="75">
        <v>45419.0</v>
      </c>
      <c r="T392" s="49"/>
    </row>
    <row r="393">
      <c r="A393" s="82">
        <v>4355.0</v>
      </c>
      <c r="B393" s="69" t="s">
        <v>58</v>
      </c>
      <c r="C393" s="70" t="s">
        <v>689</v>
      </c>
      <c r="D393" s="69" t="s">
        <v>700</v>
      </c>
      <c r="E393" s="41" t="str">
        <f>IFERROR(__xludf.DUMMYFUNCTION("vlookup(D393,IMPORTRANGE(""https://docs.google.com/spreadsheets/d/1swGwZOEqYlTEUCJLY-eeJM1911Kvaei5oySBIxdgtNo/edit?pli=1#gid=257618397"",""stock untanna!B:C""),2,false)"),"BP TIZO KLIK TG 3300")</f>
        <v>BP TIZO KLIK TG 3300</v>
      </c>
      <c r="F393" s="70" t="s">
        <v>700</v>
      </c>
      <c r="G393" s="71" t="s">
        <v>701</v>
      </c>
      <c r="H393" s="41"/>
      <c r="I393" s="42"/>
      <c r="J393" s="43" t="str">
        <f t="shared" si="1"/>
        <v>ADA</v>
      </c>
      <c r="K393" s="72">
        <v>6.0</v>
      </c>
      <c r="L393" s="53" t="s">
        <v>62</v>
      </c>
      <c r="M393" s="73">
        <v>27500.0</v>
      </c>
      <c r="N393" s="74"/>
      <c r="O393" s="73">
        <v>165000.0</v>
      </c>
      <c r="P393" s="46" t="str">
        <f t="shared" si="2"/>
        <v>Rp27,500-6 LSN-0.00%</v>
      </c>
      <c r="Q393" s="75">
        <v>45409.0</v>
      </c>
      <c r="R393" s="76"/>
      <c r="S393" s="75">
        <v>45419.0</v>
      </c>
      <c r="T393" s="49"/>
    </row>
    <row r="394">
      <c r="A394" s="82">
        <v>4200.0</v>
      </c>
      <c r="B394" s="69" t="s">
        <v>58</v>
      </c>
      <c r="C394" s="79" t="s">
        <v>702</v>
      </c>
      <c r="D394" s="69" t="s">
        <v>703</v>
      </c>
      <c r="E394" s="41" t="str">
        <f>IFERROR(__xludf.DUMMYFUNCTION("vlookup(D394,IMPORTRANGE(""https://docs.google.com/spreadsheets/d/1swGwZOEqYlTEUCJLY-eeJM1911Kvaei5oySBIxdgtNo/edit?pli=1#gid=257618397"",""stock untanna!B:C""),2,false)"),"MAP L SIKA AC-105 PUTIH")</f>
        <v>MAP L SIKA AC-105 PUTIH</v>
      </c>
      <c r="F394" s="70" t="s">
        <v>703</v>
      </c>
      <c r="G394" s="71" t="s">
        <v>704</v>
      </c>
      <c r="H394" s="41"/>
      <c r="I394" s="42"/>
      <c r="J394" s="43" t="str">
        <f t="shared" si="1"/>
        <v>ADA</v>
      </c>
      <c r="K394" s="72">
        <v>24.0</v>
      </c>
      <c r="L394" s="53" t="s">
        <v>62</v>
      </c>
      <c r="M394" s="73">
        <v>10500.0</v>
      </c>
      <c r="N394" s="74"/>
      <c r="O394" s="73">
        <v>252000.0</v>
      </c>
      <c r="P394" s="46" t="str">
        <f t="shared" si="2"/>
        <v>Rp10,500-24 LSN-0.00%</v>
      </c>
      <c r="Q394" s="75">
        <v>45409.0</v>
      </c>
      <c r="R394" s="76"/>
      <c r="S394" s="75">
        <v>45419.0</v>
      </c>
      <c r="T394" s="49"/>
    </row>
    <row r="395">
      <c r="A395" s="82">
        <v>4200.0</v>
      </c>
      <c r="B395" s="69" t="s">
        <v>58</v>
      </c>
      <c r="C395" s="79" t="s">
        <v>702</v>
      </c>
      <c r="D395" s="69" t="s">
        <v>705</v>
      </c>
      <c r="E395" s="41" t="str">
        <f>IFERROR(__xludf.DUMMYFUNCTION("vlookup(D395,IMPORTRANGE(""https://docs.google.com/spreadsheets/d/1swGwZOEqYlTEUCJLY-eeJM1911Kvaei5oySBIxdgtNo/edit?pli=1#gid=257618397"",""stock untanna!B:C""),2,false)"),"MAP KANCING SIKA AC-05 PUTIH")</f>
        <v>MAP KANCING SIKA AC-05 PUTIH</v>
      </c>
      <c r="F395" s="70" t="s">
        <v>705</v>
      </c>
      <c r="G395" s="71" t="s">
        <v>706</v>
      </c>
      <c r="H395" s="41"/>
      <c r="I395" s="42"/>
      <c r="J395" s="43" t="str">
        <f t="shared" si="1"/>
        <v>ADA</v>
      </c>
      <c r="K395" s="72">
        <v>24.0</v>
      </c>
      <c r="L395" s="53" t="s">
        <v>62</v>
      </c>
      <c r="M395" s="73">
        <v>20000.0</v>
      </c>
      <c r="N395" s="74"/>
      <c r="O395" s="73">
        <v>480000.0</v>
      </c>
      <c r="P395" s="46" t="str">
        <f t="shared" si="2"/>
        <v>Rp20,000-24 LSN-0.00%</v>
      </c>
      <c r="Q395" s="75">
        <v>45409.0</v>
      </c>
      <c r="R395" s="76"/>
      <c r="S395" s="75">
        <v>45419.0</v>
      </c>
      <c r="T395" s="49"/>
    </row>
    <row r="396">
      <c r="A396" s="82">
        <v>4041.0</v>
      </c>
      <c r="B396" s="69" t="s">
        <v>65</v>
      </c>
      <c r="C396" s="70" t="s">
        <v>707</v>
      </c>
      <c r="D396" s="69" t="s">
        <v>31</v>
      </c>
      <c r="E396" s="41" t="str">
        <f>IFERROR(__xludf.DUMMYFUNCTION("vlookup(D396,IMPORTRANGE(""https://docs.google.com/spreadsheets/d/1swGwZOEqYlTEUCJLY-eeJM1911Kvaei5oySBIxdgtNo/edit?pli=1#gid=257618397"",""stock untanna!B:C""),2,false)"),"ISI STAPLER 13/8 JOSS")</f>
        <v>ISI STAPLER 13/8 JOSS</v>
      </c>
      <c r="F396" s="70" t="s">
        <v>31</v>
      </c>
      <c r="G396" s="71" t="s">
        <v>113</v>
      </c>
      <c r="H396" s="41"/>
      <c r="I396" s="42"/>
      <c r="J396" s="43" t="str">
        <f t="shared" si="1"/>
        <v>ADA</v>
      </c>
      <c r="K396" s="72">
        <v>100.0</v>
      </c>
      <c r="L396" s="53" t="s">
        <v>114</v>
      </c>
      <c r="M396" s="73">
        <v>18500.0</v>
      </c>
      <c r="N396" s="74"/>
      <c r="O396" s="73">
        <v>1850000.0</v>
      </c>
      <c r="P396" s="46" t="str">
        <f t="shared" si="2"/>
        <v>Rp18,500-100 PAK-0.00%</v>
      </c>
      <c r="Q396" s="75">
        <v>45409.0</v>
      </c>
      <c r="R396" s="76"/>
      <c r="S396" s="75">
        <v>45419.0</v>
      </c>
      <c r="T396" s="49"/>
    </row>
    <row r="397">
      <c r="A397" s="82">
        <v>4041.0</v>
      </c>
      <c r="B397" s="69" t="s">
        <v>65</v>
      </c>
      <c r="C397" s="70" t="s">
        <v>707</v>
      </c>
      <c r="D397" s="69" t="s">
        <v>93</v>
      </c>
      <c r="E397" s="41" t="str">
        <f>IFERROR(__xludf.DUMMYFUNCTION("vlookup(D397,IMPORTRANGE(""https://docs.google.com/spreadsheets/d/1swGwZOEqYlTEUCJLY-eeJM1911Kvaei5oySBIxdgtNo/edit?pli=1#gid=257618397"",""stock untanna!B:C""),2,false)"),"CLIPBOARD SQ KAYU KOTAK")</f>
        <v>CLIPBOARD SQ KAYU KOTAK</v>
      </c>
      <c r="F397" s="70" t="s">
        <v>93</v>
      </c>
      <c r="G397" s="84" t="s">
        <v>94</v>
      </c>
      <c r="H397" s="41"/>
      <c r="I397" s="42"/>
      <c r="J397" s="43" t="str">
        <f t="shared" si="1"/>
        <v>ADA</v>
      </c>
      <c r="K397" s="72">
        <v>144.0</v>
      </c>
      <c r="L397" s="53" t="s">
        <v>69</v>
      </c>
      <c r="M397" s="73">
        <v>3125.0</v>
      </c>
      <c r="N397" s="74"/>
      <c r="O397" s="73">
        <v>450000.0</v>
      </c>
      <c r="P397" s="46" t="str">
        <f t="shared" si="2"/>
        <v>Rp3,125-144 PCS-0.00%</v>
      </c>
      <c r="Q397" s="75">
        <v>45409.0</v>
      </c>
      <c r="R397" s="76"/>
      <c r="S397" s="75">
        <v>45419.0</v>
      </c>
      <c r="T397" s="49"/>
    </row>
    <row r="398">
      <c r="A398" s="82">
        <v>4358.0</v>
      </c>
      <c r="B398" s="69" t="s">
        <v>58</v>
      </c>
      <c r="C398" s="70" t="s">
        <v>103</v>
      </c>
      <c r="D398" s="69"/>
      <c r="E398" s="41" t="s">
        <v>708</v>
      </c>
      <c r="F398" s="70"/>
      <c r="G398" s="78" t="s">
        <v>708</v>
      </c>
      <c r="H398" s="41"/>
      <c r="I398" s="42"/>
      <c r="J398" s="43" t="str">
        <f t="shared" si="1"/>
        <v>TIDAK ADA</v>
      </c>
      <c r="K398" s="72">
        <v>10.0</v>
      </c>
      <c r="L398" s="53" t="s">
        <v>62</v>
      </c>
      <c r="M398" s="73">
        <v>20000.0</v>
      </c>
      <c r="N398" s="74"/>
      <c r="O398" s="73">
        <v>200000.0</v>
      </c>
      <c r="P398" s="46" t="str">
        <f t="shared" si="2"/>
        <v>Rp20,000-10 LSN-0.00%</v>
      </c>
      <c r="Q398" s="75">
        <v>45409.0</v>
      </c>
      <c r="R398" s="76"/>
      <c r="S398" s="75">
        <v>45419.0</v>
      </c>
      <c r="T398" s="80" t="s">
        <v>280</v>
      </c>
    </row>
    <row r="399">
      <c r="A399" s="82">
        <v>4358.0</v>
      </c>
      <c r="B399" s="69" t="s">
        <v>58</v>
      </c>
      <c r="C399" s="70" t="s">
        <v>103</v>
      </c>
      <c r="D399" s="50" t="s">
        <v>709</v>
      </c>
      <c r="E399" s="41" t="str">
        <f>IFERROR(__xludf.DUMMYFUNCTION("IFNA(vlookup(D399,IMPORTRANGE(""https://docs.google.com/spreadsheets/d/1swGwZOEqYlTEUCJLY-eeJM1911Kvaei5oySBIxdgtNo/edit?pli=1#gid=257618397"",""stock untanna!B:C""),2,false),V:V)"),"PC MAGNIT AZ 3300")</f>
        <v>PC MAGNIT AZ 3300</v>
      </c>
      <c r="F399" s="70"/>
      <c r="G399" s="71" t="s">
        <v>710</v>
      </c>
      <c r="H399" s="41"/>
      <c r="I399" s="42"/>
      <c r="J399" s="43" t="str">
        <f t="shared" si="1"/>
        <v>ADA</v>
      </c>
      <c r="K399" s="72">
        <v>3.0</v>
      </c>
      <c r="L399" s="53" t="s">
        <v>62</v>
      </c>
      <c r="M399" s="73">
        <v>186000.0</v>
      </c>
      <c r="N399" s="74"/>
      <c r="O399" s="73">
        <v>558000.0</v>
      </c>
      <c r="P399" s="46" t="str">
        <f t="shared" si="2"/>
        <v>Rp186,000-3 LSN-0.00%</v>
      </c>
      <c r="Q399" s="75">
        <v>45409.0</v>
      </c>
      <c r="R399" s="76"/>
      <c r="S399" s="75">
        <v>45419.0</v>
      </c>
      <c r="T399" s="80" t="s">
        <v>280</v>
      </c>
    </row>
    <row r="400">
      <c r="A400" s="82">
        <v>4358.0</v>
      </c>
      <c r="B400" s="69" t="s">
        <v>58</v>
      </c>
      <c r="C400" s="70" t="s">
        <v>103</v>
      </c>
      <c r="D400" s="50" t="s">
        <v>711</v>
      </c>
      <c r="E400" s="41" t="str">
        <f>IFERROR(__xludf.DUMMYFUNCTION("IFNA(vlookup(D400,IMPORTRANGE(""https://docs.google.com/spreadsheets/d/1swGwZOEqYlTEUCJLY-eeJM1911Kvaei5oySBIxdgtNo/edit?pli=1#gid=257618397"",""stock untanna!B:C""),2,false),V:V)"),"PC MAGNIT 1151")</f>
        <v>PC MAGNIT 1151</v>
      </c>
      <c r="F400" s="70"/>
      <c r="G400" s="71" t="s">
        <v>712</v>
      </c>
      <c r="H400" s="41"/>
      <c r="I400" s="42"/>
      <c r="J400" s="43" t="str">
        <f t="shared" si="1"/>
        <v>ADA</v>
      </c>
      <c r="K400" s="72">
        <v>3.0</v>
      </c>
      <c r="L400" s="53" t="s">
        <v>62</v>
      </c>
      <c r="M400" s="73">
        <v>150000.0</v>
      </c>
      <c r="N400" s="74"/>
      <c r="O400" s="73">
        <v>450000.0</v>
      </c>
      <c r="P400" s="46" t="str">
        <f t="shared" si="2"/>
        <v>Rp150,000-3 LSN-0.00%</v>
      </c>
      <c r="Q400" s="75">
        <v>45409.0</v>
      </c>
      <c r="R400" s="76"/>
      <c r="S400" s="75">
        <v>45419.0</v>
      </c>
      <c r="T400" s="80" t="s">
        <v>280</v>
      </c>
    </row>
    <row r="401">
      <c r="A401" s="82">
        <v>4358.0</v>
      </c>
      <c r="B401" s="69" t="s">
        <v>58</v>
      </c>
      <c r="C401" s="70" t="s">
        <v>103</v>
      </c>
      <c r="D401" s="50" t="s">
        <v>713</v>
      </c>
      <c r="E401" s="41" t="str">
        <f>IFERROR(__xludf.DUMMYFUNCTION("IFNA(vlookup(D401,IMPORTRANGE(""https://docs.google.com/spreadsheets/d/1swGwZOEqYlTEUCJLY-eeJM1911Kvaei5oySBIxdgtNo/edit?pli=1#gid=257618397"",""stock untanna!B:C""),2,false),V:V)"),"PC MAGNIT AZ 3301")</f>
        <v>PC MAGNIT AZ 3301</v>
      </c>
      <c r="F401" s="70"/>
      <c r="G401" s="71" t="s">
        <v>714</v>
      </c>
      <c r="H401" s="41"/>
      <c r="I401" s="42"/>
      <c r="J401" s="43" t="str">
        <f t="shared" si="1"/>
        <v>ADA</v>
      </c>
      <c r="K401" s="72">
        <v>3.0</v>
      </c>
      <c r="L401" s="53" t="s">
        <v>62</v>
      </c>
      <c r="M401" s="73">
        <v>190000.0</v>
      </c>
      <c r="N401" s="74"/>
      <c r="O401" s="73">
        <v>570000.0</v>
      </c>
      <c r="P401" s="46" t="str">
        <f t="shared" si="2"/>
        <v>Rp190,000-3 LSN-0.00%</v>
      </c>
      <c r="Q401" s="75">
        <v>45409.0</v>
      </c>
      <c r="R401" s="76"/>
      <c r="S401" s="75">
        <v>45419.0</v>
      </c>
      <c r="T401" s="80" t="s">
        <v>280</v>
      </c>
    </row>
    <row r="402">
      <c r="A402" s="82">
        <v>4358.0</v>
      </c>
      <c r="B402" s="69" t="s">
        <v>58</v>
      </c>
      <c r="C402" s="70" t="s">
        <v>103</v>
      </c>
      <c r="D402" s="50" t="s">
        <v>715</v>
      </c>
      <c r="E402" s="41" t="str">
        <f>IFERROR(__xludf.DUMMYFUNCTION("IFNA(vlookup(D402,IMPORTRANGE(""https://docs.google.com/spreadsheets/d/1swGwZOEqYlTEUCJLY-eeJM1911Kvaei5oySBIxdgtNo/edit?pli=1#gid=257618397"",""stock untanna!B:C""),2,false),V:V)"),"PC MAGNIT KM 5186-1")</f>
        <v>PC MAGNIT KM 5186-1</v>
      </c>
      <c r="F402" s="70"/>
      <c r="G402" s="71" t="s">
        <v>716</v>
      </c>
      <c r="H402" s="41"/>
      <c r="I402" s="42"/>
      <c r="J402" s="43" t="str">
        <f t="shared" si="1"/>
        <v>ADA</v>
      </c>
      <c r="K402" s="72">
        <v>2.0</v>
      </c>
      <c r="L402" s="53" t="s">
        <v>62</v>
      </c>
      <c r="M402" s="73">
        <v>178000.0</v>
      </c>
      <c r="N402" s="74"/>
      <c r="O402" s="73">
        <v>356000.0</v>
      </c>
      <c r="P402" s="46" t="str">
        <f t="shared" si="2"/>
        <v>Rp178,000-2 LSN-0.00%</v>
      </c>
      <c r="Q402" s="75">
        <v>45409.0</v>
      </c>
      <c r="R402" s="76"/>
      <c r="S402" s="75">
        <v>45419.0</v>
      </c>
      <c r="T402" s="80" t="s">
        <v>280</v>
      </c>
    </row>
    <row r="403">
      <c r="A403" s="82">
        <v>4358.0</v>
      </c>
      <c r="B403" s="69" t="s">
        <v>58</v>
      </c>
      <c r="C403" s="70" t="s">
        <v>103</v>
      </c>
      <c r="D403" s="69"/>
      <c r="E403" s="41" t="s">
        <v>717</v>
      </c>
      <c r="F403" s="70"/>
      <c r="G403" s="71" t="s">
        <v>717</v>
      </c>
      <c r="H403" s="41"/>
      <c r="I403" s="42"/>
      <c r="J403" s="43" t="str">
        <f t="shared" si="1"/>
        <v>TIDAK ADA</v>
      </c>
      <c r="K403" s="72">
        <v>6.0</v>
      </c>
      <c r="L403" s="53" t="s">
        <v>718</v>
      </c>
      <c r="M403" s="73">
        <v>27500.0</v>
      </c>
      <c r="N403" s="74"/>
      <c r="O403" s="73">
        <v>165000.0</v>
      </c>
      <c r="P403" s="46" t="str">
        <f t="shared" si="2"/>
        <v>Rp27,500-6 BOX (24)-0.00%</v>
      </c>
      <c r="Q403" s="75">
        <v>45409.0</v>
      </c>
      <c r="R403" s="76"/>
      <c r="S403" s="75">
        <v>45419.0</v>
      </c>
      <c r="T403" s="49"/>
    </row>
    <row r="404">
      <c r="A404" s="82">
        <v>4358.0</v>
      </c>
      <c r="B404" s="69" t="s">
        <v>58</v>
      </c>
      <c r="C404" s="70" t="s">
        <v>103</v>
      </c>
      <c r="D404" s="69" t="s">
        <v>719</v>
      </c>
      <c r="E404" s="41" t="str">
        <f>IFERROR(__xludf.DUMMYFUNCTION("vlookup(D404,IMPORTRANGE(""https://docs.google.com/spreadsheets/d/1swGwZOEqYlTEUCJLY-eeJM1911Kvaei5oySBIxdgtNo/edit?pli=1#gid=257618397"",""stock untanna!B:C""),2,false)"),"MECHPEN G-09307")</f>
        <v>MECHPEN G-09307</v>
      </c>
      <c r="F404" s="70" t="s">
        <v>719</v>
      </c>
      <c r="G404" s="71" t="s">
        <v>720</v>
      </c>
      <c r="H404" s="41"/>
      <c r="I404" s="42"/>
      <c r="J404" s="43" t="str">
        <f t="shared" si="1"/>
        <v>ADA</v>
      </c>
      <c r="K404" s="72">
        <v>6.0</v>
      </c>
      <c r="L404" s="53" t="s">
        <v>114</v>
      </c>
      <c r="M404" s="73">
        <v>27500.0</v>
      </c>
      <c r="N404" s="74"/>
      <c r="O404" s="73">
        <v>165000.0</v>
      </c>
      <c r="P404" s="46" t="str">
        <f t="shared" si="2"/>
        <v>Rp27,500-6 PAK-0.00%</v>
      </c>
      <c r="Q404" s="75">
        <v>45409.0</v>
      </c>
      <c r="R404" s="76"/>
      <c r="S404" s="75">
        <v>45419.0</v>
      </c>
      <c r="T404" s="49"/>
    </row>
    <row r="405">
      <c r="A405" s="82">
        <v>4358.0</v>
      </c>
      <c r="B405" s="69" t="s">
        <v>58</v>
      </c>
      <c r="C405" s="70" t="s">
        <v>103</v>
      </c>
      <c r="D405" s="69" t="s">
        <v>129</v>
      </c>
      <c r="E405" s="41" t="str">
        <f>IFERROR(__xludf.DUMMYFUNCTION("vlookup(D405,IMPORTRANGE(""https://docs.google.com/spreadsheets/d/1swGwZOEqYlTEUCJLY-eeJM1911Kvaei5oySBIxdgtNo/edit?pli=1#gid=257618397"",""stock untanna!B:C""),2,false)"),"PENSIL TF 688")</f>
        <v>PENSIL TF 688</v>
      </c>
      <c r="F405" s="70" t="s">
        <v>129</v>
      </c>
      <c r="G405" s="71" t="s">
        <v>130</v>
      </c>
      <c r="H405" s="41"/>
      <c r="I405" s="42"/>
      <c r="J405" s="43" t="str">
        <f t="shared" si="1"/>
        <v>ADA</v>
      </c>
      <c r="K405" s="72">
        <v>15.0</v>
      </c>
      <c r="L405" s="53" t="s">
        <v>131</v>
      </c>
      <c r="M405" s="73">
        <v>90000.0</v>
      </c>
      <c r="N405" s="74"/>
      <c r="O405" s="73">
        <v>1350000.0</v>
      </c>
      <c r="P405" s="46" t="str">
        <f t="shared" si="2"/>
        <v>Rp90,000-15 GRS-0.00%</v>
      </c>
      <c r="Q405" s="75">
        <v>45409.0</v>
      </c>
      <c r="R405" s="76"/>
      <c r="S405" s="75">
        <v>45419.0</v>
      </c>
      <c r="T405" s="49"/>
    </row>
    <row r="406">
      <c r="A406" s="82">
        <v>4358.0</v>
      </c>
      <c r="B406" s="69" t="s">
        <v>58</v>
      </c>
      <c r="C406" s="70" t="s">
        <v>103</v>
      </c>
      <c r="D406" s="50" t="s">
        <v>136</v>
      </c>
      <c r="E406" s="41" t="str">
        <f>IFERROR(__xludf.DUMMYFUNCTION("IFNA(vlookup(D406,IMPORTRANGE(""https://docs.google.com/spreadsheets/d/1swGwZOEqYlTEUCJLY-eeJM1911Kvaei5oySBIxdgtNo/edit?pli=1#gid=257618397"",""stock untanna!B:C""),2,false),V:V)"),"PENSIL TF 168")</f>
        <v>PENSIL TF 168</v>
      </c>
      <c r="F406" s="70"/>
      <c r="G406" s="71" t="s">
        <v>137</v>
      </c>
      <c r="H406" s="41"/>
      <c r="I406" s="42"/>
      <c r="J406" s="43" t="str">
        <f t="shared" si="1"/>
        <v>ADA</v>
      </c>
      <c r="K406" s="72">
        <v>3.0</v>
      </c>
      <c r="L406" s="53" t="s">
        <v>131</v>
      </c>
      <c r="M406" s="73">
        <v>90000.0</v>
      </c>
      <c r="N406" s="74"/>
      <c r="O406" s="73">
        <v>270000.0</v>
      </c>
      <c r="P406" s="46" t="str">
        <f t="shared" si="2"/>
        <v>Rp90,000-3 GRS-0.00%</v>
      </c>
      <c r="Q406" s="75">
        <v>45409.0</v>
      </c>
      <c r="R406" s="76"/>
      <c r="S406" s="75">
        <v>45419.0</v>
      </c>
      <c r="T406" s="80" t="s">
        <v>280</v>
      </c>
    </row>
    <row r="407">
      <c r="A407" s="82">
        <v>4358.0</v>
      </c>
      <c r="B407" s="69" t="s">
        <v>58</v>
      </c>
      <c r="C407" s="70" t="s">
        <v>103</v>
      </c>
      <c r="D407" s="50" t="s">
        <v>721</v>
      </c>
      <c r="E407" s="41" t="str">
        <f>IFERROR(__xludf.DUMMYFUNCTION("IFNA(vlookup(D407,IMPORTRANGE(""https://docs.google.com/spreadsheets/d/1swGwZOEqYlTEUCJLY-eeJM1911Kvaei5oySBIxdgtNo/edit?pli=1#gid=257618397"",""stock untanna!B:C""),2,false),V:V)"),"PENSIL TF 188")</f>
        <v>PENSIL TF 188</v>
      </c>
      <c r="F407" s="70"/>
      <c r="G407" s="71" t="s">
        <v>722</v>
      </c>
      <c r="H407" s="41"/>
      <c r="I407" s="42"/>
      <c r="J407" s="43" t="str">
        <f t="shared" si="1"/>
        <v>ADA</v>
      </c>
      <c r="K407" s="72">
        <v>3.0</v>
      </c>
      <c r="L407" s="53" t="s">
        <v>131</v>
      </c>
      <c r="M407" s="73">
        <v>90000.0</v>
      </c>
      <c r="N407" s="74"/>
      <c r="O407" s="73">
        <v>270000.0</v>
      </c>
      <c r="P407" s="46" t="str">
        <f t="shared" si="2"/>
        <v>Rp90,000-3 GRS-0.00%</v>
      </c>
      <c r="Q407" s="75">
        <v>45409.0</v>
      </c>
      <c r="R407" s="76"/>
      <c r="S407" s="75">
        <v>45419.0</v>
      </c>
      <c r="T407" s="80" t="s">
        <v>280</v>
      </c>
    </row>
    <row r="408">
      <c r="A408" s="82">
        <v>4358.0</v>
      </c>
      <c r="B408" s="69" t="s">
        <v>58</v>
      </c>
      <c r="C408" s="70" t="s">
        <v>103</v>
      </c>
      <c r="D408" s="50" t="s">
        <v>134</v>
      </c>
      <c r="E408" s="41" t="str">
        <f>IFERROR(__xludf.DUMMYFUNCTION("IFNA(vlookup(D408,IMPORTRANGE(""https://docs.google.com/spreadsheets/d/1swGwZOEqYlTEUCJLY-eeJM1911Kvaei5oySBIxdgtNo/edit?pli=1#gid=257618397"",""stock untanna!B:C""),2,false),V:V)"),"PENSIL TF 888")</f>
        <v>PENSIL TF 888</v>
      </c>
      <c r="F408" s="70"/>
      <c r="G408" s="71" t="s">
        <v>135</v>
      </c>
      <c r="H408" s="41"/>
      <c r="I408" s="42"/>
      <c r="J408" s="43" t="str">
        <f t="shared" si="1"/>
        <v>ADA</v>
      </c>
      <c r="K408" s="72">
        <v>3.0</v>
      </c>
      <c r="L408" s="53" t="s">
        <v>131</v>
      </c>
      <c r="M408" s="73">
        <v>90000.0</v>
      </c>
      <c r="N408" s="74"/>
      <c r="O408" s="73">
        <v>270000.0</v>
      </c>
      <c r="P408" s="46" t="str">
        <f t="shared" si="2"/>
        <v>Rp90,000-3 GRS-0.00%</v>
      </c>
      <c r="Q408" s="75">
        <v>45409.0</v>
      </c>
      <c r="R408" s="76"/>
      <c r="S408" s="75">
        <v>45419.0</v>
      </c>
      <c r="T408" s="80" t="s">
        <v>280</v>
      </c>
    </row>
    <row r="409">
      <c r="A409" s="82">
        <v>4358.0</v>
      </c>
      <c r="B409" s="69" t="s">
        <v>58</v>
      </c>
      <c r="C409" s="70" t="s">
        <v>103</v>
      </c>
      <c r="D409" s="69" t="s">
        <v>723</v>
      </c>
      <c r="E409" s="41" t="str">
        <f>IFERROR(__xludf.DUMMYFUNCTION("vlookup(D409,IMPORTRANGE(""https://docs.google.com/spreadsheets/d/1swGwZOEqYlTEUCJLY-eeJM1911Kvaei5oySBIxdgtNo/edit?pli=1#gid=257618397"",""stock untanna!B:C""),2,false)"),"PENSIL TF 788")</f>
        <v>PENSIL TF 788</v>
      </c>
      <c r="F409" s="70" t="s">
        <v>723</v>
      </c>
      <c r="G409" s="71" t="s">
        <v>724</v>
      </c>
      <c r="H409" s="41"/>
      <c r="I409" s="42"/>
      <c r="J409" s="43" t="str">
        <f t="shared" si="1"/>
        <v>ADA</v>
      </c>
      <c r="K409" s="72">
        <v>3.0</v>
      </c>
      <c r="L409" s="53" t="s">
        <v>131</v>
      </c>
      <c r="M409" s="73">
        <v>90000.0</v>
      </c>
      <c r="N409" s="74"/>
      <c r="O409" s="73">
        <v>270000.0</v>
      </c>
      <c r="P409" s="46" t="str">
        <f t="shared" si="2"/>
        <v>Rp90,000-3 GRS-0.00%</v>
      </c>
      <c r="Q409" s="75">
        <v>45409.0</v>
      </c>
      <c r="R409" s="76"/>
      <c r="S409" s="75">
        <v>45419.0</v>
      </c>
      <c r="T409" s="49"/>
    </row>
    <row r="410">
      <c r="A410" s="82">
        <v>4358.0</v>
      </c>
      <c r="B410" s="69" t="s">
        <v>58</v>
      </c>
      <c r="C410" s="70" t="s">
        <v>103</v>
      </c>
      <c r="D410" s="69" t="s">
        <v>132</v>
      </c>
      <c r="E410" s="41" t="str">
        <f>IFERROR(__xludf.DUMMYFUNCTION("vlookup(D410,IMPORTRANGE(""https://docs.google.com/spreadsheets/d/1swGwZOEqYlTEUCJLY-eeJM1911Kvaei5oySBIxdgtNo/edit?pli=1#gid=257618397"",""stock untanna!B:C""),2,false)"),"PENSIL TF 488")</f>
        <v>PENSIL TF 488</v>
      </c>
      <c r="F410" s="70" t="s">
        <v>132</v>
      </c>
      <c r="G410" s="71" t="s">
        <v>133</v>
      </c>
      <c r="H410" s="41"/>
      <c r="I410" s="42"/>
      <c r="J410" s="43" t="str">
        <f t="shared" si="1"/>
        <v>ADA</v>
      </c>
      <c r="K410" s="72">
        <v>3.0</v>
      </c>
      <c r="L410" s="53" t="s">
        <v>131</v>
      </c>
      <c r="M410" s="73">
        <v>90000.0</v>
      </c>
      <c r="N410" s="74"/>
      <c r="O410" s="73">
        <v>270000.0</v>
      </c>
      <c r="P410" s="46" t="str">
        <f t="shared" si="2"/>
        <v>Rp90,000-3 GRS-0.00%</v>
      </c>
      <c r="Q410" s="75">
        <v>45409.0</v>
      </c>
      <c r="R410" s="76"/>
      <c r="S410" s="75">
        <v>45419.0</v>
      </c>
      <c r="T410" s="49"/>
    </row>
    <row r="411">
      <c r="A411" s="82">
        <v>4358.0</v>
      </c>
      <c r="B411" s="69" t="s">
        <v>58</v>
      </c>
      <c r="C411" s="70" t="s">
        <v>103</v>
      </c>
      <c r="D411" s="69"/>
      <c r="E411" s="41" t="s">
        <v>725</v>
      </c>
      <c r="F411" s="70"/>
      <c r="G411" s="71" t="s">
        <v>725</v>
      </c>
      <c r="H411" s="41"/>
      <c r="I411" s="42"/>
      <c r="J411" s="43" t="str">
        <f t="shared" si="1"/>
        <v>TIDAK ADA</v>
      </c>
      <c r="K411" s="72">
        <v>50.0</v>
      </c>
      <c r="L411" s="53" t="s">
        <v>69</v>
      </c>
      <c r="M411" s="73">
        <v>2750.0</v>
      </c>
      <c r="N411" s="74"/>
      <c r="O411" s="73">
        <v>137500.0</v>
      </c>
      <c r="P411" s="46" t="str">
        <f t="shared" si="2"/>
        <v>Rp2,750-50 PCS-0.00%</v>
      </c>
      <c r="Q411" s="75">
        <v>45409.0</v>
      </c>
      <c r="R411" s="76"/>
      <c r="S411" s="75">
        <v>45419.0</v>
      </c>
      <c r="T411" s="80" t="s">
        <v>280</v>
      </c>
    </row>
    <row r="412">
      <c r="A412" s="82">
        <v>4358.0</v>
      </c>
      <c r="B412" s="69" t="s">
        <v>58</v>
      </c>
      <c r="C412" s="70" t="s">
        <v>103</v>
      </c>
      <c r="D412" s="69"/>
      <c r="E412" s="41" t="s">
        <v>726</v>
      </c>
      <c r="F412" s="70"/>
      <c r="G412" s="71" t="s">
        <v>726</v>
      </c>
      <c r="H412" s="41"/>
      <c r="I412" s="42"/>
      <c r="J412" s="43" t="str">
        <f t="shared" si="1"/>
        <v>TIDAK ADA</v>
      </c>
      <c r="K412" s="72">
        <v>50.0</v>
      </c>
      <c r="L412" s="53" t="s">
        <v>69</v>
      </c>
      <c r="M412" s="73">
        <v>2750.0</v>
      </c>
      <c r="N412" s="74"/>
      <c r="O412" s="73">
        <v>137500.0</v>
      </c>
      <c r="P412" s="46" t="str">
        <f t="shared" si="2"/>
        <v>Rp2,750-50 PCS-0.00%</v>
      </c>
      <c r="Q412" s="75">
        <v>45409.0</v>
      </c>
      <c r="R412" s="76"/>
      <c r="S412" s="75">
        <v>45419.0</v>
      </c>
      <c r="T412" s="80" t="s">
        <v>280</v>
      </c>
    </row>
    <row r="413">
      <c r="A413" s="82">
        <v>4358.0</v>
      </c>
      <c r="B413" s="69" t="s">
        <v>58</v>
      </c>
      <c r="C413" s="70" t="s">
        <v>103</v>
      </c>
      <c r="D413" s="69"/>
      <c r="E413" s="41" t="s">
        <v>727</v>
      </c>
      <c r="F413" s="70"/>
      <c r="G413" s="71" t="s">
        <v>727</v>
      </c>
      <c r="H413" s="41"/>
      <c r="I413" s="42"/>
      <c r="J413" s="43" t="str">
        <f t="shared" si="1"/>
        <v>TIDAK ADA</v>
      </c>
      <c r="K413" s="72">
        <v>50.0</v>
      </c>
      <c r="L413" s="53" t="s">
        <v>69</v>
      </c>
      <c r="M413" s="73">
        <v>2750.0</v>
      </c>
      <c r="N413" s="74"/>
      <c r="O413" s="73">
        <v>137500.0</v>
      </c>
      <c r="P413" s="46" t="str">
        <f t="shared" si="2"/>
        <v>Rp2,750-50 PCS-0.00%</v>
      </c>
      <c r="Q413" s="75">
        <v>45409.0</v>
      </c>
      <c r="R413" s="76"/>
      <c r="S413" s="75">
        <v>45419.0</v>
      </c>
      <c r="T413" s="80" t="s">
        <v>280</v>
      </c>
    </row>
    <row r="414">
      <c r="A414" s="82">
        <v>4358.0</v>
      </c>
      <c r="B414" s="69" t="s">
        <v>58</v>
      </c>
      <c r="C414" s="70" t="s">
        <v>103</v>
      </c>
      <c r="D414" s="69"/>
      <c r="E414" s="41" t="s">
        <v>728</v>
      </c>
      <c r="F414" s="70"/>
      <c r="G414" s="71" t="s">
        <v>728</v>
      </c>
      <c r="H414" s="41"/>
      <c r="I414" s="42"/>
      <c r="J414" s="43" t="str">
        <f t="shared" si="1"/>
        <v>TIDAK ADA</v>
      </c>
      <c r="K414" s="72">
        <v>50.0</v>
      </c>
      <c r="L414" s="53" t="s">
        <v>69</v>
      </c>
      <c r="M414" s="73">
        <v>2750.0</v>
      </c>
      <c r="N414" s="74"/>
      <c r="O414" s="73">
        <v>137500.0</v>
      </c>
      <c r="P414" s="46" t="str">
        <f t="shared" si="2"/>
        <v>Rp2,750-50 PCS-0.00%</v>
      </c>
      <c r="Q414" s="75">
        <v>45409.0</v>
      </c>
      <c r="R414" s="76"/>
      <c r="S414" s="75">
        <v>45419.0</v>
      </c>
      <c r="T414" s="80" t="s">
        <v>280</v>
      </c>
    </row>
    <row r="415">
      <c r="A415" s="82">
        <v>4042.0</v>
      </c>
      <c r="B415" s="69" t="s">
        <v>65</v>
      </c>
      <c r="C415" s="70" t="s">
        <v>729</v>
      </c>
      <c r="D415" s="50" t="s">
        <v>730</v>
      </c>
      <c r="E415" s="41" t="str">
        <f>IFERROR(__xludf.DUMMYFUNCTION("IFNA(vlookup(D415,IMPORTRANGE(""https://docs.google.com/spreadsheets/d/1swGwZOEqYlTEUCJLY-eeJM1911Kvaei5oySBIxdgtNo/edit?pli=1#gid=257618397"",""stock untanna!B:C""),2,false),V:V)"),"BALLPEN TF-729 4W")</f>
        <v>BALLPEN TF-729 4W</v>
      </c>
      <c r="F415" s="70"/>
      <c r="G415" s="71" t="s">
        <v>731</v>
      </c>
      <c r="H415" s="41"/>
      <c r="I415" s="42"/>
      <c r="J415" s="43" t="str">
        <f t="shared" si="1"/>
        <v>ADA</v>
      </c>
      <c r="K415" s="72">
        <v>12.0</v>
      </c>
      <c r="L415" s="53" t="s">
        <v>62</v>
      </c>
      <c r="M415" s="73">
        <v>47000.0</v>
      </c>
      <c r="N415" s="74"/>
      <c r="O415" s="73">
        <v>564000.0</v>
      </c>
      <c r="P415" s="46" t="str">
        <f t="shared" si="2"/>
        <v>Rp47,000-12 LSN-0.00%</v>
      </c>
      <c r="Q415" s="75">
        <v>45409.0</v>
      </c>
      <c r="R415" s="76"/>
      <c r="S415" s="75">
        <v>45419.0</v>
      </c>
      <c r="T415" s="80" t="s">
        <v>280</v>
      </c>
    </row>
    <row r="416">
      <c r="A416" s="82">
        <v>4042.0</v>
      </c>
      <c r="B416" s="69" t="s">
        <v>65</v>
      </c>
      <c r="C416" s="70" t="s">
        <v>729</v>
      </c>
      <c r="D416" s="69" t="s">
        <v>138</v>
      </c>
      <c r="E416" s="41" t="str">
        <f>IFERROR(__xludf.DUMMYFUNCTION("vlookup(D416,IMPORTRANGE(""https://docs.google.com/spreadsheets/d/1swGwZOEqYlTEUCJLY-eeJM1911Kvaei5oySBIxdgtNo/edit?pli=1#gid=257618397"",""stock untanna!B:C""),2,false)"),"GARISAN LIPAT 008 (40) 30 CM FANCY")</f>
        <v>GARISAN LIPAT 008 (40) 30 CM FANCY</v>
      </c>
      <c r="F416" s="70" t="s">
        <v>138</v>
      </c>
      <c r="G416" s="71" t="s">
        <v>139</v>
      </c>
      <c r="H416" s="41"/>
      <c r="I416" s="42"/>
      <c r="J416" s="43" t="str">
        <f t="shared" si="1"/>
        <v>ADA</v>
      </c>
      <c r="K416" s="72">
        <v>5.0</v>
      </c>
      <c r="L416" s="53" t="s">
        <v>88</v>
      </c>
      <c r="M416" s="73">
        <v>52000.0</v>
      </c>
      <c r="N416" s="74"/>
      <c r="O416" s="73">
        <v>260000.0</v>
      </c>
      <c r="P416" s="46" t="str">
        <f t="shared" si="2"/>
        <v>Rp52,000-5 BOX-0.00%</v>
      </c>
      <c r="Q416" s="75">
        <v>45409.0</v>
      </c>
      <c r="R416" s="76"/>
      <c r="S416" s="75">
        <v>45419.0</v>
      </c>
      <c r="T416" s="49"/>
    </row>
    <row r="417">
      <c r="A417" s="82">
        <v>4042.0</v>
      </c>
      <c r="B417" s="69" t="s">
        <v>65</v>
      </c>
      <c r="C417" s="70" t="s">
        <v>729</v>
      </c>
      <c r="D417" s="69" t="s">
        <v>732</v>
      </c>
      <c r="E417" s="41" t="str">
        <f>IFERROR(__xludf.DUMMYFUNCTION("vlookup(D417,IMPORTRANGE(""https://docs.google.com/spreadsheets/d/1swGwZOEqYlTEUCJLY-eeJM1911Kvaei5oySBIxdgtNo/edit?pli=1#gid=257618397"",""stock untanna!B:C""),2,false)"),"MESIN TEMBAK BIXDONE HE E2010 K (65 BLK) KECIL")</f>
        <v>MESIN TEMBAK BIXDONE HE E2010 K (65 BLK) KECIL</v>
      </c>
      <c r="F417" s="70" t="s">
        <v>732</v>
      </c>
      <c r="G417" s="78" t="s">
        <v>733</v>
      </c>
      <c r="H417" s="41"/>
      <c r="I417" s="42"/>
      <c r="J417" s="43" t="str">
        <f t="shared" si="1"/>
        <v>ADA</v>
      </c>
      <c r="K417" s="72">
        <v>24.0</v>
      </c>
      <c r="L417" s="53" t="s">
        <v>69</v>
      </c>
      <c r="M417" s="73">
        <v>26500.0</v>
      </c>
      <c r="N417" s="74"/>
      <c r="O417" s="73">
        <v>636000.0</v>
      </c>
      <c r="P417" s="46" t="str">
        <f t="shared" si="2"/>
        <v>Rp26,500-24 PCS-0.00%</v>
      </c>
      <c r="Q417" s="75">
        <v>45409.0</v>
      </c>
      <c r="R417" s="76"/>
      <c r="S417" s="75">
        <v>45419.0</v>
      </c>
      <c r="T417" s="49"/>
    </row>
    <row r="418">
      <c r="A418" s="82">
        <v>4042.0</v>
      </c>
      <c r="B418" s="69" t="s">
        <v>65</v>
      </c>
      <c r="C418" s="70" t="s">
        <v>729</v>
      </c>
      <c r="D418" s="69" t="s">
        <v>734</v>
      </c>
      <c r="E418" s="41" t="str">
        <f>IFERROR(__xludf.DUMMYFUNCTION("vlookup(D418,IMPORTRANGE(""https://docs.google.com/spreadsheets/d/1swGwZOEqYlTEUCJLY-eeJM1911Kvaei5oySBIxdgtNo/edit?pli=1#gid=257618397"",""stock untanna!B:C""),2,false)"),"PENSIL 2B KAYAGI 3053")</f>
        <v>PENSIL 2B KAYAGI 3053</v>
      </c>
      <c r="F418" s="70" t="s">
        <v>734</v>
      </c>
      <c r="G418" s="71" t="s">
        <v>735</v>
      </c>
      <c r="H418" s="41"/>
      <c r="I418" s="42"/>
      <c r="J418" s="43" t="str">
        <f t="shared" si="1"/>
        <v>ADA</v>
      </c>
      <c r="K418" s="72">
        <v>2.0</v>
      </c>
      <c r="L418" s="53" t="s">
        <v>131</v>
      </c>
      <c r="M418" s="73">
        <v>100000.0</v>
      </c>
      <c r="N418" s="74"/>
      <c r="O418" s="73">
        <v>200000.0</v>
      </c>
      <c r="P418" s="46" t="str">
        <f t="shared" si="2"/>
        <v>Rp100,000-2 GRS-0.00%</v>
      </c>
      <c r="Q418" s="75">
        <v>45409.0</v>
      </c>
      <c r="R418" s="76"/>
      <c r="S418" s="75">
        <v>45419.0</v>
      </c>
      <c r="T418" s="49"/>
    </row>
    <row r="419">
      <c r="A419" s="82">
        <v>4042.0</v>
      </c>
      <c r="B419" s="69" t="s">
        <v>65</v>
      </c>
      <c r="C419" s="70" t="s">
        <v>729</v>
      </c>
      <c r="D419" s="69" t="s">
        <v>736</v>
      </c>
      <c r="E419" s="41" t="str">
        <f>IFERROR(__xludf.DUMMYFUNCTION("vlookup(D419,IMPORTRANGE(""https://docs.google.com/spreadsheets/d/1swGwZOEqYlTEUCJLY-eeJM1911Kvaei5oySBIxdgtNo/edit?pli=1#gid=257618397"",""stock untanna!B:C""),2,false)"),"PENSIL KAYAGI 2B PF3050")</f>
        <v>PENSIL KAYAGI 2B PF3050</v>
      </c>
      <c r="F419" s="70" t="s">
        <v>736</v>
      </c>
      <c r="G419" s="71" t="s">
        <v>737</v>
      </c>
      <c r="H419" s="41"/>
      <c r="I419" s="42"/>
      <c r="J419" s="43" t="str">
        <f t="shared" si="1"/>
        <v>ADA</v>
      </c>
      <c r="K419" s="72">
        <v>2.0</v>
      </c>
      <c r="L419" s="53" t="s">
        <v>131</v>
      </c>
      <c r="M419" s="73">
        <v>100000.0</v>
      </c>
      <c r="N419" s="74"/>
      <c r="O419" s="73">
        <v>200000.0</v>
      </c>
      <c r="P419" s="46" t="str">
        <f t="shared" si="2"/>
        <v>Rp100,000-2 GRS-0.00%</v>
      </c>
      <c r="Q419" s="75">
        <v>45409.0</v>
      </c>
      <c r="R419" s="76"/>
      <c r="S419" s="75">
        <v>45419.0</v>
      </c>
      <c r="T419" s="49"/>
    </row>
    <row r="420">
      <c r="A420" s="82">
        <v>4042.0</v>
      </c>
      <c r="B420" s="69" t="s">
        <v>65</v>
      </c>
      <c r="C420" s="70" t="s">
        <v>729</v>
      </c>
      <c r="D420" s="69" t="s">
        <v>738</v>
      </c>
      <c r="E420" s="41" t="str">
        <f>IFERROR(__xludf.DUMMYFUNCTION("vlookup(D420,IMPORTRANGE(""https://docs.google.com/spreadsheets/d/1swGwZOEqYlTEUCJLY-eeJM1911Kvaei5oySBIxdgtNo/edit?pli=1#gid=257618397"",""stock untanna!B:C""),2,false)"),"PENSIL 2B KAYAGI 3060")</f>
        <v>PENSIL 2B KAYAGI 3060</v>
      </c>
      <c r="F420" s="70" t="s">
        <v>738</v>
      </c>
      <c r="G420" s="71" t="s">
        <v>739</v>
      </c>
      <c r="H420" s="41"/>
      <c r="I420" s="42"/>
      <c r="J420" s="43" t="str">
        <f t="shared" si="1"/>
        <v>ADA</v>
      </c>
      <c r="K420" s="72">
        <v>2.0</v>
      </c>
      <c r="L420" s="53" t="s">
        <v>131</v>
      </c>
      <c r="M420" s="73">
        <v>100000.0</v>
      </c>
      <c r="N420" s="74"/>
      <c r="O420" s="73">
        <v>200000.0</v>
      </c>
      <c r="P420" s="46" t="str">
        <f t="shared" si="2"/>
        <v>Rp100,000-2 GRS-0.00%</v>
      </c>
      <c r="Q420" s="75">
        <v>45409.0</v>
      </c>
      <c r="R420" s="76"/>
      <c r="S420" s="75">
        <v>45419.0</v>
      </c>
      <c r="T420" s="49"/>
    </row>
    <row r="421">
      <c r="A421" s="82">
        <v>4042.0</v>
      </c>
      <c r="B421" s="69" t="s">
        <v>65</v>
      </c>
      <c r="C421" s="70" t="s">
        <v>729</v>
      </c>
      <c r="D421" s="69" t="s">
        <v>740</v>
      </c>
      <c r="E421" s="41" t="str">
        <f>IFERROR(__xludf.DUMMYFUNCTION("vlookup(D421,IMPORTRANGE(""https://docs.google.com/spreadsheets/d/1swGwZOEqYlTEUCJLY-eeJM1911Kvaei5oySBIxdgtNo/edit?pli=1#gid=257618397"",""stock untanna!B:C""),2,false)"),"PENSIL KAYAGI 3062")</f>
        <v>PENSIL KAYAGI 3062</v>
      </c>
      <c r="F421" s="70" t="s">
        <v>740</v>
      </c>
      <c r="G421" s="71" t="s">
        <v>741</v>
      </c>
      <c r="H421" s="41"/>
      <c r="I421" s="42"/>
      <c r="J421" s="43" t="str">
        <f t="shared" si="1"/>
        <v>ADA</v>
      </c>
      <c r="K421" s="72">
        <v>2.0</v>
      </c>
      <c r="L421" s="53" t="s">
        <v>131</v>
      </c>
      <c r="M421" s="73">
        <v>100000.0</v>
      </c>
      <c r="N421" s="74"/>
      <c r="O421" s="73">
        <v>200000.0</v>
      </c>
      <c r="P421" s="46" t="str">
        <f t="shared" si="2"/>
        <v>Rp100,000-2 GRS-0.00%</v>
      </c>
      <c r="Q421" s="75">
        <v>45409.0</v>
      </c>
      <c r="R421" s="76"/>
      <c r="S421" s="75">
        <v>45419.0</v>
      </c>
      <c r="T421" s="49"/>
    </row>
    <row r="422">
      <c r="A422" s="82">
        <v>4042.0</v>
      </c>
      <c r="B422" s="69" t="s">
        <v>65</v>
      </c>
      <c r="C422" s="70" t="s">
        <v>729</v>
      </c>
      <c r="D422" s="69"/>
      <c r="E422" s="41" t="s">
        <v>742</v>
      </c>
      <c r="F422" s="70"/>
      <c r="G422" s="71" t="s">
        <v>742</v>
      </c>
      <c r="H422" s="41"/>
      <c r="I422" s="42"/>
      <c r="J422" s="43" t="str">
        <f t="shared" si="1"/>
        <v>TIDAK ADA</v>
      </c>
      <c r="K422" s="72">
        <v>2.0</v>
      </c>
      <c r="L422" s="53" t="s">
        <v>131</v>
      </c>
      <c r="M422" s="73">
        <v>100000.0</v>
      </c>
      <c r="N422" s="74"/>
      <c r="O422" s="73">
        <v>200000.0</v>
      </c>
      <c r="P422" s="46" t="str">
        <f t="shared" si="2"/>
        <v>Rp100,000-2 GRS-0.00%</v>
      </c>
      <c r="Q422" s="75">
        <v>45409.0</v>
      </c>
      <c r="R422" s="76"/>
      <c r="S422" s="75">
        <v>45419.0</v>
      </c>
      <c r="T422" s="49"/>
    </row>
    <row r="423">
      <c r="A423" s="82">
        <v>4042.0</v>
      </c>
      <c r="B423" s="69" t="s">
        <v>65</v>
      </c>
      <c r="C423" s="70" t="s">
        <v>729</v>
      </c>
      <c r="D423" s="69" t="s">
        <v>743</v>
      </c>
      <c r="E423" s="41" t="str">
        <f>IFERROR(__xludf.DUMMYFUNCTION("vlookup(D423,IMPORTRANGE(""https://docs.google.com/spreadsheets/d/1swGwZOEqYlTEUCJLY-eeJM1911Kvaei5oySBIxdgtNo/edit?pli=1#gid=257618397"",""stock untanna!B:C""),2,false)"),"BP TIANJIAO TZ-501 HITAM")</f>
        <v>BP TIANJIAO TZ-501 HITAM</v>
      </c>
      <c r="F423" s="70" t="s">
        <v>743</v>
      </c>
      <c r="G423" s="71" t="s">
        <v>744</v>
      </c>
      <c r="H423" s="41"/>
      <c r="I423" s="42"/>
      <c r="J423" s="43" t="str">
        <f t="shared" si="1"/>
        <v>ADA</v>
      </c>
      <c r="K423" s="72">
        <v>24.0</v>
      </c>
      <c r="L423" s="53" t="s">
        <v>62</v>
      </c>
      <c r="M423" s="73">
        <v>25000.0</v>
      </c>
      <c r="N423" s="74"/>
      <c r="O423" s="73">
        <v>600000.0</v>
      </c>
      <c r="P423" s="46" t="str">
        <f t="shared" si="2"/>
        <v>Rp25,000-24 LSN-0.00%</v>
      </c>
      <c r="Q423" s="75">
        <v>45409.0</v>
      </c>
      <c r="R423" s="76"/>
      <c r="S423" s="75">
        <v>45419.0</v>
      </c>
      <c r="T423" s="49"/>
    </row>
    <row r="424">
      <c r="A424" s="82">
        <v>4401.0</v>
      </c>
      <c r="B424" s="69" t="s">
        <v>29</v>
      </c>
      <c r="C424" s="70" t="s">
        <v>745</v>
      </c>
      <c r="D424" s="69" t="s">
        <v>746</v>
      </c>
      <c r="E424" s="41" t="str">
        <f>IFERROR(__xludf.DUMMYFUNCTION("vlookup(D424,IMPORTRANGE(""https://docs.google.com/spreadsheets/d/1swGwZOEqYlTEUCJLY-eeJM1911Kvaei5oySBIxdgtNo/edit?pli=1#gid=257618397"",""stock untanna!B:C""),2,false)"),"STAMP PAD HERO K")</f>
        <v>STAMP PAD HERO K</v>
      </c>
      <c r="F424" s="70" t="s">
        <v>746</v>
      </c>
      <c r="G424" s="71" t="s">
        <v>747</v>
      </c>
      <c r="H424" s="41"/>
      <c r="I424" s="42"/>
      <c r="J424" s="43" t="str">
        <f t="shared" si="1"/>
        <v>ADA</v>
      </c>
      <c r="K424" s="72">
        <v>24.0</v>
      </c>
      <c r="L424" s="53" t="s">
        <v>62</v>
      </c>
      <c r="M424" s="73">
        <v>60000.0</v>
      </c>
      <c r="N424" s="74"/>
      <c r="O424" s="73">
        <v>1440000.0</v>
      </c>
      <c r="P424" s="46" t="str">
        <f t="shared" si="2"/>
        <v>Rp60,000-24 LSN-0.00%</v>
      </c>
      <c r="Q424" s="75">
        <v>45409.0</v>
      </c>
      <c r="R424" s="76"/>
      <c r="S424" s="75">
        <v>45419.0</v>
      </c>
      <c r="T424" s="49"/>
    </row>
    <row r="425">
      <c r="A425" s="82">
        <v>4401.0</v>
      </c>
      <c r="B425" s="69" t="s">
        <v>29</v>
      </c>
      <c r="C425" s="70" t="s">
        <v>745</v>
      </c>
      <c r="D425" s="69" t="s">
        <v>748</v>
      </c>
      <c r="E425" s="41" t="str">
        <f>IFERROR(__xludf.DUMMYFUNCTION("vlookup(D425,IMPORTRANGE(""https://docs.google.com/spreadsheets/d/1swGwZOEqYlTEUCJLY-eeJM1911Kvaei5oySBIxdgtNo/edit?pli=1#gid=257618397"",""stock untanna!B:C""),2,false)"),"GARISAN BT 30 CM")</f>
        <v>GARISAN BT 30 CM</v>
      </c>
      <c r="F425" s="70" t="s">
        <v>748</v>
      </c>
      <c r="G425" s="71" t="s">
        <v>749</v>
      </c>
      <c r="H425" s="41"/>
      <c r="I425" s="42"/>
      <c r="J425" s="43" t="str">
        <f t="shared" si="1"/>
        <v>ADA</v>
      </c>
      <c r="K425" s="72">
        <v>100.0</v>
      </c>
      <c r="L425" s="53" t="s">
        <v>62</v>
      </c>
      <c r="M425" s="73">
        <v>26780.0</v>
      </c>
      <c r="N425" s="83">
        <v>0.1</v>
      </c>
      <c r="O425" s="73">
        <v>2410200.0</v>
      </c>
      <c r="P425" s="46" t="str">
        <f t="shared" si="2"/>
        <v>Rp26,780-100 LSN-10.00%</v>
      </c>
      <c r="Q425" s="75">
        <v>45409.0</v>
      </c>
      <c r="R425" s="76"/>
      <c r="S425" s="75">
        <v>45419.0</v>
      </c>
      <c r="T425" s="49"/>
    </row>
    <row r="426">
      <c r="A426" s="82">
        <v>4401.0</v>
      </c>
      <c r="B426" s="69" t="s">
        <v>29</v>
      </c>
      <c r="C426" s="70" t="s">
        <v>745</v>
      </c>
      <c r="D426" s="69" t="s">
        <v>750</v>
      </c>
      <c r="E426" s="41" t="str">
        <f>IFERROR(__xludf.DUMMYFUNCTION("vlookup(D426,IMPORTRANGE(""https://docs.google.com/spreadsheets/d/1swGwZOEqYlTEUCJLY-eeJM1911Kvaei5oySBIxdgtNo/edit?pli=1#gid=257618397"",""stock untanna!B:C""),2,false)"),"BP X DATA M1")</f>
        <v>BP X DATA M1</v>
      </c>
      <c r="F426" s="70" t="s">
        <v>750</v>
      </c>
      <c r="G426" s="71" t="s">
        <v>751</v>
      </c>
      <c r="H426" s="41"/>
      <c r="I426" s="42"/>
      <c r="J426" s="43" t="str">
        <f t="shared" si="1"/>
        <v>ADA</v>
      </c>
      <c r="K426" s="72">
        <v>20.0</v>
      </c>
      <c r="L426" s="53" t="s">
        <v>131</v>
      </c>
      <c r="M426" s="73">
        <v>75000.0</v>
      </c>
      <c r="N426" s="74"/>
      <c r="O426" s="73">
        <v>1500000.0</v>
      </c>
      <c r="P426" s="46" t="str">
        <f t="shared" si="2"/>
        <v>Rp75,000-20 GRS-0.00%</v>
      </c>
      <c r="Q426" s="75">
        <v>45409.0</v>
      </c>
      <c r="R426" s="76"/>
      <c r="S426" s="75">
        <v>45419.0</v>
      </c>
      <c r="T426" s="49"/>
    </row>
    <row r="427">
      <c r="A427" s="82">
        <v>4401.0</v>
      </c>
      <c r="B427" s="69" t="s">
        <v>29</v>
      </c>
      <c r="C427" s="70" t="s">
        <v>745</v>
      </c>
      <c r="D427" s="50" t="s">
        <v>752</v>
      </c>
      <c r="E427" s="41" t="str">
        <f>IFERROR(__xludf.DUMMYFUNCTION("IFNA(vlookup(D427,IMPORTRANGE(""https://docs.google.com/spreadsheets/d/1swGwZOEqYlTEUCJLY-eeJM1911Kvaei5oySBIxdgtNo/edit?pli=1#gid=257618397"",""stock untanna!B:C""),2,false),V:V)"),"BP X DATA M2")</f>
        <v>BP X DATA M2</v>
      </c>
      <c r="F427" s="70"/>
      <c r="G427" s="71" t="s">
        <v>753</v>
      </c>
      <c r="H427" s="41"/>
      <c r="I427" s="42"/>
      <c r="J427" s="43" t="str">
        <f t="shared" si="1"/>
        <v>ADA</v>
      </c>
      <c r="K427" s="72">
        <v>20.0</v>
      </c>
      <c r="L427" s="53" t="s">
        <v>131</v>
      </c>
      <c r="M427" s="73">
        <v>75000.0</v>
      </c>
      <c r="N427" s="74"/>
      <c r="O427" s="73">
        <v>1500000.0</v>
      </c>
      <c r="P427" s="46" t="str">
        <f t="shared" si="2"/>
        <v>Rp75,000-20 GRS-0.00%</v>
      </c>
      <c r="Q427" s="75">
        <v>45409.0</v>
      </c>
      <c r="R427" s="76"/>
      <c r="S427" s="75">
        <v>45419.0</v>
      </c>
      <c r="T427" s="80" t="s">
        <v>280</v>
      </c>
    </row>
    <row r="428">
      <c r="A428" s="82">
        <v>4402.0</v>
      </c>
      <c r="B428" s="69" t="s">
        <v>29</v>
      </c>
      <c r="C428" s="70" t="s">
        <v>34</v>
      </c>
      <c r="D428" s="50" t="s">
        <v>754</v>
      </c>
      <c r="E428" s="41" t="str">
        <f>IFERROR(__xludf.DUMMYFUNCTION("vlookup(D428,IMPORTRANGE(""https://docs.google.com/spreadsheets/d/1swGwZOEqYlTEUCJLY-eeJM1911Kvaei5oySBIxdgtNo/edit?pli=1#gid=257618397"",""stock untanna!B:C""),2,false)"),"GARISAN 30 CM ENTER 675")</f>
        <v>GARISAN 30 CM ENTER 675</v>
      </c>
      <c r="F428" s="70" t="s">
        <v>755</v>
      </c>
      <c r="G428" s="71" t="s">
        <v>756</v>
      </c>
      <c r="H428" s="41"/>
      <c r="I428" s="42"/>
      <c r="J428" s="43" t="str">
        <f t="shared" si="1"/>
        <v>ADA</v>
      </c>
      <c r="K428" s="72">
        <v>200.0</v>
      </c>
      <c r="L428" s="53" t="s">
        <v>62</v>
      </c>
      <c r="M428" s="73">
        <v>9000.0</v>
      </c>
      <c r="N428" s="74"/>
      <c r="O428" s="73">
        <v>1800000.0</v>
      </c>
      <c r="P428" s="46" t="str">
        <f t="shared" si="2"/>
        <v>Rp9,000-200 LSN-0.00%</v>
      </c>
      <c r="Q428" s="75">
        <v>45409.0</v>
      </c>
      <c r="R428" s="76"/>
      <c r="S428" s="75">
        <v>45419.0</v>
      </c>
      <c r="T428" s="49"/>
    </row>
    <row r="429">
      <c r="A429" s="82">
        <v>4402.0</v>
      </c>
      <c r="B429" s="69" t="s">
        <v>29</v>
      </c>
      <c r="C429" s="70" t="s">
        <v>34</v>
      </c>
      <c r="D429" s="69" t="s">
        <v>757</v>
      </c>
      <c r="E429" s="41" t="str">
        <f>IFERROR(__xludf.DUMMYFUNCTION("vlookup(D429,IMPORTRANGE(""https://docs.google.com/spreadsheets/d/1swGwZOEqYlTEUCJLY-eeJM1911Kvaei5oySBIxdgtNo/edit?pli=1#gid=257618397"",""stock untanna!B:C""),2,false)"),"TIPEX MICROTOP MT 737")</f>
        <v>TIPEX MICROTOP MT 737</v>
      </c>
      <c r="F429" s="70" t="s">
        <v>757</v>
      </c>
      <c r="G429" s="71" t="s">
        <v>758</v>
      </c>
      <c r="H429" s="41"/>
      <c r="I429" s="42"/>
      <c r="J429" s="43" t="str">
        <f t="shared" si="1"/>
        <v>ADA</v>
      </c>
      <c r="K429" s="72">
        <v>48.0</v>
      </c>
      <c r="L429" s="53" t="s">
        <v>62</v>
      </c>
      <c r="M429" s="73">
        <v>84000.0</v>
      </c>
      <c r="N429" s="74"/>
      <c r="O429" s="73">
        <v>4032000.0</v>
      </c>
      <c r="P429" s="46" t="str">
        <f t="shared" si="2"/>
        <v>Rp84,000-48 LSN-0.00%</v>
      </c>
      <c r="Q429" s="75">
        <v>45409.0</v>
      </c>
      <c r="R429" s="76"/>
      <c r="S429" s="75">
        <v>45419.0</v>
      </c>
      <c r="T429" s="49"/>
    </row>
    <row r="430">
      <c r="A430" s="82">
        <v>4402.0</v>
      </c>
      <c r="B430" s="69" t="s">
        <v>29</v>
      </c>
      <c r="C430" s="70" t="s">
        <v>34</v>
      </c>
      <c r="D430" s="69"/>
      <c r="E430" s="41" t="s">
        <v>708</v>
      </c>
      <c r="F430" s="70"/>
      <c r="G430" s="78" t="s">
        <v>708</v>
      </c>
      <c r="H430" s="41"/>
      <c r="I430" s="42"/>
      <c r="J430" s="43" t="str">
        <f t="shared" si="1"/>
        <v>TIDAK ADA</v>
      </c>
      <c r="K430" s="72">
        <v>180.0</v>
      </c>
      <c r="L430" s="53" t="s">
        <v>62</v>
      </c>
      <c r="M430" s="73">
        <v>19500.0</v>
      </c>
      <c r="N430" s="74"/>
      <c r="O430" s="73">
        <v>3510000.0</v>
      </c>
      <c r="P430" s="46" t="str">
        <f t="shared" si="2"/>
        <v>Rp19,500-180 LSN-0.00%</v>
      </c>
      <c r="Q430" s="75">
        <v>45409.0</v>
      </c>
      <c r="R430" s="76"/>
      <c r="S430" s="75">
        <v>45419.0</v>
      </c>
      <c r="T430" s="80" t="s">
        <v>280</v>
      </c>
    </row>
    <row r="431">
      <c r="A431" s="82">
        <v>4402.0</v>
      </c>
      <c r="B431" s="69" t="s">
        <v>29</v>
      </c>
      <c r="C431" s="70" t="s">
        <v>34</v>
      </c>
      <c r="D431" s="50" t="s">
        <v>759</v>
      </c>
      <c r="E431" s="41" t="str">
        <f>IFERROR(__xludf.DUMMYFUNCTION("IFNA(vlookup(D431,IMPORTRANGE(""https://docs.google.com/spreadsheets/d/1swGwZOEqYlTEUCJLY-eeJM1911Kvaei5oySBIxdgtNo/edit?pli=1#gid=257618397"",""stock untanna!B:C""),2,false),V:V)"),"ISI GEL TZ-501 R HITAM")</f>
        <v>ISI GEL TZ-501 R HITAM</v>
      </c>
      <c r="F431" s="70"/>
      <c r="G431" s="71" t="s">
        <v>760</v>
      </c>
      <c r="H431" s="41"/>
      <c r="I431" s="42"/>
      <c r="J431" s="43" t="str">
        <f t="shared" si="1"/>
        <v>ADA</v>
      </c>
      <c r="K431" s="72">
        <v>288.0</v>
      </c>
      <c r="L431" s="53" t="s">
        <v>62</v>
      </c>
      <c r="M431" s="73">
        <v>10000.0</v>
      </c>
      <c r="N431" s="74"/>
      <c r="O431" s="73">
        <v>2880000.0</v>
      </c>
      <c r="P431" s="46" t="str">
        <f t="shared" si="2"/>
        <v>Rp10,000-288 LSN-0.00%</v>
      </c>
      <c r="Q431" s="75">
        <v>45409.0</v>
      </c>
      <c r="R431" s="76"/>
      <c r="S431" s="75">
        <v>45419.0</v>
      </c>
      <c r="T431" s="80" t="s">
        <v>280</v>
      </c>
    </row>
    <row r="432">
      <c r="A432" s="82">
        <v>4403.0</v>
      </c>
      <c r="B432" s="69" t="s">
        <v>29</v>
      </c>
      <c r="C432" s="70" t="s">
        <v>761</v>
      </c>
      <c r="D432" s="69" t="s">
        <v>762</v>
      </c>
      <c r="E432" s="41" t="str">
        <f>IFERROR(__xludf.DUMMYFUNCTION("vlookup(D432,IMPORTRANGE(""https://docs.google.com/spreadsheets/d/1swGwZOEqYlTEUCJLY-eeJM1911Kvaei5oySBIxdgtNo/edit?pli=1#gid=257618397"",""stock untanna!B:C""),2,false)"),"BP TIZO TG340 BIRU")</f>
        <v>BP TIZO TG340 BIRU</v>
      </c>
      <c r="F432" s="70" t="s">
        <v>762</v>
      </c>
      <c r="G432" s="71" t="s">
        <v>763</v>
      </c>
      <c r="H432" s="41"/>
      <c r="I432" s="42"/>
      <c r="J432" s="43" t="str">
        <f t="shared" si="1"/>
        <v>ADA</v>
      </c>
      <c r="K432" s="72">
        <v>3.0</v>
      </c>
      <c r="L432" s="53" t="s">
        <v>62</v>
      </c>
      <c r="M432" s="73">
        <v>35000.0</v>
      </c>
      <c r="N432" s="74"/>
      <c r="O432" s="73">
        <v>105000.0</v>
      </c>
      <c r="P432" s="46" t="str">
        <f t="shared" si="2"/>
        <v>Rp35,000-3 LSN-0.00%</v>
      </c>
      <c r="Q432" s="75">
        <v>45409.0</v>
      </c>
      <c r="R432" s="76"/>
      <c r="S432" s="75">
        <v>45419.0</v>
      </c>
      <c r="T432" s="49"/>
    </row>
    <row r="433">
      <c r="A433" s="82">
        <v>4403.0</v>
      </c>
      <c r="B433" s="69" t="s">
        <v>29</v>
      </c>
      <c r="C433" s="70" t="s">
        <v>761</v>
      </c>
      <c r="D433" s="69" t="s">
        <v>764</v>
      </c>
      <c r="E433" s="41" t="str">
        <f>IFERROR(__xludf.DUMMYFUNCTION("vlookup(D433,IMPORTRANGE(""https://docs.google.com/spreadsheets/d/1swGwZOEqYlTEUCJLY-eeJM1911Kvaei5oySBIxdgtNo/edit?pli=1#gid=257618397"",""stock untanna!B:C""),2,false)"),"GARISAN BUSUR ENTER 3.5 MIKA")</f>
        <v>GARISAN BUSUR ENTER 3.5 MIKA</v>
      </c>
      <c r="F433" s="70" t="s">
        <v>764</v>
      </c>
      <c r="G433" s="71" t="s">
        <v>765</v>
      </c>
      <c r="H433" s="41"/>
      <c r="I433" s="42"/>
      <c r="J433" s="43" t="str">
        <f t="shared" si="1"/>
        <v>ADA</v>
      </c>
      <c r="K433" s="72">
        <v>5.0</v>
      </c>
      <c r="L433" s="53" t="s">
        <v>62</v>
      </c>
      <c r="M433" s="73">
        <v>15000.0</v>
      </c>
      <c r="N433" s="74"/>
      <c r="O433" s="73">
        <v>75000.0</v>
      </c>
      <c r="P433" s="46" t="str">
        <f t="shared" si="2"/>
        <v>Rp15,000-5 LSN-0.00%</v>
      </c>
      <c r="Q433" s="75">
        <v>45409.0</v>
      </c>
      <c r="R433" s="76"/>
      <c r="S433" s="75">
        <v>45419.0</v>
      </c>
      <c r="T433" s="49"/>
    </row>
    <row r="434">
      <c r="A434" s="82">
        <v>4403.0</v>
      </c>
      <c r="B434" s="69" t="s">
        <v>29</v>
      </c>
      <c r="C434" s="70" t="s">
        <v>761</v>
      </c>
      <c r="D434" s="50" t="s">
        <v>766</v>
      </c>
      <c r="E434" s="41" t="str">
        <f>IFERROR(__xludf.DUMMYFUNCTION("vlookup(D434,IMPORTRANGE(""https://docs.google.com/spreadsheets/d/1swGwZOEqYlTEUCJLY-eeJM1911Kvaei5oySBIxdgtNo/edit?pli=1#gid=257618397"",""stock untanna!B:C""),2,false)"),"GARISAN ENTER TEBAL NO.4")</f>
        <v>GARISAN ENTER TEBAL NO.4</v>
      </c>
      <c r="F434" s="70" t="s">
        <v>767</v>
      </c>
      <c r="G434" s="71" t="s">
        <v>768</v>
      </c>
      <c r="H434" s="41"/>
      <c r="I434" s="42"/>
      <c r="J434" s="43" t="str">
        <f t="shared" si="1"/>
        <v>ADA</v>
      </c>
      <c r="K434" s="72">
        <v>3.0</v>
      </c>
      <c r="L434" s="53" t="s">
        <v>62</v>
      </c>
      <c r="M434" s="73">
        <v>9000.0</v>
      </c>
      <c r="N434" s="74"/>
      <c r="O434" s="73">
        <v>27000.0</v>
      </c>
      <c r="P434" s="46" t="str">
        <f t="shared" si="2"/>
        <v>Rp9,000-3 LSN-0.00%</v>
      </c>
      <c r="Q434" s="75">
        <v>45409.0</v>
      </c>
      <c r="R434" s="76"/>
      <c r="S434" s="75">
        <v>45419.0</v>
      </c>
      <c r="T434" s="49"/>
    </row>
    <row r="435">
      <c r="A435" s="82">
        <v>4403.0</v>
      </c>
      <c r="B435" s="69" t="s">
        <v>29</v>
      </c>
      <c r="C435" s="70" t="s">
        <v>761</v>
      </c>
      <c r="D435" s="69" t="s">
        <v>398</v>
      </c>
      <c r="E435" s="41" t="str">
        <f>IFERROR(__xludf.DUMMYFUNCTION("vlookup(D435,IMPORTRANGE(""https://docs.google.com/spreadsheets/d/1swGwZOEqYlTEUCJLY-eeJM1911Kvaei5oySBIxdgtNo/edit?pli=1#gid=257618397"",""stock untanna!B:C""),2,false)"),"GUNTING TREND SS")</f>
        <v>GUNTING TREND SS</v>
      </c>
      <c r="F435" s="70" t="s">
        <v>398</v>
      </c>
      <c r="G435" s="71" t="s">
        <v>399</v>
      </c>
      <c r="H435" s="41"/>
      <c r="I435" s="42"/>
      <c r="J435" s="43" t="str">
        <f t="shared" si="1"/>
        <v>ADA</v>
      </c>
      <c r="K435" s="72">
        <v>5.0</v>
      </c>
      <c r="L435" s="53" t="s">
        <v>62</v>
      </c>
      <c r="M435" s="73">
        <v>29000.0</v>
      </c>
      <c r="N435" s="83">
        <v>0.1</v>
      </c>
      <c r="O435" s="73">
        <v>130500.0</v>
      </c>
      <c r="P435" s="46" t="str">
        <f t="shared" si="2"/>
        <v>Rp29,000-5 LSN-10.00%</v>
      </c>
      <c r="Q435" s="75">
        <v>45409.0</v>
      </c>
      <c r="R435" s="76"/>
      <c r="S435" s="75">
        <v>45419.0</v>
      </c>
      <c r="T435" s="49"/>
    </row>
    <row r="436">
      <c r="A436" s="82">
        <v>4403.0</v>
      </c>
      <c r="B436" s="69" t="s">
        <v>29</v>
      </c>
      <c r="C436" s="70" t="s">
        <v>761</v>
      </c>
      <c r="D436" s="69" t="s">
        <v>769</v>
      </c>
      <c r="E436" s="41" t="str">
        <f>IFERROR(__xludf.DUMMYFUNCTION("vlookup(D436,IMPORTRANGE(""https://docs.google.com/spreadsheets/d/1swGwZOEqYlTEUCJLY-eeJM1911Kvaei5oySBIxdgtNo/edit?pli=1#gid=257618397"",""stock untanna!B:C""),2,false)"),"GARISAN BESI TF 100 CM")</f>
        <v>GARISAN BESI TF 100 CM</v>
      </c>
      <c r="F436" s="70" t="s">
        <v>769</v>
      </c>
      <c r="G436" s="71" t="s">
        <v>770</v>
      </c>
      <c r="H436" s="41"/>
      <c r="I436" s="42"/>
      <c r="J436" s="43" t="str">
        <f t="shared" si="1"/>
        <v>ADA</v>
      </c>
      <c r="K436" s="72">
        <v>1.0</v>
      </c>
      <c r="L436" s="53" t="s">
        <v>62</v>
      </c>
      <c r="M436" s="73">
        <v>300000.0</v>
      </c>
      <c r="N436" s="74"/>
      <c r="O436" s="73">
        <v>300000.0</v>
      </c>
      <c r="P436" s="46" t="str">
        <f t="shared" si="2"/>
        <v>Rp300,000-1 LSN-0.00%</v>
      </c>
      <c r="Q436" s="75">
        <v>45409.0</v>
      </c>
      <c r="R436" s="76"/>
      <c r="S436" s="75">
        <v>45419.0</v>
      </c>
      <c r="T436" s="49"/>
    </row>
    <row r="437">
      <c r="A437" s="82">
        <v>4403.0</v>
      </c>
      <c r="B437" s="69" t="s">
        <v>29</v>
      </c>
      <c r="C437" s="70" t="s">
        <v>761</v>
      </c>
      <c r="D437" s="69" t="s">
        <v>757</v>
      </c>
      <c r="E437" s="41" t="str">
        <f>IFERROR(__xludf.DUMMYFUNCTION("vlookup(D437,IMPORTRANGE(""https://docs.google.com/spreadsheets/d/1swGwZOEqYlTEUCJLY-eeJM1911Kvaei5oySBIxdgtNo/edit?pli=1#gid=257618397"",""stock untanna!B:C""),2,false)"),"TIPEX MICROTOP MT 737")</f>
        <v>TIPEX MICROTOP MT 737</v>
      </c>
      <c r="F437" s="70" t="s">
        <v>757</v>
      </c>
      <c r="G437" s="71" t="s">
        <v>758</v>
      </c>
      <c r="H437" s="41"/>
      <c r="I437" s="42"/>
      <c r="J437" s="43" t="str">
        <f t="shared" si="1"/>
        <v>ADA</v>
      </c>
      <c r="K437" s="72">
        <v>5.0</v>
      </c>
      <c r="L437" s="53" t="s">
        <v>62</v>
      </c>
      <c r="M437" s="73">
        <v>90000.0</v>
      </c>
      <c r="N437" s="74"/>
      <c r="O437" s="73">
        <v>450000.0</v>
      </c>
      <c r="P437" s="46" t="str">
        <f t="shared" si="2"/>
        <v>Rp90,000-5 LSN-0.00%</v>
      </c>
      <c r="Q437" s="75">
        <v>45409.0</v>
      </c>
      <c r="R437" s="76"/>
      <c r="S437" s="75">
        <v>45419.0</v>
      </c>
      <c r="T437" s="49"/>
    </row>
    <row r="438">
      <c r="A438" s="82">
        <v>4403.0</v>
      </c>
      <c r="B438" s="69" t="s">
        <v>29</v>
      </c>
      <c r="C438" s="70" t="s">
        <v>761</v>
      </c>
      <c r="D438" s="69" t="s">
        <v>334</v>
      </c>
      <c r="E438" s="41" t="str">
        <f>IFERROR(__xludf.DUMMYFUNCTION("vlookup(D438,IMPORTRANGE(""https://docs.google.com/spreadsheets/d/1swGwZOEqYlTEUCJLY-eeJM1911Kvaei5oySBIxdgtNo/edit?pli=1#gid=257618397"",""stock untanna!B:C""),2,false)"),"STIP W/B KENJOY LUBANG K")</f>
        <v>STIP W/B KENJOY LUBANG K</v>
      </c>
      <c r="F438" s="70" t="s">
        <v>334</v>
      </c>
      <c r="G438" s="71" t="s">
        <v>335</v>
      </c>
      <c r="H438" s="41"/>
      <c r="I438" s="42"/>
      <c r="J438" s="43" t="str">
        <f t="shared" si="1"/>
        <v>ADA</v>
      </c>
      <c r="K438" s="72">
        <v>5.0</v>
      </c>
      <c r="L438" s="53" t="s">
        <v>62</v>
      </c>
      <c r="M438" s="73">
        <v>27500.0</v>
      </c>
      <c r="N438" s="74"/>
      <c r="O438" s="73">
        <v>137500.0</v>
      </c>
      <c r="P438" s="46" t="str">
        <f t="shared" si="2"/>
        <v>Rp27,500-5 LSN-0.00%</v>
      </c>
      <c r="Q438" s="75">
        <v>45409.0</v>
      </c>
      <c r="R438" s="76"/>
      <c r="S438" s="75">
        <v>45419.0</v>
      </c>
      <c r="T438" s="49"/>
    </row>
    <row r="439">
      <c r="A439" s="82">
        <v>4403.0</v>
      </c>
      <c r="B439" s="69" t="s">
        <v>29</v>
      </c>
      <c r="C439" s="70" t="s">
        <v>761</v>
      </c>
      <c r="D439" s="69"/>
      <c r="E439" s="41" t="s">
        <v>771</v>
      </c>
      <c r="F439" s="70"/>
      <c r="G439" s="71" t="s">
        <v>771</v>
      </c>
      <c r="H439" s="41"/>
      <c r="I439" s="42"/>
      <c r="J439" s="43" t="str">
        <f t="shared" si="1"/>
        <v>TIDAK ADA</v>
      </c>
      <c r="K439" s="72">
        <v>3.0</v>
      </c>
      <c r="L439" s="53" t="s">
        <v>62</v>
      </c>
      <c r="M439" s="73">
        <v>12500.0</v>
      </c>
      <c r="N439" s="74"/>
      <c r="O439" s="73">
        <v>37500.0</v>
      </c>
      <c r="P439" s="46" t="str">
        <f t="shared" si="2"/>
        <v>Rp12,500-3 LSN-0.00%</v>
      </c>
      <c r="Q439" s="75">
        <v>45409.0</v>
      </c>
      <c r="R439" s="76"/>
      <c r="S439" s="75">
        <v>45419.0</v>
      </c>
      <c r="T439" s="49"/>
    </row>
    <row r="440">
      <c r="A440" s="82">
        <v>4403.0</v>
      </c>
      <c r="B440" s="69" t="s">
        <v>29</v>
      </c>
      <c r="C440" s="70" t="s">
        <v>761</v>
      </c>
      <c r="D440" s="69" t="s">
        <v>772</v>
      </c>
      <c r="E440" s="41" t="str">
        <f>IFERROR(__xludf.DUMMYFUNCTION("vlookup(D440,IMPORTRANGE(""https://docs.google.com/spreadsheets/d/1swGwZOEqYlTEUCJLY-eeJM1911Kvaei5oySBIxdgtNo/edit?pli=1#gid=257618397"",""stock untanna!B:C""),2,false)"),"MECHPEN DF 125")</f>
        <v>MECHPEN DF 125</v>
      </c>
      <c r="F440" s="70" t="s">
        <v>772</v>
      </c>
      <c r="G440" s="71" t="s">
        <v>773</v>
      </c>
      <c r="H440" s="41"/>
      <c r="I440" s="42"/>
      <c r="J440" s="43" t="str">
        <f t="shared" si="1"/>
        <v>ADA</v>
      </c>
      <c r="K440" s="72">
        <v>3.0</v>
      </c>
      <c r="L440" s="53" t="s">
        <v>62</v>
      </c>
      <c r="M440" s="73">
        <v>17500.0</v>
      </c>
      <c r="N440" s="74"/>
      <c r="O440" s="73">
        <v>52500.0</v>
      </c>
      <c r="P440" s="46" t="str">
        <f t="shared" si="2"/>
        <v>Rp17,500-3 LSN-0.00%</v>
      </c>
      <c r="Q440" s="75">
        <v>45409.0</v>
      </c>
      <c r="R440" s="76"/>
      <c r="S440" s="75">
        <v>45419.0</v>
      </c>
      <c r="T440" s="49"/>
    </row>
    <row r="441">
      <c r="A441" s="82">
        <v>4403.0</v>
      </c>
      <c r="B441" s="69" t="s">
        <v>29</v>
      </c>
      <c r="C441" s="70" t="s">
        <v>761</v>
      </c>
      <c r="D441" s="69" t="s">
        <v>774</v>
      </c>
      <c r="E441" s="41" t="str">
        <f>IFERROR(__xludf.DUMMYFUNCTION("vlookup(D441,IMPORTRANGE(""https://docs.google.com/spreadsheets/d/1swGwZOEqYlTEUCJLY-eeJM1911Kvaei5oySBIxdgtNo/edit?pli=1#gid=257618397"",""stock untanna!B:C""),2,false)"),"MECHPEN TIZO G 9001 A")</f>
        <v>MECHPEN TIZO G 9001 A</v>
      </c>
      <c r="F441" s="70" t="s">
        <v>774</v>
      </c>
      <c r="G441" s="71" t="s">
        <v>775</v>
      </c>
      <c r="H441" s="41"/>
      <c r="I441" s="42"/>
      <c r="J441" s="43" t="str">
        <f t="shared" si="1"/>
        <v>ADA</v>
      </c>
      <c r="K441" s="72">
        <v>3.0</v>
      </c>
      <c r="L441" s="53" t="s">
        <v>62</v>
      </c>
      <c r="M441" s="73">
        <v>15000.0</v>
      </c>
      <c r="N441" s="74"/>
      <c r="O441" s="73">
        <v>45000.0</v>
      </c>
      <c r="P441" s="46" t="str">
        <f t="shared" si="2"/>
        <v>Rp15,000-3 LSN-0.00%</v>
      </c>
      <c r="Q441" s="75">
        <v>45409.0</v>
      </c>
      <c r="R441" s="76"/>
      <c r="S441" s="75">
        <v>45419.0</v>
      </c>
      <c r="T441" s="49"/>
    </row>
    <row r="442">
      <c r="A442" s="82">
        <v>4403.0</v>
      </c>
      <c r="B442" s="69" t="s">
        <v>29</v>
      </c>
      <c r="C442" s="70" t="s">
        <v>761</v>
      </c>
      <c r="D442" s="69" t="s">
        <v>776</v>
      </c>
      <c r="E442" s="41" t="str">
        <f>IFERROR(__xludf.DUMMYFUNCTION("vlookup(D442,IMPORTRANGE(""https://docs.google.com/spreadsheets/d/1swGwZOEqYlTEUCJLY-eeJM1911Kvaei5oySBIxdgtNo/edit?pli=1#gid=257618397"",""stock untanna!B:C""),2,false)"),"STABILLO TOZCHA TZ 8001")</f>
        <v>STABILLO TOZCHA TZ 8001</v>
      </c>
      <c r="F442" s="70" t="s">
        <v>776</v>
      </c>
      <c r="G442" s="71" t="s">
        <v>777</v>
      </c>
      <c r="H442" s="41"/>
      <c r="I442" s="42"/>
      <c r="J442" s="43" t="str">
        <f t="shared" si="1"/>
        <v>ADA</v>
      </c>
      <c r="K442" s="72">
        <v>3.0</v>
      </c>
      <c r="L442" s="53" t="s">
        <v>62</v>
      </c>
      <c r="M442" s="73">
        <v>25000.0</v>
      </c>
      <c r="N442" s="74"/>
      <c r="O442" s="73">
        <v>75000.0</v>
      </c>
      <c r="P442" s="46" t="str">
        <f t="shared" si="2"/>
        <v>Rp25,000-3 LSN-0.00%</v>
      </c>
      <c r="Q442" s="75">
        <v>45409.0</v>
      </c>
      <c r="R442" s="76"/>
      <c r="S442" s="75">
        <v>45419.0</v>
      </c>
      <c r="T442" s="49"/>
    </row>
    <row r="443">
      <c r="A443" s="82">
        <v>4403.0</v>
      </c>
      <c r="B443" s="69" t="s">
        <v>29</v>
      </c>
      <c r="C443" s="70" t="s">
        <v>761</v>
      </c>
      <c r="D443" s="69" t="s">
        <v>306</v>
      </c>
      <c r="E443" s="41" t="str">
        <f>IFERROR(__xludf.DUMMYFUNCTION("vlookup(D443,IMPORTRANGE(""https://docs.google.com/spreadsheets/d/1swGwZOEqYlTEUCJLY-eeJM1911Kvaei5oySBIxdgtNo/edit?pli=1#gid=257618397"",""stock untanna!B:C""),2,false)"),"BP TF-2037 6W")</f>
        <v>BP TF-2037 6W</v>
      </c>
      <c r="F443" s="70" t="s">
        <v>306</v>
      </c>
      <c r="G443" s="71" t="s">
        <v>307</v>
      </c>
      <c r="H443" s="41"/>
      <c r="I443" s="42"/>
      <c r="J443" s="43" t="str">
        <f t="shared" si="1"/>
        <v>ADA</v>
      </c>
      <c r="K443" s="72">
        <v>2.0</v>
      </c>
      <c r="L443" s="53" t="s">
        <v>62</v>
      </c>
      <c r="M443" s="73">
        <v>50000.0</v>
      </c>
      <c r="N443" s="74"/>
      <c r="O443" s="73">
        <v>100000.0</v>
      </c>
      <c r="P443" s="46" t="str">
        <f t="shared" si="2"/>
        <v>Rp50,000-2 LSN-0.00%</v>
      </c>
      <c r="Q443" s="75">
        <v>45409.0</v>
      </c>
      <c r="R443" s="76"/>
      <c r="S443" s="75">
        <v>45419.0</v>
      </c>
      <c r="T443" s="49"/>
    </row>
    <row r="444">
      <c r="A444" s="82">
        <v>4403.0</v>
      </c>
      <c r="B444" s="69" t="s">
        <v>29</v>
      </c>
      <c r="C444" s="70" t="s">
        <v>761</v>
      </c>
      <c r="D444" s="69" t="s">
        <v>778</v>
      </c>
      <c r="E444" s="41" t="str">
        <f>IFERROR(__xludf.DUMMYFUNCTION("vlookup(D444,IMPORTRANGE(""https://docs.google.com/spreadsheets/d/1swGwZOEqYlTEUCJLY-eeJM1911Kvaei5oySBIxdgtNo/edit?pli=1#gid=257618397"",""stock untanna!B:C""),2,false)"),"BP GEL TIZO TG670")</f>
        <v>BP GEL TIZO TG670</v>
      </c>
      <c r="F444" s="70" t="s">
        <v>778</v>
      </c>
      <c r="G444" s="71" t="s">
        <v>779</v>
      </c>
      <c r="H444" s="41"/>
      <c r="I444" s="42"/>
      <c r="J444" s="43" t="str">
        <f t="shared" si="1"/>
        <v>ADA</v>
      </c>
      <c r="K444" s="72">
        <v>2.0</v>
      </c>
      <c r="L444" s="53" t="s">
        <v>62</v>
      </c>
      <c r="M444" s="73">
        <v>50000.0</v>
      </c>
      <c r="N444" s="74"/>
      <c r="O444" s="73">
        <v>100000.0</v>
      </c>
      <c r="P444" s="46" t="str">
        <f t="shared" si="2"/>
        <v>Rp50,000-2 LSN-0.00%</v>
      </c>
      <c r="Q444" s="75">
        <v>45409.0</v>
      </c>
      <c r="R444" s="76"/>
      <c r="S444" s="75">
        <v>45419.0</v>
      </c>
      <c r="T444" s="49"/>
    </row>
    <row r="445">
      <c r="A445" s="82">
        <v>4403.0</v>
      </c>
      <c r="B445" s="69" t="s">
        <v>29</v>
      </c>
      <c r="C445" s="70" t="s">
        <v>761</v>
      </c>
      <c r="D445" s="69" t="s">
        <v>780</v>
      </c>
      <c r="E445" s="41" t="str">
        <f>IFERROR(__xludf.DUMMYFUNCTION("vlookup(D445,IMPORTRANGE(""https://docs.google.com/spreadsheets/d/1swGwZOEqYlTEUCJLY-eeJM1911Kvaei5oySBIxdgtNo/edit?pli=1#gid=257618397"",""stock untanna!B:C""),2,false)"),"BP GEL TIZO TG690")</f>
        <v>BP GEL TIZO TG690</v>
      </c>
      <c r="F445" s="70" t="s">
        <v>780</v>
      </c>
      <c r="G445" s="71" t="s">
        <v>781</v>
      </c>
      <c r="H445" s="41"/>
      <c r="I445" s="42"/>
      <c r="J445" s="43" t="str">
        <f t="shared" si="1"/>
        <v>ADA</v>
      </c>
      <c r="K445" s="72">
        <v>2.0</v>
      </c>
      <c r="L445" s="53" t="s">
        <v>62</v>
      </c>
      <c r="M445" s="73">
        <v>50000.0</v>
      </c>
      <c r="N445" s="74"/>
      <c r="O445" s="73">
        <v>100000.0</v>
      </c>
      <c r="P445" s="46" t="str">
        <f t="shared" si="2"/>
        <v>Rp50,000-2 LSN-0.00%</v>
      </c>
      <c r="Q445" s="75">
        <v>45409.0</v>
      </c>
      <c r="R445" s="76"/>
      <c r="S445" s="75">
        <v>45419.0</v>
      </c>
      <c r="T445" s="49"/>
    </row>
    <row r="446">
      <c r="A446" s="82">
        <v>4403.0</v>
      </c>
      <c r="B446" s="69" t="s">
        <v>29</v>
      </c>
      <c r="C446" s="70" t="s">
        <v>761</v>
      </c>
      <c r="D446" s="69" t="s">
        <v>419</v>
      </c>
      <c r="E446" s="41" t="str">
        <f>IFERROR(__xludf.DUMMYFUNCTION("vlookup(D446,IMPORTRANGE(""https://docs.google.com/spreadsheets/d/1swGwZOEqYlTEUCJLY-eeJM1911Kvaei5oySBIxdgtNo/edit?pli=1#gid=257618397"",""stock untanna!B:C""),2,false)"),"BP GEL ZUI XUA HY-1020 HITAM")</f>
        <v>BP GEL ZUI XUA HY-1020 HITAM</v>
      </c>
      <c r="F446" s="70" t="s">
        <v>419</v>
      </c>
      <c r="G446" s="71" t="s">
        <v>420</v>
      </c>
      <c r="H446" s="41"/>
      <c r="I446" s="42"/>
      <c r="J446" s="43" t="str">
        <f t="shared" si="1"/>
        <v>ADA</v>
      </c>
      <c r="K446" s="72">
        <v>6.0</v>
      </c>
      <c r="L446" s="53" t="s">
        <v>62</v>
      </c>
      <c r="M446" s="73">
        <v>12500.0</v>
      </c>
      <c r="N446" s="74"/>
      <c r="O446" s="73">
        <v>75000.0</v>
      </c>
      <c r="P446" s="46" t="str">
        <f t="shared" si="2"/>
        <v>Rp12,500-6 LSN-0.00%</v>
      </c>
      <c r="Q446" s="75">
        <v>45409.0</v>
      </c>
      <c r="R446" s="76"/>
      <c r="S446" s="75">
        <v>45419.0</v>
      </c>
      <c r="T446" s="49"/>
    </row>
    <row r="447">
      <c r="A447" s="82">
        <v>4404.0</v>
      </c>
      <c r="B447" s="69" t="s">
        <v>29</v>
      </c>
      <c r="C447" s="70" t="s">
        <v>761</v>
      </c>
      <c r="D447" s="50" t="s">
        <v>782</v>
      </c>
      <c r="E447" s="41" t="s">
        <v>783</v>
      </c>
      <c r="F447" s="70"/>
      <c r="G447" s="71" t="s">
        <v>783</v>
      </c>
      <c r="H447" s="41"/>
      <c r="I447" s="42"/>
      <c r="J447" s="43" t="str">
        <f t="shared" si="1"/>
        <v>ADA</v>
      </c>
      <c r="K447" s="72">
        <v>1.0</v>
      </c>
      <c r="L447" s="53" t="s">
        <v>62</v>
      </c>
      <c r="M447" s="73">
        <v>150000.0</v>
      </c>
      <c r="N447" s="74"/>
      <c r="O447" s="73">
        <v>150000.0</v>
      </c>
      <c r="P447" s="46" t="str">
        <f t="shared" si="2"/>
        <v>Rp150,000-1 LSN-0.00%</v>
      </c>
      <c r="Q447" s="75">
        <v>45409.0</v>
      </c>
      <c r="R447" s="76"/>
      <c r="S447" s="75">
        <v>45419.0</v>
      </c>
      <c r="T447" s="80" t="s">
        <v>280</v>
      </c>
    </row>
    <row r="448">
      <c r="A448" s="82">
        <v>4404.0</v>
      </c>
      <c r="B448" s="69" t="s">
        <v>29</v>
      </c>
      <c r="C448" s="70" t="s">
        <v>761</v>
      </c>
      <c r="D448" s="69"/>
      <c r="E448" s="41" t="s">
        <v>784</v>
      </c>
      <c r="F448" s="70"/>
      <c r="G448" s="71" t="s">
        <v>784</v>
      </c>
      <c r="H448" s="41"/>
      <c r="I448" s="42"/>
      <c r="J448" s="43" t="str">
        <f t="shared" si="1"/>
        <v>TIDAK ADA</v>
      </c>
      <c r="K448" s="72">
        <v>1.0</v>
      </c>
      <c r="L448" s="53" t="s">
        <v>62</v>
      </c>
      <c r="M448" s="73">
        <v>180000.0</v>
      </c>
      <c r="N448" s="74"/>
      <c r="O448" s="73">
        <v>180000.0</v>
      </c>
      <c r="P448" s="46" t="str">
        <f t="shared" si="2"/>
        <v>Rp180,000-1 LSN-0.00%</v>
      </c>
      <c r="Q448" s="75">
        <v>45409.0</v>
      </c>
      <c r="R448" s="76"/>
      <c r="S448" s="75">
        <v>45419.0</v>
      </c>
      <c r="T448" s="49"/>
    </row>
    <row r="449">
      <c r="A449" s="82">
        <v>4404.0</v>
      </c>
      <c r="B449" s="69" t="s">
        <v>29</v>
      </c>
      <c r="C449" s="70" t="s">
        <v>761</v>
      </c>
      <c r="D449" s="69"/>
      <c r="E449" s="41" t="s">
        <v>785</v>
      </c>
      <c r="F449" s="70"/>
      <c r="G449" s="71" t="s">
        <v>785</v>
      </c>
      <c r="H449" s="41"/>
      <c r="I449" s="42"/>
      <c r="J449" s="43" t="str">
        <f t="shared" si="1"/>
        <v>TIDAK ADA</v>
      </c>
      <c r="K449" s="72">
        <v>6.0</v>
      </c>
      <c r="L449" s="53" t="s">
        <v>69</v>
      </c>
      <c r="M449" s="73">
        <v>30000.0</v>
      </c>
      <c r="N449" s="74"/>
      <c r="O449" s="73">
        <v>180000.0</v>
      </c>
      <c r="P449" s="46" t="str">
        <f t="shared" si="2"/>
        <v>Rp30,000-6 PCS-0.00%</v>
      </c>
      <c r="Q449" s="75">
        <v>45409.0</v>
      </c>
      <c r="R449" s="76"/>
      <c r="S449" s="75">
        <v>45419.0</v>
      </c>
      <c r="T449" s="49"/>
    </row>
    <row r="450">
      <c r="A450" s="82">
        <v>4404.0</v>
      </c>
      <c r="B450" s="69" t="s">
        <v>29</v>
      </c>
      <c r="C450" s="70" t="s">
        <v>761</v>
      </c>
      <c r="D450" s="69"/>
      <c r="E450" s="41" t="s">
        <v>786</v>
      </c>
      <c r="F450" s="70"/>
      <c r="G450" s="71" t="s">
        <v>786</v>
      </c>
      <c r="H450" s="41"/>
      <c r="I450" s="42"/>
      <c r="J450" s="43" t="str">
        <f t="shared" si="1"/>
        <v>TIDAK ADA</v>
      </c>
      <c r="K450" s="72">
        <v>2.0</v>
      </c>
      <c r="L450" s="53" t="s">
        <v>62</v>
      </c>
      <c r="M450" s="73">
        <v>55000.0</v>
      </c>
      <c r="N450" s="74"/>
      <c r="O450" s="73">
        <v>110000.0</v>
      </c>
      <c r="P450" s="46" t="str">
        <f t="shared" si="2"/>
        <v>Rp55,000-2 LSN-0.00%</v>
      </c>
      <c r="Q450" s="75">
        <v>45409.0</v>
      </c>
      <c r="R450" s="76"/>
      <c r="S450" s="75">
        <v>45419.0</v>
      </c>
      <c r="T450" s="49"/>
    </row>
    <row r="451">
      <c r="A451" s="82">
        <v>4404.0</v>
      </c>
      <c r="B451" s="69" t="s">
        <v>29</v>
      </c>
      <c r="C451" s="70" t="s">
        <v>761</v>
      </c>
      <c r="D451" s="69"/>
      <c r="E451" s="41" t="s">
        <v>787</v>
      </c>
      <c r="F451" s="70"/>
      <c r="G451" s="71" t="s">
        <v>787</v>
      </c>
      <c r="H451" s="41"/>
      <c r="I451" s="42"/>
      <c r="J451" s="43" t="str">
        <f t="shared" si="1"/>
        <v>TIDAK ADA</v>
      </c>
      <c r="K451" s="72">
        <v>1.0</v>
      </c>
      <c r="L451" s="53" t="s">
        <v>62</v>
      </c>
      <c r="M451" s="73">
        <v>90000.0</v>
      </c>
      <c r="N451" s="74"/>
      <c r="O451" s="73">
        <v>90000.0</v>
      </c>
      <c r="P451" s="46" t="str">
        <f t="shared" si="2"/>
        <v>Rp90,000-1 LSN-0.00%</v>
      </c>
      <c r="Q451" s="75">
        <v>45409.0</v>
      </c>
      <c r="R451" s="76"/>
      <c r="S451" s="75">
        <v>45419.0</v>
      </c>
      <c r="T451" s="49"/>
    </row>
    <row r="452">
      <c r="A452" s="82">
        <v>4404.0</v>
      </c>
      <c r="B452" s="69" t="s">
        <v>29</v>
      </c>
      <c r="C452" s="70" t="s">
        <v>761</v>
      </c>
      <c r="D452" s="69"/>
      <c r="E452" s="41" t="s">
        <v>788</v>
      </c>
      <c r="F452" s="70"/>
      <c r="G452" s="71" t="s">
        <v>788</v>
      </c>
      <c r="H452" s="41"/>
      <c r="I452" s="42"/>
      <c r="J452" s="43" t="str">
        <f t="shared" si="1"/>
        <v>TIDAK ADA</v>
      </c>
      <c r="K452" s="72">
        <v>1.0</v>
      </c>
      <c r="L452" s="53" t="s">
        <v>62</v>
      </c>
      <c r="M452" s="73">
        <v>90000.0</v>
      </c>
      <c r="N452" s="74"/>
      <c r="O452" s="73">
        <v>90000.0</v>
      </c>
      <c r="P452" s="46" t="str">
        <f t="shared" si="2"/>
        <v>Rp90,000-1 LSN-0.00%</v>
      </c>
      <c r="Q452" s="75">
        <v>45409.0</v>
      </c>
      <c r="R452" s="76"/>
      <c r="S452" s="75">
        <v>45419.0</v>
      </c>
      <c r="T452" s="49"/>
    </row>
    <row r="453">
      <c r="A453" s="82">
        <v>4404.0</v>
      </c>
      <c r="B453" s="69" t="s">
        <v>29</v>
      </c>
      <c r="C453" s="70" t="s">
        <v>761</v>
      </c>
      <c r="D453" s="69" t="s">
        <v>789</v>
      </c>
      <c r="E453" s="41" t="str">
        <f>IFERROR(__xludf.DUMMYFUNCTION("vlookup(D453,IMPORTRANGE(""https://docs.google.com/spreadsheets/d/1swGwZOEqYlTEUCJLY-eeJM1911Kvaei5oySBIxdgtNo/edit?pli=1#gid=257618397"",""stock untanna!B:C""),2,false)"),"MAP DATA FC 53")</f>
        <v>MAP DATA FC 53</v>
      </c>
      <c r="F453" s="70" t="s">
        <v>789</v>
      </c>
      <c r="G453" s="71" t="s">
        <v>790</v>
      </c>
      <c r="H453" s="41"/>
      <c r="I453" s="42"/>
      <c r="J453" s="43" t="str">
        <f t="shared" si="1"/>
        <v>ADA</v>
      </c>
      <c r="K453" s="72">
        <v>24.0</v>
      </c>
      <c r="L453" s="53" t="s">
        <v>69</v>
      </c>
      <c r="M453" s="73">
        <v>1667.0</v>
      </c>
      <c r="N453" s="74"/>
      <c r="O453" s="73">
        <v>40008.0</v>
      </c>
      <c r="P453" s="46" t="str">
        <f t="shared" si="2"/>
        <v>Rp1,667-24 PCS-0.00%</v>
      </c>
      <c r="Q453" s="75">
        <v>45409.0</v>
      </c>
      <c r="R453" s="76"/>
      <c r="S453" s="75">
        <v>45419.0</v>
      </c>
      <c r="T453" s="49"/>
    </row>
    <row r="454">
      <c r="A454" s="82">
        <v>4404.0</v>
      </c>
      <c r="B454" s="69" t="s">
        <v>29</v>
      </c>
      <c r="C454" s="70" t="s">
        <v>761</v>
      </c>
      <c r="D454" s="69"/>
      <c r="E454" s="41" t="s">
        <v>791</v>
      </c>
      <c r="F454" s="70"/>
      <c r="G454" s="71" t="s">
        <v>791</v>
      </c>
      <c r="H454" s="41"/>
      <c r="I454" s="42"/>
      <c r="J454" s="43" t="str">
        <f t="shared" si="1"/>
        <v>TIDAK ADA</v>
      </c>
      <c r="K454" s="72">
        <v>1.0</v>
      </c>
      <c r="L454" s="53" t="s">
        <v>792</v>
      </c>
      <c r="M454" s="73">
        <v>45000.0</v>
      </c>
      <c r="N454" s="74"/>
      <c r="O454" s="73">
        <v>45000.0</v>
      </c>
      <c r="P454" s="46" t="str">
        <f t="shared" si="2"/>
        <v>Rp45,000-1 PAK (100)-0.00%</v>
      </c>
      <c r="Q454" s="75">
        <v>45409.0</v>
      </c>
      <c r="R454" s="76"/>
      <c r="S454" s="75">
        <v>45419.0</v>
      </c>
      <c r="T454" s="49"/>
    </row>
    <row r="455">
      <c r="A455" s="82">
        <v>4404.0</v>
      </c>
      <c r="B455" s="69" t="s">
        <v>29</v>
      </c>
      <c r="C455" s="70" t="s">
        <v>761</v>
      </c>
      <c r="D455" s="69"/>
      <c r="E455" s="41" t="s">
        <v>793</v>
      </c>
      <c r="F455" s="70"/>
      <c r="G455" s="71" t="s">
        <v>793</v>
      </c>
      <c r="H455" s="41"/>
      <c r="I455" s="42"/>
      <c r="J455" s="43" t="str">
        <f t="shared" si="1"/>
        <v>TIDAK ADA</v>
      </c>
      <c r="K455" s="72">
        <v>1.0</v>
      </c>
      <c r="L455" s="53" t="s">
        <v>792</v>
      </c>
      <c r="M455" s="73">
        <v>45000.0</v>
      </c>
      <c r="N455" s="74"/>
      <c r="O455" s="73">
        <v>45000.0</v>
      </c>
      <c r="P455" s="46" t="str">
        <f t="shared" si="2"/>
        <v>Rp45,000-1 PAK (100)-0.00%</v>
      </c>
      <c r="Q455" s="75">
        <v>45409.0</v>
      </c>
      <c r="R455" s="76"/>
      <c r="S455" s="75">
        <v>45419.0</v>
      </c>
      <c r="T455" s="49"/>
    </row>
    <row r="456">
      <c r="A456" s="82">
        <v>4404.0</v>
      </c>
      <c r="B456" s="69" t="s">
        <v>29</v>
      </c>
      <c r="C456" s="70" t="s">
        <v>761</v>
      </c>
      <c r="D456" s="69"/>
      <c r="E456" s="41" t="s">
        <v>794</v>
      </c>
      <c r="F456" s="70"/>
      <c r="G456" s="71" t="s">
        <v>794</v>
      </c>
      <c r="H456" s="41"/>
      <c r="I456" s="42"/>
      <c r="J456" s="43" t="str">
        <f t="shared" si="1"/>
        <v>TIDAK ADA</v>
      </c>
      <c r="K456" s="72">
        <v>12.0</v>
      </c>
      <c r="L456" s="53" t="s">
        <v>84</v>
      </c>
      <c r="M456" s="73">
        <v>21000.0</v>
      </c>
      <c r="N456" s="74"/>
      <c r="O456" s="73">
        <v>252000.0</v>
      </c>
      <c r="P456" s="46" t="str">
        <f t="shared" si="2"/>
        <v>Rp21,000-12 SET-0.00%</v>
      </c>
      <c r="Q456" s="75">
        <v>45409.0</v>
      </c>
      <c r="R456" s="76"/>
      <c r="S456" s="75">
        <v>45419.0</v>
      </c>
      <c r="T456" s="80" t="s">
        <v>280</v>
      </c>
    </row>
    <row r="457">
      <c r="A457" s="82">
        <v>4404.0</v>
      </c>
      <c r="B457" s="69" t="s">
        <v>29</v>
      </c>
      <c r="C457" s="70" t="s">
        <v>761</v>
      </c>
      <c r="D457" s="69" t="s">
        <v>795</v>
      </c>
      <c r="E457" s="41" t="str">
        <f>IFERROR(__xludf.DUMMYFUNCTION("vlookup(D457,IMPORTRANGE(""https://docs.google.com/spreadsheets/d/1swGwZOEqYlTEUCJLY-eeJM1911Kvaei5oySBIxdgtNo/edit?pli=1#gid=257618397"",""stock untanna!B:C""),2,false)"),"KUAS UTN 661-8")</f>
        <v>KUAS UTN 661-8</v>
      </c>
      <c r="F457" s="70" t="s">
        <v>795</v>
      </c>
      <c r="G457" s="71" t="s">
        <v>796</v>
      </c>
      <c r="H457" s="41"/>
      <c r="I457" s="42"/>
      <c r="J457" s="43" t="str">
        <f t="shared" si="1"/>
        <v>ADA</v>
      </c>
      <c r="K457" s="72">
        <v>12.0</v>
      </c>
      <c r="L457" s="53" t="s">
        <v>84</v>
      </c>
      <c r="M457" s="73">
        <v>19000.0</v>
      </c>
      <c r="N457" s="74"/>
      <c r="O457" s="73">
        <v>228000.0</v>
      </c>
      <c r="P457" s="46" t="str">
        <f t="shared" si="2"/>
        <v>Rp19,000-12 SET-0.00%</v>
      </c>
      <c r="Q457" s="75">
        <v>45409.0</v>
      </c>
      <c r="R457" s="76"/>
      <c r="S457" s="75">
        <v>45419.0</v>
      </c>
      <c r="T457" s="49"/>
    </row>
    <row r="458">
      <c r="A458" s="82">
        <v>4404.0</v>
      </c>
      <c r="B458" s="69" t="s">
        <v>29</v>
      </c>
      <c r="C458" s="70" t="s">
        <v>761</v>
      </c>
      <c r="D458" s="69" t="s">
        <v>797</v>
      </c>
      <c r="E458" s="41" t="str">
        <f>IFERROR(__xludf.DUMMYFUNCTION("vlookup(D458,IMPORTRANGE(""https://docs.google.com/spreadsheets/d/1swGwZOEqYlTEUCJLY-eeJM1911Kvaei5oySBIxdgtNo/edit?pli=1#gid=257618397"",""stock untanna!B:C""),2,false)"),"MAP KANCING SIKA AC-05 BIRU")</f>
        <v>MAP KANCING SIKA AC-05 BIRU</v>
      </c>
      <c r="F458" s="70" t="s">
        <v>797</v>
      </c>
      <c r="G458" s="71" t="s">
        <v>798</v>
      </c>
      <c r="H458" s="41"/>
      <c r="I458" s="42"/>
      <c r="J458" s="43" t="str">
        <f t="shared" si="1"/>
        <v>ADA</v>
      </c>
      <c r="K458" s="72">
        <v>10.0</v>
      </c>
      <c r="L458" s="53" t="s">
        <v>62</v>
      </c>
      <c r="M458" s="73">
        <v>21000.0</v>
      </c>
      <c r="N458" s="74"/>
      <c r="O458" s="73">
        <v>210000.0</v>
      </c>
      <c r="P458" s="46" t="str">
        <f t="shared" si="2"/>
        <v>Rp21,000-10 LSN-0.00%</v>
      </c>
      <c r="Q458" s="75">
        <v>45409.0</v>
      </c>
      <c r="R458" s="76"/>
      <c r="S458" s="75">
        <v>45419.0</v>
      </c>
      <c r="T458" s="49"/>
    </row>
    <row r="459">
      <c r="A459" s="82">
        <v>4404.0</v>
      </c>
      <c r="B459" s="69" t="s">
        <v>29</v>
      </c>
      <c r="C459" s="70" t="s">
        <v>761</v>
      </c>
      <c r="D459" s="69" t="s">
        <v>799</v>
      </c>
      <c r="E459" s="41" t="str">
        <f>IFERROR(__xludf.DUMMYFUNCTION("vlookup(D459,IMPORTRANGE(""https://docs.google.com/spreadsheets/d/1swGwZOEqYlTEUCJLY-eeJM1911Kvaei5oySBIxdgtNo/edit?pli=1#gid=257618397"",""stock untanna!B:C""),2,false)"),"MAP KANCING SIKA AC-05 HIJAU")</f>
        <v>MAP KANCING SIKA AC-05 HIJAU</v>
      </c>
      <c r="F459" s="70" t="s">
        <v>799</v>
      </c>
      <c r="G459" s="71" t="s">
        <v>800</v>
      </c>
      <c r="H459" s="41"/>
      <c r="I459" s="42"/>
      <c r="J459" s="43" t="str">
        <f t="shared" si="1"/>
        <v>ADA</v>
      </c>
      <c r="K459" s="72">
        <v>10.0</v>
      </c>
      <c r="L459" s="53" t="s">
        <v>62</v>
      </c>
      <c r="M459" s="73">
        <v>21000.0</v>
      </c>
      <c r="N459" s="74"/>
      <c r="O459" s="73">
        <v>210000.0</v>
      </c>
      <c r="P459" s="46" t="str">
        <f t="shared" si="2"/>
        <v>Rp21,000-10 LSN-0.00%</v>
      </c>
      <c r="Q459" s="75">
        <v>45409.0</v>
      </c>
      <c r="R459" s="76"/>
      <c r="S459" s="75">
        <v>45419.0</v>
      </c>
      <c r="T459" s="49"/>
    </row>
    <row r="460">
      <c r="A460" s="82">
        <v>4404.0</v>
      </c>
      <c r="B460" s="69" t="s">
        <v>29</v>
      </c>
      <c r="C460" s="70" t="s">
        <v>761</v>
      </c>
      <c r="D460" s="69" t="s">
        <v>801</v>
      </c>
      <c r="E460" s="41" t="str">
        <f>IFERROR(__xludf.DUMMYFUNCTION("vlookup(D460,IMPORTRANGE(""https://docs.google.com/spreadsheets/d/1swGwZOEqYlTEUCJLY-eeJM1911Kvaei5oySBIxdgtNo/edit?pli=1#gid=257618397"",""stock untanna!B:C""),2,false)"),"MAP KANCING SIKA AC-05 MERAH")</f>
        <v>MAP KANCING SIKA AC-05 MERAH</v>
      </c>
      <c r="F460" s="70" t="s">
        <v>801</v>
      </c>
      <c r="G460" s="71" t="s">
        <v>802</v>
      </c>
      <c r="H460" s="41"/>
      <c r="I460" s="42"/>
      <c r="J460" s="43" t="str">
        <f t="shared" si="1"/>
        <v>ADA</v>
      </c>
      <c r="K460" s="72">
        <v>2.0</v>
      </c>
      <c r="L460" s="53" t="s">
        <v>62</v>
      </c>
      <c r="M460" s="73">
        <v>21000.0</v>
      </c>
      <c r="N460" s="74"/>
      <c r="O460" s="73">
        <v>42000.0</v>
      </c>
      <c r="P460" s="46" t="str">
        <f t="shared" si="2"/>
        <v>Rp21,000-2 LSN-0.00%</v>
      </c>
      <c r="Q460" s="75">
        <v>45409.0</v>
      </c>
      <c r="R460" s="76"/>
      <c r="S460" s="75">
        <v>45419.0</v>
      </c>
      <c r="T460" s="49"/>
    </row>
    <row r="461">
      <c r="A461" s="82">
        <v>4405.0</v>
      </c>
      <c r="B461" s="69" t="s">
        <v>29</v>
      </c>
      <c r="C461" s="70" t="s">
        <v>761</v>
      </c>
      <c r="D461" s="69"/>
      <c r="E461" s="41" t="s">
        <v>803</v>
      </c>
      <c r="F461" s="70"/>
      <c r="G461" s="71" t="s">
        <v>803</v>
      </c>
      <c r="H461" s="41"/>
      <c r="I461" s="42"/>
      <c r="J461" s="43" t="str">
        <f t="shared" si="1"/>
        <v>TIDAK ADA</v>
      </c>
      <c r="K461" s="72">
        <v>50.0</v>
      </c>
      <c r="L461" s="53" t="s">
        <v>69</v>
      </c>
      <c r="M461" s="73">
        <v>1400.0</v>
      </c>
      <c r="N461" s="74"/>
      <c r="O461" s="73">
        <v>70000.0</v>
      </c>
      <c r="P461" s="46" t="str">
        <f t="shared" si="2"/>
        <v>Rp1,400-50 PCS-0.00%</v>
      </c>
      <c r="Q461" s="75">
        <v>45409.0</v>
      </c>
      <c r="R461" s="76"/>
      <c r="S461" s="75">
        <v>45419.0</v>
      </c>
      <c r="T461" s="49"/>
    </row>
    <row r="462">
      <c r="A462" s="82">
        <v>4405.0</v>
      </c>
      <c r="B462" s="69" t="s">
        <v>29</v>
      </c>
      <c r="C462" s="70" t="s">
        <v>761</v>
      </c>
      <c r="D462" s="69" t="s">
        <v>804</v>
      </c>
      <c r="E462" s="41" t="str">
        <f>IFERROR(__xludf.DUMMYFUNCTION("vlookup(D462,IMPORTRANGE(""https://docs.google.com/spreadsheets/d/1swGwZOEqYlTEUCJLY-eeJM1911Kvaei5oySBIxdgtNo/edit?pli=1#gid=257618397"",""stock untanna!B:C""),2,false)"),"NOTES 156-80")</f>
        <v>NOTES 156-80</v>
      </c>
      <c r="F462" s="70" t="s">
        <v>804</v>
      </c>
      <c r="G462" s="71" t="s">
        <v>805</v>
      </c>
      <c r="H462" s="41"/>
      <c r="I462" s="42"/>
      <c r="J462" s="43" t="str">
        <f t="shared" si="1"/>
        <v>ADA</v>
      </c>
      <c r="K462" s="72">
        <v>3.0</v>
      </c>
      <c r="L462" s="53" t="s">
        <v>62</v>
      </c>
      <c r="M462" s="73">
        <v>35000.0</v>
      </c>
      <c r="N462" s="74"/>
      <c r="O462" s="73">
        <v>105000.0</v>
      </c>
      <c r="P462" s="46" t="str">
        <f t="shared" si="2"/>
        <v>Rp35,000-3 LSN-0.00%</v>
      </c>
      <c r="Q462" s="75">
        <v>45409.0</v>
      </c>
      <c r="R462" s="76"/>
      <c r="S462" s="75">
        <v>45419.0</v>
      </c>
      <c r="T462" s="49"/>
    </row>
    <row r="463">
      <c r="A463" s="82">
        <v>4405.0</v>
      </c>
      <c r="B463" s="69" t="s">
        <v>29</v>
      </c>
      <c r="C463" s="70" t="s">
        <v>761</v>
      </c>
      <c r="D463" s="50" t="s">
        <v>806</v>
      </c>
      <c r="E463" s="41" t="str">
        <f>IFERROR(__xludf.DUMMYFUNCTION("vlookup(D463,IMPORTRANGE(""https://docs.google.com/spreadsheets/d/1swGwZOEqYlTEUCJLY-eeJM1911Kvaei5oySBIxdgtNo/edit?pli=1#gid=257618397"",""stock untanna!B:C""),2,false)"),"MAP TALI SIKA BIRU")</f>
        <v>MAP TALI SIKA BIRU</v>
      </c>
      <c r="F463" s="70" t="s">
        <v>807</v>
      </c>
      <c r="G463" s="71" t="s">
        <v>808</v>
      </c>
      <c r="H463" s="41"/>
      <c r="I463" s="42"/>
      <c r="J463" s="43" t="str">
        <f t="shared" si="1"/>
        <v>ADA</v>
      </c>
      <c r="K463" s="72">
        <v>2.0</v>
      </c>
      <c r="L463" s="53" t="s">
        <v>62</v>
      </c>
      <c r="M463" s="73">
        <v>21000.0</v>
      </c>
      <c r="N463" s="74"/>
      <c r="O463" s="73">
        <v>42000.0</v>
      </c>
      <c r="P463" s="46" t="str">
        <f t="shared" si="2"/>
        <v>Rp21,000-2 LSN-0.00%</v>
      </c>
      <c r="Q463" s="75">
        <v>45409.0</v>
      </c>
      <c r="R463" s="76"/>
      <c r="S463" s="75">
        <v>45419.0</v>
      </c>
      <c r="T463" s="49"/>
    </row>
    <row r="464">
      <c r="A464" s="82">
        <v>4405.0</v>
      </c>
      <c r="B464" s="69" t="s">
        <v>29</v>
      </c>
      <c r="C464" s="70" t="s">
        <v>761</v>
      </c>
      <c r="D464" s="50" t="s">
        <v>809</v>
      </c>
      <c r="E464" s="41" t="str">
        <f>IFERROR(__xludf.DUMMYFUNCTION("vlookup(D464,IMPORTRANGE(""https://docs.google.com/spreadsheets/d/1swGwZOEqYlTEUCJLY-eeJM1911Kvaei5oySBIxdgtNo/edit?pli=1#gid=257618397"",""stock untanna!B:C""),2,false)"),"MAP TALI SIKA HIJAU")</f>
        <v>MAP TALI SIKA HIJAU</v>
      </c>
      <c r="F464" s="70" t="s">
        <v>810</v>
      </c>
      <c r="G464" s="71" t="s">
        <v>811</v>
      </c>
      <c r="H464" s="41"/>
      <c r="I464" s="42"/>
      <c r="J464" s="43" t="str">
        <f t="shared" si="1"/>
        <v>ADA</v>
      </c>
      <c r="K464" s="72">
        <v>2.0</v>
      </c>
      <c r="L464" s="53" t="s">
        <v>62</v>
      </c>
      <c r="M464" s="73">
        <v>21000.0</v>
      </c>
      <c r="N464" s="74"/>
      <c r="O464" s="73">
        <v>42000.0</v>
      </c>
      <c r="P464" s="46" t="str">
        <f t="shared" si="2"/>
        <v>Rp21,000-2 LSN-0.00%</v>
      </c>
      <c r="Q464" s="75">
        <v>45409.0</v>
      </c>
      <c r="R464" s="76"/>
      <c r="S464" s="75">
        <v>45419.0</v>
      </c>
      <c r="T464" s="49"/>
    </row>
    <row r="465">
      <c r="A465" s="82">
        <v>4405.0</v>
      </c>
      <c r="B465" s="69" t="s">
        <v>29</v>
      </c>
      <c r="C465" s="70" t="s">
        <v>761</v>
      </c>
      <c r="D465" s="69" t="s">
        <v>812</v>
      </c>
      <c r="E465" s="41" t="str">
        <f>IFERROR(__xludf.DUMMYFUNCTION("vlookup(D465,IMPORTRANGE(""https://docs.google.com/spreadsheets/d/1swGwZOEqYlTEUCJLY-eeJM1911Kvaei5oySBIxdgtNo/edit?pli=1#gid=257618397"",""stock untanna!B:C""),2,false)"),"SEMPOA 8025")</f>
        <v>SEMPOA 8025</v>
      </c>
      <c r="F465" s="70" t="s">
        <v>812</v>
      </c>
      <c r="G465" s="71" t="s">
        <v>813</v>
      </c>
      <c r="H465" s="41"/>
      <c r="I465" s="42"/>
      <c r="J465" s="43" t="str">
        <f t="shared" si="1"/>
        <v>ADA</v>
      </c>
      <c r="K465" s="72">
        <v>2.0</v>
      </c>
      <c r="L465" s="53" t="s">
        <v>62</v>
      </c>
      <c r="M465" s="73">
        <v>90000.0</v>
      </c>
      <c r="N465" s="74"/>
      <c r="O465" s="73">
        <v>180000.0</v>
      </c>
      <c r="P465" s="46" t="str">
        <f t="shared" si="2"/>
        <v>Rp90,000-2 LSN-0.00%</v>
      </c>
      <c r="Q465" s="75">
        <v>45409.0</v>
      </c>
      <c r="R465" s="76"/>
      <c r="S465" s="75">
        <v>45419.0</v>
      </c>
      <c r="T465" s="49"/>
    </row>
    <row r="466">
      <c r="A466" s="82">
        <v>4405.0</v>
      </c>
      <c r="B466" s="69" t="s">
        <v>29</v>
      </c>
      <c r="C466" s="70" t="s">
        <v>761</v>
      </c>
      <c r="D466" s="69"/>
      <c r="E466" s="41" t="s">
        <v>725</v>
      </c>
      <c r="F466" s="70"/>
      <c r="G466" s="71" t="s">
        <v>725</v>
      </c>
      <c r="H466" s="41"/>
      <c r="I466" s="42"/>
      <c r="J466" s="43" t="str">
        <f t="shared" si="1"/>
        <v>TIDAK ADA</v>
      </c>
      <c r="K466" s="72">
        <v>20.0</v>
      </c>
      <c r="L466" s="53" t="s">
        <v>69</v>
      </c>
      <c r="M466" s="73">
        <v>3000.0</v>
      </c>
      <c r="N466" s="74"/>
      <c r="O466" s="73">
        <v>60000.0</v>
      </c>
      <c r="P466" s="46" t="str">
        <f t="shared" si="2"/>
        <v>Rp3,000-20 PCS-0.00%</v>
      </c>
      <c r="Q466" s="75">
        <v>45409.0</v>
      </c>
      <c r="R466" s="76"/>
      <c r="S466" s="75">
        <v>45419.0</v>
      </c>
      <c r="T466" s="80" t="s">
        <v>280</v>
      </c>
    </row>
    <row r="467">
      <c r="A467" s="82">
        <v>4405.0</v>
      </c>
      <c r="B467" s="69" t="s">
        <v>29</v>
      </c>
      <c r="C467" s="70" t="s">
        <v>761</v>
      </c>
      <c r="D467" s="69"/>
      <c r="E467" s="41" t="s">
        <v>814</v>
      </c>
      <c r="F467" s="70"/>
      <c r="G467" s="71" t="s">
        <v>814</v>
      </c>
      <c r="H467" s="41"/>
      <c r="I467" s="42"/>
      <c r="J467" s="43" t="str">
        <f t="shared" si="1"/>
        <v>TIDAK ADA</v>
      </c>
      <c r="K467" s="72">
        <v>3.0</v>
      </c>
      <c r="L467" s="53" t="s">
        <v>62</v>
      </c>
      <c r="M467" s="73">
        <v>15000.0</v>
      </c>
      <c r="N467" s="74"/>
      <c r="O467" s="73">
        <v>45000.0</v>
      </c>
      <c r="P467" s="46" t="str">
        <f t="shared" si="2"/>
        <v>Rp15,000-3 LSN-0.00%</v>
      </c>
      <c r="Q467" s="75">
        <v>45409.0</v>
      </c>
      <c r="R467" s="76"/>
      <c r="S467" s="75">
        <v>45419.0</v>
      </c>
      <c r="T467" s="49"/>
    </row>
    <row r="468">
      <c r="A468" s="82">
        <v>4405.0</v>
      </c>
      <c r="B468" s="69" t="s">
        <v>29</v>
      </c>
      <c r="C468" s="70" t="s">
        <v>761</v>
      </c>
      <c r="D468" s="69"/>
      <c r="E468" s="41" t="s">
        <v>815</v>
      </c>
      <c r="F468" s="70"/>
      <c r="G468" s="71" t="s">
        <v>815</v>
      </c>
      <c r="H468" s="41"/>
      <c r="I468" s="42"/>
      <c r="J468" s="43" t="str">
        <f t="shared" si="1"/>
        <v>TIDAK ADA</v>
      </c>
      <c r="K468" s="72">
        <v>2.0</v>
      </c>
      <c r="L468" s="53" t="s">
        <v>62</v>
      </c>
      <c r="M468" s="73">
        <v>15000.0</v>
      </c>
      <c r="N468" s="74"/>
      <c r="O468" s="73">
        <v>30000.0</v>
      </c>
      <c r="P468" s="46" t="str">
        <f t="shared" si="2"/>
        <v>Rp15,000-2 LSN-0.00%</v>
      </c>
      <c r="Q468" s="75">
        <v>45409.0</v>
      </c>
      <c r="R468" s="76"/>
      <c r="S468" s="75">
        <v>45419.0</v>
      </c>
      <c r="T468" s="49"/>
    </row>
    <row r="469">
      <c r="A469" s="82">
        <v>4405.0</v>
      </c>
      <c r="B469" s="69" t="s">
        <v>29</v>
      </c>
      <c r="C469" s="70" t="s">
        <v>761</v>
      </c>
      <c r="D469" s="69" t="s">
        <v>816</v>
      </c>
      <c r="E469" s="41" t="str">
        <f>IFERROR(__xludf.DUMMYFUNCTION("vlookup(D469,IMPORTRANGE(""https://docs.google.com/spreadsheets/d/1swGwZOEqYlTEUCJLY-eeJM1911Kvaei5oySBIxdgtNo/edit?pli=1#gid=257618397"",""stock untanna!B:C""),2,false)"),"SELANG PIANIKA SP 12 (1) 246")</f>
        <v>SELANG PIANIKA SP 12 (1) 246</v>
      </c>
      <c r="F469" s="70" t="s">
        <v>816</v>
      </c>
      <c r="G469" s="71" t="s">
        <v>817</v>
      </c>
      <c r="H469" s="41"/>
      <c r="I469" s="42"/>
      <c r="J469" s="43" t="str">
        <f t="shared" si="1"/>
        <v>ADA</v>
      </c>
      <c r="K469" s="72">
        <v>12.0</v>
      </c>
      <c r="L469" s="53" t="s">
        <v>69</v>
      </c>
      <c r="M469" s="73">
        <v>15000.0</v>
      </c>
      <c r="N469" s="74"/>
      <c r="O469" s="73">
        <v>180000.0</v>
      </c>
      <c r="P469" s="46" t="str">
        <f t="shared" si="2"/>
        <v>Rp15,000-12 PCS-0.00%</v>
      </c>
      <c r="Q469" s="75">
        <v>45409.0</v>
      </c>
      <c r="R469" s="76"/>
      <c r="S469" s="75">
        <v>45419.0</v>
      </c>
      <c r="T469" s="49"/>
    </row>
    <row r="470">
      <c r="A470" s="82">
        <v>4405.0</v>
      </c>
      <c r="B470" s="69" t="s">
        <v>29</v>
      </c>
      <c r="C470" s="70" t="s">
        <v>761</v>
      </c>
      <c r="D470" s="69"/>
      <c r="E470" s="41" t="s">
        <v>818</v>
      </c>
      <c r="F470" s="70"/>
      <c r="G470" s="71" t="s">
        <v>818</v>
      </c>
      <c r="H470" s="41"/>
      <c r="I470" s="42"/>
      <c r="J470" s="43" t="str">
        <f t="shared" si="1"/>
        <v>TIDAK ADA</v>
      </c>
      <c r="K470" s="72">
        <v>3.0</v>
      </c>
      <c r="L470" s="53" t="s">
        <v>69</v>
      </c>
      <c r="M470" s="73">
        <v>20000.0</v>
      </c>
      <c r="N470" s="74"/>
      <c r="O470" s="73">
        <v>60000.0</v>
      </c>
      <c r="P470" s="46" t="str">
        <f t="shared" si="2"/>
        <v>Rp20,000-3 PCS-0.00%</v>
      </c>
      <c r="Q470" s="75">
        <v>45409.0</v>
      </c>
      <c r="R470" s="76"/>
      <c r="S470" s="75">
        <v>45419.0</v>
      </c>
      <c r="T470" s="49"/>
    </row>
    <row r="471">
      <c r="A471" s="82">
        <v>4405.0</v>
      </c>
      <c r="B471" s="69" t="s">
        <v>29</v>
      </c>
      <c r="C471" s="70" t="s">
        <v>761</v>
      </c>
      <c r="D471" s="69"/>
      <c r="E471" s="41" t="s">
        <v>819</v>
      </c>
      <c r="F471" s="70"/>
      <c r="G471" s="71" t="s">
        <v>819</v>
      </c>
      <c r="H471" s="41"/>
      <c r="I471" s="42"/>
      <c r="J471" s="43" t="str">
        <f t="shared" si="1"/>
        <v>TIDAK ADA</v>
      </c>
      <c r="K471" s="72">
        <v>2.0</v>
      </c>
      <c r="L471" s="53" t="s">
        <v>62</v>
      </c>
      <c r="M471" s="73">
        <v>15000.0</v>
      </c>
      <c r="N471" s="74"/>
      <c r="O471" s="73">
        <v>30000.0</v>
      </c>
      <c r="P471" s="46" t="str">
        <f t="shared" si="2"/>
        <v>Rp15,000-2 LSN-0.00%</v>
      </c>
      <c r="Q471" s="75">
        <v>45409.0</v>
      </c>
      <c r="R471" s="76"/>
      <c r="S471" s="75">
        <v>45419.0</v>
      </c>
      <c r="T471" s="49"/>
    </row>
    <row r="472">
      <c r="A472" s="82">
        <v>4405.0</v>
      </c>
      <c r="B472" s="69" t="s">
        <v>29</v>
      </c>
      <c r="C472" s="70" t="s">
        <v>761</v>
      </c>
      <c r="D472" s="69"/>
      <c r="E472" s="41" t="s">
        <v>820</v>
      </c>
      <c r="F472" s="70"/>
      <c r="G472" s="71" t="s">
        <v>820</v>
      </c>
      <c r="H472" s="41"/>
      <c r="I472" s="42"/>
      <c r="J472" s="43" t="str">
        <f t="shared" si="1"/>
        <v>TIDAK ADA</v>
      </c>
      <c r="K472" s="72">
        <v>1.0</v>
      </c>
      <c r="L472" s="53" t="s">
        <v>62</v>
      </c>
      <c r="M472" s="73">
        <v>150000.0</v>
      </c>
      <c r="N472" s="74"/>
      <c r="O472" s="73">
        <v>150000.0</v>
      </c>
      <c r="P472" s="46" t="str">
        <f t="shared" si="2"/>
        <v>Rp150,000-1 LSN-0.00%</v>
      </c>
      <c r="Q472" s="75">
        <v>45409.0</v>
      </c>
      <c r="R472" s="76"/>
      <c r="S472" s="75">
        <v>45419.0</v>
      </c>
      <c r="T472" s="49"/>
    </row>
    <row r="473">
      <c r="A473" s="82">
        <v>4405.0</v>
      </c>
      <c r="B473" s="69" t="s">
        <v>29</v>
      </c>
      <c r="C473" s="70" t="s">
        <v>761</v>
      </c>
      <c r="D473" s="69" t="s">
        <v>821</v>
      </c>
      <c r="E473" s="41" t="str">
        <f>IFERROR(__xludf.DUMMYFUNCTION("vlookup(D473,IMPORTRANGE(""https://docs.google.com/spreadsheets/d/1swGwZOEqYlTEUCJLY-eeJM1911Kvaei5oySBIxdgtNo/edit?pli=1#gid=257618397"",""stock untanna!B:C""),2,false)"),"PENSIL CASE C-8023")</f>
        <v>PENSIL CASE C-8023</v>
      </c>
      <c r="F473" s="70" t="s">
        <v>821</v>
      </c>
      <c r="G473" s="71" t="s">
        <v>822</v>
      </c>
      <c r="H473" s="41"/>
      <c r="I473" s="42"/>
      <c r="J473" s="43" t="str">
        <f t="shared" si="1"/>
        <v>ADA</v>
      </c>
      <c r="K473" s="72">
        <v>12.0</v>
      </c>
      <c r="L473" s="53" t="s">
        <v>69</v>
      </c>
      <c r="M473" s="73">
        <v>20000.0</v>
      </c>
      <c r="N473" s="74"/>
      <c r="O473" s="73">
        <v>240000.0</v>
      </c>
      <c r="P473" s="46" t="str">
        <f t="shared" si="2"/>
        <v>Rp20,000-12 PCS-0.00%</v>
      </c>
      <c r="Q473" s="75">
        <v>45409.0</v>
      </c>
      <c r="R473" s="76"/>
      <c r="S473" s="75">
        <v>45419.0</v>
      </c>
      <c r="T473" s="49"/>
    </row>
    <row r="474">
      <c r="A474" s="82">
        <v>4405.0</v>
      </c>
      <c r="B474" s="69" t="s">
        <v>29</v>
      </c>
      <c r="C474" s="70" t="s">
        <v>761</v>
      </c>
      <c r="D474" s="69" t="s">
        <v>823</v>
      </c>
      <c r="E474" s="41" t="str">
        <f>IFERROR(__xludf.DUMMYFUNCTION("vlookup(D474,IMPORTRANGE(""https://docs.google.com/spreadsheets/d/1swGwZOEqYlTEUCJLY-eeJM1911Kvaei5oySBIxdgtNo/edit?pli=1#gid=257618397"",""stock untanna!B:C""),2,false)"),"PENCIL CASE K-96")</f>
        <v>PENCIL CASE K-96</v>
      </c>
      <c r="F474" s="70" t="s">
        <v>823</v>
      </c>
      <c r="G474" s="71" t="s">
        <v>824</v>
      </c>
      <c r="H474" s="41"/>
      <c r="I474" s="42"/>
      <c r="J474" s="43" t="str">
        <f t="shared" si="1"/>
        <v>ADA</v>
      </c>
      <c r="K474" s="72">
        <v>12.0</v>
      </c>
      <c r="L474" s="53" t="s">
        <v>69</v>
      </c>
      <c r="M474" s="73">
        <v>15833.0</v>
      </c>
      <c r="N474" s="74"/>
      <c r="O474" s="73">
        <v>189996.0</v>
      </c>
      <c r="P474" s="46" t="str">
        <f t="shared" si="2"/>
        <v>Rp15,833-12 PCS-0.00%</v>
      </c>
      <c r="Q474" s="75">
        <v>45409.0</v>
      </c>
      <c r="R474" s="76"/>
      <c r="S474" s="75">
        <v>45419.0</v>
      </c>
      <c r="T474" s="49"/>
    </row>
    <row r="475">
      <c r="A475" s="82">
        <v>4405.0</v>
      </c>
      <c r="B475" s="69" t="s">
        <v>29</v>
      </c>
      <c r="C475" s="70" t="s">
        <v>761</v>
      </c>
      <c r="D475" s="69"/>
      <c r="E475" s="41" t="s">
        <v>825</v>
      </c>
      <c r="F475" s="70"/>
      <c r="G475" s="71" t="s">
        <v>825</v>
      </c>
      <c r="H475" s="41"/>
      <c r="I475" s="42"/>
      <c r="J475" s="43" t="str">
        <f t="shared" si="1"/>
        <v>TIDAK ADA</v>
      </c>
      <c r="K475" s="72">
        <v>1.0</v>
      </c>
      <c r="L475" s="53" t="s">
        <v>62</v>
      </c>
      <c r="M475" s="73">
        <v>225000.0</v>
      </c>
      <c r="N475" s="74"/>
      <c r="O475" s="73">
        <v>225000.0</v>
      </c>
      <c r="P475" s="46" t="str">
        <f t="shared" si="2"/>
        <v>Rp225,000-1 LSN-0.00%</v>
      </c>
      <c r="Q475" s="75">
        <v>45409.0</v>
      </c>
      <c r="R475" s="76"/>
      <c r="S475" s="75">
        <v>45419.0</v>
      </c>
      <c r="T475" s="80" t="s">
        <v>280</v>
      </c>
    </row>
    <row r="476">
      <c r="A476" s="82">
        <v>4405.0</v>
      </c>
      <c r="B476" s="69" t="s">
        <v>29</v>
      </c>
      <c r="C476" s="70" t="s">
        <v>761</v>
      </c>
      <c r="D476" s="69" t="s">
        <v>545</v>
      </c>
      <c r="E476" s="41" t="str">
        <f>IFERROR(__xludf.DUMMYFUNCTION("vlookup(D476,IMPORTRANGE(""https://docs.google.com/spreadsheets/d/1swGwZOEqYlTEUCJLY-eeJM1911Kvaei5oySBIxdgtNo/edit?pli=1#gid=257618397"",""stock untanna!B:C""),2,false)"),"PALET CAT AIR SAKURA PUTIH UTN")</f>
        <v>PALET CAT AIR SAKURA PUTIH UTN</v>
      </c>
      <c r="F476" s="70" t="s">
        <v>545</v>
      </c>
      <c r="G476" s="71" t="s">
        <v>546</v>
      </c>
      <c r="H476" s="41"/>
      <c r="I476" s="42"/>
      <c r="J476" s="43" t="str">
        <f t="shared" si="1"/>
        <v>ADA</v>
      </c>
      <c r="K476" s="72">
        <v>3.0</v>
      </c>
      <c r="L476" s="53" t="s">
        <v>62</v>
      </c>
      <c r="M476" s="73">
        <v>15000.0</v>
      </c>
      <c r="N476" s="74"/>
      <c r="O476" s="73">
        <v>45000.0</v>
      </c>
      <c r="P476" s="46" t="str">
        <f t="shared" si="2"/>
        <v>Rp15,000-3 LSN-0.00%</v>
      </c>
      <c r="Q476" s="75">
        <v>45409.0</v>
      </c>
      <c r="R476" s="76"/>
      <c r="S476" s="75">
        <v>45419.0</v>
      </c>
      <c r="T476" s="49"/>
    </row>
    <row r="477">
      <c r="A477" s="82">
        <v>4406.0</v>
      </c>
      <c r="B477" s="69" t="s">
        <v>29</v>
      </c>
      <c r="C477" s="70" t="s">
        <v>761</v>
      </c>
      <c r="D477" s="69"/>
      <c r="E477" s="41" t="s">
        <v>826</v>
      </c>
      <c r="F477" s="70"/>
      <c r="G477" s="71" t="s">
        <v>826</v>
      </c>
      <c r="H477" s="41"/>
      <c r="I477" s="42"/>
      <c r="J477" s="43" t="str">
        <f t="shared" si="1"/>
        <v>TIDAK ADA</v>
      </c>
      <c r="K477" s="72">
        <v>6.0</v>
      </c>
      <c r="L477" s="53" t="s">
        <v>69</v>
      </c>
      <c r="M477" s="73">
        <v>22500.0</v>
      </c>
      <c r="N477" s="74"/>
      <c r="O477" s="73">
        <v>135000.0</v>
      </c>
      <c r="P477" s="46" t="str">
        <f t="shared" si="2"/>
        <v>Rp22,500-6 PCS-0.00%</v>
      </c>
      <c r="Q477" s="75">
        <v>45409.0</v>
      </c>
      <c r="R477" s="76"/>
      <c r="S477" s="75">
        <v>45419.0</v>
      </c>
      <c r="T477" s="49"/>
    </row>
    <row r="478">
      <c r="A478" s="82">
        <v>4406.0</v>
      </c>
      <c r="B478" s="69" t="s">
        <v>29</v>
      </c>
      <c r="C478" s="70" t="s">
        <v>761</v>
      </c>
      <c r="D478" s="69" t="s">
        <v>827</v>
      </c>
      <c r="E478" s="41" t="str">
        <f>IFERROR(__xludf.DUMMYFUNCTION("vlookup(D478,IMPORTRANGE(""https://docs.google.com/spreadsheets/d/1swGwZOEqYlTEUCJLY-eeJM1911Kvaei5oySBIxdgtNo/edit?pli=1#gid=257618397"",""stock untanna!B:C""),2,false)"),"PAPAN WHITE BOARD XG POLOS 30 X 40")</f>
        <v>PAPAN WHITE BOARD XG POLOS 30 X 40</v>
      </c>
      <c r="F478" s="70" t="s">
        <v>827</v>
      </c>
      <c r="G478" s="71" t="s">
        <v>828</v>
      </c>
      <c r="H478" s="41"/>
      <c r="I478" s="42"/>
      <c r="J478" s="43" t="str">
        <f t="shared" si="1"/>
        <v>ADA</v>
      </c>
      <c r="K478" s="72">
        <v>6.0</v>
      </c>
      <c r="L478" s="53" t="s">
        <v>69</v>
      </c>
      <c r="M478" s="73">
        <v>27500.0</v>
      </c>
      <c r="N478" s="74"/>
      <c r="O478" s="73">
        <v>165000.0</v>
      </c>
      <c r="P478" s="46" t="str">
        <f t="shared" si="2"/>
        <v>Rp27,500-6 PCS-0.00%</v>
      </c>
      <c r="Q478" s="75">
        <v>45409.0</v>
      </c>
      <c r="R478" s="76"/>
      <c r="S478" s="75">
        <v>45419.0</v>
      </c>
      <c r="T478" s="49"/>
    </row>
    <row r="479">
      <c r="A479" s="82">
        <v>4406.0</v>
      </c>
      <c r="B479" s="69" t="s">
        <v>29</v>
      </c>
      <c r="C479" s="70" t="s">
        <v>761</v>
      </c>
      <c r="D479" s="69"/>
      <c r="E479" s="41" t="s">
        <v>829</v>
      </c>
      <c r="F479" s="70"/>
      <c r="G479" s="71" t="s">
        <v>829</v>
      </c>
      <c r="H479" s="41"/>
      <c r="I479" s="42"/>
      <c r="J479" s="43" t="str">
        <f t="shared" si="1"/>
        <v>TIDAK ADA</v>
      </c>
      <c r="K479" s="72">
        <v>3.0</v>
      </c>
      <c r="L479" s="53" t="s">
        <v>62</v>
      </c>
      <c r="M479" s="73">
        <v>15600.0</v>
      </c>
      <c r="N479" s="74"/>
      <c r="O479" s="73">
        <v>46800.0</v>
      </c>
      <c r="P479" s="46" t="str">
        <f t="shared" si="2"/>
        <v>Rp15,600-3 LSN-0.00%</v>
      </c>
      <c r="Q479" s="75">
        <v>45409.0</v>
      </c>
      <c r="R479" s="76"/>
      <c r="S479" s="75">
        <v>45419.0</v>
      </c>
      <c r="T479" s="49"/>
    </row>
    <row r="480">
      <c r="A480" s="82">
        <v>4406.0</v>
      </c>
      <c r="B480" s="69" t="s">
        <v>29</v>
      </c>
      <c r="C480" s="70" t="s">
        <v>761</v>
      </c>
      <c r="D480" s="69" t="s">
        <v>830</v>
      </c>
      <c r="E480" s="41" t="str">
        <f>IFERROR(__xludf.DUMMYFUNCTION("vlookup(D480,IMPORTRANGE(""https://docs.google.com/spreadsheets/d/1swGwZOEqYlTEUCJLY-eeJM1911Kvaei5oySBIxdgtNo/edit?pli=1#gid=257618397"",""stock untanna!B:C""),2,false)"),"STIP RENCAI RC 700")</f>
        <v>STIP RENCAI RC 700</v>
      </c>
      <c r="F480" s="70" t="s">
        <v>830</v>
      </c>
      <c r="G480" s="71" t="s">
        <v>831</v>
      </c>
      <c r="H480" s="41"/>
      <c r="I480" s="42"/>
      <c r="J480" s="43" t="str">
        <f t="shared" si="1"/>
        <v>ADA</v>
      </c>
      <c r="K480" s="72">
        <v>4.0</v>
      </c>
      <c r="L480" s="53" t="s">
        <v>62</v>
      </c>
      <c r="M480" s="73">
        <v>12500.0</v>
      </c>
      <c r="N480" s="83">
        <v>0.1</v>
      </c>
      <c r="O480" s="73">
        <v>45000.0</v>
      </c>
      <c r="P480" s="46" t="str">
        <f t="shared" si="2"/>
        <v>Rp12,500-4 LSN-10.00%</v>
      </c>
      <c r="Q480" s="75">
        <v>45409.0</v>
      </c>
      <c r="R480" s="76"/>
      <c r="S480" s="75">
        <v>45419.0</v>
      </c>
      <c r="T480" s="49"/>
    </row>
    <row r="481">
      <c r="A481" s="82">
        <v>4406.0</v>
      </c>
      <c r="B481" s="69" t="s">
        <v>29</v>
      </c>
      <c r="C481" s="70" t="s">
        <v>761</v>
      </c>
      <c r="D481" s="69"/>
      <c r="E481" s="41" t="s">
        <v>832</v>
      </c>
      <c r="F481" s="70"/>
      <c r="G481" s="71" t="s">
        <v>832</v>
      </c>
      <c r="H481" s="41"/>
      <c r="I481" s="42"/>
      <c r="J481" s="43" t="str">
        <f t="shared" si="1"/>
        <v>TIDAK ADA</v>
      </c>
      <c r="K481" s="72">
        <v>1.0</v>
      </c>
      <c r="L481" s="53" t="s">
        <v>62</v>
      </c>
      <c r="M481" s="73">
        <v>32500.0</v>
      </c>
      <c r="N481" s="74"/>
      <c r="O481" s="73">
        <v>32500.0</v>
      </c>
      <c r="P481" s="46" t="str">
        <f t="shared" si="2"/>
        <v>Rp32,500-1 LSN-0.00%</v>
      </c>
      <c r="Q481" s="75">
        <v>45409.0</v>
      </c>
      <c r="R481" s="76"/>
      <c r="S481" s="75">
        <v>45419.0</v>
      </c>
      <c r="T481" s="80" t="s">
        <v>280</v>
      </c>
    </row>
    <row r="482">
      <c r="A482" s="82">
        <v>4406.0</v>
      </c>
      <c r="B482" s="69" t="s">
        <v>29</v>
      </c>
      <c r="C482" s="70" t="s">
        <v>761</v>
      </c>
      <c r="D482" s="69" t="s">
        <v>833</v>
      </c>
      <c r="E482" s="41" t="str">
        <f>IFERROR(__xludf.DUMMYFUNCTION("vlookup(D482,IMPORTRANGE(""https://docs.google.com/spreadsheets/d/1swGwZOEqYlTEUCJLY-eeJM1911Kvaei5oySBIxdgtNo/edit?pli=1#gid=257618397"",""stock untanna!B:C""),2,false)"),"MECHPEN TIZO TM 030-C")</f>
        <v>MECHPEN TIZO TM 030-C</v>
      </c>
      <c r="F482" s="70" t="s">
        <v>833</v>
      </c>
      <c r="G482" s="71" t="s">
        <v>834</v>
      </c>
      <c r="H482" s="41"/>
      <c r="I482" s="42"/>
      <c r="J482" s="43" t="str">
        <f t="shared" si="1"/>
        <v>ADA</v>
      </c>
      <c r="K482" s="72">
        <v>1.0</v>
      </c>
      <c r="L482" s="53" t="s">
        <v>62</v>
      </c>
      <c r="M482" s="73">
        <v>32500.0</v>
      </c>
      <c r="N482" s="74"/>
      <c r="O482" s="73">
        <v>32500.0</v>
      </c>
      <c r="P482" s="46" t="str">
        <f t="shared" si="2"/>
        <v>Rp32,500-1 LSN-0.00%</v>
      </c>
      <c r="Q482" s="75">
        <v>45409.0</v>
      </c>
      <c r="R482" s="76"/>
      <c r="S482" s="75">
        <v>45419.0</v>
      </c>
      <c r="T482" s="49"/>
    </row>
    <row r="483">
      <c r="A483" s="82">
        <v>4406.0</v>
      </c>
      <c r="B483" s="69" t="s">
        <v>29</v>
      </c>
      <c r="C483" s="70" t="s">
        <v>761</v>
      </c>
      <c r="D483" s="69" t="s">
        <v>835</v>
      </c>
      <c r="E483" s="41" t="str">
        <f>IFERROR(__xludf.DUMMYFUNCTION("vlookup(D483,IMPORTRANGE(""https://docs.google.com/spreadsheets/d/1swGwZOEqYlTEUCJLY-eeJM1911Kvaei5oySBIxdgtNo/edit?pli=1#gid=257618397"",""stock untanna!B:C""),2,false)"),"MEKANIK PENSIL 2.0 TIZO TM01800")</f>
        <v>MEKANIK PENSIL 2.0 TIZO TM01800</v>
      </c>
      <c r="F483" s="70" t="s">
        <v>835</v>
      </c>
      <c r="G483" s="71" t="s">
        <v>836</v>
      </c>
      <c r="H483" s="41"/>
      <c r="I483" s="42"/>
      <c r="J483" s="43" t="str">
        <f t="shared" si="1"/>
        <v>ADA</v>
      </c>
      <c r="K483" s="72">
        <v>1.0</v>
      </c>
      <c r="L483" s="53" t="s">
        <v>62</v>
      </c>
      <c r="M483" s="73">
        <v>32500.0</v>
      </c>
      <c r="N483" s="74"/>
      <c r="O483" s="73">
        <v>32500.0</v>
      </c>
      <c r="P483" s="46" t="str">
        <f t="shared" si="2"/>
        <v>Rp32,500-1 LSN-0.00%</v>
      </c>
      <c r="Q483" s="75">
        <v>45409.0</v>
      </c>
      <c r="R483" s="76"/>
      <c r="S483" s="75">
        <v>45419.0</v>
      </c>
      <c r="T483" s="49"/>
    </row>
    <row r="484">
      <c r="A484" s="82">
        <v>4199.0</v>
      </c>
      <c r="B484" s="69" t="s">
        <v>29</v>
      </c>
      <c r="C484" s="70" t="s">
        <v>837</v>
      </c>
      <c r="D484" s="69" t="s">
        <v>428</v>
      </c>
      <c r="E484" s="41" t="str">
        <f>IFERROR(__xludf.DUMMYFUNCTION("vlookup(D484,IMPORTRANGE(""https://docs.google.com/spreadsheets/d/1swGwZOEqYlTEUCJLY-eeJM1911Kvaei5oySBIxdgtNo/edit?pli=1#gid=257618397"",""stock untanna!B:C""),2,false)"),"CAT ACRYLIC TF 001")</f>
        <v>CAT ACRYLIC TF 001</v>
      </c>
      <c r="F484" s="70" t="s">
        <v>428</v>
      </c>
      <c r="G484" s="71" t="s">
        <v>429</v>
      </c>
      <c r="H484" s="41"/>
      <c r="I484" s="42"/>
      <c r="J484" s="43" t="str">
        <f t="shared" si="1"/>
        <v>ADA</v>
      </c>
      <c r="K484" s="72">
        <v>18.0</v>
      </c>
      <c r="L484" s="53" t="s">
        <v>62</v>
      </c>
      <c r="M484" s="73">
        <v>198000.0</v>
      </c>
      <c r="N484" s="74"/>
      <c r="O484" s="73">
        <v>3564000.0</v>
      </c>
      <c r="P484" s="46" t="str">
        <f t="shared" si="2"/>
        <v>Rp198,000-18 LSN-0.00%</v>
      </c>
      <c r="Q484" s="75">
        <v>45409.0</v>
      </c>
      <c r="R484" s="76"/>
      <c r="S484" s="75">
        <v>45419.0</v>
      </c>
      <c r="T484" s="49"/>
    </row>
    <row r="485">
      <c r="A485" s="82">
        <v>4199.0</v>
      </c>
      <c r="B485" s="69" t="s">
        <v>29</v>
      </c>
      <c r="C485" s="70" t="s">
        <v>837</v>
      </c>
      <c r="D485" s="69" t="s">
        <v>838</v>
      </c>
      <c r="E485" s="41" t="str">
        <f>IFERROR(__xludf.DUMMYFUNCTION("vlookup(D485,IMPORTRANGE(""https://docs.google.com/spreadsheets/d/1swGwZOEqYlTEUCJLY-eeJM1911Kvaei5oySBIxdgtNo/edit?pli=1#gid=257618397"",""stock untanna!B:C""),2,false)"),"CAT ACRYLIC COLOUR TF AC-002")</f>
        <v>CAT ACRYLIC COLOUR TF AC-002</v>
      </c>
      <c r="F485" s="70" t="s">
        <v>838</v>
      </c>
      <c r="G485" s="71" t="s">
        <v>839</v>
      </c>
      <c r="H485" s="41"/>
      <c r="I485" s="42"/>
      <c r="J485" s="43" t="str">
        <f t="shared" si="1"/>
        <v>ADA</v>
      </c>
      <c r="K485" s="72">
        <v>15.0</v>
      </c>
      <c r="L485" s="53" t="s">
        <v>62</v>
      </c>
      <c r="M485" s="73">
        <v>270000.0</v>
      </c>
      <c r="N485" s="74"/>
      <c r="O485" s="73">
        <v>4050000.0</v>
      </c>
      <c r="P485" s="46" t="str">
        <f t="shared" si="2"/>
        <v>Rp270,000-15 LSN-0.00%</v>
      </c>
      <c r="Q485" s="75">
        <v>45409.0</v>
      </c>
      <c r="R485" s="76"/>
      <c r="S485" s="75">
        <v>45419.0</v>
      </c>
      <c r="T485" s="49"/>
    </row>
    <row r="486">
      <c r="A486" s="82">
        <v>4199.0</v>
      </c>
      <c r="B486" s="69" t="s">
        <v>29</v>
      </c>
      <c r="C486" s="70" t="s">
        <v>837</v>
      </c>
      <c r="D486" s="69" t="s">
        <v>840</v>
      </c>
      <c r="E486" s="41" t="str">
        <f>IFERROR(__xludf.DUMMYFUNCTION("vlookup(D486,IMPORTRANGE(""https://docs.google.com/spreadsheets/d/1swGwZOEqYlTEUCJLY-eeJM1911Kvaei5oySBIxdgtNo/edit?pli=1#gid=257618397"",""stock untanna!B:C""),2,false)"),"CAT ACRYLIC TF 003")</f>
        <v>CAT ACRYLIC TF 003</v>
      </c>
      <c r="F486" s="70" t="s">
        <v>840</v>
      </c>
      <c r="G486" s="71" t="s">
        <v>841</v>
      </c>
      <c r="H486" s="41"/>
      <c r="I486" s="42"/>
      <c r="J486" s="43" t="str">
        <f t="shared" si="1"/>
        <v>ADA</v>
      </c>
      <c r="K486" s="72">
        <v>18.0</v>
      </c>
      <c r="L486" s="53" t="s">
        <v>62</v>
      </c>
      <c r="M486" s="73">
        <v>312000.0</v>
      </c>
      <c r="N486" s="74"/>
      <c r="O486" s="73">
        <v>5616000.0</v>
      </c>
      <c r="P486" s="46" t="str">
        <f t="shared" si="2"/>
        <v>Rp312,000-18 LSN-0.00%</v>
      </c>
      <c r="Q486" s="75">
        <v>45409.0</v>
      </c>
      <c r="R486" s="76"/>
      <c r="S486" s="75">
        <v>45419.0</v>
      </c>
      <c r="T486" s="49"/>
    </row>
    <row r="487">
      <c r="A487" s="82">
        <v>4257.0</v>
      </c>
      <c r="B487" s="69" t="s">
        <v>65</v>
      </c>
      <c r="C487" s="70" t="s">
        <v>842</v>
      </c>
      <c r="D487" s="69"/>
      <c r="E487" s="41" t="s">
        <v>843</v>
      </c>
      <c r="F487" s="70"/>
      <c r="G487" s="71" t="s">
        <v>843</v>
      </c>
      <c r="H487" s="41"/>
      <c r="I487" s="42"/>
      <c r="J487" s="43" t="str">
        <f t="shared" si="1"/>
        <v>TIDAK ADA</v>
      </c>
      <c r="K487" s="72">
        <v>192.0</v>
      </c>
      <c r="L487" s="53" t="s">
        <v>69</v>
      </c>
      <c r="M487" s="73">
        <v>12500.0</v>
      </c>
      <c r="N487" s="74"/>
      <c r="O487" s="73">
        <v>2400000.0</v>
      </c>
      <c r="P487" s="46" t="str">
        <f t="shared" si="2"/>
        <v>Rp12,500-192 PCS-0.00%</v>
      </c>
      <c r="Q487" s="75">
        <v>45409.0</v>
      </c>
      <c r="R487" s="76"/>
      <c r="S487" s="75">
        <v>45419.0</v>
      </c>
      <c r="T487" s="49"/>
    </row>
    <row r="488">
      <c r="A488" s="82">
        <v>4257.0</v>
      </c>
      <c r="B488" s="69" t="s">
        <v>65</v>
      </c>
      <c r="C488" s="70" t="s">
        <v>842</v>
      </c>
      <c r="D488" s="69"/>
      <c r="E488" s="41" t="s">
        <v>844</v>
      </c>
      <c r="F488" s="70"/>
      <c r="G488" s="71" t="s">
        <v>844</v>
      </c>
      <c r="H488" s="41"/>
      <c r="I488" s="42"/>
      <c r="J488" s="43" t="str">
        <f t="shared" si="1"/>
        <v>TIDAK ADA</v>
      </c>
      <c r="K488" s="72">
        <v>192.0</v>
      </c>
      <c r="L488" s="53" t="s">
        <v>69</v>
      </c>
      <c r="M488" s="73">
        <v>14500.0</v>
      </c>
      <c r="N488" s="74"/>
      <c r="O488" s="73">
        <v>2784000.0</v>
      </c>
      <c r="P488" s="46" t="str">
        <f t="shared" si="2"/>
        <v>Rp14,500-192 PCS-0.00%</v>
      </c>
      <c r="Q488" s="75">
        <v>45409.0</v>
      </c>
      <c r="R488" s="76"/>
      <c r="S488" s="75">
        <v>45419.0</v>
      </c>
      <c r="T488" s="49"/>
    </row>
    <row r="489">
      <c r="A489" s="82">
        <v>3886.0</v>
      </c>
      <c r="B489" s="69" t="s">
        <v>29</v>
      </c>
      <c r="C489" s="70" t="s">
        <v>845</v>
      </c>
      <c r="D489" s="69" t="s">
        <v>214</v>
      </c>
      <c r="E489" s="41" t="str">
        <f>IFERROR(__xludf.DUMMYFUNCTION("vlookup(D489,IMPORTRANGE(""https://docs.google.com/spreadsheets/d/1swGwZOEqYlTEUCJLY-eeJM1911Kvaei5oySBIxdgtNo/edit?pli=1#gid=257618397"",""stock untanna!B:C""),2,false)"),"TAS COKLAT TEBAL KECIL ")</f>
        <v>TAS COKLAT TEBAL KECIL </v>
      </c>
      <c r="F489" s="70" t="s">
        <v>214</v>
      </c>
      <c r="G489" s="71" t="s">
        <v>215</v>
      </c>
      <c r="H489" s="41"/>
      <c r="I489" s="42"/>
      <c r="J489" s="43" t="str">
        <f t="shared" si="1"/>
        <v>ADA</v>
      </c>
      <c r="K489" s="72">
        <v>2.0</v>
      </c>
      <c r="L489" s="53" t="s">
        <v>62</v>
      </c>
      <c r="M489" s="73">
        <v>32500.0</v>
      </c>
      <c r="N489" s="83">
        <v>0.145</v>
      </c>
      <c r="O489" s="73">
        <v>55575.0</v>
      </c>
      <c r="P489" s="46" t="str">
        <f t="shared" si="2"/>
        <v>Rp32,500-2 LSN-14.50%</v>
      </c>
      <c r="Q489" s="75">
        <v>45409.0</v>
      </c>
      <c r="R489" s="76"/>
      <c r="S489" s="75">
        <v>45419.0</v>
      </c>
      <c r="T489" s="49"/>
    </row>
    <row r="490">
      <c r="A490" s="82">
        <v>3886.0</v>
      </c>
      <c r="B490" s="69" t="s">
        <v>29</v>
      </c>
      <c r="C490" s="70" t="s">
        <v>845</v>
      </c>
      <c r="D490" s="69" t="s">
        <v>216</v>
      </c>
      <c r="E490" s="41" t="str">
        <f>IFERROR(__xludf.DUMMYFUNCTION("vlookup(D490,IMPORTRANGE(""https://docs.google.com/spreadsheets/d/1swGwZOEqYlTEUCJLY-eeJM1911Kvaei5oySBIxdgtNo/edit?pli=1#gid=257618397"",""stock untanna!B:C""),2,false)"),"TAS COKLAT TEBAL BESAR")</f>
        <v>TAS COKLAT TEBAL BESAR</v>
      </c>
      <c r="F490" s="70" t="s">
        <v>216</v>
      </c>
      <c r="G490" s="71" t="s">
        <v>217</v>
      </c>
      <c r="H490" s="41"/>
      <c r="I490" s="42"/>
      <c r="J490" s="43" t="str">
        <f t="shared" si="1"/>
        <v>ADA</v>
      </c>
      <c r="K490" s="72">
        <v>2.0</v>
      </c>
      <c r="L490" s="53" t="s">
        <v>62</v>
      </c>
      <c r="M490" s="73">
        <v>52500.0</v>
      </c>
      <c r="N490" s="83">
        <v>0.145</v>
      </c>
      <c r="O490" s="73">
        <v>89775.0</v>
      </c>
      <c r="P490" s="46" t="str">
        <f t="shared" si="2"/>
        <v>Rp52,500-2 LSN-14.50%</v>
      </c>
      <c r="Q490" s="75">
        <v>45409.0</v>
      </c>
      <c r="R490" s="76"/>
      <c r="S490" s="75">
        <v>45419.0</v>
      </c>
      <c r="T490" s="49"/>
    </row>
    <row r="491">
      <c r="A491" s="82">
        <v>3886.0</v>
      </c>
      <c r="B491" s="69" t="s">
        <v>29</v>
      </c>
      <c r="C491" s="70" t="s">
        <v>845</v>
      </c>
      <c r="D491" s="69" t="s">
        <v>255</v>
      </c>
      <c r="E491" s="41" t="str">
        <f>IFERROR(__xludf.DUMMYFUNCTION("vlookup(D491,IMPORTRANGE(""https://docs.google.com/spreadsheets/d/1swGwZOEqYlTEUCJLY-eeJM1911Kvaei5oySBIxdgtNo/edit?pli=1#gid=257618397"",""stock untanna!B:C""),2,false)"),"TAS KERTAS 8867A")</f>
        <v>TAS KERTAS 8867A</v>
      </c>
      <c r="F491" s="70" t="s">
        <v>255</v>
      </c>
      <c r="G491" s="71" t="s">
        <v>256</v>
      </c>
      <c r="H491" s="41"/>
      <c r="I491" s="42"/>
      <c r="J491" s="43" t="str">
        <f t="shared" si="1"/>
        <v>ADA</v>
      </c>
      <c r="K491" s="72">
        <v>2.0</v>
      </c>
      <c r="L491" s="53" t="s">
        <v>62</v>
      </c>
      <c r="M491" s="73">
        <v>195000.0</v>
      </c>
      <c r="N491" s="83">
        <v>0.145</v>
      </c>
      <c r="O491" s="73">
        <v>333450.0</v>
      </c>
      <c r="P491" s="46" t="str">
        <f t="shared" si="2"/>
        <v>Rp195,000-2 LSN-14.50%</v>
      </c>
      <c r="Q491" s="75">
        <v>45409.0</v>
      </c>
      <c r="R491" s="76"/>
      <c r="S491" s="75">
        <v>45419.0</v>
      </c>
      <c r="T491" s="49"/>
    </row>
    <row r="492">
      <c r="A492" s="82">
        <v>3886.0</v>
      </c>
      <c r="B492" s="69" t="s">
        <v>29</v>
      </c>
      <c r="C492" s="70" t="s">
        <v>845</v>
      </c>
      <c r="D492" s="69"/>
      <c r="E492" s="41" t="s">
        <v>846</v>
      </c>
      <c r="F492" s="70"/>
      <c r="G492" s="71" t="s">
        <v>846</v>
      </c>
      <c r="H492" s="41"/>
      <c r="I492" s="42"/>
      <c r="J492" s="43" t="str">
        <f t="shared" si="1"/>
        <v>TIDAK ADA</v>
      </c>
      <c r="K492" s="72">
        <v>2.0</v>
      </c>
      <c r="L492" s="53" t="s">
        <v>62</v>
      </c>
      <c r="M492" s="73">
        <v>182000.0</v>
      </c>
      <c r="N492" s="83">
        <v>0.145</v>
      </c>
      <c r="O492" s="73">
        <v>311220.0</v>
      </c>
      <c r="P492" s="46" t="str">
        <f t="shared" si="2"/>
        <v>Rp182,000-2 LSN-14.50%</v>
      </c>
      <c r="Q492" s="75">
        <v>45409.0</v>
      </c>
      <c r="R492" s="76"/>
      <c r="S492" s="75">
        <v>45419.0</v>
      </c>
      <c r="T492" s="49"/>
    </row>
    <row r="493">
      <c r="A493" s="82">
        <v>3886.0</v>
      </c>
      <c r="B493" s="69" t="s">
        <v>29</v>
      </c>
      <c r="C493" s="70" t="s">
        <v>845</v>
      </c>
      <c r="D493" s="69" t="s">
        <v>212</v>
      </c>
      <c r="E493" s="41" t="str">
        <f>IFERROR(__xludf.DUMMYFUNCTION("vlookup(D493,IMPORTRANGE(""https://docs.google.com/spreadsheets/d/1swGwZOEqYlTEUCJLY-eeJM1911Kvaei5oySBIxdgtNo/edit?pli=1#gid=257618397"",""stock untanna!B:C""),2,false)"),"TAS JASMIN BESAR")</f>
        <v>TAS JASMIN BESAR</v>
      </c>
      <c r="F493" s="70" t="s">
        <v>212</v>
      </c>
      <c r="G493" s="71" t="s">
        <v>213</v>
      </c>
      <c r="H493" s="41"/>
      <c r="I493" s="42"/>
      <c r="J493" s="43" t="str">
        <f t="shared" si="1"/>
        <v>ADA</v>
      </c>
      <c r="K493" s="72">
        <v>2.0</v>
      </c>
      <c r="L493" s="53" t="s">
        <v>62</v>
      </c>
      <c r="M493" s="73">
        <v>75000.0</v>
      </c>
      <c r="N493" s="83">
        <v>0.145</v>
      </c>
      <c r="O493" s="73">
        <v>128250.0</v>
      </c>
      <c r="P493" s="46" t="str">
        <f t="shared" si="2"/>
        <v>Rp75,000-2 LSN-14.50%</v>
      </c>
      <c r="Q493" s="75">
        <v>45409.0</v>
      </c>
      <c r="R493" s="76"/>
      <c r="S493" s="75">
        <v>45419.0</v>
      </c>
      <c r="T493" s="49"/>
    </row>
    <row r="494">
      <c r="A494" s="82">
        <v>3886.0</v>
      </c>
      <c r="B494" s="69" t="s">
        <v>29</v>
      </c>
      <c r="C494" s="70" t="s">
        <v>845</v>
      </c>
      <c r="D494" s="69" t="s">
        <v>847</v>
      </c>
      <c r="E494" s="41" t="str">
        <f>IFERROR(__xludf.DUMMYFUNCTION("vlookup(D494,IMPORTRANGE(""https://docs.google.com/spreadsheets/d/1swGwZOEqYlTEUCJLY-eeJM1911Kvaei5oySBIxdgtNo/edit?pli=1#gid=257618397"",""stock untanna!B:C""),2,false)"),"LOOSE LEAF HOLO ALFA A5 ZODIAK")</f>
        <v>LOOSE LEAF HOLO ALFA A5 ZODIAK</v>
      </c>
      <c r="F494" s="70" t="s">
        <v>847</v>
      </c>
      <c r="G494" s="71" t="s">
        <v>848</v>
      </c>
      <c r="H494" s="41"/>
      <c r="I494" s="42"/>
      <c r="J494" s="43" t="str">
        <f t="shared" si="1"/>
        <v>ADA</v>
      </c>
      <c r="K494" s="72">
        <v>60.0</v>
      </c>
      <c r="L494" s="53" t="s">
        <v>114</v>
      </c>
      <c r="M494" s="73">
        <v>3250.0</v>
      </c>
      <c r="N494" s="83">
        <v>0.145</v>
      </c>
      <c r="O494" s="73">
        <v>166725.0</v>
      </c>
      <c r="P494" s="46" t="str">
        <f t="shared" si="2"/>
        <v>Rp3,250-60 PAK-14.50%</v>
      </c>
      <c r="Q494" s="75">
        <v>45409.0</v>
      </c>
      <c r="R494" s="76"/>
      <c r="S494" s="75">
        <v>45419.0</v>
      </c>
      <c r="T494" s="49" t="s">
        <v>100</v>
      </c>
    </row>
    <row r="495">
      <c r="A495" s="82">
        <v>3886.0</v>
      </c>
      <c r="B495" s="69" t="s">
        <v>29</v>
      </c>
      <c r="C495" s="70" t="s">
        <v>845</v>
      </c>
      <c r="D495" s="69" t="s">
        <v>849</v>
      </c>
      <c r="E495" s="41" t="str">
        <f>IFERROR(__xludf.DUMMYFUNCTION("vlookup(D495,IMPORTRANGE(""https://docs.google.com/spreadsheets/d/1swGwZOEqYlTEUCJLY-eeJM1911Kvaei5oySBIxdgtNo/edit?pli=1#gid=257618397"",""stock untanna!B:C""),2,false)"),"LOOSE LEAF HOLO A5 SOFIA")</f>
        <v>LOOSE LEAF HOLO A5 SOFIA</v>
      </c>
      <c r="F495" s="70" t="s">
        <v>849</v>
      </c>
      <c r="G495" s="71" t="s">
        <v>850</v>
      </c>
      <c r="H495" s="41"/>
      <c r="I495" s="42"/>
      <c r="J495" s="43" t="str">
        <f t="shared" si="1"/>
        <v>ADA</v>
      </c>
      <c r="K495" s="72">
        <v>50.0</v>
      </c>
      <c r="L495" s="53" t="s">
        <v>114</v>
      </c>
      <c r="M495" s="73">
        <v>3250.0</v>
      </c>
      <c r="N495" s="83">
        <v>0.145</v>
      </c>
      <c r="O495" s="73">
        <v>138937.5</v>
      </c>
      <c r="P495" s="46" t="str">
        <f t="shared" si="2"/>
        <v>Rp3,250-50 PAK-14.50%</v>
      </c>
      <c r="Q495" s="75">
        <v>45409.0</v>
      </c>
      <c r="R495" s="76"/>
      <c r="S495" s="75">
        <v>45419.0</v>
      </c>
      <c r="T495" s="49" t="s">
        <v>100</v>
      </c>
    </row>
    <row r="496">
      <c r="A496" s="82">
        <v>3886.0</v>
      </c>
      <c r="B496" s="69" t="s">
        <v>29</v>
      </c>
      <c r="C496" s="70" t="s">
        <v>845</v>
      </c>
      <c r="D496" s="69" t="s">
        <v>851</v>
      </c>
      <c r="E496" s="41" t="str">
        <f>IFERROR(__xludf.DUMMYFUNCTION("vlookup(D496,IMPORTRANGE(""https://docs.google.com/spreadsheets/d/1swGwZOEqYlTEUCJLY-eeJM1911Kvaei5oySBIxdgtNo/edit?pli=1#gid=257618397"",""stock untanna!B:C""),2,false)"),"LOOSE LEAF HOLO MOBILE LEGENDS A5")</f>
        <v>LOOSE LEAF HOLO MOBILE LEGENDS A5</v>
      </c>
      <c r="F496" s="70" t="s">
        <v>851</v>
      </c>
      <c r="G496" s="78" t="s">
        <v>852</v>
      </c>
      <c r="H496" s="41"/>
      <c r="I496" s="42"/>
      <c r="J496" s="43" t="str">
        <f t="shared" si="1"/>
        <v>ADA</v>
      </c>
      <c r="K496" s="72">
        <v>50.0</v>
      </c>
      <c r="L496" s="53" t="s">
        <v>114</v>
      </c>
      <c r="M496" s="73">
        <v>2250.0</v>
      </c>
      <c r="N496" s="83">
        <v>0.145</v>
      </c>
      <c r="O496" s="73">
        <v>96187.5</v>
      </c>
      <c r="P496" s="46" t="str">
        <f t="shared" si="2"/>
        <v>Rp2,250-50 PAK-14.50%</v>
      </c>
      <c r="Q496" s="75">
        <v>45409.0</v>
      </c>
      <c r="R496" s="76"/>
      <c r="S496" s="75">
        <v>45419.0</v>
      </c>
      <c r="T496" s="49" t="s">
        <v>100</v>
      </c>
    </row>
    <row r="497">
      <c r="A497" s="82">
        <v>3886.0</v>
      </c>
      <c r="B497" s="69" t="s">
        <v>29</v>
      </c>
      <c r="C497" s="70" t="s">
        <v>845</v>
      </c>
      <c r="D497" s="69"/>
      <c r="E497" s="41" t="s">
        <v>853</v>
      </c>
      <c r="F497" s="70"/>
      <c r="G497" s="71" t="s">
        <v>853</v>
      </c>
      <c r="H497" s="41"/>
      <c r="I497" s="42"/>
      <c r="J497" s="43" t="str">
        <f t="shared" si="1"/>
        <v>TIDAK ADA</v>
      </c>
      <c r="K497" s="72">
        <v>50.0</v>
      </c>
      <c r="L497" s="53" t="s">
        <v>114</v>
      </c>
      <c r="M497" s="73">
        <v>4000.0</v>
      </c>
      <c r="N497" s="83">
        <v>0.145</v>
      </c>
      <c r="O497" s="73">
        <v>171000.0</v>
      </c>
      <c r="P497" s="46" t="str">
        <f t="shared" si="2"/>
        <v>Rp4,000-50 PAK-14.50%</v>
      </c>
      <c r="Q497" s="75">
        <v>45409.0</v>
      </c>
      <c r="R497" s="76"/>
      <c r="S497" s="75">
        <v>45419.0</v>
      </c>
      <c r="T497" s="49"/>
    </row>
    <row r="498">
      <c r="A498" s="82">
        <v>3886.0</v>
      </c>
      <c r="B498" s="69" t="s">
        <v>29</v>
      </c>
      <c r="C498" s="70" t="s">
        <v>845</v>
      </c>
      <c r="D498" s="69"/>
      <c r="E498" s="41" t="s">
        <v>854</v>
      </c>
      <c r="F498" s="70"/>
      <c r="G498" s="71" t="s">
        <v>854</v>
      </c>
      <c r="H498" s="41"/>
      <c r="I498" s="42"/>
      <c r="J498" s="43" t="str">
        <f t="shared" si="1"/>
        <v>TIDAK ADA</v>
      </c>
      <c r="K498" s="72">
        <v>3.0</v>
      </c>
      <c r="L498" s="53" t="s">
        <v>62</v>
      </c>
      <c r="M498" s="73">
        <v>36500.0</v>
      </c>
      <c r="N498" s="83">
        <v>0.145</v>
      </c>
      <c r="O498" s="73">
        <v>93622.5</v>
      </c>
      <c r="P498" s="46" t="str">
        <f t="shared" si="2"/>
        <v>Rp36,500-3 LSN-14.50%</v>
      </c>
      <c r="Q498" s="75">
        <v>45409.0</v>
      </c>
      <c r="R498" s="76"/>
      <c r="S498" s="75">
        <v>45419.0</v>
      </c>
      <c r="T498" s="80" t="s">
        <v>280</v>
      </c>
    </row>
    <row r="499">
      <c r="A499" s="82">
        <v>3886.0</v>
      </c>
      <c r="B499" s="69" t="s">
        <v>29</v>
      </c>
      <c r="C499" s="70" t="s">
        <v>845</v>
      </c>
      <c r="D499" s="50" t="s">
        <v>855</v>
      </c>
      <c r="E499" s="41" t="str">
        <f>IFERROR(__xludf.DUMMYFUNCTION("vlookup(D499,IMPORTRANGE(""https://docs.google.com/spreadsheets/d/1swGwZOEqYlTEUCJLY-eeJM1911Kvaei5oySBIxdgtNo/edit?pli=1#gid=257618397"",""stock untanna!B:C""),2,false)"),"MAP L MERAH VTRO")</f>
        <v>MAP L MERAH VTRO</v>
      </c>
      <c r="F499" s="70" t="s">
        <v>856</v>
      </c>
      <c r="G499" s="71" t="s">
        <v>857</v>
      </c>
      <c r="H499" s="41"/>
      <c r="I499" s="42"/>
      <c r="J499" s="43" t="str">
        <f t="shared" si="1"/>
        <v>ADA</v>
      </c>
      <c r="K499" s="72">
        <v>3.0</v>
      </c>
      <c r="L499" s="53" t="s">
        <v>62</v>
      </c>
      <c r="M499" s="73">
        <v>17500.0</v>
      </c>
      <c r="N499" s="83">
        <v>0.145</v>
      </c>
      <c r="O499" s="73">
        <v>44887.5</v>
      </c>
      <c r="P499" s="46" t="str">
        <f t="shared" si="2"/>
        <v>Rp17,500-3 LSN-14.50%</v>
      </c>
      <c r="Q499" s="75">
        <v>45409.0</v>
      </c>
      <c r="R499" s="76"/>
      <c r="S499" s="75">
        <v>45419.0</v>
      </c>
      <c r="T499" s="49"/>
    </row>
    <row r="500">
      <c r="A500" s="82">
        <v>3886.0</v>
      </c>
      <c r="B500" s="69" t="s">
        <v>29</v>
      </c>
      <c r="C500" s="70" t="s">
        <v>845</v>
      </c>
      <c r="D500" s="69"/>
      <c r="E500" s="41" t="s">
        <v>858</v>
      </c>
      <c r="F500" s="70"/>
      <c r="G500" s="71" t="s">
        <v>858</v>
      </c>
      <c r="H500" s="41"/>
      <c r="I500" s="42"/>
      <c r="J500" s="43" t="str">
        <f t="shared" si="1"/>
        <v>TIDAK ADA</v>
      </c>
      <c r="K500" s="72">
        <v>3.0</v>
      </c>
      <c r="L500" s="53" t="s">
        <v>62</v>
      </c>
      <c r="M500" s="73">
        <v>27500.0</v>
      </c>
      <c r="N500" s="83">
        <v>0.145</v>
      </c>
      <c r="O500" s="73">
        <v>70537.5</v>
      </c>
      <c r="P500" s="46" t="str">
        <f t="shared" si="2"/>
        <v>Rp27,500-3 LSN-14.50%</v>
      </c>
      <c r="Q500" s="75">
        <v>45409.0</v>
      </c>
      <c r="R500" s="76"/>
      <c r="S500" s="75">
        <v>45419.0</v>
      </c>
      <c r="T500" s="49"/>
    </row>
    <row r="501">
      <c r="A501" s="82">
        <v>3886.0</v>
      </c>
      <c r="B501" s="69" t="s">
        <v>29</v>
      </c>
      <c r="C501" s="70" t="s">
        <v>845</v>
      </c>
      <c r="D501" s="69" t="s">
        <v>859</v>
      </c>
      <c r="E501" s="41" t="str">
        <f>IFERROR(__xludf.DUMMYFUNCTION("vlookup(D501,IMPORTRANGE(""https://docs.google.com/spreadsheets/d/1swGwZOEqYlTEUCJLY-eeJM1911Kvaei5oySBIxdgtNo/edit?pli=1#gid=257618397"",""stock untanna!B:C""),2,false)"),"MAP ZIPPER JALA SIKA BIRU")</f>
        <v>MAP ZIPPER JALA SIKA BIRU</v>
      </c>
      <c r="F501" s="70" t="s">
        <v>859</v>
      </c>
      <c r="G501" s="71" t="s">
        <v>860</v>
      </c>
      <c r="H501" s="41"/>
      <c r="I501" s="42"/>
      <c r="J501" s="43" t="str">
        <f t="shared" si="1"/>
        <v>ADA</v>
      </c>
      <c r="K501" s="72">
        <v>12.0</v>
      </c>
      <c r="L501" s="53" t="s">
        <v>69</v>
      </c>
      <c r="M501" s="73">
        <v>10833.0</v>
      </c>
      <c r="N501" s="83">
        <v>0.145</v>
      </c>
      <c r="O501" s="73">
        <v>111146.58</v>
      </c>
      <c r="P501" s="46" t="str">
        <f t="shared" si="2"/>
        <v>Rp10,833-12 PCS-14.50%</v>
      </c>
      <c r="Q501" s="75">
        <v>45409.0</v>
      </c>
      <c r="R501" s="76"/>
      <c r="S501" s="75">
        <v>45419.0</v>
      </c>
      <c r="T501" s="49"/>
    </row>
    <row r="502">
      <c r="A502" s="82">
        <v>3886.0</v>
      </c>
      <c r="B502" s="69" t="s">
        <v>29</v>
      </c>
      <c r="C502" s="70" t="s">
        <v>845</v>
      </c>
      <c r="D502" s="69" t="s">
        <v>861</v>
      </c>
      <c r="E502" s="41" t="str">
        <f>IFERROR(__xludf.DUMMYFUNCTION("vlookup(D502,IMPORTRANGE(""https://docs.google.com/spreadsheets/d/1swGwZOEqYlTEUCJLY-eeJM1911Kvaei5oySBIxdgtNo/edit?pli=1#gid=257618397"",""stock untanna!B:C""),2,false)"),"EXPANDING FILE MICROTOP MT-632 F4")</f>
        <v>EXPANDING FILE MICROTOP MT-632 F4</v>
      </c>
      <c r="F502" s="70" t="s">
        <v>861</v>
      </c>
      <c r="G502" s="71" t="s">
        <v>862</v>
      </c>
      <c r="H502" s="41"/>
      <c r="I502" s="42"/>
      <c r="J502" s="43" t="str">
        <f t="shared" si="1"/>
        <v>ADA</v>
      </c>
      <c r="K502" s="72">
        <v>12.0</v>
      </c>
      <c r="L502" s="53" t="s">
        <v>69</v>
      </c>
      <c r="M502" s="73">
        <v>50000.0</v>
      </c>
      <c r="N502" s="83">
        <v>0.145</v>
      </c>
      <c r="O502" s="73">
        <v>513000.0</v>
      </c>
      <c r="P502" s="46" t="str">
        <f t="shared" si="2"/>
        <v>Rp50,000-12 PCS-14.50%</v>
      </c>
      <c r="Q502" s="75">
        <v>45409.0</v>
      </c>
      <c r="R502" s="76"/>
      <c r="S502" s="75">
        <v>45419.0</v>
      </c>
      <c r="T502" s="49"/>
    </row>
    <row r="503">
      <c r="A503" s="82">
        <v>3886.0</v>
      </c>
      <c r="B503" s="69" t="s">
        <v>29</v>
      </c>
      <c r="C503" s="70" t="s">
        <v>845</v>
      </c>
      <c r="D503" s="50" t="s">
        <v>863</v>
      </c>
      <c r="E503" s="41" t="str">
        <f>IFERROR(__xludf.DUMMYFUNCTION("vlookup(D503,IMPORTRANGE(""https://docs.google.com/spreadsheets/d/1swGwZOEqYlTEUCJLY-eeJM1911Kvaei5oySBIxdgtNo/edit?pli=1#gid=257618397"",""stock untanna!B:C""),2,false)"),"MAP TENTENG ZF 830")</f>
        <v>MAP TENTENG ZF 830</v>
      </c>
      <c r="F503" s="70" t="s">
        <v>864</v>
      </c>
      <c r="G503" s="71" t="s">
        <v>865</v>
      </c>
      <c r="H503" s="41"/>
      <c r="I503" s="42"/>
      <c r="J503" s="43" t="str">
        <f t="shared" si="1"/>
        <v>ADA</v>
      </c>
      <c r="K503" s="72">
        <v>12.0</v>
      </c>
      <c r="L503" s="53" t="s">
        <v>69</v>
      </c>
      <c r="M503" s="73">
        <v>25417.0</v>
      </c>
      <c r="N503" s="83">
        <v>0.145</v>
      </c>
      <c r="O503" s="73">
        <v>260778.42</v>
      </c>
      <c r="P503" s="46" t="str">
        <f t="shared" si="2"/>
        <v>Rp25,417-12 PCS-14.50%</v>
      </c>
      <c r="Q503" s="75">
        <v>45409.0</v>
      </c>
      <c r="R503" s="76"/>
      <c r="S503" s="75">
        <v>45419.0</v>
      </c>
      <c r="T503" s="49"/>
    </row>
    <row r="504">
      <c r="A504" s="82">
        <v>3886.0</v>
      </c>
      <c r="B504" s="69" t="s">
        <v>29</v>
      </c>
      <c r="C504" s="70" t="s">
        <v>845</v>
      </c>
      <c r="D504" s="69"/>
      <c r="E504" s="41" t="s">
        <v>866</v>
      </c>
      <c r="F504" s="70"/>
      <c r="G504" s="71" t="s">
        <v>866</v>
      </c>
      <c r="H504" s="41"/>
      <c r="I504" s="42"/>
      <c r="J504" s="43" t="str">
        <f t="shared" si="1"/>
        <v>TIDAK ADA</v>
      </c>
      <c r="K504" s="72">
        <v>1.0</v>
      </c>
      <c r="L504" s="53" t="s">
        <v>62</v>
      </c>
      <c r="M504" s="73">
        <v>90000.0</v>
      </c>
      <c r="N504" s="83">
        <v>0.145</v>
      </c>
      <c r="O504" s="73">
        <v>76950.0</v>
      </c>
      <c r="P504" s="46" t="str">
        <f t="shared" si="2"/>
        <v>Rp90,000-1 LSN-14.50%</v>
      </c>
      <c r="Q504" s="75">
        <v>45409.0</v>
      </c>
      <c r="R504" s="76"/>
      <c r="S504" s="75">
        <v>45419.0</v>
      </c>
      <c r="T504" s="49"/>
    </row>
    <row r="505">
      <c r="A505" s="82">
        <v>3887.0</v>
      </c>
      <c r="B505" s="69" t="s">
        <v>29</v>
      </c>
      <c r="C505" s="70" t="s">
        <v>845</v>
      </c>
      <c r="D505" s="69"/>
      <c r="E505" s="41" t="s">
        <v>867</v>
      </c>
      <c r="F505" s="70"/>
      <c r="G505" s="71" t="s">
        <v>867</v>
      </c>
      <c r="H505" s="41"/>
      <c r="I505" s="42"/>
      <c r="J505" s="43" t="str">
        <f t="shared" si="1"/>
        <v>TIDAK ADA</v>
      </c>
      <c r="K505" s="72">
        <v>1.0</v>
      </c>
      <c r="L505" s="53" t="s">
        <v>62</v>
      </c>
      <c r="M505" s="73">
        <v>175000.0</v>
      </c>
      <c r="N505" s="83">
        <v>0.145</v>
      </c>
      <c r="O505" s="73">
        <v>149625.0</v>
      </c>
      <c r="P505" s="46" t="str">
        <f t="shared" si="2"/>
        <v>Rp175,000-1 LSN-14.50%</v>
      </c>
      <c r="Q505" s="75">
        <v>45409.0</v>
      </c>
      <c r="R505" s="76"/>
      <c r="S505" s="75">
        <v>45419.0</v>
      </c>
      <c r="T505" s="49"/>
    </row>
    <row r="506">
      <c r="A506" s="82">
        <v>3887.0</v>
      </c>
      <c r="B506" s="69" t="s">
        <v>29</v>
      </c>
      <c r="C506" s="70" t="s">
        <v>845</v>
      </c>
      <c r="D506" s="50" t="s">
        <v>868</v>
      </c>
      <c r="E506" s="41" t="str">
        <f>IFERROR(__xludf.DUMMYFUNCTION("vlookup(D506,IMPORTRANGE(""https://docs.google.com/spreadsheets/d/1swGwZOEqYlTEUCJLY-eeJM1911Kvaei5oySBIxdgtNo/edit?pli=1#gid=257618397"",""stock untanna!B:C""),2,false)"),"CLIP BOARD 6688-TR TRANSP KOALA")</f>
        <v>CLIP BOARD 6688-TR TRANSP KOALA</v>
      </c>
      <c r="F506" s="70" t="s">
        <v>869</v>
      </c>
      <c r="G506" s="71" t="s">
        <v>870</v>
      </c>
      <c r="H506" s="41"/>
      <c r="I506" s="42"/>
      <c r="J506" s="43" t="str">
        <f t="shared" si="1"/>
        <v>ADA</v>
      </c>
      <c r="K506" s="72">
        <v>1.0</v>
      </c>
      <c r="L506" s="53" t="s">
        <v>62</v>
      </c>
      <c r="M506" s="73">
        <v>115000.0</v>
      </c>
      <c r="N506" s="83">
        <v>0.145</v>
      </c>
      <c r="O506" s="73">
        <v>98325.0</v>
      </c>
      <c r="P506" s="46" t="str">
        <f t="shared" si="2"/>
        <v>Rp115,000-1 LSN-14.50%</v>
      </c>
      <c r="Q506" s="75">
        <v>45409.0</v>
      </c>
      <c r="R506" s="76"/>
      <c r="S506" s="75">
        <v>45419.0</v>
      </c>
      <c r="T506" s="49"/>
    </row>
    <row r="507">
      <c r="A507" s="82">
        <v>3887.0</v>
      </c>
      <c r="B507" s="69" t="s">
        <v>29</v>
      </c>
      <c r="C507" s="70" t="s">
        <v>845</v>
      </c>
      <c r="D507" s="69" t="s">
        <v>871</v>
      </c>
      <c r="E507" s="41" t="str">
        <f>IFERROR(__xludf.DUMMYFUNCTION("vlookup(D507,IMPORTRANGE(""https://docs.google.com/spreadsheets/d/1swGwZOEqYlTEUCJLY-eeJM1911Kvaei5oySBIxdgtNo/edit?pli=1#gid=257618397"",""stock untanna!B:C""),2,false)"),"CLIPBOARD SQ FANCY HOLO 2 MUKA")</f>
        <v>CLIPBOARD SQ FANCY HOLO 2 MUKA</v>
      </c>
      <c r="F507" s="70" t="s">
        <v>871</v>
      </c>
      <c r="G507" s="71" t="s">
        <v>872</v>
      </c>
      <c r="H507" s="41"/>
      <c r="I507" s="42"/>
      <c r="J507" s="43" t="str">
        <f t="shared" si="1"/>
        <v>ADA</v>
      </c>
      <c r="K507" s="72">
        <v>1.0</v>
      </c>
      <c r="L507" s="53" t="s">
        <v>62</v>
      </c>
      <c r="M507" s="73">
        <v>115500.0</v>
      </c>
      <c r="N507" s="83">
        <v>0.145</v>
      </c>
      <c r="O507" s="73">
        <v>98752.5</v>
      </c>
      <c r="P507" s="46" t="str">
        <f t="shared" si="2"/>
        <v>Rp115,500-1 LSN-14.50%</v>
      </c>
      <c r="Q507" s="75">
        <v>45409.0</v>
      </c>
      <c r="R507" s="76"/>
      <c r="S507" s="75">
        <v>45419.0</v>
      </c>
      <c r="T507" s="49"/>
    </row>
    <row r="508">
      <c r="A508" s="82">
        <v>3887.0</v>
      </c>
      <c r="B508" s="69" t="s">
        <v>29</v>
      </c>
      <c r="C508" s="70" t="s">
        <v>845</v>
      </c>
      <c r="D508" s="69" t="s">
        <v>93</v>
      </c>
      <c r="E508" s="41" t="str">
        <f>IFERROR(__xludf.DUMMYFUNCTION("vlookup(D508,IMPORTRANGE(""https://docs.google.com/spreadsheets/d/1swGwZOEqYlTEUCJLY-eeJM1911Kvaei5oySBIxdgtNo/edit?pli=1#gid=257618397"",""stock untanna!B:C""),2,false)"),"CLIPBOARD SQ KAYU KOTAK")</f>
        <v>CLIPBOARD SQ KAYU KOTAK</v>
      </c>
      <c r="F508" s="70" t="s">
        <v>93</v>
      </c>
      <c r="G508" s="84" t="s">
        <v>94</v>
      </c>
      <c r="H508" s="41"/>
      <c r="I508" s="42"/>
      <c r="J508" s="43" t="str">
        <f t="shared" si="1"/>
        <v>ADA</v>
      </c>
      <c r="K508" s="72">
        <v>24.0</v>
      </c>
      <c r="L508" s="53" t="s">
        <v>69</v>
      </c>
      <c r="M508" s="73">
        <v>4167.0</v>
      </c>
      <c r="N508" s="83">
        <v>0.145</v>
      </c>
      <c r="O508" s="73">
        <v>85506.84</v>
      </c>
      <c r="P508" s="46" t="str">
        <f t="shared" si="2"/>
        <v>Rp4,167-24 PCS-14.50%</v>
      </c>
      <c r="Q508" s="75">
        <v>45409.0</v>
      </c>
      <c r="R508" s="76"/>
      <c r="S508" s="75">
        <v>45419.0</v>
      </c>
      <c r="T508" s="49"/>
    </row>
    <row r="509">
      <c r="A509" s="82">
        <v>3887.0</v>
      </c>
      <c r="B509" s="69" t="s">
        <v>29</v>
      </c>
      <c r="C509" s="70" t="s">
        <v>845</v>
      </c>
      <c r="D509" s="69"/>
      <c r="E509" s="41" t="s">
        <v>873</v>
      </c>
      <c r="F509" s="70"/>
      <c r="G509" s="71" t="s">
        <v>873</v>
      </c>
      <c r="H509" s="41"/>
      <c r="I509" s="42"/>
      <c r="J509" s="43" t="str">
        <f t="shared" si="1"/>
        <v>TIDAK ADA</v>
      </c>
      <c r="K509" s="72">
        <v>1.0</v>
      </c>
      <c r="L509" s="53" t="s">
        <v>62</v>
      </c>
      <c r="M509" s="73">
        <v>30000.0</v>
      </c>
      <c r="N509" s="83">
        <v>0.145</v>
      </c>
      <c r="O509" s="73">
        <v>25650.0</v>
      </c>
      <c r="P509" s="46" t="str">
        <f t="shared" si="2"/>
        <v>Rp30,000-1 LSN-14.50%</v>
      </c>
      <c r="Q509" s="75">
        <v>45409.0</v>
      </c>
      <c r="R509" s="76"/>
      <c r="S509" s="75">
        <v>45419.0</v>
      </c>
      <c r="T509" s="49"/>
    </row>
    <row r="510">
      <c r="A510" s="82">
        <v>3887.0</v>
      </c>
      <c r="B510" s="69" t="s">
        <v>29</v>
      </c>
      <c r="C510" s="70" t="s">
        <v>845</v>
      </c>
      <c r="D510" s="69"/>
      <c r="E510" s="41" t="s">
        <v>874</v>
      </c>
      <c r="F510" s="70"/>
      <c r="G510" s="71" t="s">
        <v>874</v>
      </c>
      <c r="H510" s="41"/>
      <c r="I510" s="42"/>
      <c r="J510" s="43" t="str">
        <f t="shared" si="1"/>
        <v>TIDAK ADA</v>
      </c>
      <c r="K510" s="72">
        <v>1.0</v>
      </c>
      <c r="L510" s="53" t="s">
        <v>62</v>
      </c>
      <c r="M510" s="73">
        <v>185000.0</v>
      </c>
      <c r="N510" s="83">
        <v>0.145</v>
      </c>
      <c r="O510" s="73">
        <v>158175.0</v>
      </c>
      <c r="P510" s="46" t="str">
        <f t="shared" si="2"/>
        <v>Rp185,000-1 LSN-14.50%</v>
      </c>
      <c r="Q510" s="75">
        <v>45409.0</v>
      </c>
      <c r="R510" s="76"/>
      <c r="S510" s="75">
        <v>45419.0</v>
      </c>
      <c r="T510" s="49"/>
    </row>
    <row r="511">
      <c r="A511" s="82">
        <v>3887.0</v>
      </c>
      <c r="B511" s="69" t="s">
        <v>29</v>
      </c>
      <c r="C511" s="70" t="s">
        <v>845</v>
      </c>
      <c r="D511" s="69"/>
      <c r="E511" s="41" t="s">
        <v>875</v>
      </c>
      <c r="F511" s="70"/>
      <c r="G511" s="71" t="s">
        <v>875</v>
      </c>
      <c r="H511" s="41"/>
      <c r="I511" s="42"/>
      <c r="J511" s="43" t="str">
        <f t="shared" si="1"/>
        <v>TIDAK ADA</v>
      </c>
      <c r="K511" s="72">
        <v>12.0</v>
      </c>
      <c r="L511" s="53" t="s">
        <v>84</v>
      </c>
      <c r="M511" s="73">
        <v>12000.0</v>
      </c>
      <c r="N511" s="83">
        <v>0.145</v>
      </c>
      <c r="O511" s="73">
        <v>123120.0</v>
      </c>
      <c r="P511" s="46" t="str">
        <f t="shared" si="2"/>
        <v>Rp12,000-12 SET-14.50%</v>
      </c>
      <c r="Q511" s="75">
        <v>45409.0</v>
      </c>
      <c r="R511" s="76"/>
      <c r="S511" s="75">
        <v>45419.0</v>
      </c>
      <c r="T511" s="49"/>
    </row>
    <row r="512">
      <c r="A512" s="82">
        <v>3887.0</v>
      </c>
      <c r="B512" s="69" t="s">
        <v>29</v>
      </c>
      <c r="C512" s="70" t="s">
        <v>845</v>
      </c>
      <c r="D512" s="69" t="s">
        <v>876</v>
      </c>
      <c r="E512" s="41" t="str">
        <f>IFERROR(__xludf.DUMMYFUNCTION("vlookup(D512,IMPORTRANGE(""https://docs.google.com/spreadsheets/d/1swGwZOEqYlTEUCJLY-eeJM1911Kvaei5oySBIxdgtNo/edit?pli=1#gid=257618397"",""stock untanna!B:C""),2,false)"),"KUAS 21839-7H")</f>
        <v>KUAS 21839-7H</v>
      </c>
      <c r="F512" s="70" t="s">
        <v>876</v>
      </c>
      <c r="G512" s="71" t="s">
        <v>877</v>
      </c>
      <c r="H512" s="41"/>
      <c r="I512" s="42"/>
      <c r="J512" s="43" t="str">
        <f t="shared" si="1"/>
        <v>ADA</v>
      </c>
      <c r="K512" s="72">
        <v>12.0</v>
      </c>
      <c r="L512" s="53" t="s">
        <v>84</v>
      </c>
      <c r="M512" s="73">
        <v>18000.0</v>
      </c>
      <c r="N512" s="83">
        <v>0.145</v>
      </c>
      <c r="O512" s="73">
        <v>184680.0</v>
      </c>
      <c r="P512" s="46" t="str">
        <f t="shared" si="2"/>
        <v>Rp18,000-12 SET-14.50%</v>
      </c>
      <c r="Q512" s="75">
        <v>45409.0</v>
      </c>
      <c r="R512" s="76"/>
      <c r="S512" s="75">
        <v>45419.0</v>
      </c>
      <c r="T512" s="49"/>
    </row>
    <row r="513">
      <c r="A513" s="82">
        <v>3887.0</v>
      </c>
      <c r="B513" s="69" t="s">
        <v>29</v>
      </c>
      <c r="C513" s="70" t="s">
        <v>845</v>
      </c>
      <c r="D513" s="69" t="s">
        <v>878</v>
      </c>
      <c r="E513" s="41" t="str">
        <f>IFERROR(__xludf.DUMMYFUNCTION("vlookup(D513,IMPORTRANGE(""https://docs.google.com/spreadsheets/d/1swGwZOEqYlTEUCJLY-eeJM1911Kvaei5oySBIxdgtNo/edit?pli=1#gid=257618397"",""stock untanna!B:C""),2,false)"),"BK TAMU BATIK")</f>
        <v>BK TAMU BATIK</v>
      </c>
      <c r="F513" s="70" t="s">
        <v>878</v>
      </c>
      <c r="G513" s="71" t="s">
        <v>879</v>
      </c>
      <c r="H513" s="41"/>
      <c r="I513" s="42"/>
      <c r="J513" s="43" t="str">
        <f t="shared" si="1"/>
        <v>ADA</v>
      </c>
      <c r="K513" s="72">
        <v>1.0</v>
      </c>
      <c r="L513" s="53" t="s">
        <v>62</v>
      </c>
      <c r="M513" s="73">
        <v>240000.0</v>
      </c>
      <c r="N513" s="83">
        <v>0.145</v>
      </c>
      <c r="O513" s="73">
        <v>205200.0</v>
      </c>
      <c r="P513" s="46" t="str">
        <f t="shared" si="2"/>
        <v>Rp240,000-1 LSN-14.50%</v>
      </c>
      <c r="Q513" s="75">
        <v>45409.0</v>
      </c>
      <c r="R513" s="76"/>
      <c r="S513" s="75">
        <v>45419.0</v>
      </c>
      <c r="T513" s="49"/>
    </row>
    <row r="514">
      <c r="A514" s="82">
        <v>3887.0</v>
      </c>
      <c r="B514" s="69" t="s">
        <v>29</v>
      </c>
      <c r="C514" s="70" t="s">
        <v>845</v>
      </c>
      <c r="D514" s="69" t="s">
        <v>251</v>
      </c>
      <c r="E514" s="41" t="str">
        <f>IFERROR(__xludf.DUMMYFUNCTION("vlookup(D514,IMPORTRANGE(""https://docs.google.com/spreadsheets/d/1swGwZOEqYlTEUCJLY-eeJM1911Kvaei5oySBIxdgtNo/edit?pli=1#gid=257618397"",""stock untanna!B:C""),2,false)"),"TAS TUTUP PITA KADO FG-401 JUMBO")</f>
        <v>TAS TUTUP PITA KADO FG-401 JUMBO</v>
      </c>
      <c r="F514" s="70" t="s">
        <v>251</v>
      </c>
      <c r="G514" s="71" t="s">
        <v>252</v>
      </c>
      <c r="H514" s="41"/>
      <c r="I514" s="42"/>
      <c r="J514" s="43" t="str">
        <f t="shared" si="1"/>
        <v>ADA</v>
      </c>
      <c r="K514" s="72">
        <v>2.0</v>
      </c>
      <c r="L514" s="53" t="s">
        <v>62</v>
      </c>
      <c r="M514" s="73">
        <v>200000.0</v>
      </c>
      <c r="N514" s="83">
        <v>0.145</v>
      </c>
      <c r="O514" s="73">
        <v>342000.0</v>
      </c>
      <c r="P514" s="46" t="str">
        <f t="shared" si="2"/>
        <v>Rp200,000-2 LSN-14.50%</v>
      </c>
      <c r="Q514" s="75">
        <v>45409.0</v>
      </c>
      <c r="R514" s="76"/>
      <c r="S514" s="75">
        <v>45419.0</v>
      </c>
      <c r="T514" s="49"/>
    </row>
    <row r="515">
      <c r="A515" s="82">
        <v>3887.0</v>
      </c>
      <c r="B515" s="69" t="s">
        <v>29</v>
      </c>
      <c r="C515" s="70" t="s">
        <v>845</v>
      </c>
      <c r="D515" s="69" t="s">
        <v>247</v>
      </c>
      <c r="E515" s="41" t="str">
        <f>IFERROR(__xludf.DUMMYFUNCTION("vlookup(D515,IMPORTRANGE(""https://docs.google.com/spreadsheets/d/1swGwZOEqYlTEUCJLY-eeJM1911Kvaei5oySBIxdgtNo/edit?pli=1#gid=257618397"",""stock untanna!B:C""),2,false)"),"TAS TUTUP PITA KADO FG-201 TANGGUNG")</f>
        <v>TAS TUTUP PITA KADO FG-201 TANGGUNG</v>
      </c>
      <c r="F515" s="70" t="s">
        <v>247</v>
      </c>
      <c r="G515" s="78" t="s">
        <v>248</v>
      </c>
      <c r="H515" s="41"/>
      <c r="I515" s="42"/>
      <c r="J515" s="43" t="str">
        <f t="shared" si="1"/>
        <v>ADA</v>
      </c>
      <c r="K515" s="72">
        <v>2.0</v>
      </c>
      <c r="L515" s="53" t="s">
        <v>62</v>
      </c>
      <c r="M515" s="73">
        <v>157500.0</v>
      </c>
      <c r="N515" s="83">
        <v>0.145</v>
      </c>
      <c r="O515" s="73">
        <v>269325.0</v>
      </c>
      <c r="P515" s="46" t="str">
        <f t="shared" si="2"/>
        <v>Rp157,500-2 LSN-14.50%</v>
      </c>
      <c r="Q515" s="75">
        <v>45409.0</v>
      </c>
      <c r="R515" s="76"/>
      <c r="S515" s="75">
        <v>45419.0</v>
      </c>
      <c r="T515" s="49"/>
    </row>
    <row r="516">
      <c r="A516" s="82">
        <v>3887.0</v>
      </c>
      <c r="B516" s="69" t="s">
        <v>29</v>
      </c>
      <c r="C516" s="70" t="s">
        <v>845</v>
      </c>
      <c r="D516" s="69" t="s">
        <v>247</v>
      </c>
      <c r="E516" s="41" t="str">
        <f>IFERROR(__xludf.DUMMYFUNCTION("vlookup(D516,IMPORTRANGE(""https://docs.google.com/spreadsheets/d/1swGwZOEqYlTEUCJLY-eeJM1911Kvaei5oySBIxdgtNo/edit?pli=1#gid=257618397"",""stock untanna!B:C""),2,false)"),"TAS TUTUP PITA KADO FG-201 TANGGUNG")</f>
        <v>TAS TUTUP PITA KADO FG-201 TANGGUNG</v>
      </c>
      <c r="F516" s="70" t="s">
        <v>247</v>
      </c>
      <c r="G516" s="78" t="s">
        <v>248</v>
      </c>
      <c r="H516" s="41"/>
      <c r="I516" s="42"/>
      <c r="J516" s="43" t="str">
        <f t="shared" si="1"/>
        <v>ADA</v>
      </c>
      <c r="K516" s="72">
        <v>2.0</v>
      </c>
      <c r="L516" s="53" t="s">
        <v>62</v>
      </c>
      <c r="M516" s="73">
        <v>157500.0</v>
      </c>
      <c r="N516" s="83">
        <v>0.145</v>
      </c>
      <c r="O516" s="73">
        <v>269325.0</v>
      </c>
      <c r="P516" s="46" t="str">
        <f t="shared" si="2"/>
        <v>Rp157,500-2 LSN-14.50%</v>
      </c>
      <c r="Q516" s="75">
        <v>45409.0</v>
      </c>
      <c r="R516" s="76"/>
      <c r="S516" s="75">
        <v>45419.0</v>
      </c>
      <c r="T516" s="49"/>
    </row>
    <row r="517">
      <c r="A517" s="82">
        <v>3887.0</v>
      </c>
      <c r="B517" s="69" t="s">
        <v>29</v>
      </c>
      <c r="C517" s="70" t="s">
        <v>845</v>
      </c>
      <c r="D517" s="69" t="s">
        <v>247</v>
      </c>
      <c r="E517" s="41" t="str">
        <f>IFERROR(__xludf.DUMMYFUNCTION("vlookup(D517,IMPORTRANGE(""https://docs.google.com/spreadsheets/d/1swGwZOEqYlTEUCJLY-eeJM1911Kvaei5oySBIxdgtNo/edit?pli=1#gid=257618397"",""stock untanna!B:C""),2,false)"),"TAS TUTUP PITA KADO FG-201 TANGGUNG")</f>
        <v>TAS TUTUP PITA KADO FG-201 TANGGUNG</v>
      </c>
      <c r="F517" s="70" t="s">
        <v>247</v>
      </c>
      <c r="G517" s="78" t="s">
        <v>248</v>
      </c>
      <c r="H517" s="41"/>
      <c r="I517" s="42"/>
      <c r="J517" s="43" t="str">
        <f t="shared" si="1"/>
        <v>ADA</v>
      </c>
      <c r="K517" s="72">
        <v>2.0</v>
      </c>
      <c r="L517" s="53" t="s">
        <v>62</v>
      </c>
      <c r="M517" s="73">
        <v>157500.0</v>
      </c>
      <c r="N517" s="83">
        <v>0.145</v>
      </c>
      <c r="O517" s="73">
        <v>269325.0</v>
      </c>
      <c r="P517" s="46" t="str">
        <f t="shared" si="2"/>
        <v>Rp157,500-2 LSN-14.50%</v>
      </c>
      <c r="Q517" s="75">
        <v>45409.0</v>
      </c>
      <c r="R517" s="76"/>
      <c r="S517" s="75">
        <v>45419.0</v>
      </c>
      <c r="T517" s="49"/>
    </row>
    <row r="518">
      <c r="A518" s="82">
        <v>3887.0</v>
      </c>
      <c r="B518" s="69" t="s">
        <v>29</v>
      </c>
      <c r="C518" s="70" t="s">
        <v>845</v>
      </c>
      <c r="D518" s="69" t="s">
        <v>247</v>
      </c>
      <c r="E518" s="41" t="str">
        <f>IFERROR(__xludf.DUMMYFUNCTION("vlookup(D518,IMPORTRANGE(""https://docs.google.com/spreadsheets/d/1swGwZOEqYlTEUCJLY-eeJM1911Kvaei5oySBIxdgtNo/edit?pli=1#gid=257618397"",""stock untanna!B:C""),2,false)"),"TAS TUTUP PITA KADO FG-201 TANGGUNG")</f>
        <v>TAS TUTUP PITA KADO FG-201 TANGGUNG</v>
      </c>
      <c r="F518" s="70" t="s">
        <v>247</v>
      </c>
      <c r="G518" s="78" t="s">
        <v>248</v>
      </c>
      <c r="H518" s="41"/>
      <c r="I518" s="42"/>
      <c r="J518" s="43" t="str">
        <f t="shared" si="1"/>
        <v>ADA</v>
      </c>
      <c r="K518" s="72">
        <v>2.0</v>
      </c>
      <c r="L518" s="53" t="s">
        <v>62</v>
      </c>
      <c r="M518" s="73">
        <v>157500.0</v>
      </c>
      <c r="N518" s="83">
        <v>0.145</v>
      </c>
      <c r="O518" s="73">
        <v>269325.0</v>
      </c>
      <c r="P518" s="46" t="str">
        <f t="shared" si="2"/>
        <v>Rp157,500-2 LSN-14.50%</v>
      </c>
      <c r="Q518" s="75">
        <v>45409.0</v>
      </c>
      <c r="R518" s="76"/>
      <c r="S518" s="75">
        <v>45419.0</v>
      </c>
      <c r="T518" s="49"/>
    </row>
    <row r="519">
      <c r="A519" s="82">
        <v>3887.0</v>
      </c>
      <c r="B519" s="69" t="s">
        <v>29</v>
      </c>
      <c r="C519" s="70" t="s">
        <v>845</v>
      </c>
      <c r="D519" s="69" t="s">
        <v>249</v>
      </c>
      <c r="E519" s="41" t="str">
        <f>IFERROR(__xludf.DUMMYFUNCTION("vlookup(D519,IMPORTRANGE(""https://docs.google.com/spreadsheets/d/1swGwZOEqYlTEUCJLY-eeJM1911Kvaei5oySBIxdgtNo/edit?pli=1#gid=257618397"",""stock untanna!B:C""),2,false)"),"TAS TUTUP PITA KADO FG-101 KECIL")</f>
        <v>TAS TUTUP PITA KADO FG-101 KECIL</v>
      </c>
      <c r="F519" s="70" t="s">
        <v>249</v>
      </c>
      <c r="G519" s="71" t="s">
        <v>250</v>
      </c>
      <c r="H519" s="41"/>
      <c r="I519" s="42"/>
      <c r="J519" s="43" t="str">
        <f t="shared" si="1"/>
        <v>ADA</v>
      </c>
      <c r="K519" s="72">
        <v>2.0</v>
      </c>
      <c r="L519" s="53" t="s">
        <v>62</v>
      </c>
      <c r="M519" s="73">
        <v>85000.0</v>
      </c>
      <c r="N519" s="83">
        <v>0.145</v>
      </c>
      <c r="O519" s="73">
        <v>145350.0</v>
      </c>
      <c r="P519" s="46" t="str">
        <f t="shared" si="2"/>
        <v>Rp85,000-2 LSN-14.50%</v>
      </c>
      <c r="Q519" s="75">
        <v>45409.0</v>
      </c>
      <c r="R519" s="76"/>
      <c r="S519" s="75">
        <v>45419.0</v>
      </c>
      <c r="T519" s="49"/>
    </row>
    <row r="520">
      <c r="A520" s="82">
        <v>3887.0</v>
      </c>
      <c r="B520" s="69" t="s">
        <v>29</v>
      </c>
      <c r="C520" s="70" t="s">
        <v>845</v>
      </c>
      <c r="D520" s="69" t="s">
        <v>880</v>
      </c>
      <c r="E520" s="41" t="str">
        <f>IFERROR(__xludf.DUMMYFUNCTION("vlookup(D520,IMPORTRANGE(""https://docs.google.com/spreadsheets/d/1swGwZOEqYlTEUCJLY-eeJM1911Kvaei5oySBIxdgtNo/edit?pli=1#gid=257618397"",""stock untanna!B:C""),2,false)"),"TAS TUTUP PITA KADO FG-301 BESAR")</f>
        <v>TAS TUTUP PITA KADO FG-301 BESAR</v>
      </c>
      <c r="F520" s="70" t="s">
        <v>880</v>
      </c>
      <c r="G520" s="71" t="s">
        <v>881</v>
      </c>
      <c r="H520" s="41"/>
      <c r="I520" s="42"/>
      <c r="J520" s="43" t="str">
        <f t="shared" si="1"/>
        <v>ADA</v>
      </c>
      <c r="K520" s="72">
        <v>2.0</v>
      </c>
      <c r="L520" s="53" t="s">
        <v>62</v>
      </c>
      <c r="M520" s="73">
        <v>157500.0</v>
      </c>
      <c r="N520" s="83">
        <v>0.145</v>
      </c>
      <c r="O520" s="73">
        <v>269325.0</v>
      </c>
      <c r="P520" s="46" t="str">
        <f t="shared" si="2"/>
        <v>Rp157,500-2 LSN-14.50%</v>
      </c>
      <c r="Q520" s="75">
        <v>45409.0</v>
      </c>
      <c r="R520" s="76"/>
      <c r="S520" s="75">
        <v>45419.0</v>
      </c>
      <c r="T520" s="49"/>
    </row>
    <row r="521">
      <c r="A521" s="82">
        <v>3888.0</v>
      </c>
      <c r="B521" s="69" t="s">
        <v>29</v>
      </c>
      <c r="C521" s="70" t="s">
        <v>845</v>
      </c>
      <c r="D521" s="69" t="s">
        <v>882</v>
      </c>
      <c r="E521" s="41" t="str">
        <f>IFERROR(__xludf.DUMMYFUNCTION("vlookup(D521,IMPORTRANGE(""https://docs.google.com/spreadsheets/d/1swGwZOEqYlTEUCJLY-eeJM1911Kvaei5oySBIxdgtNo/edit?pli=1#gid=257618397"",""stock untanna!B:C""),2,false)"),"TAS TALI GG-01 KECIL TIMBUL")</f>
        <v>TAS TALI GG-01 KECIL TIMBUL</v>
      </c>
      <c r="F521" s="70" t="s">
        <v>882</v>
      </c>
      <c r="G521" s="71" t="s">
        <v>883</v>
      </c>
      <c r="H521" s="41"/>
      <c r="I521" s="42"/>
      <c r="J521" s="43" t="str">
        <f t="shared" si="1"/>
        <v>ADA</v>
      </c>
      <c r="K521" s="72">
        <v>2.0</v>
      </c>
      <c r="L521" s="53" t="s">
        <v>62</v>
      </c>
      <c r="M521" s="73">
        <v>93500.0</v>
      </c>
      <c r="N521" s="83">
        <v>0.145</v>
      </c>
      <c r="O521" s="73">
        <v>159885.0</v>
      </c>
      <c r="P521" s="46" t="str">
        <f t="shared" si="2"/>
        <v>Rp93,500-2 LSN-14.50%</v>
      </c>
      <c r="Q521" s="75">
        <v>45409.0</v>
      </c>
      <c r="R521" s="76"/>
      <c r="S521" s="75">
        <v>45419.0</v>
      </c>
      <c r="T521" s="49"/>
    </row>
    <row r="522">
      <c r="A522" s="82">
        <v>3888.0</v>
      </c>
      <c r="B522" s="69" t="s">
        <v>29</v>
      </c>
      <c r="C522" s="70" t="s">
        <v>845</v>
      </c>
      <c r="D522" s="69"/>
      <c r="E522" s="41" t="s">
        <v>884</v>
      </c>
      <c r="F522" s="70"/>
      <c r="G522" s="71" t="s">
        <v>884</v>
      </c>
      <c r="H522" s="41"/>
      <c r="I522" s="42"/>
      <c r="J522" s="43" t="str">
        <f t="shared" si="1"/>
        <v>TIDAK ADA</v>
      </c>
      <c r="K522" s="72">
        <v>2.0</v>
      </c>
      <c r="L522" s="53" t="s">
        <v>62</v>
      </c>
      <c r="M522" s="73">
        <v>170000.0</v>
      </c>
      <c r="N522" s="83">
        <v>0.145</v>
      </c>
      <c r="O522" s="73">
        <v>290700.0</v>
      </c>
      <c r="P522" s="46" t="str">
        <f t="shared" si="2"/>
        <v>Rp170,000-2 LSN-14.50%</v>
      </c>
      <c r="Q522" s="75">
        <v>45409.0</v>
      </c>
      <c r="R522" s="76"/>
      <c r="S522" s="75">
        <v>45419.0</v>
      </c>
      <c r="T522" s="49"/>
    </row>
    <row r="523">
      <c r="A523" s="82">
        <v>3888.0</v>
      </c>
      <c r="B523" s="69" t="s">
        <v>29</v>
      </c>
      <c r="C523" s="70" t="s">
        <v>845</v>
      </c>
      <c r="D523" s="69" t="s">
        <v>247</v>
      </c>
      <c r="E523" s="41" t="str">
        <f>IFERROR(__xludf.DUMMYFUNCTION("vlookup(D523,IMPORTRANGE(""https://docs.google.com/spreadsheets/d/1swGwZOEqYlTEUCJLY-eeJM1911Kvaei5oySBIxdgtNo/edit?pli=1#gid=257618397"",""stock untanna!B:C""),2,false)"),"TAS TUTUP PITA KADO FG-201 TANGGUNG")</f>
        <v>TAS TUTUP PITA KADO FG-201 TANGGUNG</v>
      </c>
      <c r="F523" s="70" t="s">
        <v>247</v>
      </c>
      <c r="G523" s="78" t="s">
        <v>248</v>
      </c>
      <c r="H523" s="41"/>
      <c r="I523" s="42"/>
      <c r="J523" s="43" t="str">
        <f t="shared" si="1"/>
        <v>ADA</v>
      </c>
      <c r="K523" s="72">
        <v>2.0</v>
      </c>
      <c r="L523" s="53" t="s">
        <v>62</v>
      </c>
      <c r="M523" s="73">
        <v>157500.0</v>
      </c>
      <c r="N523" s="83">
        <v>0.145</v>
      </c>
      <c r="O523" s="73">
        <v>269325.0</v>
      </c>
      <c r="P523" s="46" t="str">
        <f t="shared" si="2"/>
        <v>Rp157,500-2 LSN-14.50%</v>
      </c>
      <c r="Q523" s="75">
        <v>45409.0</v>
      </c>
      <c r="R523" s="76"/>
      <c r="S523" s="75">
        <v>45419.0</v>
      </c>
      <c r="T523" s="49"/>
    </row>
    <row r="524">
      <c r="A524" s="82">
        <v>3888.0</v>
      </c>
      <c r="B524" s="69" t="s">
        <v>29</v>
      </c>
      <c r="C524" s="70" t="s">
        <v>845</v>
      </c>
      <c r="D524" s="69"/>
      <c r="E524" s="41" t="s">
        <v>885</v>
      </c>
      <c r="F524" s="70"/>
      <c r="G524" s="71" t="s">
        <v>885</v>
      </c>
      <c r="H524" s="41"/>
      <c r="I524" s="42"/>
      <c r="J524" s="43" t="str">
        <f t="shared" si="1"/>
        <v>TIDAK ADA</v>
      </c>
      <c r="K524" s="72">
        <v>2.0</v>
      </c>
      <c r="L524" s="53" t="s">
        <v>62</v>
      </c>
      <c r="M524" s="73">
        <v>93500.0</v>
      </c>
      <c r="N524" s="83">
        <v>0.145</v>
      </c>
      <c r="O524" s="73">
        <v>159885.0</v>
      </c>
      <c r="P524" s="46" t="str">
        <f t="shared" si="2"/>
        <v>Rp93,500-2 LSN-14.50%</v>
      </c>
      <c r="Q524" s="75">
        <v>45409.0</v>
      </c>
      <c r="R524" s="76"/>
      <c r="S524" s="75">
        <v>45419.0</v>
      </c>
      <c r="T524" s="49"/>
    </row>
    <row r="525">
      <c r="A525" s="82">
        <v>3888.0</v>
      </c>
      <c r="B525" s="69" t="s">
        <v>29</v>
      </c>
      <c r="C525" s="70" t="s">
        <v>845</v>
      </c>
      <c r="D525" s="69"/>
      <c r="E525" s="41" t="s">
        <v>886</v>
      </c>
      <c r="F525" s="70"/>
      <c r="G525" s="71" t="s">
        <v>886</v>
      </c>
      <c r="H525" s="41"/>
      <c r="I525" s="42"/>
      <c r="J525" s="43" t="str">
        <f t="shared" si="1"/>
        <v>TIDAK ADA</v>
      </c>
      <c r="K525" s="72">
        <v>2.0</v>
      </c>
      <c r="L525" s="53" t="s">
        <v>62</v>
      </c>
      <c r="M525" s="73">
        <v>195000.0</v>
      </c>
      <c r="N525" s="83">
        <v>0.145</v>
      </c>
      <c r="O525" s="73">
        <v>333450.0</v>
      </c>
      <c r="P525" s="46" t="str">
        <f t="shared" si="2"/>
        <v>Rp195,000-2 LSN-14.50%</v>
      </c>
      <c r="Q525" s="75">
        <v>45409.0</v>
      </c>
      <c r="R525" s="76"/>
      <c r="S525" s="75">
        <v>45419.0</v>
      </c>
      <c r="T525" s="49"/>
    </row>
    <row r="526">
      <c r="A526" s="82">
        <v>3888.0</v>
      </c>
      <c r="B526" s="69" t="s">
        <v>29</v>
      </c>
      <c r="C526" s="70" t="s">
        <v>845</v>
      </c>
      <c r="D526" s="69" t="s">
        <v>887</v>
      </c>
      <c r="E526" s="41" t="str">
        <f>IFERROR(__xludf.DUMMYFUNCTION("vlookup(D526,IMPORTRANGE(""https://docs.google.com/spreadsheets/d/1swGwZOEqYlTEUCJLY-eeJM1911Kvaei5oySBIxdgtNo/edit?pli=1#gid=257618397"",""stock untanna!B:C""),2,false)"),"TAS 1838-L (TANGGUNG GLITTER)")</f>
        <v>TAS 1838-L (TANGGUNG GLITTER)</v>
      </c>
      <c r="F526" s="70" t="s">
        <v>887</v>
      </c>
      <c r="G526" s="71" t="s">
        <v>888</v>
      </c>
      <c r="H526" s="41"/>
      <c r="I526" s="42"/>
      <c r="J526" s="43" t="str">
        <f t="shared" si="1"/>
        <v>ADA</v>
      </c>
      <c r="K526" s="72">
        <v>2.0</v>
      </c>
      <c r="L526" s="53" t="s">
        <v>62</v>
      </c>
      <c r="M526" s="73">
        <v>195000.0</v>
      </c>
      <c r="N526" s="83">
        <v>0.145</v>
      </c>
      <c r="O526" s="73">
        <v>333450.0</v>
      </c>
      <c r="P526" s="46" t="str">
        <f t="shared" si="2"/>
        <v>Rp195,000-2 LSN-14.50%</v>
      </c>
      <c r="Q526" s="75">
        <v>45409.0</v>
      </c>
      <c r="R526" s="76"/>
      <c r="S526" s="75">
        <v>45419.0</v>
      </c>
      <c r="T526" s="49"/>
    </row>
    <row r="527">
      <c r="A527" s="82">
        <v>3888.0</v>
      </c>
      <c r="B527" s="69" t="s">
        <v>29</v>
      </c>
      <c r="C527" s="70" t="s">
        <v>845</v>
      </c>
      <c r="D527" s="50" t="s">
        <v>889</v>
      </c>
      <c r="E527" s="41" t="str">
        <f>IFERROR(__xludf.DUMMYFUNCTION("vlookup(D527,IMPORTRANGE(""https://docs.google.com/spreadsheets/d/1swGwZOEqYlTEUCJLY-eeJM1911Kvaei5oySBIxdgtNo/edit?pli=1#gid=257618397"",""stock untanna!B:C""),2,false)"),"TAS LYSD 241 K")</f>
        <v>TAS LYSD 241 K</v>
      </c>
      <c r="F527" s="70" t="s">
        <v>890</v>
      </c>
      <c r="G527" s="71" t="s">
        <v>891</v>
      </c>
      <c r="H527" s="41"/>
      <c r="I527" s="42"/>
      <c r="J527" s="43" t="str">
        <f t="shared" si="1"/>
        <v>ADA</v>
      </c>
      <c r="K527" s="72">
        <v>24.0</v>
      </c>
      <c r="L527" s="53" t="s">
        <v>69</v>
      </c>
      <c r="M527" s="73">
        <v>7083.0</v>
      </c>
      <c r="N527" s="83">
        <v>0.145</v>
      </c>
      <c r="O527" s="73">
        <v>145343.16</v>
      </c>
      <c r="P527" s="46" t="str">
        <f t="shared" si="2"/>
        <v>Rp7,083-24 PCS-14.50%</v>
      </c>
      <c r="Q527" s="75">
        <v>45409.0</v>
      </c>
      <c r="R527" s="76"/>
      <c r="S527" s="75">
        <v>45419.0</v>
      </c>
      <c r="T527" s="49"/>
    </row>
    <row r="528">
      <c r="A528" s="82">
        <v>3888.0</v>
      </c>
      <c r="B528" s="69" t="s">
        <v>29</v>
      </c>
      <c r="C528" s="70" t="s">
        <v>845</v>
      </c>
      <c r="D528" s="69"/>
      <c r="E528" s="41" t="s">
        <v>892</v>
      </c>
      <c r="F528" s="70"/>
      <c r="G528" s="71" t="s">
        <v>892</v>
      </c>
      <c r="H528" s="41"/>
      <c r="I528" s="42"/>
      <c r="J528" s="43" t="str">
        <f t="shared" si="1"/>
        <v>TIDAK ADA</v>
      </c>
      <c r="K528" s="72">
        <v>2.0</v>
      </c>
      <c r="L528" s="53" t="s">
        <v>62</v>
      </c>
      <c r="M528" s="73">
        <v>170000.0</v>
      </c>
      <c r="N528" s="83">
        <v>0.145</v>
      </c>
      <c r="O528" s="73">
        <v>290700.0</v>
      </c>
      <c r="P528" s="46" t="str">
        <f t="shared" si="2"/>
        <v>Rp170,000-2 LSN-14.50%</v>
      </c>
      <c r="Q528" s="75">
        <v>45409.0</v>
      </c>
      <c r="R528" s="76"/>
      <c r="S528" s="75">
        <v>45419.0</v>
      </c>
      <c r="T528" s="49"/>
    </row>
    <row r="529">
      <c r="A529" s="82">
        <v>3888.0</v>
      </c>
      <c r="B529" s="69" t="s">
        <v>29</v>
      </c>
      <c r="C529" s="70" t="s">
        <v>845</v>
      </c>
      <c r="D529" s="69"/>
      <c r="E529" s="41" t="s">
        <v>893</v>
      </c>
      <c r="F529" s="70"/>
      <c r="G529" s="71" t="s">
        <v>893</v>
      </c>
      <c r="H529" s="41"/>
      <c r="I529" s="42"/>
      <c r="J529" s="43" t="str">
        <f t="shared" si="1"/>
        <v>TIDAK ADA</v>
      </c>
      <c r="K529" s="72">
        <v>2.0</v>
      </c>
      <c r="L529" s="53" t="s">
        <v>62</v>
      </c>
      <c r="M529" s="73">
        <v>93500.0</v>
      </c>
      <c r="N529" s="83">
        <v>0.145</v>
      </c>
      <c r="O529" s="73">
        <v>159885.0</v>
      </c>
      <c r="P529" s="46" t="str">
        <f t="shared" si="2"/>
        <v>Rp93,500-2 LSN-14.50%</v>
      </c>
      <c r="Q529" s="75">
        <v>45409.0</v>
      </c>
      <c r="R529" s="76"/>
      <c r="S529" s="75">
        <v>45419.0</v>
      </c>
      <c r="T529" s="49"/>
    </row>
    <row r="530">
      <c r="A530" s="82">
        <v>3888.0</v>
      </c>
      <c r="B530" s="69" t="s">
        <v>29</v>
      </c>
      <c r="C530" s="70" t="s">
        <v>845</v>
      </c>
      <c r="D530" s="69"/>
      <c r="E530" s="41" t="s">
        <v>894</v>
      </c>
      <c r="F530" s="70"/>
      <c r="G530" s="71" t="s">
        <v>894</v>
      </c>
      <c r="H530" s="41"/>
      <c r="I530" s="42"/>
      <c r="J530" s="43" t="str">
        <f t="shared" si="1"/>
        <v>TIDAK ADA</v>
      </c>
      <c r="K530" s="72">
        <v>2.0</v>
      </c>
      <c r="L530" s="53" t="s">
        <v>62</v>
      </c>
      <c r="M530" s="73">
        <v>93500.0</v>
      </c>
      <c r="N530" s="83">
        <v>0.145</v>
      </c>
      <c r="O530" s="73">
        <v>159885.0</v>
      </c>
      <c r="P530" s="46" t="str">
        <f t="shared" si="2"/>
        <v>Rp93,500-2 LSN-14.50%</v>
      </c>
      <c r="Q530" s="75">
        <v>45409.0</v>
      </c>
      <c r="R530" s="76"/>
      <c r="S530" s="75">
        <v>45419.0</v>
      </c>
      <c r="T530" s="49"/>
    </row>
    <row r="531">
      <c r="A531" s="82">
        <v>3888.0</v>
      </c>
      <c r="B531" s="69" t="s">
        <v>29</v>
      </c>
      <c r="C531" s="70" t="s">
        <v>845</v>
      </c>
      <c r="D531" s="69"/>
      <c r="E531" s="41" t="s">
        <v>895</v>
      </c>
      <c r="F531" s="70"/>
      <c r="G531" s="71" t="s">
        <v>895</v>
      </c>
      <c r="H531" s="41"/>
      <c r="I531" s="42"/>
      <c r="J531" s="43" t="str">
        <f t="shared" si="1"/>
        <v>TIDAK ADA</v>
      </c>
      <c r="K531" s="72">
        <v>2.0</v>
      </c>
      <c r="L531" s="53" t="s">
        <v>62</v>
      </c>
      <c r="M531" s="73">
        <v>85000.0</v>
      </c>
      <c r="N531" s="83">
        <v>0.145</v>
      </c>
      <c r="O531" s="73">
        <v>145350.0</v>
      </c>
      <c r="P531" s="46" t="str">
        <f t="shared" si="2"/>
        <v>Rp85,000-2 LSN-14.50%</v>
      </c>
      <c r="Q531" s="75">
        <v>45409.0</v>
      </c>
      <c r="R531" s="76"/>
      <c r="S531" s="75">
        <v>45419.0</v>
      </c>
      <c r="T531" s="49"/>
    </row>
    <row r="532">
      <c r="A532" s="82">
        <v>3888.0</v>
      </c>
      <c r="B532" s="69" t="s">
        <v>29</v>
      </c>
      <c r="C532" s="70" t="s">
        <v>845</v>
      </c>
      <c r="D532" s="69" t="s">
        <v>896</v>
      </c>
      <c r="E532" s="41" t="str">
        <f>IFERROR(__xludf.DUMMYFUNCTION("vlookup(D532,IMPORTRANGE(""https://docs.google.com/spreadsheets/d/1swGwZOEqYlTEUCJLY-eeJM1911Kvaei5oySBIxdgtNo/edit?pli=1#gid=257618397"",""stock untanna!B:C""),2,false)"),"TAS BRANDED TANGGUNG SB-116")</f>
        <v>TAS BRANDED TANGGUNG SB-116</v>
      </c>
      <c r="F532" s="70" t="s">
        <v>896</v>
      </c>
      <c r="G532" s="71" t="s">
        <v>897</v>
      </c>
      <c r="H532" s="41"/>
      <c r="I532" s="42"/>
      <c r="J532" s="43" t="str">
        <f t="shared" si="1"/>
        <v>ADA</v>
      </c>
      <c r="K532" s="72">
        <v>2.0</v>
      </c>
      <c r="L532" s="53" t="s">
        <v>62</v>
      </c>
      <c r="M532" s="73">
        <v>52500.0</v>
      </c>
      <c r="N532" s="83">
        <v>0.145</v>
      </c>
      <c r="O532" s="73">
        <v>89775.0</v>
      </c>
      <c r="P532" s="46" t="str">
        <f t="shared" si="2"/>
        <v>Rp52,500-2 LSN-14.50%</v>
      </c>
      <c r="Q532" s="75">
        <v>45409.0</v>
      </c>
      <c r="R532" s="76"/>
      <c r="S532" s="75">
        <v>45419.0</v>
      </c>
      <c r="T532" s="49"/>
    </row>
    <row r="533">
      <c r="A533" s="82">
        <v>3888.0</v>
      </c>
      <c r="B533" s="69" t="s">
        <v>29</v>
      </c>
      <c r="C533" s="70" t="s">
        <v>845</v>
      </c>
      <c r="D533" s="69"/>
      <c r="E533" s="41" t="s">
        <v>898</v>
      </c>
      <c r="F533" s="70"/>
      <c r="G533" s="71" t="s">
        <v>898</v>
      </c>
      <c r="H533" s="41"/>
      <c r="I533" s="42"/>
      <c r="J533" s="43" t="str">
        <f t="shared" si="1"/>
        <v>TIDAK ADA</v>
      </c>
      <c r="K533" s="72">
        <v>1.0</v>
      </c>
      <c r="L533" s="53" t="s">
        <v>62</v>
      </c>
      <c r="M533" s="73">
        <v>170000.0</v>
      </c>
      <c r="N533" s="83">
        <v>0.145</v>
      </c>
      <c r="O533" s="73">
        <v>145350.0</v>
      </c>
      <c r="P533" s="46" t="str">
        <f t="shared" si="2"/>
        <v>Rp170,000-1 LSN-14.50%</v>
      </c>
      <c r="Q533" s="75">
        <v>45409.0</v>
      </c>
      <c r="R533" s="76"/>
      <c r="S533" s="75">
        <v>45419.0</v>
      </c>
      <c r="T533" s="49"/>
    </row>
    <row r="534">
      <c r="A534" s="82">
        <v>3888.0</v>
      </c>
      <c r="B534" s="69" t="s">
        <v>29</v>
      </c>
      <c r="C534" s="70" t="s">
        <v>845</v>
      </c>
      <c r="D534" s="69"/>
      <c r="E534" s="41" t="s">
        <v>899</v>
      </c>
      <c r="F534" s="70"/>
      <c r="G534" s="71" t="s">
        <v>899</v>
      </c>
      <c r="H534" s="41"/>
      <c r="I534" s="42"/>
      <c r="J534" s="43" t="str">
        <f t="shared" si="1"/>
        <v>TIDAK ADA</v>
      </c>
      <c r="K534" s="72">
        <v>2.0</v>
      </c>
      <c r="L534" s="53" t="s">
        <v>62</v>
      </c>
      <c r="M534" s="73">
        <v>157500.0</v>
      </c>
      <c r="N534" s="83">
        <v>0.145</v>
      </c>
      <c r="O534" s="73">
        <v>269325.0</v>
      </c>
      <c r="P534" s="46" t="str">
        <f t="shared" si="2"/>
        <v>Rp157,500-2 LSN-14.50%</v>
      </c>
      <c r="Q534" s="75">
        <v>45409.0</v>
      </c>
      <c r="R534" s="76"/>
      <c r="S534" s="75">
        <v>45419.0</v>
      </c>
      <c r="T534" s="49"/>
    </row>
    <row r="535">
      <c r="A535" s="82">
        <v>3888.0</v>
      </c>
      <c r="B535" s="69" t="s">
        <v>29</v>
      </c>
      <c r="C535" s="70" t="s">
        <v>845</v>
      </c>
      <c r="D535" s="69"/>
      <c r="E535" s="41" t="s">
        <v>900</v>
      </c>
      <c r="F535" s="70"/>
      <c r="G535" s="71" t="s">
        <v>900</v>
      </c>
      <c r="H535" s="41"/>
      <c r="I535" s="42"/>
      <c r="J535" s="43" t="str">
        <f t="shared" si="1"/>
        <v>TIDAK ADA</v>
      </c>
      <c r="K535" s="72">
        <v>2.0</v>
      </c>
      <c r="L535" s="53" t="s">
        <v>62</v>
      </c>
      <c r="M535" s="73">
        <v>157500.0</v>
      </c>
      <c r="N535" s="83">
        <v>0.145</v>
      </c>
      <c r="O535" s="73">
        <v>269325.0</v>
      </c>
      <c r="P535" s="46" t="str">
        <f t="shared" si="2"/>
        <v>Rp157,500-2 LSN-14.50%</v>
      </c>
      <c r="Q535" s="75">
        <v>45409.0</v>
      </c>
      <c r="R535" s="76"/>
      <c r="S535" s="75">
        <v>45419.0</v>
      </c>
      <c r="T535" s="49"/>
    </row>
    <row r="536">
      <c r="A536" s="82">
        <v>3888.0</v>
      </c>
      <c r="B536" s="69" t="s">
        <v>29</v>
      </c>
      <c r="C536" s="70" t="s">
        <v>845</v>
      </c>
      <c r="D536" s="69"/>
      <c r="E536" s="41" t="s">
        <v>901</v>
      </c>
      <c r="F536" s="70"/>
      <c r="G536" s="71" t="s">
        <v>901</v>
      </c>
      <c r="H536" s="41"/>
      <c r="I536" s="42"/>
      <c r="J536" s="43" t="str">
        <f t="shared" si="1"/>
        <v>TIDAK ADA</v>
      </c>
      <c r="K536" s="72">
        <v>12.0</v>
      </c>
      <c r="L536" s="53" t="s">
        <v>84</v>
      </c>
      <c r="M536" s="73">
        <v>14000.0</v>
      </c>
      <c r="N536" s="83">
        <v>0.145</v>
      </c>
      <c r="O536" s="73">
        <v>143640.0</v>
      </c>
      <c r="P536" s="46" t="str">
        <f t="shared" si="2"/>
        <v>Rp14,000-12 SET-14.50%</v>
      </c>
      <c r="Q536" s="75">
        <v>45409.0</v>
      </c>
      <c r="R536" s="76"/>
      <c r="S536" s="75">
        <v>45419.0</v>
      </c>
      <c r="T536" s="49"/>
    </row>
    <row r="537">
      <c r="A537" s="82">
        <v>3889.0</v>
      </c>
      <c r="B537" s="69" t="s">
        <v>29</v>
      </c>
      <c r="C537" s="70" t="s">
        <v>845</v>
      </c>
      <c r="D537" s="69" t="s">
        <v>902</v>
      </c>
      <c r="E537" s="41" t="str">
        <f>IFERROR(__xludf.DUMMYFUNCTION("vlookup(D537,IMPORTRANGE(""https://docs.google.com/spreadsheets/d/1swGwZOEqYlTEUCJLY-eeJM1911Kvaei5oySBIxdgtNo/edit?pli=1#gid=257618397"",""stock untanna!B:C""),2,false)"),"BLOCK NOTE SPIRAL ENTER 403")</f>
        <v>BLOCK NOTE SPIRAL ENTER 403</v>
      </c>
      <c r="F537" s="70" t="s">
        <v>902</v>
      </c>
      <c r="G537" s="71" t="s">
        <v>903</v>
      </c>
      <c r="H537" s="41"/>
      <c r="I537" s="42"/>
      <c r="J537" s="43" t="str">
        <f t="shared" si="1"/>
        <v>ADA</v>
      </c>
      <c r="K537" s="72">
        <v>12.0</v>
      </c>
      <c r="L537" s="53" t="s">
        <v>69</v>
      </c>
      <c r="M537" s="73">
        <v>9167.0</v>
      </c>
      <c r="N537" s="83">
        <v>0.145</v>
      </c>
      <c r="O537" s="73">
        <v>94053.42</v>
      </c>
      <c r="P537" s="46" t="str">
        <f t="shared" si="2"/>
        <v>Rp9,167-12 PCS-14.50%</v>
      </c>
      <c r="Q537" s="75">
        <v>45409.0</v>
      </c>
      <c r="R537" s="76"/>
      <c r="S537" s="75">
        <v>45419.0</v>
      </c>
      <c r="T537" s="49"/>
    </row>
    <row r="538">
      <c r="A538" s="82">
        <v>3889.0</v>
      </c>
      <c r="B538" s="69" t="s">
        <v>29</v>
      </c>
      <c r="C538" s="70" t="s">
        <v>845</v>
      </c>
      <c r="D538" s="69" t="s">
        <v>904</v>
      </c>
      <c r="E538" s="41" t="str">
        <f>IFERROR(__xludf.DUMMYFUNCTION("vlookup(D538,IMPORTRANGE(""https://docs.google.com/spreadsheets/d/1swGwZOEqYlTEUCJLY-eeJM1911Kvaei5oySBIxdgtNo/edit?pli=1#gid=257618397"",""stock untanna!B:C""),2,false)"),"BLOCK NOTE SPIRAL ENTER 404")</f>
        <v>BLOCK NOTE SPIRAL ENTER 404</v>
      </c>
      <c r="F538" s="70" t="s">
        <v>904</v>
      </c>
      <c r="G538" s="71" t="s">
        <v>905</v>
      </c>
      <c r="H538" s="41"/>
      <c r="I538" s="42"/>
      <c r="J538" s="43" t="str">
        <f t="shared" si="1"/>
        <v>ADA</v>
      </c>
      <c r="K538" s="72">
        <v>12.0</v>
      </c>
      <c r="L538" s="53" t="s">
        <v>69</v>
      </c>
      <c r="M538" s="73">
        <v>6667.0</v>
      </c>
      <c r="N538" s="83">
        <v>0.145</v>
      </c>
      <c r="O538" s="73">
        <v>68403.42</v>
      </c>
      <c r="P538" s="46" t="str">
        <f t="shared" si="2"/>
        <v>Rp6,667-12 PCS-14.50%</v>
      </c>
      <c r="Q538" s="75">
        <v>45409.0</v>
      </c>
      <c r="R538" s="76"/>
      <c r="S538" s="75">
        <v>45419.0</v>
      </c>
      <c r="T538" s="49"/>
    </row>
    <row r="539">
      <c r="A539" s="82">
        <v>3889.0</v>
      </c>
      <c r="B539" s="69" t="s">
        <v>29</v>
      </c>
      <c r="C539" s="70" t="s">
        <v>845</v>
      </c>
      <c r="D539" s="69" t="s">
        <v>906</v>
      </c>
      <c r="E539" s="41" t="str">
        <f>IFERROR(__xludf.DUMMYFUNCTION("vlookup(D539,IMPORTRANGE(""https://docs.google.com/spreadsheets/d/1swGwZOEqYlTEUCJLY-eeJM1911Kvaei5oySBIxdgtNo/edit?pli=1#gid=257618397"",""stock untanna!B:C""),2,false)"),"NOTEBOOK 18100-36")</f>
        <v>NOTEBOOK 18100-36</v>
      </c>
      <c r="F539" s="70" t="s">
        <v>906</v>
      </c>
      <c r="G539" s="71" t="s">
        <v>907</v>
      </c>
      <c r="H539" s="41"/>
      <c r="I539" s="42"/>
      <c r="J539" s="43" t="str">
        <f t="shared" si="1"/>
        <v>ADA</v>
      </c>
      <c r="K539" s="72">
        <v>1.0</v>
      </c>
      <c r="L539" s="53" t="s">
        <v>62</v>
      </c>
      <c r="M539" s="73">
        <v>250000.0</v>
      </c>
      <c r="N539" s="83">
        <v>0.145</v>
      </c>
      <c r="O539" s="73">
        <v>213750.0</v>
      </c>
      <c r="P539" s="46" t="str">
        <f t="shared" si="2"/>
        <v>Rp250,000-1 LSN-14.50%</v>
      </c>
      <c r="Q539" s="75">
        <v>45409.0</v>
      </c>
      <c r="R539" s="76"/>
      <c r="S539" s="75">
        <v>45419.0</v>
      </c>
      <c r="T539" s="49"/>
    </row>
    <row r="540">
      <c r="A540" s="82">
        <v>3889.0</v>
      </c>
      <c r="B540" s="69" t="s">
        <v>29</v>
      </c>
      <c r="C540" s="70" t="s">
        <v>845</v>
      </c>
      <c r="D540" s="69" t="s">
        <v>908</v>
      </c>
      <c r="E540" s="41" t="str">
        <f>IFERROR(__xludf.DUMMYFUNCTION("vlookup(D540,IMPORTRANGE(""https://docs.google.com/spreadsheets/d/1swGwZOEqYlTEUCJLY-eeJM1911Kvaei5oySBIxdgtNo/edit?pli=1#gid=257618397"",""stock untanna!B:C""),2,false)"),"NOTEBOOK SPIRAL 28850-67")</f>
        <v>NOTEBOOK SPIRAL 28850-67</v>
      </c>
      <c r="F540" s="70" t="s">
        <v>908</v>
      </c>
      <c r="G540" s="71" t="s">
        <v>909</v>
      </c>
      <c r="H540" s="41"/>
      <c r="I540" s="42"/>
      <c r="J540" s="43" t="str">
        <f t="shared" si="1"/>
        <v>ADA</v>
      </c>
      <c r="K540" s="72">
        <v>1.0</v>
      </c>
      <c r="L540" s="53" t="s">
        <v>62</v>
      </c>
      <c r="M540" s="73">
        <v>180000.0</v>
      </c>
      <c r="N540" s="83">
        <v>0.145</v>
      </c>
      <c r="O540" s="73">
        <v>153900.0</v>
      </c>
      <c r="P540" s="46" t="str">
        <f t="shared" si="2"/>
        <v>Rp180,000-1 LSN-14.50%</v>
      </c>
      <c r="Q540" s="75">
        <v>45409.0</v>
      </c>
      <c r="R540" s="76"/>
      <c r="S540" s="75">
        <v>45419.0</v>
      </c>
      <c r="T540" s="49"/>
    </row>
    <row r="541">
      <c r="A541" s="82">
        <v>3889.0</v>
      </c>
      <c r="B541" s="69" t="s">
        <v>29</v>
      </c>
      <c r="C541" s="70" t="s">
        <v>845</v>
      </c>
      <c r="D541" s="69"/>
      <c r="E541" s="41" t="s">
        <v>910</v>
      </c>
      <c r="F541" s="70"/>
      <c r="G541" s="71" t="s">
        <v>910</v>
      </c>
      <c r="H541" s="41"/>
      <c r="I541" s="42"/>
      <c r="J541" s="43" t="str">
        <f t="shared" si="1"/>
        <v>TIDAK ADA</v>
      </c>
      <c r="K541" s="72">
        <v>1.0</v>
      </c>
      <c r="L541" s="53" t="s">
        <v>62</v>
      </c>
      <c r="M541" s="73">
        <v>150000.0</v>
      </c>
      <c r="N541" s="83">
        <v>0.145</v>
      </c>
      <c r="O541" s="73">
        <v>128250.0</v>
      </c>
      <c r="P541" s="46" t="str">
        <f t="shared" si="2"/>
        <v>Rp150,000-1 LSN-14.50%</v>
      </c>
      <c r="Q541" s="75">
        <v>45409.0</v>
      </c>
      <c r="R541" s="76"/>
      <c r="S541" s="75">
        <v>45419.0</v>
      </c>
      <c r="T541" s="80" t="s">
        <v>280</v>
      </c>
    </row>
    <row r="542">
      <c r="A542" s="82">
        <v>3889.0</v>
      </c>
      <c r="B542" s="69" t="s">
        <v>29</v>
      </c>
      <c r="C542" s="70" t="s">
        <v>845</v>
      </c>
      <c r="D542" s="69" t="s">
        <v>911</v>
      </c>
      <c r="E542" s="41" t="str">
        <f>IFERROR(__xludf.DUMMYFUNCTION("vlookup(D542,IMPORTRANGE(""https://docs.google.com/spreadsheets/d/1swGwZOEqYlTEUCJLY-eeJM1911Kvaei5oySBIxdgtNo/edit?pli=1#gid=257618397"",""stock untanna!B:C""),2,false)"),"NOTEBOOK SPIRAL 25100-67")</f>
        <v>NOTEBOOK SPIRAL 25100-67</v>
      </c>
      <c r="F542" s="70" t="s">
        <v>911</v>
      </c>
      <c r="G542" s="71" t="s">
        <v>912</v>
      </c>
      <c r="H542" s="41"/>
      <c r="I542" s="42"/>
      <c r="J542" s="43" t="str">
        <f t="shared" si="1"/>
        <v>ADA</v>
      </c>
      <c r="K542" s="72">
        <v>12.0</v>
      </c>
      <c r="L542" s="53" t="s">
        <v>69</v>
      </c>
      <c r="M542" s="73">
        <v>16667.0</v>
      </c>
      <c r="N542" s="83">
        <v>0.145</v>
      </c>
      <c r="O542" s="73">
        <v>171003.42</v>
      </c>
      <c r="P542" s="46" t="str">
        <f t="shared" si="2"/>
        <v>Rp16,667-12 PCS-14.50%</v>
      </c>
      <c r="Q542" s="75">
        <v>45409.0</v>
      </c>
      <c r="R542" s="76"/>
      <c r="S542" s="75">
        <v>45419.0</v>
      </c>
      <c r="T542" s="49"/>
    </row>
    <row r="543">
      <c r="A543" s="82">
        <v>3889.0</v>
      </c>
      <c r="B543" s="69" t="s">
        <v>29</v>
      </c>
      <c r="C543" s="70" t="s">
        <v>845</v>
      </c>
      <c r="D543" s="69" t="s">
        <v>183</v>
      </c>
      <c r="E543" s="41" t="str">
        <f>IFERROR(__xludf.DUMMYFUNCTION("vlookup(D543,IMPORTRANGE(""https://docs.google.com/spreadsheets/d/1swGwZOEqYlTEUCJLY-eeJM1911Kvaei5oySBIxdgtNo/edit?pli=1#gid=257618397"",""stock untanna!B:C""),2,false)"),"NOTEBOOK SPIRAL 28850-65")</f>
        <v>NOTEBOOK SPIRAL 28850-65</v>
      </c>
      <c r="F543" s="70" t="s">
        <v>183</v>
      </c>
      <c r="G543" s="71" t="s">
        <v>184</v>
      </c>
      <c r="H543" s="41"/>
      <c r="I543" s="42"/>
      <c r="J543" s="43" t="str">
        <f t="shared" si="1"/>
        <v>ADA</v>
      </c>
      <c r="K543" s="72">
        <v>1.0</v>
      </c>
      <c r="L543" s="53" t="s">
        <v>62</v>
      </c>
      <c r="M543" s="73">
        <v>180000.0</v>
      </c>
      <c r="N543" s="83">
        <v>0.145</v>
      </c>
      <c r="O543" s="73">
        <v>153900.0</v>
      </c>
      <c r="P543" s="46" t="str">
        <f t="shared" si="2"/>
        <v>Rp180,000-1 LSN-14.50%</v>
      </c>
      <c r="Q543" s="75">
        <v>45409.0</v>
      </c>
      <c r="R543" s="76"/>
      <c r="S543" s="75">
        <v>45419.0</v>
      </c>
      <c r="T543" s="49"/>
    </row>
    <row r="544">
      <c r="A544" s="82">
        <v>3889.0</v>
      </c>
      <c r="B544" s="69" t="s">
        <v>29</v>
      </c>
      <c r="C544" s="70" t="s">
        <v>845</v>
      </c>
      <c r="D544" s="69" t="s">
        <v>913</v>
      </c>
      <c r="E544" s="41" t="str">
        <f>IFERROR(__xludf.DUMMYFUNCTION("vlookup(D544,IMPORTRANGE(""https://docs.google.com/spreadsheets/d/1swGwZOEqYlTEUCJLY-eeJM1911Kvaei5oySBIxdgtNo/edit?pli=1#gid=257618397"",""stock untanna!B:C""),2,false)"),"NOTEBOOK 28825-62")</f>
        <v>NOTEBOOK 28825-62</v>
      </c>
      <c r="F544" s="70" t="s">
        <v>913</v>
      </c>
      <c r="G544" s="71" t="s">
        <v>914</v>
      </c>
      <c r="H544" s="41"/>
      <c r="I544" s="42"/>
      <c r="J544" s="43" t="str">
        <f t="shared" si="1"/>
        <v>ADA</v>
      </c>
      <c r="K544" s="72">
        <v>12.0</v>
      </c>
      <c r="L544" s="53" t="s">
        <v>69</v>
      </c>
      <c r="M544" s="73">
        <v>16667.0</v>
      </c>
      <c r="N544" s="83">
        <v>0.145</v>
      </c>
      <c r="O544" s="73">
        <v>171003.42</v>
      </c>
      <c r="P544" s="46" t="str">
        <f t="shared" si="2"/>
        <v>Rp16,667-12 PCS-14.50%</v>
      </c>
      <c r="Q544" s="75">
        <v>45409.0</v>
      </c>
      <c r="R544" s="76"/>
      <c r="S544" s="75">
        <v>45419.0</v>
      </c>
      <c r="T544" s="49"/>
    </row>
    <row r="545">
      <c r="A545" s="82">
        <v>3889.0</v>
      </c>
      <c r="B545" s="69" t="s">
        <v>29</v>
      </c>
      <c r="C545" s="70" t="s">
        <v>845</v>
      </c>
      <c r="D545" s="69"/>
      <c r="E545" s="41" t="s">
        <v>915</v>
      </c>
      <c r="F545" s="70"/>
      <c r="G545" s="71" t="s">
        <v>915</v>
      </c>
      <c r="H545" s="41"/>
      <c r="I545" s="42"/>
      <c r="J545" s="43" t="str">
        <f t="shared" si="1"/>
        <v>TIDAK ADA</v>
      </c>
      <c r="K545" s="72">
        <v>1.0</v>
      </c>
      <c r="L545" s="53" t="s">
        <v>62</v>
      </c>
      <c r="M545" s="73">
        <v>100000.0</v>
      </c>
      <c r="N545" s="83">
        <v>0.145</v>
      </c>
      <c r="O545" s="73">
        <v>85500.0</v>
      </c>
      <c r="P545" s="46" t="str">
        <f t="shared" si="2"/>
        <v>Rp100,000-1 LSN-14.50%</v>
      </c>
      <c r="Q545" s="75">
        <v>45409.0</v>
      </c>
      <c r="R545" s="76"/>
      <c r="S545" s="75">
        <v>45419.0</v>
      </c>
      <c r="T545" s="80" t="s">
        <v>280</v>
      </c>
    </row>
    <row r="546">
      <c r="A546" s="82">
        <v>3889.0</v>
      </c>
      <c r="B546" s="69" t="s">
        <v>29</v>
      </c>
      <c r="C546" s="70" t="s">
        <v>845</v>
      </c>
      <c r="D546" s="69" t="s">
        <v>916</v>
      </c>
      <c r="E546" s="41" t="str">
        <f>IFERROR(__xludf.DUMMYFUNCTION("vlookup(D546,IMPORTRANGE(""https://docs.google.com/spreadsheets/d/1swGwZOEqYlTEUCJLY-eeJM1911Kvaei5oySBIxdgtNo/edit?pli=1#gid=257618397"",""stock untanna!B:C""),2,false)"),"MAP KANCING 4 UTN MERAH")</f>
        <v>MAP KANCING 4 UTN MERAH</v>
      </c>
      <c r="F546" s="70" t="s">
        <v>916</v>
      </c>
      <c r="G546" s="71" t="s">
        <v>917</v>
      </c>
      <c r="H546" s="41"/>
      <c r="I546" s="42"/>
      <c r="J546" s="43" t="str">
        <f t="shared" si="1"/>
        <v>ADA</v>
      </c>
      <c r="K546" s="72">
        <v>1.0</v>
      </c>
      <c r="L546" s="53" t="s">
        <v>62</v>
      </c>
      <c r="M546" s="73">
        <v>185000.0</v>
      </c>
      <c r="N546" s="83">
        <v>0.145</v>
      </c>
      <c r="O546" s="73">
        <v>158175.0</v>
      </c>
      <c r="P546" s="46" t="str">
        <f t="shared" si="2"/>
        <v>Rp185,000-1 LSN-14.50%</v>
      </c>
      <c r="Q546" s="75">
        <v>45409.0</v>
      </c>
      <c r="R546" s="76"/>
      <c r="S546" s="75">
        <v>45419.0</v>
      </c>
      <c r="T546" s="49"/>
    </row>
    <row r="547">
      <c r="A547" s="82">
        <v>3889.0</v>
      </c>
      <c r="B547" s="69" t="s">
        <v>29</v>
      </c>
      <c r="C547" s="70" t="s">
        <v>845</v>
      </c>
      <c r="D547" s="69"/>
      <c r="E547" s="41" t="s">
        <v>918</v>
      </c>
      <c r="F547" s="70"/>
      <c r="G547" s="71" t="s">
        <v>918</v>
      </c>
      <c r="H547" s="41"/>
      <c r="I547" s="42"/>
      <c r="J547" s="43" t="str">
        <f t="shared" si="1"/>
        <v>TIDAK ADA</v>
      </c>
      <c r="K547" s="72">
        <v>1.0</v>
      </c>
      <c r="L547" s="53" t="s">
        <v>62</v>
      </c>
      <c r="M547" s="73">
        <v>130000.0</v>
      </c>
      <c r="N547" s="83">
        <v>0.145</v>
      </c>
      <c r="O547" s="73">
        <v>111150.0</v>
      </c>
      <c r="P547" s="46" t="str">
        <f t="shared" si="2"/>
        <v>Rp130,000-1 LSN-14.50%</v>
      </c>
      <c r="Q547" s="75">
        <v>45409.0</v>
      </c>
      <c r="R547" s="76"/>
      <c r="S547" s="75">
        <v>45419.0</v>
      </c>
      <c r="T547" s="49"/>
    </row>
    <row r="548">
      <c r="A548" s="82">
        <v>3889.0</v>
      </c>
      <c r="B548" s="69" t="s">
        <v>29</v>
      </c>
      <c r="C548" s="70" t="s">
        <v>845</v>
      </c>
      <c r="D548" s="69"/>
      <c r="E548" s="41" t="s">
        <v>919</v>
      </c>
      <c r="F548" s="70"/>
      <c r="G548" s="71" t="s">
        <v>919</v>
      </c>
      <c r="H548" s="41"/>
      <c r="I548" s="42"/>
      <c r="J548" s="43" t="str">
        <f t="shared" si="1"/>
        <v>TIDAK ADA</v>
      </c>
      <c r="K548" s="72">
        <v>1.0</v>
      </c>
      <c r="L548" s="53" t="s">
        <v>62</v>
      </c>
      <c r="M548" s="73">
        <v>130000.0</v>
      </c>
      <c r="N548" s="83">
        <v>0.145</v>
      </c>
      <c r="O548" s="73">
        <v>111150.0</v>
      </c>
      <c r="P548" s="46" t="str">
        <f t="shared" si="2"/>
        <v>Rp130,000-1 LSN-14.50%</v>
      </c>
      <c r="Q548" s="75">
        <v>45409.0</v>
      </c>
      <c r="R548" s="76"/>
      <c r="S548" s="75">
        <v>45419.0</v>
      </c>
      <c r="T548" s="49"/>
    </row>
    <row r="549">
      <c r="A549" s="82">
        <v>3889.0</v>
      </c>
      <c r="B549" s="69" t="s">
        <v>29</v>
      </c>
      <c r="C549" s="70" t="s">
        <v>845</v>
      </c>
      <c r="D549" s="69"/>
      <c r="E549" s="41" t="s">
        <v>920</v>
      </c>
      <c r="F549" s="70"/>
      <c r="G549" s="71" t="s">
        <v>920</v>
      </c>
      <c r="H549" s="41"/>
      <c r="I549" s="42"/>
      <c r="J549" s="43" t="str">
        <f t="shared" si="1"/>
        <v>TIDAK ADA</v>
      </c>
      <c r="K549" s="72">
        <v>1.0</v>
      </c>
      <c r="L549" s="53" t="s">
        <v>62</v>
      </c>
      <c r="M549" s="73">
        <v>110000.0</v>
      </c>
      <c r="N549" s="83">
        <v>0.145</v>
      </c>
      <c r="O549" s="73">
        <v>94050.0</v>
      </c>
      <c r="P549" s="46" t="str">
        <f t="shared" si="2"/>
        <v>Rp110,000-1 LSN-14.50%</v>
      </c>
      <c r="Q549" s="75">
        <v>45409.0</v>
      </c>
      <c r="R549" s="76"/>
      <c r="S549" s="75">
        <v>45419.0</v>
      </c>
      <c r="T549" s="49"/>
    </row>
    <row r="550">
      <c r="A550" s="82">
        <v>3889.0</v>
      </c>
      <c r="B550" s="69" t="s">
        <v>29</v>
      </c>
      <c r="C550" s="70" t="s">
        <v>845</v>
      </c>
      <c r="D550" s="69" t="s">
        <v>921</v>
      </c>
      <c r="E550" s="41" t="str">
        <f>IFERROR(__xludf.DUMMYFUNCTION("vlookup(D550,IMPORTRANGE(""https://docs.google.com/spreadsheets/d/1swGwZOEqYlTEUCJLY-eeJM1911Kvaei5oySBIxdgtNo/edit?pli=1#gid=257618397"",""stock untanna!B:C""),2,false)"),"MAP DATA MICROTOP BS-57 B4")</f>
        <v>MAP DATA MICROTOP BS-57 B4</v>
      </c>
      <c r="F550" s="70" t="s">
        <v>921</v>
      </c>
      <c r="G550" s="71" t="s">
        <v>922</v>
      </c>
      <c r="H550" s="41"/>
      <c r="I550" s="42"/>
      <c r="J550" s="43" t="str">
        <f t="shared" si="1"/>
        <v>ADA</v>
      </c>
      <c r="K550" s="72">
        <v>1.0</v>
      </c>
      <c r="L550" s="53" t="s">
        <v>62</v>
      </c>
      <c r="M550" s="73">
        <v>150000.0</v>
      </c>
      <c r="N550" s="83">
        <v>0.145</v>
      </c>
      <c r="O550" s="73">
        <v>128250.0</v>
      </c>
      <c r="P550" s="46" t="str">
        <f t="shared" si="2"/>
        <v>Rp150,000-1 LSN-14.50%</v>
      </c>
      <c r="Q550" s="75">
        <v>45409.0</v>
      </c>
      <c r="R550" s="76"/>
      <c r="S550" s="75">
        <v>45419.0</v>
      </c>
      <c r="T550" s="49"/>
    </row>
    <row r="551">
      <c r="A551" s="82">
        <v>3889.0</v>
      </c>
      <c r="B551" s="69" t="s">
        <v>29</v>
      </c>
      <c r="C551" s="70" t="s">
        <v>845</v>
      </c>
      <c r="D551" s="69" t="s">
        <v>923</v>
      </c>
      <c r="E551" s="41" t="str">
        <f>IFERROR(__xludf.DUMMYFUNCTION("vlookup(D551,IMPORTRANGE(""https://docs.google.com/spreadsheets/d/1swGwZOEqYlTEUCJLY-eeJM1911Kvaei5oySBIxdgtNo/edit?pli=1#gid=257618397"",""stock untanna!B:C""),2,false)"),"DOKUMEN RISLETING BOX BATIK")</f>
        <v>DOKUMEN RISLETING BOX BATIK</v>
      </c>
      <c r="F551" s="70" t="s">
        <v>923</v>
      </c>
      <c r="G551" s="71" t="s">
        <v>924</v>
      </c>
      <c r="H551" s="41"/>
      <c r="I551" s="42"/>
      <c r="J551" s="43" t="str">
        <f t="shared" si="1"/>
        <v>ADA</v>
      </c>
      <c r="K551" s="72">
        <v>1.0</v>
      </c>
      <c r="L551" s="53" t="s">
        <v>62</v>
      </c>
      <c r="M551" s="73">
        <v>275000.0</v>
      </c>
      <c r="N551" s="83">
        <v>0.145</v>
      </c>
      <c r="O551" s="73">
        <v>235125.0</v>
      </c>
      <c r="P551" s="46" t="str">
        <f t="shared" si="2"/>
        <v>Rp275,000-1 LSN-14.50%</v>
      </c>
      <c r="Q551" s="75">
        <v>45409.0</v>
      </c>
      <c r="R551" s="76"/>
      <c r="S551" s="75">
        <v>45419.0</v>
      </c>
      <c r="T551" s="49"/>
    </row>
    <row r="552">
      <c r="A552" s="82">
        <v>3889.0</v>
      </c>
      <c r="B552" s="69" t="s">
        <v>29</v>
      </c>
      <c r="C552" s="70" t="s">
        <v>845</v>
      </c>
      <c r="D552" s="69" t="s">
        <v>925</v>
      </c>
      <c r="E552" s="41" t="str">
        <f>IFERROR(__xludf.DUMMYFUNCTION("vlookup(D552,IMPORTRANGE(""https://docs.google.com/spreadsheets/d/1swGwZOEqYlTEUCJLY-eeJM1911Kvaei5oySBIxdgtNo/edit?pli=1#gid=257618397"",""stock untanna!B:C""),2,false)"),"NOTEBOOK 18100-61")</f>
        <v>NOTEBOOK 18100-61</v>
      </c>
      <c r="F552" s="70" t="s">
        <v>925</v>
      </c>
      <c r="G552" s="71" t="s">
        <v>926</v>
      </c>
      <c r="H552" s="41"/>
      <c r="I552" s="42"/>
      <c r="J552" s="43" t="str">
        <f t="shared" si="1"/>
        <v>ADA</v>
      </c>
      <c r="K552" s="72">
        <v>0.5</v>
      </c>
      <c r="L552" s="53" t="s">
        <v>62</v>
      </c>
      <c r="M552" s="73">
        <v>250000.0</v>
      </c>
      <c r="N552" s="83">
        <v>0.145</v>
      </c>
      <c r="O552" s="73">
        <v>106875.0</v>
      </c>
      <c r="P552" s="46" t="str">
        <f t="shared" si="2"/>
        <v>Rp250,000-0.5 LSN-14.50%</v>
      </c>
      <c r="Q552" s="75">
        <v>45409.0</v>
      </c>
      <c r="R552" s="76"/>
      <c r="S552" s="75">
        <v>45419.0</v>
      </c>
      <c r="T552" s="49"/>
    </row>
    <row r="553">
      <c r="A553" s="82">
        <v>3890.0</v>
      </c>
      <c r="B553" s="69" t="s">
        <v>29</v>
      </c>
      <c r="C553" s="70" t="s">
        <v>845</v>
      </c>
      <c r="D553" s="69"/>
      <c r="E553" s="41" t="s">
        <v>927</v>
      </c>
      <c r="F553" s="70"/>
      <c r="G553" s="71" t="s">
        <v>927</v>
      </c>
      <c r="H553" s="41"/>
      <c r="I553" s="42"/>
      <c r="J553" s="43" t="str">
        <f t="shared" si="1"/>
        <v>TIDAK ADA</v>
      </c>
      <c r="K553" s="72">
        <v>1.0</v>
      </c>
      <c r="L553" s="53" t="s">
        <v>62</v>
      </c>
      <c r="M553" s="73">
        <v>100000.0</v>
      </c>
      <c r="N553" s="83">
        <v>0.145</v>
      </c>
      <c r="O553" s="73">
        <v>85500.0</v>
      </c>
      <c r="P553" s="46" t="str">
        <f t="shared" si="2"/>
        <v>Rp100,000-1 LSN-14.50%</v>
      </c>
      <c r="Q553" s="75">
        <v>45409.0</v>
      </c>
      <c r="R553" s="76"/>
      <c r="S553" s="75">
        <v>45419.0</v>
      </c>
      <c r="T553" s="80" t="s">
        <v>280</v>
      </c>
    </row>
    <row r="554">
      <c r="A554" s="82">
        <v>3890.0</v>
      </c>
      <c r="B554" s="69" t="s">
        <v>29</v>
      </c>
      <c r="C554" s="70" t="s">
        <v>845</v>
      </c>
      <c r="D554" s="69" t="s">
        <v>928</v>
      </c>
      <c r="E554" s="41" t="str">
        <f>IFERROR(__xludf.DUMMYFUNCTION("vlookup(D554,IMPORTRANGE(""https://docs.google.com/spreadsheets/d/1swGwZOEqYlTEUCJLY-eeJM1911Kvaei5oySBIxdgtNo/edit?pli=1#gid=257618397"",""stock untanna!B:C""),2,false)"),"DOKUMEN HD64")</f>
        <v>DOKUMEN HD64</v>
      </c>
      <c r="F554" s="70" t="s">
        <v>928</v>
      </c>
      <c r="G554" s="71" t="s">
        <v>929</v>
      </c>
      <c r="H554" s="41"/>
      <c r="I554" s="42"/>
      <c r="J554" s="43" t="str">
        <f t="shared" si="1"/>
        <v>ADA</v>
      </c>
      <c r="K554" s="72">
        <v>1.0</v>
      </c>
      <c r="L554" s="53" t="s">
        <v>62</v>
      </c>
      <c r="M554" s="73">
        <v>425000.0</v>
      </c>
      <c r="N554" s="83">
        <v>0.145</v>
      </c>
      <c r="O554" s="73">
        <v>363375.0</v>
      </c>
      <c r="P554" s="46" t="str">
        <f t="shared" si="2"/>
        <v>Rp425,000-1 LSN-14.50%</v>
      </c>
      <c r="Q554" s="75">
        <v>45409.0</v>
      </c>
      <c r="R554" s="76"/>
      <c r="S554" s="75">
        <v>45419.0</v>
      </c>
      <c r="T554" s="49"/>
    </row>
    <row r="555">
      <c r="A555" s="82">
        <v>3890.0</v>
      </c>
      <c r="B555" s="69" t="s">
        <v>29</v>
      </c>
      <c r="C555" s="70" t="s">
        <v>845</v>
      </c>
      <c r="D555" s="69"/>
      <c r="E555" s="41" t="s">
        <v>930</v>
      </c>
      <c r="F555" s="70"/>
      <c r="G555" s="71" t="s">
        <v>930</v>
      </c>
      <c r="H555" s="41"/>
      <c r="I555" s="42"/>
      <c r="J555" s="43" t="str">
        <f t="shared" si="1"/>
        <v>TIDAK ADA</v>
      </c>
      <c r="K555" s="72">
        <v>1.0</v>
      </c>
      <c r="L555" s="53" t="s">
        <v>62</v>
      </c>
      <c r="M555" s="73">
        <v>400000.0</v>
      </c>
      <c r="N555" s="83">
        <v>0.145</v>
      </c>
      <c r="O555" s="73">
        <v>342000.0</v>
      </c>
      <c r="P555" s="46" t="str">
        <f t="shared" si="2"/>
        <v>Rp400,000-1 LSN-14.50%</v>
      </c>
      <c r="Q555" s="75">
        <v>45409.0</v>
      </c>
      <c r="R555" s="76"/>
      <c r="S555" s="75">
        <v>45419.0</v>
      </c>
      <c r="T555" s="49"/>
    </row>
    <row r="556">
      <c r="A556" s="82">
        <v>3890.0</v>
      </c>
      <c r="B556" s="69" t="s">
        <v>29</v>
      </c>
      <c r="C556" s="70" t="s">
        <v>845</v>
      </c>
      <c r="D556" s="69" t="s">
        <v>931</v>
      </c>
      <c r="E556" s="41" t="str">
        <f>IFERROR(__xludf.DUMMYFUNCTION("vlookup(D556,IMPORTRANGE(""https://docs.google.com/spreadsheets/d/1swGwZOEqYlTEUCJLY-eeJM1911Kvaei5oySBIxdgtNo/edit?pli=1#gid=257618397"",""stock untanna!B:C""),2,false)"),"MAP DATA MICROTOP BS-53 A6")</f>
        <v>MAP DATA MICROTOP BS-53 A6</v>
      </c>
      <c r="F556" s="70" t="s">
        <v>931</v>
      </c>
      <c r="G556" s="71" t="s">
        <v>932</v>
      </c>
      <c r="H556" s="41"/>
      <c r="I556" s="42"/>
      <c r="J556" s="43" t="str">
        <f t="shared" si="1"/>
        <v>ADA</v>
      </c>
      <c r="K556" s="72">
        <v>1.0</v>
      </c>
      <c r="L556" s="53" t="s">
        <v>62</v>
      </c>
      <c r="M556" s="73">
        <v>90000.0</v>
      </c>
      <c r="N556" s="83">
        <v>0.145</v>
      </c>
      <c r="O556" s="73">
        <v>76950.0</v>
      </c>
      <c r="P556" s="46" t="str">
        <f t="shared" si="2"/>
        <v>Rp90,000-1 LSN-14.50%</v>
      </c>
      <c r="Q556" s="75">
        <v>45409.0</v>
      </c>
      <c r="R556" s="76"/>
      <c r="S556" s="75">
        <v>45419.0</v>
      </c>
      <c r="T556" s="49"/>
    </row>
    <row r="557">
      <c r="A557" s="82">
        <v>3890.0</v>
      </c>
      <c r="B557" s="69" t="s">
        <v>29</v>
      </c>
      <c r="C557" s="70" t="s">
        <v>845</v>
      </c>
      <c r="D557" s="69" t="s">
        <v>933</v>
      </c>
      <c r="E557" s="41" t="str">
        <f>IFERROR(__xludf.DUMMYFUNCTION("vlookup(D557,IMPORTRANGE(""https://docs.google.com/spreadsheets/d/1swGwZOEqYlTEUCJLY-eeJM1911Kvaei5oySBIxdgtNo/edit?pli=1#gid=257618397"",""stock untanna!B:C""),2,false)"),"MAP DATA MICROTOP BS-54 A5")</f>
        <v>MAP DATA MICROTOP BS-54 A5</v>
      </c>
      <c r="F557" s="70" t="s">
        <v>933</v>
      </c>
      <c r="G557" s="71" t="s">
        <v>934</v>
      </c>
      <c r="H557" s="41"/>
      <c r="I557" s="42"/>
      <c r="J557" s="43" t="str">
        <f t="shared" si="1"/>
        <v>ADA</v>
      </c>
      <c r="K557" s="72">
        <v>1.0</v>
      </c>
      <c r="L557" s="53" t="s">
        <v>62</v>
      </c>
      <c r="M557" s="73">
        <v>110000.0</v>
      </c>
      <c r="N557" s="83">
        <v>0.145</v>
      </c>
      <c r="O557" s="73">
        <v>94050.0</v>
      </c>
      <c r="P557" s="46" t="str">
        <f t="shared" si="2"/>
        <v>Rp110,000-1 LSN-14.50%</v>
      </c>
      <c r="Q557" s="75">
        <v>45409.0</v>
      </c>
      <c r="R557" s="76"/>
      <c r="S557" s="75">
        <v>45419.0</v>
      </c>
      <c r="T557" s="49"/>
    </row>
    <row r="558">
      <c r="A558" s="82">
        <v>3890.0</v>
      </c>
      <c r="B558" s="69" t="s">
        <v>29</v>
      </c>
      <c r="C558" s="70" t="s">
        <v>845</v>
      </c>
      <c r="D558" s="69" t="s">
        <v>935</v>
      </c>
      <c r="E558" s="41" t="str">
        <f>IFERROR(__xludf.DUMMYFUNCTION("vlookup(D558,IMPORTRANGE(""https://docs.google.com/spreadsheets/d/1swGwZOEqYlTEUCJLY-eeJM1911Kvaei5oySBIxdgtNo/edit?pli=1#gid=257618397"",""stock untanna!B:C""),2,false)"),"MAP DATA MICROTOP BS-55 B5")</f>
        <v>MAP DATA MICROTOP BS-55 B5</v>
      </c>
      <c r="F558" s="70" t="s">
        <v>935</v>
      </c>
      <c r="G558" s="71" t="s">
        <v>936</v>
      </c>
      <c r="H558" s="41"/>
      <c r="I558" s="42"/>
      <c r="J558" s="43" t="str">
        <f t="shared" si="1"/>
        <v>ADA</v>
      </c>
      <c r="K558" s="72">
        <v>1.0</v>
      </c>
      <c r="L558" s="53" t="s">
        <v>62</v>
      </c>
      <c r="M558" s="73">
        <v>140000.0</v>
      </c>
      <c r="N558" s="83">
        <v>0.145</v>
      </c>
      <c r="O558" s="73">
        <v>119700.0</v>
      </c>
      <c r="P558" s="46" t="str">
        <f t="shared" si="2"/>
        <v>Rp140,000-1 LSN-14.50%</v>
      </c>
      <c r="Q558" s="75">
        <v>45409.0</v>
      </c>
      <c r="R558" s="76"/>
      <c r="S558" s="75">
        <v>45419.0</v>
      </c>
      <c r="T558" s="49"/>
    </row>
    <row r="559">
      <c r="A559" s="82">
        <v>3890.0</v>
      </c>
      <c r="B559" s="69" t="s">
        <v>29</v>
      </c>
      <c r="C559" s="70" t="s">
        <v>845</v>
      </c>
      <c r="D559" s="69"/>
      <c r="E559" s="41" t="s">
        <v>937</v>
      </c>
      <c r="F559" s="70"/>
      <c r="G559" s="71" t="s">
        <v>937</v>
      </c>
      <c r="H559" s="41"/>
      <c r="I559" s="42"/>
      <c r="J559" s="43" t="str">
        <f t="shared" si="1"/>
        <v>TIDAK ADA</v>
      </c>
      <c r="K559" s="72">
        <v>12.0</v>
      </c>
      <c r="L559" s="53" t="s">
        <v>114</v>
      </c>
      <c r="M559" s="73">
        <v>8500.0</v>
      </c>
      <c r="N559" s="83">
        <v>0.145</v>
      </c>
      <c r="O559" s="73">
        <v>87210.0</v>
      </c>
      <c r="P559" s="46" t="str">
        <f t="shared" si="2"/>
        <v>Rp8,500-12 PAK-14.50%</v>
      </c>
      <c r="Q559" s="75">
        <v>45409.0</v>
      </c>
      <c r="R559" s="76"/>
      <c r="S559" s="75">
        <v>45419.0</v>
      </c>
      <c r="T559" s="49"/>
    </row>
    <row r="560">
      <c r="A560" s="82">
        <v>3890.0</v>
      </c>
      <c r="B560" s="69" t="s">
        <v>29</v>
      </c>
      <c r="C560" s="70" t="s">
        <v>845</v>
      </c>
      <c r="D560" s="69" t="s">
        <v>938</v>
      </c>
      <c r="E560" s="41" t="str">
        <f>IFERROR(__xludf.DUMMYFUNCTION("vlookup(D560,IMPORTRANGE(""https://docs.google.com/spreadsheets/d/1swGwZOEqYlTEUCJLY-eeJM1911Kvaei5oySBIxdgtNo/edit?pli=1#gid=257618397"",""stock untanna!B:C""),2,false)"),"STICKER QJF-A")</f>
        <v>STICKER QJF-A</v>
      </c>
      <c r="F560" s="70" t="s">
        <v>938</v>
      </c>
      <c r="G560" s="71" t="s">
        <v>939</v>
      </c>
      <c r="H560" s="41"/>
      <c r="I560" s="42"/>
      <c r="J560" s="43" t="str">
        <f t="shared" si="1"/>
        <v>ADA</v>
      </c>
      <c r="K560" s="72">
        <v>12.0</v>
      </c>
      <c r="L560" s="53" t="s">
        <v>114</v>
      </c>
      <c r="M560" s="73">
        <v>24000.0</v>
      </c>
      <c r="N560" s="83">
        <v>0.145</v>
      </c>
      <c r="O560" s="73">
        <v>246240.0</v>
      </c>
      <c r="P560" s="46" t="str">
        <f t="shared" si="2"/>
        <v>Rp24,000-12 PAK-14.50%</v>
      </c>
      <c r="Q560" s="75">
        <v>45409.0</v>
      </c>
      <c r="R560" s="76"/>
      <c r="S560" s="75">
        <v>45419.0</v>
      </c>
      <c r="T560" s="49"/>
    </row>
    <row r="561">
      <c r="A561" s="82">
        <v>3890.0</v>
      </c>
      <c r="B561" s="69" t="s">
        <v>29</v>
      </c>
      <c r="C561" s="70" t="s">
        <v>845</v>
      </c>
      <c r="D561" s="69"/>
      <c r="E561" s="41" t="s">
        <v>940</v>
      </c>
      <c r="F561" s="70"/>
      <c r="G561" s="71" t="s">
        <v>940</v>
      </c>
      <c r="H561" s="41"/>
      <c r="I561" s="42"/>
      <c r="J561" s="43" t="str">
        <f t="shared" si="1"/>
        <v>TIDAK ADA</v>
      </c>
      <c r="K561" s="72">
        <v>12.0</v>
      </c>
      <c r="L561" s="53" t="s">
        <v>114</v>
      </c>
      <c r="M561" s="73">
        <v>8500.0</v>
      </c>
      <c r="N561" s="83">
        <v>0.145</v>
      </c>
      <c r="O561" s="73">
        <v>87210.0</v>
      </c>
      <c r="P561" s="46" t="str">
        <f t="shared" si="2"/>
        <v>Rp8,500-12 PAK-14.50%</v>
      </c>
      <c r="Q561" s="75">
        <v>45409.0</v>
      </c>
      <c r="R561" s="76"/>
      <c r="S561" s="75">
        <v>45419.0</v>
      </c>
      <c r="T561" s="49"/>
    </row>
    <row r="562">
      <c r="A562" s="82">
        <v>3890.0</v>
      </c>
      <c r="B562" s="69" t="s">
        <v>29</v>
      </c>
      <c r="C562" s="70" t="s">
        <v>845</v>
      </c>
      <c r="D562" s="69" t="s">
        <v>941</v>
      </c>
      <c r="E562" s="41" t="str">
        <f>IFERROR(__xludf.DUMMYFUNCTION("vlookup(D562,IMPORTRANGE(""https://docs.google.com/spreadsheets/d/1swGwZOEqYlTEUCJLY-eeJM1911Kvaei5oySBIxdgtNo/edit?pli=1#gid=257618397"",""stock untanna!B:C""),2,false)"),"STICKER JBE-34")</f>
        <v>STICKER JBE-34</v>
      </c>
      <c r="F562" s="70" t="s">
        <v>941</v>
      </c>
      <c r="G562" s="71" t="s">
        <v>942</v>
      </c>
      <c r="H562" s="41"/>
      <c r="I562" s="42"/>
      <c r="J562" s="43" t="str">
        <f t="shared" si="1"/>
        <v>ADA</v>
      </c>
      <c r="K562" s="72">
        <v>12.0</v>
      </c>
      <c r="L562" s="53" t="s">
        <v>114</v>
      </c>
      <c r="M562" s="73">
        <v>10000.0</v>
      </c>
      <c r="N562" s="83">
        <v>0.145</v>
      </c>
      <c r="O562" s="73">
        <v>102600.0</v>
      </c>
      <c r="P562" s="46" t="str">
        <f t="shared" si="2"/>
        <v>Rp10,000-12 PAK-14.50%</v>
      </c>
      <c r="Q562" s="75">
        <v>45409.0</v>
      </c>
      <c r="R562" s="76"/>
      <c r="S562" s="75">
        <v>45419.0</v>
      </c>
      <c r="T562" s="49"/>
    </row>
    <row r="563">
      <c r="A563" s="82">
        <v>3890.0</v>
      </c>
      <c r="B563" s="69" t="s">
        <v>29</v>
      </c>
      <c r="C563" s="70" t="s">
        <v>845</v>
      </c>
      <c r="D563" s="69" t="s">
        <v>943</v>
      </c>
      <c r="E563" s="41" t="str">
        <f>IFERROR(__xludf.DUMMYFUNCTION("vlookup(D563,IMPORTRANGE(""https://docs.google.com/spreadsheets/d/1swGwZOEqYlTEUCJLY-eeJM1911Kvaei5oySBIxdgtNo/edit?pli=1#gid=257618397"",""stock untanna!B:C""),2,false)"),"STICKER XTQ-F")</f>
        <v>STICKER XTQ-F</v>
      </c>
      <c r="F563" s="70" t="s">
        <v>943</v>
      </c>
      <c r="G563" s="71" t="s">
        <v>944</v>
      </c>
      <c r="H563" s="41"/>
      <c r="I563" s="42"/>
      <c r="J563" s="43" t="str">
        <f t="shared" si="1"/>
        <v>ADA</v>
      </c>
      <c r="K563" s="72">
        <v>24.0</v>
      </c>
      <c r="L563" s="53" t="s">
        <v>69</v>
      </c>
      <c r="M563" s="73">
        <v>6250.0</v>
      </c>
      <c r="N563" s="83">
        <v>0.145</v>
      </c>
      <c r="O563" s="73">
        <v>128250.0</v>
      </c>
      <c r="P563" s="46" t="str">
        <f t="shared" si="2"/>
        <v>Rp6,250-24 PCS-14.50%</v>
      </c>
      <c r="Q563" s="75">
        <v>45409.0</v>
      </c>
      <c r="R563" s="76"/>
      <c r="S563" s="75">
        <v>45419.0</v>
      </c>
      <c r="T563" s="49"/>
    </row>
    <row r="564">
      <c r="A564" s="82">
        <v>3890.0</v>
      </c>
      <c r="B564" s="69" t="s">
        <v>29</v>
      </c>
      <c r="C564" s="70" t="s">
        <v>845</v>
      </c>
      <c r="D564" s="69" t="s">
        <v>945</v>
      </c>
      <c r="E564" s="41" t="str">
        <f>IFERROR(__xludf.DUMMYFUNCTION("vlookup(D564,IMPORTRANGE(""https://docs.google.com/spreadsheets/d/1swGwZOEqYlTEUCJLY-eeJM1911Kvaei5oySBIxdgtNo/edit?pli=1#gid=257618397"",""stock untanna!B:C""),2,false)"),"STICKER XTQ-E")</f>
        <v>STICKER XTQ-E</v>
      </c>
      <c r="F564" s="70" t="s">
        <v>945</v>
      </c>
      <c r="G564" s="71" t="s">
        <v>946</v>
      </c>
      <c r="H564" s="41"/>
      <c r="I564" s="42"/>
      <c r="J564" s="43" t="str">
        <f t="shared" si="1"/>
        <v>ADA</v>
      </c>
      <c r="K564" s="72">
        <v>36.0</v>
      </c>
      <c r="L564" s="53" t="s">
        <v>69</v>
      </c>
      <c r="M564" s="73">
        <v>6250.0</v>
      </c>
      <c r="N564" s="83">
        <v>0.145</v>
      </c>
      <c r="O564" s="73">
        <v>192375.0</v>
      </c>
      <c r="P564" s="46" t="str">
        <f t="shared" si="2"/>
        <v>Rp6,250-36 PCS-14.50%</v>
      </c>
      <c r="Q564" s="75">
        <v>45409.0</v>
      </c>
      <c r="R564" s="76"/>
      <c r="S564" s="75">
        <v>45419.0</v>
      </c>
      <c r="T564" s="49"/>
    </row>
    <row r="565">
      <c r="A565" s="82">
        <v>3890.0</v>
      </c>
      <c r="B565" s="69" t="s">
        <v>29</v>
      </c>
      <c r="C565" s="70" t="s">
        <v>845</v>
      </c>
      <c r="D565" s="69" t="s">
        <v>947</v>
      </c>
      <c r="E565" s="41" t="str">
        <f>IFERROR(__xludf.DUMMYFUNCTION("vlookup(D565,IMPORTRANGE(""https://docs.google.com/spreadsheets/d/1swGwZOEqYlTEUCJLY-eeJM1911Kvaei5oySBIxdgtNo/edit?pli=1#gid=257618397"",""stock untanna!B:C""),2,false)"),"CRAYON PUTAR DB 777 18W")</f>
        <v>CRAYON PUTAR DB 777 18W</v>
      </c>
      <c r="F565" s="70" t="s">
        <v>947</v>
      </c>
      <c r="G565" s="71" t="s">
        <v>948</v>
      </c>
      <c r="H565" s="41"/>
      <c r="I565" s="42"/>
      <c r="J565" s="43" t="str">
        <f t="shared" si="1"/>
        <v>ADA</v>
      </c>
      <c r="K565" s="72">
        <v>1.0</v>
      </c>
      <c r="L565" s="53" t="s">
        <v>62</v>
      </c>
      <c r="M565" s="73">
        <v>350000.0</v>
      </c>
      <c r="N565" s="83">
        <v>0.145</v>
      </c>
      <c r="O565" s="73">
        <v>299250.0</v>
      </c>
      <c r="P565" s="46" t="str">
        <f t="shared" si="2"/>
        <v>Rp350,000-1 LSN-14.50%</v>
      </c>
      <c r="Q565" s="75">
        <v>45409.0</v>
      </c>
      <c r="R565" s="76"/>
      <c r="S565" s="75">
        <v>45419.0</v>
      </c>
      <c r="T565" s="49"/>
    </row>
    <row r="566">
      <c r="A566" s="82">
        <v>3890.0</v>
      </c>
      <c r="B566" s="69" t="s">
        <v>29</v>
      </c>
      <c r="C566" s="70" t="s">
        <v>845</v>
      </c>
      <c r="D566" s="69" t="s">
        <v>477</v>
      </c>
      <c r="E566" s="41" t="str">
        <f>IFERROR(__xludf.DUMMYFUNCTION("vlookup(D566,IMPORTRANGE(""https://docs.google.com/spreadsheets/d/1swGwZOEqYlTEUCJLY-eeJM1911Kvaei5oySBIxdgtNo/edit?pli=1#gid=257618397"",""stock untanna!B:C""),2,false)"),"BP ST 500 LIGHT")</f>
        <v>BP ST 500 LIGHT</v>
      </c>
      <c r="F566" s="70" t="s">
        <v>477</v>
      </c>
      <c r="G566" s="71" t="s">
        <v>478</v>
      </c>
      <c r="H566" s="41"/>
      <c r="I566" s="42"/>
      <c r="J566" s="43" t="str">
        <f t="shared" si="1"/>
        <v>ADA</v>
      </c>
      <c r="K566" s="72">
        <v>12.0</v>
      </c>
      <c r="L566" s="53" t="s">
        <v>62</v>
      </c>
      <c r="M566" s="73">
        <v>20000.0</v>
      </c>
      <c r="N566" s="83">
        <v>0.145</v>
      </c>
      <c r="O566" s="73">
        <v>205200.0</v>
      </c>
      <c r="P566" s="46" t="str">
        <f t="shared" si="2"/>
        <v>Rp20,000-12 LSN-14.50%</v>
      </c>
      <c r="Q566" s="75">
        <v>45409.0</v>
      </c>
      <c r="R566" s="76"/>
      <c r="S566" s="75">
        <v>45419.0</v>
      </c>
      <c r="T566" s="49"/>
    </row>
    <row r="567">
      <c r="A567" s="82">
        <v>3890.0</v>
      </c>
      <c r="B567" s="69" t="s">
        <v>29</v>
      </c>
      <c r="C567" s="70" t="s">
        <v>845</v>
      </c>
      <c r="D567" s="50" t="s">
        <v>134</v>
      </c>
      <c r="E567" s="41" t="str">
        <f>IFERROR(__xludf.DUMMYFUNCTION("IFNA(vlookup(D567,IMPORTRANGE(""https://docs.google.com/spreadsheets/d/1swGwZOEqYlTEUCJLY-eeJM1911Kvaei5oySBIxdgtNo/edit?pli=1#gid=257618397"",""stock untanna!B:C""),2,false),V:V)"),"PENSIL TF 888")</f>
        <v>PENSIL TF 888</v>
      </c>
      <c r="F567" s="70"/>
      <c r="G567" s="71" t="s">
        <v>135</v>
      </c>
      <c r="H567" s="41"/>
      <c r="I567" s="42"/>
      <c r="J567" s="43" t="str">
        <f t="shared" si="1"/>
        <v>ADA</v>
      </c>
      <c r="K567" s="72">
        <v>1.0</v>
      </c>
      <c r="L567" s="53" t="s">
        <v>131</v>
      </c>
      <c r="M567" s="73">
        <v>147000.0</v>
      </c>
      <c r="N567" s="83">
        <v>0.145</v>
      </c>
      <c r="O567" s="73">
        <v>125685.0</v>
      </c>
      <c r="P567" s="46" t="str">
        <f t="shared" si="2"/>
        <v>Rp147,000-1 GRS-14.50%</v>
      </c>
      <c r="Q567" s="75">
        <v>45409.0</v>
      </c>
      <c r="R567" s="76"/>
      <c r="S567" s="75">
        <v>45419.0</v>
      </c>
      <c r="T567" s="80" t="s">
        <v>280</v>
      </c>
    </row>
    <row r="568">
      <c r="A568" s="82">
        <v>3890.0</v>
      </c>
      <c r="B568" s="69" t="s">
        <v>29</v>
      </c>
      <c r="C568" s="70" t="s">
        <v>845</v>
      </c>
      <c r="D568" s="69" t="s">
        <v>436</v>
      </c>
      <c r="E568" s="41" t="str">
        <f>IFERROR(__xludf.DUMMYFUNCTION("vlookup(D568,IMPORTRANGE(""https://docs.google.com/spreadsheets/d/1swGwZOEqYlTEUCJLY-eeJM1911Kvaei5oySBIxdgtNo/edit?pli=1#gid=257618397"",""stock untanna!B:C""),2,false)"),"BP COSH CS 8601")</f>
        <v>BP COSH CS 8601</v>
      </c>
      <c r="F568" s="70" t="s">
        <v>436</v>
      </c>
      <c r="G568" s="71" t="s">
        <v>437</v>
      </c>
      <c r="H568" s="41"/>
      <c r="I568" s="42"/>
      <c r="J568" s="43" t="str">
        <f t="shared" si="1"/>
        <v>ADA</v>
      </c>
      <c r="K568" s="72">
        <v>6.0</v>
      </c>
      <c r="L568" s="53" t="s">
        <v>62</v>
      </c>
      <c r="M568" s="73">
        <v>29000.0</v>
      </c>
      <c r="N568" s="83">
        <v>0.145</v>
      </c>
      <c r="O568" s="73">
        <v>148770.0</v>
      </c>
      <c r="P568" s="46" t="str">
        <f t="shared" si="2"/>
        <v>Rp29,000-6 LSN-14.50%</v>
      </c>
      <c r="Q568" s="75">
        <v>45409.0</v>
      </c>
      <c r="R568" s="76"/>
      <c r="S568" s="75">
        <v>45419.0</v>
      </c>
      <c r="T568" s="49"/>
    </row>
    <row r="569">
      <c r="A569" s="82">
        <v>3891.0</v>
      </c>
      <c r="B569" s="69" t="s">
        <v>29</v>
      </c>
      <c r="C569" s="70" t="s">
        <v>845</v>
      </c>
      <c r="D569" s="69" t="s">
        <v>483</v>
      </c>
      <c r="E569" s="41" t="str">
        <f>IFERROR(__xludf.DUMMYFUNCTION("vlookup(D569,IMPORTRANGE(""https://docs.google.com/spreadsheets/d/1swGwZOEqYlTEUCJLY-eeJM1911Kvaei5oySBIxdgtNo/edit?pli=1#gid=257618397"",""stock untanna!B:C""),2,false)"),"BP GEL DTIAN DT-830 + STIP")</f>
        <v>BP GEL DTIAN DT-830 + STIP</v>
      </c>
      <c r="F569" s="70" t="s">
        <v>483</v>
      </c>
      <c r="G569" s="71" t="s">
        <v>484</v>
      </c>
      <c r="H569" s="41"/>
      <c r="I569" s="42"/>
      <c r="J569" s="43" t="str">
        <f t="shared" si="1"/>
        <v>ADA</v>
      </c>
      <c r="K569" s="72">
        <v>6.0</v>
      </c>
      <c r="L569" s="53" t="s">
        <v>62</v>
      </c>
      <c r="M569" s="73">
        <v>27000.0</v>
      </c>
      <c r="N569" s="83">
        <v>0.145</v>
      </c>
      <c r="O569" s="73">
        <v>138510.0</v>
      </c>
      <c r="P569" s="46" t="str">
        <f t="shared" si="2"/>
        <v>Rp27,000-6 LSN-14.50%</v>
      </c>
      <c r="Q569" s="75">
        <v>45409.0</v>
      </c>
      <c r="R569" s="76"/>
      <c r="S569" s="75">
        <v>45419.0</v>
      </c>
      <c r="T569" s="49"/>
    </row>
    <row r="570">
      <c r="A570" s="82">
        <v>3891.0</v>
      </c>
      <c r="B570" s="69" t="s">
        <v>29</v>
      </c>
      <c r="C570" s="70" t="s">
        <v>845</v>
      </c>
      <c r="D570" s="69" t="s">
        <v>949</v>
      </c>
      <c r="E570" s="41" t="str">
        <f>IFERROR(__xludf.DUMMYFUNCTION("vlookup(D570,IMPORTRANGE(""https://docs.google.com/spreadsheets/d/1swGwZOEqYlTEUCJLY-eeJM1911Kvaei5oySBIxdgtNo/edit?pli=1#gid=257618397"",""stock untanna!B:C""),2,false)"),"BP GEL DT-236")</f>
        <v>BP GEL DT-236</v>
      </c>
      <c r="F570" s="70" t="s">
        <v>949</v>
      </c>
      <c r="G570" s="71" t="s">
        <v>950</v>
      </c>
      <c r="H570" s="41"/>
      <c r="I570" s="42"/>
      <c r="J570" s="43" t="str">
        <f t="shared" si="1"/>
        <v>ADA</v>
      </c>
      <c r="K570" s="72">
        <v>72.0</v>
      </c>
      <c r="L570" s="53" t="s">
        <v>69</v>
      </c>
      <c r="M570" s="73">
        <v>2250.0</v>
      </c>
      <c r="N570" s="83">
        <v>0.145</v>
      </c>
      <c r="O570" s="73">
        <v>138510.0</v>
      </c>
      <c r="P570" s="46" t="str">
        <f t="shared" si="2"/>
        <v>Rp2,250-72 PCS-14.50%</v>
      </c>
      <c r="Q570" s="75">
        <v>45409.0</v>
      </c>
      <c r="R570" s="76"/>
      <c r="S570" s="75">
        <v>45419.0</v>
      </c>
      <c r="T570" s="49"/>
    </row>
    <row r="571">
      <c r="A571" s="82">
        <v>3891.0</v>
      </c>
      <c r="B571" s="69" t="s">
        <v>29</v>
      </c>
      <c r="C571" s="70" t="s">
        <v>845</v>
      </c>
      <c r="D571" s="69" t="s">
        <v>143</v>
      </c>
      <c r="E571" s="41" t="str">
        <f>IFERROR(__xludf.DUMMYFUNCTION("vlookup(D571,IMPORTRANGE(""https://docs.google.com/spreadsheets/d/1swGwZOEqYlTEUCJLY-eeJM1911Kvaei5oySBIxdgtNo/edit?pli=1#gid=257618397"",""stock untanna!B:C""),2,false)"),"BP GEL DTIAN 923 ")</f>
        <v>BP GEL DTIAN 923 </v>
      </c>
      <c r="F571" s="70" t="s">
        <v>143</v>
      </c>
      <c r="G571" s="71" t="s">
        <v>144</v>
      </c>
      <c r="H571" s="41"/>
      <c r="I571" s="42"/>
      <c r="J571" s="43" t="str">
        <f t="shared" si="1"/>
        <v>ADA</v>
      </c>
      <c r="K571" s="72">
        <v>6.0</v>
      </c>
      <c r="L571" s="53" t="s">
        <v>62</v>
      </c>
      <c r="M571" s="73">
        <v>22500.0</v>
      </c>
      <c r="N571" s="83">
        <v>0.145</v>
      </c>
      <c r="O571" s="73">
        <v>115425.0</v>
      </c>
      <c r="P571" s="46" t="str">
        <f t="shared" si="2"/>
        <v>Rp22,500-6 LSN-14.50%</v>
      </c>
      <c r="Q571" s="75">
        <v>45409.0</v>
      </c>
      <c r="R571" s="76"/>
      <c r="S571" s="75">
        <v>45419.0</v>
      </c>
      <c r="T571" s="49"/>
    </row>
    <row r="572">
      <c r="A572" s="82">
        <v>3891.0</v>
      </c>
      <c r="B572" s="69" t="s">
        <v>29</v>
      </c>
      <c r="C572" s="70" t="s">
        <v>845</v>
      </c>
      <c r="D572" s="69" t="s">
        <v>951</v>
      </c>
      <c r="E572" s="41" t="str">
        <f>IFERROR(__xludf.DUMMYFUNCTION("vlookup(D572,IMPORTRANGE(""https://docs.google.com/spreadsheets/d/1swGwZOEqYlTEUCJLY-eeJM1911Kvaei5oySBIxdgtNo/edit?pli=1#gid=257618397"",""stock untanna!B:C""),2,false)"),"BP D TIAN 108")</f>
        <v>BP D TIAN 108</v>
      </c>
      <c r="F572" s="70" t="s">
        <v>951</v>
      </c>
      <c r="G572" s="71" t="s">
        <v>952</v>
      </c>
      <c r="H572" s="41"/>
      <c r="I572" s="42"/>
      <c r="J572" s="43" t="str">
        <f t="shared" si="1"/>
        <v>ADA</v>
      </c>
      <c r="K572" s="72">
        <v>6.0</v>
      </c>
      <c r="L572" s="53" t="s">
        <v>62</v>
      </c>
      <c r="M572" s="73">
        <v>22500.0</v>
      </c>
      <c r="N572" s="83">
        <v>0.145</v>
      </c>
      <c r="O572" s="73">
        <v>115425.0</v>
      </c>
      <c r="P572" s="46" t="str">
        <f t="shared" si="2"/>
        <v>Rp22,500-6 LSN-14.50%</v>
      </c>
      <c r="Q572" s="75">
        <v>45409.0</v>
      </c>
      <c r="R572" s="76"/>
      <c r="S572" s="75">
        <v>45419.0</v>
      </c>
      <c r="T572" s="49"/>
    </row>
    <row r="573">
      <c r="A573" s="82">
        <v>3891.0</v>
      </c>
      <c r="B573" s="69" t="s">
        <v>29</v>
      </c>
      <c r="C573" s="70" t="s">
        <v>845</v>
      </c>
      <c r="D573" s="69" t="s">
        <v>147</v>
      </c>
      <c r="E573" s="41" t="str">
        <f>IFERROR(__xludf.DUMMYFUNCTION("vlookup(D573,IMPORTRANGE(""https://docs.google.com/spreadsheets/d/1swGwZOEqYlTEUCJLY-eeJM1911Kvaei5oySBIxdgtNo/edit?pli=1#gid=257618397"",""stock untanna!B:C""),2,false)"),"BP GEL 922")</f>
        <v>BP GEL 922</v>
      </c>
      <c r="F573" s="70" t="s">
        <v>147</v>
      </c>
      <c r="G573" s="71" t="s">
        <v>148</v>
      </c>
      <c r="H573" s="41"/>
      <c r="I573" s="42"/>
      <c r="J573" s="43" t="str">
        <f t="shared" si="1"/>
        <v>ADA</v>
      </c>
      <c r="K573" s="72">
        <v>72.0</v>
      </c>
      <c r="L573" s="53" t="s">
        <v>69</v>
      </c>
      <c r="M573" s="73">
        <v>1875.0</v>
      </c>
      <c r="N573" s="83">
        <v>0.145</v>
      </c>
      <c r="O573" s="73">
        <v>115425.0</v>
      </c>
      <c r="P573" s="46" t="str">
        <f t="shared" si="2"/>
        <v>Rp1,875-72 PCS-14.50%</v>
      </c>
      <c r="Q573" s="75">
        <v>45409.0</v>
      </c>
      <c r="R573" s="76"/>
      <c r="S573" s="75">
        <v>45419.0</v>
      </c>
      <c r="T573" s="49"/>
    </row>
    <row r="574">
      <c r="A574" s="82">
        <v>3891.0</v>
      </c>
      <c r="B574" s="69" t="s">
        <v>29</v>
      </c>
      <c r="C574" s="70" t="s">
        <v>845</v>
      </c>
      <c r="D574" s="69" t="s">
        <v>684</v>
      </c>
      <c r="E574" s="41" t="str">
        <f>IFERROR(__xludf.DUMMYFUNCTION("vlookup(D574,IMPORTRANGE(""https://docs.google.com/spreadsheets/d/1swGwZOEqYlTEUCJLY-eeJM1911Kvaei5oySBIxdgtNo/edit?pli=1#gid=257618397"",""stock untanna!B:C""),2,false)"),"BP GEL 925")</f>
        <v>BP GEL 925</v>
      </c>
      <c r="F574" s="70" t="s">
        <v>684</v>
      </c>
      <c r="G574" s="71" t="s">
        <v>685</v>
      </c>
      <c r="H574" s="41"/>
      <c r="I574" s="42"/>
      <c r="J574" s="43" t="str">
        <f t="shared" si="1"/>
        <v>ADA</v>
      </c>
      <c r="K574" s="72">
        <v>72.0</v>
      </c>
      <c r="L574" s="53" t="s">
        <v>69</v>
      </c>
      <c r="M574" s="73">
        <v>1875.0</v>
      </c>
      <c r="N574" s="83">
        <v>0.145</v>
      </c>
      <c r="O574" s="73">
        <v>115425.0</v>
      </c>
      <c r="P574" s="46" t="str">
        <f t="shared" si="2"/>
        <v>Rp1,875-72 PCS-14.50%</v>
      </c>
      <c r="Q574" s="75">
        <v>45409.0</v>
      </c>
      <c r="R574" s="76"/>
      <c r="S574" s="75">
        <v>45419.0</v>
      </c>
      <c r="T574" s="49"/>
    </row>
    <row r="575">
      <c r="A575" s="82">
        <v>3891.0</v>
      </c>
      <c r="B575" s="69" t="s">
        <v>29</v>
      </c>
      <c r="C575" s="70" t="s">
        <v>845</v>
      </c>
      <c r="D575" s="69" t="s">
        <v>151</v>
      </c>
      <c r="E575" s="41" t="str">
        <f>IFERROR(__xludf.DUMMYFUNCTION("vlookup(D575,IMPORTRANGE(""https://docs.google.com/spreadsheets/d/1swGwZOEqYlTEUCJLY-eeJM1911Kvaei5oySBIxdgtNo/edit?pli=1#gid=257618397"",""stock untanna!B:C""),2,false)"),"BP GEL DTIAN 837 ")</f>
        <v>BP GEL DTIAN 837 </v>
      </c>
      <c r="F575" s="70" t="s">
        <v>151</v>
      </c>
      <c r="G575" s="71" t="s">
        <v>152</v>
      </c>
      <c r="H575" s="41"/>
      <c r="I575" s="42"/>
      <c r="J575" s="43" t="str">
        <f t="shared" si="1"/>
        <v>ADA</v>
      </c>
      <c r="K575" s="72">
        <v>6.0</v>
      </c>
      <c r="L575" s="53" t="s">
        <v>62</v>
      </c>
      <c r="M575" s="73">
        <v>22500.0</v>
      </c>
      <c r="N575" s="83">
        <v>0.145</v>
      </c>
      <c r="O575" s="73">
        <v>115425.0</v>
      </c>
      <c r="P575" s="46" t="str">
        <f t="shared" si="2"/>
        <v>Rp22,500-6 LSN-14.50%</v>
      </c>
      <c r="Q575" s="75">
        <v>45409.0</v>
      </c>
      <c r="R575" s="76"/>
      <c r="S575" s="75">
        <v>45419.0</v>
      </c>
      <c r="T575" s="49"/>
    </row>
    <row r="576">
      <c r="A576" s="82">
        <v>3891.0</v>
      </c>
      <c r="B576" s="69" t="s">
        <v>29</v>
      </c>
      <c r="C576" s="70" t="s">
        <v>845</v>
      </c>
      <c r="D576" s="69" t="s">
        <v>953</v>
      </c>
      <c r="E576" s="41" t="str">
        <f>IFERROR(__xludf.DUMMYFUNCTION("vlookup(D576,IMPORTRANGE(""https://docs.google.com/spreadsheets/d/1swGwZOEqYlTEUCJLY-eeJM1911Kvaei5oySBIxdgtNo/edit?pli=1#gid=257618397"",""stock untanna!B:C""),2,false)"),"BP GEL DTIAN DT-612")</f>
        <v>BP GEL DTIAN DT-612</v>
      </c>
      <c r="F576" s="70" t="s">
        <v>953</v>
      </c>
      <c r="G576" s="71" t="s">
        <v>954</v>
      </c>
      <c r="H576" s="41"/>
      <c r="I576" s="42"/>
      <c r="J576" s="43" t="str">
        <f t="shared" si="1"/>
        <v>ADA</v>
      </c>
      <c r="K576" s="72">
        <v>12.0</v>
      </c>
      <c r="L576" s="53" t="s">
        <v>62</v>
      </c>
      <c r="M576" s="73">
        <v>22500.0</v>
      </c>
      <c r="N576" s="83">
        <v>0.145</v>
      </c>
      <c r="O576" s="73">
        <v>230850.0</v>
      </c>
      <c r="P576" s="46" t="str">
        <f t="shared" si="2"/>
        <v>Rp22,500-12 LSN-14.50%</v>
      </c>
      <c r="Q576" s="75">
        <v>45409.0</v>
      </c>
      <c r="R576" s="76"/>
      <c r="S576" s="75">
        <v>45419.0</v>
      </c>
      <c r="T576" s="49"/>
    </row>
    <row r="577">
      <c r="A577" s="82">
        <v>3891.0</v>
      </c>
      <c r="B577" s="69" t="s">
        <v>29</v>
      </c>
      <c r="C577" s="70" t="s">
        <v>845</v>
      </c>
      <c r="D577" s="69"/>
      <c r="E577" s="41" t="s">
        <v>955</v>
      </c>
      <c r="F577" s="70"/>
      <c r="G577" s="71" t="s">
        <v>955</v>
      </c>
      <c r="H577" s="41"/>
      <c r="I577" s="42"/>
      <c r="J577" s="43" t="str">
        <f t="shared" si="1"/>
        <v>TIDAK ADA</v>
      </c>
      <c r="K577" s="72">
        <v>1.0</v>
      </c>
      <c r="L577" s="53" t="s">
        <v>131</v>
      </c>
      <c r="M577" s="73">
        <v>147000.0</v>
      </c>
      <c r="N577" s="83">
        <v>0.145</v>
      </c>
      <c r="O577" s="73">
        <v>125685.0</v>
      </c>
      <c r="P577" s="46" t="str">
        <f t="shared" si="2"/>
        <v>Rp147,000-1 GRS-14.50%</v>
      </c>
      <c r="Q577" s="75">
        <v>45409.0</v>
      </c>
      <c r="R577" s="76"/>
      <c r="S577" s="75">
        <v>45419.0</v>
      </c>
      <c r="T577" s="49"/>
    </row>
    <row r="578">
      <c r="A578" s="82">
        <v>3891.0</v>
      </c>
      <c r="B578" s="69" t="s">
        <v>29</v>
      </c>
      <c r="C578" s="70" t="s">
        <v>845</v>
      </c>
      <c r="D578" s="69"/>
      <c r="E578" s="41" t="s">
        <v>956</v>
      </c>
      <c r="F578" s="70"/>
      <c r="G578" s="71" t="s">
        <v>956</v>
      </c>
      <c r="H578" s="41"/>
      <c r="I578" s="42"/>
      <c r="J578" s="43" t="str">
        <f t="shared" si="1"/>
        <v>TIDAK ADA</v>
      </c>
      <c r="K578" s="72">
        <v>2.0</v>
      </c>
      <c r="L578" s="53" t="s">
        <v>62</v>
      </c>
      <c r="M578" s="73">
        <v>168000.0</v>
      </c>
      <c r="N578" s="83">
        <v>0.145</v>
      </c>
      <c r="O578" s="73">
        <v>287280.0</v>
      </c>
      <c r="P578" s="46" t="str">
        <f t="shared" si="2"/>
        <v>Rp168,000-2 LSN-14.50%</v>
      </c>
      <c r="Q578" s="75">
        <v>45409.0</v>
      </c>
      <c r="R578" s="76"/>
      <c r="S578" s="75">
        <v>45419.0</v>
      </c>
      <c r="T578" s="49"/>
    </row>
    <row r="579">
      <c r="A579" s="82">
        <v>3891.0</v>
      </c>
      <c r="B579" s="69" t="s">
        <v>29</v>
      </c>
      <c r="C579" s="70" t="s">
        <v>845</v>
      </c>
      <c r="D579" s="69" t="s">
        <v>957</v>
      </c>
      <c r="E579" s="41" t="str">
        <f>IFERROR(__xludf.DUMMYFUNCTION("vlookup(D579,IMPORTRANGE(""https://docs.google.com/spreadsheets/d/1swGwZOEqYlTEUCJLY-eeJM1911Kvaei5oySBIxdgtNo/edit?pli=1#gid=257618397"",""stock untanna!B:C""),2,false)"),"PENSIL 2B KAYAGI 3056")</f>
        <v>PENSIL 2B KAYAGI 3056</v>
      </c>
      <c r="F579" s="70" t="s">
        <v>957</v>
      </c>
      <c r="G579" s="71" t="s">
        <v>958</v>
      </c>
      <c r="H579" s="41"/>
      <c r="I579" s="42"/>
      <c r="J579" s="43" t="str">
        <f t="shared" si="1"/>
        <v>ADA</v>
      </c>
      <c r="K579" s="72">
        <v>1.0</v>
      </c>
      <c r="L579" s="53" t="s">
        <v>131</v>
      </c>
      <c r="M579" s="73">
        <v>145000.0</v>
      </c>
      <c r="N579" s="83">
        <v>0.145</v>
      </c>
      <c r="O579" s="73">
        <v>123975.0</v>
      </c>
      <c r="P579" s="46" t="str">
        <f t="shared" si="2"/>
        <v>Rp145,000-1 GRS-14.50%</v>
      </c>
      <c r="Q579" s="75">
        <v>45409.0</v>
      </c>
      <c r="R579" s="76"/>
      <c r="S579" s="75">
        <v>45419.0</v>
      </c>
      <c r="T579" s="49"/>
    </row>
    <row r="580">
      <c r="A580" s="82">
        <v>3891.0</v>
      </c>
      <c r="B580" s="69" t="s">
        <v>29</v>
      </c>
      <c r="C580" s="70" t="s">
        <v>845</v>
      </c>
      <c r="D580" s="69"/>
      <c r="E580" s="41" t="s">
        <v>959</v>
      </c>
      <c r="F580" s="70"/>
      <c r="G580" s="71" t="s">
        <v>959</v>
      </c>
      <c r="H580" s="41"/>
      <c r="I580" s="42"/>
      <c r="J580" s="43" t="str">
        <f t="shared" si="1"/>
        <v>TIDAK ADA</v>
      </c>
      <c r="K580" s="72">
        <v>1.0</v>
      </c>
      <c r="L580" s="53" t="s">
        <v>62</v>
      </c>
      <c r="M580" s="73">
        <v>240000.0</v>
      </c>
      <c r="N580" s="83">
        <v>0.145</v>
      </c>
      <c r="O580" s="73">
        <v>205200.0</v>
      </c>
      <c r="P580" s="46" t="str">
        <f t="shared" si="2"/>
        <v>Rp240,000-1 LSN-14.50%</v>
      </c>
      <c r="Q580" s="75">
        <v>45409.0</v>
      </c>
      <c r="R580" s="76"/>
      <c r="S580" s="75">
        <v>45419.0</v>
      </c>
      <c r="T580" s="49"/>
    </row>
    <row r="581">
      <c r="A581" s="82">
        <v>3891.0</v>
      </c>
      <c r="B581" s="69" t="s">
        <v>29</v>
      </c>
      <c r="C581" s="70" t="s">
        <v>845</v>
      </c>
      <c r="D581" s="69" t="s">
        <v>960</v>
      </c>
      <c r="E581" s="41" t="str">
        <f>IFERROR(__xludf.DUMMYFUNCTION("vlookup(D581,IMPORTRANGE(""https://docs.google.com/spreadsheets/d/1swGwZOEqYlTEUCJLY-eeJM1911Kvaei5oySBIxdgtNo/edit?pli=1#gid=257618397"",""stock untanna!B:C""),2,false)"),"WATER COLOR + KUAS PACMAN")</f>
        <v>WATER COLOR + KUAS PACMAN</v>
      </c>
      <c r="F581" s="70" t="s">
        <v>960</v>
      </c>
      <c r="G581" s="71" t="s">
        <v>961</v>
      </c>
      <c r="H581" s="41"/>
      <c r="I581" s="42"/>
      <c r="J581" s="43" t="str">
        <f t="shared" si="1"/>
        <v>ADA</v>
      </c>
      <c r="K581" s="72">
        <v>12.0</v>
      </c>
      <c r="L581" s="53" t="s">
        <v>69</v>
      </c>
      <c r="M581" s="73">
        <v>20000.0</v>
      </c>
      <c r="N581" s="83">
        <v>0.145</v>
      </c>
      <c r="O581" s="73">
        <v>205200.0</v>
      </c>
      <c r="P581" s="46" t="str">
        <f t="shared" si="2"/>
        <v>Rp20,000-12 PCS-14.50%</v>
      </c>
      <c r="Q581" s="75">
        <v>45409.0</v>
      </c>
      <c r="R581" s="76"/>
      <c r="S581" s="75">
        <v>45419.0</v>
      </c>
      <c r="T581" s="49"/>
    </row>
    <row r="582">
      <c r="A582" s="82">
        <v>3891.0</v>
      </c>
      <c r="B582" s="69" t="s">
        <v>29</v>
      </c>
      <c r="C582" s="70" t="s">
        <v>845</v>
      </c>
      <c r="D582" s="69" t="s">
        <v>962</v>
      </c>
      <c r="E582" s="41" t="str">
        <f>IFERROR(__xludf.DUMMYFUNCTION("vlookup(D582,IMPORTRANGE(""https://docs.google.com/spreadsheets/d/1swGwZOEqYlTEUCJLY-eeJM1911Kvaei5oySBIxdgtNo/edit?pli=1#gid=257618397"",""stock untanna!B:C""),2,false)"),"BP GEL DT-239")</f>
        <v>BP GEL DT-239</v>
      </c>
      <c r="F582" s="70" t="s">
        <v>962</v>
      </c>
      <c r="G582" s="71" t="s">
        <v>963</v>
      </c>
      <c r="H582" s="41"/>
      <c r="I582" s="42"/>
      <c r="J582" s="43" t="str">
        <f t="shared" si="1"/>
        <v>ADA</v>
      </c>
      <c r="K582" s="72">
        <v>72.0</v>
      </c>
      <c r="L582" s="53" t="s">
        <v>69</v>
      </c>
      <c r="M582" s="73">
        <v>2250.0</v>
      </c>
      <c r="N582" s="83">
        <v>0.145</v>
      </c>
      <c r="O582" s="73">
        <v>138510.0</v>
      </c>
      <c r="P582" s="46" t="str">
        <f t="shared" si="2"/>
        <v>Rp2,250-72 PCS-14.50%</v>
      </c>
      <c r="Q582" s="75">
        <v>45409.0</v>
      </c>
      <c r="R582" s="76"/>
      <c r="S582" s="75">
        <v>45419.0</v>
      </c>
      <c r="T582" s="49"/>
    </row>
    <row r="583">
      <c r="A583" s="82">
        <v>3891.0</v>
      </c>
      <c r="B583" s="69" t="s">
        <v>29</v>
      </c>
      <c r="C583" s="70" t="s">
        <v>845</v>
      </c>
      <c r="D583" s="69" t="s">
        <v>964</v>
      </c>
      <c r="E583" s="41" t="str">
        <f>IFERROR(__xludf.DUMMYFUNCTION("vlookup(D583,IMPORTRANGE(""https://docs.google.com/spreadsheets/d/1swGwZOEqYlTEUCJLY-eeJM1911Kvaei5oySBIxdgtNo/edit?pli=1#gid=257618397"",""stock untanna!B:C""),2,false)"),"BP GEL DTIAN DT-233")</f>
        <v>BP GEL DTIAN DT-233</v>
      </c>
      <c r="F583" s="70" t="s">
        <v>964</v>
      </c>
      <c r="G583" s="71" t="s">
        <v>965</v>
      </c>
      <c r="H583" s="41"/>
      <c r="I583" s="42"/>
      <c r="J583" s="43" t="str">
        <f t="shared" si="1"/>
        <v>ADA</v>
      </c>
      <c r="K583" s="72">
        <v>6.0</v>
      </c>
      <c r="L583" s="53" t="s">
        <v>62</v>
      </c>
      <c r="M583" s="73">
        <v>27000.0</v>
      </c>
      <c r="N583" s="83">
        <v>0.145</v>
      </c>
      <c r="O583" s="73">
        <v>138510.0</v>
      </c>
      <c r="P583" s="46" t="str">
        <f t="shared" si="2"/>
        <v>Rp27,000-6 LSN-14.50%</v>
      </c>
      <c r="Q583" s="75">
        <v>45409.0</v>
      </c>
      <c r="R583" s="76"/>
      <c r="S583" s="75">
        <v>45419.0</v>
      </c>
      <c r="T583" s="49"/>
    </row>
    <row r="584">
      <c r="A584" s="82">
        <v>3891.0</v>
      </c>
      <c r="B584" s="69" t="s">
        <v>29</v>
      </c>
      <c r="C584" s="70" t="s">
        <v>845</v>
      </c>
      <c r="D584" s="69" t="s">
        <v>966</v>
      </c>
      <c r="E584" s="41" t="str">
        <f>IFERROR(__xludf.DUMMYFUNCTION("vlookup(D584,IMPORTRANGE(""https://docs.google.com/spreadsheets/d/1swGwZOEqYlTEUCJLY-eeJM1911Kvaei5oySBIxdgtNo/edit?pli=1#gid=257618397"",""stock untanna!B:C""),2,false)"),"BP GEL DT-238")</f>
        <v>BP GEL DT-238</v>
      </c>
      <c r="F584" s="70" t="s">
        <v>966</v>
      </c>
      <c r="G584" s="71" t="s">
        <v>967</v>
      </c>
      <c r="H584" s="41"/>
      <c r="I584" s="42"/>
      <c r="J584" s="43" t="str">
        <f t="shared" si="1"/>
        <v>ADA</v>
      </c>
      <c r="K584" s="72">
        <v>72.0</v>
      </c>
      <c r="L584" s="53" t="s">
        <v>69</v>
      </c>
      <c r="M584" s="73">
        <v>2250.0</v>
      </c>
      <c r="N584" s="83">
        <v>0.145</v>
      </c>
      <c r="O584" s="73">
        <v>138510.0</v>
      </c>
      <c r="P584" s="46" t="str">
        <f t="shared" si="2"/>
        <v>Rp2,250-72 PCS-14.50%</v>
      </c>
      <c r="Q584" s="75">
        <v>45409.0</v>
      </c>
      <c r="R584" s="76"/>
      <c r="S584" s="75">
        <v>45419.0</v>
      </c>
      <c r="T584" s="49"/>
    </row>
    <row r="585">
      <c r="A585" s="82">
        <v>3892.0</v>
      </c>
      <c r="B585" s="69" t="s">
        <v>29</v>
      </c>
      <c r="C585" s="70" t="s">
        <v>845</v>
      </c>
      <c r="D585" s="69"/>
      <c r="E585" s="41" t="s">
        <v>968</v>
      </c>
      <c r="F585" s="70"/>
      <c r="G585" s="71" t="s">
        <v>968</v>
      </c>
      <c r="H585" s="41"/>
      <c r="I585" s="42"/>
      <c r="J585" s="43" t="str">
        <f t="shared" si="1"/>
        <v>TIDAK ADA</v>
      </c>
      <c r="K585" s="72">
        <v>1.0</v>
      </c>
      <c r="L585" s="53" t="s">
        <v>62</v>
      </c>
      <c r="M585" s="73">
        <v>400000.0</v>
      </c>
      <c r="N585" s="83">
        <v>0.145</v>
      </c>
      <c r="O585" s="73">
        <v>342000.0</v>
      </c>
      <c r="P585" s="46" t="str">
        <f t="shared" si="2"/>
        <v>Rp400,000-1 LSN-14.50%</v>
      </c>
      <c r="Q585" s="75">
        <v>45409.0</v>
      </c>
      <c r="R585" s="76"/>
      <c r="S585" s="75">
        <v>45419.0</v>
      </c>
      <c r="T585" s="49"/>
    </row>
    <row r="586">
      <c r="A586" s="82">
        <v>3892.0</v>
      </c>
      <c r="B586" s="69" t="s">
        <v>29</v>
      </c>
      <c r="C586" s="70" t="s">
        <v>845</v>
      </c>
      <c r="D586" s="69" t="s">
        <v>969</v>
      </c>
      <c r="E586" s="41" t="str">
        <f>IFERROR(__xludf.DUMMYFUNCTION("vlookup(D586,IMPORTRANGE(""https://docs.google.com/spreadsheets/d/1swGwZOEqYlTEUCJLY-eeJM1911Kvaei5oySBIxdgtNo/edit?pli=1#gid=257618397"",""stock untanna!B:C""),2,false)"),"PENSIL 2B KAYAGI PF3051L")</f>
        <v>PENSIL 2B KAYAGI PF3051L</v>
      </c>
      <c r="F586" s="70" t="s">
        <v>969</v>
      </c>
      <c r="G586" s="71" t="s">
        <v>970</v>
      </c>
      <c r="H586" s="41"/>
      <c r="I586" s="42"/>
      <c r="J586" s="43" t="str">
        <f t="shared" si="1"/>
        <v>ADA</v>
      </c>
      <c r="K586" s="72">
        <v>1.0</v>
      </c>
      <c r="L586" s="53" t="s">
        <v>131</v>
      </c>
      <c r="M586" s="73">
        <v>145000.0</v>
      </c>
      <c r="N586" s="83">
        <v>0.145</v>
      </c>
      <c r="O586" s="73">
        <v>123975.0</v>
      </c>
      <c r="P586" s="46" t="str">
        <f t="shared" si="2"/>
        <v>Rp145,000-1 GRS-14.50%</v>
      </c>
      <c r="Q586" s="75">
        <v>45409.0</v>
      </c>
      <c r="R586" s="76"/>
      <c r="S586" s="75">
        <v>45419.0</v>
      </c>
      <c r="T586" s="49"/>
    </row>
    <row r="587">
      <c r="A587" s="82">
        <v>3892.0</v>
      </c>
      <c r="B587" s="69" t="s">
        <v>29</v>
      </c>
      <c r="C587" s="70" t="s">
        <v>845</v>
      </c>
      <c r="D587" s="50" t="s">
        <v>405</v>
      </c>
      <c r="E587" s="41" t="str">
        <f>IFERROR(__xludf.DUMMYFUNCTION("vlookup(D587,IMPORTRANGE(""https://docs.google.com/spreadsheets/d/1swGwZOEqYlTEUCJLY-eeJM1911Kvaei5oySBIxdgtNo/edit?pli=1#gid=257618397"",""stock untanna!B:C""),2,false)"),"GUNTING STAINLESS SQ 05 B HITAM")</f>
        <v>GUNTING STAINLESS SQ 05 B HITAM</v>
      </c>
      <c r="F587" s="70" t="s">
        <v>406</v>
      </c>
      <c r="G587" s="71" t="s">
        <v>407</v>
      </c>
      <c r="H587" s="41"/>
      <c r="I587" s="42"/>
      <c r="J587" s="43" t="str">
        <f t="shared" si="1"/>
        <v>ADA</v>
      </c>
      <c r="K587" s="72">
        <v>1.0</v>
      </c>
      <c r="L587" s="53" t="s">
        <v>62</v>
      </c>
      <c r="M587" s="73">
        <v>50000.0</v>
      </c>
      <c r="N587" s="83">
        <v>0.145</v>
      </c>
      <c r="O587" s="73">
        <v>42750.0</v>
      </c>
      <c r="P587" s="46" t="str">
        <f t="shared" si="2"/>
        <v>Rp50,000-1 LSN-14.50%</v>
      </c>
      <c r="Q587" s="75">
        <v>45409.0</v>
      </c>
      <c r="R587" s="76"/>
      <c r="S587" s="75">
        <v>45419.0</v>
      </c>
      <c r="T587" s="49"/>
    </row>
    <row r="588">
      <c r="A588" s="82">
        <v>3892.0</v>
      </c>
      <c r="B588" s="69" t="s">
        <v>29</v>
      </c>
      <c r="C588" s="70" t="s">
        <v>845</v>
      </c>
      <c r="D588" s="50" t="s">
        <v>971</v>
      </c>
      <c r="E588" s="41" t="str">
        <f>IFERROR(__xludf.DUMMYFUNCTION("vlookup(D588,IMPORTRANGE(""https://docs.google.com/spreadsheets/d/1swGwZOEqYlTEUCJLY-eeJM1911Kvaei5oySBIxdgtNo/edit?pli=1#gid=257618397"",""stock untanna!B:C""),2,false)"),"GUNTING STAINLESS SQ 04 C WARNA")</f>
        <v>GUNTING STAINLESS SQ 04 C WARNA</v>
      </c>
      <c r="F588" s="70" t="s">
        <v>972</v>
      </c>
      <c r="G588" s="71" t="s">
        <v>973</v>
      </c>
      <c r="H588" s="41"/>
      <c r="I588" s="42"/>
      <c r="J588" s="43" t="str">
        <f t="shared" si="1"/>
        <v>ADA</v>
      </c>
      <c r="K588" s="72">
        <v>1.0</v>
      </c>
      <c r="L588" s="53" t="s">
        <v>62</v>
      </c>
      <c r="M588" s="73">
        <v>45000.0</v>
      </c>
      <c r="N588" s="83">
        <v>0.145</v>
      </c>
      <c r="O588" s="73">
        <v>38475.0</v>
      </c>
      <c r="P588" s="46" t="str">
        <f t="shared" si="2"/>
        <v>Rp45,000-1 LSN-14.50%</v>
      </c>
      <c r="Q588" s="75">
        <v>45409.0</v>
      </c>
      <c r="R588" s="76"/>
      <c r="S588" s="75">
        <v>45419.0</v>
      </c>
      <c r="T588" s="49"/>
    </row>
    <row r="589">
      <c r="A589" s="82">
        <v>3892.0</v>
      </c>
      <c r="B589" s="69" t="s">
        <v>29</v>
      </c>
      <c r="C589" s="70" t="s">
        <v>845</v>
      </c>
      <c r="D589" s="69"/>
      <c r="E589" s="41" t="s">
        <v>974</v>
      </c>
      <c r="F589" s="70"/>
      <c r="G589" s="71" t="s">
        <v>974</v>
      </c>
      <c r="H589" s="41"/>
      <c r="I589" s="42"/>
      <c r="J589" s="43" t="str">
        <f t="shared" si="1"/>
        <v>TIDAK ADA</v>
      </c>
      <c r="K589" s="72">
        <v>6.0</v>
      </c>
      <c r="L589" s="53" t="s">
        <v>62</v>
      </c>
      <c r="M589" s="73">
        <v>31500.0</v>
      </c>
      <c r="N589" s="83">
        <v>0.145</v>
      </c>
      <c r="O589" s="73">
        <v>161595.0</v>
      </c>
      <c r="P589" s="46" t="str">
        <f t="shared" si="2"/>
        <v>Rp31,500-6 LSN-14.50%</v>
      </c>
      <c r="Q589" s="75">
        <v>45409.0</v>
      </c>
      <c r="R589" s="76"/>
      <c r="S589" s="75">
        <v>45419.0</v>
      </c>
      <c r="T589" s="49"/>
    </row>
    <row r="590">
      <c r="A590" s="82">
        <v>3892.0</v>
      </c>
      <c r="B590" s="69" t="s">
        <v>29</v>
      </c>
      <c r="C590" s="70" t="s">
        <v>845</v>
      </c>
      <c r="D590" s="69"/>
      <c r="E590" s="41" t="s">
        <v>975</v>
      </c>
      <c r="F590" s="70"/>
      <c r="G590" s="71" t="s">
        <v>975</v>
      </c>
      <c r="H590" s="41"/>
      <c r="I590" s="42"/>
      <c r="J590" s="43" t="str">
        <f t="shared" si="1"/>
        <v>TIDAK ADA</v>
      </c>
      <c r="K590" s="72">
        <v>6.0</v>
      </c>
      <c r="L590" s="53" t="s">
        <v>62</v>
      </c>
      <c r="M590" s="73">
        <v>31500.0</v>
      </c>
      <c r="N590" s="83">
        <v>0.145</v>
      </c>
      <c r="O590" s="73">
        <v>161595.0</v>
      </c>
      <c r="P590" s="46" t="str">
        <f t="shared" si="2"/>
        <v>Rp31,500-6 LSN-14.50%</v>
      </c>
      <c r="Q590" s="75">
        <v>45409.0</v>
      </c>
      <c r="R590" s="76"/>
      <c r="S590" s="75">
        <v>45419.0</v>
      </c>
      <c r="T590" s="49"/>
    </row>
    <row r="591">
      <c r="A591" s="82">
        <v>3892.0</v>
      </c>
      <c r="B591" s="69" t="s">
        <v>29</v>
      </c>
      <c r="C591" s="70" t="s">
        <v>845</v>
      </c>
      <c r="D591" s="69" t="s">
        <v>976</v>
      </c>
      <c r="E591" s="41" t="str">
        <f>IFERROR(__xludf.DUMMYFUNCTION("vlookup(D591,IMPORTRANGE(""https://docs.google.com/spreadsheets/d/1swGwZOEqYlTEUCJLY-eeJM1911Kvaei5oySBIxdgtNo/edit?pli=1#gid=257618397"",""stock untanna!B:C""),2,false)"),"GUNTING JUNIOR J 100")</f>
        <v>GUNTING JUNIOR J 100</v>
      </c>
      <c r="F591" s="70" t="s">
        <v>976</v>
      </c>
      <c r="G591" s="71" t="s">
        <v>977</v>
      </c>
      <c r="H591" s="41"/>
      <c r="I591" s="42"/>
      <c r="J591" s="43" t="str">
        <f t="shared" si="1"/>
        <v>ADA</v>
      </c>
      <c r="K591" s="72">
        <v>1.0</v>
      </c>
      <c r="L591" s="53" t="s">
        <v>62</v>
      </c>
      <c r="M591" s="73">
        <v>57500.0</v>
      </c>
      <c r="N591" s="83">
        <v>0.145</v>
      </c>
      <c r="O591" s="73">
        <v>49162.5</v>
      </c>
      <c r="P591" s="46" t="str">
        <f t="shared" si="2"/>
        <v>Rp57,500-1 LSN-14.50%</v>
      </c>
      <c r="Q591" s="75">
        <v>45409.0</v>
      </c>
      <c r="R591" s="76"/>
      <c r="S591" s="75">
        <v>45419.0</v>
      </c>
      <c r="T591" s="49"/>
    </row>
    <row r="592">
      <c r="A592" s="82">
        <v>3892.0</v>
      </c>
      <c r="B592" s="69" t="s">
        <v>29</v>
      </c>
      <c r="C592" s="70" t="s">
        <v>845</v>
      </c>
      <c r="D592" s="69" t="s">
        <v>978</v>
      </c>
      <c r="E592" s="41" t="str">
        <f>IFERROR(__xludf.DUMMYFUNCTION("vlookup(D592,IMPORTRANGE(""https://docs.google.com/spreadsheets/d/1swGwZOEqYlTEUCJLY-eeJM1911Kvaei5oySBIxdgtNo/edit?pli=1#gid=257618397"",""stock untanna!B:C""),2,false)"),"GUNTING JUNIOR J-300")</f>
        <v>GUNTING JUNIOR J-300</v>
      </c>
      <c r="F592" s="70" t="s">
        <v>978</v>
      </c>
      <c r="G592" s="71" t="s">
        <v>979</v>
      </c>
      <c r="H592" s="41"/>
      <c r="I592" s="42"/>
      <c r="J592" s="43" t="str">
        <f t="shared" si="1"/>
        <v>ADA</v>
      </c>
      <c r="K592" s="72">
        <v>1.0</v>
      </c>
      <c r="L592" s="53" t="s">
        <v>62</v>
      </c>
      <c r="M592" s="73">
        <v>92500.0</v>
      </c>
      <c r="N592" s="83">
        <v>0.145</v>
      </c>
      <c r="O592" s="73">
        <v>79087.5</v>
      </c>
      <c r="P592" s="46" t="str">
        <f t="shared" si="2"/>
        <v>Rp92,500-1 LSN-14.50%</v>
      </c>
      <c r="Q592" s="75">
        <v>45409.0</v>
      </c>
      <c r="R592" s="76"/>
      <c r="S592" s="75">
        <v>45419.0</v>
      </c>
      <c r="T592" s="49"/>
    </row>
    <row r="593">
      <c r="A593" s="82">
        <v>3892.0</v>
      </c>
      <c r="B593" s="69" t="s">
        <v>29</v>
      </c>
      <c r="C593" s="70" t="s">
        <v>845</v>
      </c>
      <c r="D593" s="69"/>
      <c r="E593" s="41" t="s">
        <v>980</v>
      </c>
      <c r="F593" s="70"/>
      <c r="G593" s="71" t="s">
        <v>980</v>
      </c>
      <c r="H593" s="41"/>
      <c r="I593" s="42"/>
      <c r="J593" s="43" t="str">
        <f t="shared" si="1"/>
        <v>TIDAK ADA</v>
      </c>
      <c r="K593" s="72">
        <v>12.0</v>
      </c>
      <c r="L593" s="53" t="s">
        <v>62</v>
      </c>
      <c r="M593" s="73">
        <v>50000.0</v>
      </c>
      <c r="N593" s="83">
        <v>0.145</v>
      </c>
      <c r="O593" s="73">
        <v>513000.0</v>
      </c>
      <c r="P593" s="46" t="str">
        <f t="shared" si="2"/>
        <v>Rp50,000-12 LSN-14.50%</v>
      </c>
      <c r="Q593" s="75">
        <v>45409.0</v>
      </c>
      <c r="R593" s="76"/>
      <c r="S593" s="75">
        <v>45419.0</v>
      </c>
      <c r="T593" s="49"/>
    </row>
    <row r="594">
      <c r="A594" s="82">
        <v>3892.0</v>
      </c>
      <c r="B594" s="69" t="s">
        <v>29</v>
      </c>
      <c r="C594" s="70" t="s">
        <v>845</v>
      </c>
      <c r="D594" s="50" t="s">
        <v>981</v>
      </c>
      <c r="E594" s="41" t="str">
        <f>IFERROR(__xludf.DUMMYFUNCTION("IFNA(vlookup(D594,IMPORTRANGE(""https://docs.google.com/spreadsheets/d/1swGwZOEqYlTEUCJLY-eeJM1911Kvaei5oySBIxdgtNo/edit?pli=1#gid=257618397"",""stock untanna!B:C""),2,false),V:V)"),"BP COSH CS 8501")</f>
        <v>BP COSH CS 8501</v>
      </c>
      <c r="F594" s="70"/>
      <c r="G594" s="71" t="s">
        <v>982</v>
      </c>
      <c r="H594" s="41"/>
      <c r="I594" s="42"/>
      <c r="J594" s="43" t="str">
        <f t="shared" si="1"/>
        <v>ADA</v>
      </c>
      <c r="K594" s="72">
        <v>6.0</v>
      </c>
      <c r="L594" s="53" t="s">
        <v>62</v>
      </c>
      <c r="M594" s="73">
        <v>29000.0</v>
      </c>
      <c r="N594" s="83">
        <v>0.145</v>
      </c>
      <c r="O594" s="73">
        <v>148770.0</v>
      </c>
      <c r="P594" s="46" t="str">
        <f t="shared" si="2"/>
        <v>Rp29,000-6 LSN-14.50%</v>
      </c>
      <c r="Q594" s="75">
        <v>45409.0</v>
      </c>
      <c r="R594" s="76"/>
      <c r="S594" s="75">
        <v>45419.0</v>
      </c>
      <c r="T594" s="80" t="s">
        <v>280</v>
      </c>
    </row>
    <row r="595">
      <c r="A595" s="82">
        <v>3892.0</v>
      </c>
      <c r="B595" s="69" t="s">
        <v>29</v>
      </c>
      <c r="C595" s="70" t="s">
        <v>845</v>
      </c>
      <c r="D595" s="69"/>
      <c r="E595" s="41" t="s">
        <v>983</v>
      </c>
      <c r="F595" s="70"/>
      <c r="G595" s="71" t="s">
        <v>983</v>
      </c>
      <c r="H595" s="41"/>
      <c r="I595" s="42"/>
      <c r="J595" s="43" t="str">
        <f t="shared" si="1"/>
        <v>TIDAK ADA</v>
      </c>
      <c r="K595" s="72">
        <v>5.0</v>
      </c>
      <c r="L595" s="53" t="s">
        <v>62</v>
      </c>
      <c r="M595" s="73">
        <v>20000.0</v>
      </c>
      <c r="N595" s="83">
        <v>0.145</v>
      </c>
      <c r="O595" s="73">
        <v>85500.0</v>
      </c>
      <c r="P595" s="46" t="str">
        <f t="shared" si="2"/>
        <v>Rp20,000-5 LSN-14.50%</v>
      </c>
      <c r="Q595" s="75">
        <v>45409.0</v>
      </c>
      <c r="R595" s="76"/>
      <c r="S595" s="75">
        <v>45419.0</v>
      </c>
      <c r="T595" s="80" t="s">
        <v>280</v>
      </c>
    </row>
    <row r="596">
      <c r="A596" s="82">
        <v>3892.0</v>
      </c>
      <c r="B596" s="69" t="s">
        <v>29</v>
      </c>
      <c r="C596" s="70" t="s">
        <v>845</v>
      </c>
      <c r="D596" s="69"/>
      <c r="E596" s="41" t="s">
        <v>984</v>
      </c>
      <c r="F596" s="70"/>
      <c r="G596" s="71" t="s">
        <v>984</v>
      </c>
      <c r="H596" s="41"/>
      <c r="I596" s="42"/>
      <c r="J596" s="43" t="str">
        <f t="shared" si="1"/>
        <v>TIDAK ADA</v>
      </c>
      <c r="K596" s="72">
        <v>1.0</v>
      </c>
      <c r="L596" s="53" t="s">
        <v>62</v>
      </c>
      <c r="M596" s="73">
        <v>200000.0</v>
      </c>
      <c r="N596" s="83">
        <v>0.145</v>
      </c>
      <c r="O596" s="73">
        <v>171000.0</v>
      </c>
      <c r="P596" s="46" t="str">
        <f t="shared" si="2"/>
        <v>Rp200,000-1 LSN-14.50%</v>
      </c>
      <c r="Q596" s="75">
        <v>45409.0</v>
      </c>
      <c r="R596" s="76"/>
      <c r="S596" s="75">
        <v>45419.0</v>
      </c>
      <c r="T596" s="49"/>
    </row>
    <row r="597">
      <c r="A597" s="82">
        <v>3892.0</v>
      </c>
      <c r="B597" s="69" t="s">
        <v>29</v>
      </c>
      <c r="C597" s="70" t="s">
        <v>845</v>
      </c>
      <c r="D597" s="50" t="s">
        <v>985</v>
      </c>
      <c r="E597" s="41" t="str">
        <f>IFERROR(__xludf.DUMMYFUNCTION("IFNA(vlookup(D597,IMPORTRANGE(""https://docs.google.com/spreadsheets/d/1swGwZOEqYlTEUCJLY-eeJM1911Kvaei5oySBIxdgtNo/edit?pli=1#gid=257618397"",""stock untanna!B:C""),2,false),V:V)"),"ISI PENSIL KNOW 2270")</f>
        <v>ISI PENSIL KNOW 2270</v>
      </c>
      <c r="F597" s="70"/>
      <c r="G597" s="71" t="s">
        <v>986</v>
      </c>
      <c r="H597" s="41"/>
      <c r="I597" s="42"/>
      <c r="J597" s="43" t="str">
        <f t="shared" si="1"/>
        <v>ADA</v>
      </c>
      <c r="K597" s="72">
        <v>2.0</v>
      </c>
      <c r="L597" s="53" t="s">
        <v>62</v>
      </c>
      <c r="M597" s="73">
        <v>27500.0</v>
      </c>
      <c r="N597" s="83">
        <v>0.145</v>
      </c>
      <c r="O597" s="73">
        <v>47025.0</v>
      </c>
      <c r="P597" s="46" t="str">
        <f t="shared" si="2"/>
        <v>Rp27,500-2 LSN-14.50%</v>
      </c>
      <c r="Q597" s="75">
        <v>45409.0</v>
      </c>
      <c r="R597" s="76"/>
      <c r="S597" s="75">
        <v>45419.0</v>
      </c>
      <c r="T597" s="80" t="s">
        <v>280</v>
      </c>
    </row>
    <row r="598">
      <c r="A598" s="82">
        <v>3892.0</v>
      </c>
      <c r="B598" s="69" t="s">
        <v>29</v>
      </c>
      <c r="C598" s="70" t="s">
        <v>845</v>
      </c>
      <c r="D598" s="69"/>
      <c r="E598" s="41" t="s">
        <v>987</v>
      </c>
      <c r="F598" s="70"/>
      <c r="G598" s="71" t="s">
        <v>987</v>
      </c>
      <c r="H598" s="41"/>
      <c r="I598" s="42"/>
      <c r="J598" s="43" t="str">
        <f t="shared" si="1"/>
        <v>TIDAK ADA</v>
      </c>
      <c r="K598" s="72">
        <v>6.0</v>
      </c>
      <c r="L598" s="53" t="s">
        <v>62</v>
      </c>
      <c r="M598" s="73">
        <v>20000.0</v>
      </c>
      <c r="N598" s="83">
        <v>0.145</v>
      </c>
      <c r="O598" s="73">
        <v>102600.0</v>
      </c>
      <c r="P598" s="46" t="str">
        <f t="shared" si="2"/>
        <v>Rp20,000-6 LSN-14.50%</v>
      </c>
      <c r="Q598" s="75">
        <v>45409.0</v>
      </c>
      <c r="R598" s="76"/>
      <c r="S598" s="75">
        <v>45419.0</v>
      </c>
      <c r="T598" s="49"/>
    </row>
    <row r="599">
      <c r="A599" s="82">
        <v>3892.0</v>
      </c>
      <c r="B599" s="69" t="s">
        <v>29</v>
      </c>
      <c r="C599" s="70" t="s">
        <v>845</v>
      </c>
      <c r="D599" s="50" t="s">
        <v>988</v>
      </c>
      <c r="E599" s="41" t="str">
        <f>IFERROR(__xludf.DUMMYFUNCTION("IFNA(vlookup(D599,IMPORTRANGE(""https://docs.google.com/spreadsheets/d/1swGwZOEqYlTEUCJLY-eeJM1911Kvaei5oySBIxdgtNo/edit?pli=1#gid=257618397"",""stock untanna!B:C""),2,false),V:V)"),"ISI GELL DEBOZZ DB GR 550 (24)")</f>
        <v>ISI GELL DEBOZZ DB GR 550 (24)</v>
      </c>
      <c r="F599" s="70"/>
      <c r="G599" s="71" t="s">
        <v>989</v>
      </c>
      <c r="H599" s="41"/>
      <c r="I599" s="42"/>
      <c r="J599" s="43" t="str">
        <f t="shared" si="1"/>
        <v>ADA</v>
      </c>
      <c r="K599" s="72">
        <v>6.0</v>
      </c>
      <c r="L599" s="53" t="s">
        <v>718</v>
      </c>
      <c r="M599" s="73">
        <v>24000.0</v>
      </c>
      <c r="N599" s="83">
        <v>0.145</v>
      </c>
      <c r="O599" s="73">
        <v>123120.0</v>
      </c>
      <c r="P599" s="46" t="str">
        <f t="shared" si="2"/>
        <v>Rp24,000-6 BOX (24)-14.50%</v>
      </c>
      <c r="Q599" s="75">
        <v>45409.0</v>
      </c>
      <c r="R599" s="76"/>
      <c r="S599" s="75">
        <v>45419.0</v>
      </c>
      <c r="T599" s="80" t="s">
        <v>280</v>
      </c>
    </row>
    <row r="600">
      <c r="A600" s="82">
        <v>3892.0</v>
      </c>
      <c r="B600" s="69" t="s">
        <v>29</v>
      </c>
      <c r="C600" s="70" t="s">
        <v>845</v>
      </c>
      <c r="D600" s="69" t="s">
        <v>430</v>
      </c>
      <c r="E600" s="41" t="str">
        <f>IFERROR(__xludf.DUMMYFUNCTION("vlookup(D600,IMPORTRANGE(""https://docs.google.com/spreadsheets/d/1swGwZOEqYlTEUCJLY-eeJM1911Kvaei5oySBIxdgtNo/edit?pli=1#gid=257618397"",""stock untanna!B:C""),2,false)"),"CAT ACRYLIC COLOUR TF AC-006M METALIC")</f>
        <v>CAT ACRYLIC COLOUR TF AC-006M METALIC</v>
      </c>
      <c r="F600" s="70" t="s">
        <v>430</v>
      </c>
      <c r="G600" s="78" t="s">
        <v>431</v>
      </c>
      <c r="H600" s="41"/>
      <c r="I600" s="42"/>
      <c r="J600" s="43" t="str">
        <f t="shared" si="1"/>
        <v>ADA</v>
      </c>
      <c r="K600" s="72">
        <v>1.0</v>
      </c>
      <c r="L600" s="53" t="s">
        <v>62</v>
      </c>
      <c r="M600" s="73">
        <v>450000.0</v>
      </c>
      <c r="N600" s="83">
        <v>0.145</v>
      </c>
      <c r="O600" s="73">
        <v>384750.0</v>
      </c>
      <c r="P600" s="46" t="str">
        <f t="shared" si="2"/>
        <v>Rp450,000-1 LSN-14.50%</v>
      </c>
      <c r="Q600" s="75">
        <v>45409.0</v>
      </c>
      <c r="R600" s="76"/>
      <c r="S600" s="75">
        <v>45419.0</v>
      </c>
      <c r="T600" s="49"/>
    </row>
    <row r="601">
      <c r="A601" s="82">
        <v>3893.0</v>
      </c>
      <c r="B601" s="69" t="s">
        <v>29</v>
      </c>
      <c r="C601" s="70" t="s">
        <v>845</v>
      </c>
      <c r="D601" s="69"/>
      <c r="E601" s="41" t="s">
        <v>742</v>
      </c>
      <c r="F601" s="70"/>
      <c r="G601" s="71" t="s">
        <v>742</v>
      </c>
      <c r="H601" s="41"/>
      <c r="I601" s="42"/>
      <c r="J601" s="43" t="str">
        <f t="shared" si="1"/>
        <v>TIDAK ADA</v>
      </c>
      <c r="K601" s="72">
        <v>1.0</v>
      </c>
      <c r="L601" s="53" t="s">
        <v>131</v>
      </c>
      <c r="M601" s="73">
        <v>145000.0</v>
      </c>
      <c r="N601" s="83">
        <v>0.145</v>
      </c>
      <c r="O601" s="73">
        <v>123975.0</v>
      </c>
      <c r="P601" s="46" t="str">
        <f t="shared" si="2"/>
        <v>Rp145,000-1 GRS-14.50%</v>
      </c>
      <c r="Q601" s="75">
        <v>45409.0</v>
      </c>
      <c r="R601" s="76"/>
      <c r="S601" s="75">
        <v>45419.0</v>
      </c>
      <c r="T601" s="49"/>
    </row>
    <row r="602">
      <c r="A602" s="82">
        <v>3893.0</v>
      </c>
      <c r="B602" s="69" t="s">
        <v>29</v>
      </c>
      <c r="C602" s="70" t="s">
        <v>845</v>
      </c>
      <c r="D602" s="69" t="s">
        <v>734</v>
      </c>
      <c r="E602" s="41" t="str">
        <f>IFERROR(__xludf.DUMMYFUNCTION("vlookup(D602,IMPORTRANGE(""https://docs.google.com/spreadsheets/d/1swGwZOEqYlTEUCJLY-eeJM1911Kvaei5oySBIxdgtNo/edit?pli=1#gid=257618397"",""stock untanna!B:C""),2,false)"),"PENSIL 2B KAYAGI 3053")</f>
        <v>PENSIL 2B KAYAGI 3053</v>
      </c>
      <c r="F602" s="70" t="s">
        <v>734</v>
      </c>
      <c r="G602" s="71" t="s">
        <v>735</v>
      </c>
      <c r="H602" s="41"/>
      <c r="I602" s="42"/>
      <c r="J602" s="43" t="str">
        <f t="shared" si="1"/>
        <v>ADA</v>
      </c>
      <c r="K602" s="72">
        <v>1.0</v>
      </c>
      <c r="L602" s="53" t="s">
        <v>131</v>
      </c>
      <c r="M602" s="73">
        <v>145000.0</v>
      </c>
      <c r="N602" s="83">
        <v>0.145</v>
      </c>
      <c r="O602" s="73">
        <v>123975.0</v>
      </c>
      <c r="P602" s="46" t="str">
        <f t="shared" si="2"/>
        <v>Rp145,000-1 GRS-14.50%</v>
      </c>
      <c r="Q602" s="75">
        <v>45409.0</v>
      </c>
      <c r="R602" s="76"/>
      <c r="S602" s="75">
        <v>45419.0</v>
      </c>
      <c r="T602" s="49"/>
    </row>
    <row r="603">
      <c r="A603" s="82">
        <v>3893.0</v>
      </c>
      <c r="B603" s="69" t="s">
        <v>29</v>
      </c>
      <c r="C603" s="70" t="s">
        <v>845</v>
      </c>
      <c r="D603" s="69"/>
      <c r="E603" s="41" t="s">
        <v>990</v>
      </c>
      <c r="F603" s="70"/>
      <c r="G603" s="71" t="s">
        <v>990</v>
      </c>
      <c r="H603" s="41"/>
      <c r="I603" s="42"/>
      <c r="J603" s="43" t="str">
        <f t="shared" si="1"/>
        <v>TIDAK ADA</v>
      </c>
      <c r="K603" s="72">
        <v>1.0</v>
      </c>
      <c r="L603" s="53" t="s">
        <v>131</v>
      </c>
      <c r="M603" s="73">
        <v>145000.0</v>
      </c>
      <c r="N603" s="83">
        <v>0.145</v>
      </c>
      <c r="O603" s="73">
        <v>123975.0</v>
      </c>
      <c r="P603" s="46" t="str">
        <f t="shared" si="2"/>
        <v>Rp145,000-1 GRS-14.50%</v>
      </c>
      <c r="Q603" s="75">
        <v>45409.0</v>
      </c>
      <c r="R603" s="76"/>
      <c r="S603" s="75">
        <v>45419.0</v>
      </c>
      <c r="T603" s="49"/>
    </row>
    <row r="604">
      <c r="A604" s="82">
        <v>3893.0</v>
      </c>
      <c r="B604" s="69" t="s">
        <v>29</v>
      </c>
      <c r="C604" s="70" t="s">
        <v>845</v>
      </c>
      <c r="D604" s="69"/>
      <c r="E604" s="41" t="s">
        <v>991</v>
      </c>
      <c r="F604" s="70"/>
      <c r="G604" s="71" t="s">
        <v>991</v>
      </c>
      <c r="H604" s="41"/>
      <c r="I604" s="42"/>
      <c r="J604" s="43" t="str">
        <f t="shared" si="1"/>
        <v>TIDAK ADA</v>
      </c>
      <c r="K604" s="72">
        <v>2.0</v>
      </c>
      <c r="L604" s="53" t="s">
        <v>62</v>
      </c>
      <c r="M604" s="73">
        <v>135000.0</v>
      </c>
      <c r="N604" s="83">
        <v>0.145</v>
      </c>
      <c r="O604" s="73">
        <v>230850.0</v>
      </c>
      <c r="P604" s="46" t="str">
        <f t="shared" si="2"/>
        <v>Rp135,000-2 LSN-14.50%</v>
      </c>
      <c r="Q604" s="75">
        <v>45409.0</v>
      </c>
      <c r="R604" s="76"/>
      <c r="S604" s="75">
        <v>45419.0</v>
      </c>
      <c r="T604" s="49"/>
    </row>
    <row r="605">
      <c r="A605" s="82">
        <v>3893.0</v>
      </c>
      <c r="B605" s="69" t="s">
        <v>29</v>
      </c>
      <c r="C605" s="70" t="s">
        <v>845</v>
      </c>
      <c r="D605" s="69"/>
      <c r="E605" s="41" t="s">
        <v>992</v>
      </c>
      <c r="F605" s="70"/>
      <c r="G605" s="71" t="s">
        <v>992</v>
      </c>
      <c r="H605" s="41"/>
      <c r="I605" s="42"/>
      <c r="J605" s="43" t="str">
        <f t="shared" si="1"/>
        <v>TIDAK ADA</v>
      </c>
      <c r="K605" s="72">
        <v>2.0</v>
      </c>
      <c r="L605" s="53" t="s">
        <v>62</v>
      </c>
      <c r="M605" s="73">
        <v>240000.0</v>
      </c>
      <c r="N605" s="83">
        <v>0.145</v>
      </c>
      <c r="O605" s="73">
        <v>410400.0</v>
      </c>
      <c r="P605" s="46" t="str">
        <f t="shared" si="2"/>
        <v>Rp240,000-2 LSN-14.50%</v>
      </c>
      <c r="Q605" s="75">
        <v>45409.0</v>
      </c>
      <c r="R605" s="76"/>
      <c r="S605" s="75">
        <v>45419.0</v>
      </c>
      <c r="T605" s="49"/>
    </row>
    <row r="606">
      <c r="A606" s="82">
        <v>3893.0</v>
      </c>
      <c r="B606" s="69" t="s">
        <v>29</v>
      </c>
      <c r="C606" s="70" t="s">
        <v>845</v>
      </c>
      <c r="D606" s="69" t="s">
        <v>993</v>
      </c>
      <c r="E606" s="41" t="str">
        <f>IFERROR(__xludf.DUMMYFUNCTION("vlookup(D606,IMPORTRANGE(""https://docs.google.com/spreadsheets/d/1swGwZOEqYlTEUCJLY-eeJM1911Kvaei5oySBIxdgtNo/edit?pli=1#gid=257618397"",""stock untanna!B:C""),2,false)"),"PW 8880-12")</f>
        <v>PW 8880-12</v>
      </c>
      <c r="F606" s="70" t="s">
        <v>993</v>
      </c>
      <c r="G606" s="71" t="s">
        <v>994</v>
      </c>
      <c r="H606" s="41"/>
      <c r="I606" s="42"/>
      <c r="J606" s="43" t="str">
        <f t="shared" si="1"/>
        <v>ADA</v>
      </c>
      <c r="K606" s="72">
        <v>2.0</v>
      </c>
      <c r="L606" s="53" t="s">
        <v>62</v>
      </c>
      <c r="M606" s="73">
        <v>210000.0</v>
      </c>
      <c r="N606" s="83">
        <v>0.145</v>
      </c>
      <c r="O606" s="73">
        <v>359100.0</v>
      </c>
      <c r="P606" s="46" t="str">
        <f t="shared" si="2"/>
        <v>Rp210,000-2 LSN-14.50%</v>
      </c>
      <c r="Q606" s="75">
        <v>45409.0</v>
      </c>
      <c r="R606" s="76"/>
      <c r="S606" s="75">
        <v>45419.0</v>
      </c>
      <c r="T606" s="49"/>
    </row>
    <row r="607">
      <c r="A607" s="82">
        <v>3893.0</v>
      </c>
      <c r="B607" s="69" t="s">
        <v>29</v>
      </c>
      <c r="C607" s="70" t="s">
        <v>845</v>
      </c>
      <c r="D607" s="69"/>
      <c r="E607" s="41" t="s">
        <v>443</v>
      </c>
      <c r="F607" s="70"/>
      <c r="G607" s="71" t="s">
        <v>443</v>
      </c>
      <c r="H607" s="41"/>
      <c r="I607" s="42"/>
      <c r="J607" s="43" t="str">
        <f t="shared" si="1"/>
        <v>TIDAK ADA</v>
      </c>
      <c r="K607" s="72">
        <v>48.0</v>
      </c>
      <c r="L607" s="53" t="s">
        <v>69</v>
      </c>
      <c r="M607" s="73">
        <v>3250.0</v>
      </c>
      <c r="N607" s="83">
        <v>0.145</v>
      </c>
      <c r="O607" s="73">
        <v>133380.0</v>
      </c>
      <c r="P607" s="46" t="str">
        <f t="shared" si="2"/>
        <v>Rp3,250-48 PCS-14.50%</v>
      </c>
      <c r="Q607" s="75">
        <v>45409.0</v>
      </c>
      <c r="R607" s="76"/>
      <c r="S607" s="75">
        <v>45419.0</v>
      </c>
      <c r="T607" s="49"/>
    </row>
    <row r="608">
      <c r="A608" s="82">
        <v>3893.0</v>
      </c>
      <c r="B608" s="69" t="s">
        <v>29</v>
      </c>
      <c r="C608" s="70" t="s">
        <v>845</v>
      </c>
      <c r="D608" s="69"/>
      <c r="E608" s="41" t="s">
        <v>444</v>
      </c>
      <c r="F608" s="70"/>
      <c r="G608" s="71" t="s">
        <v>444</v>
      </c>
      <c r="H608" s="41"/>
      <c r="I608" s="42"/>
      <c r="J608" s="43" t="str">
        <f t="shared" si="1"/>
        <v>TIDAK ADA</v>
      </c>
      <c r="K608" s="72">
        <v>48.0</v>
      </c>
      <c r="L608" s="53" t="s">
        <v>69</v>
      </c>
      <c r="M608" s="73">
        <v>3250.0</v>
      </c>
      <c r="N608" s="83">
        <v>0.145</v>
      </c>
      <c r="O608" s="73">
        <v>133380.0</v>
      </c>
      <c r="P608" s="46" t="str">
        <f t="shared" si="2"/>
        <v>Rp3,250-48 PCS-14.50%</v>
      </c>
      <c r="Q608" s="75">
        <v>45409.0</v>
      </c>
      <c r="R608" s="76"/>
      <c r="S608" s="75">
        <v>45419.0</v>
      </c>
      <c r="T608" s="49"/>
    </row>
    <row r="609">
      <c r="A609" s="82">
        <v>3893.0</v>
      </c>
      <c r="B609" s="69" t="s">
        <v>29</v>
      </c>
      <c r="C609" s="70" t="s">
        <v>845</v>
      </c>
      <c r="D609" s="69"/>
      <c r="E609" s="41" t="s">
        <v>445</v>
      </c>
      <c r="F609" s="70"/>
      <c r="G609" s="71" t="s">
        <v>445</v>
      </c>
      <c r="H609" s="41"/>
      <c r="I609" s="42"/>
      <c r="J609" s="43" t="str">
        <f t="shared" si="1"/>
        <v>TIDAK ADA</v>
      </c>
      <c r="K609" s="72">
        <v>48.0</v>
      </c>
      <c r="L609" s="53" t="s">
        <v>69</v>
      </c>
      <c r="M609" s="73">
        <v>3250.0</v>
      </c>
      <c r="N609" s="83">
        <v>0.145</v>
      </c>
      <c r="O609" s="73">
        <v>133380.0</v>
      </c>
      <c r="P609" s="46" t="str">
        <f t="shared" si="2"/>
        <v>Rp3,250-48 PCS-14.50%</v>
      </c>
      <c r="Q609" s="75">
        <v>45409.0</v>
      </c>
      <c r="R609" s="76"/>
      <c r="S609" s="75">
        <v>45419.0</v>
      </c>
      <c r="T609" s="49"/>
    </row>
    <row r="610">
      <c r="A610" s="82">
        <v>3893.0</v>
      </c>
      <c r="B610" s="69" t="s">
        <v>29</v>
      </c>
      <c r="C610" s="70" t="s">
        <v>845</v>
      </c>
      <c r="D610" s="69"/>
      <c r="E610" s="41" t="s">
        <v>440</v>
      </c>
      <c r="F610" s="70"/>
      <c r="G610" s="71" t="s">
        <v>440</v>
      </c>
      <c r="H610" s="41"/>
      <c r="I610" s="42"/>
      <c r="J610" s="43" t="str">
        <f t="shared" si="1"/>
        <v>TIDAK ADA</v>
      </c>
      <c r="K610" s="72">
        <v>48.0</v>
      </c>
      <c r="L610" s="53" t="s">
        <v>69</v>
      </c>
      <c r="M610" s="73">
        <v>3250.0</v>
      </c>
      <c r="N610" s="83">
        <v>0.145</v>
      </c>
      <c r="O610" s="73">
        <v>133380.0</v>
      </c>
      <c r="P610" s="46" t="str">
        <f t="shared" si="2"/>
        <v>Rp3,250-48 PCS-14.50%</v>
      </c>
      <c r="Q610" s="75">
        <v>45409.0</v>
      </c>
      <c r="R610" s="76"/>
      <c r="S610" s="75">
        <v>45419.0</v>
      </c>
      <c r="T610" s="49"/>
    </row>
    <row r="611">
      <c r="A611" s="82">
        <v>3893.0</v>
      </c>
      <c r="B611" s="69" t="s">
        <v>29</v>
      </c>
      <c r="C611" s="70" t="s">
        <v>845</v>
      </c>
      <c r="D611" s="69"/>
      <c r="E611" s="41" t="s">
        <v>442</v>
      </c>
      <c r="F611" s="70"/>
      <c r="G611" s="71" t="s">
        <v>442</v>
      </c>
      <c r="H611" s="41"/>
      <c r="I611" s="42"/>
      <c r="J611" s="43" t="str">
        <f t="shared" si="1"/>
        <v>TIDAK ADA</v>
      </c>
      <c r="K611" s="72">
        <v>48.0</v>
      </c>
      <c r="L611" s="53" t="s">
        <v>69</v>
      </c>
      <c r="M611" s="73">
        <v>3250.0</v>
      </c>
      <c r="N611" s="83">
        <v>0.145</v>
      </c>
      <c r="O611" s="73">
        <v>133380.0</v>
      </c>
      <c r="P611" s="46" t="str">
        <f t="shared" si="2"/>
        <v>Rp3,250-48 PCS-14.50%</v>
      </c>
      <c r="Q611" s="75">
        <v>45409.0</v>
      </c>
      <c r="R611" s="76"/>
      <c r="S611" s="75">
        <v>45419.0</v>
      </c>
      <c r="T611" s="49"/>
    </row>
    <row r="612">
      <c r="A612" s="82">
        <v>3893.0</v>
      </c>
      <c r="B612" s="69" t="s">
        <v>29</v>
      </c>
      <c r="C612" s="70" t="s">
        <v>845</v>
      </c>
      <c r="D612" s="69"/>
      <c r="E612" s="41" t="s">
        <v>441</v>
      </c>
      <c r="F612" s="70"/>
      <c r="G612" s="71" t="s">
        <v>441</v>
      </c>
      <c r="H612" s="41"/>
      <c r="I612" s="42"/>
      <c r="J612" s="43" t="str">
        <f t="shared" si="1"/>
        <v>TIDAK ADA</v>
      </c>
      <c r="K612" s="72">
        <v>48.0</v>
      </c>
      <c r="L612" s="53" t="s">
        <v>69</v>
      </c>
      <c r="M612" s="73">
        <v>3250.0</v>
      </c>
      <c r="N612" s="83">
        <v>0.145</v>
      </c>
      <c r="O612" s="73">
        <v>133380.0</v>
      </c>
      <c r="P612" s="46" t="str">
        <f t="shared" si="2"/>
        <v>Rp3,250-48 PCS-14.50%</v>
      </c>
      <c r="Q612" s="75">
        <v>45409.0</v>
      </c>
      <c r="R612" s="76"/>
      <c r="S612" s="75">
        <v>45419.0</v>
      </c>
      <c r="T612" s="49"/>
    </row>
    <row r="613">
      <c r="A613" s="82">
        <v>3893.0</v>
      </c>
      <c r="B613" s="69" t="s">
        <v>29</v>
      </c>
      <c r="C613" s="70" t="s">
        <v>845</v>
      </c>
      <c r="D613" s="69" t="s">
        <v>393</v>
      </c>
      <c r="E613" s="41" t="str">
        <f>IFERROR(__xludf.DUMMYFUNCTION("vlookup(D613,IMPORTRANGE(""https://docs.google.com/spreadsheets/d/1swGwZOEqYlTEUCJLY-eeJM1911Kvaei5oySBIxdgtNo/edit?pli=1#gid=257618397"",""stock untanna!B:C""),2,false)"),"GARISAN ZH-248 ")</f>
        <v>GARISAN ZH-248 </v>
      </c>
      <c r="F613" s="70" t="s">
        <v>393</v>
      </c>
      <c r="G613" s="71" t="s">
        <v>394</v>
      </c>
      <c r="H613" s="41"/>
      <c r="I613" s="42"/>
      <c r="J613" s="43" t="str">
        <f t="shared" si="1"/>
        <v>ADA</v>
      </c>
      <c r="K613" s="72">
        <v>40.0</v>
      </c>
      <c r="L613" s="53" t="s">
        <v>69</v>
      </c>
      <c r="M613" s="73">
        <v>2000.0</v>
      </c>
      <c r="N613" s="83">
        <v>0.145</v>
      </c>
      <c r="O613" s="73">
        <v>68400.0</v>
      </c>
      <c r="P613" s="46" t="str">
        <f t="shared" si="2"/>
        <v>Rp2,000-40 PCS-14.50%</v>
      </c>
      <c r="Q613" s="75">
        <v>45409.0</v>
      </c>
      <c r="R613" s="76"/>
      <c r="S613" s="75">
        <v>45419.0</v>
      </c>
      <c r="T613" s="49"/>
    </row>
    <row r="614">
      <c r="A614" s="82">
        <v>3893.0</v>
      </c>
      <c r="B614" s="69" t="s">
        <v>29</v>
      </c>
      <c r="C614" s="70" t="s">
        <v>845</v>
      </c>
      <c r="D614" s="69" t="s">
        <v>995</v>
      </c>
      <c r="E614" s="41" t="str">
        <f>IFERROR(__xludf.DUMMYFUNCTION("vlookup(D614,IMPORTRANGE(""https://docs.google.com/spreadsheets/d/1swGwZOEqYlTEUCJLY-eeJM1911Kvaei5oySBIxdgtNo/edit?pli=1#gid=257618397"",""stock untanna!B:C""),2,false)"),"BP GEL ZHIXIN G 5025")</f>
        <v>BP GEL ZHIXIN G 5025</v>
      </c>
      <c r="F614" s="70" t="s">
        <v>995</v>
      </c>
      <c r="G614" s="71" t="s">
        <v>996</v>
      </c>
      <c r="H614" s="41"/>
      <c r="I614" s="42"/>
      <c r="J614" s="43" t="str">
        <f t="shared" si="1"/>
        <v>ADA</v>
      </c>
      <c r="K614" s="72">
        <v>12.0</v>
      </c>
      <c r="L614" s="53" t="s">
        <v>62</v>
      </c>
      <c r="M614" s="73">
        <v>30000.0</v>
      </c>
      <c r="N614" s="83">
        <v>0.145</v>
      </c>
      <c r="O614" s="73">
        <v>307800.0</v>
      </c>
      <c r="P614" s="46" t="str">
        <f t="shared" si="2"/>
        <v>Rp30,000-12 LSN-14.50%</v>
      </c>
      <c r="Q614" s="75">
        <v>45409.0</v>
      </c>
      <c r="R614" s="76"/>
      <c r="S614" s="75">
        <v>45419.0</v>
      </c>
      <c r="T614" s="49"/>
    </row>
    <row r="615">
      <c r="A615" s="82">
        <v>3893.0</v>
      </c>
      <c r="B615" s="69" t="s">
        <v>29</v>
      </c>
      <c r="C615" s="70" t="s">
        <v>845</v>
      </c>
      <c r="D615" s="69" t="s">
        <v>997</v>
      </c>
      <c r="E615" s="41" t="str">
        <f>IFERROR(__xludf.DUMMYFUNCTION("vlookup(D615,IMPORTRANGE(""https://docs.google.com/spreadsheets/d/1swGwZOEqYlTEUCJLY-eeJM1911Kvaei5oySBIxdgtNo/edit?pli=1#gid=257618397"",""stock untanna!B:C""),2,false)"),"BP TIZO TG 313B")</f>
        <v>BP TIZO TG 313B</v>
      </c>
      <c r="F615" s="70" t="s">
        <v>997</v>
      </c>
      <c r="G615" s="71" t="s">
        <v>998</v>
      </c>
      <c r="H615" s="41"/>
      <c r="I615" s="42"/>
      <c r="J615" s="43" t="str">
        <f t="shared" si="1"/>
        <v>ADA</v>
      </c>
      <c r="K615" s="72">
        <v>6.0</v>
      </c>
      <c r="L615" s="53" t="s">
        <v>62</v>
      </c>
      <c r="M615" s="73">
        <v>35000.0</v>
      </c>
      <c r="N615" s="83">
        <v>0.145</v>
      </c>
      <c r="O615" s="73">
        <v>179550.0</v>
      </c>
      <c r="P615" s="46" t="str">
        <f t="shared" si="2"/>
        <v>Rp35,000-6 LSN-14.50%</v>
      </c>
      <c r="Q615" s="75">
        <v>45409.0</v>
      </c>
      <c r="R615" s="76"/>
      <c r="S615" s="75">
        <v>45419.0</v>
      </c>
      <c r="T615" s="49"/>
    </row>
    <row r="616">
      <c r="A616" s="82">
        <v>3893.0</v>
      </c>
      <c r="B616" s="69" t="s">
        <v>29</v>
      </c>
      <c r="C616" s="70" t="s">
        <v>845</v>
      </c>
      <c r="D616" s="69"/>
      <c r="E616" s="41" t="s">
        <v>999</v>
      </c>
      <c r="F616" s="70"/>
      <c r="G616" s="71" t="s">
        <v>999</v>
      </c>
      <c r="H616" s="41"/>
      <c r="I616" s="42"/>
      <c r="J616" s="43" t="str">
        <f t="shared" si="1"/>
        <v>TIDAK ADA</v>
      </c>
      <c r="K616" s="72">
        <v>6.0</v>
      </c>
      <c r="L616" s="53" t="s">
        <v>62</v>
      </c>
      <c r="M616" s="73">
        <v>55000.0</v>
      </c>
      <c r="N616" s="83">
        <v>0.145</v>
      </c>
      <c r="O616" s="73">
        <v>282150.0</v>
      </c>
      <c r="P616" s="46" t="str">
        <f t="shared" si="2"/>
        <v>Rp55,000-6 LSN-14.50%</v>
      </c>
      <c r="Q616" s="75">
        <v>45409.0</v>
      </c>
      <c r="R616" s="76"/>
      <c r="S616" s="75">
        <v>45419.0</v>
      </c>
      <c r="T616" s="49"/>
    </row>
    <row r="617">
      <c r="A617" s="82">
        <v>3894.0</v>
      </c>
      <c r="B617" s="69" t="s">
        <v>29</v>
      </c>
      <c r="C617" s="70" t="s">
        <v>845</v>
      </c>
      <c r="D617" s="50" t="s">
        <v>1000</v>
      </c>
      <c r="E617" s="41" t="s">
        <v>1001</v>
      </c>
      <c r="F617" s="70"/>
      <c r="G617" s="71" t="s">
        <v>1001</v>
      </c>
      <c r="H617" s="41"/>
      <c r="I617" s="42"/>
      <c r="J617" s="43" t="str">
        <f t="shared" si="1"/>
        <v>ADA</v>
      </c>
      <c r="K617" s="72">
        <v>2.0</v>
      </c>
      <c r="L617" s="53" t="s">
        <v>62</v>
      </c>
      <c r="M617" s="73">
        <v>120000.0</v>
      </c>
      <c r="N617" s="83">
        <v>0.145</v>
      </c>
      <c r="O617" s="73">
        <v>205200.0</v>
      </c>
      <c r="P617" s="46" t="str">
        <f t="shared" si="2"/>
        <v>Rp120,000-2 LSN-14.50%</v>
      </c>
      <c r="Q617" s="75">
        <v>45409.0</v>
      </c>
      <c r="R617" s="76"/>
      <c r="S617" s="75">
        <v>45419.0</v>
      </c>
      <c r="T617" s="80"/>
    </row>
    <row r="618">
      <c r="A618" s="82">
        <v>3894.0</v>
      </c>
      <c r="B618" s="69" t="s">
        <v>29</v>
      </c>
      <c r="C618" s="70" t="s">
        <v>845</v>
      </c>
      <c r="D618" s="69"/>
      <c r="E618" s="41" t="s">
        <v>1002</v>
      </c>
      <c r="F618" s="70"/>
      <c r="G618" s="71" t="s">
        <v>1002</v>
      </c>
      <c r="H618" s="41"/>
      <c r="I618" s="42"/>
      <c r="J618" s="43" t="str">
        <f t="shared" si="1"/>
        <v>TIDAK ADA</v>
      </c>
      <c r="K618" s="72">
        <v>1.0</v>
      </c>
      <c r="L618" s="53" t="s">
        <v>62</v>
      </c>
      <c r="M618" s="73">
        <v>46500.0</v>
      </c>
      <c r="N618" s="83">
        <v>0.145</v>
      </c>
      <c r="O618" s="73">
        <v>39757.5</v>
      </c>
      <c r="P618" s="46" t="str">
        <f t="shared" si="2"/>
        <v>Rp46,500-1 LSN-14.50%</v>
      </c>
      <c r="Q618" s="75">
        <v>45409.0</v>
      </c>
      <c r="R618" s="76"/>
      <c r="S618" s="75">
        <v>45419.0</v>
      </c>
      <c r="T618" s="49"/>
    </row>
    <row r="619">
      <c r="A619" s="82">
        <v>3894.0</v>
      </c>
      <c r="B619" s="69" t="s">
        <v>29</v>
      </c>
      <c r="C619" s="70" t="s">
        <v>845</v>
      </c>
      <c r="D619" s="69" t="s">
        <v>326</v>
      </c>
      <c r="E619" s="41" t="str">
        <f>IFERROR(__xludf.DUMMYFUNCTION("vlookup(D619,IMPORTRANGE(""https://docs.google.com/spreadsheets/d/1swGwZOEqYlTEUCJLY-eeJM1911Kvaei5oySBIxdgtNo/edit?pli=1#gid=257618397"",""stock untanna!B:C""),2,false)"),"STIP W/B CLEAR K")</f>
        <v>STIP W/B CLEAR K</v>
      </c>
      <c r="F619" s="70" t="s">
        <v>326</v>
      </c>
      <c r="G619" s="71" t="s">
        <v>327</v>
      </c>
      <c r="H619" s="41"/>
      <c r="I619" s="42"/>
      <c r="J619" s="43" t="str">
        <f t="shared" si="1"/>
        <v>ADA</v>
      </c>
      <c r="K619" s="72">
        <v>1.0</v>
      </c>
      <c r="L619" s="53" t="s">
        <v>62</v>
      </c>
      <c r="M619" s="73">
        <v>45000.0</v>
      </c>
      <c r="N619" s="83">
        <v>0.145</v>
      </c>
      <c r="O619" s="73">
        <v>38475.0</v>
      </c>
      <c r="P619" s="46" t="str">
        <f t="shared" si="2"/>
        <v>Rp45,000-1 LSN-14.50%</v>
      </c>
      <c r="Q619" s="75">
        <v>45409.0</v>
      </c>
      <c r="R619" s="76"/>
      <c r="S619" s="75">
        <v>45419.0</v>
      </c>
      <c r="T619" s="49"/>
    </row>
    <row r="620">
      <c r="A620" s="82">
        <v>3894.0</v>
      </c>
      <c r="B620" s="69" t="s">
        <v>29</v>
      </c>
      <c r="C620" s="70" t="s">
        <v>845</v>
      </c>
      <c r="D620" s="50" t="s">
        <v>1003</v>
      </c>
      <c r="E620" s="41" t="str">
        <f>IFERROR(__xludf.DUMMYFUNCTION("vlookup(D620,IMPORTRANGE(""https://docs.google.com/spreadsheets/d/1swGwZOEqYlTEUCJLY-eeJM1911Kvaei5oySBIxdgtNo/edit?pli=1#gid=257618397"",""stock untanna!B:C""),2,false)"),"GARISAN 30CM LIPAT CV-5012 (24)")</f>
        <v>GARISAN 30CM LIPAT CV-5012 (24)</v>
      </c>
      <c r="F620" s="70" t="s">
        <v>1004</v>
      </c>
      <c r="G620" s="71" t="s">
        <v>1005</v>
      </c>
      <c r="H620" s="41"/>
      <c r="I620" s="42"/>
      <c r="J620" s="43" t="str">
        <f t="shared" si="1"/>
        <v>ADA</v>
      </c>
      <c r="K620" s="72">
        <v>6.66667</v>
      </c>
      <c r="L620" s="53" t="s">
        <v>62</v>
      </c>
      <c r="M620" s="73">
        <v>30000.0</v>
      </c>
      <c r="N620" s="83">
        <v>0.145</v>
      </c>
      <c r="O620" s="73">
        <v>171000.08550000002</v>
      </c>
      <c r="P620" s="46" t="str">
        <f t="shared" si="2"/>
        <v>Rp30,000-6.66667 LSN-14.50%</v>
      </c>
      <c r="Q620" s="75">
        <v>45409.0</v>
      </c>
      <c r="R620" s="76"/>
      <c r="S620" s="75">
        <v>45419.0</v>
      </c>
      <c r="T620" s="49"/>
    </row>
    <row r="621">
      <c r="A621" s="82">
        <v>3894.0</v>
      </c>
      <c r="B621" s="69" t="s">
        <v>29</v>
      </c>
      <c r="C621" s="70" t="s">
        <v>845</v>
      </c>
      <c r="D621" s="69"/>
      <c r="E621" s="41" t="s">
        <v>1006</v>
      </c>
      <c r="F621" s="70"/>
      <c r="G621" s="71" t="s">
        <v>1006</v>
      </c>
      <c r="H621" s="41"/>
      <c r="I621" s="42"/>
      <c r="J621" s="43" t="str">
        <f t="shared" si="1"/>
        <v>TIDAK ADA</v>
      </c>
      <c r="K621" s="72">
        <v>6.0</v>
      </c>
      <c r="L621" s="53" t="s">
        <v>718</v>
      </c>
      <c r="M621" s="73">
        <v>100000.0</v>
      </c>
      <c r="N621" s="83">
        <v>0.145</v>
      </c>
      <c r="O621" s="73">
        <v>513000.0</v>
      </c>
      <c r="P621" s="46" t="str">
        <f t="shared" si="2"/>
        <v>Rp100,000-6 BOX (24)-14.50%</v>
      </c>
      <c r="Q621" s="75">
        <v>45409.0</v>
      </c>
      <c r="R621" s="76"/>
      <c r="S621" s="75">
        <v>45419.0</v>
      </c>
      <c r="T621" s="49"/>
    </row>
    <row r="622">
      <c r="A622" s="82">
        <v>3894.0</v>
      </c>
      <c r="B622" s="69" t="s">
        <v>29</v>
      </c>
      <c r="C622" s="70" t="s">
        <v>845</v>
      </c>
      <c r="D622" s="69"/>
      <c r="E622" s="41" t="s">
        <v>1007</v>
      </c>
      <c r="F622" s="70"/>
      <c r="G622" s="71" t="s">
        <v>1007</v>
      </c>
      <c r="H622" s="41"/>
      <c r="I622" s="42"/>
      <c r="J622" s="43" t="str">
        <f t="shared" si="1"/>
        <v>TIDAK ADA</v>
      </c>
      <c r="K622" s="72">
        <v>6.0</v>
      </c>
      <c r="L622" s="53" t="s">
        <v>62</v>
      </c>
      <c r="M622" s="73">
        <v>24000.0</v>
      </c>
      <c r="N622" s="83">
        <v>0.145</v>
      </c>
      <c r="O622" s="73">
        <v>123120.0</v>
      </c>
      <c r="P622" s="46" t="str">
        <f t="shared" si="2"/>
        <v>Rp24,000-6 LSN-14.50%</v>
      </c>
      <c r="Q622" s="75">
        <v>45409.0</v>
      </c>
      <c r="R622" s="76"/>
      <c r="S622" s="75">
        <v>45419.0</v>
      </c>
      <c r="T622" s="49"/>
    </row>
    <row r="623">
      <c r="A623" s="82">
        <v>3894.0</v>
      </c>
      <c r="B623" s="69" t="s">
        <v>29</v>
      </c>
      <c r="C623" s="70" t="s">
        <v>845</v>
      </c>
      <c r="D623" s="69"/>
      <c r="E623" s="41" t="s">
        <v>1008</v>
      </c>
      <c r="F623" s="70"/>
      <c r="G623" s="71" t="s">
        <v>1008</v>
      </c>
      <c r="H623" s="41"/>
      <c r="I623" s="42"/>
      <c r="J623" s="43" t="str">
        <f t="shared" si="1"/>
        <v>TIDAK ADA</v>
      </c>
      <c r="K623" s="72">
        <v>12.0</v>
      </c>
      <c r="L623" s="53" t="s">
        <v>62</v>
      </c>
      <c r="M623" s="73">
        <v>25000.0</v>
      </c>
      <c r="N623" s="83">
        <v>0.145</v>
      </c>
      <c r="O623" s="73">
        <v>256500.0</v>
      </c>
      <c r="P623" s="46" t="str">
        <f t="shared" si="2"/>
        <v>Rp25,000-12 LSN-14.50%</v>
      </c>
      <c r="Q623" s="75">
        <v>45409.0</v>
      </c>
      <c r="R623" s="76"/>
      <c r="S623" s="75">
        <v>45419.0</v>
      </c>
      <c r="T623" s="49"/>
    </row>
    <row r="624">
      <c r="A624" s="82">
        <v>3894.0</v>
      </c>
      <c r="B624" s="69" t="s">
        <v>29</v>
      </c>
      <c r="C624" s="70" t="s">
        <v>845</v>
      </c>
      <c r="D624" s="69" t="s">
        <v>1009</v>
      </c>
      <c r="E624" s="41" t="str">
        <f>IFERROR(__xludf.DUMMYFUNCTION("vlookup(D624,IMPORTRANGE(""https://docs.google.com/spreadsheets/d/1swGwZOEqYlTEUCJLY-eeJM1911Kvaei5oySBIxdgtNo/edit?pli=1#gid=257618397"",""stock untanna!B:C""),2,false)"),"MAGNIFIER LW-60")</f>
        <v>MAGNIFIER LW-60</v>
      </c>
      <c r="F624" s="70" t="s">
        <v>1009</v>
      </c>
      <c r="G624" s="71" t="s">
        <v>1010</v>
      </c>
      <c r="H624" s="41"/>
      <c r="I624" s="42"/>
      <c r="J624" s="43" t="str">
        <f t="shared" si="1"/>
        <v>ADA</v>
      </c>
      <c r="K624" s="72">
        <v>6.0</v>
      </c>
      <c r="L624" s="53" t="s">
        <v>69</v>
      </c>
      <c r="M624" s="73">
        <v>27083.0</v>
      </c>
      <c r="N624" s="83">
        <v>0.145</v>
      </c>
      <c r="O624" s="73">
        <v>138935.79</v>
      </c>
      <c r="P624" s="46" t="str">
        <f t="shared" si="2"/>
        <v>Rp27,083-6 PCS-14.50%</v>
      </c>
      <c r="Q624" s="75">
        <v>45409.0</v>
      </c>
      <c r="R624" s="76"/>
      <c r="S624" s="75">
        <v>45419.0</v>
      </c>
      <c r="T624" s="49"/>
    </row>
    <row r="625">
      <c r="A625" s="82">
        <v>3894.0</v>
      </c>
      <c r="B625" s="69" t="s">
        <v>29</v>
      </c>
      <c r="C625" s="70" t="s">
        <v>845</v>
      </c>
      <c r="D625" s="69" t="s">
        <v>1011</v>
      </c>
      <c r="E625" s="41" t="str">
        <f>IFERROR(__xludf.DUMMYFUNCTION("vlookup(D625,IMPORTRANGE(""https://docs.google.com/spreadsheets/d/1swGwZOEqYlTEUCJLY-eeJM1911Kvaei5oySBIxdgtNo/edit?pli=1#gid=257618397"",""stock untanna!B:C""),2,false)"),"MAGNIFIER LW-70")</f>
        <v>MAGNIFIER LW-70</v>
      </c>
      <c r="F625" s="70" t="s">
        <v>1011</v>
      </c>
      <c r="G625" s="71" t="s">
        <v>1012</v>
      </c>
      <c r="H625" s="41"/>
      <c r="I625" s="42"/>
      <c r="J625" s="43" t="str">
        <f t="shared" si="1"/>
        <v>ADA</v>
      </c>
      <c r="K625" s="72">
        <v>6.0</v>
      </c>
      <c r="L625" s="53" t="s">
        <v>69</v>
      </c>
      <c r="M625" s="73">
        <v>31250.0</v>
      </c>
      <c r="N625" s="83">
        <v>0.145</v>
      </c>
      <c r="O625" s="73">
        <v>160312.5</v>
      </c>
      <c r="P625" s="46" t="str">
        <f t="shared" si="2"/>
        <v>Rp31,250-6 PCS-14.50%</v>
      </c>
      <c r="Q625" s="75">
        <v>45409.0</v>
      </c>
      <c r="R625" s="76"/>
      <c r="S625" s="75">
        <v>45419.0</v>
      </c>
      <c r="T625" s="49"/>
    </row>
    <row r="626">
      <c r="A626" s="82">
        <v>3894.0</v>
      </c>
      <c r="B626" s="69" t="s">
        <v>29</v>
      </c>
      <c r="C626" s="70" t="s">
        <v>845</v>
      </c>
      <c r="D626" s="69" t="s">
        <v>1013</v>
      </c>
      <c r="E626" s="41" t="str">
        <f>IFERROR(__xludf.DUMMYFUNCTION("vlookup(D626,IMPORTRANGE(""https://docs.google.com/spreadsheets/d/1swGwZOEqYlTEUCJLY-eeJM1911Kvaei5oySBIxdgtNo/edit?pli=1#gid=257618397"",""stock untanna!B:C""),2,false)"),"MAGNIFIER LW-80")</f>
        <v>MAGNIFIER LW-80</v>
      </c>
      <c r="F626" s="70" t="s">
        <v>1013</v>
      </c>
      <c r="G626" s="71" t="s">
        <v>1014</v>
      </c>
      <c r="H626" s="41"/>
      <c r="I626" s="42"/>
      <c r="J626" s="43" t="str">
        <f t="shared" si="1"/>
        <v>ADA</v>
      </c>
      <c r="K626" s="72">
        <v>6.0</v>
      </c>
      <c r="L626" s="53" t="s">
        <v>69</v>
      </c>
      <c r="M626" s="73">
        <v>37500.0</v>
      </c>
      <c r="N626" s="83">
        <v>0.145</v>
      </c>
      <c r="O626" s="73">
        <v>192375.0</v>
      </c>
      <c r="P626" s="46" t="str">
        <f t="shared" si="2"/>
        <v>Rp37,500-6 PCS-14.50%</v>
      </c>
      <c r="Q626" s="75">
        <v>45409.0</v>
      </c>
      <c r="R626" s="76"/>
      <c r="S626" s="75">
        <v>45419.0</v>
      </c>
      <c r="T626" s="49"/>
    </row>
    <row r="627">
      <c r="A627" s="82">
        <v>3894.0</v>
      </c>
      <c r="B627" s="69" t="s">
        <v>29</v>
      </c>
      <c r="C627" s="70" t="s">
        <v>845</v>
      </c>
      <c r="D627" s="69" t="s">
        <v>1015</v>
      </c>
      <c r="E627" s="41" t="str">
        <f>IFERROR(__xludf.DUMMYFUNCTION("vlookup(D627,IMPORTRANGE(""https://docs.google.com/spreadsheets/d/1swGwZOEqYlTEUCJLY-eeJM1911Kvaei5oySBIxdgtNo/edit?pli=1#gid=257618397"",""stock untanna!B:C""),2,false)"),"MAGNIFIER LW-90")</f>
        <v>MAGNIFIER LW-90</v>
      </c>
      <c r="F627" s="70" t="s">
        <v>1015</v>
      </c>
      <c r="G627" s="71" t="s">
        <v>1016</v>
      </c>
      <c r="H627" s="41"/>
      <c r="I627" s="42"/>
      <c r="J627" s="43" t="str">
        <f t="shared" si="1"/>
        <v>ADA</v>
      </c>
      <c r="K627" s="72">
        <v>6.0</v>
      </c>
      <c r="L627" s="53" t="s">
        <v>69</v>
      </c>
      <c r="M627" s="73">
        <v>41667.0</v>
      </c>
      <c r="N627" s="83">
        <v>0.145</v>
      </c>
      <c r="O627" s="73">
        <v>213751.71</v>
      </c>
      <c r="P627" s="46" t="str">
        <f t="shared" si="2"/>
        <v>Rp41,667-6 PCS-14.50%</v>
      </c>
      <c r="Q627" s="75">
        <v>45409.0</v>
      </c>
      <c r="R627" s="76"/>
      <c r="S627" s="75">
        <v>45419.0</v>
      </c>
      <c r="T627" s="49"/>
    </row>
    <row r="628">
      <c r="A628" s="82">
        <v>3894.0</v>
      </c>
      <c r="B628" s="69" t="s">
        <v>29</v>
      </c>
      <c r="C628" s="70" t="s">
        <v>845</v>
      </c>
      <c r="D628" s="69"/>
      <c r="E628" s="41" t="s">
        <v>1017</v>
      </c>
      <c r="F628" s="70"/>
      <c r="G628" s="71" t="s">
        <v>1017</v>
      </c>
      <c r="H628" s="41"/>
      <c r="I628" s="42"/>
      <c r="J628" s="43" t="str">
        <f t="shared" si="1"/>
        <v>TIDAK ADA</v>
      </c>
      <c r="K628" s="72">
        <v>1.0</v>
      </c>
      <c r="L628" s="53" t="s">
        <v>62</v>
      </c>
      <c r="M628" s="73">
        <v>325000.0</v>
      </c>
      <c r="N628" s="83">
        <v>0.145</v>
      </c>
      <c r="O628" s="73">
        <v>277875.0</v>
      </c>
      <c r="P628" s="46" t="str">
        <f t="shared" si="2"/>
        <v>Rp325,000-1 LSN-14.50%</v>
      </c>
      <c r="Q628" s="75">
        <v>45409.0</v>
      </c>
      <c r="R628" s="76"/>
      <c r="S628" s="75">
        <v>45419.0</v>
      </c>
      <c r="T628" s="49"/>
    </row>
    <row r="629">
      <c r="A629" s="82">
        <v>3894.0</v>
      </c>
      <c r="B629" s="69" t="s">
        <v>29</v>
      </c>
      <c r="C629" s="70" t="s">
        <v>845</v>
      </c>
      <c r="D629" s="69" t="s">
        <v>306</v>
      </c>
      <c r="E629" s="41" t="str">
        <f>IFERROR(__xludf.DUMMYFUNCTION("vlookup(D629,IMPORTRANGE(""https://docs.google.com/spreadsheets/d/1swGwZOEqYlTEUCJLY-eeJM1911Kvaei5oySBIxdgtNo/edit?pli=1#gid=257618397"",""stock untanna!B:C""),2,false)"),"BP TF-2037 6W")</f>
        <v>BP TF-2037 6W</v>
      </c>
      <c r="F629" s="70" t="s">
        <v>306</v>
      </c>
      <c r="G629" s="71" t="s">
        <v>307</v>
      </c>
      <c r="H629" s="41"/>
      <c r="I629" s="42"/>
      <c r="J629" s="43" t="str">
        <f t="shared" si="1"/>
        <v>ADA</v>
      </c>
      <c r="K629" s="72">
        <v>6.0</v>
      </c>
      <c r="L629" s="53" t="s">
        <v>62</v>
      </c>
      <c r="M629" s="73">
        <v>60000.0</v>
      </c>
      <c r="N629" s="83">
        <v>0.145</v>
      </c>
      <c r="O629" s="73">
        <v>307800.0</v>
      </c>
      <c r="P629" s="46" t="str">
        <f t="shared" si="2"/>
        <v>Rp60,000-6 LSN-14.50%</v>
      </c>
      <c r="Q629" s="75">
        <v>45409.0</v>
      </c>
      <c r="R629" s="76"/>
      <c r="S629" s="75">
        <v>45419.0</v>
      </c>
      <c r="T629" s="49"/>
    </row>
    <row r="630">
      <c r="A630" s="82">
        <v>3894.0</v>
      </c>
      <c r="B630" s="69" t="s">
        <v>29</v>
      </c>
      <c r="C630" s="70" t="s">
        <v>845</v>
      </c>
      <c r="D630" s="69" t="s">
        <v>1018</v>
      </c>
      <c r="E630" s="41" t="str">
        <f>IFERROR(__xludf.DUMMYFUNCTION("vlookup(D630,IMPORTRANGE(""https://docs.google.com/spreadsheets/d/1swGwZOEqYlTEUCJLY-eeJM1911Kvaei5oySBIxdgtNo/edit?pli=1#gid=257618397"",""stock untanna!B:C""),2,false)"),"BP PELNA ULIR 01 HT")</f>
        <v>BP PELNA ULIR 01 HT</v>
      </c>
      <c r="F630" s="70" t="s">
        <v>1018</v>
      </c>
      <c r="G630" s="71" t="s">
        <v>1019</v>
      </c>
      <c r="H630" s="41"/>
      <c r="I630" s="42"/>
      <c r="J630" s="43" t="str">
        <f t="shared" si="1"/>
        <v>ADA</v>
      </c>
      <c r="K630" s="72">
        <v>1.0</v>
      </c>
      <c r="L630" s="53" t="s">
        <v>131</v>
      </c>
      <c r="M630" s="73">
        <v>90000.0</v>
      </c>
      <c r="N630" s="83">
        <v>0.145</v>
      </c>
      <c r="O630" s="73">
        <v>76950.0</v>
      </c>
      <c r="P630" s="46" t="str">
        <f t="shared" si="2"/>
        <v>Rp90,000-1 GRS-14.50%</v>
      </c>
      <c r="Q630" s="75">
        <v>45409.0</v>
      </c>
      <c r="R630" s="76"/>
      <c r="S630" s="75">
        <v>45419.0</v>
      </c>
      <c r="T630" s="49"/>
    </row>
    <row r="631">
      <c r="A631" s="82">
        <v>3894.0</v>
      </c>
      <c r="B631" s="69" t="s">
        <v>29</v>
      </c>
      <c r="C631" s="70" t="s">
        <v>845</v>
      </c>
      <c r="D631" s="69" t="s">
        <v>833</v>
      </c>
      <c r="E631" s="41" t="str">
        <f>IFERROR(__xludf.DUMMYFUNCTION("vlookup(D631,IMPORTRANGE(""https://docs.google.com/spreadsheets/d/1swGwZOEqYlTEUCJLY-eeJM1911Kvaei5oySBIxdgtNo/edit?pli=1#gid=257618397"",""stock untanna!B:C""),2,false)"),"MECHPEN TIZO TM 030-C")</f>
        <v>MECHPEN TIZO TM 030-C</v>
      </c>
      <c r="F631" s="70" t="s">
        <v>833</v>
      </c>
      <c r="G631" s="71" t="s">
        <v>834</v>
      </c>
      <c r="H631" s="41"/>
      <c r="I631" s="42"/>
      <c r="J631" s="43" t="str">
        <f t="shared" si="1"/>
        <v>ADA</v>
      </c>
      <c r="K631" s="72">
        <v>4.0</v>
      </c>
      <c r="L631" s="53" t="s">
        <v>62</v>
      </c>
      <c r="M631" s="73">
        <v>46500.0</v>
      </c>
      <c r="N631" s="83">
        <v>0.145</v>
      </c>
      <c r="O631" s="73">
        <v>159030.0</v>
      </c>
      <c r="P631" s="46" t="str">
        <f t="shared" si="2"/>
        <v>Rp46,500-4 LSN-14.50%</v>
      </c>
      <c r="Q631" s="75">
        <v>45409.0</v>
      </c>
      <c r="R631" s="76"/>
      <c r="S631" s="75">
        <v>45419.0</v>
      </c>
      <c r="T631" s="49"/>
    </row>
    <row r="632">
      <c r="A632" s="82">
        <v>3894.0</v>
      </c>
      <c r="B632" s="69" t="s">
        <v>29</v>
      </c>
      <c r="C632" s="70" t="s">
        <v>845</v>
      </c>
      <c r="D632" s="69"/>
      <c r="E632" s="41" t="s">
        <v>1020</v>
      </c>
      <c r="F632" s="70"/>
      <c r="G632" s="71" t="s">
        <v>1020</v>
      </c>
      <c r="H632" s="41"/>
      <c r="I632" s="42"/>
      <c r="J632" s="43" t="str">
        <f t="shared" si="1"/>
        <v>TIDAK ADA</v>
      </c>
      <c r="K632" s="72">
        <v>6.0</v>
      </c>
      <c r="L632" s="53" t="s">
        <v>62</v>
      </c>
      <c r="M632" s="73">
        <v>35000.0</v>
      </c>
      <c r="N632" s="83">
        <v>0.145</v>
      </c>
      <c r="O632" s="73">
        <v>179550.0</v>
      </c>
      <c r="P632" s="46" t="str">
        <f t="shared" si="2"/>
        <v>Rp35,000-6 LSN-14.50%</v>
      </c>
      <c r="Q632" s="75">
        <v>45409.0</v>
      </c>
      <c r="R632" s="76"/>
      <c r="S632" s="75">
        <v>45419.0</v>
      </c>
      <c r="T632" s="49"/>
    </row>
    <row r="633">
      <c r="A633" s="82">
        <v>3895.0</v>
      </c>
      <c r="B633" s="69" t="s">
        <v>29</v>
      </c>
      <c r="C633" s="70" t="s">
        <v>845</v>
      </c>
      <c r="D633" s="69" t="s">
        <v>1021</v>
      </c>
      <c r="E633" s="41" t="str">
        <f>IFERROR(__xludf.DUMMYFUNCTION("vlookup(D633,IMPORTRANGE(""https://docs.google.com/spreadsheets/d/1swGwZOEqYlTEUCJLY-eeJM1911Kvaei5oySBIxdgtNo/edit?pli=1#gid=257618397"",""stock untanna!B:C""),2,false)"),"TIPEX KERTAS NO.8528")</f>
        <v>TIPEX KERTAS NO.8528</v>
      </c>
      <c r="F633" s="70" t="s">
        <v>1021</v>
      </c>
      <c r="G633" s="71" t="s">
        <v>1022</v>
      </c>
      <c r="H633" s="41"/>
      <c r="I633" s="42"/>
      <c r="J633" s="43" t="str">
        <f t="shared" si="1"/>
        <v>ADA</v>
      </c>
      <c r="K633" s="72">
        <v>4.0</v>
      </c>
      <c r="L633" s="53" t="s">
        <v>62</v>
      </c>
      <c r="M633" s="73">
        <v>140000.0</v>
      </c>
      <c r="N633" s="83">
        <v>0.145</v>
      </c>
      <c r="O633" s="73">
        <v>478800.0</v>
      </c>
      <c r="P633" s="46" t="str">
        <f t="shared" si="2"/>
        <v>Rp140,000-4 LSN-14.50%</v>
      </c>
      <c r="Q633" s="75">
        <v>45409.0</v>
      </c>
      <c r="R633" s="76"/>
      <c r="S633" s="75">
        <v>45419.0</v>
      </c>
      <c r="T633" s="49"/>
    </row>
    <row r="634">
      <c r="A634" s="82">
        <v>3895.0</v>
      </c>
      <c r="B634" s="69" t="s">
        <v>29</v>
      </c>
      <c r="C634" s="70" t="s">
        <v>845</v>
      </c>
      <c r="D634" s="69" t="s">
        <v>1023</v>
      </c>
      <c r="E634" s="41" t="str">
        <f>IFERROR(__xludf.DUMMYFUNCTION("vlookup(D634,IMPORTRANGE(""https://docs.google.com/spreadsheets/d/1swGwZOEqYlTEUCJLY-eeJM1911Kvaei5oySBIxdgtNo/edit?pli=1#gid=257618397"",""stock untanna!B:C""),2,false)"),"TIPEX KERTAS 91033HG")</f>
        <v>TIPEX KERTAS 91033HG</v>
      </c>
      <c r="F634" s="70" t="s">
        <v>1023</v>
      </c>
      <c r="G634" s="71" t="s">
        <v>1024</v>
      </c>
      <c r="H634" s="41"/>
      <c r="I634" s="42"/>
      <c r="J634" s="43" t="str">
        <f t="shared" si="1"/>
        <v>ADA</v>
      </c>
      <c r="K634" s="72">
        <v>4.0</v>
      </c>
      <c r="L634" s="53" t="s">
        <v>62</v>
      </c>
      <c r="M634" s="73">
        <v>60000.0</v>
      </c>
      <c r="N634" s="83">
        <v>0.145</v>
      </c>
      <c r="O634" s="73">
        <v>205200.0</v>
      </c>
      <c r="P634" s="46" t="str">
        <f t="shared" si="2"/>
        <v>Rp60,000-4 LSN-14.50%</v>
      </c>
      <c r="Q634" s="75">
        <v>45409.0</v>
      </c>
      <c r="R634" s="76"/>
      <c r="S634" s="75">
        <v>45419.0</v>
      </c>
      <c r="T634" s="49"/>
    </row>
    <row r="635">
      <c r="A635" s="82">
        <v>3895.0</v>
      </c>
      <c r="B635" s="69" t="s">
        <v>29</v>
      </c>
      <c r="C635" s="70" t="s">
        <v>845</v>
      </c>
      <c r="D635" s="69" t="s">
        <v>1025</v>
      </c>
      <c r="E635" s="41" t="str">
        <f>IFERROR(__xludf.DUMMYFUNCTION("vlookup(D635,IMPORTRANGE(""https://docs.google.com/spreadsheets/d/1swGwZOEqYlTEUCJLY-eeJM1911Kvaei5oySBIxdgtNo/edit?pli=1#gid=257618397"",""stock untanna!B:C""),2,false)"),"TIPEX KERTAS XB-B255")</f>
        <v>TIPEX KERTAS XB-B255</v>
      </c>
      <c r="F635" s="70" t="s">
        <v>1025</v>
      </c>
      <c r="G635" s="71" t="s">
        <v>1026</v>
      </c>
      <c r="H635" s="41"/>
      <c r="I635" s="42"/>
      <c r="J635" s="43" t="str">
        <f t="shared" si="1"/>
        <v>ADA</v>
      </c>
      <c r="K635" s="72">
        <v>48.0</v>
      </c>
      <c r="L635" s="53" t="s">
        <v>69</v>
      </c>
      <c r="M635" s="73">
        <v>12000.0</v>
      </c>
      <c r="N635" s="83">
        <v>0.145</v>
      </c>
      <c r="O635" s="73">
        <v>492480.0</v>
      </c>
      <c r="P635" s="46" t="str">
        <f t="shared" si="2"/>
        <v>Rp12,000-48 PCS-14.50%</v>
      </c>
      <c r="Q635" s="75">
        <v>45409.0</v>
      </c>
      <c r="R635" s="76"/>
      <c r="S635" s="75">
        <v>45419.0</v>
      </c>
      <c r="T635" s="49"/>
    </row>
    <row r="636">
      <c r="A636" s="82">
        <v>3895.0</v>
      </c>
      <c r="B636" s="69" t="s">
        <v>29</v>
      </c>
      <c r="C636" s="70" t="s">
        <v>845</v>
      </c>
      <c r="D636" s="69" t="s">
        <v>461</v>
      </c>
      <c r="E636" s="41" t="str">
        <f>IFERROR(__xludf.DUMMYFUNCTION("vlookup(D636,IMPORTRANGE(""https://docs.google.com/spreadsheets/d/1swGwZOEqYlTEUCJLY-eeJM1911Kvaei5oySBIxdgtNo/edit?pli=1#gid=257618397"",""stock untanna!B:C""),2,false)"),"TIPEX KERTAS NO.8539")</f>
        <v>TIPEX KERTAS NO.8539</v>
      </c>
      <c r="F636" s="70" t="s">
        <v>461</v>
      </c>
      <c r="G636" s="71" t="s">
        <v>462</v>
      </c>
      <c r="H636" s="41"/>
      <c r="I636" s="42"/>
      <c r="J636" s="43" t="str">
        <f t="shared" si="1"/>
        <v>ADA</v>
      </c>
      <c r="K636" s="72">
        <v>4.0</v>
      </c>
      <c r="L636" s="53" t="s">
        <v>62</v>
      </c>
      <c r="M636" s="73">
        <v>140000.0</v>
      </c>
      <c r="N636" s="83">
        <v>0.145</v>
      </c>
      <c r="O636" s="73">
        <v>478800.0</v>
      </c>
      <c r="P636" s="46" t="str">
        <f t="shared" si="2"/>
        <v>Rp140,000-4 LSN-14.50%</v>
      </c>
      <c r="Q636" s="75">
        <v>45409.0</v>
      </c>
      <c r="R636" s="76"/>
      <c r="S636" s="75">
        <v>45419.0</v>
      </c>
      <c r="T636" s="49"/>
    </row>
    <row r="637">
      <c r="A637" s="82">
        <v>3895.0</v>
      </c>
      <c r="B637" s="69" t="s">
        <v>29</v>
      </c>
      <c r="C637" s="70" t="s">
        <v>845</v>
      </c>
      <c r="D637" s="69" t="s">
        <v>465</v>
      </c>
      <c r="E637" s="41" t="str">
        <f>IFERROR(__xludf.DUMMYFUNCTION("vlookup(D637,IMPORTRANGE(""https://docs.google.com/spreadsheets/d/1swGwZOEqYlTEUCJLY-eeJM1911Kvaei5oySBIxdgtNo/edit?pli=1#gid=257618397"",""stock untanna!B:C""),2,false)"),"TIPEX KERTAS 8525")</f>
        <v>TIPEX KERTAS 8525</v>
      </c>
      <c r="F637" s="70" t="s">
        <v>465</v>
      </c>
      <c r="G637" s="71" t="s">
        <v>466</v>
      </c>
      <c r="H637" s="41"/>
      <c r="I637" s="42"/>
      <c r="J637" s="43" t="str">
        <f t="shared" si="1"/>
        <v>ADA</v>
      </c>
      <c r="K637" s="72">
        <v>4.0</v>
      </c>
      <c r="L637" s="53" t="s">
        <v>62</v>
      </c>
      <c r="M637" s="73">
        <v>140000.0</v>
      </c>
      <c r="N637" s="83">
        <v>0.145</v>
      </c>
      <c r="O637" s="73">
        <v>478800.0</v>
      </c>
      <c r="P637" s="46" t="str">
        <f t="shared" si="2"/>
        <v>Rp140,000-4 LSN-14.50%</v>
      </c>
      <c r="Q637" s="75">
        <v>45409.0</v>
      </c>
      <c r="R637" s="76"/>
      <c r="S637" s="75">
        <v>45419.0</v>
      </c>
      <c r="T637" s="49"/>
    </row>
    <row r="638">
      <c r="A638" s="82">
        <v>3895.0</v>
      </c>
      <c r="B638" s="69" t="s">
        <v>29</v>
      </c>
      <c r="C638" s="70" t="s">
        <v>845</v>
      </c>
      <c r="D638" s="69" t="s">
        <v>118</v>
      </c>
      <c r="E638" s="41" t="str">
        <f>IFERROR(__xludf.DUMMYFUNCTION("vlookup(D638,IMPORTRANGE(""https://docs.google.com/spreadsheets/d/1swGwZOEqYlTEUCJLY-eeJM1911Kvaei5oySBIxdgtNo/edit?pli=1#gid=257618397"",""stock untanna!B:C""),2,false)"),"TIPEX KERTAS NO.9443")</f>
        <v>TIPEX KERTAS NO.9443</v>
      </c>
      <c r="F638" s="70" t="s">
        <v>118</v>
      </c>
      <c r="G638" s="71" t="s">
        <v>119</v>
      </c>
      <c r="H638" s="41"/>
      <c r="I638" s="42"/>
      <c r="J638" s="43" t="str">
        <f t="shared" si="1"/>
        <v>ADA</v>
      </c>
      <c r="K638" s="72">
        <v>4.0</v>
      </c>
      <c r="L638" s="53" t="s">
        <v>62</v>
      </c>
      <c r="M638" s="73">
        <v>60000.0</v>
      </c>
      <c r="N638" s="83">
        <v>0.145</v>
      </c>
      <c r="O638" s="73">
        <v>205200.0</v>
      </c>
      <c r="P638" s="46" t="str">
        <f t="shared" si="2"/>
        <v>Rp60,000-4 LSN-14.50%</v>
      </c>
      <c r="Q638" s="75">
        <v>45409.0</v>
      </c>
      <c r="R638" s="76"/>
      <c r="S638" s="75">
        <v>45419.0</v>
      </c>
      <c r="T638" s="49"/>
    </row>
    <row r="639">
      <c r="A639" s="82">
        <v>3895.0</v>
      </c>
      <c r="B639" s="69" t="s">
        <v>29</v>
      </c>
      <c r="C639" s="70" t="s">
        <v>845</v>
      </c>
      <c r="D639" s="69" t="s">
        <v>1027</v>
      </c>
      <c r="E639" s="41" t="str">
        <f>IFERROR(__xludf.DUMMYFUNCTION("vlookup(D639,IMPORTRANGE(""https://docs.google.com/spreadsheets/d/1swGwZOEqYlTEUCJLY-eeJM1911Kvaei5oySBIxdgtNo/edit?pli=1#gid=257618397"",""stock untanna!B:C""),2,false)"),"TIPEX KERTAS 8538")</f>
        <v>TIPEX KERTAS 8538</v>
      </c>
      <c r="F639" s="70" t="s">
        <v>1027</v>
      </c>
      <c r="G639" s="71" t="s">
        <v>1028</v>
      </c>
      <c r="H639" s="41"/>
      <c r="I639" s="42"/>
      <c r="J639" s="43" t="str">
        <f t="shared" si="1"/>
        <v>ADA</v>
      </c>
      <c r="K639" s="72">
        <v>4.0</v>
      </c>
      <c r="L639" s="53" t="s">
        <v>62</v>
      </c>
      <c r="M639" s="73">
        <v>140000.0</v>
      </c>
      <c r="N639" s="83">
        <v>0.145</v>
      </c>
      <c r="O639" s="73">
        <v>478800.0</v>
      </c>
      <c r="P639" s="46" t="str">
        <f t="shared" si="2"/>
        <v>Rp140,000-4 LSN-14.50%</v>
      </c>
      <c r="Q639" s="75">
        <v>45409.0</v>
      </c>
      <c r="R639" s="76"/>
      <c r="S639" s="75">
        <v>45419.0</v>
      </c>
      <c r="T639" s="49"/>
    </row>
    <row r="640">
      <c r="A640" s="82">
        <v>3895.0</v>
      </c>
      <c r="B640" s="69" t="s">
        <v>29</v>
      </c>
      <c r="C640" s="70" t="s">
        <v>845</v>
      </c>
      <c r="D640" s="69" t="s">
        <v>757</v>
      </c>
      <c r="E640" s="41" t="str">
        <f>IFERROR(__xludf.DUMMYFUNCTION("vlookup(D640,IMPORTRANGE(""https://docs.google.com/spreadsheets/d/1swGwZOEqYlTEUCJLY-eeJM1911Kvaei5oySBIxdgtNo/edit?pli=1#gid=257618397"",""stock untanna!B:C""),2,false)"),"TIPEX MICROTOP MT 737")</f>
        <v>TIPEX MICROTOP MT 737</v>
      </c>
      <c r="F640" s="70" t="s">
        <v>757</v>
      </c>
      <c r="G640" s="71" t="s">
        <v>758</v>
      </c>
      <c r="H640" s="41"/>
      <c r="I640" s="42"/>
      <c r="J640" s="43" t="str">
        <f t="shared" si="1"/>
        <v>ADA</v>
      </c>
      <c r="K640" s="72">
        <v>2.0</v>
      </c>
      <c r="L640" s="53" t="s">
        <v>62</v>
      </c>
      <c r="M640" s="73">
        <v>105000.0</v>
      </c>
      <c r="N640" s="83">
        <v>0.145</v>
      </c>
      <c r="O640" s="73">
        <v>179550.0</v>
      </c>
      <c r="P640" s="46" t="str">
        <f t="shared" si="2"/>
        <v>Rp105,000-2 LSN-14.50%</v>
      </c>
      <c r="Q640" s="75">
        <v>45409.0</v>
      </c>
      <c r="R640" s="76"/>
      <c r="S640" s="75">
        <v>45419.0</v>
      </c>
      <c r="T640" s="49"/>
    </row>
    <row r="641">
      <c r="A641" s="82">
        <v>3895.0</v>
      </c>
      <c r="B641" s="69" t="s">
        <v>29</v>
      </c>
      <c r="C641" s="70" t="s">
        <v>845</v>
      </c>
      <c r="D641" s="69" t="s">
        <v>1029</v>
      </c>
      <c r="E641" s="41" t="str">
        <f>IFERROR(__xludf.DUMMYFUNCTION("vlookup(D641,IMPORTRANGE(""https://docs.google.com/spreadsheets/d/1swGwZOEqYlTEUCJLY-eeJM1911Kvaei5oySBIxdgtNo/edit?pli=1#gid=257618397"",""stock untanna!B:C""),2,false)"),"TIPEX KERTAS NO.5026")</f>
        <v>TIPEX KERTAS NO.5026</v>
      </c>
      <c r="F641" s="70" t="s">
        <v>1029</v>
      </c>
      <c r="G641" s="71" t="s">
        <v>1030</v>
      </c>
      <c r="H641" s="41"/>
      <c r="I641" s="42"/>
      <c r="J641" s="43" t="str">
        <f t="shared" si="1"/>
        <v>ADA</v>
      </c>
      <c r="K641" s="72">
        <v>4.0</v>
      </c>
      <c r="L641" s="53" t="s">
        <v>62</v>
      </c>
      <c r="M641" s="73">
        <v>57500.0</v>
      </c>
      <c r="N641" s="83">
        <v>0.145</v>
      </c>
      <c r="O641" s="73">
        <v>196650.0</v>
      </c>
      <c r="P641" s="46" t="str">
        <f t="shared" si="2"/>
        <v>Rp57,500-4 LSN-14.50%</v>
      </c>
      <c r="Q641" s="75">
        <v>45409.0</v>
      </c>
      <c r="R641" s="76"/>
      <c r="S641" s="75">
        <v>45419.0</v>
      </c>
      <c r="T641" s="49"/>
    </row>
    <row r="642">
      <c r="A642" s="82">
        <v>3895.0</v>
      </c>
      <c r="B642" s="69" t="s">
        <v>29</v>
      </c>
      <c r="C642" s="70" t="s">
        <v>845</v>
      </c>
      <c r="D642" s="69" t="s">
        <v>1031</v>
      </c>
      <c r="E642" s="41" t="str">
        <f>IFERROR(__xludf.DUMMYFUNCTION("vlookup(D642,IMPORTRANGE(""https://docs.google.com/spreadsheets/d/1swGwZOEqYlTEUCJLY-eeJM1911Kvaei5oySBIxdgtNo/edit?pli=1#gid=257618397"",""stock untanna!B:C""),2,false)"),"TIPEX KERTAS NO.8017")</f>
        <v>TIPEX KERTAS NO.8017</v>
      </c>
      <c r="F642" s="70" t="s">
        <v>1031</v>
      </c>
      <c r="G642" s="71" t="s">
        <v>1032</v>
      </c>
      <c r="H642" s="41"/>
      <c r="I642" s="42"/>
      <c r="J642" s="43" t="str">
        <f t="shared" si="1"/>
        <v>ADA</v>
      </c>
      <c r="K642" s="72">
        <v>4.0</v>
      </c>
      <c r="L642" s="53" t="s">
        <v>62</v>
      </c>
      <c r="M642" s="73">
        <v>140000.0</v>
      </c>
      <c r="N642" s="83">
        <v>0.145</v>
      </c>
      <c r="O642" s="73">
        <v>478800.0</v>
      </c>
      <c r="P642" s="46" t="str">
        <f t="shared" si="2"/>
        <v>Rp140,000-4 LSN-14.50%</v>
      </c>
      <c r="Q642" s="75">
        <v>45409.0</v>
      </c>
      <c r="R642" s="76"/>
      <c r="S642" s="75">
        <v>45419.0</v>
      </c>
      <c r="T642" s="49"/>
    </row>
    <row r="643">
      <c r="A643" s="82">
        <v>3895.0</v>
      </c>
      <c r="B643" s="69" t="s">
        <v>29</v>
      </c>
      <c r="C643" s="70" t="s">
        <v>845</v>
      </c>
      <c r="D643" s="50" t="s">
        <v>1033</v>
      </c>
      <c r="E643" s="41" t="s">
        <v>1034</v>
      </c>
      <c r="F643" s="70"/>
      <c r="G643" s="71" t="s">
        <v>1034</v>
      </c>
      <c r="H643" s="41"/>
      <c r="I643" s="42"/>
      <c r="J643" s="43" t="str">
        <f t="shared" si="1"/>
        <v>ADA</v>
      </c>
      <c r="K643" s="72">
        <v>8.0</v>
      </c>
      <c r="L643" s="53" t="s">
        <v>62</v>
      </c>
      <c r="M643" s="73">
        <v>47500.0</v>
      </c>
      <c r="N643" s="83">
        <v>0.145</v>
      </c>
      <c r="O643" s="73">
        <v>324900.0</v>
      </c>
      <c r="P643" s="46" t="str">
        <f t="shared" si="2"/>
        <v>Rp47,500-8 LSN-14.50%</v>
      </c>
      <c r="Q643" s="75">
        <v>45409.0</v>
      </c>
      <c r="R643" s="76"/>
      <c r="S643" s="75">
        <v>45419.0</v>
      </c>
      <c r="T643" s="80"/>
    </row>
    <row r="644">
      <c r="A644" s="82">
        <v>3895.0</v>
      </c>
      <c r="B644" s="69" t="s">
        <v>29</v>
      </c>
      <c r="C644" s="70" t="s">
        <v>845</v>
      </c>
      <c r="D644" s="69" t="s">
        <v>1035</v>
      </c>
      <c r="E644" s="41" t="str">
        <f>IFERROR(__xludf.DUMMYFUNCTION("vlookup(D644,IMPORTRANGE(""https://docs.google.com/spreadsheets/d/1swGwZOEqYlTEUCJLY-eeJM1911Kvaei5oySBIxdgtNo/edit?pli=1#gid=257618397"",""stock untanna!B:C""),2,false)"),"TIPEX KERTAS NO.8527")</f>
        <v>TIPEX KERTAS NO.8527</v>
      </c>
      <c r="F644" s="70" t="s">
        <v>1035</v>
      </c>
      <c r="G644" s="71" t="s">
        <v>1036</v>
      </c>
      <c r="H644" s="41"/>
      <c r="I644" s="42"/>
      <c r="J644" s="43" t="str">
        <f t="shared" si="1"/>
        <v>ADA</v>
      </c>
      <c r="K644" s="72">
        <v>4.0</v>
      </c>
      <c r="L644" s="53" t="s">
        <v>62</v>
      </c>
      <c r="M644" s="73">
        <v>140000.0</v>
      </c>
      <c r="N644" s="83">
        <v>0.145</v>
      </c>
      <c r="O644" s="73">
        <v>478800.0</v>
      </c>
      <c r="P644" s="46" t="str">
        <f t="shared" si="2"/>
        <v>Rp140,000-4 LSN-14.50%</v>
      </c>
      <c r="Q644" s="75">
        <v>45409.0</v>
      </c>
      <c r="R644" s="76"/>
      <c r="S644" s="75">
        <v>45419.0</v>
      </c>
      <c r="T644" s="49"/>
    </row>
    <row r="645">
      <c r="A645" s="82">
        <v>3895.0</v>
      </c>
      <c r="B645" s="69" t="s">
        <v>29</v>
      </c>
      <c r="C645" s="70" t="s">
        <v>845</v>
      </c>
      <c r="D645" s="69" t="s">
        <v>1037</v>
      </c>
      <c r="E645" s="41" t="str">
        <f>IFERROR(__xludf.DUMMYFUNCTION("vlookup(D645,IMPORTRANGE(""https://docs.google.com/spreadsheets/d/1swGwZOEqYlTEUCJLY-eeJM1911Kvaei5oySBIxdgtNo/edit?pli=1#gid=257618397"",""stock untanna!B:C""),2,false)"),"TIPEX KERTAS 9458")</f>
        <v>TIPEX KERTAS 9458</v>
      </c>
      <c r="F645" s="70" t="s">
        <v>1037</v>
      </c>
      <c r="G645" s="71" t="s">
        <v>1038</v>
      </c>
      <c r="H645" s="41"/>
      <c r="I645" s="42"/>
      <c r="J645" s="43" t="str">
        <f t="shared" si="1"/>
        <v>ADA</v>
      </c>
      <c r="K645" s="72">
        <v>4.0</v>
      </c>
      <c r="L645" s="53" t="s">
        <v>62</v>
      </c>
      <c r="M645" s="73">
        <v>60000.0</v>
      </c>
      <c r="N645" s="83">
        <v>0.145</v>
      </c>
      <c r="O645" s="73">
        <v>205200.0</v>
      </c>
      <c r="P645" s="46" t="str">
        <f t="shared" si="2"/>
        <v>Rp60,000-4 LSN-14.50%</v>
      </c>
      <c r="Q645" s="75">
        <v>45409.0</v>
      </c>
      <c r="R645" s="76"/>
      <c r="S645" s="75">
        <v>45419.0</v>
      </c>
      <c r="T645" s="49"/>
    </row>
    <row r="646">
      <c r="A646" s="82">
        <v>3895.0</v>
      </c>
      <c r="B646" s="69" t="s">
        <v>29</v>
      </c>
      <c r="C646" s="70" t="s">
        <v>845</v>
      </c>
      <c r="D646" s="69" t="s">
        <v>1039</v>
      </c>
      <c r="E646" s="41" t="str">
        <f>IFERROR(__xludf.DUMMYFUNCTION("vlookup(D646,IMPORTRANGE(""https://docs.google.com/spreadsheets/d/1swGwZOEqYlTEUCJLY-eeJM1911Kvaei5oySBIxdgtNo/edit?pli=1#gid=257618397"",""stock untanna!B:C""),2,false)"),"TIPEX KERTAS NO.5031")</f>
        <v>TIPEX KERTAS NO.5031</v>
      </c>
      <c r="F646" s="70" t="s">
        <v>1039</v>
      </c>
      <c r="G646" s="71" t="s">
        <v>1040</v>
      </c>
      <c r="H646" s="41"/>
      <c r="I646" s="42"/>
      <c r="J646" s="43" t="str">
        <f t="shared" si="1"/>
        <v>ADA</v>
      </c>
      <c r="K646" s="72">
        <v>4.0</v>
      </c>
      <c r="L646" s="53" t="s">
        <v>62</v>
      </c>
      <c r="M646" s="73">
        <v>57500.0</v>
      </c>
      <c r="N646" s="83">
        <v>0.145</v>
      </c>
      <c r="O646" s="73">
        <v>196650.0</v>
      </c>
      <c r="P646" s="46" t="str">
        <f t="shared" si="2"/>
        <v>Rp57,500-4 LSN-14.50%</v>
      </c>
      <c r="Q646" s="75">
        <v>45409.0</v>
      </c>
      <c r="R646" s="76"/>
      <c r="S646" s="75">
        <v>45419.0</v>
      </c>
      <c r="T646" s="49"/>
    </row>
    <row r="647">
      <c r="A647" s="82">
        <v>3895.0</v>
      </c>
      <c r="B647" s="69" t="s">
        <v>29</v>
      </c>
      <c r="C647" s="70" t="s">
        <v>845</v>
      </c>
      <c r="D647" s="69" t="s">
        <v>1041</v>
      </c>
      <c r="E647" s="41" t="str">
        <f>IFERROR(__xludf.DUMMYFUNCTION("vlookup(D647,IMPORTRANGE(""https://docs.google.com/spreadsheets/d/1swGwZOEqYlTEUCJLY-eeJM1911Kvaei5oySBIxdgtNo/edit?pli=1#gid=257618397"",""stock untanna!B:C""),2,false)"),"TIPEX KERTAS NO.5039")</f>
        <v>TIPEX KERTAS NO.5039</v>
      </c>
      <c r="F647" s="70" t="s">
        <v>1041</v>
      </c>
      <c r="G647" s="71" t="s">
        <v>1042</v>
      </c>
      <c r="H647" s="41"/>
      <c r="I647" s="42"/>
      <c r="J647" s="43" t="str">
        <f t="shared" si="1"/>
        <v>ADA</v>
      </c>
      <c r="K647" s="72">
        <v>4.0</v>
      </c>
      <c r="L647" s="53" t="s">
        <v>62</v>
      </c>
      <c r="M647" s="73">
        <v>57500.0</v>
      </c>
      <c r="N647" s="83">
        <v>0.145</v>
      </c>
      <c r="O647" s="73">
        <v>196650.0</v>
      </c>
      <c r="P647" s="46" t="str">
        <f t="shared" si="2"/>
        <v>Rp57,500-4 LSN-14.50%</v>
      </c>
      <c r="Q647" s="75">
        <v>45409.0</v>
      </c>
      <c r="R647" s="76"/>
      <c r="S647" s="75">
        <v>45419.0</v>
      </c>
      <c r="T647" s="49"/>
    </row>
    <row r="648">
      <c r="A648" s="82">
        <v>3895.0</v>
      </c>
      <c r="B648" s="69" t="s">
        <v>29</v>
      </c>
      <c r="C648" s="70" t="s">
        <v>845</v>
      </c>
      <c r="D648" s="69" t="s">
        <v>1043</v>
      </c>
      <c r="E648" s="41" t="str">
        <f>IFERROR(__xludf.DUMMYFUNCTION("vlookup(D648,IMPORTRANGE(""https://docs.google.com/spreadsheets/d/1swGwZOEqYlTEUCJLY-eeJM1911Kvaei5oySBIxdgtNo/edit?pli=1#gid=257618397"",""stock untanna!B:C""),2,false)"),"TIPEX KERTAS NO.6080")</f>
        <v>TIPEX KERTAS NO.6080</v>
      </c>
      <c r="F648" s="70" t="s">
        <v>1043</v>
      </c>
      <c r="G648" s="71" t="s">
        <v>1044</v>
      </c>
      <c r="H648" s="41"/>
      <c r="I648" s="42"/>
      <c r="J648" s="43" t="str">
        <f t="shared" si="1"/>
        <v>ADA</v>
      </c>
      <c r="K648" s="72">
        <v>4.0</v>
      </c>
      <c r="L648" s="53" t="s">
        <v>62</v>
      </c>
      <c r="M648" s="73">
        <v>60000.0</v>
      </c>
      <c r="N648" s="83">
        <v>0.145</v>
      </c>
      <c r="O648" s="73">
        <v>205200.0</v>
      </c>
      <c r="P648" s="46" t="str">
        <f t="shared" si="2"/>
        <v>Rp60,000-4 LSN-14.50%</v>
      </c>
      <c r="Q648" s="75">
        <v>45409.0</v>
      </c>
      <c r="R648" s="76"/>
      <c r="S648" s="75">
        <v>45419.0</v>
      </c>
      <c r="T648" s="49"/>
    </row>
    <row r="649">
      <c r="A649" s="82">
        <v>3897.0</v>
      </c>
      <c r="B649" s="69" t="s">
        <v>29</v>
      </c>
      <c r="C649" s="70" t="s">
        <v>845</v>
      </c>
      <c r="D649" s="69"/>
      <c r="E649" s="41" t="s">
        <v>1045</v>
      </c>
      <c r="F649" s="70"/>
      <c r="G649" s="71" t="s">
        <v>1045</v>
      </c>
      <c r="H649" s="41"/>
      <c r="I649" s="42"/>
      <c r="J649" s="43" t="str">
        <f t="shared" si="1"/>
        <v>TIDAK ADA</v>
      </c>
      <c r="K649" s="72">
        <v>2.0</v>
      </c>
      <c r="L649" s="53" t="s">
        <v>62</v>
      </c>
      <c r="M649" s="73">
        <v>175000.0</v>
      </c>
      <c r="N649" s="83">
        <v>0.145</v>
      </c>
      <c r="O649" s="73">
        <v>299250.0</v>
      </c>
      <c r="P649" s="46" t="str">
        <f t="shared" si="2"/>
        <v>Rp175,000-2 LSN-14.50%</v>
      </c>
      <c r="Q649" s="75">
        <v>45409.0</v>
      </c>
      <c r="R649" s="76"/>
      <c r="S649" s="75">
        <v>45419.0</v>
      </c>
      <c r="T649" s="49"/>
    </row>
    <row r="650">
      <c r="A650" s="82">
        <v>3897.0</v>
      </c>
      <c r="B650" s="69" t="s">
        <v>29</v>
      </c>
      <c r="C650" s="70" t="s">
        <v>845</v>
      </c>
      <c r="D650" s="69"/>
      <c r="E650" s="41" t="s">
        <v>1046</v>
      </c>
      <c r="F650" s="70"/>
      <c r="G650" s="71" t="s">
        <v>1046</v>
      </c>
      <c r="H650" s="41"/>
      <c r="I650" s="42"/>
      <c r="J650" s="43" t="str">
        <f t="shared" si="1"/>
        <v>TIDAK ADA</v>
      </c>
      <c r="K650" s="72">
        <v>0.66667</v>
      </c>
      <c r="L650" s="53" t="s">
        <v>62</v>
      </c>
      <c r="M650" s="73">
        <v>175000.0</v>
      </c>
      <c r="N650" s="83">
        <v>0.145</v>
      </c>
      <c r="O650" s="73">
        <v>99750.49875</v>
      </c>
      <c r="P650" s="46" t="str">
        <f t="shared" si="2"/>
        <v>Rp175,000-0.66667 LSN-14.50%</v>
      </c>
      <c r="Q650" s="75">
        <v>45409.0</v>
      </c>
      <c r="R650" s="76"/>
      <c r="S650" s="75">
        <v>45419.0</v>
      </c>
      <c r="T650" s="49"/>
    </row>
    <row r="651">
      <c r="A651" s="82">
        <v>3897.0</v>
      </c>
      <c r="B651" s="69" t="s">
        <v>29</v>
      </c>
      <c r="C651" s="70" t="s">
        <v>845</v>
      </c>
      <c r="D651" s="69" t="s">
        <v>1047</v>
      </c>
      <c r="E651" s="41" t="str">
        <f>IFERROR(__xludf.DUMMYFUNCTION("vlookup(D651,IMPORTRANGE(""https://docs.google.com/spreadsheets/d/1swGwZOEqYlTEUCJLY-eeJM1911Kvaei5oySBIxdgtNo/edit?pli=1#gid=257618397"",""stock untanna!B:C""),2,false)"),"PENSIL CASE 5871")</f>
        <v>PENSIL CASE 5871</v>
      </c>
      <c r="F651" s="70" t="s">
        <v>1047</v>
      </c>
      <c r="G651" s="71" t="s">
        <v>1048</v>
      </c>
      <c r="H651" s="41"/>
      <c r="I651" s="42"/>
      <c r="J651" s="43" t="str">
        <f t="shared" si="1"/>
        <v>ADA</v>
      </c>
      <c r="K651" s="72">
        <v>24.0</v>
      </c>
      <c r="L651" s="53" t="s">
        <v>69</v>
      </c>
      <c r="M651" s="73">
        <v>29167.0</v>
      </c>
      <c r="N651" s="83">
        <v>0.145</v>
      </c>
      <c r="O651" s="73">
        <v>598506.84</v>
      </c>
      <c r="P651" s="46" t="str">
        <f t="shared" si="2"/>
        <v>Rp29,167-24 PCS-14.50%</v>
      </c>
      <c r="Q651" s="75">
        <v>45409.0</v>
      </c>
      <c r="R651" s="76"/>
      <c r="S651" s="75">
        <v>45419.0</v>
      </c>
      <c r="T651" s="49"/>
    </row>
    <row r="652">
      <c r="A652" s="82">
        <v>3897.0</v>
      </c>
      <c r="B652" s="69" t="s">
        <v>29</v>
      </c>
      <c r="C652" s="70" t="s">
        <v>845</v>
      </c>
      <c r="D652" s="69"/>
      <c r="E652" s="41" t="s">
        <v>1049</v>
      </c>
      <c r="F652" s="70"/>
      <c r="G652" s="71" t="s">
        <v>1049</v>
      </c>
      <c r="H652" s="41"/>
      <c r="I652" s="42"/>
      <c r="J652" s="43" t="str">
        <f t="shared" si="1"/>
        <v>TIDAK ADA</v>
      </c>
      <c r="K652" s="72">
        <v>2.0</v>
      </c>
      <c r="L652" s="53" t="s">
        <v>62</v>
      </c>
      <c r="M652" s="73">
        <v>360000.0</v>
      </c>
      <c r="N652" s="83">
        <v>0.145</v>
      </c>
      <c r="O652" s="73">
        <v>615600.0</v>
      </c>
      <c r="P652" s="46" t="str">
        <f t="shared" si="2"/>
        <v>Rp360,000-2 LSN-14.50%</v>
      </c>
      <c r="Q652" s="75">
        <v>45409.0</v>
      </c>
      <c r="R652" s="76"/>
      <c r="S652" s="75">
        <v>45419.0</v>
      </c>
      <c r="T652" s="80" t="s">
        <v>280</v>
      </c>
    </row>
    <row r="653">
      <c r="A653" s="82">
        <v>3897.0</v>
      </c>
      <c r="B653" s="69" t="s">
        <v>29</v>
      </c>
      <c r="C653" s="70" t="s">
        <v>845</v>
      </c>
      <c r="D653" s="69" t="s">
        <v>1050</v>
      </c>
      <c r="E653" s="41" t="str">
        <f>IFERROR(__xludf.DUMMYFUNCTION("vlookup(D653,IMPORTRANGE(""https://docs.google.com/spreadsheets/d/1swGwZOEqYlTEUCJLY-eeJM1911Kvaei5oySBIxdgtNo/edit?pli=1#gid=257618397"",""stock untanna!B:C""),2,false)"),"PENSIL CASE SH-8602")</f>
        <v>PENSIL CASE SH-8602</v>
      </c>
      <c r="F653" s="70" t="s">
        <v>1050</v>
      </c>
      <c r="G653" s="71" t="s">
        <v>1051</v>
      </c>
      <c r="H653" s="41"/>
      <c r="I653" s="42"/>
      <c r="J653" s="43" t="str">
        <f t="shared" si="1"/>
        <v>ADA</v>
      </c>
      <c r="K653" s="72">
        <v>24.0</v>
      </c>
      <c r="L653" s="53" t="s">
        <v>69</v>
      </c>
      <c r="M653" s="73">
        <v>33333.0</v>
      </c>
      <c r="N653" s="83">
        <v>0.145</v>
      </c>
      <c r="O653" s="73">
        <v>683993.16</v>
      </c>
      <c r="P653" s="46" t="str">
        <f t="shared" si="2"/>
        <v>Rp33,333-24 PCS-14.50%</v>
      </c>
      <c r="Q653" s="75">
        <v>45409.0</v>
      </c>
      <c r="R653" s="76"/>
      <c r="S653" s="75">
        <v>45419.0</v>
      </c>
      <c r="T653" s="49"/>
    </row>
    <row r="654">
      <c r="A654" s="82">
        <v>3897.0</v>
      </c>
      <c r="B654" s="69" t="s">
        <v>29</v>
      </c>
      <c r="C654" s="70" t="s">
        <v>845</v>
      </c>
      <c r="D654" s="69" t="s">
        <v>1052</v>
      </c>
      <c r="E654" s="41" t="str">
        <f>IFERROR(__xludf.DUMMYFUNCTION("vlookup(D654,IMPORTRANGE(""https://docs.google.com/spreadsheets/d/1swGwZOEqYlTEUCJLY-eeJM1911Kvaei5oySBIxdgtNo/edit?pli=1#gid=257618397"",""stock untanna!B:C""),2,false)"),"PENSIL CASE SH-8604")</f>
        <v>PENSIL CASE SH-8604</v>
      </c>
      <c r="F654" s="70" t="s">
        <v>1052</v>
      </c>
      <c r="G654" s="71" t="s">
        <v>1053</v>
      </c>
      <c r="H654" s="41"/>
      <c r="I654" s="42"/>
      <c r="J654" s="43" t="str">
        <f t="shared" si="1"/>
        <v>ADA</v>
      </c>
      <c r="K654" s="72">
        <v>6.0</v>
      </c>
      <c r="L654" s="53" t="s">
        <v>69</v>
      </c>
      <c r="M654" s="73">
        <v>33333.0</v>
      </c>
      <c r="N654" s="83">
        <v>0.145</v>
      </c>
      <c r="O654" s="73">
        <v>170998.29</v>
      </c>
      <c r="P654" s="46" t="str">
        <f t="shared" si="2"/>
        <v>Rp33,333-6 PCS-14.50%</v>
      </c>
      <c r="Q654" s="75">
        <v>45409.0</v>
      </c>
      <c r="R654" s="76"/>
      <c r="S654" s="75">
        <v>45419.0</v>
      </c>
      <c r="T654" s="49"/>
    </row>
    <row r="655">
      <c r="A655" s="82">
        <v>3897.0</v>
      </c>
      <c r="B655" s="69" t="s">
        <v>29</v>
      </c>
      <c r="C655" s="70" t="s">
        <v>845</v>
      </c>
      <c r="D655" s="69" t="s">
        <v>1054</v>
      </c>
      <c r="E655" s="41" t="str">
        <f>IFERROR(__xludf.DUMMYFUNCTION("vlookup(D655,IMPORTRANGE(""https://docs.google.com/spreadsheets/d/1swGwZOEqYlTEUCJLY-eeJM1911Kvaei5oySBIxdgtNo/edit?pli=1#gid=257618397"",""stock untanna!B:C""),2,false)"),"PENSIL CASE SH-8603")</f>
        <v>PENSIL CASE SH-8603</v>
      </c>
      <c r="F655" s="70" t="s">
        <v>1054</v>
      </c>
      <c r="G655" s="71" t="s">
        <v>1055</v>
      </c>
      <c r="H655" s="41"/>
      <c r="I655" s="42"/>
      <c r="J655" s="43" t="str">
        <f t="shared" si="1"/>
        <v>ADA</v>
      </c>
      <c r="K655" s="72">
        <v>24.0</v>
      </c>
      <c r="L655" s="53" t="s">
        <v>69</v>
      </c>
      <c r="M655" s="73">
        <v>33333.0</v>
      </c>
      <c r="N655" s="83">
        <v>0.145</v>
      </c>
      <c r="O655" s="73">
        <v>683993.16</v>
      </c>
      <c r="P655" s="46" t="str">
        <f t="shared" si="2"/>
        <v>Rp33,333-24 PCS-14.50%</v>
      </c>
      <c r="Q655" s="75">
        <v>45409.0</v>
      </c>
      <c r="R655" s="76"/>
      <c r="S655" s="75">
        <v>45419.0</v>
      </c>
      <c r="T655" s="49"/>
    </row>
    <row r="656">
      <c r="A656" s="82">
        <v>3897.0</v>
      </c>
      <c r="B656" s="69" t="s">
        <v>29</v>
      </c>
      <c r="C656" s="70" t="s">
        <v>845</v>
      </c>
      <c r="D656" s="69" t="s">
        <v>1056</v>
      </c>
      <c r="E656" s="41" t="str">
        <f>IFERROR(__xludf.DUMMYFUNCTION("vlookup(D656,IMPORTRANGE(""https://docs.google.com/spreadsheets/d/1swGwZOEqYlTEUCJLY-eeJM1911Kvaei5oySBIxdgtNo/edit?pli=1#gid=257618397"",""stock untanna!B:C""),2,false)"),"ASAHAN 344")</f>
        <v>ASAHAN 344</v>
      </c>
      <c r="F656" s="70" t="s">
        <v>1056</v>
      </c>
      <c r="G656" s="71" t="s">
        <v>1057</v>
      </c>
      <c r="H656" s="41"/>
      <c r="I656" s="42"/>
      <c r="J656" s="43" t="str">
        <f t="shared" si="1"/>
        <v>ADA</v>
      </c>
      <c r="K656" s="72">
        <v>6.0</v>
      </c>
      <c r="L656" s="53" t="s">
        <v>62</v>
      </c>
      <c r="M656" s="73">
        <v>30000.0</v>
      </c>
      <c r="N656" s="83">
        <v>0.145</v>
      </c>
      <c r="O656" s="73">
        <v>153900.0</v>
      </c>
      <c r="P656" s="46" t="str">
        <f t="shared" si="2"/>
        <v>Rp30,000-6 LSN-14.50%</v>
      </c>
      <c r="Q656" s="75">
        <v>45409.0</v>
      </c>
      <c r="R656" s="76"/>
      <c r="S656" s="75">
        <v>45419.0</v>
      </c>
      <c r="T656" s="49" t="s">
        <v>100</v>
      </c>
    </row>
    <row r="657">
      <c r="A657" s="82">
        <v>3897.0</v>
      </c>
      <c r="B657" s="69" t="s">
        <v>29</v>
      </c>
      <c r="C657" s="70" t="s">
        <v>845</v>
      </c>
      <c r="D657" s="69" t="s">
        <v>1058</v>
      </c>
      <c r="E657" s="41" t="str">
        <f>IFERROR(__xludf.DUMMYFUNCTION("vlookup(D657,IMPORTRANGE(""https://docs.google.com/spreadsheets/d/1swGwZOEqYlTEUCJLY-eeJM1911Kvaei5oySBIxdgtNo/edit?pli=1#gid=257618397"",""stock untanna!B:C""),2,false)"),"ASAHAN 371")</f>
        <v>ASAHAN 371</v>
      </c>
      <c r="F657" s="70" t="s">
        <v>1058</v>
      </c>
      <c r="G657" s="71" t="s">
        <v>1059</v>
      </c>
      <c r="H657" s="41"/>
      <c r="I657" s="42"/>
      <c r="J657" s="43" t="str">
        <f t="shared" si="1"/>
        <v>ADA</v>
      </c>
      <c r="K657" s="72">
        <v>72.0</v>
      </c>
      <c r="L657" s="53" t="s">
        <v>69</v>
      </c>
      <c r="M657" s="73">
        <v>2500.0</v>
      </c>
      <c r="N657" s="83">
        <v>0.145</v>
      </c>
      <c r="O657" s="73">
        <v>153900.0</v>
      </c>
      <c r="P657" s="46" t="str">
        <f t="shared" si="2"/>
        <v>Rp2,500-72 PCS-14.50%</v>
      </c>
      <c r="Q657" s="75">
        <v>45409.0</v>
      </c>
      <c r="R657" s="76"/>
      <c r="S657" s="75">
        <v>45419.0</v>
      </c>
      <c r="T657" s="49"/>
    </row>
    <row r="658">
      <c r="A658" s="82">
        <v>3897.0</v>
      </c>
      <c r="B658" s="69" t="s">
        <v>29</v>
      </c>
      <c r="C658" s="70" t="s">
        <v>845</v>
      </c>
      <c r="D658" s="69" t="s">
        <v>1060</v>
      </c>
      <c r="E658" s="41" t="str">
        <f>IFERROR(__xludf.DUMMYFUNCTION("vlookup(D658,IMPORTRANGE(""https://docs.google.com/spreadsheets/d/1swGwZOEqYlTEUCJLY-eeJM1911Kvaei5oySBIxdgtNo/edit?pli=1#gid=257618397"",""stock untanna!B:C""),2,false)"),"ASAHAN HIPPO X357")</f>
        <v>ASAHAN HIPPO X357</v>
      </c>
      <c r="F658" s="70" t="s">
        <v>1060</v>
      </c>
      <c r="G658" s="71" t="s">
        <v>1061</v>
      </c>
      <c r="H658" s="41"/>
      <c r="I658" s="42"/>
      <c r="J658" s="43" t="str">
        <f t="shared" si="1"/>
        <v>ADA</v>
      </c>
      <c r="K658" s="72">
        <v>3.0</v>
      </c>
      <c r="L658" s="53" t="s">
        <v>62</v>
      </c>
      <c r="M658" s="73">
        <v>30000.0</v>
      </c>
      <c r="N658" s="83">
        <v>0.145</v>
      </c>
      <c r="O658" s="73">
        <v>76950.0</v>
      </c>
      <c r="P658" s="46" t="str">
        <f t="shared" si="2"/>
        <v>Rp30,000-3 LSN-14.50%</v>
      </c>
      <c r="Q658" s="75">
        <v>45409.0</v>
      </c>
      <c r="R658" s="76"/>
      <c r="S658" s="75">
        <v>45419.0</v>
      </c>
      <c r="T658" s="49"/>
    </row>
    <row r="659">
      <c r="A659" s="82">
        <v>3897.0</v>
      </c>
      <c r="B659" s="69" t="s">
        <v>29</v>
      </c>
      <c r="C659" s="70" t="s">
        <v>845</v>
      </c>
      <c r="D659" s="50" t="s">
        <v>1062</v>
      </c>
      <c r="E659" s="41" t="str">
        <f>IFERROR(__xludf.DUMMYFUNCTION("vlookup(D659,IMPORTRANGE(""https://docs.google.com/spreadsheets/d/1swGwZOEqYlTEUCJLY-eeJM1911Kvaei5oySBIxdgtNo/edit?pli=1#gid=257618397"",""stock untanna!B:C""),2,false)"),"STUDY BOARD DJ3017")</f>
        <v>STUDY BOARD DJ3017</v>
      </c>
      <c r="F659" s="70" t="s">
        <v>1063</v>
      </c>
      <c r="G659" s="71" t="s">
        <v>1064</v>
      </c>
      <c r="H659" s="41"/>
      <c r="I659" s="42"/>
      <c r="J659" s="43" t="str">
        <f t="shared" si="1"/>
        <v>ADA</v>
      </c>
      <c r="K659" s="72">
        <v>12.0</v>
      </c>
      <c r="L659" s="53" t="s">
        <v>69</v>
      </c>
      <c r="M659" s="73">
        <v>27500.0</v>
      </c>
      <c r="N659" s="83">
        <v>0.145</v>
      </c>
      <c r="O659" s="73">
        <v>282150.0</v>
      </c>
      <c r="P659" s="46" t="str">
        <f t="shared" si="2"/>
        <v>Rp27,500-12 PCS-14.50%</v>
      </c>
      <c r="Q659" s="75">
        <v>45409.0</v>
      </c>
      <c r="R659" s="76"/>
      <c r="S659" s="75">
        <v>45419.0</v>
      </c>
      <c r="T659" s="49"/>
    </row>
    <row r="660">
      <c r="A660" s="82">
        <v>3897.0</v>
      </c>
      <c r="B660" s="69" t="s">
        <v>29</v>
      </c>
      <c r="C660" s="70" t="s">
        <v>845</v>
      </c>
      <c r="D660" s="50" t="s">
        <v>1065</v>
      </c>
      <c r="E660" s="41" t="str">
        <f>IFERROR(__xludf.DUMMYFUNCTION("vlookup(D660,IMPORTRANGE(""https://docs.google.com/spreadsheets/d/1swGwZOEqYlTEUCJLY-eeJM1911Kvaei5oySBIxdgtNo/edit?pli=1#gid=257618397"",""stock untanna!B:C""),2,false)"),"STUDY BOARD DJ3020")</f>
        <v>STUDY BOARD DJ3020</v>
      </c>
      <c r="F660" s="70" t="s">
        <v>1066</v>
      </c>
      <c r="G660" s="71" t="s">
        <v>1067</v>
      </c>
      <c r="H660" s="41"/>
      <c r="I660" s="42"/>
      <c r="J660" s="43" t="str">
        <f t="shared" si="1"/>
        <v>ADA</v>
      </c>
      <c r="K660" s="72">
        <v>12.0</v>
      </c>
      <c r="L660" s="53" t="s">
        <v>69</v>
      </c>
      <c r="M660" s="73">
        <v>27500.0</v>
      </c>
      <c r="N660" s="83">
        <v>0.145</v>
      </c>
      <c r="O660" s="73">
        <v>282150.0</v>
      </c>
      <c r="P660" s="46" t="str">
        <f t="shared" si="2"/>
        <v>Rp27,500-12 PCS-14.50%</v>
      </c>
      <c r="Q660" s="75">
        <v>45409.0</v>
      </c>
      <c r="R660" s="76"/>
      <c r="S660" s="75">
        <v>45419.0</v>
      </c>
      <c r="T660" s="49"/>
    </row>
    <row r="661">
      <c r="A661" s="82">
        <v>3897.0</v>
      </c>
      <c r="B661" s="69" t="s">
        <v>29</v>
      </c>
      <c r="C661" s="70" t="s">
        <v>845</v>
      </c>
      <c r="D661" s="69"/>
      <c r="E661" s="41" t="s">
        <v>1068</v>
      </c>
      <c r="F661" s="70"/>
      <c r="G661" s="71" t="s">
        <v>1068</v>
      </c>
      <c r="H661" s="41"/>
      <c r="I661" s="42"/>
      <c r="J661" s="43" t="str">
        <f t="shared" si="1"/>
        <v>TIDAK ADA</v>
      </c>
      <c r="K661" s="72">
        <v>1.0</v>
      </c>
      <c r="L661" s="53" t="s">
        <v>62</v>
      </c>
      <c r="M661" s="73">
        <v>300000.0</v>
      </c>
      <c r="N661" s="83">
        <v>0.145</v>
      </c>
      <c r="O661" s="73">
        <v>256500.0</v>
      </c>
      <c r="P661" s="46" t="str">
        <f t="shared" si="2"/>
        <v>Rp300,000-1 LSN-14.50%</v>
      </c>
      <c r="Q661" s="75">
        <v>45409.0</v>
      </c>
      <c r="R661" s="76"/>
      <c r="S661" s="75">
        <v>45419.0</v>
      </c>
      <c r="T661" s="49"/>
    </row>
    <row r="662">
      <c r="A662" s="82">
        <v>3897.0</v>
      </c>
      <c r="B662" s="69" t="s">
        <v>29</v>
      </c>
      <c r="C662" s="70" t="s">
        <v>845</v>
      </c>
      <c r="D662" s="69" t="s">
        <v>1069</v>
      </c>
      <c r="E662" s="41" t="str">
        <f>IFERROR(__xludf.DUMMYFUNCTION("vlookup(D662,IMPORTRANGE(""https://docs.google.com/spreadsheets/d/1swGwZOEqYlTEUCJLY-eeJM1911Kvaei5oySBIxdgtNo/edit?pli=1#gid=257618397"",""stock untanna!B:C""),2,false)"),"MAGIC BOARD TK 901")</f>
        <v>MAGIC BOARD TK 901</v>
      </c>
      <c r="F662" s="70" t="s">
        <v>1069</v>
      </c>
      <c r="G662" s="71" t="s">
        <v>1070</v>
      </c>
      <c r="H662" s="41"/>
      <c r="I662" s="42"/>
      <c r="J662" s="43" t="str">
        <f t="shared" si="1"/>
        <v>ADA</v>
      </c>
      <c r="K662" s="72">
        <v>12.0</v>
      </c>
      <c r="L662" s="53" t="s">
        <v>69</v>
      </c>
      <c r="M662" s="73">
        <v>17500.0</v>
      </c>
      <c r="N662" s="83">
        <v>0.145</v>
      </c>
      <c r="O662" s="73">
        <v>179550.0</v>
      </c>
      <c r="P662" s="46" t="str">
        <f t="shared" si="2"/>
        <v>Rp17,500-12 PCS-14.50%</v>
      </c>
      <c r="Q662" s="75">
        <v>45409.0</v>
      </c>
      <c r="R662" s="76"/>
      <c r="S662" s="75">
        <v>45419.0</v>
      </c>
      <c r="T662" s="49"/>
    </row>
    <row r="663">
      <c r="A663" s="82">
        <v>3897.0</v>
      </c>
      <c r="B663" s="69" t="s">
        <v>29</v>
      </c>
      <c r="C663" s="70" t="s">
        <v>845</v>
      </c>
      <c r="D663" s="69"/>
      <c r="E663" s="41" t="s">
        <v>1071</v>
      </c>
      <c r="F663" s="70"/>
      <c r="G663" s="71" t="s">
        <v>1071</v>
      </c>
      <c r="H663" s="41"/>
      <c r="I663" s="42"/>
      <c r="J663" s="43" t="str">
        <f t="shared" si="1"/>
        <v>TIDAK ADA</v>
      </c>
      <c r="K663" s="72">
        <v>20.0</v>
      </c>
      <c r="L663" s="53" t="s">
        <v>69</v>
      </c>
      <c r="M663" s="73">
        <v>3250.0</v>
      </c>
      <c r="N663" s="83">
        <v>0.145</v>
      </c>
      <c r="O663" s="73">
        <v>55575.0</v>
      </c>
      <c r="P663" s="46" t="str">
        <f t="shared" si="2"/>
        <v>Rp3,250-20 PCS-14.50%</v>
      </c>
      <c r="Q663" s="75">
        <v>45409.0</v>
      </c>
      <c r="R663" s="76"/>
      <c r="S663" s="75">
        <v>45419.0</v>
      </c>
      <c r="T663" s="49"/>
    </row>
    <row r="664">
      <c r="A664" s="82">
        <v>3897.0</v>
      </c>
      <c r="B664" s="69" t="s">
        <v>29</v>
      </c>
      <c r="C664" s="70" t="s">
        <v>845</v>
      </c>
      <c r="D664" s="69"/>
      <c r="E664" s="41" t="s">
        <v>1072</v>
      </c>
      <c r="F664" s="70"/>
      <c r="G664" s="71" t="s">
        <v>1072</v>
      </c>
      <c r="H664" s="41"/>
      <c r="I664" s="42"/>
      <c r="J664" s="43" t="str">
        <f t="shared" si="1"/>
        <v>TIDAK ADA</v>
      </c>
      <c r="K664" s="72">
        <v>2.0</v>
      </c>
      <c r="L664" s="53" t="s">
        <v>62</v>
      </c>
      <c r="M664" s="73">
        <v>15000.0</v>
      </c>
      <c r="N664" s="83">
        <v>0.145</v>
      </c>
      <c r="O664" s="73">
        <v>25650.0</v>
      </c>
      <c r="P664" s="46" t="str">
        <f t="shared" si="2"/>
        <v>Rp15,000-2 LSN-14.50%</v>
      </c>
      <c r="Q664" s="75">
        <v>45409.0</v>
      </c>
      <c r="R664" s="76"/>
      <c r="S664" s="75">
        <v>45419.0</v>
      </c>
      <c r="T664" s="49"/>
    </row>
    <row r="665">
      <c r="A665" s="82">
        <v>3898.0</v>
      </c>
      <c r="B665" s="69" t="s">
        <v>29</v>
      </c>
      <c r="C665" s="70" t="s">
        <v>845</v>
      </c>
      <c r="D665" s="69" t="s">
        <v>1073</v>
      </c>
      <c r="E665" s="41" t="str">
        <f>IFERROR(__xludf.DUMMYFUNCTION("vlookup(D665,IMPORTRANGE(""https://docs.google.com/spreadsheets/d/1swGwZOEqYlTEUCJLY-eeJM1911Kvaei5oySBIxdgtNo/edit?pli=1#gid=257618397"",""stock untanna!B:C""),2,false)"),"SEMPOA 8023")</f>
        <v>SEMPOA 8023</v>
      </c>
      <c r="F665" s="70" t="s">
        <v>1073</v>
      </c>
      <c r="G665" s="71" t="s">
        <v>1074</v>
      </c>
      <c r="H665" s="41"/>
      <c r="I665" s="42"/>
      <c r="J665" s="43" t="str">
        <f t="shared" si="1"/>
        <v>ADA</v>
      </c>
      <c r="K665" s="72">
        <v>1.0</v>
      </c>
      <c r="L665" s="53" t="s">
        <v>62</v>
      </c>
      <c r="M665" s="73">
        <v>135000.0</v>
      </c>
      <c r="N665" s="83">
        <v>0.145</v>
      </c>
      <c r="O665" s="73">
        <v>115425.0</v>
      </c>
      <c r="P665" s="46" t="str">
        <f t="shared" si="2"/>
        <v>Rp135,000-1 LSN-14.50%</v>
      </c>
      <c r="Q665" s="75">
        <v>45409.0</v>
      </c>
      <c r="R665" s="76"/>
      <c r="S665" s="75">
        <v>45419.0</v>
      </c>
      <c r="T665" s="49"/>
    </row>
    <row r="666">
      <c r="A666" s="82">
        <v>3898.0</v>
      </c>
      <c r="B666" s="69" t="s">
        <v>29</v>
      </c>
      <c r="C666" s="70" t="s">
        <v>845</v>
      </c>
      <c r="D666" s="69" t="s">
        <v>812</v>
      </c>
      <c r="E666" s="41" t="str">
        <f>IFERROR(__xludf.DUMMYFUNCTION("vlookup(D666,IMPORTRANGE(""https://docs.google.com/spreadsheets/d/1swGwZOEqYlTEUCJLY-eeJM1911Kvaei5oySBIxdgtNo/edit?pli=1#gid=257618397"",""stock untanna!B:C""),2,false)"),"SEMPOA 8025")</f>
        <v>SEMPOA 8025</v>
      </c>
      <c r="F666" s="70" t="s">
        <v>812</v>
      </c>
      <c r="G666" s="71" t="s">
        <v>813</v>
      </c>
      <c r="H666" s="41"/>
      <c r="I666" s="42"/>
      <c r="J666" s="43" t="str">
        <f t="shared" si="1"/>
        <v>ADA</v>
      </c>
      <c r="K666" s="72">
        <v>1.0</v>
      </c>
      <c r="L666" s="53" t="s">
        <v>62</v>
      </c>
      <c r="M666" s="73">
        <v>135000.0</v>
      </c>
      <c r="N666" s="83">
        <v>0.145</v>
      </c>
      <c r="O666" s="73">
        <v>115425.0</v>
      </c>
      <c r="P666" s="46" t="str">
        <f t="shared" si="2"/>
        <v>Rp135,000-1 LSN-14.50%</v>
      </c>
      <c r="Q666" s="75">
        <v>45409.0</v>
      </c>
      <c r="R666" s="76"/>
      <c r="S666" s="75">
        <v>45419.0</v>
      </c>
      <c r="T666" s="49"/>
    </row>
    <row r="667">
      <c r="A667" s="82">
        <v>3898.0</v>
      </c>
      <c r="B667" s="69" t="s">
        <v>29</v>
      </c>
      <c r="C667" s="70" t="s">
        <v>845</v>
      </c>
      <c r="D667" s="69" t="s">
        <v>1075</v>
      </c>
      <c r="E667" s="41" t="str">
        <f>IFERROR(__xludf.DUMMYFUNCTION("vlookup(D667,IMPORTRANGE(""https://docs.google.com/spreadsheets/d/1swGwZOEqYlTEUCJLY-eeJM1911Kvaei5oySBIxdgtNo/edit?pli=1#gid=257618397"",""stock untanna!B:C""),2,false)"),"SEMPOA 8022")</f>
        <v>SEMPOA 8022</v>
      </c>
      <c r="F667" s="70" t="s">
        <v>1075</v>
      </c>
      <c r="G667" s="71" t="s">
        <v>1076</v>
      </c>
      <c r="H667" s="41"/>
      <c r="I667" s="42"/>
      <c r="J667" s="43" t="str">
        <f t="shared" si="1"/>
        <v>ADA</v>
      </c>
      <c r="K667" s="72">
        <v>1.0</v>
      </c>
      <c r="L667" s="53" t="s">
        <v>62</v>
      </c>
      <c r="M667" s="73">
        <v>275000.0</v>
      </c>
      <c r="N667" s="83">
        <v>0.145</v>
      </c>
      <c r="O667" s="73">
        <v>235125.0</v>
      </c>
      <c r="P667" s="46" t="str">
        <f t="shared" si="2"/>
        <v>Rp275,000-1 LSN-14.50%</v>
      </c>
      <c r="Q667" s="75">
        <v>45409.0</v>
      </c>
      <c r="R667" s="76"/>
      <c r="S667" s="75">
        <v>45419.0</v>
      </c>
      <c r="T667" s="49"/>
    </row>
    <row r="668">
      <c r="A668" s="82">
        <v>3898.0</v>
      </c>
      <c r="B668" s="69" t="s">
        <v>29</v>
      </c>
      <c r="C668" s="70" t="s">
        <v>845</v>
      </c>
      <c r="D668" s="69"/>
      <c r="E668" s="41" t="s">
        <v>1077</v>
      </c>
      <c r="F668" s="70"/>
      <c r="G668" s="71" t="s">
        <v>1077</v>
      </c>
      <c r="H668" s="41"/>
      <c r="I668" s="42"/>
      <c r="J668" s="43" t="str">
        <f t="shared" si="1"/>
        <v>TIDAK ADA</v>
      </c>
      <c r="K668" s="72">
        <v>1.0</v>
      </c>
      <c r="L668" s="53" t="s">
        <v>62</v>
      </c>
      <c r="M668" s="73">
        <v>225000.0</v>
      </c>
      <c r="N668" s="83">
        <v>0.145</v>
      </c>
      <c r="O668" s="73">
        <v>192375.0</v>
      </c>
      <c r="P668" s="46" t="str">
        <f t="shared" si="2"/>
        <v>Rp225,000-1 LSN-14.50%</v>
      </c>
      <c r="Q668" s="75">
        <v>45409.0</v>
      </c>
      <c r="R668" s="76"/>
      <c r="S668" s="75">
        <v>45419.0</v>
      </c>
      <c r="T668" s="80" t="s">
        <v>280</v>
      </c>
    </row>
    <row r="669">
      <c r="A669" s="82">
        <v>3898.0</v>
      </c>
      <c r="B669" s="69" t="s">
        <v>29</v>
      </c>
      <c r="C669" s="70" t="s">
        <v>845</v>
      </c>
      <c r="D669" s="69"/>
      <c r="E669" s="41" t="s">
        <v>1078</v>
      </c>
      <c r="F669" s="70"/>
      <c r="G669" s="71" t="s">
        <v>1078</v>
      </c>
      <c r="H669" s="41"/>
      <c r="I669" s="42"/>
      <c r="J669" s="43" t="str">
        <f t="shared" si="1"/>
        <v>TIDAK ADA</v>
      </c>
      <c r="K669" s="72">
        <v>1.0</v>
      </c>
      <c r="L669" s="53" t="s">
        <v>62</v>
      </c>
      <c r="M669" s="73">
        <v>250000.0</v>
      </c>
      <c r="N669" s="83">
        <v>0.145</v>
      </c>
      <c r="O669" s="73">
        <v>213750.0</v>
      </c>
      <c r="P669" s="46" t="str">
        <f t="shared" si="2"/>
        <v>Rp250,000-1 LSN-14.50%</v>
      </c>
      <c r="Q669" s="75">
        <v>45409.0</v>
      </c>
      <c r="R669" s="76"/>
      <c r="S669" s="75">
        <v>45419.0</v>
      </c>
      <c r="T669" s="80" t="s">
        <v>280</v>
      </c>
    </row>
    <row r="670">
      <c r="A670" s="82">
        <v>3898.0</v>
      </c>
      <c r="B670" s="69" t="s">
        <v>29</v>
      </c>
      <c r="C670" s="70" t="s">
        <v>845</v>
      </c>
      <c r="D670" s="69"/>
      <c r="E670" s="41" t="s">
        <v>1079</v>
      </c>
      <c r="F670" s="70"/>
      <c r="G670" s="71" t="s">
        <v>1079</v>
      </c>
      <c r="H670" s="41"/>
      <c r="I670" s="42"/>
      <c r="J670" s="43" t="str">
        <f t="shared" si="1"/>
        <v>TIDAK ADA</v>
      </c>
      <c r="K670" s="72">
        <v>3.0</v>
      </c>
      <c r="L670" s="53" t="s">
        <v>69</v>
      </c>
      <c r="M670" s="73">
        <v>18750.0</v>
      </c>
      <c r="N670" s="83">
        <v>0.145</v>
      </c>
      <c r="O670" s="73">
        <v>48093.75</v>
      </c>
      <c r="P670" s="46" t="str">
        <f t="shared" si="2"/>
        <v>Rp18,750-3 PCS-14.50%</v>
      </c>
      <c r="Q670" s="75">
        <v>45409.0</v>
      </c>
      <c r="R670" s="76"/>
      <c r="S670" s="75">
        <v>45419.0</v>
      </c>
      <c r="T670" s="80" t="s">
        <v>280</v>
      </c>
    </row>
    <row r="671">
      <c r="A671" s="82">
        <v>3898.0</v>
      </c>
      <c r="B671" s="69" t="s">
        <v>29</v>
      </c>
      <c r="C671" s="70" t="s">
        <v>845</v>
      </c>
      <c r="D671" s="69"/>
      <c r="E671" s="41" t="s">
        <v>1080</v>
      </c>
      <c r="F671" s="70"/>
      <c r="G671" s="71" t="s">
        <v>1080</v>
      </c>
      <c r="H671" s="41"/>
      <c r="I671" s="42"/>
      <c r="J671" s="43" t="str">
        <f t="shared" si="1"/>
        <v>TIDAK ADA</v>
      </c>
      <c r="K671" s="72">
        <v>100.0</v>
      </c>
      <c r="L671" s="53" t="s">
        <v>69</v>
      </c>
      <c r="M671" s="73">
        <v>2250.0</v>
      </c>
      <c r="N671" s="83">
        <v>0.145</v>
      </c>
      <c r="O671" s="73">
        <v>192375.0</v>
      </c>
      <c r="P671" s="46" t="str">
        <f t="shared" si="2"/>
        <v>Rp2,250-100 PCS-14.50%</v>
      </c>
      <c r="Q671" s="75">
        <v>45409.0</v>
      </c>
      <c r="R671" s="76"/>
      <c r="S671" s="75">
        <v>45419.0</v>
      </c>
      <c r="T671" s="49"/>
    </row>
    <row r="672">
      <c r="A672" s="82">
        <v>3898.0</v>
      </c>
      <c r="B672" s="69" t="s">
        <v>29</v>
      </c>
      <c r="C672" s="70" t="s">
        <v>845</v>
      </c>
      <c r="D672" s="69"/>
      <c r="E672" s="41" t="s">
        <v>1081</v>
      </c>
      <c r="F672" s="70"/>
      <c r="G672" s="71" t="s">
        <v>1081</v>
      </c>
      <c r="H672" s="41"/>
      <c r="I672" s="42"/>
      <c r="J672" s="43" t="str">
        <f t="shared" si="1"/>
        <v>TIDAK ADA</v>
      </c>
      <c r="K672" s="72">
        <v>100.0</v>
      </c>
      <c r="L672" s="53" t="s">
        <v>69</v>
      </c>
      <c r="M672" s="73">
        <v>2250.0</v>
      </c>
      <c r="N672" s="83">
        <v>0.145</v>
      </c>
      <c r="O672" s="73">
        <v>192375.0</v>
      </c>
      <c r="P672" s="46" t="str">
        <f t="shared" si="2"/>
        <v>Rp2,250-100 PCS-14.50%</v>
      </c>
      <c r="Q672" s="75">
        <v>45409.0</v>
      </c>
      <c r="R672" s="76"/>
      <c r="S672" s="75">
        <v>45419.0</v>
      </c>
      <c r="T672" s="49"/>
    </row>
    <row r="673">
      <c r="A673" s="82">
        <v>3898.0</v>
      </c>
      <c r="B673" s="69" t="s">
        <v>29</v>
      </c>
      <c r="C673" s="70" t="s">
        <v>845</v>
      </c>
      <c r="D673" s="69"/>
      <c r="E673" s="41" t="s">
        <v>1082</v>
      </c>
      <c r="F673" s="70"/>
      <c r="G673" s="71" t="s">
        <v>1082</v>
      </c>
      <c r="H673" s="41"/>
      <c r="I673" s="42"/>
      <c r="J673" s="43" t="str">
        <f t="shared" si="1"/>
        <v>TIDAK ADA</v>
      </c>
      <c r="K673" s="72">
        <v>100.0</v>
      </c>
      <c r="L673" s="53" t="s">
        <v>69</v>
      </c>
      <c r="M673" s="73">
        <v>2250.0</v>
      </c>
      <c r="N673" s="83">
        <v>0.145</v>
      </c>
      <c r="O673" s="73">
        <v>192375.0</v>
      </c>
      <c r="P673" s="46" t="str">
        <f t="shared" si="2"/>
        <v>Rp2,250-100 PCS-14.50%</v>
      </c>
      <c r="Q673" s="75">
        <v>45409.0</v>
      </c>
      <c r="R673" s="76"/>
      <c r="S673" s="75">
        <v>45419.0</v>
      </c>
      <c r="T673" s="49"/>
    </row>
    <row r="674">
      <c r="A674" s="82">
        <v>3898.0</v>
      </c>
      <c r="B674" s="69" t="s">
        <v>29</v>
      </c>
      <c r="C674" s="70" t="s">
        <v>845</v>
      </c>
      <c r="D674" s="69" t="s">
        <v>1083</v>
      </c>
      <c r="E674" s="41" t="str">
        <f>IFERROR(__xludf.DUMMYFUNCTION("vlookup(D674,IMPORTRANGE(""https://docs.google.com/spreadsheets/d/1swGwZOEqYlTEUCJLY-eeJM1911Kvaei5oySBIxdgtNo/edit?pli=1#gid=257618397"",""stock untanna!B:C""),2,false)"),"KEY RING KC-008")</f>
        <v>KEY RING KC-008</v>
      </c>
      <c r="F674" s="70" t="s">
        <v>1083</v>
      </c>
      <c r="G674" s="71" t="s">
        <v>1084</v>
      </c>
      <c r="H674" s="41"/>
      <c r="I674" s="42"/>
      <c r="J674" s="43" t="str">
        <f t="shared" si="1"/>
        <v>ADA</v>
      </c>
      <c r="K674" s="72">
        <v>4.0</v>
      </c>
      <c r="L674" s="53" t="s">
        <v>88</v>
      </c>
      <c r="M674" s="73">
        <v>27500.0</v>
      </c>
      <c r="N674" s="83">
        <v>0.145</v>
      </c>
      <c r="O674" s="73">
        <v>94050.0</v>
      </c>
      <c r="P674" s="46" t="str">
        <f t="shared" si="2"/>
        <v>Rp27,500-4 BOX-14.50%</v>
      </c>
      <c r="Q674" s="75">
        <v>45409.0</v>
      </c>
      <c r="R674" s="76"/>
      <c r="S674" s="75">
        <v>45419.0</v>
      </c>
      <c r="T674" s="49"/>
    </row>
    <row r="675">
      <c r="A675" s="82">
        <v>3898.0</v>
      </c>
      <c r="B675" s="69" t="s">
        <v>29</v>
      </c>
      <c r="C675" s="70" t="s">
        <v>845</v>
      </c>
      <c r="D675" s="69" t="s">
        <v>1085</v>
      </c>
      <c r="E675" s="41" t="str">
        <f>IFERROR(__xludf.DUMMYFUNCTION("vlookup(D675,IMPORTRANGE(""https://docs.google.com/spreadsheets/d/1swGwZOEqYlTEUCJLY-eeJM1911Kvaei5oySBIxdgtNo/edit?pli=1#gid=257618397"",""stock untanna!B:C""),2,false)"),"GLITTER GF-32")</f>
        <v>GLITTER GF-32</v>
      </c>
      <c r="F675" s="70" t="s">
        <v>1085</v>
      </c>
      <c r="G675" s="71" t="s">
        <v>1086</v>
      </c>
      <c r="H675" s="41"/>
      <c r="I675" s="42"/>
      <c r="J675" s="43" t="str">
        <f t="shared" si="1"/>
        <v>ADA</v>
      </c>
      <c r="K675" s="72">
        <v>32.0</v>
      </c>
      <c r="L675" s="53" t="s">
        <v>69</v>
      </c>
      <c r="M675" s="73">
        <v>2500.0</v>
      </c>
      <c r="N675" s="83">
        <v>0.145</v>
      </c>
      <c r="O675" s="73">
        <v>68400.0</v>
      </c>
      <c r="P675" s="46" t="str">
        <f t="shared" si="2"/>
        <v>Rp2,500-32 PCS-14.50%</v>
      </c>
      <c r="Q675" s="75">
        <v>45409.0</v>
      </c>
      <c r="R675" s="76"/>
      <c r="S675" s="75">
        <v>45419.0</v>
      </c>
      <c r="T675" s="49"/>
    </row>
    <row r="676">
      <c r="A676" s="82">
        <v>3898.0</v>
      </c>
      <c r="B676" s="69" t="s">
        <v>29</v>
      </c>
      <c r="C676" s="70" t="s">
        <v>845</v>
      </c>
      <c r="D676" s="69"/>
      <c r="E676" s="41" t="s">
        <v>1087</v>
      </c>
      <c r="F676" s="70"/>
      <c r="G676" s="71" t="s">
        <v>1087</v>
      </c>
      <c r="H676" s="41"/>
      <c r="I676" s="42"/>
      <c r="J676" s="43" t="str">
        <f t="shared" si="1"/>
        <v>TIDAK ADA</v>
      </c>
      <c r="K676" s="72">
        <v>1.0</v>
      </c>
      <c r="L676" s="53" t="s">
        <v>62</v>
      </c>
      <c r="M676" s="73">
        <v>60000.0</v>
      </c>
      <c r="N676" s="83">
        <v>0.145</v>
      </c>
      <c r="O676" s="73">
        <v>51300.0</v>
      </c>
      <c r="P676" s="46" t="str">
        <f t="shared" si="2"/>
        <v>Rp60,000-1 LSN-14.50%</v>
      </c>
      <c r="Q676" s="75">
        <v>45409.0</v>
      </c>
      <c r="R676" s="76"/>
      <c r="S676" s="75">
        <v>45419.0</v>
      </c>
      <c r="T676" s="80" t="s">
        <v>280</v>
      </c>
    </row>
    <row r="677">
      <c r="A677" s="82">
        <v>3898.0</v>
      </c>
      <c r="B677" s="69" t="s">
        <v>29</v>
      </c>
      <c r="C677" s="70" t="s">
        <v>845</v>
      </c>
      <c r="D677" s="69" t="s">
        <v>1088</v>
      </c>
      <c r="E677" s="41" t="str">
        <f>IFERROR(__xludf.DUMMYFUNCTION("vlookup(D677,IMPORTRANGE(""https://docs.google.com/spreadsheets/d/1swGwZOEqYlTEUCJLY-eeJM1911Kvaei5oySBIxdgtNo/edit?pli=1#gid=257618397"",""stock untanna!B:C""),2,false)"),"ASAHAN TOPLES GOLDEN (24)")</f>
        <v>ASAHAN TOPLES GOLDEN (24)</v>
      </c>
      <c r="F677" s="70" t="s">
        <v>1088</v>
      </c>
      <c r="G677" s="71" t="s">
        <v>1089</v>
      </c>
      <c r="H677" s="41"/>
      <c r="I677" s="42"/>
      <c r="J677" s="43" t="str">
        <f t="shared" si="1"/>
        <v>ADA</v>
      </c>
      <c r="K677" s="72">
        <v>2.0</v>
      </c>
      <c r="L677" s="53" t="s">
        <v>88</v>
      </c>
      <c r="M677" s="73">
        <v>25000.0</v>
      </c>
      <c r="N677" s="83">
        <v>0.145</v>
      </c>
      <c r="O677" s="73">
        <v>42750.0</v>
      </c>
      <c r="P677" s="46" t="str">
        <f t="shared" si="2"/>
        <v>Rp25,000-2 BOX-14.50%</v>
      </c>
      <c r="Q677" s="75">
        <v>45409.0</v>
      </c>
      <c r="R677" s="76"/>
      <c r="S677" s="75">
        <v>45419.0</v>
      </c>
      <c r="T677" s="49"/>
    </row>
    <row r="678">
      <c r="A678" s="82">
        <v>3898.0</v>
      </c>
      <c r="B678" s="69" t="s">
        <v>29</v>
      </c>
      <c r="C678" s="70" t="s">
        <v>845</v>
      </c>
      <c r="D678" s="69" t="s">
        <v>121</v>
      </c>
      <c r="E678" s="41" t="str">
        <f>IFERROR(__xludf.DUMMYFUNCTION("vlookup(D678,IMPORTRANGE(""https://docs.google.com/spreadsheets/d/1swGwZOEqYlTEUCJLY-eeJM1911Kvaei5oySBIxdgtNo/edit?pli=1#gid=257618397"",""stock untanna!B:C""),2,false)"),"LEM BAKAR STIK 7X30 WOMY PUTIH K")</f>
        <v>LEM BAKAR STIK 7X30 WOMY PUTIH K</v>
      </c>
      <c r="F678" s="70" t="s">
        <v>121</v>
      </c>
      <c r="G678" s="71" t="s">
        <v>122</v>
      </c>
      <c r="H678" s="41"/>
      <c r="I678" s="42"/>
      <c r="J678" s="43" t="str">
        <f t="shared" si="1"/>
        <v>ADA</v>
      </c>
      <c r="K678" s="72">
        <v>2.0</v>
      </c>
      <c r="L678" s="53" t="s">
        <v>114</v>
      </c>
      <c r="M678" s="73">
        <v>90000.0</v>
      </c>
      <c r="N678" s="83">
        <v>0.145</v>
      </c>
      <c r="O678" s="73">
        <v>153900.0</v>
      </c>
      <c r="P678" s="46" t="str">
        <f t="shared" si="2"/>
        <v>Rp90,000-2 PAK-14.50%</v>
      </c>
      <c r="Q678" s="75">
        <v>45409.0</v>
      </c>
      <c r="R678" s="76"/>
      <c r="S678" s="75">
        <v>45419.0</v>
      </c>
      <c r="T678" s="49"/>
    </row>
    <row r="679">
      <c r="A679" s="82">
        <v>3898.0</v>
      </c>
      <c r="B679" s="69" t="s">
        <v>29</v>
      </c>
      <c r="C679" s="70" t="s">
        <v>845</v>
      </c>
      <c r="D679" s="69" t="s">
        <v>1090</v>
      </c>
      <c r="E679" s="41" t="str">
        <f>IFERROR(__xludf.DUMMYFUNCTION("vlookup(D679,IMPORTRANGE(""https://docs.google.com/spreadsheets/d/1swGwZOEqYlTEUCJLY-eeJM1911Kvaei5oySBIxdgtNo/edit?pli=1#gid=257618397"",""stock untanna!B:C""),2,false)"),"ASAHAN DMS 038")</f>
        <v>ASAHAN DMS 038</v>
      </c>
      <c r="F679" s="70" t="s">
        <v>1090</v>
      </c>
      <c r="G679" s="71" t="s">
        <v>1091</v>
      </c>
      <c r="H679" s="41"/>
      <c r="I679" s="42"/>
      <c r="J679" s="43" t="str">
        <f t="shared" si="1"/>
        <v>ADA</v>
      </c>
      <c r="K679" s="72">
        <v>32.0</v>
      </c>
      <c r="L679" s="53" t="s">
        <v>69</v>
      </c>
      <c r="M679" s="73">
        <v>2625.0</v>
      </c>
      <c r="N679" s="83">
        <v>0.145</v>
      </c>
      <c r="O679" s="73">
        <v>71820.0</v>
      </c>
      <c r="P679" s="46" t="str">
        <f t="shared" si="2"/>
        <v>Rp2,625-32 PCS-14.50%</v>
      </c>
      <c r="Q679" s="75">
        <v>45409.0</v>
      </c>
      <c r="R679" s="76"/>
      <c r="S679" s="75">
        <v>45419.0</v>
      </c>
      <c r="T679" s="49"/>
    </row>
    <row r="680">
      <c r="A680" s="82">
        <v>3898.0</v>
      </c>
      <c r="B680" s="69" t="s">
        <v>29</v>
      </c>
      <c r="C680" s="70" t="s">
        <v>845</v>
      </c>
      <c r="D680" s="69" t="s">
        <v>1092</v>
      </c>
      <c r="E680" s="41" t="str">
        <f>IFERROR(__xludf.DUMMYFUNCTION("vlookup(D680,IMPORTRANGE(""https://docs.google.com/spreadsheets/d/1swGwZOEqYlTEUCJLY-eeJM1911Kvaei5oySBIxdgtNo/edit?pli=1#gid=257618397"",""stock untanna!B:C""),2,false)"),"TAPE LK-22305")</f>
        <v>TAPE LK-22305</v>
      </c>
      <c r="F680" s="70" t="s">
        <v>1092</v>
      </c>
      <c r="G680" s="71" t="s">
        <v>1093</v>
      </c>
      <c r="H680" s="41"/>
      <c r="I680" s="42"/>
      <c r="J680" s="43" t="str">
        <f t="shared" si="1"/>
        <v>ADA</v>
      </c>
      <c r="K680" s="72">
        <v>4.0</v>
      </c>
      <c r="L680" s="53" t="s">
        <v>88</v>
      </c>
      <c r="M680" s="73">
        <v>144000.0</v>
      </c>
      <c r="N680" s="83">
        <v>0.145</v>
      </c>
      <c r="O680" s="73">
        <v>492480.0</v>
      </c>
      <c r="P680" s="46" t="str">
        <f t="shared" si="2"/>
        <v>Rp144,000-4 BOX-14.50%</v>
      </c>
      <c r="Q680" s="75">
        <v>45409.0</v>
      </c>
      <c r="R680" s="76"/>
      <c r="S680" s="75">
        <v>45419.0</v>
      </c>
      <c r="T680" s="49"/>
    </row>
    <row r="681">
      <c r="A681" s="82">
        <v>3899.0</v>
      </c>
      <c r="B681" s="69" t="s">
        <v>29</v>
      </c>
      <c r="C681" s="70" t="s">
        <v>845</v>
      </c>
      <c r="D681" s="69" t="s">
        <v>1094</v>
      </c>
      <c r="E681" s="41" t="str">
        <f>IFERROR(__xludf.DUMMYFUNCTION("vlookup(D681,IMPORTRANGE(""https://docs.google.com/spreadsheets/d/1swGwZOEqYlTEUCJLY-eeJM1911Kvaei5oySBIxdgtNo/edit?pli=1#gid=257618397"",""stock untanna!B:C""),2,false)"),"PENSIL CASE 5840")</f>
        <v>PENSIL CASE 5840</v>
      </c>
      <c r="F681" s="70" t="s">
        <v>1094</v>
      </c>
      <c r="G681" s="71" t="s">
        <v>1095</v>
      </c>
      <c r="H681" s="41"/>
      <c r="I681" s="42"/>
      <c r="J681" s="43" t="str">
        <f t="shared" si="1"/>
        <v>ADA</v>
      </c>
      <c r="K681" s="72">
        <v>24.0</v>
      </c>
      <c r="L681" s="53" t="s">
        <v>69</v>
      </c>
      <c r="M681" s="73">
        <v>29167.0</v>
      </c>
      <c r="N681" s="83">
        <v>0.145</v>
      </c>
      <c r="O681" s="73">
        <v>598506.84</v>
      </c>
      <c r="P681" s="46" t="str">
        <f t="shared" si="2"/>
        <v>Rp29,167-24 PCS-14.50%</v>
      </c>
      <c r="Q681" s="75">
        <v>45409.0</v>
      </c>
      <c r="R681" s="76"/>
      <c r="S681" s="75">
        <v>45419.0</v>
      </c>
      <c r="T681" s="49"/>
    </row>
    <row r="682">
      <c r="A682" s="82">
        <v>3899.0</v>
      </c>
      <c r="B682" s="69" t="s">
        <v>29</v>
      </c>
      <c r="C682" s="70" t="s">
        <v>845</v>
      </c>
      <c r="D682" s="69"/>
      <c r="E682" s="41" t="s">
        <v>1096</v>
      </c>
      <c r="F682" s="70"/>
      <c r="G682" s="71" t="s">
        <v>1096</v>
      </c>
      <c r="H682" s="41"/>
      <c r="I682" s="42"/>
      <c r="J682" s="43" t="str">
        <f t="shared" si="1"/>
        <v>TIDAK ADA</v>
      </c>
      <c r="K682" s="72">
        <v>2.0</v>
      </c>
      <c r="L682" s="53" t="s">
        <v>62</v>
      </c>
      <c r="M682" s="73">
        <v>400000.0</v>
      </c>
      <c r="N682" s="83">
        <v>0.145</v>
      </c>
      <c r="O682" s="73">
        <v>684000.0</v>
      </c>
      <c r="P682" s="46" t="str">
        <f t="shared" si="2"/>
        <v>Rp400,000-2 LSN-14.50%</v>
      </c>
      <c r="Q682" s="75">
        <v>45409.0</v>
      </c>
      <c r="R682" s="76"/>
      <c r="S682" s="75">
        <v>45419.0</v>
      </c>
      <c r="T682" s="49"/>
    </row>
    <row r="683">
      <c r="A683" s="82">
        <v>3899.0</v>
      </c>
      <c r="B683" s="69" t="s">
        <v>29</v>
      </c>
      <c r="C683" s="70" t="s">
        <v>845</v>
      </c>
      <c r="D683" s="69"/>
      <c r="E683" s="41" t="s">
        <v>1097</v>
      </c>
      <c r="F683" s="70"/>
      <c r="G683" s="71" t="s">
        <v>1097</v>
      </c>
      <c r="H683" s="41"/>
      <c r="I683" s="42"/>
      <c r="J683" s="43" t="str">
        <f t="shared" si="1"/>
        <v>TIDAK ADA</v>
      </c>
      <c r="K683" s="72">
        <v>2.0</v>
      </c>
      <c r="L683" s="53" t="s">
        <v>62</v>
      </c>
      <c r="M683" s="73">
        <v>175000.0</v>
      </c>
      <c r="N683" s="83">
        <v>0.145</v>
      </c>
      <c r="O683" s="73">
        <v>299250.0</v>
      </c>
      <c r="P683" s="46" t="str">
        <f t="shared" si="2"/>
        <v>Rp175,000-2 LSN-14.50%</v>
      </c>
      <c r="Q683" s="75">
        <v>45409.0</v>
      </c>
      <c r="R683" s="76"/>
      <c r="S683" s="75">
        <v>45419.0</v>
      </c>
      <c r="T683" s="49"/>
    </row>
    <row r="684">
      <c r="A684" s="82">
        <v>3899.0</v>
      </c>
      <c r="B684" s="69" t="s">
        <v>29</v>
      </c>
      <c r="C684" s="70" t="s">
        <v>845</v>
      </c>
      <c r="D684" s="69" t="s">
        <v>1098</v>
      </c>
      <c r="E684" s="41" t="str">
        <f>IFERROR(__xludf.DUMMYFUNCTION("vlookup(D684,IMPORTRANGE(""https://docs.google.com/spreadsheets/d/1swGwZOEqYlTEUCJLY-eeJM1911Kvaei5oySBIxdgtNo/edit?pli=1#gid=257618397"",""stock untanna!B:C""),2,false)"),"PENCIL CASE B-136")</f>
        <v>PENCIL CASE B-136</v>
      </c>
      <c r="F684" s="70" t="s">
        <v>1098</v>
      </c>
      <c r="G684" s="71" t="s">
        <v>1099</v>
      </c>
      <c r="H684" s="41"/>
      <c r="I684" s="42"/>
      <c r="J684" s="43" t="str">
        <f t="shared" si="1"/>
        <v>ADA</v>
      </c>
      <c r="K684" s="72">
        <v>2.0</v>
      </c>
      <c r="L684" s="53" t="s">
        <v>62</v>
      </c>
      <c r="M684" s="73">
        <v>200000.0</v>
      </c>
      <c r="N684" s="83">
        <v>0.145</v>
      </c>
      <c r="O684" s="73">
        <v>342000.0</v>
      </c>
      <c r="P684" s="46" t="str">
        <f t="shared" si="2"/>
        <v>Rp200,000-2 LSN-14.50%</v>
      </c>
      <c r="Q684" s="75">
        <v>45409.0</v>
      </c>
      <c r="R684" s="76"/>
      <c r="S684" s="75">
        <v>45419.0</v>
      </c>
      <c r="T684" s="49"/>
    </row>
    <row r="685">
      <c r="A685" s="82">
        <v>3899.0</v>
      </c>
      <c r="B685" s="69" t="s">
        <v>29</v>
      </c>
      <c r="C685" s="70" t="s">
        <v>845</v>
      </c>
      <c r="D685" s="69" t="s">
        <v>1100</v>
      </c>
      <c r="E685" s="41" t="str">
        <f>IFERROR(__xludf.DUMMYFUNCTION("vlookup(D685,IMPORTRANGE(""https://docs.google.com/spreadsheets/d/1swGwZOEqYlTEUCJLY-eeJM1911Kvaei5oySBIxdgtNo/edit?pli=1#gid=257618397"",""stock untanna!B:C""),2,false)"),"PENCIL CASE XLG BD838")</f>
        <v>PENCIL CASE XLG BD838</v>
      </c>
      <c r="F685" s="70" t="s">
        <v>1100</v>
      </c>
      <c r="G685" s="71" t="s">
        <v>1101</v>
      </c>
      <c r="H685" s="41"/>
      <c r="I685" s="42"/>
      <c r="J685" s="43" t="str">
        <f t="shared" si="1"/>
        <v>ADA</v>
      </c>
      <c r="K685" s="72">
        <v>24.0</v>
      </c>
      <c r="L685" s="53" t="s">
        <v>69</v>
      </c>
      <c r="M685" s="73">
        <v>41667.0</v>
      </c>
      <c r="N685" s="83">
        <v>0.145</v>
      </c>
      <c r="O685" s="73">
        <v>855006.84</v>
      </c>
      <c r="P685" s="46" t="str">
        <f t="shared" si="2"/>
        <v>Rp41,667-24 PCS-14.50%</v>
      </c>
      <c r="Q685" s="75">
        <v>45409.0</v>
      </c>
      <c r="R685" s="76"/>
      <c r="S685" s="75">
        <v>45419.0</v>
      </c>
      <c r="T685" s="49"/>
    </row>
    <row r="686">
      <c r="A686" s="82">
        <v>3899.0</v>
      </c>
      <c r="B686" s="69" t="s">
        <v>29</v>
      </c>
      <c r="C686" s="70" t="s">
        <v>845</v>
      </c>
      <c r="D686" s="69" t="s">
        <v>1102</v>
      </c>
      <c r="E686" s="41" t="str">
        <f>IFERROR(__xludf.DUMMYFUNCTION("vlookup(D686,IMPORTRANGE(""https://docs.google.com/spreadsheets/d/1swGwZOEqYlTEUCJLY-eeJM1911Kvaei5oySBIxdgtNo/edit?pli=1#gid=257618397"",""stock untanna!B:C""),2,false)"),"PENCIL CASE XLG BD860")</f>
        <v>PENCIL CASE XLG BD860</v>
      </c>
      <c r="F686" s="70" t="s">
        <v>1102</v>
      </c>
      <c r="G686" s="71" t="s">
        <v>1103</v>
      </c>
      <c r="H686" s="41"/>
      <c r="I686" s="42"/>
      <c r="J686" s="43" t="str">
        <f t="shared" si="1"/>
        <v>ADA</v>
      </c>
      <c r="K686" s="72">
        <v>24.0</v>
      </c>
      <c r="L686" s="53" t="s">
        <v>69</v>
      </c>
      <c r="M686" s="73">
        <v>41667.0</v>
      </c>
      <c r="N686" s="83">
        <v>0.145</v>
      </c>
      <c r="O686" s="73">
        <v>855006.84</v>
      </c>
      <c r="P686" s="46" t="str">
        <f t="shared" si="2"/>
        <v>Rp41,667-24 PCS-14.50%</v>
      </c>
      <c r="Q686" s="75">
        <v>45409.0</v>
      </c>
      <c r="R686" s="76"/>
      <c r="S686" s="75">
        <v>45419.0</v>
      </c>
      <c r="T686" s="49"/>
    </row>
    <row r="687">
      <c r="A687" s="82">
        <v>3899.0</v>
      </c>
      <c r="B687" s="69" t="s">
        <v>29</v>
      </c>
      <c r="C687" s="70" t="s">
        <v>845</v>
      </c>
      <c r="D687" s="69" t="s">
        <v>566</v>
      </c>
      <c r="E687" s="41" t="str">
        <f>IFERROR(__xludf.DUMMYFUNCTION("vlookup(D687,IMPORTRANGE(""https://docs.google.com/spreadsheets/d/1swGwZOEqYlTEUCJLY-eeJM1911Kvaei5oySBIxdgtNo/edit?pli=1#gid=257618397"",""stock untanna!B:C""),2,false)"),"PENCIL CASE XLG BD194-B")</f>
        <v>PENCIL CASE XLG BD194-B</v>
      </c>
      <c r="F687" s="70" t="s">
        <v>566</v>
      </c>
      <c r="G687" s="71" t="s">
        <v>567</v>
      </c>
      <c r="H687" s="41"/>
      <c r="I687" s="42"/>
      <c r="J687" s="43" t="str">
        <f t="shared" si="1"/>
        <v>ADA</v>
      </c>
      <c r="K687" s="72">
        <v>24.0</v>
      </c>
      <c r="L687" s="53" t="s">
        <v>69</v>
      </c>
      <c r="M687" s="73">
        <v>29167.0</v>
      </c>
      <c r="N687" s="83">
        <v>0.145</v>
      </c>
      <c r="O687" s="73">
        <v>598506.84</v>
      </c>
      <c r="P687" s="46" t="str">
        <f t="shared" si="2"/>
        <v>Rp29,167-24 PCS-14.50%</v>
      </c>
      <c r="Q687" s="75">
        <v>45409.0</v>
      </c>
      <c r="R687" s="76"/>
      <c r="S687" s="75">
        <v>45419.0</v>
      </c>
      <c r="T687" s="49"/>
    </row>
    <row r="688">
      <c r="A688" s="82">
        <v>3899.0</v>
      </c>
      <c r="B688" s="69" t="s">
        <v>29</v>
      </c>
      <c r="C688" s="70" t="s">
        <v>845</v>
      </c>
      <c r="D688" s="69" t="s">
        <v>1104</v>
      </c>
      <c r="E688" s="41" t="str">
        <f>IFERROR(__xludf.DUMMYFUNCTION("vlookup(D688,IMPORTRANGE(""https://docs.google.com/spreadsheets/d/1swGwZOEqYlTEUCJLY-eeJM1911Kvaei5oySBIxdgtNo/edit?pli=1#gid=257618397"",""stock untanna!B:C""),2,false)"),"PENCIL CASE XLG BD954")</f>
        <v>PENCIL CASE XLG BD954</v>
      </c>
      <c r="F688" s="70" t="s">
        <v>1104</v>
      </c>
      <c r="G688" s="71" t="s">
        <v>1105</v>
      </c>
      <c r="H688" s="41"/>
      <c r="I688" s="42"/>
      <c r="J688" s="43" t="str">
        <f t="shared" si="1"/>
        <v>ADA</v>
      </c>
      <c r="K688" s="72">
        <v>24.0</v>
      </c>
      <c r="L688" s="53" t="s">
        <v>69</v>
      </c>
      <c r="M688" s="73">
        <v>45833.0</v>
      </c>
      <c r="N688" s="83">
        <v>0.145</v>
      </c>
      <c r="O688" s="73">
        <v>940493.16</v>
      </c>
      <c r="P688" s="46" t="str">
        <f t="shared" si="2"/>
        <v>Rp45,833-24 PCS-14.50%</v>
      </c>
      <c r="Q688" s="75">
        <v>45409.0</v>
      </c>
      <c r="R688" s="76"/>
      <c r="S688" s="75">
        <v>45419.0</v>
      </c>
      <c r="T688" s="49"/>
    </row>
    <row r="689">
      <c r="A689" s="82">
        <v>3899.0</v>
      </c>
      <c r="B689" s="69" t="s">
        <v>29</v>
      </c>
      <c r="C689" s="70" t="s">
        <v>845</v>
      </c>
      <c r="D689" s="69" t="s">
        <v>560</v>
      </c>
      <c r="E689" s="41" t="str">
        <f>IFERROR(__xludf.DUMMYFUNCTION("vlookup(D689,IMPORTRANGE(""https://docs.google.com/spreadsheets/d/1swGwZOEqYlTEUCJLY-eeJM1911Kvaei5oySBIxdgtNo/edit?pli=1#gid=257618397"",""stock untanna!B:C""),2,false)"),"PENSIL CASE 5872")</f>
        <v>PENSIL CASE 5872</v>
      </c>
      <c r="F689" s="70" t="s">
        <v>560</v>
      </c>
      <c r="G689" s="71" t="s">
        <v>561</v>
      </c>
      <c r="H689" s="41"/>
      <c r="I689" s="42"/>
      <c r="J689" s="43" t="str">
        <f t="shared" si="1"/>
        <v>ADA</v>
      </c>
      <c r="K689" s="72">
        <v>24.0</v>
      </c>
      <c r="L689" s="53" t="s">
        <v>69</v>
      </c>
      <c r="M689" s="73">
        <v>32500.0</v>
      </c>
      <c r="N689" s="83">
        <v>0.145</v>
      </c>
      <c r="O689" s="73">
        <v>666900.0</v>
      </c>
      <c r="P689" s="46" t="str">
        <f t="shared" si="2"/>
        <v>Rp32,500-24 PCS-14.50%</v>
      </c>
      <c r="Q689" s="75">
        <v>45409.0</v>
      </c>
      <c r="R689" s="76"/>
      <c r="S689" s="75">
        <v>45419.0</v>
      </c>
      <c r="T689" s="49"/>
    </row>
    <row r="690">
      <c r="A690" s="82">
        <v>3899.0</v>
      </c>
      <c r="B690" s="69" t="s">
        <v>29</v>
      </c>
      <c r="C690" s="70" t="s">
        <v>845</v>
      </c>
      <c r="D690" s="69" t="s">
        <v>575</v>
      </c>
      <c r="E690" s="41" t="str">
        <f>IFERROR(__xludf.DUMMYFUNCTION("vlookup(D690,IMPORTRANGE(""https://docs.google.com/spreadsheets/d/1swGwZOEqYlTEUCJLY-eeJM1911Kvaei5oySBIxdgtNo/edit?pli=1#gid=257618397"",""stock untanna!B:C""),2,false)"),"PENSIL CASE SH-8702")</f>
        <v>PENSIL CASE SH-8702</v>
      </c>
      <c r="F690" s="70" t="s">
        <v>575</v>
      </c>
      <c r="G690" s="71" t="s">
        <v>576</v>
      </c>
      <c r="H690" s="41"/>
      <c r="I690" s="42"/>
      <c r="J690" s="43" t="str">
        <f t="shared" si="1"/>
        <v>ADA</v>
      </c>
      <c r="K690" s="72">
        <v>24.0</v>
      </c>
      <c r="L690" s="53" t="s">
        <v>69</v>
      </c>
      <c r="M690" s="73">
        <v>27500.0</v>
      </c>
      <c r="N690" s="83">
        <v>0.145</v>
      </c>
      <c r="O690" s="73">
        <v>564300.0</v>
      </c>
      <c r="P690" s="46" t="str">
        <f t="shared" si="2"/>
        <v>Rp27,500-24 PCS-14.50%</v>
      </c>
      <c r="Q690" s="75">
        <v>45409.0</v>
      </c>
      <c r="R690" s="76"/>
      <c r="S690" s="75">
        <v>45419.0</v>
      </c>
      <c r="T690" s="49"/>
    </row>
    <row r="691">
      <c r="A691" s="82">
        <v>3899.0</v>
      </c>
      <c r="B691" s="69" t="s">
        <v>29</v>
      </c>
      <c r="C691" s="70" t="s">
        <v>845</v>
      </c>
      <c r="D691" s="69"/>
      <c r="E691" s="41" t="s">
        <v>1106</v>
      </c>
      <c r="F691" s="70"/>
      <c r="G691" s="71" t="s">
        <v>1106</v>
      </c>
      <c r="H691" s="41"/>
      <c r="I691" s="42"/>
      <c r="J691" s="43" t="str">
        <f t="shared" si="1"/>
        <v>TIDAK ADA</v>
      </c>
      <c r="K691" s="72">
        <v>2.0</v>
      </c>
      <c r="L691" s="53" t="s">
        <v>62</v>
      </c>
      <c r="M691" s="73">
        <v>225000.0</v>
      </c>
      <c r="N691" s="83">
        <v>0.145</v>
      </c>
      <c r="O691" s="73">
        <v>384750.0</v>
      </c>
      <c r="P691" s="46" t="str">
        <f t="shared" si="2"/>
        <v>Rp225,000-2 LSN-14.50%</v>
      </c>
      <c r="Q691" s="75">
        <v>45409.0</v>
      </c>
      <c r="R691" s="76"/>
      <c r="S691" s="75">
        <v>45419.0</v>
      </c>
      <c r="T691" s="49"/>
    </row>
    <row r="692">
      <c r="A692" s="82">
        <v>3899.0</v>
      </c>
      <c r="B692" s="69" t="s">
        <v>29</v>
      </c>
      <c r="C692" s="70" t="s">
        <v>845</v>
      </c>
      <c r="D692" s="69" t="s">
        <v>1107</v>
      </c>
      <c r="E692" s="41" t="str">
        <f>IFERROR(__xludf.DUMMYFUNCTION("vlookup(D692,IMPORTRANGE(""https://docs.google.com/spreadsheets/d/1swGwZOEqYlTEUCJLY-eeJM1911Kvaei5oySBIxdgtNo/edit?pli=1#gid=257618397"",""stock untanna!B:C""),2,false)"),"PENCIL CASE 5866")</f>
        <v>PENCIL CASE 5866</v>
      </c>
      <c r="F692" s="70" t="s">
        <v>1107</v>
      </c>
      <c r="G692" s="71" t="s">
        <v>1108</v>
      </c>
      <c r="H692" s="41"/>
      <c r="I692" s="42"/>
      <c r="J692" s="43" t="str">
        <f t="shared" si="1"/>
        <v>ADA</v>
      </c>
      <c r="K692" s="72">
        <v>24.0</v>
      </c>
      <c r="L692" s="53" t="s">
        <v>69</v>
      </c>
      <c r="M692" s="73">
        <v>29167.0</v>
      </c>
      <c r="N692" s="83">
        <v>0.145</v>
      </c>
      <c r="O692" s="73">
        <v>598506.84</v>
      </c>
      <c r="P692" s="46" t="str">
        <f t="shared" si="2"/>
        <v>Rp29,167-24 PCS-14.50%</v>
      </c>
      <c r="Q692" s="75">
        <v>45409.0</v>
      </c>
      <c r="R692" s="76"/>
      <c r="S692" s="75">
        <v>45419.0</v>
      </c>
      <c r="T692" s="49"/>
    </row>
    <row r="693">
      <c r="A693" s="82">
        <v>3899.0</v>
      </c>
      <c r="B693" s="69" t="s">
        <v>29</v>
      </c>
      <c r="C693" s="70" t="s">
        <v>845</v>
      </c>
      <c r="D693" s="69" t="s">
        <v>1109</v>
      </c>
      <c r="E693" s="41" t="str">
        <f>IFERROR(__xludf.DUMMYFUNCTION("vlookup(D693,IMPORTRANGE(""https://docs.google.com/spreadsheets/d/1swGwZOEqYlTEUCJLY-eeJM1911Kvaei5oySBIxdgtNo/edit?pli=1#gid=257618397"",""stock untanna!B:C""),2,false)"),"PENSIL CASE SH-15")</f>
        <v>PENSIL CASE SH-15</v>
      </c>
      <c r="F693" s="70" t="s">
        <v>1109</v>
      </c>
      <c r="G693" s="71" t="s">
        <v>1110</v>
      </c>
      <c r="H693" s="41"/>
      <c r="I693" s="42"/>
      <c r="J693" s="43" t="str">
        <f t="shared" si="1"/>
        <v>ADA</v>
      </c>
      <c r="K693" s="72">
        <v>24.0</v>
      </c>
      <c r="L693" s="53" t="s">
        <v>69</v>
      </c>
      <c r="M693" s="73">
        <v>14583.0</v>
      </c>
      <c r="N693" s="83">
        <v>0.145</v>
      </c>
      <c r="O693" s="73">
        <v>299243.16000000003</v>
      </c>
      <c r="P693" s="46" t="str">
        <f t="shared" si="2"/>
        <v>Rp14,583-24 PCS-14.50%</v>
      </c>
      <c r="Q693" s="75">
        <v>45409.0</v>
      </c>
      <c r="R693" s="76"/>
      <c r="S693" s="75">
        <v>45419.0</v>
      </c>
      <c r="T693" s="49"/>
    </row>
    <row r="694">
      <c r="A694" s="82">
        <v>3899.0</v>
      </c>
      <c r="B694" s="69" t="s">
        <v>29</v>
      </c>
      <c r="C694" s="70" t="s">
        <v>845</v>
      </c>
      <c r="D694" s="69" t="s">
        <v>1111</v>
      </c>
      <c r="E694" s="41" t="str">
        <f>IFERROR(__xludf.DUMMYFUNCTION("vlookup(D694,IMPORTRANGE(""https://docs.google.com/spreadsheets/d/1swGwZOEqYlTEUCJLY-eeJM1911Kvaei5oySBIxdgtNo/edit?pli=1#gid=257618397"",""stock untanna!B:C""),2,false)"),"PENSIL CASE SH-16")</f>
        <v>PENSIL CASE SH-16</v>
      </c>
      <c r="F694" s="70" t="s">
        <v>1111</v>
      </c>
      <c r="G694" s="71" t="s">
        <v>1112</v>
      </c>
      <c r="H694" s="41"/>
      <c r="I694" s="42"/>
      <c r="J694" s="43" t="str">
        <f t="shared" si="1"/>
        <v>ADA</v>
      </c>
      <c r="K694" s="72">
        <v>24.0</v>
      </c>
      <c r="L694" s="53" t="s">
        <v>69</v>
      </c>
      <c r="M694" s="73">
        <v>14583.0</v>
      </c>
      <c r="N694" s="83">
        <v>0.145</v>
      </c>
      <c r="O694" s="73">
        <v>299243.16000000003</v>
      </c>
      <c r="P694" s="46" t="str">
        <f t="shared" si="2"/>
        <v>Rp14,583-24 PCS-14.50%</v>
      </c>
      <c r="Q694" s="75">
        <v>45409.0</v>
      </c>
      <c r="R694" s="76"/>
      <c r="S694" s="75">
        <v>45419.0</v>
      </c>
      <c r="T694" s="49"/>
    </row>
    <row r="695">
      <c r="A695" s="82">
        <v>3899.0</v>
      </c>
      <c r="B695" s="69" t="s">
        <v>29</v>
      </c>
      <c r="C695" s="70" t="s">
        <v>845</v>
      </c>
      <c r="D695" s="69" t="s">
        <v>1113</v>
      </c>
      <c r="E695" s="41" t="str">
        <f>IFERROR(__xludf.DUMMYFUNCTION("vlookup(D695,IMPORTRANGE(""https://docs.google.com/spreadsheets/d/1swGwZOEqYlTEUCJLY-eeJM1911Kvaei5oySBIxdgtNo/edit?pli=1#gid=257618397"",""stock untanna!B:C""),2,false)"),"PENCIL CASE 5864")</f>
        <v>PENCIL CASE 5864</v>
      </c>
      <c r="F695" s="70" t="s">
        <v>1113</v>
      </c>
      <c r="G695" s="71" t="s">
        <v>1114</v>
      </c>
      <c r="H695" s="41"/>
      <c r="I695" s="42"/>
      <c r="J695" s="43" t="str">
        <f t="shared" si="1"/>
        <v>ADA</v>
      </c>
      <c r="K695" s="72">
        <v>24.0</v>
      </c>
      <c r="L695" s="53" t="s">
        <v>69</v>
      </c>
      <c r="M695" s="73">
        <v>29167.0</v>
      </c>
      <c r="N695" s="83">
        <v>0.145</v>
      </c>
      <c r="O695" s="73">
        <v>598506.84</v>
      </c>
      <c r="P695" s="46" t="str">
        <f t="shared" si="2"/>
        <v>Rp29,167-24 PCS-14.50%</v>
      </c>
      <c r="Q695" s="75">
        <v>45409.0</v>
      </c>
      <c r="R695" s="76"/>
      <c r="S695" s="75">
        <v>45419.0</v>
      </c>
      <c r="T695" s="49"/>
    </row>
    <row r="696">
      <c r="A696" s="82">
        <v>3899.0</v>
      </c>
      <c r="B696" s="69" t="s">
        <v>29</v>
      </c>
      <c r="C696" s="70" t="s">
        <v>845</v>
      </c>
      <c r="D696" s="69" t="s">
        <v>562</v>
      </c>
      <c r="E696" s="41" t="str">
        <f>IFERROR(__xludf.DUMMYFUNCTION("vlookup(D696,IMPORTRANGE(""https://docs.google.com/spreadsheets/d/1swGwZOEqYlTEUCJLY-eeJM1911Kvaei5oySBIxdgtNo/edit?pli=1#gid=257618397"",""stock untanna!B:C""),2,false)"),"PENSIL CASE 5851")</f>
        <v>PENSIL CASE 5851</v>
      </c>
      <c r="F696" s="70" t="s">
        <v>562</v>
      </c>
      <c r="G696" s="71" t="s">
        <v>563</v>
      </c>
      <c r="H696" s="41"/>
      <c r="I696" s="42"/>
      <c r="J696" s="43" t="str">
        <f t="shared" si="1"/>
        <v>ADA</v>
      </c>
      <c r="K696" s="72">
        <v>24.0</v>
      </c>
      <c r="L696" s="53" t="s">
        <v>69</v>
      </c>
      <c r="M696" s="73">
        <v>29167.0</v>
      </c>
      <c r="N696" s="83">
        <v>0.145</v>
      </c>
      <c r="O696" s="73">
        <v>598506.84</v>
      </c>
      <c r="P696" s="46" t="str">
        <f t="shared" si="2"/>
        <v>Rp29,167-24 PCS-14.50%</v>
      </c>
      <c r="Q696" s="75">
        <v>45409.0</v>
      </c>
      <c r="R696" s="76"/>
      <c r="S696" s="75">
        <v>45419.0</v>
      </c>
      <c r="T696" s="49"/>
    </row>
    <row r="697">
      <c r="A697" s="82">
        <v>3900.0</v>
      </c>
      <c r="B697" s="69" t="s">
        <v>29</v>
      </c>
      <c r="C697" s="70" t="s">
        <v>845</v>
      </c>
      <c r="D697" s="69" t="s">
        <v>1115</v>
      </c>
      <c r="E697" s="41" t="str">
        <f>IFERROR(__xludf.DUMMYFUNCTION("vlookup(D697,IMPORTRANGE(""https://docs.google.com/spreadsheets/d/1swGwZOEqYlTEUCJLY-eeJM1911Kvaei5oySBIxdgtNo/edit?pli=1#gid=257618397"",""stock untanna!B:C""),2,false)"),"PENSIL CASE SH-02 (HARUS DIPISAH, ADA 6 MACAM)")</f>
        <v>PENSIL CASE SH-02 (HARUS DIPISAH, ADA 6 MACAM)</v>
      </c>
      <c r="F697" s="70" t="s">
        <v>1115</v>
      </c>
      <c r="G697" s="78" t="s">
        <v>1116</v>
      </c>
      <c r="H697" s="41"/>
      <c r="I697" s="42"/>
      <c r="J697" s="43" t="str">
        <f t="shared" si="1"/>
        <v>ADA</v>
      </c>
      <c r="K697" s="72">
        <v>24.0</v>
      </c>
      <c r="L697" s="53" t="s">
        <v>69</v>
      </c>
      <c r="M697" s="73">
        <v>14583.0</v>
      </c>
      <c r="N697" s="83">
        <v>0.145</v>
      </c>
      <c r="O697" s="73">
        <v>299243.16000000003</v>
      </c>
      <c r="P697" s="46" t="str">
        <f t="shared" si="2"/>
        <v>Rp14,583-24 PCS-14.50%</v>
      </c>
      <c r="Q697" s="75">
        <v>45409.0</v>
      </c>
      <c r="R697" s="76"/>
      <c r="S697" s="75">
        <v>45419.0</v>
      </c>
      <c r="T697" s="49"/>
    </row>
    <row r="698">
      <c r="A698" s="82">
        <v>3900.0</v>
      </c>
      <c r="B698" s="69" t="s">
        <v>29</v>
      </c>
      <c r="C698" s="70" t="s">
        <v>845</v>
      </c>
      <c r="D698" s="69"/>
      <c r="E698" s="41" t="s">
        <v>1117</v>
      </c>
      <c r="F698" s="70"/>
      <c r="G698" s="71" t="s">
        <v>1117</v>
      </c>
      <c r="H698" s="41"/>
      <c r="I698" s="42"/>
      <c r="J698" s="43" t="str">
        <f t="shared" si="1"/>
        <v>TIDAK ADA</v>
      </c>
      <c r="K698" s="72">
        <v>1.0</v>
      </c>
      <c r="L698" s="53" t="s">
        <v>114</v>
      </c>
      <c r="M698" s="73">
        <v>75000.0</v>
      </c>
      <c r="N698" s="83">
        <v>0.145</v>
      </c>
      <c r="O698" s="73">
        <v>64125.0</v>
      </c>
      <c r="P698" s="46" t="str">
        <f t="shared" si="2"/>
        <v>Rp75,000-1 PAK-14.50%</v>
      </c>
      <c r="Q698" s="75">
        <v>45409.0</v>
      </c>
      <c r="R698" s="76"/>
      <c r="S698" s="75">
        <v>45419.0</v>
      </c>
      <c r="T698" s="49"/>
    </row>
    <row r="699">
      <c r="A699" s="82">
        <v>3900.0</v>
      </c>
      <c r="B699" s="69" t="s">
        <v>29</v>
      </c>
      <c r="C699" s="70" t="s">
        <v>845</v>
      </c>
      <c r="D699" s="69" t="s">
        <v>1118</v>
      </c>
      <c r="E699" s="41" t="str">
        <f>IFERROR(__xludf.DUMMYFUNCTION("vlookup(D699,IMPORTRANGE(""https://docs.google.com/spreadsheets/d/1swGwZOEqYlTEUCJLY-eeJM1911Kvaei5oySBIxdgtNo/edit?pli=1#gid=257618397"",""stock untanna!B:C""),2,false)"),"ASAHAN PAYU 827 ANGSA")</f>
        <v>ASAHAN PAYU 827 ANGSA</v>
      </c>
      <c r="F699" s="70" t="s">
        <v>1118</v>
      </c>
      <c r="G699" s="71" t="s">
        <v>1119</v>
      </c>
      <c r="H699" s="41"/>
      <c r="I699" s="42"/>
      <c r="J699" s="43" t="str">
        <f t="shared" si="1"/>
        <v>ADA</v>
      </c>
      <c r="K699" s="72">
        <v>2.0</v>
      </c>
      <c r="L699" s="53" t="s">
        <v>88</v>
      </c>
      <c r="M699" s="73">
        <v>17000.0</v>
      </c>
      <c r="N699" s="83">
        <v>0.145</v>
      </c>
      <c r="O699" s="73">
        <v>29070.0</v>
      </c>
      <c r="P699" s="46" t="str">
        <f t="shared" si="2"/>
        <v>Rp17,000-2 BOX-14.50%</v>
      </c>
      <c r="Q699" s="75">
        <v>45409.0</v>
      </c>
      <c r="R699" s="76"/>
      <c r="S699" s="75">
        <v>45419.0</v>
      </c>
      <c r="T699" s="49"/>
    </row>
    <row r="700">
      <c r="A700" s="82">
        <v>3900.0</v>
      </c>
      <c r="B700" s="69" t="s">
        <v>29</v>
      </c>
      <c r="C700" s="70" t="s">
        <v>845</v>
      </c>
      <c r="D700" s="69" t="s">
        <v>526</v>
      </c>
      <c r="E700" s="41" t="str">
        <f>IFERROR(__xludf.DUMMYFUNCTION("vlookup(D700,IMPORTRANGE(""https://docs.google.com/spreadsheets/d/1swGwZOEqYlTEUCJLY-eeJM1911Kvaei5oySBIxdgtNo/edit?pli=1#gid=257618397"",""stock untanna!B:C""),2,false)"),"ASAHAN PAYU 851 PERMEN")</f>
        <v>ASAHAN PAYU 851 PERMEN</v>
      </c>
      <c r="F700" s="70" t="s">
        <v>526</v>
      </c>
      <c r="G700" s="71" t="s">
        <v>527</v>
      </c>
      <c r="H700" s="41"/>
      <c r="I700" s="42"/>
      <c r="J700" s="43" t="str">
        <f t="shared" si="1"/>
        <v>ADA</v>
      </c>
      <c r="K700" s="72">
        <v>2.0</v>
      </c>
      <c r="L700" s="53" t="s">
        <v>88</v>
      </c>
      <c r="M700" s="73">
        <v>17000.0</v>
      </c>
      <c r="N700" s="83">
        <v>0.145</v>
      </c>
      <c r="O700" s="73">
        <v>29070.0</v>
      </c>
      <c r="P700" s="46" t="str">
        <f t="shared" si="2"/>
        <v>Rp17,000-2 BOX-14.50%</v>
      </c>
      <c r="Q700" s="75">
        <v>45409.0</v>
      </c>
      <c r="R700" s="76"/>
      <c r="S700" s="75">
        <v>45419.0</v>
      </c>
      <c r="T700" s="49"/>
    </row>
    <row r="701">
      <c r="A701" s="82">
        <v>3900.0</v>
      </c>
      <c r="B701" s="69" t="s">
        <v>29</v>
      </c>
      <c r="C701" s="70" t="s">
        <v>845</v>
      </c>
      <c r="D701" s="69" t="s">
        <v>521</v>
      </c>
      <c r="E701" s="41" t="str">
        <f>IFERROR(__xludf.DUMMYFUNCTION("vlookup(D701,IMPORTRANGE(""https://docs.google.com/spreadsheets/d/1swGwZOEqYlTEUCJLY-eeJM1911Kvaei5oySBIxdgtNo/edit?pli=1#gid=257618397"",""stock untanna!B:C""),2,false)"),"ASAHAN PAYU 831 IKAN")</f>
        <v>ASAHAN PAYU 831 IKAN</v>
      </c>
      <c r="F701" s="70" t="s">
        <v>521</v>
      </c>
      <c r="G701" s="71" t="s">
        <v>522</v>
      </c>
      <c r="H701" s="41"/>
      <c r="I701" s="42"/>
      <c r="J701" s="43" t="str">
        <f t="shared" si="1"/>
        <v>ADA</v>
      </c>
      <c r="K701" s="72">
        <v>2.0</v>
      </c>
      <c r="L701" s="53" t="s">
        <v>88</v>
      </c>
      <c r="M701" s="73">
        <v>17000.0</v>
      </c>
      <c r="N701" s="83">
        <v>0.145</v>
      </c>
      <c r="O701" s="73">
        <v>29070.0</v>
      </c>
      <c r="P701" s="46" t="str">
        <f t="shared" si="2"/>
        <v>Rp17,000-2 BOX-14.50%</v>
      </c>
      <c r="Q701" s="75">
        <v>45409.0</v>
      </c>
      <c r="R701" s="76"/>
      <c r="S701" s="75">
        <v>45419.0</v>
      </c>
      <c r="T701" s="49"/>
    </row>
    <row r="702">
      <c r="A702" s="82">
        <v>3900.0</v>
      </c>
      <c r="B702" s="69" t="s">
        <v>29</v>
      </c>
      <c r="C702" s="70" t="s">
        <v>845</v>
      </c>
      <c r="D702" s="69" t="s">
        <v>524</v>
      </c>
      <c r="E702" s="41" t="str">
        <f>IFERROR(__xludf.DUMMYFUNCTION("vlookup(D702,IMPORTRANGE(""https://docs.google.com/spreadsheets/d/1swGwZOEqYlTEUCJLY-eeJM1911Kvaei5oySBIxdgtNo/edit?pli=1#gid=257618397"",""stock untanna!B:C""),2,false)"),"ASAHAN PAYU 823 AYAM")</f>
        <v>ASAHAN PAYU 823 AYAM</v>
      </c>
      <c r="F702" s="70" t="s">
        <v>524</v>
      </c>
      <c r="G702" s="71" t="s">
        <v>525</v>
      </c>
      <c r="H702" s="41"/>
      <c r="I702" s="42"/>
      <c r="J702" s="43" t="str">
        <f t="shared" si="1"/>
        <v>ADA</v>
      </c>
      <c r="K702" s="72">
        <v>2.0</v>
      </c>
      <c r="L702" s="53" t="s">
        <v>88</v>
      </c>
      <c r="M702" s="73">
        <v>17000.0</v>
      </c>
      <c r="N702" s="83">
        <v>0.145</v>
      </c>
      <c r="O702" s="73">
        <v>29070.0</v>
      </c>
      <c r="P702" s="46" t="str">
        <f t="shared" si="2"/>
        <v>Rp17,000-2 BOX-14.50%</v>
      </c>
      <c r="Q702" s="75">
        <v>45409.0</v>
      </c>
      <c r="R702" s="76"/>
      <c r="S702" s="75">
        <v>45419.0</v>
      </c>
      <c r="T702" s="49"/>
    </row>
    <row r="703">
      <c r="A703" s="82">
        <v>3900.0</v>
      </c>
      <c r="B703" s="69" t="s">
        <v>29</v>
      </c>
      <c r="C703" s="70" t="s">
        <v>845</v>
      </c>
      <c r="D703" s="69" t="s">
        <v>1120</v>
      </c>
      <c r="E703" s="41" t="str">
        <f>IFERROR(__xludf.DUMMYFUNCTION("vlookup(D703,IMPORTRANGE(""https://docs.google.com/spreadsheets/d/1swGwZOEqYlTEUCJLY-eeJM1911Kvaei5oySBIxdgtNo/edit?pli=1#gid=257618397"",""stock untanna!B:C""),2,false)"),"ASAHAN PAYU 849 STROBERI")</f>
        <v>ASAHAN PAYU 849 STROBERI</v>
      </c>
      <c r="F703" s="70" t="s">
        <v>1120</v>
      </c>
      <c r="G703" s="71" t="s">
        <v>1121</v>
      </c>
      <c r="H703" s="41"/>
      <c r="I703" s="42"/>
      <c r="J703" s="43" t="str">
        <f t="shared" si="1"/>
        <v>ADA</v>
      </c>
      <c r="K703" s="72">
        <v>2.0</v>
      </c>
      <c r="L703" s="53" t="s">
        <v>88</v>
      </c>
      <c r="M703" s="73">
        <v>17000.0</v>
      </c>
      <c r="N703" s="83">
        <v>0.145</v>
      </c>
      <c r="O703" s="73">
        <v>29070.0</v>
      </c>
      <c r="P703" s="46" t="str">
        <f t="shared" si="2"/>
        <v>Rp17,000-2 BOX-14.50%</v>
      </c>
      <c r="Q703" s="75">
        <v>45409.0</v>
      </c>
      <c r="R703" s="76"/>
      <c r="S703" s="75">
        <v>45419.0</v>
      </c>
      <c r="T703" s="49"/>
    </row>
    <row r="704">
      <c r="A704" s="82">
        <v>3900.0</v>
      </c>
      <c r="B704" s="69" t="s">
        <v>29</v>
      </c>
      <c r="C704" s="70" t="s">
        <v>845</v>
      </c>
      <c r="D704" s="69" t="s">
        <v>517</v>
      </c>
      <c r="E704" s="41" t="str">
        <f>IFERROR(__xludf.DUMMYFUNCTION("vlookup(D704,IMPORTRANGE(""https://docs.google.com/spreadsheets/d/1swGwZOEqYlTEUCJLY-eeJM1911Kvaei5oySBIxdgtNo/edit?pli=1#gid=257618397"",""stock untanna!B:C""),2,false)"),"ASAHAN PAYU 846 KUDA GOYANG")</f>
        <v>ASAHAN PAYU 846 KUDA GOYANG</v>
      </c>
      <c r="F704" s="70" t="s">
        <v>517</v>
      </c>
      <c r="G704" s="71" t="s">
        <v>518</v>
      </c>
      <c r="H704" s="41"/>
      <c r="I704" s="42"/>
      <c r="J704" s="43" t="str">
        <f t="shared" si="1"/>
        <v>ADA</v>
      </c>
      <c r="K704" s="72">
        <v>2.0</v>
      </c>
      <c r="L704" s="53" t="s">
        <v>88</v>
      </c>
      <c r="M704" s="73">
        <v>17000.0</v>
      </c>
      <c r="N704" s="83">
        <v>0.145</v>
      </c>
      <c r="O704" s="73">
        <v>29070.0</v>
      </c>
      <c r="P704" s="46" t="str">
        <f t="shared" si="2"/>
        <v>Rp17,000-2 BOX-14.50%</v>
      </c>
      <c r="Q704" s="75">
        <v>45409.0</v>
      </c>
      <c r="R704" s="76"/>
      <c r="S704" s="75">
        <v>45419.0</v>
      </c>
      <c r="T704" s="49"/>
    </row>
    <row r="705">
      <c r="A705" s="82">
        <v>3900.0</v>
      </c>
      <c r="B705" s="69" t="s">
        <v>29</v>
      </c>
      <c r="C705" s="70" t="s">
        <v>845</v>
      </c>
      <c r="D705" s="69" t="s">
        <v>1122</v>
      </c>
      <c r="E705" s="41" t="str">
        <f>IFERROR(__xludf.DUMMYFUNCTION("vlookup(D705,IMPORTRANGE(""https://docs.google.com/spreadsheets/d/1swGwZOEqYlTEUCJLY-eeJM1911Kvaei5oySBIxdgtNo/edit?pli=1#gid=257618397"",""stock untanna!B:C""),2,false)"),"ASAHAN 8810")</f>
        <v>ASAHAN 8810</v>
      </c>
      <c r="F705" s="70" t="s">
        <v>1122</v>
      </c>
      <c r="G705" s="71" t="s">
        <v>1123</v>
      </c>
      <c r="H705" s="41"/>
      <c r="I705" s="42"/>
      <c r="J705" s="43" t="str">
        <f t="shared" si="1"/>
        <v>ADA</v>
      </c>
      <c r="K705" s="72">
        <v>72.0</v>
      </c>
      <c r="L705" s="53" t="s">
        <v>69</v>
      </c>
      <c r="M705" s="73">
        <v>2500.0</v>
      </c>
      <c r="N705" s="83">
        <v>0.145</v>
      </c>
      <c r="O705" s="73">
        <v>153900.0</v>
      </c>
      <c r="P705" s="46" t="str">
        <f t="shared" si="2"/>
        <v>Rp2,500-72 PCS-14.50%</v>
      </c>
      <c r="Q705" s="75">
        <v>45409.0</v>
      </c>
      <c r="R705" s="76"/>
      <c r="S705" s="75">
        <v>45419.0</v>
      </c>
      <c r="T705" s="49"/>
    </row>
    <row r="706">
      <c r="A706" s="82">
        <v>3900.0</v>
      </c>
      <c r="B706" s="69" t="s">
        <v>29</v>
      </c>
      <c r="C706" s="70" t="s">
        <v>845</v>
      </c>
      <c r="D706" s="69" t="s">
        <v>1124</v>
      </c>
      <c r="E706" s="41" t="str">
        <f>IFERROR(__xludf.DUMMYFUNCTION("vlookup(D706,IMPORTRANGE(""https://docs.google.com/spreadsheets/d/1swGwZOEqYlTEUCJLY-eeJM1911Kvaei5oySBIxdgtNo/edit?pli=1#gid=257618397"",""stock untanna!B:C""),2,false)"),"ASAHAN TR-3006")</f>
        <v>ASAHAN TR-3006</v>
      </c>
      <c r="F706" s="70" t="s">
        <v>1124</v>
      </c>
      <c r="G706" s="71" t="s">
        <v>1125</v>
      </c>
      <c r="H706" s="41"/>
      <c r="I706" s="42"/>
      <c r="J706" s="43" t="str">
        <f t="shared" si="1"/>
        <v>ADA</v>
      </c>
      <c r="K706" s="72">
        <v>56.0</v>
      </c>
      <c r="L706" s="53" t="s">
        <v>69</v>
      </c>
      <c r="M706" s="73">
        <v>2500.0</v>
      </c>
      <c r="N706" s="83">
        <v>0.145</v>
      </c>
      <c r="O706" s="73">
        <v>119700.0</v>
      </c>
      <c r="P706" s="46" t="str">
        <f t="shared" si="2"/>
        <v>Rp2,500-56 PCS-14.50%</v>
      </c>
      <c r="Q706" s="75">
        <v>45409.0</v>
      </c>
      <c r="R706" s="76"/>
      <c r="S706" s="75">
        <v>45419.0</v>
      </c>
      <c r="T706" s="49"/>
    </row>
    <row r="707">
      <c r="A707" s="82">
        <v>3900.0</v>
      </c>
      <c r="B707" s="69" t="s">
        <v>29</v>
      </c>
      <c r="C707" s="70" t="s">
        <v>845</v>
      </c>
      <c r="D707" s="69" t="s">
        <v>1126</v>
      </c>
      <c r="E707" s="41" t="str">
        <f>IFERROR(__xludf.DUMMYFUNCTION("vlookup(D707,IMPORTRANGE(""https://docs.google.com/spreadsheets/d/1swGwZOEqYlTEUCJLY-eeJM1911Kvaei5oySBIxdgtNo/edit?pli=1#gid=257618397"",""stock untanna!B:C""),2,false)"),"ASAHAN BOX 166 BEBEK")</f>
        <v>ASAHAN BOX 166 BEBEK</v>
      </c>
      <c r="F707" s="70" t="s">
        <v>1126</v>
      </c>
      <c r="G707" s="71" t="s">
        <v>1127</v>
      </c>
      <c r="H707" s="41"/>
      <c r="I707" s="42"/>
      <c r="J707" s="43" t="str">
        <f t="shared" si="1"/>
        <v>ADA</v>
      </c>
      <c r="K707" s="72">
        <v>1.0</v>
      </c>
      <c r="L707" s="53" t="s">
        <v>88</v>
      </c>
      <c r="M707" s="73">
        <v>125000.0</v>
      </c>
      <c r="N707" s="83">
        <v>0.145</v>
      </c>
      <c r="O707" s="73">
        <v>106875.0</v>
      </c>
      <c r="P707" s="46" t="str">
        <f t="shared" si="2"/>
        <v>Rp125,000-1 BOX-14.50%</v>
      </c>
      <c r="Q707" s="75">
        <v>45409.0</v>
      </c>
      <c r="R707" s="76"/>
      <c r="S707" s="75">
        <v>45419.0</v>
      </c>
      <c r="T707" s="49"/>
    </row>
    <row r="708">
      <c r="A708" s="82">
        <v>3900.0</v>
      </c>
      <c r="B708" s="69" t="s">
        <v>29</v>
      </c>
      <c r="C708" s="70" t="s">
        <v>845</v>
      </c>
      <c r="D708" s="69" t="s">
        <v>1128</v>
      </c>
      <c r="E708" s="41" t="str">
        <f>IFERROR(__xludf.DUMMYFUNCTION("vlookup(D708,IMPORTRANGE(""https://docs.google.com/spreadsheets/d/1swGwZOEqYlTEUCJLY-eeJM1911Kvaei5oySBIxdgtNo/edit?pli=1#gid=257618397"",""stock untanna!B:C""),2,false)"),"ASAHAN DY-347")</f>
        <v>ASAHAN DY-347</v>
      </c>
      <c r="F708" s="70" t="s">
        <v>1128</v>
      </c>
      <c r="G708" s="71" t="s">
        <v>1129</v>
      </c>
      <c r="H708" s="41"/>
      <c r="I708" s="42"/>
      <c r="J708" s="43" t="str">
        <f t="shared" si="1"/>
        <v>ADA</v>
      </c>
      <c r="K708" s="72">
        <v>50.0</v>
      </c>
      <c r="L708" s="53" t="s">
        <v>69</v>
      </c>
      <c r="M708" s="73">
        <v>4000.0</v>
      </c>
      <c r="N708" s="83">
        <v>0.145</v>
      </c>
      <c r="O708" s="73">
        <v>171000.0</v>
      </c>
      <c r="P708" s="46" t="str">
        <f t="shared" si="2"/>
        <v>Rp4,000-50 PCS-14.50%</v>
      </c>
      <c r="Q708" s="75">
        <v>45409.0</v>
      </c>
      <c r="R708" s="76"/>
      <c r="S708" s="75">
        <v>45419.0</v>
      </c>
      <c r="T708" s="49"/>
    </row>
    <row r="709">
      <c r="A709" s="82">
        <v>3900.0</v>
      </c>
      <c r="B709" s="69" t="s">
        <v>29</v>
      </c>
      <c r="C709" s="70" t="s">
        <v>845</v>
      </c>
      <c r="D709" s="69"/>
      <c r="E709" s="41" t="s">
        <v>1130</v>
      </c>
      <c r="F709" s="70"/>
      <c r="G709" s="71" t="s">
        <v>1130</v>
      </c>
      <c r="H709" s="41"/>
      <c r="I709" s="42"/>
      <c r="J709" s="43" t="str">
        <f t="shared" si="1"/>
        <v>TIDAK ADA</v>
      </c>
      <c r="K709" s="72">
        <v>12.0</v>
      </c>
      <c r="L709" s="53" t="s">
        <v>114</v>
      </c>
      <c r="M709" s="73">
        <v>9500.0</v>
      </c>
      <c r="N709" s="83">
        <v>0.145</v>
      </c>
      <c r="O709" s="73">
        <v>97470.0</v>
      </c>
      <c r="P709" s="46" t="str">
        <f t="shared" si="2"/>
        <v>Rp9,500-12 PAK-14.50%</v>
      </c>
      <c r="Q709" s="75">
        <v>45409.0</v>
      </c>
      <c r="R709" s="76"/>
      <c r="S709" s="75">
        <v>45419.0</v>
      </c>
      <c r="T709" s="80" t="s">
        <v>280</v>
      </c>
    </row>
    <row r="710">
      <c r="A710" s="82">
        <v>3900.0</v>
      </c>
      <c r="B710" s="69" t="s">
        <v>29</v>
      </c>
      <c r="C710" s="70" t="s">
        <v>845</v>
      </c>
      <c r="D710" s="69" t="s">
        <v>1131</v>
      </c>
      <c r="E710" s="41" t="str">
        <f>IFERROR(__xludf.DUMMYFUNCTION("vlookup(D710,IMPORTRANGE(""https://docs.google.com/spreadsheets/d/1swGwZOEqYlTEUCJLY-eeJM1911Kvaei5oySBIxdgtNo/edit?pli=1#gid=257618397"",""stock untanna!B:C""),2,false)"),"KERTAS KREP POTONGAN JERSY")</f>
        <v>KERTAS KREP POTONGAN JERSY</v>
      </c>
      <c r="F710" s="70" t="s">
        <v>1131</v>
      </c>
      <c r="G710" s="71" t="s">
        <v>1132</v>
      </c>
      <c r="H710" s="41"/>
      <c r="I710" s="42"/>
      <c r="J710" s="43" t="str">
        <f t="shared" si="1"/>
        <v>ADA</v>
      </c>
      <c r="K710" s="72">
        <v>12.0</v>
      </c>
      <c r="L710" s="53" t="s">
        <v>114</v>
      </c>
      <c r="M710" s="73">
        <v>9500.0</v>
      </c>
      <c r="N710" s="83">
        <v>0.145</v>
      </c>
      <c r="O710" s="73">
        <v>97470.0</v>
      </c>
      <c r="P710" s="46" t="str">
        <f t="shared" si="2"/>
        <v>Rp9,500-12 PAK-14.50%</v>
      </c>
      <c r="Q710" s="75">
        <v>45409.0</v>
      </c>
      <c r="R710" s="76"/>
      <c r="S710" s="75">
        <v>45419.0</v>
      </c>
      <c r="T710" s="49"/>
    </row>
    <row r="711">
      <c r="A711" s="82">
        <v>3900.0</v>
      </c>
      <c r="B711" s="69" t="s">
        <v>29</v>
      </c>
      <c r="C711" s="70" t="s">
        <v>845</v>
      </c>
      <c r="D711" s="69"/>
      <c r="E711" s="41" t="s">
        <v>1133</v>
      </c>
      <c r="F711" s="70"/>
      <c r="G711" s="71" t="s">
        <v>1133</v>
      </c>
      <c r="H711" s="41"/>
      <c r="I711" s="42"/>
      <c r="J711" s="43" t="str">
        <f t="shared" si="1"/>
        <v>TIDAK ADA</v>
      </c>
      <c r="K711" s="72">
        <v>1.0</v>
      </c>
      <c r="L711" s="53" t="s">
        <v>62</v>
      </c>
      <c r="M711" s="73">
        <v>200000.0</v>
      </c>
      <c r="N711" s="83">
        <v>0.145</v>
      </c>
      <c r="O711" s="73">
        <v>171000.0</v>
      </c>
      <c r="P711" s="46" t="str">
        <f t="shared" si="2"/>
        <v>Rp200,000-1 LSN-14.50%</v>
      </c>
      <c r="Q711" s="75">
        <v>45409.0</v>
      </c>
      <c r="R711" s="76"/>
      <c r="S711" s="75">
        <v>45419.0</v>
      </c>
      <c r="T711" s="49"/>
    </row>
    <row r="712">
      <c r="A712" s="82">
        <v>4334.0</v>
      </c>
      <c r="B712" s="69" t="s">
        <v>29</v>
      </c>
      <c r="C712" s="79" t="s">
        <v>1134</v>
      </c>
      <c r="D712" s="69"/>
      <c r="E712" s="41" t="s">
        <v>1135</v>
      </c>
      <c r="F712" s="70"/>
      <c r="G712" s="71" t="s">
        <v>1135</v>
      </c>
      <c r="H712" s="41"/>
      <c r="I712" s="42"/>
      <c r="J712" s="43" t="str">
        <f t="shared" si="1"/>
        <v>TIDAK ADA</v>
      </c>
      <c r="K712" s="72">
        <v>1.0</v>
      </c>
      <c r="L712" s="53" t="s">
        <v>62</v>
      </c>
      <c r="M712" s="73">
        <v>330000.0</v>
      </c>
      <c r="N712" s="74"/>
      <c r="O712" s="73">
        <v>330000.0</v>
      </c>
      <c r="P712" s="46" t="str">
        <f t="shared" si="2"/>
        <v>Rp330,000-1 LSN-0.00%</v>
      </c>
      <c r="Q712" s="75">
        <v>45411.0</v>
      </c>
      <c r="R712" s="76"/>
      <c r="S712" s="75">
        <v>45419.0</v>
      </c>
      <c r="T712" s="80" t="s">
        <v>280</v>
      </c>
    </row>
    <row r="713">
      <c r="A713" s="82">
        <v>4334.0</v>
      </c>
      <c r="B713" s="69" t="s">
        <v>29</v>
      </c>
      <c r="C713" s="79" t="s">
        <v>1134</v>
      </c>
      <c r="D713" s="69" t="s">
        <v>1136</v>
      </c>
      <c r="E713" s="41" t="str">
        <f>IFERROR(__xludf.DUMMYFUNCTION("vlookup(D713,IMPORTRANGE(""https://docs.google.com/spreadsheets/d/1swGwZOEqYlTEUCJLY-eeJM1911Kvaei5oySBIxdgtNo/edit?pli=1#gid=257618397"",""stock untanna!B:C""),2,false)"),"PENSIL CASE SH-8703")</f>
        <v>PENSIL CASE SH-8703</v>
      </c>
      <c r="F713" s="70" t="s">
        <v>1136</v>
      </c>
      <c r="G713" s="71" t="s">
        <v>1137</v>
      </c>
      <c r="H713" s="41"/>
      <c r="I713" s="42"/>
      <c r="J713" s="43" t="str">
        <f t="shared" si="1"/>
        <v>ADA</v>
      </c>
      <c r="K713" s="72">
        <v>12.0</v>
      </c>
      <c r="L713" s="53" t="s">
        <v>69</v>
      </c>
      <c r="M713" s="73">
        <v>25000.0</v>
      </c>
      <c r="N713" s="74"/>
      <c r="O713" s="73">
        <v>300000.0</v>
      </c>
      <c r="P713" s="46" t="str">
        <f t="shared" si="2"/>
        <v>Rp25,000-12 PCS-0.00%</v>
      </c>
      <c r="Q713" s="75">
        <v>45411.0</v>
      </c>
      <c r="R713" s="76"/>
      <c r="S713" s="75">
        <v>45419.0</v>
      </c>
      <c r="T713" s="49"/>
    </row>
    <row r="714">
      <c r="A714" s="82">
        <v>4334.0</v>
      </c>
      <c r="B714" s="69" t="s">
        <v>29</v>
      </c>
      <c r="C714" s="79" t="s">
        <v>1134</v>
      </c>
      <c r="D714" s="69"/>
      <c r="E714" s="41" t="s">
        <v>1138</v>
      </c>
      <c r="F714" s="70"/>
      <c r="G714" s="71" t="s">
        <v>1138</v>
      </c>
      <c r="H714" s="41"/>
      <c r="I714" s="42"/>
      <c r="J714" s="43" t="str">
        <f t="shared" si="1"/>
        <v>TIDAK ADA</v>
      </c>
      <c r="K714" s="72">
        <v>1.0</v>
      </c>
      <c r="L714" s="53" t="s">
        <v>62</v>
      </c>
      <c r="M714" s="73">
        <v>162000.0</v>
      </c>
      <c r="N714" s="74"/>
      <c r="O714" s="73">
        <v>162000.0</v>
      </c>
      <c r="P714" s="46" t="str">
        <f t="shared" si="2"/>
        <v>Rp162,000-1 LSN-0.00%</v>
      </c>
      <c r="Q714" s="75">
        <v>45411.0</v>
      </c>
      <c r="R714" s="76"/>
      <c r="S714" s="75">
        <v>45419.0</v>
      </c>
      <c r="T714" s="49"/>
    </row>
    <row r="715">
      <c r="A715" s="82">
        <v>4334.0</v>
      </c>
      <c r="B715" s="69" t="s">
        <v>29</v>
      </c>
      <c r="C715" s="79" t="s">
        <v>1134</v>
      </c>
      <c r="D715" s="69"/>
      <c r="E715" s="41" t="s">
        <v>1139</v>
      </c>
      <c r="F715" s="70"/>
      <c r="G715" s="71" t="s">
        <v>1139</v>
      </c>
      <c r="H715" s="41"/>
      <c r="I715" s="42"/>
      <c r="J715" s="43" t="str">
        <f t="shared" si="1"/>
        <v>TIDAK ADA</v>
      </c>
      <c r="K715" s="72">
        <v>1.0</v>
      </c>
      <c r="L715" s="53" t="s">
        <v>62</v>
      </c>
      <c r="M715" s="73">
        <v>162000.0</v>
      </c>
      <c r="N715" s="74"/>
      <c r="O715" s="73">
        <v>162000.0</v>
      </c>
      <c r="P715" s="46" t="str">
        <f t="shared" si="2"/>
        <v>Rp162,000-1 LSN-0.00%</v>
      </c>
      <c r="Q715" s="75">
        <v>45411.0</v>
      </c>
      <c r="R715" s="76"/>
      <c r="S715" s="75">
        <v>45419.0</v>
      </c>
      <c r="T715" s="49"/>
    </row>
    <row r="716">
      <c r="A716" s="82">
        <v>4334.0</v>
      </c>
      <c r="B716" s="69" t="s">
        <v>29</v>
      </c>
      <c r="C716" s="79" t="s">
        <v>1134</v>
      </c>
      <c r="D716" s="69"/>
      <c r="E716" s="41" t="s">
        <v>1140</v>
      </c>
      <c r="F716" s="70"/>
      <c r="G716" s="71" t="s">
        <v>1140</v>
      </c>
      <c r="H716" s="41"/>
      <c r="I716" s="42"/>
      <c r="J716" s="43" t="str">
        <f t="shared" si="1"/>
        <v>TIDAK ADA</v>
      </c>
      <c r="K716" s="72">
        <v>1.0</v>
      </c>
      <c r="L716" s="53" t="s">
        <v>62</v>
      </c>
      <c r="M716" s="73">
        <v>65000.0</v>
      </c>
      <c r="N716" s="74"/>
      <c r="O716" s="73">
        <v>65000.0</v>
      </c>
      <c r="P716" s="46" t="str">
        <f t="shared" si="2"/>
        <v>Rp65,000-1 LSN-0.00%</v>
      </c>
      <c r="Q716" s="75">
        <v>45411.0</v>
      </c>
      <c r="R716" s="76"/>
      <c r="S716" s="75">
        <v>45419.0</v>
      </c>
      <c r="T716" s="80" t="s">
        <v>280</v>
      </c>
    </row>
    <row r="717">
      <c r="A717" s="82">
        <v>4334.0</v>
      </c>
      <c r="B717" s="69" t="s">
        <v>29</v>
      </c>
      <c r="C717" s="79" t="s">
        <v>1134</v>
      </c>
      <c r="D717" s="50" t="s">
        <v>1141</v>
      </c>
      <c r="E717" s="41" t="str">
        <f>IFERROR(__xludf.DUMMYFUNCTION("vlookup(D717,IMPORTRANGE(""https://docs.google.com/spreadsheets/d/1swGwZOEqYlTEUCJLY-eeJM1911Kvaei5oySBIxdgtNo/edit?pli=1#gid=257618397"",""stock untanna!B:C""),2,false)"),"PENSIL CASE SH-04")</f>
        <v>PENSIL CASE SH-04</v>
      </c>
      <c r="F717" s="70" t="s">
        <v>1142</v>
      </c>
      <c r="G717" s="71" t="s">
        <v>1143</v>
      </c>
      <c r="H717" s="41"/>
      <c r="I717" s="42"/>
      <c r="J717" s="43" t="str">
        <f t="shared" si="1"/>
        <v>ADA</v>
      </c>
      <c r="K717" s="72">
        <v>12.0</v>
      </c>
      <c r="L717" s="53" t="s">
        <v>69</v>
      </c>
      <c r="M717" s="73">
        <v>13500.0</v>
      </c>
      <c r="N717" s="74"/>
      <c r="O717" s="73">
        <v>162000.0</v>
      </c>
      <c r="P717" s="46" t="str">
        <f t="shared" si="2"/>
        <v>Rp13,500-12 PCS-0.00%</v>
      </c>
      <c r="Q717" s="75">
        <v>45411.0</v>
      </c>
      <c r="R717" s="76"/>
      <c r="S717" s="75">
        <v>45419.0</v>
      </c>
      <c r="T717" s="49"/>
    </row>
    <row r="718">
      <c r="A718" s="82">
        <v>4334.0</v>
      </c>
      <c r="B718" s="69" t="s">
        <v>29</v>
      </c>
      <c r="C718" s="79" t="s">
        <v>1134</v>
      </c>
      <c r="D718" s="69" t="s">
        <v>1144</v>
      </c>
      <c r="E718" s="41" t="str">
        <f>IFERROR(__xludf.DUMMYFUNCTION("vlookup(D718,IMPORTRANGE(""https://docs.google.com/spreadsheets/d/1swGwZOEqYlTEUCJLY-eeJM1911Kvaei5oySBIxdgtNo/edit?pli=1#gid=257618397"",""stock untanna!B:C""),2,false)"),"PENSIL CASE 5853")</f>
        <v>PENSIL CASE 5853</v>
      </c>
      <c r="F718" s="70" t="s">
        <v>1144</v>
      </c>
      <c r="G718" s="71" t="s">
        <v>1145</v>
      </c>
      <c r="H718" s="41"/>
      <c r="I718" s="42"/>
      <c r="J718" s="43" t="str">
        <f t="shared" si="1"/>
        <v>ADA</v>
      </c>
      <c r="K718" s="72">
        <v>12.0</v>
      </c>
      <c r="L718" s="53" t="s">
        <v>69</v>
      </c>
      <c r="M718" s="73">
        <v>29167.0</v>
      </c>
      <c r="N718" s="74"/>
      <c r="O718" s="73">
        <v>350004.0</v>
      </c>
      <c r="P718" s="46" t="str">
        <f t="shared" si="2"/>
        <v>Rp29,167-12 PCS-0.00%</v>
      </c>
      <c r="Q718" s="75">
        <v>45411.0</v>
      </c>
      <c r="R718" s="76"/>
      <c r="S718" s="75">
        <v>45419.0</v>
      </c>
      <c r="T718" s="49"/>
    </row>
    <row r="719">
      <c r="A719" s="82">
        <v>4334.0</v>
      </c>
      <c r="B719" s="69" t="s">
        <v>29</v>
      </c>
      <c r="C719" s="79" t="s">
        <v>1134</v>
      </c>
      <c r="D719" s="69"/>
      <c r="E719" s="41" t="s">
        <v>1146</v>
      </c>
      <c r="F719" s="70"/>
      <c r="G719" s="71" t="s">
        <v>1146</v>
      </c>
      <c r="H719" s="41"/>
      <c r="I719" s="42"/>
      <c r="J719" s="43" t="str">
        <f t="shared" si="1"/>
        <v>TIDAK ADA</v>
      </c>
      <c r="K719" s="72">
        <v>1.0</v>
      </c>
      <c r="L719" s="53" t="s">
        <v>62</v>
      </c>
      <c r="M719" s="73">
        <v>80000.0</v>
      </c>
      <c r="N719" s="74"/>
      <c r="O719" s="73">
        <v>80000.0</v>
      </c>
      <c r="P719" s="46" t="str">
        <f t="shared" si="2"/>
        <v>Rp80,000-1 LSN-0.00%</v>
      </c>
      <c r="Q719" s="75">
        <v>45411.0</v>
      </c>
      <c r="R719" s="76"/>
      <c r="S719" s="75">
        <v>45419.0</v>
      </c>
      <c r="T719" s="49"/>
    </row>
    <row r="720">
      <c r="A720" s="82">
        <v>4334.0</v>
      </c>
      <c r="B720" s="69" t="s">
        <v>29</v>
      </c>
      <c r="C720" s="79" t="s">
        <v>1134</v>
      </c>
      <c r="D720" s="69"/>
      <c r="E720" s="41" t="s">
        <v>1147</v>
      </c>
      <c r="F720" s="70"/>
      <c r="G720" s="71" t="s">
        <v>1147</v>
      </c>
      <c r="H720" s="41"/>
      <c r="I720" s="42"/>
      <c r="J720" s="43" t="str">
        <f t="shared" si="1"/>
        <v>TIDAK ADA</v>
      </c>
      <c r="K720" s="72">
        <v>1.0</v>
      </c>
      <c r="L720" s="53" t="s">
        <v>62</v>
      </c>
      <c r="M720" s="73">
        <v>70000.0</v>
      </c>
      <c r="N720" s="74"/>
      <c r="O720" s="73">
        <v>70000.0</v>
      </c>
      <c r="P720" s="46" t="str">
        <f t="shared" si="2"/>
        <v>Rp70,000-1 LSN-0.00%</v>
      </c>
      <c r="Q720" s="75">
        <v>45411.0</v>
      </c>
      <c r="R720" s="76"/>
      <c r="S720" s="75">
        <v>45419.0</v>
      </c>
      <c r="T720" s="49"/>
    </row>
    <row r="721">
      <c r="A721" s="82">
        <v>4334.0</v>
      </c>
      <c r="B721" s="69" t="s">
        <v>29</v>
      </c>
      <c r="C721" s="79" t="s">
        <v>1134</v>
      </c>
      <c r="D721" s="69" t="s">
        <v>1148</v>
      </c>
      <c r="E721" s="41" t="str">
        <f>IFERROR(__xludf.DUMMYFUNCTION("vlookup(D721,IMPORTRANGE(""https://docs.google.com/spreadsheets/d/1swGwZOEqYlTEUCJLY-eeJM1911Kvaei5oySBIxdgtNo/edit?pli=1#gid=257618397"",""stock untanna!B:C""),2,false)"),"PENSIL CASE 5813")</f>
        <v>PENSIL CASE 5813</v>
      </c>
      <c r="F721" s="70" t="s">
        <v>1148</v>
      </c>
      <c r="G721" s="71" t="s">
        <v>1149</v>
      </c>
      <c r="H721" s="41"/>
      <c r="I721" s="42"/>
      <c r="J721" s="43" t="str">
        <f t="shared" si="1"/>
        <v>ADA</v>
      </c>
      <c r="K721" s="72">
        <v>12.0</v>
      </c>
      <c r="L721" s="53" t="s">
        <v>69</v>
      </c>
      <c r="M721" s="73">
        <v>25000.0</v>
      </c>
      <c r="N721" s="74"/>
      <c r="O721" s="73">
        <v>300000.0</v>
      </c>
      <c r="P721" s="46" t="str">
        <f t="shared" si="2"/>
        <v>Rp25,000-12 PCS-0.00%</v>
      </c>
      <c r="Q721" s="75">
        <v>45411.0</v>
      </c>
      <c r="R721" s="76"/>
      <c r="S721" s="75">
        <v>45419.0</v>
      </c>
      <c r="T721" s="49"/>
    </row>
    <row r="722">
      <c r="A722" s="82">
        <v>4334.0</v>
      </c>
      <c r="B722" s="69" t="s">
        <v>29</v>
      </c>
      <c r="C722" s="79" t="s">
        <v>1134</v>
      </c>
      <c r="D722" s="69" t="s">
        <v>1107</v>
      </c>
      <c r="E722" s="41" t="str">
        <f>IFERROR(__xludf.DUMMYFUNCTION("vlookup(D722,IMPORTRANGE(""https://docs.google.com/spreadsheets/d/1swGwZOEqYlTEUCJLY-eeJM1911Kvaei5oySBIxdgtNo/edit?pli=1#gid=257618397"",""stock untanna!B:C""),2,false)"),"PENCIL CASE 5866")</f>
        <v>PENCIL CASE 5866</v>
      </c>
      <c r="F722" s="70" t="s">
        <v>1107</v>
      </c>
      <c r="G722" s="71" t="s">
        <v>1108</v>
      </c>
      <c r="H722" s="41"/>
      <c r="I722" s="42"/>
      <c r="J722" s="43" t="str">
        <f t="shared" si="1"/>
        <v>ADA</v>
      </c>
      <c r="K722" s="72">
        <v>12.0</v>
      </c>
      <c r="L722" s="53" t="s">
        <v>69</v>
      </c>
      <c r="M722" s="73">
        <v>25000.0</v>
      </c>
      <c r="N722" s="74"/>
      <c r="O722" s="73">
        <v>300000.0</v>
      </c>
      <c r="P722" s="46" t="str">
        <f t="shared" si="2"/>
        <v>Rp25,000-12 PCS-0.00%</v>
      </c>
      <c r="Q722" s="75">
        <v>45411.0</v>
      </c>
      <c r="R722" s="76"/>
      <c r="S722" s="75">
        <v>45419.0</v>
      </c>
      <c r="T722" s="49"/>
    </row>
    <row r="723">
      <c r="A723" s="82">
        <v>4334.0</v>
      </c>
      <c r="B723" s="69" t="s">
        <v>29</v>
      </c>
      <c r="C723" s="79" t="s">
        <v>1134</v>
      </c>
      <c r="D723" s="69" t="s">
        <v>1150</v>
      </c>
      <c r="E723" s="41" t="str">
        <f>IFERROR(__xludf.DUMMYFUNCTION("vlookup(D723,IMPORTRANGE(""https://docs.google.com/spreadsheets/d/1swGwZOEqYlTEUCJLY-eeJM1911Kvaei5oySBIxdgtNo/edit?pli=1#gid=257618397"",""stock untanna!B:C""),2,false)"),"PENCIL CASE B-135")</f>
        <v>PENCIL CASE B-135</v>
      </c>
      <c r="F723" s="70" t="s">
        <v>1150</v>
      </c>
      <c r="G723" s="71" t="s">
        <v>1151</v>
      </c>
      <c r="H723" s="41"/>
      <c r="I723" s="42"/>
      <c r="J723" s="43" t="str">
        <f t="shared" si="1"/>
        <v>ADA</v>
      </c>
      <c r="K723" s="72">
        <v>1.0</v>
      </c>
      <c r="L723" s="53" t="s">
        <v>62</v>
      </c>
      <c r="M723" s="73">
        <v>150000.0</v>
      </c>
      <c r="N723" s="74"/>
      <c r="O723" s="73">
        <v>150000.0</v>
      </c>
      <c r="P723" s="46" t="str">
        <f t="shared" si="2"/>
        <v>Rp150,000-1 LSN-0.00%</v>
      </c>
      <c r="Q723" s="75">
        <v>45411.0</v>
      </c>
      <c r="R723" s="76"/>
      <c r="S723" s="75">
        <v>45419.0</v>
      </c>
      <c r="T723" s="49"/>
    </row>
    <row r="724">
      <c r="A724" s="82">
        <v>4334.0</v>
      </c>
      <c r="B724" s="69" t="s">
        <v>29</v>
      </c>
      <c r="C724" s="79" t="s">
        <v>1134</v>
      </c>
      <c r="D724" s="69" t="s">
        <v>22</v>
      </c>
      <c r="E724" s="41" t="str">
        <f>IFERROR(__xludf.DUMMYFUNCTION("vlookup(D724,IMPORTRANGE(""https://docs.google.com/spreadsheets/d/1swGwZOEqYlTEUCJLY-eeJM1911Kvaei5oySBIxdgtNo/edit?pli=1#gid=257618397"",""stock untanna!B:C""),2,false)"),"PENCIL CASE 5811")</f>
        <v>PENCIL CASE 5811</v>
      </c>
      <c r="F724" s="70" t="s">
        <v>22</v>
      </c>
      <c r="G724" s="71" t="s">
        <v>1152</v>
      </c>
      <c r="H724" s="41"/>
      <c r="I724" s="42"/>
      <c r="J724" s="43" t="str">
        <f t="shared" si="1"/>
        <v>ADA</v>
      </c>
      <c r="K724" s="72">
        <v>12.0</v>
      </c>
      <c r="L724" s="53" t="s">
        <v>69</v>
      </c>
      <c r="M724" s="73">
        <v>25000.0</v>
      </c>
      <c r="N724" s="74"/>
      <c r="O724" s="73">
        <v>300000.0</v>
      </c>
      <c r="P724" s="46" t="str">
        <f t="shared" si="2"/>
        <v>Rp25,000-12 PCS-0.00%</v>
      </c>
      <c r="Q724" s="75">
        <v>45411.0</v>
      </c>
      <c r="R724" s="76"/>
      <c r="S724" s="75">
        <v>45419.0</v>
      </c>
      <c r="T724" s="49"/>
    </row>
    <row r="725">
      <c r="A725" s="82">
        <v>4334.0</v>
      </c>
      <c r="B725" s="69" t="s">
        <v>29</v>
      </c>
      <c r="C725" s="79" t="s">
        <v>1134</v>
      </c>
      <c r="D725" s="69" t="s">
        <v>1050</v>
      </c>
      <c r="E725" s="41" t="str">
        <f>IFERROR(__xludf.DUMMYFUNCTION("vlookup(D725,IMPORTRANGE(""https://docs.google.com/spreadsheets/d/1swGwZOEqYlTEUCJLY-eeJM1911Kvaei5oySBIxdgtNo/edit?pli=1#gid=257618397"",""stock untanna!B:C""),2,false)"),"PENSIL CASE SH-8602")</f>
        <v>PENSIL CASE SH-8602</v>
      </c>
      <c r="F725" s="70" t="s">
        <v>1050</v>
      </c>
      <c r="G725" s="71" t="s">
        <v>1051</v>
      </c>
      <c r="H725" s="41"/>
      <c r="I725" s="42"/>
      <c r="J725" s="43" t="str">
        <f t="shared" si="1"/>
        <v>ADA</v>
      </c>
      <c r="K725" s="72">
        <v>12.0</v>
      </c>
      <c r="L725" s="53" t="s">
        <v>69</v>
      </c>
      <c r="M725" s="73">
        <v>29167.0</v>
      </c>
      <c r="N725" s="74"/>
      <c r="O725" s="73">
        <v>350004.0</v>
      </c>
      <c r="P725" s="46" t="str">
        <f t="shared" si="2"/>
        <v>Rp29,167-12 PCS-0.00%</v>
      </c>
      <c r="Q725" s="75">
        <v>45411.0</v>
      </c>
      <c r="R725" s="76"/>
      <c r="S725" s="75">
        <v>45419.0</v>
      </c>
      <c r="T725" s="49"/>
    </row>
    <row r="726">
      <c r="A726" s="82">
        <v>4334.0</v>
      </c>
      <c r="B726" s="69" t="s">
        <v>29</v>
      </c>
      <c r="C726" s="79" t="s">
        <v>1134</v>
      </c>
      <c r="D726" s="69" t="s">
        <v>1052</v>
      </c>
      <c r="E726" s="41" t="str">
        <f>IFERROR(__xludf.DUMMYFUNCTION("vlookup(D726,IMPORTRANGE(""https://docs.google.com/spreadsheets/d/1swGwZOEqYlTEUCJLY-eeJM1911Kvaei5oySBIxdgtNo/edit?pli=1#gid=257618397"",""stock untanna!B:C""),2,false)"),"PENSIL CASE SH-8604")</f>
        <v>PENSIL CASE SH-8604</v>
      </c>
      <c r="F726" s="70" t="s">
        <v>1052</v>
      </c>
      <c r="G726" s="71" t="s">
        <v>1053</v>
      </c>
      <c r="H726" s="41"/>
      <c r="I726" s="42"/>
      <c r="J726" s="43" t="str">
        <f t="shared" si="1"/>
        <v>ADA</v>
      </c>
      <c r="K726" s="72">
        <v>12.0</v>
      </c>
      <c r="L726" s="53" t="s">
        <v>69</v>
      </c>
      <c r="M726" s="73">
        <v>29167.0</v>
      </c>
      <c r="N726" s="74"/>
      <c r="O726" s="73">
        <v>350004.0</v>
      </c>
      <c r="P726" s="46" t="str">
        <f t="shared" si="2"/>
        <v>Rp29,167-12 PCS-0.00%</v>
      </c>
      <c r="Q726" s="75">
        <v>45411.0</v>
      </c>
      <c r="R726" s="76"/>
      <c r="S726" s="75">
        <v>45419.0</v>
      </c>
      <c r="T726" s="49"/>
    </row>
    <row r="727">
      <c r="A727" s="82">
        <v>4334.0</v>
      </c>
      <c r="B727" s="69" t="s">
        <v>29</v>
      </c>
      <c r="C727" s="79" t="s">
        <v>1134</v>
      </c>
      <c r="D727" s="69" t="s">
        <v>1054</v>
      </c>
      <c r="E727" s="41" t="str">
        <f>IFERROR(__xludf.DUMMYFUNCTION("vlookup(D727,IMPORTRANGE(""https://docs.google.com/spreadsheets/d/1swGwZOEqYlTEUCJLY-eeJM1911Kvaei5oySBIxdgtNo/edit?pli=1#gid=257618397"",""stock untanna!B:C""),2,false)"),"PENSIL CASE SH-8603")</f>
        <v>PENSIL CASE SH-8603</v>
      </c>
      <c r="F727" s="70" t="s">
        <v>1054</v>
      </c>
      <c r="G727" s="71" t="s">
        <v>1055</v>
      </c>
      <c r="H727" s="41"/>
      <c r="I727" s="42"/>
      <c r="J727" s="43" t="str">
        <f t="shared" si="1"/>
        <v>ADA</v>
      </c>
      <c r="K727" s="72">
        <v>12.0</v>
      </c>
      <c r="L727" s="53" t="s">
        <v>69</v>
      </c>
      <c r="M727" s="73">
        <v>29167.0</v>
      </c>
      <c r="N727" s="74"/>
      <c r="O727" s="73">
        <v>350004.0</v>
      </c>
      <c r="P727" s="46" t="str">
        <f t="shared" si="2"/>
        <v>Rp29,167-12 PCS-0.00%</v>
      </c>
      <c r="Q727" s="75">
        <v>45411.0</v>
      </c>
      <c r="R727" s="76"/>
      <c r="S727" s="75">
        <v>45419.0</v>
      </c>
      <c r="T727" s="49"/>
    </row>
    <row r="728">
      <c r="A728" s="82">
        <v>4335.0</v>
      </c>
      <c r="B728" s="69" t="s">
        <v>29</v>
      </c>
      <c r="C728" s="79" t="s">
        <v>1134</v>
      </c>
      <c r="D728" s="69" t="s">
        <v>1153</v>
      </c>
      <c r="E728" s="41" t="str">
        <f>IFERROR(__xludf.DUMMYFUNCTION("vlookup(D728,IMPORTRANGE(""https://docs.google.com/spreadsheets/d/1swGwZOEqYlTEUCJLY-eeJM1911Kvaei5oySBIxdgtNo/edit?pli=1#gid=257618397"",""stock untanna!B:C""),2,false)"),"PENSIL CASE SH-8601")</f>
        <v>PENSIL CASE SH-8601</v>
      </c>
      <c r="F728" s="70" t="s">
        <v>1153</v>
      </c>
      <c r="G728" s="71" t="s">
        <v>1154</v>
      </c>
      <c r="H728" s="41"/>
      <c r="I728" s="42"/>
      <c r="J728" s="43" t="str">
        <f t="shared" si="1"/>
        <v>ADA</v>
      </c>
      <c r="K728" s="72">
        <v>12.0</v>
      </c>
      <c r="L728" s="53" t="s">
        <v>69</v>
      </c>
      <c r="M728" s="73">
        <v>29167.0</v>
      </c>
      <c r="N728" s="74"/>
      <c r="O728" s="73">
        <v>350004.0</v>
      </c>
      <c r="P728" s="46" t="str">
        <f t="shared" si="2"/>
        <v>Rp29,167-12 PCS-0.00%</v>
      </c>
      <c r="Q728" s="75">
        <v>45411.0</v>
      </c>
      <c r="R728" s="76"/>
      <c r="S728" s="75">
        <v>45419.0</v>
      </c>
      <c r="T728" s="49"/>
    </row>
    <row r="729">
      <c r="A729" s="82">
        <v>4335.0</v>
      </c>
      <c r="B729" s="69" t="s">
        <v>29</v>
      </c>
      <c r="C729" s="79" t="s">
        <v>1134</v>
      </c>
      <c r="D729" s="69" t="s">
        <v>1155</v>
      </c>
      <c r="E729" s="41" t="str">
        <f>IFERROR(__xludf.DUMMYFUNCTION("vlookup(D729,IMPORTRANGE(""https://docs.google.com/spreadsheets/d/1swGwZOEqYlTEUCJLY-eeJM1911Kvaei5oySBIxdgtNo/edit?pli=1#gid=257618397"",""stock untanna!B:C""),2,false)"),"PENSIL CASE PC-619-3 MOBIL + KODE")</f>
        <v>PENSIL CASE PC-619-3 MOBIL + KODE</v>
      </c>
      <c r="F729" s="70" t="s">
        <v>1155</v>
      </c>
      <c r="G729" s="71" t="s">
        <v>1156</v>
      </c>
      <c r="H729" s="41"/>
      <c r="I729" s="42"/>
      <c r="J729" s="43" t="str">
        <f t="shared" si="1"/>
        <v>ADA</v>
      </c>
      <c r="K729" s="72">
        <v>12.0</v>
      </c>
      <c r="L729" s="53" t="s">
        <v>69</v>
      </c>
      <c r="M729" s="73">
        <v>16667.0</v>
      </c>
      <c r="N729" s="74"/>
      <c r="O729" s="73">
        <v>200004.0</v>
      </c>
      <c r="P729" s="46" t="str">
        <f t="shared" si="2"/>
        <v>Rp16,667-12 PCS-0.00%</v>
      </c>
      <c r="Q729" s="75">
        <v>45411.0</v>
      </c>
      <c r="R729" s="76"/>
      <c r="S729" s="75">
        <v>45419.0</v>
      </c>
      <c r="T729" s="49"/>
    </row>
    <row r="730">
      <c r="A730" s="82">
        <v>4335.0</v>
      </c>
      <c r="B730" s="69" t="s">
        <v>29</v>
      </c>
      <c r="C730" s="79" t="s">
        <v>1134</v>
      </c>
      <c r="D730" s="69" t="s">
        <v>1157</v>
      </c>
      <c r="E730" s="41" t="str">
        <f>IFERROR(__xludf.DUMMYFUNCTION("vlookup(D730,IMPORTRANGE(""https://docs.google.com/spreadsheets/d/1swGwZOEqYlTEUCJLY-eeJM1911Kvaei5oySBIxdgtNo/edit?pli=1#gid=257618397"",""stock untanna!B:C""),2,false)"),"PENCIL CASE KALENG B233 MOBIL")</f>
        <v>PENCIL CASE KALENG B233 MOBIL</v>
      </c>
      <c r="F730" s="70" t="s">
        <v>1157</v>
      </c>
      <c r="G730" s="71" t="s">
        <v>1158</v>
      </c>
      <c r="H730" s="41"/>
      <c r="I730" s="42"/>
      <c r="J730" s="43" t="str">
        <f t="shared" si="1"/>
        <v>ADA</v>
      </c>
      <c r="K730" s="72">
        <v>12.0</v>
      </c>
      <c r="L730" s="53" t="s">
        <v>69</v>
      </c>
      <c r="M730" s="73">
        <v>22917.0</v>
      </c>
      <c r="N730" s="74"/>
      <c r="O730" s="73">
        <v>275004.0</v>
      </c>
      <c r="P730" s="46" t="str">
        <f t="shared" si="2"/>
        <v>Rp22,917-12 PCS-0.00%</v>
      </c>
      <c r="Q730" s="75">
        <v>45411.0</v>
      </c>
      <c r="R730" s="76"/>
      <c r="S730" s="75">
        <v>45419.0</v>
      </c>
      <c r="T730" s="49"/>
    </row>
    <row r="731">
      <c r="A731" s="82">
        <v>4335.0</v>
      </c>
      <c r="B731" s="69" t="s">
        <v>29</v>
      </c>
      <c r="C731" s="79" t="s">
        <v>1134</v>
      </c>
      <c r="D731" s="69"/>
      <c r="E731" s="41" t="s">
        <v>825</v>
      </c>
      <c r="F731" s="70"/>
      <c r="G731" s="71" t="s">
        <v>825</v>
      </c>
      <c r="H731" s="41"/>
      <c r="I731" s="42"/>
      <c r="J731" s="43" t="str">
        <f t="shared" si="1"/>
        <v>TIDAK ADA</v>
      </c>
      <c r="K731" s="72">
        <v>1.0</v>
      </c>
      <c r="L731" s="53" t="s">
        <v>62</v>
      </c>
      <c r="M731" s="73">
        <v>225000.0</v>
      </c>
      <c r="N731" s="74"/>
      <c r="O731" s="73">
        <v>225000.0</v>
      </c>
      <c r="P731" s="46" t="str">
        <f t="shared" si="2"/>
        <v>Rp225,000-1 LSN-0.00%</v>
      </c>
      <c r="Q731" s="75">
        <v>45411.0</v>
      </c>
      <c r="R731" s="76"/>
      <c r="S731" s="75">
        <v>45419.0</v>
      </c>
      <c r="T731" s="80" t="s">
        <v>280</v>
      </c>
    </row>
    <row r="732">
      <c r="A732" s="82">
        <v>4335.0</v>
      </c>
      <c r="B732" s="69" t="s">
        <v>29</v>
      </c>
      <c r="C732" s="79" t="s">
        <v>1134</v>
      </c>
      <c r="D732" s="69"/>
      <c r="E732" s="41" t="s">
        <v>1159</v>
      </c>
      <c r="F732" s="70"/>
      <c r="G732" s="71" t="s">
        <v>1159</v>
      </c>
      <c r="H732" s="41"/>
      <c r="I732" s="42"/>
      <c r="J732" s="43" t="str">
        <f t="shared" si="1"/>
        <v>TIDAK ADA</v>
      </c>
      <c r="K732" s="72">
        <v>1.0</v>
      </c>
      <c r="L732" s="53" t="s">
        <v>62</v>
      </c>
      <c r="M732" s="73">
        <v>55000.0</v>
      </c>
      <c r="N732" s="74"/>
      <c r="O732" s="73">
        <v>55000.0</v>
      </c>
      <c r="P732" s="46" t="str">
        <f t="shared" si="2"/>
        <v>Rp55,000-1 LSN-0.00%</v>
      </c>
      <c r="Q732" s="75">
        <v>45411.0</v>
      </c>
      <c r="R732" s="76"/>
      <c r="S732" s="75">
        <v>45419.0</v>
      </c>
      <c r="T732" s="80" t="s">
        <v>280</v>
      </c>
    </row>
    <row r="733">
      <c r="A733" s="82">
        <v>4335.0</v>
      </c>
      <c r="B733" s="69" t="s">
        <v>29</v>
      </c>
      <c r="C733" s="79" t="s">
        <v>1134</v>
      </c>
      <c r="D733" s="69"/>
      <c r="E733" s="41" t="s">
        <v>1160</v>
      </c>
      <c r="F733" s="70"/>
      <c r="G733" s="71" t="s">
        <v>1160</v>
      </c>
      <c r="H733" s="41"/>
      <c r="I733" s="42"/>
      <c r="J733" s="43" t="str">
        <f t="shared" si="1"/>
        <v>TIDAK ADA</v>
      </c>
      <c r="K733" s="72">
        <v>1.0</v>
      </c>
      <c r="L733" s="53" t="s">
        <v>62</v>
      </c>
      <c r="M733" s="73">
        <v>100000.0</v>
      </c>
      <c r="N733" s="74"/>
      <c r="O733" s="73">
        <v>100000.0</v>
      </c>
      <c r="P733" s="46" t="str">
        <f t="shared" si="2"/>
        <v>Rp100,000-1 LSN-0.00%</v>
      </c>
      <c r="Q733" s="75">
        <v>45411.0</v>
      </c>
      <c r="R733" s="76"/>
      <c r="S733" s="75">
        <v>45419.0</v>
      </c>
      <c r="T733" s="80" t="s">
        <v>280</v>
      </c>
    </row>
    <row r="734">
      <c r="A734" s="82">
        <v>4335.0</v>
      </c>
      <c r="B734" s="69" t="s">
        <v>29</v>
      </c>
      <c r="C734" s="79" t="s">
        <v>1134</v>
      </c>
      <c r="D734" s="69" t="s">
        <v>1161</v>
      </c>
      <c r="E734" s="41" t="str">
        <f>IFERROR(__xludf.DUMMYFUNCTION("vlookup(D734,IMPORTRANGE(""https://docs.google.com/spreadsheets/d/1swGwZOEqYlTEUCJLY-eeJM1911Kvaei5oySBIxdgtNo/edit?pli=1#gid=257618397"",""stock untanna!B:C""),2,false)"),"PENSIL CASE WLT9902")</f>
        <v>PENSIL CASE WLT9902</v>
      </c>
      <c r="F734" s="70" t="s">
        <v>1161</v>
      </c>
      <c r="G734" s="71" t="s">
        <v>1162</v>
      </c>
      <c r="H734" s="41"/>
      <c r="I734" s="42"/>
      <c r="J734" s="43" t="str">
        <f t="shared" si="1"/>
        <v>ADA</v>
      </c>
      <c r="K734" s="72">
        <v>12.0</v>
      </c>
      <c r="L734" s="53" t="s">
        <v>69</v>
      </c>
      <c r="M734" s="73">
        <v>8333.0</v>
      </c>
      <c r="N734" s="74"/>
      <c r="O734" s="73">
        <v>99996.0</v>
      </c>
      <c r="P734" s="46" t="str">
        <f t="shared" si="2"/>
        <v>Rp8,333-12 PCS-0.00%</v>
      </c>
      <c r="Q734" s="75">
        <v>45411.0</v>
      </c>
      <c r="R734" s="76"/>
      <c r="S734" s="75">
        <v>45419.0</v>
      </c>
      <c r="T734" s="49"/>
    </row>
    <row r="735">
      <c r="A735" s="82">
        <v>4335.0</v>
      </c>
      <c r="B735" s="69" t="s">
        <v>29</v>
      </c>
      <c r="C735" s="79" t="s">
        <v>1134</v>
      </c>
      <c r="D735" s="69" t="s">
        <v>661</v>
      </c>
      <c r="E735" s="41" t="str">
        <f>IFERROR(__xludf.DUMMYFUNCTION("vlookup(D735,IMPORTRANGE(""https://docs.google.com/spreadsheets/d/1swGwZOEqYlTEUCJLY-eeJM1911Kvaei5oySBIxdgtNo/edit?pli=1#gid=257618397"",""stock untanna!B:C""),2,false)"),"PENCIL CASE KARTON KK 1299 3D/ 3 SUSUN")</f>
        <v>PENCIL CASE KARTON KK 1299 3D/ 3 SUSUN</v>
      </c>
      <c r="F735" s="70" t="s">
        <v>661</v>
      </c>
      <c r="G735" s="78" t="s">
        <v>662</v>
      </c>
      <c r="H735" s="41"/>
      <c r="I735" s="42"/>
      <c r="J735" s="43" t="str">
        <f t="shared" si="1"/>
        <v>ADA</v>
      </c>
      <c r="K735" s="72">
        <v>12.0</v>
      </c>
      <c r="L735" s="53" t="s">
        <v>69</v>
      </c>
      <c r="M735" s="73">
        <v>22500.0</v>
      </c>
      <c r="N735" s="74"/>
      <c r="O735" s="73">
        <v>270000.0</v>
      </c>
      <c r="P735" s="46" t="str">
        <f t="shared" si="2"/>
        <v>Rp22,500-12 PCS-0.00%</v>
      </c>
      <c r="Q735" s="75">
        <v>45411.0</v>
      </c>
      <c r="R735" s="76"/>
      <c r="S735" s="75">
        <v>45419.0</v>
      </c>
      <c r="T735" s="49"/>
    </row>
    <row r="736">
      <c r="A736" s="82">
        <v>4335.0</v>
      </c>
      <c r="B736" s="69" t="s">
        <v>29</v>
      </c>
      <c r="C736" s="79" t="s">
        <v>1134</v>
      </c>
      <c r="D736" s="69"/>
      <c r="E736" s="41" t="s">
        <v>1163</v>
      </c>
      <c r="F736" s="70"/>
      <c r="G736" s="71" t="s">
        <v>1163</v>
      </c>
      <c r="H736" s="41"/>
      <c r="I736" s="42"/>
      <c r="J736" s="43" t="str">
        <f t="shared" si="1"/>
        <v>TIDAK ADA</v>
      </c>
      <c r="K736" s="72">
        <v>1.0</v>
      </c>
      <c r="L736" s="53" t="s">
        <v>62</v>
      </c>
      <c r="M736" s="73">
        <v>125000.0</v>
      </c>
      <c r="N736" s="74"/>
      <c r="O736" s="73">
        <v>125000.0</v>
      </c>
      <c r="P736" s="46" t="str">
        <f t="shared" si="2"/>
        <v>Rp125,000-1 LSN-0.00%</v>
      </c>
      <c r="Q736" s="75">
        <v>45411.0</v>
      </c>
      <c r="R736" s="76"/>
      <c r="S736" s="75">
        <v>45419.0</v>
      </c>
      <c r="T736" s="80" t="s">
        <v>280</v>
      </c>
    </row>
    <row r="737">
      <c r="A737" s="82">
        <v>4335.0</v>
      </c>
      <c r="B737" s="69" t="s">
        <v>29</v>
      </c>
      <c r="C737" s="79" t="s">
        <v>1134</v>
      </c>
      <c r="D737" s="69" t="s">
        <v>1164</v>
      </c>
      <c r="E737" s="41" t="str">
        <f>IFERROR(__xludf.DUMMYFUNCTION("vlookup(D737,IMPORTRANGE(""https://docs.google.com/spreadsheets/d/1swGwZOEqYlTEUCJLY-eeJM1911Kvaei5oySBIxdgtNo/edit?pli=1#gid=257618397"",""stock untanna!B:C""),2,false)"),"PENSIL CASE KW-1717")</f>
        <v>PENSIL CASE KW-1717</v>
      </c>
      <c r="F737" s="70" t="s">
        <v>1164</v>
      </c>
      <c r="G737" s="71" t="s">
        <v>1165</v>
      </c>
      <c r="H737" s="41"/>
      <c r="I737" s="42"/>
      <c r="J737" s="43" t="str">
        <f t="shared" si="1"/>
        <v>ADA</v>
      </c>
      <c r="K737" s="72">
        <v>12.0</v>
      </c>
      <c r="L737" s="53" t="s">
        <v>69</v>
      </c>
      <c r="M737" s="73">
        <v>58333.0</v>
      </c>
      <c r="N737" s="74"/>
      <c r="O737" s="73">
        <v>699996.0</v>
      </c>
      <c r="P737" s="46" t="str">
        <f t="shared" si="2"/>
        <v>Rp58,333-12 PCS-0.00%</v>
      </c>
      <c r="Q737" s="75">
        <v>45411.0</v>
      </c>
      <c r="R737" s="76"/>
      <c r="S737" s="75">
        <v>45419.0</v>
      </c>
      <c r="T737" s="49"/>
    </row>
    <row r="738">
      <c r="A738" s="82">
        <v>4335.0</v>
      </c>
      <c r="B738" s="69" t="s">
        <v>29</v>
      </c>
      <c r="C738" s="79" t="s">
        <v>1134</v>
      </c>
      <c r="D738" s="50" t="s">
        <v>1166</v>
      </c>
      <c r="E738" s="41" t="str">
        <f>IFERROR(__xludf.DUMMYFUNCTION("IFNA(vlookup(D738,IMPORTRANGE(""https://docs.google.com/spreadsheets/d/1swGwZOEqYlTEUCJLY-eeJM1911Kvaei5oySBIxdgtNo/edit?pli=1#gid=257618397"",""stock untanna!B:C""),2,false),V:V)"),"PC MAGNIT A 6682")</f>
        <v>PC MAGNIT A 6682</v>
      </c>
      <c r="F738" s="70"/>
      <c r="G738" s="71" t="s">
        <v>587</v>
      </c>
      <c r="H738" s="41"/>
      <c r="I738" s="42"/>
      <c r="J738" s="43" t="str">
        <f t="shared" si="1"/>
        <v>ADA</v>
      </c>
      <c r="K738" s="72">
        <v>1.0</v>
      </c>
      <c r="L738" s="53" t="s">
        <v>62</v>
      </c>
      <c r="M738" s="73">
        <v>325000.0</v>
      </c>
      <c r="N738" s="74"/>
      <c r="O738" s="73">
        <v>325000.0</v>
      </c>
      <c r="P738" s="46" t="str">
        <f t="shared" si="2"/>
        <v>Rp325,000-1 LSN-0.00%</v>
      </c>
      <c r="Q738" s="75">
        <v>45411.0</v>
      </c>
      <c r="R738" s="76"/>
      <c r="S738" s="75">
        <v>45419.0</v>
      </c>
      <c r="T738" s="80" t="s">
        <v>280</v>
      </c>
    </row>
    <row r="739">
      <c r="A739" s="82">
        <v>4335.0</v>
      </c>
      <c r="B739" s="69" t="s">
        <v>29</v>
      </c>
      <c r="C739" s="79" t="s">
        <v>1134</v>
      </c>
      <c r="D739" s="69"/>
      <c r="E739" s="41" t="s">
        <v>1167</v>
      </c>
      <c r="F739" s="70"/>
      <c r="G739" s="71" t="s">
        <v>1167</v>
      </c>
      <c r="H739" s="41"/>
      <c r="I739" s="42"/>
      <c r="J739" s="43" t="str">
        <f t="shared" si="1"/>
        <v>TIDAK ADA</v>
      </c>
      <c r="K739" s="72">
        <v>10.0</v>
      </c>
      <c r="L739" s="53" t="s">
        <v>114</v>
      </c>
      <c r="M739" s="73">
        <v>9000.0</v>
      </c>
      <c r="N739" s="74"/>
      <c r="O739" s="73">
        <v>90000.0</v>
      </c>
      <c r="P739" s="46" t="str">
        <f t="shared" si="2"/>
        <v>Rp9,000-10 PAK-0.00%</v>
      </c>
      <c r="Q739" s="75">
        <v>45411.0</v>
      </c>
      <c r="R739" s="76"/>
      <c r="S739" s="75">
        <v>45419.0</v>
      </c>
      <c r="T739" s="49"/>
    </row>
    <row r="740">
      <c r="A740" s="82">
        <v>4335.0</v>
      </c>
      <c r="B740" s="69" t="s">
        <v>29</v>
      </c>
      <c r="C740" s="79" t="s">
        <v>1134</v>
      </c>
      <c r="D740" s="69"/>
      <c r="E740" s="41" t="s">
        <v>1168</v>
      </c>
      <c r="F740" s="70"/>
      <c r="G740" s="71" t="s">
        <v>1168</v>
      </c>
      <c r="H740" s="41"/>
      <c r="I740" s="42"/>
      <c r="J740" s="43" t="str">
        <f t="shared" si="1"/>
        <v>TIDAK ADA</v>
      </c>
      <c r="K740" s="72">
        <v>10.0</v>
      </c>
      <c r="L740" s="53" t="s">
        <v>114</v>
      </c>
      <c r="M740" s="73">
        <v>9000.0</v>
      </c>
      <c r="N740" s="74"/>
      <c r="O740" s="73">
        <v>90000.0</v>
      </c>
      <c r="P740" s="46" t="str">
        <f t="shared" si="2"/>
        <v>Rp9,000-10 PAK-0.00%</v>
      </c>
      <c r="Q740" s="75">
        <v>45411.0</v>
      </c>
      <c r="R740" s="76"/>
      <c r="S740" s="75">
        <v>45419.0</v>
      </c>
      <c r="T740" s="49"/>
    </row>
    <row r="741">
      <c r="A741" s="82">
        <v>4335.0</v>
      </c>
      <c r="B741" s="69" t="s">
        <v>29</v>
      </c>
      <c r="C741" s="79" t="s">
        <v>1134</v>
      </c>
      <c r="D741" s="69" t="s">
        <v>1169</v>
      </c>
      <c r="E741" s="41" t="str">
        <f>IFERROR(__xludf.DUMMYFUNCTION("vlookup(D741,IMPORTRANGE(""https://docs.google.com/spreadsheets/d/1swGwZOEqYlTEUCJLY-eeJM1911Kvaei5oySBIxdgtNo/edit?pli=1#gid=257618397"",""stock untanna!B:C""),2,false)"),"MAGNET 034")</f>
        <v>MAGNET 034</v>
      </c>
      <c r="F741" s="70" t="s">
        <v>1169</v>
      </c>
      <c r="G741" s="71" t="s">
        <v>1170</v>
      </c>
      <c r="H741" s="41"/>
      <c r="I741" s="42"/>
      <c r="J741" s="43" t="str">
        <f t="shared" si="1"/>
        <v>ADA</v>
      </c>
      <c r="K741" s="72">
        <v>12.0</v>
      </c>
      <c r="L741" s="53" t="s">
        <v>69</v>
      </c>
      <c r="M741" s="73">
        <v>5417.0</v>
      </c>
      <c r="N741" s="74"/>
      <c r="O741" s="73">
        <v>65004.0</v>
      </c>
      <c r="P741" s="46" t="str">
        <f t="shared" si="2"/>
        <v>Rp5,417-12 PCS-0.00%</v>
      </c>
      <c r="Q741" s="75">
        <v>45411.0</v>
      </c>
      <c r="R741" s="76"/>
      <c r="S741" s="75">
        <v>45419.0</v>
      </c>
      <c r="T741" s="49"/>
    </row>
    <row r="742">
      <c r="A742" s="82">
        <v>4335.0</v>
      </c>
      <c r="B742" s="69" t="s">
        <v>29</v>
      </c>
      <c r="C742" s="79" t="s">
        <v>1134</v>
      </c>
      <c r="D742" s="69" t="s">
        <v>1171</v>
      </c>
      <c r="E742" s="41" t="str">
        <f>IFERROR(__xludf.DUMMYFUNCTION("vlookup(D742,IMPORTRANGE(""https://docs.google.com/spreadsheets/d/1swGwZOEqYlTEUCJLY-eeJM1911Kvaei5oySBIxdgtNo/edit?pli=1#gid=257618397"",""stock untanna!B:C""),2,false)"),"PAPAN WHITE BOARD XG POLOS 25 X 35")</f>
        <v>PAPAN WHITE BOARD XG POLOS 25 X 35</v>
      </c>
      <c r="F742" s="70" t="s">
        <v>1171</v>
      </c>
      <c r="G742" s="71" t="s">
        <v>1172</v>
      </c>
      <c r="H742" s="41"/>
      <c r="I742" s="42"/>
      <c r="J742" s="43" t="str">
        <f t="shared" si="1"/>
        <v>ADA</v>
      </c>
      <c r="K742" s="72">
        <v>6.0</v>
      </c>
      <c r="L742" s="53" t="s">
        <v>69</v>
      </c>
      <c r="M742" s="73">
        <v>25000.0</v>
      </c>
      <c r="N742" s="74"/>
      <c r="O742" s="73">
        <v>150000.0</v>
      </c>
      <c r="P742" s="46" t="str">
        <f t="shared" si="2"/>
        <v>Rp25,000-6 PCS-0.00%</v>
      </c>
      <c r="Q742" s="75">
        <v>45411.0</v>
      </c>
      <c r="R742" s="76"/>
      <c r="S742" s="75">
        <v>45419.0</v>
      </c>
      <c r="T742" s="49"/>
    </row>
    <row r="743">
      <c r="A743" s="82">
        <v>4335.0</v>
      </c>
      <c r="B743" s="69" t="s">
        <v>29</v>
      </c>
      <c r="C743" s="79" t="s">
        <v>1134</v>
      </c>
      <c r="D743" s="69" t="s">
        <v>827</v>
      </c>
      <c r="E743" s="41" t="str">
        <f>IFERROR(__xludf.DUMMYFUNCTION("vlookup(D743,IMPORTRANGE(""https://docs.google.com/spreadsheets/d/1swGwZOEqYlTEUCJLY-eeJM1911Kvaei5oySBIxdgtNo/edit?pli=1#gid=257618397"",""stock untanna!B:C""),2,false)"),"PAPAN WHITE BOARD XG POLOS 30 X 40")</f>
        <v>PAPAN WHITE BOARD XG POLOS 30 X 40</v>
      </c>
      <c r="F743" s="70" t="s">
        <v>827</v>
      </c>
      <c r="G743" s="71" t="s">
        <v>828</v>
      </c>
      <c r="H743" s="41"/>
      <c r="I743" s="42"/>
      <c r="J743" s="43" t="str">
        <f t="shared" si="1"/>
        <v>ADA</v>
      </c>
      <c r="K743" s="72">
        <v>6.0</v>
      </c>
      <c r="L743" s="53" t="s">
        <v>69</v>
      </c>
      <c r="M743" s="73">
        <v>30000.0</v>
      </c>
      <c r="N743" s="74"/>
      <c r="O743" s="73">
        <v>180000.0</v>
      </c>
      <c r="P743" s="46" t="str">
        <f t="shared" si="2"/>
        <v>Rp30,000-6 PCS-0.00%</v>
      </c>
      <c r="Q743" s="75">
        <v>45411.0</v>
      </c>
      <c r="R743" s="76"/>
      <c r="S743" s="75">
        <v>45419.0</v>
      </c>
      <c r="T743" s="49"/>
    </row>
    <row r="744">
      <c r="A744" s="82">
        <v>4336.0</v>
      </c>
      <c r="B744" s="69" t="s">
        <v>29</v>
      </c>
      <c r="C744" s="79" t="s">
        <v>1134</v>
      </c>
      <c r="D744" s="69"/>
      <c r="E744" s="41" t="s">
        <v>1173</v>
      </c>
      <c r="F744" s="70"/>
      <c r="G744" s="71" t="s">
        <v>1173</v>
      </c>
      <c r="H744" s="41"/>
      <c r="I744" s="42"/>
      <c r="J744" s="43" t="str">
        <f t="shared" si="1"/>
        <v>TIDAK ADA</v>
      </c>
      <c r="K744" s="72">
        <v>1.0</v>
      </c>
      <c r="L744" s="53" t="s">
        <v>62</v>
      </c>
      <c r="M744" s="73">
        <v>18000.0</v>
      </c>
      <c r="N744" s="74"/>
      <c r="O744" s="73">
        <v>18000.0</v>
      </c>
      <c r="P744" s="46" t="str">
        <f t="shared" si="2"/>
        <v>Rp18,000-1 LSN-0.00%</v>
      </c>
      <c r="Q744" s="75">
        <v>45411.0</v>
      </c>
      <c r="R744" s="76"/>
      <c r="S744" s="75">
        <v>45419.0</v>
      </c>
      <c r="T744" s="49"/>
    </row>
    <row r="745">
      <c r="A745" s="82">
        <v>4336.0</v>
      </c>
      <c r="B745" s="69" t="s">
        <v>29</v>
      </c>
      <c r="C745" s="79" t="s">
        <v>1134</v>
      </c>
      <c r="D745" s="69"/>
      <c r="E745" s="41" t="s">
        <v>1174</v>
      </c>
      <c r="F745" s="70"/>
      <c r="G745" s="71" t="s">
        <v>1174</v>
      </c>
      <c r="H745" s="41"/>
      <c r="I745" s="42"/>
      <c r="J745" s="43" t="str">
        <f t="shared" si="1"/>
        <v>TIDAK ADA</v>
      </c>
      <c r="K745" s="72">
        <v>1.0</v>
      </c>
      <c r="L745" s="53" t="s">
        <v>62</v>
      </c>
      <c r="M745" s="73">
        <v>18000.0</v>
      </c>
      <c r="N745" s="74"/>
      <c r="O745" s="73">
        <v>18000.0</v>
      </c>
      <c r="P745" s="46" t="str">
        <f t="shared" si="2"/>
        <v>Rp18,000-1 LSN-0.00%</v>
      </c>
      <c r="Q745" s="75">
        <v>45411.0</v>
      </c>
      <c r="R745" s="76"/>
      <c r="S745" s="75">
        <v>45419.0</v>
      </c>
      <c r="T745" s="49"/>
    </row>
    <row r="746">
      <c r="A746" s="82">
        <v>4336.0</v>
      </c>
      <c r="B746" s="69" t="s">
        <v>29</v>
      </c>
      <c r="C746" s="79" t="s">
        <v>1134</v>
      </c>
      <c r="D746" s="69"/>
      <c r="E746" s="41" t="s">
        <v>1175</v>
      </c>
      <c r="F746" s="70"/>
      <c r="G746" s="71" t="s">
        <v>1175</v>
      </c>
      <c r="H746" s="41"/>
      <c r="I746" s="42"/>
      <c r="J746" s="43" t="str">
        <f t="shared" si="1"/>
        <v>TIDAK ADA</v>
      </c>
      <c r="K746" s="72">
        <v>1.0</v>
      </c>
      <c r="L746" s="53" t="s">
        <v>62</v>
      </c>
      <c r="M746" s="73">
        <v>18000.0</v>
      </c>
      <c r="N746" s="74"/>
      <c r="O746" s="73">
        <v>18000.0</v>
      </c>
      <c r="P746" s="46" t="str">
        <f t="shared" si="2"/>
        <v>Rp18,000-1 LSN-0.00%</v>
      </c>
      <c r="Q746" s="75">
        <v>45411.0</v>
      </c>
      <c r="R746" s="76"/>
      <c r="S746" s="75">
        <v>45419.0</v>
      </c>
      <c r="T746" s="49"/>
    </row>
    <row r="747">
      <c r="A747" s="82">
        <v>4336.0</v>
      </c>
      <c r="B747" s="69" t="s">
        <v>29</v>
      </c>
      <c r="C747" s="79" t="s">
        <v>1134</v>
      </c>
      <c r="D747" s="69"/>
      <c r="E747" s="41" t="s">
        <v>1176</v>
      </c>
      <c r="F747" s="70"/>
      <c r="G747" s="71" t="s">
        <v>1176</v>
      </c>
      <c r="H747" s="41"/>
      <c r="I747" s="42"/>
      <c r="J747" s="43" t="str">
        <f t="shared" si="1"/>
        <v>TIDAK ADA</v>
      </c>
      <c r="K747" s="72">
        <v>1.0</v>
      </c>
      <c r="L747" s="53" t="s">
        <v>62</v>
      </c>
      <c r="M747" s="73">
        <v>18000.0</v>
      </c>
      <c r="N747" s="74"/>
      <c r="O747" s="73">
        <v>18000.0</v>
      </c>
      <c r="P747" s="46" t="str">
        <f t="shared" si="2"/>
        <v>Rp18,000-1 LSN-0.00%</v>
      </c>
      <c r="Q747" s="75">
        <v>45411.0</v>
      </c>
      <c r="R747" s="76"/>
      <c r="S747" s="75">
        <v>45419.0</v>
      </c>
      <c r="T747" s="49"/>
    </row>
    <row r="748">
      <c r="A748" s="82">
        <v>4336.0</v>
      </c>
      <c r="B748" s="69" t="s">
        <v>29</v>
      </c>
      <c r="C748" s="79" t="s">
        <v>1134</v>
      </c>
      <c r="D748" s="69"/>
      <c r="E748" s="41" t="s">
        <v>1177</v>
      </c>
      <c r="F748" s="70"/>
      <c r="G748" s="71" t="s">
        <v>1177</v>
      </c>
      <c r="H748" s="41"/>
      <c r="I748" s="42"/>
      <c r="J748" s="43" t="str">
        <f t="shared" si="1"/>
        <v>TIDAK ADA</v>
      </c>
      <c r="K748" s="72">
        <v>1.0</v>
      </c>
      <c r="L748" s="53" t="s">
        <v>62</v>
      </c>
      <c r="M748" s="73">
        <v>18000.0</v>
      </c>
      <c r="N748" s="74"/>
      <c r="O748" s="73">
        <v>18000.0</v>
      </c>
      <c r="P748" s="46" t="str">
        <f t="shared" si="2"/>
        <v>Rp18,000-1 LSN-0.00%</v>
      </c>
      <c r="Q748" s="75">
        <v>45411.0</v>
      </c>
      <c r="R748" s="76"/>
      <c r="S748" s="75">
        <v>45419.0</v>
      </c>
      <c r="T748" s="49"/>
    </row>
    <row r="749">
      <c r="A749" s="82">
        <v>4336.0</v>
      </c>
      <c r="B749" s="69" t="s">
        <v>29</v>
      </c>
      <c r="C749" s="79" t="s">
        <v>1134</v>
      </c>
      <c r="D749" s="69"/>
      <c r="E749" s="41" t="s">
        <v>1178</v>
      </c>
      <c r="F749" s="70"/>
      <c r="G749" s="71" t="s">
        <v>1178</v>
      </c>
      <c r="H749" s="41"/>
      <c r="I749" s="42"/>
      <c r="J749" s="43" t="str">
        <f t="shared" si="1"/>
        <v>TIDAK ADA</v>
      </c>
      <c r="K749" s="72">
        <v>1.0</v>
      </c>
      <c r="L749" s="53" t="s">
        <v>62</v>
      </c>
      <c r="M749" s="73">
        <v>18000.0</v>
      </c>
      <c r="N749" s="74"/>
      <c r="O749" s="73">
        <v>18000.0</v>
      </c>
      <c r="P749" s="46" t="str">
        <f t="shared" si="2"/>
        <v>Rp18,000-1 LSN-0.00%</v>
      </c>
      <c r="Q749" s="75">
        <v>45411.0</v>
      </c>
      <c r="R749" s="76"/>
      <c r="S749" s="75">
        <v>45419.0</v>
      </c>
      <c r="T749" s="49"/>
    </row>
    <row r="750">
      <c r="A750" s="82">
        <v>4336.0</v>
      </c>
      <c r="B750" s="69" t="s">
        <v>29</v>
      </c>
      <c r="C750" s="79" t="s">
        <v>1134</v>
      </c>
      <c r="D750" s="69"/>
      <c r="E750" s="41" t="s">
        <v>1179</v>
      </c>
      <c r="F750" s="70"/>
      <c r="G750" s="71" t="s">
        <v>1179</v>
      </c>
      <c r="H750" s="41"/>
      <c r="I750" s="42"/>
      <c r="J750" s="43" t="str">
        <f t="shared" si="1"/>
        <v>TIDAK ADA</v>
      </c>
      <c r="K750" s="72">
        <v>1.0</v>
      </c>
      <c r="L750" s="53" t="s">
        <v>62</v>
      </c>
      <c r="M750" s="73">
        <v>18000.0</v>
      </c>
      <c r="N750" s="74"/>
      <c r="O750" s="73">
        <v>18000.0</v>
      </c>
      <c r="P750" s="46" t="str">
        <f t="shared" si="2"/>
        <v>Rp18,000-1 LSN-0.00%</v>
      </c>
      <c r="Q750" s="75">
        <v>45411.0</v>
      </c>
      <c r="R750" s="76"/>
      <c r="S750" s="75">
        <v>45419.0</v>
      </c>
      <c r="T750" s="49"/>
    </row>
    <row r="751">
      <c r="A751" s="82">
        <v>4336.0</v>
      </c>
      <c r="B751" s="69" t="s">
        <v>29</v>
      </c>
      <c r="C751" s="79" t="s">
        <v>1134</v>
      </c>
      <c r="D751" s="69"/>
      <c r="E751" s="41" t="s">
        <v>1180</v>
      </c>
      <c r="F751" s="70"/>
      <c r="G751" s="71" t="s">
        <v>1180</v>
      </c>
      <c r="H751" s="41"/>
      <c r="I751" s="42"/>
      <c r="J751" s="43" t="str">
        <f t="shared" si="1"/>
        <v>TIDAK ADA</v>
      </c>
      <c r="K751" s="72">
        <v>1.0</v>
      </c>
      <c r="L751" s="53" t="s">
        <v>131</v>
      </c>
      <c r="M751" s="73">
        <v>175000.0</v>
      </c>
      <c r="N751" s="74"/>
      <c r="O751" s="73">
        <v>175000.0</v>
      </c>
      <c r="P751" s="46" t="str">
        <f t="shared" si="2"/>
        <v>Rp175,000-1 GRS-0.00%</v>
      </c>
      <c r="Q751" s="75">
        <v>45411.0</v>
      </c>
      <c r="R751" s="76"/>
      <c r="S751" s="75">
        <v>45419.0</v>
      </c>
      <c r="T751" s="80" t="s">
        <v>280</v>
      </c>
    </row>
    <row r="752">
      <c r="A752" s="82">
        <v>4336.0</v>
      </c>
      <c r="B752" s="69" t="s">
        <v>29</v>
      </c>
      <c r="C752" s="79" t="s">
        <v>1134</v>
      </c>
      <c r="D752" s="69"/>
      <c r="E752" s="41" t="s">
        <v>1181</v>
      </c>
      <c r="F752" s="70"/>
      <c r="G752" s="71" t="s">
        <v>1181</v>
      </c>
      <c r="H752" s="41"/>
      <c r="I752" s="42"/>
      <c r="J752" s="43" t="str">
        <f t="shared" si="1"/>
        <v>TIDAK ADA</v>
      </c>
      <c r="K752" s="72">
        <v>1.0</v>
      </c>
      <c r="L752" s="53" t="s">
        <v>131</v>
      </c>
      <c r="M752" s="73">
        <v>195000.0</v>
      </c>
      <c r="N752" s="74"/>
      <c r="O752" s="73">
        <v>195000.0</v>
      </c>
      <c r="P752" s="46" t="str">
        <f t="shared" si="2"/>
        <v>Rp195,000-1 GRS-0.00%</v>
      </c>
      <c r="Q752" s="75">
        <v>45411.0</v>
      </c>
      <c r="R752" s="76"/>
      <c r="S752" s="75">
        <v>45419.0</v>
      </c>
      <c r="T752" s="80" t="s">
        <v>280</v>
      </c>
    </row>
    <row r="753">
      <c r="A753" s="82">
        <v>4336.0</v>
      </c>
      <c r="B753" s="69" t="s">
        <v>29</v>
      </c>
      <c r="C753" s="79" t="s">
        <v>1134</v>
      </c>
      <c r="D753" s="69"/>
      <c r="E753" s="41" t="s">
        <v>1182</v>
      </c>
      <c r="F753" s="70"/>
      <c r="G753" s="71" t="s">
        <v>1182</v>
      </c>
      <c r="H753" s="41"/>
      <c r="I753" s="42"/>
      <c r="J753" s="43" t="str">
        <f t="shared" si="1"/>
        <v>TIDAK ADA</v>
      </c>
      <c r="K753" s="72">
        <v>1.0</v>
      </c>
      <c r="L753" s="53" t="s">
        <v>131</v>
      </c>
      <c r="M753" s="73">
        <v>215000.0</v>
      </c>
      <c r="N753" s="74"/>
      <c r="O753" s="73">
        <v>215000.0</v>
      </c>
      <c r="P753" s="46" t="str">
        <f t="shared" si="2"/>
        <v>Rp215,000-1 GRS-0.00%</v>
      </c>
      <c r="Q753" s="75">
        <v>45411.0</v>
      </c>
      <c r="R753" s="76"/>
      <c r="S753" s="75">
        <v>45419.0</v>
      </c>
      <c r="T753" s="80" t="s">
        <v>280</v>
      </c>
    </row>
    <row r="754">
      <c r="A754" s="82">
        <v>4336.0</v>
      </c>
      <c r="B754" s="69" t="s">
        <v>29</v>
      </c>
      <c r="C754" s="79" t="s">
        <v>1134</v>
      </c>
      <c r="D754" s="69"/>
      <c r="E754" s="41" t="s">
        <v>1183</v>
      </c>
      <c r="F754" s="70"/>
      <c r="G754" s="71" t="s">
        <v>1183</v>
      </c>
      <c r="H754" s="41"/>
      <c r="I754" s="42"/>
      <c r="J754" s="43" t="str">
        <f t="shared" si="1"/>
        <v>TIDAK ADA</v>
      </c>
      <c r="K754" s="72">
        <v>1.0</v>
      </c>
      <c r="L754" s="53" t="s">
        <v>131</v>
      </c>
      <c r="M754" s="73">
        <v>240000.0</v>
      </c>
      <c r="N754" s="74"/>
      <c r="O754" s="73">
        <v>240000.0</v>
      </c>
      <c r="P754" s="46" t="str">
        <f t="shared" si="2"/>
        <v>Rp240,000-1 GRS-0.00%</v>
      </c>
      <c r="Q754" s="75">
        <v>45411.0</v>
      </c>
      <c r="R754" s="76"/>
      <c r="S754" s="75">
        <v>45419.0</v>
      </c>
      <c r="T754" s="80" t="s">
        <v>280</v>
      </c>
    </row>
    <row r="755">
      <c r="A755" s="82">
        <v>4336.0</v>
      </c>
      <c r="B755" s="69" t="s">
        <v>29</v>
      </c>
      <c r="C755" s="79" t="s">
        <v>1134</v>
      </c>
      <c r="D755" s="69"/>
      <c r="E755" s="41" t="s">
        <v>1184</v>
      </c>
      <c r="F755" s="70"/>
      <c r="G755" s="71" t="s">
        <v>1184</v>
      </c>
      <c r="H755" s="41"/>
      <c r="I755" s="42"/>
      <c r="J755" s="43" t="str">
        <f t="shared" si="1"/>
        <v>TIDAK ADA</v>
      </c>
      <c r="K755" s="72">
        <v>1.0</v>
      </c>
      <c r="L755" s="53" t="s">
        <v>62</v>
      </c>
      <c r="M755" s="73">
        <v>525000.0</v>
      </c>
      <c r="N755" s="74"/>
      <c r="O755" s="73">
        <v>525000.0</v>
      </c>
      <c r="P755" s="46" t="str">
        <f t="shared" si="2"/>
        <v>Rp525,000-1 LSN-0.00%</v>
      </c>
      <c r="Q755" s="75">
        <v>45411.0</v>
      </c>
      <c r="R755" s="76"/>
      <c r="S755" s="75">
        <v>45419.0</v>
      </c>
      <c r="T755" s="49"/>
    </row>
    <row r="756">
      <c r="A756" s="82">
        <v>4336.0</v>
      </c>
      <c r="B756" s="69" t="s">
        <v>29</v>
      </c>
      <c r="C756" s="79" t="s">
        <v>1134</v>
      </c>
      <c r="D756" s="69"/>
      <c r="E756" s="41" t="s">
        <v>1185</v>
      </c>
      <c r="F756" s="70"/>
      <c r="G756" s="71" t="s">
        <v>1185</v>
      </c>
      <c r="H756" s="41"/>
      <c r="I756" s="42"/>
      <c r="J756" s="43" t="str">
        <f t="shared" si="1"/>
        <v>TIDAK ADA</v>
      </c>
      <c r="K756" s="72">
        <v>200.0</v>
      </c>
      <c r="L756" s="53" t="s">
        <v>69</v>
      </c>
      <c r="M756" s="73">
        <v>2750.0</v>
      </c>
      <c r="N756" s="74"/>
      <c r="O756" s="73">
        <v>550000.0</v>
      </c>
      <c r="P756" s="46" t="str">
        <f t="shared" si="2"/>
        <v>Rp2,750-200 PCS-0.00%</v>
      </c>
      <c r="Q756" s="75">
        <v>45411.0</v>
      </c>
      <c r="R756" s="76"/>
      <c r="S756" s="75">
        <v>45419.0</v>
      </c>
      <c r="T756" s="49"/>
    </row>
    <row r="757">
      <c r="A757" s="82">
        <v>4336.0</v>
      </c>
      <c r="B757" s="69" t="s">
        <v>29</v>
      </c>
      <c r="C757" s="79" t="s">
        <v>1134</v>
      </c>
      <c r="D757" s="69" t="s">
        <v>1186</v>
      </c>
      <c r="E757" s="41" t="str">
        <f>IFERROR(__xludf.DUMMYFUNCTION("vlookup(D757,IMPORTRANGE(""https://docs.google.com/spreadsheets/d/1swGwZOEqYlTEUCJLY-eeJM1911Kvaei5oySBIxdgtNo/edit?pli=1#gid=257618397"",""stock untanna!B:C""),2,false)"),"BENSIA 04LM1 (5921")</f>
        <v>BENSIA 04LM1 (5921</v>
      </c>
      <c r="F757" s="70" t="s">
        <v>1186</v>
      </c>
      <c r="G757" s="71" t="s">
        <v>1187</v>
      </c>
      <c r="H757" s="41"/>
      <c r="I757" s="42"/>
      <c r="J757" s="43" t="str">
        <f t="shared" si="1"/>
        <v>ADA</v>
      </c>
      <c r="K757" s="72">
        <v>5.0</v>
      </c>
      <c r="L757" s="53" t="s">
        <v>88</v>
      </c>
      <c r="M757" s="73">
        <v>87500.0</v>
      </c>
      <c r="N757" s="74"/>
      <c r="O757" s="73">
        <v>437500.0</v>
      </c>
      <c r="P757" s="46" t="str">
        <f t="shared" si="2"/>
        <v>Rp87,500-5 BOX-0.00%</v>
      </c>
      <c r="Q757" s="75">
        <v>45411.0</v>
      </c>
      <c r="R757" s="76"/>
      <c r="S757" s="75">
        <v>45419.0</v>
      </c>
      <c r="T757" s="49"/>
    </row>
    <row r="758">
      <c r="A758" s="82">
        <v>4336.0</v>
      </c>
      <c r="B758" s="69" t="s">
        <v>29</v>
      </c>
      <c r="C758" s="79" t="s">
        <v>1134</v>
      </c>
      <c r="D758" s="69" t="s">
        <v>467</v>
      </c>
      <c r="E758" s="41" t="str">
        <f>IFERROR(__xludf.DUMMYFUNCTION("vlookup(D758,IMPORTRANGE(""https://docs.google.com/spreadsheets/d/1swGwZOEqYlTEUCJLY-eeJM1911Kvaei5oySBIxdgtNo/edit?pli=1#gid=257618397"",""stock untanna!B:C""),2,false)"),"BENSIA 03LM4 (6202)")</f>
        <v>BENSIA 03LM4 (6202)</v>
      </c>
      <c r="F758" s="70" t="s">
        <v>467</v>
      </c>
      <c r="G758" s="71" t="s">
        <v>468</v>
      </c>
      <c r="H758" s="41"/>
      <c r="I758" s="42"/>
      <c r="J758" s="43" t="str">
        <f t="shared" si="1"/>
        <v>ADA</v>
      </c>
      <c r="K758" s="72">
        <v>5.0</v>
      </c>
      <c r="L758" s="53" t="s">
        <v>88</v>
      </c>
      <c r="M758" s="73">
        <v>73500.0</v>
      </c>
      <c r="N758" s="74"/>
      <c r="O758" s="73">
        <v>367500.0</v>
      </c>
      <c r="P758" s="46" t="str">
        <f t="shared" si="2"/>
        <v>Rp73,500-5 BOX-0.00%</v>
      </c>
      <c r="Q758" s="75">
        <v>45411.0</v>
      </c>
      <c r="R758" s="76"/>
      <c r="S758" s="75">
        <v>45419.0</v>
      </c>
      <c r="T758" s="49"/>
    </row>
    <row r="759">
      <c r="A759" s="82">
        <v>4336.0</v>
      </c>
      <c r="B759" s="69" t="s">
        <v>29</v>
      </c>
      <c r="C759" s="79" t="s">
        <v>1134</v>
      </c>
      <c r="D759" s="69" t="s">
        <v>1188</v>
      </c>
      <c r="E759" s="41" t="str">
        <f>IFERROR(__xludf.DUMMYFUNCTION("vlookup(D759,IMPORTRANGE(""https://docs.google.com/spreadsheets/d/1swGwZOEqYlTEUCJLY-eeJM1911Kvaei5oySBIxdgtNo/edit?pli=1#gid=257618397"",""stock untanna!B:C""),2,false)"),"BENSIA ZC 105 PLUIT")</f>
        <v>BENSIA ZC 105 PLUIT</v>
      </c>
      <c r="F759" s="70" t="s">
        <v>1188</v>
      </c>
      <c r="G759" s="71" t="s">
        <v>1189</v>
      </c>
      <c r="H759" s="41"/>
      <c r="I759" s="42"/>
      <c r="J759" s="43" t="str">
        <f t="shared" si="1"/>
        <v>ADA</v>
      </c>
      <c r="K759" s="72">
        <v>2.0</v>
      </c>
      <c r="L759" s="53" t="s">
        <v>88</v>
      </c>
      <c r="M759" s="73">
        <v>80000.0</v>
      </c>
      <c r="N759" s="74"/>
      <c r="O759" s="73">
        <v>160000.0</v>
      </c>
      <c r="P759" s="46" t="str">
        <f t="shared" si="2"/>
        <v>Rp80,000-2 BOX-0.00%</v>
      </c>
      <c r="Q759" s="75">
        <v>45411.0</v>
      </c>
      <c r="R759" s="76"/>
      <c r="S759" s="75">
        <v>45419.0</v>
      </c>
      <c r="T759" s="49"/>
    </row>
    <row r="760">
      <c r="A760" s="82">
        <v>4337.0</v>
      </c>
      <c r="B760" s="69" t="s">
        <v>29</v>
      </c>
      <c r="C760" s="79" t="s">
        <v>1134</v>
      </c>
      <c r="D760" s="69" t="s">
        <v>473</v>
      </c>
      <c r="E760" s="41" t="str">
        <f>IFERROR(__xludf.DUMMYFUNCTION("vlookup(D760,IMPORTRANGE(""https://docs.google.com/spreadsheets/d/1swGwZOEqYlTEUCJLY-eeJM1911Kvaei5oySBIxdgtNo/edit?pli=1#gid=257618397"",""stock untanna!B:C""),2,false)"),"BENSIA CYLN 6203/ 5333")</f>
        <v>BENSIA CYLN 6203/ 5333</v>
      </c>
      <c r="F760" s="70" t="s">
        <v>473</v>
      </c>
      <c r="G760" s="71" t="s">
        <v>474</v>
      </c>
      <c r="H760" s="41"/>
      <c r="I760" s="42"/>
      <c r="J760" s="43" t="str">
        <f t="shared" si="1"/>
        <v>ADA</v>
      </c>
      <c r="K760" s="72">
        <v>5.0</v>
      </c>
      <c r="L760" s="53" t="s">
        <v>88</v>
      </c>
      <c r="M760" s="73">
        <v>87500.0</v>
      </c>
      <c r="N760" s="74"/>
      <c r="O760" s="73">
        <v>437500.0</v>
      </c>
      <c r="P760" s="46" t="str">
        <f t="shared" si="2"/>
        <v>Rp87,500-5 BOX-0.00%</v>
      </c>
      <c r="Q760" s="75">
        <v>45411.0</v>
      </c>
      <c r="R760" s="76"/>
      <c r="S760" s="75">
        <v>45419.0</v>
      </c>
      <c r="T760" s="49"/>
    </row>
    <row r="761">
      <c r="A761" s="82">
        <v>4337.0</v>
      </c>
      <c r="B761" s="69" t="s">
        <v>29</v>
      </c>
      <c r="C761" s="79" t="s">
        <v>1134</v>
      </c>
      <c r="D761" s="69" t="s">
        <v>1190</v>
      </c>
      <c r="E761" s="41" t="str">
        <f>IFERROR(__xludf.DUMMYFUNCTION("vlookup(D761,IMPORTRANGE(""https://docs.google.com/spreadsheets/d/1swGwZOEqYlTEUCJLY-eeJM1911Kvaei5oySBIxdgtNo/edit?pli=1#gid=257618397"",""stock untanna!B:C""),2,false)"),"BENSIA 10LM1 (6209)")</f>
        <v>BENSIA 10LM1 (6209)</v>
      </c>
      <c r="F761" s="70" t="s">
        <v>1190</v>
      </c>
      <c r="G761" s="71" t="s">
        <v>1191</v>
      </c>
      <c r="H761" s="41"/>
      <c r="I761" s="42"/>
      <c r="J761" s="43" t="str">
        <f t="shared" si="1"/>
        <v>ADA</v>
      </c>
      <c r="K761" s="72">
        <v>5.0</v>
      </c>
      <c r="L761" s="53" t="s">
        <v>88</v>
      </c>
      <c r="M761" s="73">
        <v>87500.0</v>
      </c>
      <c r="N761" s="74"/>
      <c r="O761" s="73">
        <v>437500.0</v>
      </c>
      <c r="P761" s="46" t="str">
        <f t="shared" si="2"/>
        <v>Rp87,500-5 BOX-0.00%</v>
      </c>
      <c r="Q761" s="75">
        <v>45411.0</v>
      </c>
      <c r="R761" s="76"/>
      <c r="S761" s="75">
        <v>45419.0</v>
      </c>
      <c r="T761" s="49"/>
    </row>
    <row r="762">
      <c r="A762" s="82">
        <v>4337.0</v>
      </c>
      <c r="B762" s="69" t="s">
        <v>29</v>
      </c>
      <c r="C762" s="79" t="s">
        <v>1134</v>
      </c>
      <c r="D762" s="69" t="s">
        <v>471</v>
      </c>
      <c r="E762" s="41" t="str">
        <f>IFERROR(__xludf.DUMMYFUNCTION("vlookup(D762,IMPORTRANGE(""https://docs.google.com/spreadsheets/d/1swGwZOEqYlTEUCJLY-eeJM1911Kvaei5oySBIxdgtNo/edit?pli=1#gid=257618397"",""stock untanna!B:C""),2,false)"),"BENSIA 09LM1 (6213)")</f>
        <v>BENSIA 09LM1 (6213)</v>
      </c>
      <c r="F762" s="70" t="s">
        <v>471</v>
      </c>
      <c r="G762" s="71" t="s">
        <v>472</v>
      </c>
      <c r="H762" s="41"/>
      <c r="I762" s="42"/>
      <c r="J762" s="43" t="str">
        <f t="shared" si="1"/>
        <v>ADA</v>
      </c>
      <c r="K762" s="72">
        <v>5.0</v>
      </c>
      <c r="L762" s="53" t="s">
        <v>88</v>
      </c>
      <c r="M762" s="73">
        <v>73500.0</v>
      </c>
      <c r="N762" s="74"/>
      <c r="O762" s="73">
        <v>367500.0</v>
      </c>
      <c r="P762" s="46" t="str">
        <f t="shared" si="2"/>
        <v>Rp73,500-5 BOX-0.00%</v>
      </c>
      <c r="Q762" s="75">
        <v>45411.0</v>
      </c>
      <c r="R762" s="76"/>
      <c r="S762" s="75">
        <v>45419.0</v>
      </c>
      <c r="T762" s="49"/>
    </row>
    <row r="763">
      <c r="A763" s="82">
        <v>4337.0</v>
      </c>
      <c r="B763" s="69" t="s">
        <v>29</v>
      </c>
      <c r="C763" s="79" t="s">
        <v>1134</v>
      </c>
      <c r="D763" s="69" t="s">
        <v>419</v>
      </c>
      <c r="E763" s="41" t="str">
        <f>IFERROR(__xludf.DUMMYFUNCTION("vlookup(D763,IMPORTRANGE(""https://docs.google.com/spreadsheets/d/1swGwZOEqYlTEUCJLY-eeJM1911Kvaei5oySBIxdgtNo/edit?pli=1#gid=257618397"",""stock untanna!B:C""),2,false)"),"BP GEL ZUI XUA HY-1020 HITAM")</f>
        <v>BP GEL ZUI XUA HY-1020 HITAM</v>
      </c>
      <c r="F763" s="70" t="s">
        <v>419</v>
      </c>
      <c r="G763" s="71" t="s">
        <v>420</v>
      </c>
      <c r="H763" s="41"/>
      <c r="I763" s="42"/>
      <c r="J763" s="43" t="str">
        <f t="shared" si="1"/>
        <v>ADA</v>
      </c>
      <c r="K763" s="72">
        <v>24.0</v>
      </c>
      <c r="L763" s="53" t="s">
        <v>62</v>
      </c>
      <c r="M763" s="73">
        <v>11500.0</v>
      </c>
      <c r="N763" s="74"/>
      <c r="O763" s="73">
        <v>276000.0</v>
      </c>
      <c r="P763" s="46" t="str">
        <f t="shared" si="2"/>
        <v>Rp11,500-24 LSN-0.00%</v>
      </c>
      <c r="Q763" s="75">
        <v>45411.0</v>
      </c>
      <c r="R763" s="76"/>
      <c r="S763" s="75">
        <v>45419.0</v>
      </c>
      <c r="T763" s="49"/>
    </row>
    <row r="764">
      <c r="A764" s="82">
        <v>4337.0</v>
      </c>
      <c r="B764" s="69" t="s">
        <v>29</v>
      </c>
      <c r="C764" s="79" t="s">
        <v>1134</v>
      </c>
      <c r="D764" s="69" t="s">
        <v>86</v>
      </c>
      <c r="E764" s="41" t="str">
        <f>IFERROR(__xludf.DUMMYFUNCTION("vlookup(D764,IMPORTRANGE(""https://docs.google.com/spreadsheets/d/1swGwZOEqYlTEUCJLY-eeJM1911Kvaei5oySBIxdgtNo/edit?pli=1#gid=257618397"",""stock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764" s="70" t="s">
        <v>86</v>
      </c>
      <c r="G764" s="71" t="s">
        <v>87</v>
      </c>
      <c r="H764" s="41"/>
      <c r="I764" s="42"/>
      <c r="J764" s="43" t="str">
        <f t="shared" si="1"/>
        <v>ADA</v>
      </c>
      <c r="K764" s="72">
        <v>1.0</v>
      </c>
      <c r="L764" s="53" t="s">
        <v>88</v>
      </c>
      <c r="M764" s="73">
        <v>102000.0</v>
      </c>
      <c r="N764" s="74"/>
      <c r="O764" s="73">
        <v>102000.0</v>
      </c>
      <c r="P764" s="46" t="str">
        <f t="shared" si="2"/>
        <v>Rp102,000-1 BOX-0.00%</v>
      </c>
      <c r="Q764" s="75">
        <v>45411.0</v>
      </c>
      <c r="R764" s="76"/>
      <c r="S764" s="75">
        <v>45419.0</v>
      </c>
      <c r="T764" s="49"/>
    </row>
    <row r="765">
      <c r="A765" s="82">
        <v>4337.0</v>
      </c>
      <c r="B765" s="69" t="s">
        <v>29</v>
      </c>
      <c r="C765" s="79" t="s">
        <v>1134</v>
      </c>
      <c r="D765" s="50" t="s">
        <v>89</v>
      </c>
      <c r="E765" s="41" t="str">
        <f>IFERROR(__xludf.DUMMYFUNCTION("vlookup(D765,IMPORTRANGE(""https://docs.google.com/spreadsheets/d/1swGwZOEqYlTEUCJLY-eeJM1911Kvaei5oySBIxdgtNo/edit?pli=1#gid=257618397"",""stock untanna!B:C""),2,false)"),"ISI GEL DTIAN GR-089 (12PCS TABUNG)")</f>
        <v>ISI GEL DTIAN GR-089 (12PCS TABUNG)</v>
      </c>
      <c r="F765" s="70" t="s">
        <v>90</v>
      </c>
      <c r="G765" s="71" t="s">
        <v>91</v>
      </c>
      <c r="H765" s="41"/>
      <c r="I765" s="42"/>
      <c r="J765" s="43" t="str">
        <f t="shared" si="1"/>
        <v>ADA</v>
      </c>
      <c r="K765" s="72">
        <v>1.0</v>
      </c>
      <c r="L765" s="53" t="s">
        <v>88</v>
      </c>
      <c r="M765" s="73">
        <v>156000.0</v>
      </c>
      <c r="N765" s="74"/>
      <c r="O765" s="73">
        <v>156000.0</v>
      </c>
      <c r="P765" s="46" t="str">
        <f t="shared" si="2"/>
        <v>Rp156,000-1 BOX-0.00%</v>
      </c>
      <c r="Q765" s="75">
        <v>45411.0</v>
      </c>
      <c r="R765" s="76"/>
      <c r="S765" s="75">
        <v>45419.0</v>
      </c>
      <c r="T765" s="49"/>
    </row>
    <row r="766">
      <c r="A766" s="82">
        <v>4337.0</v>
      </c>
      <c r="B766" s="69" t="s">
        <v>29</v>
      </c>
      <c r="C766" s="79" t="s">
        <v>1134</v>
      </c>
      <c r="D766" s="50" t="s">
        <v>1192</v>
      </c>
      <c r="E766" s="41" t="str">
        <f>IFERROR(__xludf.DUMMYFUNCTION("vlookup(D766,IMPORTRANGE(""https://docs.google.com/spreadsheets/d/1swGwZOEqYlTEUCJLY-eeJM1911Kvaei5oySBIxdgtNo/edit?pli=1#gid=257618397"",""stock untanna!B:C""),2,false)"),"ISI GEL DTIAN DT-090 (20PCS TABUNG)")</f>
        <v>ISI GEL DTIAN DT-090 (20PCS TABUNG)</v>
      </c>
      <c r="F766" s="70" t="s">
        <v>1193</v>
      </c>
      <c r="G766" s="71" t="s">
        <v>1194</v>
      </c>
      <c r="H766" s="41"/>
      <c r="I766" s="42"/>
      <c r="J766" s="43" t="str">
        <f t="shared" si="1"/>
        <v>ADA</v>
      </c>
      <c r="K766" s="72">
        <v>1.0</v>
      </c>
      <c r="L766" s="53" t="s">
        <v>88</v>
      </c>
      <c r="M766" s="73">
        <v>228000.0</v>
      </c>
      <c r="N766" s="74"/>
      <c r="O766" s="73">
        <v>228000.0</v>
      </c>
      <c r="P766" s="46" t="str">
        <f t="shared" si="2"/>
        <v>Rp228,000-1 BOX-0.00%</v>
      </c>
      <c r="Q766" s="75">
        <v>45411.0</v>
      </c>
      <c r="R766" s="76"/>
      <c r="S766" s="75">
        <v>45419.0</v>
      </c>
      <c r="T766" s="49"/>
    </row>
    <row r="767">
      <c r="A767" s="82">
        <v>4337.0</v>
      </c>
      <c r="B767" s="69" t="s">
        <v>29</v>
      </c>
      <c r="C767" s="79" t="s">
        <v>1134</v>
      </c>
      <c r="D767" s="69" t="s">
        <v>428</v>
      </c>
      <c r="E767" s="41" t="str">
        <f>IFERROR(__xludf.DUMMYFUNCTION("vlookup(D767,IMPORTRANGE(""https://docs.google.com/spreadsheets/d/1swGwZOEqYlTEUCJLY-eeJM1911Kvaei5oySBIxdgtNo/edit?pli=1#gid=257618397"",""stock untanna!B:C""),2,false)"),"CAT ACRYLIC TF 001")</f>
        <v>CAT ACRYLIC TF 001</v>
      </c>
      <c r="F767" s="70" t="s">
        <v>428</v>
      </c>
      <c r="G767" s="71" t="s">
        <v>429</v>
      </c>
      <c r="H767" s="41"/>
      <c r="I767" s="42"/>
      <c r="J767" s="43" t="str">
        <f t="shared" si="1"/>
        <v>ADA</v>
      </c>
      <c r="K767" s="72">
        <v>2.0</v>
      </c>
      <c r="L767" s="53" t="s">
        <v>62</v>
      </c>
      <c r="M767" s="73">
        <v>210000.0</v>
      </c>
      <c r="N767" s="74"/>
      <c r="O767" s="73">
        <v>420000.0</v>
      </c>
      <c r="P767" s="46" t="str">
        <f t="shared" si="2"/>
        <v>Rp210,000-2 LSN-0.00%</v>
      </c>
      <c r="Q767" s="75">
        <v>45411.0</v>
      </c>
      <c r="R767" s="76"/>
      <c r="S767" s="75">
        <v>45419.0</v>
      </c>
      <c r="T767" s="49"/>
    </row>
    <row r="768">
      <c r="A768" s="82">
        <v>4337.0</v>
      </c>
      <c r="B768" s="69" t="s">
        <v>29</v>
      </c>
      <c r="C768" s="79" t="s">
        <v>1134</v>
      </c>
      <c r="D768" s="69" t="s">
        <v>432</v>
      </c>
      <c r="E768" s="41" t="str">
        <f>IFERROR(__xludf.DUMMYFUNCTION("vlookup(D768,IMPORTRANGE(""https://docs.google.com/spreadsheets/d/1swGwZOEqYlTEUCJLY-eeJM1911Kvaei5oySBIxdgtNo/edit?pli=1#gid=257618397"",""stock untanna!B:C""),2,false)"),"CAT ACRYLIC COLOUR TF AC-005P PASTEL")</f>
        <v>CAT ACRYLIC COLOUR TF AC-005P PASTEL</v>
      </c>
      <c r="F768" s="70" t="s">
        <v>432</v>
      </c>
      <c r="G768" s="78" t="s">
        <v>433</v>
      </c>
      <c r="H768" s="41"/>
      <c r="I768" s="42"/>
      <c r="J768" s="43" t="str">
        <f t="shared" si="1"/>
        <v>ADA</v>
      </c>
      <c r="K768" s="72">
        <v>2.0</v>
      </c>
      <c r="L768" s="53" t="s">
        <v>62</v>
      </c>
      <c r="M768" s="73">
        <v>250000.0</v>
      </c>
      <c r="N768" s="74"/>
      <c r="O768" s="73">
        <v>500000.0</v>
      </c>
      <c r="P768" s="46" t="str">
        <f t="shared" si="2"/>
        <v>Rp250,000-2 LSN-0.00%</v>
      </c>
      <c r="Q768" s="75">
        <v>45411.0</v>
      </c>
      <c r="R768" s="76"/>
      <c r="S768" s="75">
        <v>45419.0</v>
      </c>
      <c r="T768" s="49"/>
    </row>
    <row r="769">
      <c r="A769" s="82">
        <v>4337.0</v>
      </c>
      <c r="B769" s="69" t="s">
        <v>29</v>
      </c>
      <c r="C769" s="79" t="s">
        <v>1134</v>
      </c>
      <c r="D769" s="69"/>
      <c r="E769" s="41" t="s">
        <v>1195</v>
      </c>
      <c r="F769" s="70"/>
      <c r="G769" s="71" t="s">
        <v>1195</v>
      </c>
      <c r="H769" s="41"/>
      <c r="I769" s="42"/>
      <c r="J769" s="43" t="str">
        <f t="shared" si="1"/>
        <v>TIDAK ADA</v>
      </c>
      <c r="K769" s="72">
        <v>12.0</v>
      </c>
      <c r="L769" s="53" t="s">
        <v>69</v>
      </c>
      <c r="M769" s="73">
        <v>30000.0</v>
      </c>
      <c r="N769" s="74"/>
      <c r="O769" s="73">
        <v>360000.0</v>
      </c>
      <c r="P769" s="46" t="str">
        <f t="shared" si="2"/>
        <v>Rp30,000-12 PCS-0.00%</v>
      </c>
      <c r="Q769" s="75">
        <v>45411.0</v>
      </c>
      <c r="R769" s="76"/>
      <c r="S769" s="75">
        <v>45419.0</v>
      </c>
      <c r="T769" s="80" t="s">
        <v>280</v>
      </c>
    </row>
    <row r="770">
      <c r="A770" s="82">
        <v>4337.0</v>
      </c>
      <c r="B770" s="69" t="s">
        <v>29</v>
      </c>
      <c r="C770" s="79" t="s">
        <v>1134</v>
      </c>
      <c r="D770" s="69"/>
      <c r="E770" s="41" t="s">
        <v>1196</v>
      </c>
      <c r="F770" s="70"/>
      <c r="G770" s="71" t="s">
        <v>1196</v>
      </c>
      <c r="H770" s="41"/>
      <c r="I770" s="42"/>
      <c r="J770" s="43" t="str">
        <f t="shared" si="1"/>
        <v>TIDAK ADA</v>
      </c>
      <c r="K770" s="72">
        <v>12.0</v>
      </c>
      <c r="L770" s="53" t="s">
        <v>69</v>
      </c>
      <c r="M770" s="73">
        <v>35000.0</v>
      </c>
      <c r="N770" s="74"/>
      <c r="O770" s="73">
        <v>420000.0</v>
      </c>
      <c r="P770" s="46" t="str">
        <f t="shared" si="2"/>
        <v>Rp35,000-12 PCS-0.00%</v>
      </c>
      <c r="Q770" s="75">
        <v>45411.0</v>
      </c>
      <c r="R770" s="76"/>
      <c r="S770" s="75">
        <v>45419.0</v>
      </c>
      <c r="T770" s="80" t="s">
        <v>280</v>
      </c>
    </row>
    <row r="771">
      <c r="A771" s="82">
        <v>4337.0</v>
      </c>
      <c r="B771" s="69" t="s">
        <v>29</v>
      </c>
      <c r="C771" s="79" t="s">
        <v>1134</v>
      </c>
      <c r="D771" s="69"/>
      <c r="E771" s="41" t="s">
        <v>1197</v>
      </c>
      <c r="F771" s="70"/>
      <c r="G771" s="71" t="s">
        <v>1197</v>
      </c>
      <c r="H771" s="41"/>
      <c r="I771" s="42"/>
      <c r="J771" s="43" t="str">
        <f t="shared" si="1"/>
        <v>TIDAK ADA</v>
      </c>
      <c r="K771" s="72">
        <v>12.0</v>
      </c>
      <c r="L771" s="53" t="s">
        <v>69</v>
      </c>
      <c r="M771" s="73">
        <v>50000.0</v>
      </c>
      <c r="N771" s="74"/>
      <c r="O771" s="73">
        <v>600000.0</v>
      </c>
      <c r="P771" s="46" t="str">
        <f t="shared" si="2"/>
        <v>Rp50,000-12 PCS-0.00%</v>
      </c>
      <c r="Q771" s="75">
        <v>45411.0</v>
      </c>
      <c r="R771" s="76"/>
      <c r="S771" s="75">
        <v>45419.0</v>
      </c>
      <c r="T771" s="80" t="s">
        <v>280</v>
      </c>
    </row>
    <row r="772">
      <c r="A772" s="82">
        <v>4337.0</v>
      </c>
      <c r="B772" s="69" t="s">
        <v>29</v>
      </c>
      <c r="C772" s="79" t="s">
        <v>1134</v>
      </c>
      <c r="D772" s="69" t="s">
        <v>1198</v>
      </c>
      <c r="E772" s="41" t="str">
        <f>IFERROR(__xludf.DUMMYFUNCTION("vlookup(D772,IMPORTRANGE(""https://docs.google.com/spreadsheets/d/1swGwZOEqYlTEUCJLY-eeJM1911Kvaei5oySBIxdgtNo/edit?pli=1#gid=257618397"",""stock untanna!B:C""),2,false)"),"MAGNET 8011-6")</f>
        <v>MAGNET 8011-6</v>
      </c>
      <c r="F772" s="70" t="s">
        <v>1198</v>
      </c>
      <c r="G772" s="71" t="s">
        <v>1199</v>
      </c>
      <c r="H772" s="41"/>
      <c r="I772" s="42"/>
      <c r="J772" s="43" t="str">
        <f t="shared" si="1"/>
        <v>ADA</v>
      </c>
      <c r="K772" s="72">
        <v>1.0</v>
      </c>
      <c r="L772" s="53" t="s">
        <v>62</v>
      </c>
      <c r="M772" s="73">
        <v>175000.0</v>
      </c>
      <c r="N772" s="74"/>
      <c r="O772" s="73">
        <v>175000.0</v>
      </c>
      <c r="P772" s="46" t="str">
        <f t="shared" si="2"/>
        <v>Rp175,000-1 LSN-0.00%</v>
      </c>
      <c r="Q772" s="75">
        <v>45411.0</v>
      </c>
      <c r="R772" s="76"/>
      <c r="S772" s="75">
        <v>45419.0</v>
      </c>
      <c r="T772" s="49"/>
    </row>
    <row r="773">
      <c r="A773" s="82">
        <v>4337.0</v>
      </c>
      <c r="B773" s="69" t="s">
        <v>29</v>
      </c>
      <c r="C773" s="79" t="s">
        <v>1134</v>
      </c>
      <c r="D773" s="69"/>
      <c r="E773" s="41" t="s">
        <v>1200</v>
      </c>
      <c r="F773" s="70"/>
      <c r="G773" s="71" t="s">
        <v>1200</v>
      </c>
      <c r="H773" s="41"/>
      <c r="I773" s="42"/>
      <c r="J773" s="43" t="str">
        <f t="shared" si="1"/>
        <v>TIDAK ADA</v>
      </c>
      <c r="K773" s="72">
        <v>6.0</v>
      </c>
      <c r="L773" s="53" t="s">
        <v>62</v>
      </c>
      <c r="M773" s="73">
        <v>63000.0</v>
      </c>
      <c r="N773" s="74"/>
      <c r="O773" s="73">
        <v>378000.0</v>
      </c>
      <c r="P773" s="46" t="str">
        <f t="shared" si="2"/>
        <v>Rp63,000-6 LSN-0.00%</v>
      </c>
      <c r="Q773" s="75">
        <v>45411.0</v>
      </c>
      <c r="R773" s="76"/>
      <c r="S773" s="75">
        <v>45419.0</v>
      </c>
      <c r="T773" s="49"/>
    </row>
    <row r="774">
      <c r="A774" s="82">
        <v>4337.0</v>
      </c>
      <c r="B774" s="69" t="s">
        <v>29</v>
      </c>
      <c r="C774" s="79" t="s">
        <v>1134</v>
      </c>
      <c r="D774" s="50" t="s">
        <v>1201</v>
      </c>
      <c r="E774" s="41" t="str">
        <f>IFERROR(__xludf.DUMMYFUNCTION("vlookup(D774,IMPORTRANGE(""https://docs.google.com/spreadsheets/d/1swGwZOEqYlTEUCJLY-eeJM1911Kvaei5oySBIxdgtNo/edit?pli=1#gid=257618397"",""stock untanna!B:C""),2,false)"),"ISI GEL V-TRO VRG-2022 TRANSFORMER")</f>
        <v>ISI GEL V-TRO VRG-2022 TRANSFORMER</v>
      </c>
      <c r="F774" s="70" t="s">
        <v>1202</v>
      </c>
      <c r="G774" s="71" t="s">
        <v>1203</v>
      </c>
      <c r="H774" s="41"/>
      <c r="I774" s="42"/>
      <c r="J774" s="43" t="str">
        <f t="shared" si="1"/>
        <v>ADA</v>
      </c>
      <c r="K774" s="72">
        <v>6.0</v>
      </c>
      <c r="L774" s="53" t="s">
        <v>88</v>
      </c>
      <c r="M774" s="73">
        <v>7500.0</v>
      </c>
      <c r="N774" s="74"/>
      <c r="O774" s="73">
        <v>45000.0</v>
      </c>
      <c r="P774" s="46" t="str">
        <f t="shared" si="2"/>
        <v>Rp7,500-6 BOX-0.00%</v>
      </c>
      <c r="Q774" s="75">
        <v>45411.0</v>
      </c>
      <c r="R774" s="76"/>
      <c r="S774" s="75">
        <v>45419.0</v>
      </c>
      <c r="T774" s="49"/>
    </row>
    <row r="775">
      <c r="A775" s="82">
        <v>4337.0</v>
      </c>
      <c r="B775" s="69" t="s">
        <v>29</v>
      </c>
      <c r="C775" s="79" t="s">
        <v>1134</v>
      </c>
      <c r="D775" s="50" t="s">
        <v>1204</v>
      </c>
      <c r="E775" s="41" t="str">
        <f>IFERROR(__xludf.DUMMYFUNCTION("IFNA(vlookup(D775,IMPORTRANGE(""https://docs.google.com/spreadsheets/d/1swGwZOEqYlTEUCJLY-eeJM1911Kvaei5oySBIxdgtNo/edit?pli=1#gid=257618397"",""stock untanna!B:C""),2,false),V:V)"),"ISI GEL V-TRO 2020 HIJAB")</f>
        <v>ISI GEL V-TRO 2020 HIJAB</v>
      </c>
      <c r="F775" s="70"/>
      <c r="G775" s="71" t="s">
        <v>1205</v>
      </c>
      <c r="H775" s="41"/>
      <c r="I775" s="42"/>
      <c r="J775" s="43" t="str">
        <f t="shared" si="1"/>
        <v>ADA</v>
      </c>
      <c r="K775" s="72">
        <v>6.0</v>
      </c>
      <c r="L775" s="53" t="s">
        <v>88</v>
      </c>
      <c r="M775" s="73">
        <v>7500.0</v>
      </c>
      <c r="N775" s="74"/>
      <c r="O775" s="73">
        <v>45000.0</v>
      </c>
      <c r="P775" s="46" t="str">
        <f t="shared" si="2"/>
        <v>Rp7,500-6 BOX-0.00%</v>
      </c>
      <c r="Q775" s="75">
        <v>45411.0</v>
      </c>
      <c r="R775" s="76"/>
      <c r="S775" s="75">
        <v>45419.0</v>
      </c>
      <c r="T775" s="80" t="s">
        <v>280</v>
      </c>
    </row>
    <row r="776">
      <c r="A776" s="82">
        <v>4338.0</v>
      </c>
      <c r="B776" s="69" t="s">
        <v>29</v>
      </c>
      <c r="C776" s="79" t="s">
        <v>1134</v>
      </c>
      <c r="D776" s="69"/>
      <c r="E776" s="41" t="s">
        <v>1206</v>
      </c>
      <c r="F776" s="70"/>
      <c r="G776" s="71" t="s">
        <v>1206</v>
      </c>
      <c r="H776" s="41"/>
      <c r="I776" s="42"/>
      <c r="J776" s="43" t="str">
        <f t="shared" si="1"/>
        <v>TIDAK ADA</v>
      </c>
      <c r="K776" s="72">
        <v>2.0</v>
      </c>
      <c r="L776" s="53" t="s">
        <v>62</v>
      </c>
      <c r="M776" s="73">
        <v>135000.0</v>
      </c>
      <c r="N776" s="74"/>
      <c r="O776" s="73">
        <v>270000.0</v>
      </c>
      <c r="P776" s="46" t="str">
        <f t="shared" si="2"/>
        <v>Rp135,000-2 LSN-0.00%</v>
      </c>
      <c r="Q776" s="75">
        <v>45411.0</v>
      </c>
      <c r="R776" s="76"/>
      <c r="S776" s="75">
        <v>45419.0</v>
      </c>
      <c r="T776" s="80" t="s">
        <v>280</v>
      </c>
    </row>
    <row r="777">
      <c r="A777" s="82">
        <v>4338.0</v>
      </c>
      <c r="B777" s="69" t="s">
        <v>29</v>
      </c>
      <c r="C777" s="79" t="s">
        <v>1134</v>
      </c>
      <c r="D777" s="50" t="s">
        <v>1207</v>
      </c>
      <c r="E777" s="41" t="str">
        <f>IFERROR(__xludf.DUMMYFUNCTION("vlookup(D777,IMPORTRANGE(""https://docs.google.com/spreadsheets/d/1swGwZOEqYlTEUCJLY-eeJM1911Kvaei5oySBIxdgtNo/edit?pli=1#gid=257618397"",""stock untanna!B:C""),2,false)"),"CLIP FILE YUSHINCA 318 BIRU TUA")</f>
        <v>CLIP FILE YUSHINCA 318 BIRU TUA</v>
      </c>
      <c r="F777" s="70" t="s">
        <v>1208</v>
      </c>
      <c r="G777" s="71" t="s">
        <v>1209</v>
      </c>
      <c r="H777" s="41"/>
      <c r="I777" s="42"/>
      <c r="J777" s="43" t="str">
        <f t="shared" si="1"/>
        <v>ADA</v>
      </c>
      <c r="K777" s="72">
        <v>2.0</v>
      </c>
      <c r="L777" s="53" t="s">
        <v>62</v>
      </c>
      <c r="M777" s="73">
        <v>240000.0</v>
      </c>
      <c r="N777" s="74"/>
      <c r="O777" s="73">
        <v>480000.0</v>
      </c>
      <c r="P777" s="46" t="str">
        <f t="shared" si="2"/>
        <v>Rp240,000-2 LSN-0.00%</v>
      </c>
      <c r="Q777" s="75">
        <v>45411.0</v>
      </c>
      <c r="R777" s="76"/>
      <c r="S777" s="75">
        <v>45419.0</v>
      </c>
      <c r="T777" s="49"/>
    </row>
    <row r="778">
      <c r="A778" s="82">
        <v>4338.0</v>
      </c>
      <c r="B778" s="69" t="s">
        <v>29</v>
      </c>
      <c r="C778" s="79" t="s">
        <v>1134</v>
      </c>
      <c r="D778" s="69"/>
      <c r="E778" s="41" t="s">
        <v>1210</v>
      </c>
      <c r="F778" s="70"/>
      <c r="G778" s="71" t="s">
        <v>1210</v>
      </c>
      <c r="H778" s="41"/>
      <c r="I778" s="42"/>
      <c r="J778" s="43" t="str">
        <f t="shared" si="1"/>
        <v>TIDAK ADA</v>
      </c>
      <c r="K778" s="72">
        <v>24.0</v>
      </c>
      <c r="L778" s="53" t="s">
        <v>69</v>
      </c>
      <c r="M778" s="73">
        <v>25000.0</v>
      </c>
      <c r="N778" s="74"/>
      <c r="O778" s="73">
        <v>600000.0</v>
      </c>
      <c r="P778" s="46" t="str">
        <f t="shared" si="2"/>
        <v>Rp25,000-24 PCS-0.00%</v>
      </c>
      <c r="Q778" s="75">
        <v>45411.0</v>
      </c>
      <c r="R778" s="76"/>
      <c r="S778" s="75">
        <v>45419.0</v>
      </c>
      <c r="T778" s="80" t="s">
        <v>280</v>
      </c>
    </row>
    <row r="779">
      <c r="A779" s="82">
        <v>4338.0</v>
      </c>
      <c r="B779" s="69" t="s">
        <v>29</v>
      </c>
      <c r="C779" s="79" t="s">
        <v>1134</v>
      </c>
      <c r="D779" s="69"/>
      <c r="E779" s="41" t="s">
        <v>1211</v>
      </c>
      <c r="F779" s="70"/>
      <c r="G779" s="71" t="s">
        <v>1211</v>
      </c>
      <c r="H779" s="41"/>
      <c r="I779" s="42"/>
      <c r="J779" s="43" t="str">
        <f t="shared" si="1"/>
        <v>TIDAK ADA</v>
      </c>
      <c r="K779" s="72">
        <v>24.0</v>
      </c>
      <c r="L779" s="53" t="s">
        <v>69</v>
      </c>
      <c r="M779" s="73">
        <v>37500.0</v>
      </c>
      <c r="N779" s="74"/>
      <c r="O779" s="73">
        <v>900000.0</v>
      </c>
      <c r="P779" s="46" t="str">
        <f t="shared" si="2"/>
        <v>Rp37,500-24 PCS-0.00%</v>
      </c>
      <c r="Q779" s="75">
        <v>45411.0</v>
      </c>
      <c r="R779" s="76"/>
      <c r="S779" s="75">
        <v>45419.0</v>
      </c>
      <c r="T779" s="80" t="s">
        <v>280</v>
      </c>
    </row>
    <row r="780">
      <c r="A780" s="82">
        <v>4338.0</v>
      </c>
      <c r="B780" s="69" t="s">
        <v>29</v>
      </c>
      <c r="C780" s="79" t="s">
        <v>1134</v>
      </c>
      <c r="D780" s="69" t="s">
        <v>302</v>
      </c>
      <c r="E780" s="41" t="str">
        <f>IFERROR(__xludf.DUMMYFUNCTION("vlookup(D780,IMPORTRANGE(""https://docs.google.com/spreadsheets/d/1swGwZOEqYlTEUCJLY-eeJM1911Kvaei5oySBIxdgtNo/edit?pli=1#gid=257618397"",""stock untanna!B:C""),2,false)"),"NOTEBOOK B0217 (B5）")</f>
        <v>NOTEBOOK B0217 (B5）</v>
      </c>
      <c r="F780" s="70" t="s">
        <v>302</v>
      </c>
      <c r="G780" s="71" t="s">
        <v>1212</v>
      </c>
      <c r="H780" s="41"/>
      <c r="I780" s="42"/>
      <c r="J780" s="43" t="str">
        <f t="shared" si="1"/>
        <v>ADA</v>
      </c>
      <c r="K780" s="72">
        <v>12.0</v>
      </c>
      <c r="L780" s="53" t="s">
        <v>69</v>
      </c>
      <c r="M780" s="73">
        <v>32500.0</v>
      </c>
      <c r="N780" s="74"/>
      <c r="O780" s="73">
        <v>390000.0</v>
      </c>
      <c r="P780" s="46" t="str">
        <f t="shared" si="2"/>
        <v>Rp32,500-12 PCS-0.00%</v>
      </c>
      <c r="Q780" s="75">
        <v>45411.0</v>
      </c>
      <c r="R780" s="76"/>
      <c r="S780" s="75">
        <v>45419.0</v>
      </c>
      <c r="T780" s="49"/>
    </row>
    <row r="781">
      <c r="A781" s="82">
        <v>4338.0</v>
      </c>
      <c r="B781" s="69" t="s">
        <v>29</v>
      </c>
      <c r="C781" s="79" t="s">
        <v>1134</v>
      </c>
      <c r="D781" s="69" t="s">
        <v>298</v>
      </c>
      <c r="E781" s="41" t="str">
        <f>IFERROR(__xludf.DUMMYFUNCTION("vlookup(D781,IMPORTRANGE(""https://docs.google.com/spreadsheets/d/1swGwZOEqYlTEUCJLY-eeJM1911Kvaei5oySBIxdgtNo/edit?pli=1#gid=257618397"",""stock untanna!B:C""),2,false)"),"NOTEBOOK B1018 (B5）")</f>
        <v>NOTEBOOK B1018 (B5）</v>
      </c>
      <c r="F781" s="70" t="s">
        <v>298</v>
      </c>
      <c r="G781" s="71" t="s">
        <v>1213</v>
      </c>
      <c r="H781" s="41"/>
      <c r="I781" s="42"/>
      <c r="J781" s="43" t="str">
        <f t="shared" si="1"/>
        <v>ADA</v>
      </c>
      <c r="K781" s="72">
        <v>12.0</v>
      </c>
      <c r="L781" s="53" t="s">
        <v>69</v>
      </c>
      <c r="M781" s="73">
        <v>32500.0</v>
      </c>
      <c r="N781" s="74"/>
      <c r="O781" s="73">
        <v>390000.0</v>
      </c>
      <c r="P781" s="46" t="str">
        <f t="shared" si="2"/>
        <v>Rp32,500-12 PCS-0.00%</v>
      </c>
      <c r="Q781" s="75">
        <v>45411.0</v>
      </c>
      <c r="R781" s="76"/>
      <c r="S781" s="75">
        <v>45419.0</v>
      </c>
      <c r="T781" s="49"/>
    </row>
    <row r="782">
      <c r="A782" s="82">
        <v>4338.0</v>
      </c>
      <c r="B782" s="69" t="s">
        <v>29</v>
      </c>
      <c r="C782" s="79" t="s">
        <v>1134</v>
      </c>
      <c r="D782" s="69" t="s">
        <v>1214</v>
      </c>
      <c r="E782" s="41" t="str">
        <f>IFERROR(__xludf.DUMMYFUNCTION("vlookup(D782,IMPORTRANGE(""https://docs.google.com/spreadsheets/d/1swGwZOEqYlTEUCJLY-eeJM1911Kvaei5oySBIxdgtNo/edit?pli=1#gid=257618397"",""stock untanna!B:C""),2,false)"),"NOTEBOOK 05202")</f>
        <v>NOTEBOOK 05202</v>
      </c>
      <c r="F782" s="70" t="s">
        <v>1214</v>
      </c>
      <c r="G782" s="71" t="s">
        <v>1215</v>
      </c>
      <c r="H782" s="41"/>
      <c r="I782" s="42"/>
      <c r="J782" s="43" t="str">
        <f t="shared" si="1"/>
        <v>ADA</v>
      </c>
      <c r="K782" s="72">
        <v>12.0</v>
      </c>
      <c r="L782" s="53" t="s">
        <v>69</v>
      </c>
      <c r="M782" s="73">
        <v>25000.0</v>
      </c>
      <c r="N782" s="74"/>
      <c r="O782" s="73">
        <v>300000.0</v>
      </c>
      <c r="P782" s="46" t="str">
        <f t="shared" si="2"/>
        <v>Rp25,000-12 PCS-0.00%</v>
      </c>
      <c r="Q782" s="75">
        <v>45411.0</v>
      </c>
      <c r="R782" s="76"/>
      <c r="S782" s="75">
        <v>45419.0</v>
      </c>
      <c r="T782" s="49"/>
    </row>
    <row r="783">
      <c r="A783" s="82">
        <v>4338.0</v>
      </c>
      <c r="B783" s="69" t="s">
        <v>29</v>
      </c>
      <c r="C783" s="79" t="s">
        <v>1134</v>
      </c>
      <c r="D783" s="69" t="s">
        <v>304</v>
      </c>
      <c r="E783" s="41" t="str">
        <f>IFERROR(__xludf.DUMMYFUNCTION("vlookup(D783,IMPORTRANGE(""https://docs.google.com/spreadsheets/d/1swGwZOEqYlTEUCJLY-eeJM1911Kvaei5oySBIxdgtNo/edit?pli=1#gid=257618397"",""stock untanna!B:C""),2,false)"),"BINDER NOTE WENGU A5 FPHY 002")</f>
        <v>BINDER NOTE WENGU A5 FPHY 002</v>
      </c>
      <c r="F783" s="70" t="s">
        <v>304</v>
      </c>
      <c r="G783" s="71" t="s">
        <v>305</v>
      </c>
      <c r="H783" s="41"/>
      <c r="I783" s="42"/>
      <c r="J783" s="43" t="str">
        <f t="shared" si="1"/>
        <v>ADA</v>
      </c>
      <c r="K783" s="72">
        <v>12.0</v>
      </c>
      <c r="L783" s="53" t="s">
        <v>69</v>
      </c>
      <c r="M783" s="73">
        <v>25000.0</v>
      </c>
      <c r="N783" s="74"/>
      <c r="O783" s="73">
        <v>300000.0</v>
      </c>
      <c r="P783" s="46" t="str">
        <f t="shared" si="2"/>
        <v>Rp25,000-12 PCS-0.00%</v>
      </c>
      <c r="Q783" s="75">
        <v>45411.0</v>
      </c>
      <c r="R783" s="76"/>
      <c r="S783" s="75">
        <v>45419.0</v>
      </c>
      <c r="T783" s="49"/>
    </row>
    <row r="784">
      <c r="A784" s="82">
        <v>4338.0</v>
      </c>
      <c r="B784" s="69" t="s">
        <v>29</v>
      </c>
      <c r="C784" s="79" t="s">
        <v>1134</v>
      </c>
      <c r="D784" s="69"/>
      <c r="E784" s="41" t="s">
        <v>1216</v>
      </c>
      <c r="F784" s="70"/>
      <c r="G784" s="71" t="s">
        <v>1216</v>
      </c>
      <c r="H784" s="41"/>
      <c r="I784" s="42"/>
      <c r="J784" s="43" t="str">
        <f t="shared" si="1"/>
        <v>TIDAK ADA</v>
      </c>
      <c r="K784" s="72">
        <v>100.0</v>
      </c>
      <c r="L784" s="53" t="s">
        <v>114</v>
      </c>
      <c r="M784" s="73">
        <v>9500.0</v>
      </c>
      <c r="N784" s="74"/>
      <c r="O784" s="73">
        <v>950000.0</v>
      </c>
      <c r="P784" s="46" t="str">
        <f t="shared" si="2"/>
        <v>Rp9,500-100 PAK-0.00%</v>
      </c>
      <c r="Q784" s="75">
        <v>45411.0</v>
      </c>
      <c r="R784" s="76"/>
      <c r="S784" s="75">
        <v>45419.0</v>
      </c>
      <c r="T784" s="80" t="s">
        <v>280</v>
      </c>
    </row>
    <row r="785">
      <c r="A785" s="82">
        <v>4338.0</v>
      </c>
      <c r="B785" s="69" t="s">
        <v>29</v>
      </c>
      <c r="C785" s="79" t="s">
        <v>1134</v>
      </c>
      <c r="D785" s="69" t="s">
        <v>851</v>
      </c>
      <c r="E785" s="41" t="str">
        <f>IFERROR(__xludf.DUMMYFUNCTION("vlookup(D785,IMPORTRANGE(""https://docs.google.com/spreadsheets/d/1swGwZOEqYlTEUCJLY-eeJM1911Kvaei5oySBIxdgtNo/edit?pli=1#gid=257618397"",""stock untanna!B:C""),2,false)"),"LOOSE LEAF HOLO MOBILE LEGENDS A5")</f>
        <v>LOOSE LEAF HOLO MOBILE LEGENDS A5</v>
      </c>
      <c r="F785" s="70" t="s">
        <v>851</v>
      </c>
      <c r="G785" s="78" t="s">
        <v>852</v>
      </c>
      <c r="H785" s="41"/>
      <c r="I785" s="42"/>
      <c r="J785" s="43" t="str">
        <f t="shared" si="1"/>
        <v>ADA</v>
      </c>
      <c r="K785" s="72">
        <v>50.0</v>
      </c>
      <c r="L785" s="53" t="s">
        <v>114</v>
      </c>
      <c r="M785" s="73">
        <v>2400.0</v>
      </c>
      <c r="N785" s="74"/>
      <c r="O785" s="73">
        <v>120000.0</v>
      </c>
      <c r="P785" s="46" t="str">
        <f t="shared" si="2"/>
        <v>Rp2,400-50 PAK-0.00%</v>
      </c>
      <c r="Q785" s="75">
        <v>45411.0</v>
      </c>
      <c r="R785" s="76"/>
      <c r="S785" s="75">
        <v>45419.0</v>
      </c>
      <c r="T785" s="49" t="s">
        <v>100</v>
      </c>
    </row>
    <row r="786">
      <c r="A786" s="82">
        <v>4338.0</v>
      </c>
      <c r="B786" s="69" t="s">
        <v>29</v>
      </c>
      <c r="C786" s="79" t="s">
        <v>1134</v>
      </c>
      <c r="D786" s="69" t="s">
        <v>1217</v>
      </c>
      <c r="E786" s="41" t="str">
        <f>IFERROR(__xludf.DUMMYFUNCTION("vlookup(D786,IMPORTRANGE(""https://docs.google.com/spreadsheets/d/1swGwZOEqYlTEUCJLY-eeJM1911Kvaei5oySBIxdgtNo/edit?pli=1#gid=257618397"",""stock untanna!B:C""),2,false)"),"LOOSE LEAF BIASA TSUM A5 (100GSM)")</f>
        <v>LOOSE LEAF BIASA TSUM A5 (100GSM)</v>
      </c>
      <c r="F786" s="70" t="s">
        <v>1217</v>
      </c>
      <c r="G786" s="71" t="s">
        <v>1218</v>
      </c>
      <c r="H786" s="41"/>
      <c r="I786" s="42"/>
      <c r="J786" s="43" t="str">
        <f t="shared" si="1"/>
        <v>ADA</v>
      </c>
      <c r="K786" s="72">
        <v>50.0</v>
      </c>
      <c r="L786" s="53" t="s">
        <v>114</v>
      </c>
      <c r="M786" s="73">
        <v>3250.0</v>
      </c>
      <c r="N786" s="74"/>
      <c r="O786" s="73">
        <v>162500.0</v>
      </c>
      <c r="P786" s="46" t="str">
        <f t="shared" si="2"/>
        <v>Rp3,250-50 PAK-0.00%</v>
      </c>
      <c r="Q786" s="75">
        <v>45411.0</v>
      </c>
      <c r="R786" s="76"/>
      <c r="S786" s="75">
        <v>45419.0</v>
      </c>
      <c r="T786" s="49" t="s">
        <v>100</v>
      </c>
    </row>
    <row r="787">
      <c r="A787" s="82">
        <v>4338.0</v>
      </c>
      <c r="B787" s="69" t="s">
        <v>29</v>
      </c>
      <c r="C787" s="79" t="s">
        <v>1134</v>
      </c>
      <c r="D787" s="69"/>
      <c r="E787" s="41" t="s">
        <v>1219</v>
      </c>
      <c r="F787" s="70"/>
      <c r="G787" s="71" t="s">
        <v>1219</v>
      </c>
      <c r="H787" s="41"/>
      <c r="I787" s="42"/>
      <c r="J787" s="43" t="str">
        <f t="shared" si="1"/>
        <v>TIDAK ADA</v>
      </c>
      <c r="K787" s="72">
        <v>50.0</v>
      </c>
      <c r="L787" s="53" t="s">
        <v>114</v>
      </c>
      <c r="M787" s="73">
        <v>3250.0</v>
      </c>
      <c r="N787" s="74"/>
      <c r="O787" s="73">
        <v>162500.0</v>
      </c>
      <c r="P787" s="46" t="str">
        <f t="shared" si="2"/>
        <v>Rp3,250-50 PAK-0.00%</v>
      </c>
      <c r="Q787" s="75">
        <v>45411.0</v>
      </c>
      <c r="R787" s="76"/>
      <c r="S787" s="75">
        <v>45419.0</v>
      </c>
      <c r="T787" s="49"/>
    </row>
    <row r="788">
      <c r="A788" s="82">
        <v>4338.0</v>
      </c>
      <c r="B788" s="69" t="s">
        <v>29</v>
      </c>
      <c r="C788" s="79" t="s">
        <v>1134</v>
      </c>
      <c r="D788" s="69"/>
      <c r="E788" s="41" t="s">
        <v>1220</v>
      </c>
      <c r="F788" s="70"/>
      <c r="G788" s="71" t="s">
        <v>1220</v>
      </c>
      <c r="H788" s="41"/>
      <c r="I788" s="42"/>
      <c r="J788" s="43" t="str">
        <f t="shared" si="1"/>
        <v>TIDAK ADA</v>
      </c>
      <c r="K788" s="72">
        <v>100.0</v>
      </c>
      <c r="L788" s="53" t="s">
        <v>69</v>
      </c>
      <c r="M788" s="73">
        <v>1400.0</v>
      </c>
      <c r="N788" s="74"/>
      <c r="O788" s="73">
        <v>140000.0</v>
      </c>
      <c r="P788" s="46" t="str">
        <f t="shared" si="2"/>
        <v>Rp1,400-100 PCS-0.00%</v>
      </c>
      <c r="Q788" s="75">
        <v>45411.0</v>
      </c>
      <c r="R788" s="76"/>
      <c r="S788" s="75">
        <v>45419.0</v>
      </c>
      <c r="T788" s="49"/>
    </row>
    <row r="789">
      <c r="A789" s="82">
        <v>4338.0</v>
      </c>
      <c r="B789" s="69" t="s">
        <v>29</v>
      </c>
      <c r="C789" s="79" t="s">
        <v>1134</v>
      </c>
      <c r="D789" s="69"/>
      <c r="E789" s="41" t="s">
        <v>1221</v>
      </c>
      <c r="F789" s="70"/>
      <c r="G789" s="71" t="s">
        <v>1221</v>
      </c>
      <c r="H789" s="41"/>
      <c r="I789" s="42"/>
      <c r="J789" s="43" t="str">
        <f t="shared" si="1"/>
        <v>TIDAK ADA</v>
      </c>
      <c r="K789" s="72">
        <v>100.0</v>
      </c>
      <c r="L789" s="53" t="s">
        <v>69</v>
      </c>
      <c r="M789" s="73">
        <v>1500.0</v>
      </c>
      <c r="N789" s="74"/>
      <c r="O789" s="73">
        <v>150000.0</v>
      </c>
      <c r="P789" s="46" t="str">
        <f t="shared" si="2"/>
        <v>Rp1,500-100 PCS-0.00%</v>
      </c>
      <c r="Q789" s="75">
        <v>45411.0</v>
      </c>
      <c r="R789" s="76"/>
      <c r="S789" s="75">
        <v>45419.0</v>
      </c>
      <c r="T789" s="49"/>
    </row>
    <row r="790">
      <c r="A790" s="82">
        <v>4338.0</v>
      </c>
      <c r="B790" s="69" t="s">
        <v>29</v>
      </c>
      <c r="C790" s="79" t="s">
        <v>1134</v>
      </c>
      <c r="D790" s="69"/>
      <c r="E790" s="41" t="s">
        <v>1222</v>
      </c>
      <c r="F790" s="70"/>
      <c r="G790" s="71" t="s">
        <v>1222</v>
      </c>
      <c r="H790" s="41"/>
      <c r="I790" s="42"/>
      <c r="J790" s="43" t="str">
        <f t="shared" si="1"/>
        <v>TIDAK ADA</v>
      </c>
      <c r="K790" s="72">
        <v>12.0</v>
      </c>
      <c r="L790" s="53" t="s">
        <v>69</v>
      </c>
      <c r="M790" s="73">
        <v>7500.0</v>
      </c>
      <c r="N790" s="74"/>
      <c r="O790" s="73">
        <v>90000.0</v>
      </c>
      <c r="P790" s="46" t="str">
        <f t="shared" si="2"/>
        <v>Rp7,500-12 PCS-0.00%</v>
      </c>
      <c r="Q790" s="75">
        <v>45411.0</v>
      </c>
      <c r="R790" s="76"/>
      <c r="S790" s="75">
        <v>45419.0</v>
      </c>
      <c r="T790" s="49"/>
    </row>
    <row r="791">
      <c r="A791" s="82">
        <v>4338.0</v>
      </c>
      <c r="B791" s="69" t="s">
        <v>29</v>
      </c>
      <c r="C791" s="79" t="s">
        <v>1134</v>
      </c>
      <c r="D791" s="69"/>
      <c r="E791" s="41" t="s">
        <v>1223</v>
      </c>
      <c r="F791" s="70"/>
      <c r="G791" s="71" t="s">
        <v>1223</v>
      </c>
      <c r="H791" s="41"/>
      <c r="I791" s="42"/>
      <c r="J791" s="43" t="str">
        <f t="shared" si="1"/>
        <v>TIDAK ADA</v>
      </c>
      <c r="K791" s="72">
        <v>12.0</v>
      </c>
      <c r="L791" s="53" t="s">
        <v>84</v>
      </c>
      <c r="M791" s="73">
        <v>7000.0</v>
      </c>
      <c r="N791" s="74"/>
      <c r="O791" s="73">
        <v>84000.0</v>
      </c>
      <c r="P791" s="46" t="str">
        <f t="shared" si="2"/>
        <v>Rp7,000-12 SET-0.00%</v>
      </c>
      <c r="Q791" s="75">
        <v>45411.0</v>
      </c>
      <c r="R791" s="76"/>
      <c r="S791" s="75">
        <v>45419.0</v>
      </c>
      <c r="T791" s="49"/>
    </row>
    <row r="792">
      <c r="A792" s="82">
        <v>4339.0</v>
      </c>
      <c r="B792" s="69" t="s">
        <v>29</v>
      </c>
      <c r="C792" s="79" t="s">
        <v>1134</v>
      </c>
      <c r="D792" s="69"/>
      <c r="E792" s="41" t="s">
        <v>1224</v>
      </c>
      <c r="F792" s="70"/>
      <c r="G792" s="71" t="s">
        <v>1224</v>
      </c>
      <c r="H792" s="41"/>
      <c r="I792" s="42"/>
      <c r="J792" s="43" t="str">
        <f t="shared" si="1"/>
        <v>TIDAK ADA</v>
      </c>
      <c r="K792" s="72">
        <v>12.0</v>
      </c>
      <c r="L792" s="53" t="s">
        <v>84</v>
      </c>
      <c r="M792" s="73">
        <v>8000.0</v>
      </c>
      <c r="N792" s="74"/>
      <c r="O792" s="73">
        <v>96000.0</v>
      </c>
      <c r="P792" s="46" t="str">
        <f t="shared" si="2"/>
        <v>Rp8,000-12 SET-0.00%</v>
      </c>
      <c r="Q792" s="75">
        <v>45411.0</v>
      </c>
      <c r="R792" s="76"/>
      <c r="S792" s="75">
        <v>45419.0</v>
      </c>
      <c r="T792" s="49"/>
    </row>
    <row r="793">
      <c r="A793" s="82">
        <v>4339.0</v>
      </c>
      <c r="B793" s="69" t="s">
        <v>29</v>
      </c>
      <c r="C793" s="79" t="s">
        <v>1134</v>
      </c>
      <c r="D793" s="69"/>
      <c r="E793" s="41" t="s">
        <v>1225</v>
      </c>
      <c r="F793" s="70"/>
      <c r="G793" s="71" t="s">
        <v>1225</v>
      </c>
      <c r="H793" s="41"/>
      <c r="I793" s="42"/>
      <c r="J793" s="43" t="str">
        <f t="shared" si="1"/>
        <v>TIDAK ADA</v>
      </c>
      <c r="K793" s="72">
        <v>12.0</v>
      </c>
      <c r="L793" s="53" t="s">
        <v>84</v>
      </c>
      <c r="M793" s="73">
        <v>9000.0</v>
      </c>
      <c r="N793" s="74"/>
      <c r="O793" s="73">
        <v>108000.0</v>
      </c>
      <c r="P793" s="46" t="str">
        <f t="shared" si="2"/>
        <v>Rp9,000-12 SET-0.00%</v>
      </c>
      <c r="Q793" s="75">
        <v>45411.0</v>
      </c>
      <c r="R793" s="76"/>
      <c r="S793" s="75">
        <v>45419.0</v>
      </c>
      <c r="T793" s="49"/>
    </row>
    <row r="794">
      <c r="A794" s="82">
        <v>4339.0</v>
      </c>
      <c r="B794" s="69" t="s">
        <v>29</v>
      </c>
      <c r="C794" s="79" t="s">
        <v>1134</v>
      </c>
      <c r="D794" s="69" t="s">
        <v>876</v>
      </c>
      <c r="E794" s="41" t="str">
        <f>IFERROR(__xludf.DUMMYFUNCTION("vlookup(D794,IMPORTRANGE(""https://docs.google.com/spreadsheets/d/1swGwZOEqYlTEUCJLY-eeJM1911Kvaei5oySBIxdgtNo/edit?pli=1#gid=257618397"",""stock untanna!B:C""),2,false)"),"KUAS 21839-7H")</f>
        <v>KUAS 21839-7H</v>
      </c>
      <c r="F794" s="70" t="s">
        <v>876</v>
      </c>
      <c r="G794" s="71" t="s">
        <v>877</v>
      </c>
      <c r="H794" s="41"/>
      <c r="I794" s="42"/>
      <c r="J794" s="43" t="str">
        <f t="shared" si="1"/>
        <v>ADA</v>
      </c>
      <c r="K794" s="72">
        <v>12.0</v>
      </c>
      <c r="L794" s="53" t="s">
        <v>84</v>
      </c>
      <c r="M794" s="73">
        <v>15000.0</v>
      </c>
      <c r="N794" s="74"/>
      <c r="O794" s="73">
        <v>180000.0</v>
      </c>
      <c r="P794" s="46" t="str">
        <f t="shared" si="2"/>
        <v>Rp15,000-12 SET-0.00%</v>
      </c>
      <c r="Q794" s="75">
        <v>45411.0</v>
      </c>
      <c r="R794" s="76"/>
      <c r="S794" s="75">
        <v>45419.0</v>
      </c>
      <c r="T794" s="49"/>
    </row>
    <row r="795">
      <c r="A795" s="82">
        <v>4339.0</v>
      </c>
      <c r="B795" s="69" t="s">
        <v>29</v>
      </c>
      <c r="C795" s="79" t="s">
        <v>1134</v>
      </c>
      <c r="D795" s="69" t="s">
        <v>1226</v>
      </c>
      <c r="E795" s="41" t="str">
        <f>IFERROR(__xludf.DUMMYFUNCTION("vlookup(D795,IMPORTRANGE(""https://docs.google.com/spreadsheets/d/1swGwZOEqYlTEUCJLY-eeJM1911Kvaei5oySBIxdgtNo/edit?pli=1#gid=257618397"",""stock untanna!B:C""),2,false)"),"KUAS 21839-4Q")</f>
        <v>KUAS 21839-4Q</v>
      </c>
      <c r="F795" s="70" t="s">
        <v>1226</v>
      </c>
      <c r="G795" s="71" t="s">
        <v>194</v>
      </c>
      <c r="H795" s="41"/>
      <c r="I795" s="42"/>
      <c r="J795" s="43" t="str">
        <f t="shared" si="1"/>
        <v>ADA</v>
      </c>
      <c r="K795" s="72">
        <v>12.0</v>
      </c>
      <c r="L795" s="53" t="s">
        <v>69</v>
      </c>
      <c r="M795" s="73">
        <v>7000.0</v>
      </c>
      <c r="N795" s="74"/>
      <c r="O795" s="73">
        <v>84000.0</v>
      </c>
      <c r="P795" s="46" t="str">
        <f t="shared" si="2"/>
        <v>Rp7,000-12 PCS-0.00%</v>
      </c>
      <c r="Q795" s="75">
        <v>45411.0</v>
      </c>
      <c r="R795" s="76"/>
      <c r="S795" s="75">
        <v>45419.0</v>
      </c>
      <c r="T795" s="49"/>
    </row>
    <row r="796">
      <c r="A796" s="82">
        <v>4339.0</v>
      </c>
      <c r="B796" s="69" t="s">
        <v>29</v>
      </c>
      <c r="C796" s="79" t="s">
        <v>1134</v>
      </c>
      <c r="D796" s="69" t="s">
        <v>1227</v>
      </c>
      <c r="E796" s="41" t="str">
        <f>IFERROR(__xludf.DUMMYFUNCTION("vlookup(D796,IMPORTRANGE(""https://docs.google.com/spreadsheets/d/1swGwZOEqYlTEUCJLY-eeJM1911Kvaei5oySBIxdgtNo/edit?pli=1#gid=257618397"",""stock untanna!B:C""),2,false)"),"LOOSE LEAF HOLO FROZEN A5")</f>
        <v>LOOSE LEAF HOLO FROZEN A5</v>
      </c>
      <c r="F796" s="70" t="s">
        <v>1227</v>
      </c>
      <c r="G796" s="71" t="s">
        <v>1228</v>
      </c>
      <c r="H796" s="41"/>
      <c r="I796" s="42"/>
      <c r="J796" s="43" t="str">
        <f t="shared" si="1"/>
        <v>ADA</v>
      </c>
      <c r="K796" s="72">
        <v>50.0</v>
      </c>
      <c r="L796" s="53" t="s">
        <v>114</v>
      </c>
      <c r="M796" s="73">
        <v>2400.0</v>
      </c>
      <c r="N796" s="74"/>
      <c r="O796" s="73">
        <v>120000.0</v>
      </c>
      <c r="P796" s="46" t="str">
        <f t="shared" si="2"/>
        <v>Rp2,400-50 PAK-0.00%</v>
      </c>
      <c r="Q796" s="75">
        <v>45411.0</v>
      </c>
      <c r="R796" s="76"/>
      <c r="S796" s="75">
        <v>45419.0</v>
      </c>
      <c r="T796" s="49"/>
    </row>
    <row r="797">
      <c r="A797" s="82">
        <v>4339.0</v>
      </c>
      <c r="B797" s="69" t="s">
        <v>29</v>
      </c>
      <c r="C797" s="79" t="s">
        <v>1134</v>
      </c>
      <c r="D797" s="69"/>
      <c r="E797" s="41" t="s">
        <v>1229</v>
      </c>
      <c r="F797" s="70"/>
      <c r="G797" s="71" t="s">
        <v>1229</v>
      </c>
      <c r="H797" s="41"/>
      <c r="I797" s="42"/>
      <c r="J797" s="43" t="str">
        <f t="shared" si="1"/>
        <v>TIDAK ADA</v>
      </c>
      <c r="K797" s="72">
        <v>15.0</v>
      </c>
      <c r="L797" s="53" t="s">
        <v>69</v>
      </c>
      <c r="M797" s="73">
        <v>2400.0</v>
      </c>
      <c r="N797" s="74"/>
      <c r="O797" s="73">
        <v>36000.0</v>
      </c>
      <c r="P797" s="46" t="str">
        <f t="shared" si="2"/>
        <v>Rp2,400-15 PCS-0.00%</v>
      </c>
      <c r="Q797" s="75">
        <v>45411.0</v>
      </c>
      <c r="R797" s="76"/>
      <c r="S797" s="75">
        <v>45419.0</v>
      </c>
      <c r="T797" s="49"/>
    </row>
    <row r="798">
      <c r="A798" s="82">
        <v>4339.0</v>
      </c>
      <c r="B798" s="69" t="s">
        <v>29</v>
      </c>
      <c r="C798" s="79" t="s">
        <v>1134</v>
      </c>
      <c r="D798" s="69"/>
      <c r="E798" s="41" t="s">
        <v>1230</v>
      </c>
      <c r="F798" s="70"/>
      <c r="G798" s="71" t="s">
        <v>1230</v>
      </c>
      <c r="H798" s="41"/>
      <c r="I798" s="42"/>
      <c r="J798" s="43" t="str">
        <f t="shared" si="1"/>
        <v>TIDAK ADA</v>
      </c>
      <c r="K798" s="72">
        <v>5.0</v>
      </c>
      <c r="L798" s="53" t="s">
        <v>62</v>
      </c>
      <c r="M798" s="73">
        <v>45000.0</v>
      </c>
      <c r="N798" s="74"/>
      <c r="O798" s="73">
        <v>225000.0</v>
      </c>
      <c r="P798" s="46" t="str">
        <f t="shared" si="2"/>
        <v>Rp45,000-5 LSN-0.00%</v>
      </c>
      <c r="Q798" s="75">
        <v>45411.0</v>
      </c>
      <c r="R798" s="76"/>
      <c r="S798" s="75">
        <v>45419.0</v>
      </c>
      <c r="T798" s="49"/>
    </row>
    <row r="799">
      <c r="A799" s="82">
        <v>4339.0</v>
      </c>
      <c r="B799" s="69" t="s">
        <v>29</v>
      </c>
      <c r="C799" s="79" t="s">
        <v>1134</v>
      </c>
      <c r="D799" s="69"/>
      <c r="E799" s="41" t="s">
        <v>1231</v>
      </c>
      <c r="F799" s="70"/>
      <c r="G799" s="71" t="s">
        <v>1231</v>
      </c>
      <c r="H799" s="41"/>
      <c r="I799" s="42"/>
      <c r="J799" s="43" t="str">
        <f t="shared" si="1"/>
        <v>TIDAK ADA</v>
      </c>
      <c r="K799" s="72">
        <v>5.0</v>
      </c>
      <c r="L799" s="53" t="s">
        <v>62</v>
      </c>
      <c r="M799" s="73">
        <v>125000.0</v>
      </c>
      <c r="N799" s="74"/>
      <c r="O799" s="73">
        <v>625000.0</v>
      </c>
      <c r="P799" s="46" t="str">
        <f t="shared" si="2"/>
        <v>Rp125,000-5 LSN-0.00%</v>
      </c>
      <c r="Q799" s="75">
        <v>45411.0</v>
      </c>
      <c r="R799" s="76"/>
      <c r="S799" s="75">
        <v>45419.0</v>
      </c>
      <c r="T799" s="49"/>
    </row>
    <row r="800">
      <c r="A800" s="82">
        <v>4339.0</v>
      </c>
      <c r="B800" s="69" t="s">
        <v>29</v>
      </c>
      <c r="C800" s="79" t="s">
        <v>1134</v>
      </c>
      <c r="D800" s="69"/>
      <c r="E800" s="41" t="s">
        <v>1232</v>
      </c>
      <c r="F800" s="70"/>
      <c r="G800" s="71" t="s">
        <v>1232</v>
      </c>
      <c r="H800" s="41"/>
      <c r="I800" s="42"/>
      <c r="J800" s="43" t="str">
        <f t="shared" si="1"/>
        <v>TIDAK ADA</v>
      </c>
      <c r="K800" s="72">
        <v>5.0</v>
      </c>
      <c r="L800" s="53" t="s">
        <v>62</v>
      </c>
      <c r="M800" s="73">
        <v>90000.0</v>
      </c>
      <c r="N800" s="74"/>
      <c r="O800" s="73">
        <v>450000.0</v>
      </c>
      <c r="P800" s="46" t="str">
        <f t="shared" si="2"/>
        <v>Rp90,000-5 LSN-0.00%</v>
      </c>
      <c r="Q800" s="75">
        <v>45411.0</v>
      </c>
      <c r="R800" s="76"/>
      <c r="S800" s="75">
        <v>45419.0</v>
      </c>
      <c r="T800" s="49"/>
    </row>
    <row r="801">
      <c r="A801" s="82">
        <v>4339.0</v>
      </c>
      <c r="B801" s="69" t="s">
        <v>29</v>
      </c>
      <c r="C801" s="79" t="s">
        <v>1134</v>
      </c>
      <c r="D801" s="69"/>
      <c r="E801" s="41" t="s">
        <v>1233</v>
      </c>
      <c r="F801" s="70"/>
      <c r="G801" s="71" t="s">
        <v>1233</v>
      </c>
      <c r="H801" s="41"/>
      <c r="I801" s="42"/>
      <c r="J801" s="43" t="str">
        <f t="shared" si="1"/>
        <v>TIDAK ADA</v>
      </c>
      <c r="K801" s="72">
        <v>5.0</v>
      </c>
      <c r="L801" s="53" t="s">
        <v>62</v>
      </c>
      <c r="M801" s="73">
        <v>100000.0</v>
      </c>
      <c r="N801" s="74"/>
      <c r="O801" s="73">
        <v>500000.0</v>
      </c>
      <c r="P801" s="46" t="str">
        <f t="shared" si="2"/>
        <v>Rp100,000-5 LSN-0.00%</v>
      </c>
      <c r="Q801" s="75">
        <v>45411.0</v>
      </c>
      <c r="R801" s="76"/>
      <c r="S801" s="75">
        <v>45419.0</v>
      </c>
      <c r="T801" s="49"/>
    </row>
    <row r="802">
      <c r="A802" s="82">
        <v>4339.0</v>
      </c>
      <c r="B802" s="69" t="s">
        <v>29</v>
      </c>
      <c r="C802" s="79" t="s">
        <v>1134</v>
      </c>
      <c r="D802" s="69"/>
      <c r="E802" s="41" t="s">
        <v>1234</v>
      </c>
      <c r="F802" s="70"/>
      <c r="G802" s="71" t="s">
        <v>1234</v>
      </c>
      <c r="H802" s="41"/>
      <c r="I802" s="42"/>
      <c r="J802" s="43" t="str">
        <f t="shared" si="1"/>
        <v>TIDAK ADA</v>
      </c>
      <c r="K802" s="72">
        <v>5.0</v>
      </c>
      <c r="L802" s="53" t="s">
        <v>62</v>
      </c>
      <c r="M802" s="73">
        <v>45000.0</v>
      </c>
      <c r="N802" s="74"/>
      <c r="O802" s="73">
        <v>225000.0</v>
      </c>
      <c r="P802" s="46" t="str">
        <f t="shared" si="2"/>
        <v>Rp45,000-5 LSN-0.00%</v>
      </c>
      <c r="Q802" s="75">
        <v>45411.0</v>
      </c>
      <c r="R802" s="76"/>
      <c r="S802" s="75">
        <v>45419.0</v>
      </c>
      <c r="T802" s="49"/>
    </row>
    <row r="803">
      <c r="A803" s="82">
        <v>4339.0</v>
      </c>
      <c r="B803" s="69" t="s">
        <v>29</v>
      </c>
      <c r="C803" s="79" t="s">
        <v>1134</v>
      </c>
      <c r="D803" s="69"/>
      <c r="E803" s="41" t="s">
        <v>1235</v>
      </c>
      <c r="F803" s="70"/>
      <c r="G803" s="71" t="s">
        <v>1235</v>
      </c>
      <c r="H803" s="41"/>
      <c r="I803" s="42"/>
      <c r="J803" s="43" t="str">
        <f t="shared" si="1"/>
        <v>TIDAK ADA</v>
      </c>
      <c r="K803" s="72">
        <v>5.0</v>
      </c>
      <c r="L803" s="53" t="s">
        <v>62</v>
      </c>
      <c r="M803" s="73">
        <v>80000.0</v>
      </c>
      <c r="N803" s="74"/>
      <c r="O803" s="73">
        <v>400000.0</v>
      </c>
      <c r="P803" s="46" t="str">
        <f t="shared" si="2"/>
        <v>Rp80,000-5 LSN-0.00%</v>
      </c>
      <c r="Q803" s="75">
        <v>45411.0</v>
      </c>
      <c r="R803" s="76"/>
      <c r="S803" s="75">
        <v>45419.0</v>
      </c>
      <c r="T803" s="49"/>
    </row>
    <row r="804">
      <c r="A804" s="82">
        <v>4339.0</v>
      </c>
      <c r="B804" s="69" t="s">
        <v>29</v>
      </c>
      <c r="C804" s="79" t="s">
        <v>1134</v>
      </c>
      <c r="D804" s="50" t="s">
        <v>79</v>
      </c>
      <c r="E804" s="41" t="str">
        <f>IFERROR(__xludf.DUMMYFUNCTION("vlookup(D804,IMPORTRANGE(""https://docs.google.com/spreadsheets/d/1swGwZOEqYlTEUCJLY-eeJM1911Kvaei5oySBIxdgtNo/edit?pli=1#gid=257618397"",""stock untanna!B:C""),2,false)"),"STUDY BOARD (BK MEWARNAI) JQ-1909")</f>
        <v>STUDY BOARD (BK MEWARNAI) JQ-1909</v>
      </c>
      <c r="F804" s="70"/>
      <c r="G804" s="71" t="s">
        <v>80</v>
      </c>
      <c r="H804" s="41"/>
      <c r="I804" s="42"/>
      <c r="J804" s="43" t="str">
        <f t="shared" si="1"/>
        <v>ADA</v>
      </c>
      <c r="K804" s="72">
        <v>5.0</v>
      </c>
      <c r="L804" s="53" t="s">
        <v>62</v>
      </c>
      <c r="M804" s="73">
        <v>150000.0</v>
      </c>
      <c r="N804" s="74"/>
      <c r="O804" s="73">
        <v>750000.0</v>
      </c>
      <c r="P804" s="46" t="str">
        <f t="shared" si="2"/>
        <v>Rp150,000-5 LSN-0.00%</v>
      </c>
      <c r="Q804" s="75">
        <v>45411.0</v>
      </c>
      <c r="R804" s="76"/>
      <c r="S804" s="75">
        <v>45419.0</v>
      </c>
      <c r="T804" s="49"/>
    </row>
    <row r="805">
      <c r="A805" s="82">
        <v>4339.0</v>
      </c>
      <c r="B805" s="69" t="s">
        <v>29</v>
      </c>
      <c r="C805" s="79" t="s">
        <v>1134</v>
      </c>
      <c r="D805" s="69"/>
      <c r="E805" s="41" t="s">
        <v>1236</v>
      </c>
      <c r="F805" s="70"/>
      <c r="G805" s="71" t="s">
        <v>1236</v>
      </c>
      <c r="H805" s="41"/>
      <c r="I805" s="42"/>
      <c r="J805" s="43" t="str">
        <f t="shared" si="1"/>
        <v>TIDAK ADA</v>
      </c>
      <c r="K805" s="72">
        <v>5.0</v>
      </c>
      <c r="L805" s="53" t="s">
        <v>62</v>
      </c>
      <c r="M805" s="73">
        <v>45000.0</v>
      </c>
      <c r="N805" s="74"/>
      <c r="O805" s="73">
        <v>225000.0</v>
      </c>
      <c r="P805" s="46" t="str">
        <f t="shared" si="2"/>
        <v>Rp45,000-5 LSN-0.00%</v>
      </c>
      <c r="Q805" s="75">
        <v>45411.0</v>
      </c>
      <c r="R805" s="76"/>
      <c r="S805" s="75">
        <v>45419.0</v>
      </c>
      <c r="T805" s="49"/>
    </row>
    <row r="806">
      <c r="A806" s="82">
        <v>4339.0</v>
      </c>
      <c r="B806" s="69" t="s">
        <v>29</v>
      </c>
      <c r="C806" s="79" t="s">
        <v>1134</v>
      </c>
      <c r="D806" s="69"/>
      <c r="E806" s="41" t="s">
        <v>1237</v>
      </c>
      <c r="F806" s="70"/>
      <c r="G806" s="71" t="s">
        <v>1237</v>
      </c>
      <c r="H806" s="41"/>
      <c r="I806" s="42"/>
      <c r="J806" s="43" t="str">
        <f t="shared" si="1"/>
        <v>TIDAK ADA</v>
      </c>
      <c r="K806" s="72">
        <v>5.0</v>
      </c>
      <c r="L806" s="53" t="s">
        <v>62</v>
      </c>
      <c r="M806" s="73">
        <v>75000.0</v>
      </c>
      <c r="N806" s="74"/>
      <c r="O806" s="73">
        <v>375000.0</v>
      </c>
      <c r="P806" s="46" t="str">
        <f t="shared" si="2"/>
        <v>Rp75,000-5 LSN-0.00%</v>
      </c>
      <c r="Q806" s="75">
        <v>45411.0</v>
      </c>
      <c r="R806" s="76"/>
      <c r="S806" s="75">
        <v>45419.0</v>
      </c>
      <c r="T806" s="49"/>
    </row>
    <row r="807">
      <c r="A807" s="82">
        <v>4339.0</v>
      </c>
      <c r="B807" s="69" t="s">
        <v>29</v>
      </c>
      <c r="C807" s="79" t="s">
        <v>1134</v>
      </c>
      <c r="D807" s="69"/>
      <c r="E807" s="41" t="s">
        <v>1238</v>
      </c>
      <c r="F807" s="70"/>
      <c r="G807" s="71" t="s">
        <v>1238</v>
      </c>
      <c r="H807" s="41"/>
      <c r="I807" s="42"/>
      <c r="J807" s="43" t="str">
        <f t="shared" si="1"/>
        <v>TIDAK ADA</v>
      </c>
      <c r="K807" s="72">
        <v>1.0</v>
      </c>
      <c r="L807" s="53" t="s">
        <v>62</v>
      </c>
      <c r="M807" s="73">
        <v>170000.0</v>
      </c>
      <c r="N807" s="74"/>
      <c r="O807" s="73">
        <v>170000.0</v>
      </c>
      <c r="P807" s="46" t="str">
        <f t="shared" si="2"/>
        <v>Rp170,000-1 LSN-0.00%</v>
      </c>
      <c r="Q807" s="75">
        <v>45411.0</v>
      </c>
      <c r="R807" s="76"/>
      <c r="S807" s="75">
        <v>45419.0</v>
      </c>
      <c r="T807" s="80" t="s">
        <v>280</v>
      </c>
    </row>
    <row r="808">
      <c r="A808" s="82">
        <v>4340.0</v>
      </c>
      <c r="B808" s="69" t="s">
        <v>29</v>
      </c>
      <c r="C808" s="79" t="s">
        <v>1134</v>
      </c>
      <c r="D808" s="69"/>
      <c r="E808" s="41" t="s">
        <v>1239</v>
      </c>
      <c r="F808" s="70"/>
      <c r="G808" s="71" t="s">
        <v>1239</v>
      </c>
      <c r="H808" s="41"/>
      <c r="I808" s="42"/>
      <c r="J808" s="43" t="str">
        <f t="shared" si="1"/>
        <v>TIDAK ADA</v>
      </c>
      <c r="K808" s="72">
        <v>2.0</v>
      </c>
      <c r="L808" s="53" t="s">
        <v>62</v>
      </c>
      <c r="M808" s="73">
        <v>20000.0</v>
      </c>
      <c r="N808" s="74"/>
      <c r="O808" s="73">
        <v>40000.0</v>
      </c>
      <c r="P808" s="46" t="str">
        <f t="shared" si="2"/>
        <v>Rp20,000-2 LSN-0.00%</v>
      </c>
      <c r="Q808" s="75">
        <v>45411.0</v>
      </c>
      <c r="R808" s="76"/>
      <c r="S808" s="75">
        <v>45419.0</v>
      </c>
      <c r="T808" s="49"/>
    </row>
    <row r="809">
      <c r="A809" s="82">
        <v>4340.0</v>
      </c>
      <c r="B809" s="69" t="s">
        <v>29</v>
      </c>
      <c r="C809" s="79" t="s">
        <v>1134</v>
      </c>
      <c r="D809" s="69" t="s">
        <v>656</v>
      </c>
      <c r="E809" s="41" t="str">
        <f>IFERROR(__xludf.DUMMYFUNCTION("vlookup(D809,IMPORTRANGE(""https://docs.google.com/spreadsheets/d/1swGwZOEqYlTEUCJLY-eeJM1911Kvaei5oySBIxdgtNo/edit?pli=1#gid=257618397"",""stock untanna!B:C""),2,false)"),"TAS BATIK T ALPINDO ")</f>
        <v>TAS BATIK T ALPINDO </v>
      </c>
      <c r="F809" s="70" t="s">
        <v>656</v>
      </c>
      <c r="G809" s="71" t="s">
        <v>1240</v>
      </c>
      <c r="H809" s="41"/>
      <c r="I809" s="42"/>
      <c r="J809" s="43" t="str">
        <f t="shared" si="1"/>
        <v>ADA</v>
      </c>
      <c r="K809" s="72">
        <v>2.0</v>
      </c>
      <c r="L809" s="53" t="s">
        <v>62</v>
      </c>
      <c r="M809" s="73">
        <v>30000.0</v>
      </c>
      <c r="N809" s="74"/>
      <c r="O809" s="73">
        <v>60000.0</v>
      </c>
      <c r="P809" s="46" t="str">
        <f t="shared" si="2"/>
        <v>Rp30,000-2 LSN-0.00%</v>
      </c>
      <c r="Q809" s="75">
        <v>45411.0</v>
      </c>
      <c r="R809" s="76"/>
      <c r="S809" s="75">
        <v>45419.0</v>
      </c>
      <c r="T809" s="49"/>
    </row>
    <row r="810">
      <c r="A810" s="82">
        <v>4340.0</v>
      </c>
      <c r="B810" s="69" t="s">
        <v>29</v>
      </c>
      <c r="C810" s="79" t="s">
        <v>1134</v>
      </c>
      <c r="D810" s="69" t="s">
        <v>1241</v>
      </c>
      <c r="E810" s="41" t="str">
        <f>IFERROR(__xludf.DUMMYFUNCTION("vlookup(D810,IMPORTRANGE(""https://docs.google.com/spreadsheets/d/1swGwZOEqYlTEUCJLY-eeJM1911Kvaei5oySBIxdgtNo/edit?pli=1#gid=257618397"",""stock untanna!B:C""),2,false)"),"TAS NO-1036-M BIASA KECIL")</f>
        <v>TAS NO-1036-M BIASA KECIL</v>
      </c>
      <c r="F810" s="70" t="s">
        <v>1241</v>
      </c>
      <c r="G810" s="71" t="s">
        <v>1242</v>
      </c>
      <c r="H810" s="41"/>
      <c r="I810" s="42"/>
      <c r="J810" s="43" t="str">
        <f t="shared" si="1"/>
        <v>ADA</v>
      </c>
      <c r="K810" s="72">
        <v>12.0</v>
      </c>
      <c r="L810" s="53" t="s">
        <v>69</v>
      </c>
      <c r="M810" s="73">
        <v>5000.0</v>
      </c>
      <c r="N810" s="74"/>
      <c r="O810" s="73">
        <v>60000.0</v>
      </c>
      <c r="P810" s="46" t="str">
        <f t="shared" si="2"/>
        <v>Rp5,000-12 PCS-0.00%</v>
      </c>
      <c r="Q810" s="75">
        <v>45411.0</v>
      </c>
      <c r="R810" s="76"/>
      <c r="S810" s="75">
        <v>45419.0</v>
      </c>
      <c r="T810" s="49"/>
    </row>
    <row r="811">
      <c r="A811" s="82">
        <v>4340.0</v>
      </c>
      <c r="B811" s="69" t="s">
        <v>29</v>
      </c>
      <c r="C811" s="79" t="s">
        <v>1134</v>
      </c>
      <c r="D811" s="69"/>
      <c r="E811" s="41" t="s">
        <v>1243</v>
      </c>
      <c r="F811" s="70"/>
      <c r="G811" s="71" t="s">
        <v>1243</v>
      </c>
      <c r="H811" s="41"/>
      <c r="I811" s="42"/>
      <c r="J811" s="43" t="str">
        <f t="shared" si="1"/>
        <v>TIDAK ADA</v>
      </c>
      <c r="K811" s="72">
        <v>1.0</v>
      </c>
      <c r="L811" s="53" t="s">
        <v>62</v>
      </c>
      <c r="M811" s="73">
        <v>65000.0</v>
      </c>
      <c r="N811" s="74"/>
      <c r="O811" s="73">
        <v>65000.0</v>
      </c>
      <c r="P811" s="46" t="str">
        <f t="shared" si="2"/>
        <v>Rp65,000-1 LSN-0.00%</v>
      </c>
      <c r="Q811" s="75">
        <v>45411.0</v>
      </c>
      <c r="R811" s="76"/>
      <c r="S811" s="75">
        <v>45419.0</v>
      </c>
      <c r="T811" s="49"/>
    </row>
    <row r="812">
      <c r="A812" s="82">
        <v>4340.0</v>
      </c>
      <c r="B812" s="69" t="s">
        <v>29</v>
      </c>
      <c r="C812" s="79" t="s">
        <v>1134</v>
      </c>
      <c r="D812" s="69"/>
      <c r="E812" s="41" t="s">
        <v>1244</v>
      </c>
      <c r="F812" s="70"/>
      <c r="G812" s="71" t="s">
        <v>1244</v>
      </c>
      <c r="H812" s="41"/>
      <c r="I812" s="42"/>
      <c r="J812" s="43" t="str">
        <f t="shared" si="1"/>
        <v>TIDAK ADA</v>
      </c>
      <c r="K812" s="72">
        <v>1.0</v>
      </c>
      <c r="L812" s="53" t="s">
        <v>62</v>
      </c>
      <c r="M812" s="73">
        <v>60000.0</v>
      </c>
      <c r="N812" s="74"/>
      <c r="O812" s="73">
        <v>60000.0</v>
      </c>
      <c r="P812" s="46" t="str">
        <f t="shared" si="2"/>
        <v>Rp60,000-1 LSN-0.00%</v>
      </c>
      <c r="Q812" s="75">
        <v>45411.0</v>
      </c>
      <c r="R812" s="76"/>
      <c r="S812" s="75">
        <v>45419.0</v>
      </c>
      <c r="T812" s="49"/>
    </row>
    <row r="813">
      <c r="A813" s="82">
        <v>4340.0</v>
      </c>
      <c r="B813" s="69" t="s">
        <v>29</v>
      </c>
      <c r="C813" s="79" t="s">
        <v>1134</v>
      </c>
      <c r="D813" s="69"/>
      <c r="E813" s="41" t="s">
        <v>1245</v>
      </c>
      <c r="F813" s="70"/>
      <c r="G813" s="71" t="s">
        <v>1245</v>
      </c>
      <c r="H813" s="41"/>
      <c r="I813" s="42"/>
      <c r="J813" s="43" t="str">
        <f t="shared" si="1"/>
        <v>TIDAK ADA</v>
      </c>
      <c r="K813" s="72">
        <v>1.0</v>
      </c>
      <c r="L813" s="53" t="s">
        <v>62</v>
      </c>
      <c r="M813" s="73">
        <v>60000.0</v>
      </c>
      <c r="N813" s="74"/>
      <c r="O813" s="73">
        <v>60000.0</v>
      </c>
      <c r="P813" s="46" t="str">
        <f t="shared" si="2"/>
        <v>Rp60,000-1 LSN-0.00%</v>
      </c>
      <c r="Q813" s="75">
        <v>45411.0</v>
      </c>
      <c r="R813" s="76"/>
      <c r="S813" s="75">
        <v>45419.0</v>
      </c>
      <c r="T813" s="49"/>
    </row>
    <row r="814">
      <c r="A814" s="82">
        <v>4340.0</v>
      </c>
      <c r="B814" s="69" t="s">
        <v>29</v>
      </c>
      <c r="C814" s="79" t="s">
        <v>1134</v>
      </c>
      <c r="D814" s="50" t="s">
        <v>1246</v>
      </c>
      <c r="E814" s="41" t="str">
        <f>IFERROR(__xludf.DUMMYFUNCTION("vlookup(D814,IMPORTRANGE(""https://docs.google.com/spreadsheets/d/1swGwZOEqYlTEUCJLY-eeJM1911Kvaei5oySBIxdgtNo/edit?pli=1#gid=257618397"",""stock untanna!B:C""),2,false)"),"TAS SB-117 PARIS KECIL")</f>
        <v>TAS SB-117 PARIS KECIL</v>
      </c>
      <c r="F814" s="70"/>
      <c r="G814" s="71" t="s">
        <v>1247</v>
      </c>
      <c r="H814" s="41"/>
      <c r="I814" s="42"/>
      <c r="J814" s="43" t="str">
        <f t="shared" si="1"/>
        <v>ADA</v>
      </c>
      <c r="K814" s="72">
        <v>1.0</v>
      </c>
      <c r="L814" s="53" t="s">
        <v>62</v>
      </c>
      <c r="M814" s="73">
        <v>60000.0</v>
      </c>
      <c r="N814" s="74"/>
      <c r="O814" s="73">
        <v>60000.0</v>
      </c>
      <c r="P814" s="46" t="str">
        <f t="shared" si="2"/>
        <v>Rp60,000-1 LSN-0.00%</v>
      </c>
      <c r="Q814" s="75">
        <v>45411.0</v>
      </c>
      <c r="R814" s="76"/>
      <c r="S814" s="75">
        <v>45419.0</v>
      </c>
      <c r="T814" s="49"/>
    </row>
    <row r="815">
      <c r="A815" s="82">
        <v>4340.0</v>
      </c>
      <c r="B815" s="69" t="s">
        <v>29</v>
      </c>
      <c r="C815" s="79" t="s">
        <v>1134</v>
      </c>
      <c r="D815" s="69"/>
      <c r="E815" s="41" t="s">
        <v>1248</v>
      </c>
      <c r="F815" s="70"/>
      <c r="G815" s="71" t="s">
        <v>1248</v>
      </c>
      <c r="H815" s="41"/>
      <c r="I815" s="42"/>
      <c r="J815" s="43" t="str">
        <f t="shared" si="1"/>
        <v>TIDAK ADA</v>
      </c>
      <c r="K815" s="72">
        <v>1.0</v>
      </c>
      <c r="L815" s="53" t="s">
        <v>62</v>
      </c>
      <c r="M815" s="73">
        <v>120000.0</v>
      </c>
      <c r="N815" s="74"/>
      <c r="O815" s="73">
        <v>120000.0</v>
      </c>
      <c r="P815" s="46" t="str">
        <f t="shared" si="2"/>
        <v>Rp120,000-1 LSN-0.00%</v>
      </c>
      <c r="Q815" s="75">
        <v>45411.0</v>
      </c>
      <c r="R815" s="76"/>
      <c r="S815" s="75">
        <v>45419.0</v>
      </c>
      <c r="T815" s="49"/>
    </row>
    <row r="816">
      <c r="A816" s="82">
        <v>4340.0</v>
      </c>
      <c r="B816" s="69" t="s">
        <v>29</v>
      </c>
      <c r="C816" s="79" t="s">
        <v>1134</v>
      </c>
      <c r="D816" s="69" t="s">
        <v>218</v>
      </c>
      <c r="E816" s="41" t="str">
        <f>IFERROR(__xludf.DUMMYFUNCTION("vlookup(D816,IMPORTRANGE(""https://docs.google.com/spreadsheets/d/1swGwZOEqYlTEUCJLY-eeJM1911Kvaei5oySBIxdgtNo/edit?pli=1#gid=257618397"",""stock untanna!B:C""),2,false)"),"TAS TALI GG-03 BESAR GLITTER")</f>
        <v>TAS TALI GG-03 BESAR GLITTER</v>
      </c>
      <c r="F816" s="70" t="s">
        <v>218</v>
      </c>
      <c r="G816" s="71" t="s">
        <v>219</v>
      </c>
      <c r="H816" s="41"/>
      <c r="I816" s="42"/>
      <c r="J816" s="43" t="str">
        <f t="shared" si="1"/>
        <v>ADA</v>
      </c>
      <c r="K816" s="72">
        <v>1.0</v>
      </c>
      <c r="L816" s="53" t="s">
        <v>62</v>
      </c>
      <c r="M816" s="73">
        <v>135000.0</v>
      </c>
      <c r="N816" s="74"/>
      <c r="O816" s="73">
        <v>135000.0</v>
      </c>
      <c r="P816" s="46" t="str">
        <f t="shared" si="2"/>
        <v>Rp135,000-1 LSN-0.00%</v>
      </c>
      <c r="Q816" s="75">
        <v>45411.0</v>
      </c>
      <c r="R816" s="76"/>
      <c r="S816" s="75">
        <v>45419.0</v>
      </c>
      <c r="T816" s="49"/>
    </row>
    <row r="817">
      <c r="A817" s="82">
        <v>4340.0</v>
      </c>
      <c r="B817" s="69" t="s">
        <v>29</v>
      </c>
      <c r="C817" s="79" t="s">
        <v>1134</v>
      </c>
      <c r="D817" s="69" t="s">
        <v>218</v>
      </c>
      <c r="E817" s="41" t="str">
        <f>IFERROR(__xludf.DUMMYFUNCTION("vlookup(D817,IMPORTRANGE(""https://docs.google.com/spreadsheets/d/1swGwZOEqYlTEUCJLY-eeJM1911Kvaei5oySBIxdgtNo/edit?pli=1#gid=257618397"",""stock untanna!B:C""),2,false)"),"TAS TALI GG-03 BESAR GLITTER")</f>
        <v>TAS TALI GG-03 BESAR GLITTER</v>
      </c>
      <c r="F817" s="70" t="s">
        <v>218</v>
      </c>
      <c r="G817" s="71" t="s">
        <v>219</v>
      </c>
      <c r="H817" s="41"/>
      <c r="I817" s="42"/>
      <c r="J817" s="43" t="str">
        <f t="shared" si="1"/>
        <v>ADA</v>
      </c>
      <c r="K817" s="72">
        <v>1.0</v>
      </c>
      <c r="L817" s="53" t="s">
        <v>62</v>
      </c>
      <c r="M817" s="73">
        <v>135000.0</v>
      </c>
      <c r="N817" s="74"/>
      <c r="O817" s="73">
        <v>135000.0</v>
      </c>
      <c r="P817" s="46" t="str">
        <f t="shared" si="2"/>
        <v>Rp135,000-1 LSN-0.00%</v>
      </c>
      <c r="Q817" s="75">
        <v>45411.0</v>
      </c>
      <c r="R817" s="76"/>
      <c r="S817" s="75">
        <v>45419.0</v>
      </c>
      <c r="T817" s="49"/>
    </row>
    <row r="818">
      <c r="A818" s="82">
        <v>4340.0</v>
      </c>
      <c r="B818" s="69" t="s">
        <v>29</v>
      </c>
      <c r="C818" s="79" t="s">
        <v>1134</v>
      </c>
      <c r="D818" s="69" t="s">
        <v>218</v>
      </c>
      <c r="E818" s="41" t="str">
        <f>IFERROR(__xludf.DUMMYFUNCTION("vlookup(D818,IMPORTRANGE(""https://docs.google.com/spreadsheets/d/1swGwZOEqYlTEUCJLY-eeJM1911Kvaei5oySBIxdgtNo/edit?pli=1#gid=257618397"",""stock untanna!B:C""),2,false)"),"TAS TALI GG-03 BESAR GLITTER")</f>
        <v>TAS TALI GG-03 BESAR GLITTER</v>
      </c>
      <c r="F818" s="70" t="s">
        <v>218</v>
      </c>
      <c r="G818" s="71" t="s">
        <v>219</v>
      </c>
      <c r="H818" s="41"/>
      <c r="I818" s="42"/>
      <c r="J818" s="43" t="str">
        <f t="shared" si="1"/>
        <v>ADA</v>
      </c>
      <c r="K818" s="72">
        <v>1.0</v>
      </c>
      <c r="L818" s="53" t="s">
        <v>62</v>
      </c>
      <c r="M818" s="73">
        <v>135000.0</v>
      </c>
      <c r="N818" s="74"/>
      <c r="O818" s="73">
        <v>135000.0</v>
      </c>
      <c r="P818" s="46" t="str">
        <f t="shared" si="2"/>
        <v>Rp135,000-1 LSN-0.00%</v>
      </c>
      <c r="Q818" s="75">
        <v>45411.0</v>
      </c>
      <c r="R818" s="76"/>
      <c r="S818" s="75">
        <v>45419.0</v>
      </c>
      <c r="T818" s="49"/>
    </row>
    <row r="819">
      <c r="A819" s="82">
        <v>4340.0</v>
      </c>
      <c r="B819" s="69" t="s">
        <v>29</v>
      </c>
      <c r="C819" s="79" t="s">
        <v>1134</v>
      </c>
      <c r="D819" s="69" t="s">
        <v>255</v>
      </c>
      <c r="E819" s="41" t="str">
        <f>IFERROR(__xludf.DUMMYFUNCTION("vlookup(D819,IMPORTRANGE(""https://docs.google.com/spreadsheets/d/1swGwZOEqYlTEUCJLY-eeJM1911Kvaei5oySBIxdgtNo/edit?pli=1#gid=257618397"",""stock untanna!B:C""),2,false)"),"TAS KERTAS 8867A")</f>
        <v>TAS KERTAS 8867A</v>
      </c>
      <c r="F819" s="70" t="s">
        <v>255</v>
      </c>
      <c r="G819" s="71" t="s">
        <v>256</v>
      </c>
      <c r="H819" s="41"/>
      <c r="I819" s="42"/>
      <c r="J819" s="43" t="str">
        <f t="shared" si="1"/>
        <v>ADA</v>
      </c>
      <c r="K819" s="72">
        <v>1.0</v>
      </c>
      <c r="L819" s="53" t="s">
        <v>62</v>
      </c>
      <c r="M819" s="73">
        <v>135000.0</v>
      </c>
      <c r="N819" s="74"/>
      <c r="O819" s="73">
        <v>135000.0</v>
      </c>
      <c r="P819" s="46" t="str">
        <f t="shared" si="2"/>
        <v>Rp135,000-1 LSN-0.00%</v>
      </c>
      <c r="Q819" s="75">
        <v>45411.0</v>
      </c>
      <c r="R819" s="76"/>
      <c r="S819" s="75">
        <v>45419.0</v>
      </c>
      <c r="T819" s="49"/>
    </row>
    <row r="820">
      <c r="A820" s="82">
        <v>4340.0</v>
      </c>
      <c r="B820" s="69" t="s">
        <v>29</v>
      </c>
      <c r="C820" s="79" t="s">
        <v>1134</v>
      </c>
      <c r="D820" s="69" t="s">
        <v>247</v>
      </c>
      <c r="E820" s="41" t="str">
        <f>IFERROR(__xludf.DUMMYFUNCTION("vlookup(D820,IMPORTRANGE(""https://docs.google.com/spreadsheets/d/1swGwZOEqYlTEUCJLY-eeJM1911Kvaei5oySBIxdgtNo/edit?pli=1#gid=257618397"",""stock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0" s="70" t="s">
        <v>247</v>
      </c>
      <c r="G820" s="78" t="s">
        <v>248</v>
      </c>
      <c r="H820" s="41"/>
      <c r="I820" s="42"/>
      <c r="J820" s="43" t="str">
        <f t="shared" si="1"/>
        <v>ADA</v>
      </c>
      <c r="K820" s="72">
        <v>1.0</v>
      </c>
      <c r="L820" s="53" t="s">
        <v>62</v>
      </c>
      <c r="M820" s="73">
        <v>95000.0</v>
      </c>
      <c r="N820" s="74"/>
      <c r="O820" s="73">
        <v>95000.0</v>
      </c>
      <c r="P820" s="46" t="str">
        <f t="shared" si="2"/>
        <v>Rp95,000-1 LSN-0.00%</v>
      </c>
      <c r="Q820" s="75">
        <v>45411.0</v>
      </c>
      <c r="R820" s="76"/>
      <c r="S820" s="75">
        <v>45419.0</v>
      </c>
      <c r="T820" s="49"/>
    </row>
    <row r="821">
      <c r="A821" s="82">
        <v>4340.0</v>
      </c>
      <c r="B821" s="69" t="s">
        <v>29</v>
      </c>
      <c r="C821" s="79" t="s">
        <v>1134</v>
      </c>
      <c r="D821" s="69" t="s">
        <v>247</v>
      </c>
      <c r="E821" s="41" t="str">
        <f>IFERROR(__xludf.DUMMYFUNCTION("vlookup(D821,IMPORTRANGE(""https://docs.google.com/spreadsheets/d/1swGwZOEqYlTEUCJLY-eeJM1911Kvaei5oySBIxdgtNo/edit?pli=1#gid=257618397"",""stock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1" s="70" t="s">
        <v>247</v>
      </c>
      <c r="G821" s="78" t="s">
        <v>248</v>
      </c>
      <c r="H821" s="41"/>
      <c r="I821" s="42"/>
      <c r="J821" s="43" t="str">
        <f t="shared" si="1"/>
        <v>ADA</v>
      </c>
      <c r="K821" s="72">
        <v>1.0</v>
      </c>
      <c r="L821" s="53" t="s">
        <v>62</v>
      </c>
      <c r="M821" s="73">
        <v>95000.0</v>
      </c>
      <c r="N821" s="74"/>
      <c r="O821" s="73">
        <v>95000.0</v>
      </c>
      <c r="P821" s="46" t="str">
        <f t="shared" si="2"/>
        <v>Rp95,000-1 LSN-0.00%</v>
      </c>
      <c r="Q821" s="75">
        <v>45411.0</v>
      </c>
      <c r="R821" s="76"/>
      <c r="S821" s="75">
        <v>45419.0</v>
      </c>
      <c r="T821" s="49"/>
    </row>
    <row r="822">
      <c r="A822" s="82">
        <v>4340.0</v>
      </c>
      <c r="B822" s="69" t="s">
        <v>29</v>
      </c>
      <c r="C822" s="79" t="s">
        <v>1134</v>
      </c>
      <c r="D822" s="69" t="s">
        <v>247</v>
      </c>
      <c r="E822" s="41" t="str">
        <f>IFERROR(__xludf.DUMMYFUNCTION("vlookup(D822,IMPORTRANGE(""https://docs.google.com/spreadsheets/d/1swGwZOEqYlTEUCJLY-eeJM1911Kvaei5oySBIxdgtNo/edit?pli=1#gid=257618397"",""stock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2" s="70" t="s">
        <v>247</v>
      </c>
      <c r="G822" s="78" t="s">
        <v>248</v>
      </c>
      <c r="H822" s="41"/>
      <c r="I822" s="42"/>
      <c r="J822" s="43" t="str">
        <f t="shared" si="1"/>
        <v>ADA</v>
      </c>
      <c r="K822" s="72">
        <v>1.0</v>
      </c>
      <c r="L822" s="53" t="s">
        <v>62</v>
      </c>
      <c r="M822" s="73">
        <v>95000.0</v>
      </c>
      <c r="N822" s="74"/>
      <c r="O822" s="73">
        <v>95000.0</v>
      </c>
      <c r="P822" s="46" t="str">
        <f t="shared" si="2"/>
        <v>Rp95,000-1 LSN-0.00%</v>
      </c>
      <c r="Q822" s="75">
        <v>45411.0</v>
      </c>
      <c r="R822" s="76"/>
      <c r="S822" s="75">
        <v>45419.0</v>
      </c>
      <c r="T822" s="49"/>
    </row>
    <row r="823">
      <c r="A823" s="82">
        <v>4340.0</v>
      </c>
      <c r="B823" s="69" t="s">
        <v>29</v>
      </c>
      <c r="C823" s="79" t="s">
        <v>1134</v>
      </c>
      <c r="D823" s="69" t="s">
        <v>247</v>
      </c>
      <c r="E823" s="41" t="str">
        <f>IFERROR(__xludf.DUMMYFUNCTION("vlookup(D823,IMPORTRANGE(""https://docs.google.com/spreadsheets/d/1swGwZOEqYlTEUCJLY-eeJM1911Kvaei5oySBIxdgtNo/edit?pli=1#gid=257618397"",""stock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3" s="70" t="s">
        <v>247</v>
      </c>
      <c r="G823" s="78" t="s">
        <v>248</v>
      </c>
      <c r="H823" s="41"/>
      <c r="I823" s="42"/>
      <c r="J823" s="43" t="str">
        <f t="shared" si="1"/>
        <v>ADA</v>
      </c>
      <c r="K823" s="72">
        <v>1.0</v>
      </c>
      <c r="L823" s="53" t="s">
        <v>62</v>
      </c>
      <c r="M823" s="73">
        <v>95000.0</v>
      </c>
      <c r="N823" s="74"/>
      <c r="O823" s="73">
        <v>95000.0</v>
      </c>
      <c r="P823" s="46" t="str">
        <f t="shared" si="2"/>
        <v>Rp95,000-1 LSN-0.00%</v>
      </c>
      <c r="Q823" s="75">
        <v>45411.0</v>
      </c>
      <c r="R823" s="76"/>
      <c r="S823" s="75">
        <v>45419.0</v>
      </c>
      <c r="T823" s="49"/>
    </row>
    <row r="824">
      <c r="A824" s="82">
        <v>4341.0</v>
      </c>
      <c r="B824" s="69" t="s">
        <v>29</v>
      </c>
      <c r="C824" s="79" t="s">
        <v>1134</v>
      </c>
      <c r="D824" s="69" t="s">
        <v>247</v>
      </c>
      <c r="E824" s="41" t="str">
        <f>IFERROR(__xludf.DUMMYFUNCTION("vlookup(D824,IMPORTRANGE(""https://docs.google.com/spreadsheets/d/1swGwZOEqYlTEUCJLY-eeJM1911Kvaei5oySBIxdgtNo/edit?pli=1#gid=257618397"",""stock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4" s="70" t="s">
        <v>247</v>
      </c>
      <c r="G824" s="78" t="s">
        <v>248</v>
      </c>
      <c r="H824" s="41"/>
      <c r="I824" s="42"/>
      <c r="J824" s="43" t="str">
        <f t="shared" si="1"/>
        <v>ADA</v>
      </c>
      <c r="K824" s="72">
        <v>1.0</v>
      </c>
      <c r="L824" s="53" t="s">
        <v>62</v>
      </c>
      <c r="M824" s="73">
        <v>95000.0</v>
      </c>
      <c r="N824" s="74"/>
      <c r="O824" s="73">
        <v>95000.0</v>
      </c>
      <c r="P824" s="46" t="str">
        <f t="shared" si="2"/>
        <v>Rp95,000-1 LSN-0.00%</v>
      </c>
      <c r="Q824" s="75">
        <v>45411.0</v>
      </c>
      <c r="R824" s="76"/>
      <c r="S824" s="75">
        <v>45419.0</v>
      </c>
      <c r="T824" s="49"/>
    </row>
    <row r="825">
      <c r="A825" s="82">
        <v>4341.0</v>
      </c>
      <c r="B825" s="69" t="s">
        <v>29</v>
      </c>
      <c r="C825" s="79" t="s">
        <v>1134</v>
      </c>
      <c r="D825" s="69" t="s">
        <v>247</v>
      </c>
      <c r="E825" s="41" t="str">
        <f>IFERROR(__xludf.DUMMYFUNCTION("vlookup(D825,IMPORTRANGE(""https://docs.google.com/spreadsheets/d/1swGwZOEqYlTEUCJLY-eeJM1911Kvaei5oySBIxdgtNo/edit?pli=1#gid=257618397"",""stock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5" s="70" t="s">
        <v>247</v>
      </c>
      <c r="G825" s="78" t="s">
        <v>248</v>
      </c>
      <c r="H825" s="41"/>
      <c r="I825" s="42"/>
      <c r="J825" s="43" t="str">
        <f t="shared" si="1"/>
        <v>ADA</v>
      </c>
      <c r="K825" s="72">
        <v>1.0</v>
      </c>
      <c r="L825" s="53" t="s">
        <v>62</v>
      </c>
      <c r="M825" s="73">
        <v>95000.0</v>
      </c>
      <c r="N825" s="74"/>
      <c r="O825" s="73">
        <v>95000.0</v>
      </c>
      <c r="P825" s="46" t="str">
        <f t="shared" si="2"/>
        <v>Rp95,000-1 LSN-0.00%</v>
      </c>
      <c r="Q825" s="75">
        <v>45411.0</v>
      </c>
      <c r="R825" s="76"/>
      <c r="S825" s="75">
        <v>45419.0</v>
      </c>
      <c r="T825" s="49"/>
    </row>
    <row r="826">
      <c r="A826" s="82">
        <v>4341.0</v>
      </c>
      <c r="B826" s="69" t="s">
        <v>29</v>
      </c>
      <c r="C826" s="79" t="s">
        <v>1134</v>
      </c>
      <c r="D826" s="69" t="s">
        <v>247</v>
      </c>
      <c r="E826" s="41" t="str">
        <f>IFERROR(__xludf.DUMMYFUNCTION("vlookup(D826,IMPORTRANGE(""https://docs.google.com/spreadsheets/d/1swGwZOEqYlTEUCJLY-eeJM1911Kvaei5oySBIxdgtNo/edit?pli=1#gid=257618397"",""stock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6" s="70" t="s">
        <v>247</v>
      </c>
      <c r="G826" s="78" t="s">
        <v>248</v>
      </c>
      <c r="H826" s="41"/>
      <c r="I826" s="42"/>
      <c r="J826" s="43" t="str">
        <f t="shared" si="1"/>
        <v>ADA</v>
      </c>
      <c r="K826" s="72">
        <v>1.0</v>
      </c>
      <c r="L826" s="53" t="s">
        <v>62</v>
      </c>
      <c r="M826" s="73">
        <v>105000.0</v>
      </c>
      <c r="N826" s="74"/>
      <c r="O826" s="73">
        <v>105000.0</v>
      </c>
      <c r="P826" s="46" t="str">
        <f t="shared" si="2"/>
        <v>Rp105,000-1 LSN-0.00%</v>
      </c>
      <c r="Q826" s="75">
        <v>45411.0</v>
      </c>
      <c r="R826" s="76"/>
      <c r="S826" s="75">
        <v>45419.0</v>
      </c>
      <c r="T826" s="49"/>
    </row>
    <row r="827">
      <c r="A827" s="82">
        <v>4341.0</v>
      </c>
      <c r="B827" s="69" t="s">
        <v>29</v>
      </c>
      <c r="C827" s="79" t="s">
        <v>1134</v>
      </c>
      <c r="D827" s="69" t="s">
        <v>249</v>
      </c>
      <c r="E827" s="41" t="str">
        <f>IFERROR(__xludf.DUMMYFUNCTION("vlookup(D827,IMPORTRANGE(""https://docs.google.com/spreadsheets/d/1swGwZOEqYlTEUCJLY-eeJM1911Kvaei5oySBIxdgtNo/edit?pli=1#gid=257618397"",""stock untanna!B:C""),2,false)"),"TAS TUTUP PITA KADO FG-101 KECIL")</f>
        <v>TAS TUTUP PITA KADO FG-101 KECIL</v>
      </c>
      <c r="F827" s="70" t="s">
        <v>249</v>
      </c>
      <c r="G827" s="71" t="s">
        <v>250</v>
      </c>
      <c r="H827" s="41"/>
      <c r="I827" s="42"/>
      <c r="J827" s="43" t="str">
        <f t="shared" si="1"/>
        <v>ADA</v>
      </c>
      <c r="K827" s="72">
        <v>1.0</v>
      </c>
      <c r="L827" s="53" t="s">
        <v>62</v>
      </c>
      <c r="M827" s="73">
        <v>57500.0</v>
      </c>
      <c r="N827" s="74"/>
      <c r="O827" s="73">
        <v>57500.0</v>
      </c>
      <c r="P827" s="46" t="str">
        <f t="shared" si="2"/>
        <v>Rp57,500-1 LSN-0.00%</v>
      </c>
      <c r="Q827" s="75">
        <v>45411.0</v>
      </c>
      <c r="R827" s="76"/>
      <c r="S827" s="75">
        <v>45419.0</v>
      </c>
      <c r="T827" s="49"/>
    </row>
    <row r="828">
      <c r="A828" s="82">
        <v>4341.0</v>
      </c>
      <c r="B828" s="69" t="s">
        <v>29</v>
      </c>
      <c r="C828" s="79" t="s">
        <v>1134</v>
      </c>
      <c r="D828" s="69" t="s">
        <v>247</v>
      </c>
      <c r="E828" s="41" t="str">
        <f>IFERROR(__xludf.DUMMYFUNCTION("vlookup(D828,IMPORTRANGE(""https://docs.google.com/spreadsheets/d/1swGwZOEqYlTEUCJLY-eeJM1911Kvaei5oySBIxdgtNo/edit?pli=1#gid=257618397"",""stock untanna!B:C""),2,false)"),"TAS TUTUP PITA KADO FG-201 TANGGUNG")</f>
        <v>TAS TUTUP PITA KADO FG-201 TANGGUNG</v>
      </c>
      <c r="F828" s="70" t="s">
        <v>247</v>
      </c>
      <c r="G828" s="78" t="s">
        <v>248</v>
      </c>
      <c r="H828" s="41"/>
      <c r="I828" s="42"/>
      <c r="J828" s="43" t="str">
        <f t="shared" si="1"/>
        <v>ADA</v>
      </c>
      <c r="K828" s="72">
        <v>1.0</v>
      </c>
      <c r="L828" s="53" t="s">
        <v>62</v>
      </c>
      <c r="M828" s="73">
        <v>57500.0</v>
      </c>
      <c r="N828" s="74"/>
      <c r="O828" s="73">
        <v>57500.0</v>
      </c>
      <c r="P828" s="46" t="str">
        <f t="shared" si="2"/>
        <v>Rp57,500-1 LSN-0.00%</v>
      </c>
      <c r="Q828" s="75">
        <v>45411.0</v>
      </c>
      <c r="R828" s="76"/>
      <c r="S828" s="75">
        <v>45419.0</v>
      </c>
      <c r="T828" s="49"/>
    </row>
    <row r="829">
      <c r="A829" s="82">
        <v>4341.0</v>
      </c>
      <c r="B829" s="69" t="s">
        <v>29</v>
      </c>
      <c r="C829" s="79" t="s">
        <v>1134</v>
      </c>
      <c r="D829" s="69" t="s">
        <v>1249</v>
      </c>
      <c r="E829" s="41" t="str">
        <f>IFERROR(__xludf.DUMMYFUNCTION("vlookup(D829,IMPORTRANGE(""https://docs.google.com/spreadsheets/d/1swGwZOEqYlTEUCJLY-eeJM1911Kvaei5oySBIxdgtNo/edit?pli=1#gid=257618397"",""stock untanna!B:C""),2,false)"),"TAS XM-2019-L GLITTER TANGGUNG")</f>
        <v>TAS XM-2019-L GLITTER TANGGUNG</v>
      </c>
      <c r="F829" s="70" t="s">
        <v>1249</v>
      </c>
      <c r="G829" s="71" t="s">
        <v>1250</v>
      </c>
      <c r="H829" s="41"/>
      <c r="I829" s="42"/>
      <c r="J829" s="43" t="str">
        <f t="shared" si="1"/>
        <v>ADA</v>
      </c>
      <c r="K829" s="72">
        <v>12.0</v>
      </c>
      <c r="L829" s="53" t="s">
        <v>69</v>
      </c>
      <c r="M829" s="73">
        <v>8750.0</v>
      </c>
      <c r="N829" s="74"/>
      <c r="O829" s="73">
        <v>105000.0</v>
      </c>
      <c r="P829" s="46" t="str">
        <f t="shared" si="2"/>
        <v>Rp8,750-12 PCS-0.00%</v>
      </c>
      <c r="Q829" s="75">
        <v>45411.0</v>
      </c>
      <c r="R829" s="76"/>
      <c r="S829" s="75">
        <v>45419.0</v>
      </c>
      <c r="T829" s="49"/>
    </row>
    <row r="830">
      <c r="A830" s="82">
        <v>4341.0</v>
      </c>
      <c r="B830" s="69" t="s">
        <v>29</v>
      </c>
      <c r="C830" s="79" t="s">
        <v>1134</v>
      </c>
      <c r="D830" s="69"/>
      <c r="E830" s="41" t="s">
        <v>1251</v>
      </c>
      <c r="F830" s="70"/>
      <c r="G830" s="71" t="s">
        <v>1251</v>
      </c>
      <c r="H830" s="41"/>
      <c r="I830" s="42"/>
      <c r="J830" s="43" t="str">
        <f t="shared" si="1"/>
        <v>TIDAK ADA</v>
      </c>
      <c r="K830" s="72">
        <v>1.0</v>
      </c>
      <c r="L830" s="53" t="s">
        <v>62</v>
      </c>
      <c r="M830" s="73">
        <v>105000.0</v>
      </c>
      <c r="N830" s="74"/>
      <c r="O830" s="73">
        <v>105000.0</v>
      </c>
      <c r="P830" s="46" t="str">
        <f t="shared" si="2"/>
        <v>Rp105,000-1 LSN-0.00%</v>
      </c>
      <c r="Q830" s="75">
        <v>45411.0</v>
      </c>
      <c r="R830" s="76"/>
      <c r="S830" s="75">
        <v>45419.0</v>
      </c>
      <c r="T830" s="49"/>
    </row>
    <row r="831">
      <c r="A831" s="82">
        <v>4341.0</v>
      </c>
      <c r="B831" s="69" t="s">
        <v>29</v>
      </c>
      <c r="C831" s="79" t="s">
        <v>1134</v>
      </c>
      <c r="D831" s="69"/>
      <c r="E831" s="41" t="s">
        <v>1252</v>
      </c>
      <c r="F831" s="70"/>
      <c r="G831" s="71" t="s">
        <v>1252</v>
      </c>
      <c r="H831" s="41"/>
      <c r="I831" s="42"/>
      <c r="J831" s="43" t="str">
        <f t="shared" si="1"/>
        <v>TIDAK ADA</v>
      </c>
      <c r="K831" s="72">
        <v>2.0</v>
      </c>
      <c r="L831" s="53" t="s">
        <v>62</v>
      </c>
      <c r="M831" s="73">
        <v>40000.0</v>
      </c>
      <c r="N831" s="74"/>
      <c r="O831" s="73">
        <v>80000.0</v>
      </c>
      <c r="P831" s="46" t="str">
        <f t="shared" si="2"/>
        <v>Rp40,000-2 LSN-0.00%</v>
      </c>
      <c r="Q831" s="75">
        <v>45411.0</v>
      </c>
      <c r="R831" s="76"/>
      <c r="S831" s="75">
        <v>45419.0</v>
      </c>
      <c r="T831" s="49"/>
    </row>
    <row r="832">
      <c r="A832" s="82">
        <v>4341.0</v>
      </c>
      <c r="B832" s="69" t="s">
        <v>29</v>
      </c>
      <c r="C832" s="79" t="s">
        <v>1134</v>
      </c>
      <c r="D832" s="69"/>
      <c r="E832" s="41" t="s">
        <v>1253</v>
      </c>
      <c r="F832" s="70"/>
      <c r="G832" s="71" t="s">
        <v>1253</v>
      </c>
      <c r="H832" s="41"/>
      <c r="I832" s="42"/>
      <c r="J832" s="43" t="str">
        <f t="shared" si="1"/>
        <v>TIDAK ADA</v>
      </c>
      <c r="K832" s="72">
        <v>1.0</v>
      </c>
      <c r="L832" s="53" t="s">
        <v>62</v>
      </c>
      <c r="M832" s="73">
        <v>100000.0</v>
      </c>
      <c r="N832" s="74"/>
      <c r="O832" s="73">
        <v>100000.0</v>
      </c>
      <c r="P832" s="46" t="str">
        <f t="shared" si="2"/>
        <v>Rp100,000-1 LSN-0.00%</v>
      </c>
      <c r="Q832" s="75">
        <v>45411.0</v>
      </c>
      <c r="R832" s="76"/>
      <c r="S832" s="75">
        <v>45419.0</v>
      </c>
      <c r="T832" s="49"/>
    </row>
    <row r="833">
      <c r="A833" s="82">
        <v>4341.0</v>
      </c>
      <c r="B833" s="69" t="s">
        <v>29</v>
      </c>
      <c r="C833" s="79" t="s">
        <v>1134</v>
      </c>
      <c r="D833" s="69" t="s">
        <v>1254</v>
      </c>
      <c r="E833" s="41" t="str">
        <f>IFERROR(__xludf.DUMMYFUNCTION("vlookup(D833,IMPORTRANGE(""https://docs.google.com/spreadsheets/d/1swGwZOEqYlTEUCJLY-eeJM1911Kvaei5oySBIxdgtNo/edit?pli=1#gid=257618397"",""stock untanna!B:C""),2,false)"),"TAS KARUNG 70X70")</f>
        <v>TAS KARUNG 70X70</v>
      </c>
      <c r="F833" s="70" t="s">
        <v>1254</v>
      </c>
      <c r="G833" s="71" t="s">
        <v>1255</v>
      </c>
      <c r="H833" s="41"/>
      <c r="I833" s="42"/>
      <c r="J833" s="43" t="str">
        <f t="shared" si="1"/>
        <v>ADA</v>
      </c>
      <c r="K833" s="72">
        <v>1.0</v>
      </c>
      <c r="L833" s="53" t="s">
        <v>62</v>
      </c>
      <c r="M833" s="73">
        <v>350000.0</v>
      </c>
      <c r="N833" s="74"/>
      <c r="O833" s="73">
        <v>350000.0</v>
      </c>
      <c r="P833" s="46" t="str">
        <f t="shared" si="2"/>
        <v>Rp350,000-1 LSN-0.00%</v>
      </c>
      <c r="Q833" s="75">
        <v>45411.0</v>
      </c>
      <c r="R833" s="76"/>
      <c r="S833" s="75">
        <v>45419.0</v>
      </c>
      <c r="T833" s="49"/>
    </row>
    <row r="834">
      <c r="A834" s="82">
        <v>4341.0</v>
      </c>
      <c r="B834" s="69" t="s">
        <v>29</v>
      </c>
      <c r="C834" s="79" t="s">
        <v>1134</v>
      </c>
      <c r="D834" s="69" t="s">
        <v>1256</v>
      </c>
      <c r="E834" s="41" t="str">
        <f>IFERROR(__xludf.DUMMYFUNCTION("vlookup(D834,IMPORTRANGE(""https://docs.google.com/spreadsheets/d/1swGwZOEqYlTEUCJLY-eeJM1911Kvaei5oySBIxdgtNo/edit?pli=1#gid=257618397"",""stock untanna!B:C""),2,false)"),"TAS KARUNG TIDUR 40X30")</f>
        <v>TAS KARUNG TIDUR 40X30</v>
      </c>
      <c r="F834" s="70" t="s">
        <v>1256</v>
      </c>
      <c r="G834" s="71" t="s">
        <v>1257</v>
      </c>
      <c r="H834" s="41"/>
      <c r="I834" s="42"/>
      <c r="J834" s="43" t="str">
        <f t="shared" si="1"/>
        <v>ADA</v>
      </c>
      <c r="K834" s="72">
        <v>1.0</v>
      </c>
      <c r="L834" s="53" t="s">
        <v>62</v>
      </c>
      <c r="M834" s="73">
        <v>140000.0</v>
      </c>
      <c r="N834" s="74"/>
      <c r="O834" s="73">
        <v>140000.0</v>
      </c>
      <c r="P834" s="46" t="str">
        <f t="shared" si="2"/>
        <v>Rp140,000-1 LSN-0.00%</v>
      </c>
      <c r="Q834" s="75">
        <v>45411.0</v>
      </c>
      <c r="R834" s="76"/>
      <c r="S834" s="75">
        <v>45419.0</v>
      </c>
      <c r="T834" s="49"/>
    </row>
    <row r="835">
      <c r="A835" s="82">
        <v>4341.0</v>
      </c>
      <c r="B835" s="69" t="s">
        <v>29</v>
      </c>
      <c r="C835" s="79" t="s">
        <v>1134</v>
      </c>
      <c r="D835" s="69" t="s">
        <v>1258</v>
      </c>
      <c r="E835" s="41" t="str">
        <f>IFERROR(__xludf.DUMMYFUNCTION("vlookup(D835,IMPORTRANGE(""https://docs.google.com/spreadsheets/d/1swGwZOEqYlTEUCJLY-eeJM1911Kvaei5oySBIxdgtNo/edit?pli=1#gid=257618397"",""stock untanna!B:C""),2,false)"),"TAS KARUNG 45X50")</f>
        <v>TAS KARUNG 45X50</v>
      </c>
      <c r="F835" s="70" t="s">
        <v>1258</v>
      </c>
      <c r="G835" s="71" t="s">
        <v>1259</v>
      </c>
      <c r="H835" s="41"/>
      <c r="I835" s="42"/>
      <c r="J835" s="43" t="str">
        <f t="shared" si="1"/>
        <v>ADA</v>
      </c>
      <c r="K835" s="72">
        <v>1.0</v>
      </c>
      <c r="L835" s="53" t="s">
        <v>62</v>
      </c>
      <c r="M835" s="73">
        <v>200000.0</v>
      </c>
      <c r="N835" s="74"/>
      <c r="O835" s="73">
        <v>200000.0</v>
      </c>
      <c r="P835" s="46" t="str">
        <f t="shared" si="2"/>
        <v>Rp200,000-1 LSN-0.00%</v>
      </c>
      <c r="Q835" s="75">
        <v>45411.0</v>
      </c>
      <c r="R835" s="76"/>
      <c r="S835" s="75">
        <v>45419.0</v>
      </c>
      <c r="T835" s="49"/>
    </row>
    <row r="836">
      <c r="A836" s="82">
        <v>4341.0</v>
      </c>
      <c r="B836" s="69" t="s">
        <v>29</v>
      </c>
      <c r="C836" s="79" t="s">
        <v>1134</v>
      </c>
      <c r="D836" s="69" t="s">
        <v>1260</v>
      </c>
      <c r="E836" s="41" t="str">
        <f>IFERROR(__xludf.DUMMYFUNCTION("vlookup(D836,IMPORTRANGE(""https://docs.google.com/spreadsheets/d/1swGwZOEqYlTEUCJLY-eeJM1911Kvaei5oySBIxdgtNo/edit?pli=1#gid=257618397"",""stock untanna!B:C""),2,false)"),"TAS KARUNG 40X45 ")</f>
        <v>TAS KARUNG 40X45 </v>
      </c>
      <c r="F836" s="70" t="s">
        <v>1260</v>
      </c>
      <c r="G836" s="71" t="s">
        <v>1261</v>
      </c>
      <c r="H836" s="41"/>
      <c r="I836" s="42"/>
      <c r="J836" s="43" t="str">
        <f t="shared" si="1"/>
        <v>ADA</v>
      </c>
      <c r="K836" s="72">
        <v>1.0</v>
      </c>
      <c r="L836" s="53" t="s">
        <v>62</v>
      </c>
      <c r="M836" s="73">
        <v>200000.0</v>
      </c>
      <c r="N836" s="74"/>
      <c r="O836" s="73">
        <v>200000.0</v>
      </c>
      <c r="P836" s="46" t="str">
        <f t="shared" si="2"/>
        <v>Rp200,000-1 LSN-0.00%</v>
      </c>
      <c r="Q836" s="75">
        <v>45411.0</v>
      </c>
      <c r="R836" s="76"/>
      <c r="S836" s="75">
        <v>45419.0</v>
      </c>
      <c r="T836" s="49"/>
    </row>
    <row r="837">
      <c r="A837" s="82">
        <v>4341.0</v>
      </c>
      <c r="B837" s="69" t="s">
        <v>29</v>
      </c>
      <c r="C837" s="79" t="s">
        <v>1134</v>
      </c>
      <c r="D837" s="69" t="s">
        <v>1262</v>
      </c>
      <c r="E837" s="41" t="str">
        <f>IFERROR(__xludf.DUMMYFUNCTION("vlookup(D837,IMPORTRANGE(""https://docs.google.com/spreadsheets/d/1swGwZOEqYlTEUCJLY-eeJM1911Kvaei5oySBIxdgtNo/edit?pli=1#gid=257618397"",""stock untanna!B:C""),2,false)"),"TAS KARUNG 50X55")</f>
        <v>TAS KARUNG 50X55</v>
      </c>
      <c r="F837" s="70" t="s">
        <v>1262</v>
      </c>
      <c r="G837" s="71" t="s">
        <v>1263</v>
      </c>
      <c r="H837" s="41"/>
      <c r="I837" s="42"/>
      <c r="J837" s="43" t="str">
        <f t="shared" si="1"/>
        <v>ADA</v>
      </c>
      <c r="K837" s="72">
        <v>1.0</v>
      </c>
      <c r="L837" s="53" t="s">
        <v>62</v>
      </c>
      <c r="M837" s="73">
        <v>225000.0</v>
      </c>
      <c r="N837" s="74"/>
      <c r="O837" s="73">
        <v>225000.0</v>
      </c>
      <c r="P837" s="46" t="str">
        <f t="shared" si="2"/>
        <v>Rp225,000-1 LSN-0.00%</v>
      </c>
      <c r="Q837" s="75">
        <v>45411.0</v>
      </c>
      <c r="R837" s="76"/>
      <c r="S837" s="75">
        <v>45419.0</v>
      </c>
      <c r="T837" s="49"/>
    </row>
    <row r="838">
      <c r="A838" s="82">
        <v>4341.0</v>
      </c>
      <c r="B838" s="69" t="s">
        <v>29</v>
      </c>
      <c r="C838" s="79" t="s">
        <v>1134</v>
      </c>
      <c r="D838" s="69" t="s">
        <v>1264</v>
      </c>
      <c r="E838" s="41" t="str">
        <f>IFERROR(__xludf.DUMMYFUNCTION("vlookup(D838,IMPORTRANGE(""https://docs.google.com/spreadsheets/d/1swGwZOEqYlTEUCJLY-eeJM1911Kvaei5oySBIxdgtNo/edit?pli=1#gid=257618397"",""stock untanna!B:C""),2,false)"),"TAS KARUNG 45X33")</f>
        <v>TAS KARUNG 45X33</v>
      </c>
      <c r="F838" s="70" t="s">
        <v>1264</v>
      </c>
      <c r="G838" s="71" t="s">
        <v>1265</v>
      </c>
      <c r="H838" s="41"/>
      <c r="I838" s="42"/>
      <c r="J838" s="43" t="str">
        <f t="shared" si="1"/>
        <v>ADA</v>
      </c>
      <c r="K838" s="72">
        <v>1.0</v>
      </c>
      <c r="L838" s="53" t="s">
        <v>62</v>
      </c>
      <c r="M838" s="73">
        <v>155000.0</v>
      </c>
      <c r="N838" s="74"/>
      <c r="O838" s="73">
        <v>155000.0</v>
      </c>
      <c r="P838" s="46" t="str">
        <f t="shared" si="2"/>
        <v>Rp155,000-1 LSN-0.00%</v>
      </c>
      <c r="Q838" s="75">
        <v>45411.0</v>
      </c>
      <c r="R838" s="76"/>
      <c r="S838" s="75">
        <v>45419.0</v>
      </c>
      <c r="T838" s="49"/>
    </row>
    <row r="839">
      <c r="A839" s="82">
        <v>4341.0</v>
      </c>
      <c r="B839" s="69" t="s">
        <v>29</v>
      </c>
      <c r="C839" s="79" t="s">
        <v>1134</v>
      </c>
      <c r="D839" s="69" t="s">
        <v>158</v>
      </c>
      <c r="E839" s="41" t="str">
        <f>IFERROR(__xludf.DUMMYFUNCTION("vlookup(D839,IMPORTRANGE(""https://docs.google.com/spreadsheets/d/1swGwZOEqYlTEUCJLY-eeJM1911Kvaei5oySBIxdgtNo/edit?pli=1#gid=257618397"",""stock untanna!B:C""),2,false)"),"TAS KARUNG 55X65")</f>
        <v>TAS KARUNG 55X65</v>
      </c>
      <c r="F839" s="70" t="s">
        <v>158</v>
      </c>
      <c r="G839" s="71" t="s">
        <v>160</v>
      </c>
      <c r="H839" s="41"/>
      <c r="I839" s="42"/>
      <c r="J839" s="43" t="str">
        <f t="shared" si="1"/>
        <v>ADA</v>
      </c>
      <c r="K839" s="72">
        <v>12.0</v>
      </c>
      <c r="L839" s="53" t="s">
        <v>69</v>
      </c>
      <c r="M839" s="73">
        <v>20000.0</v>
      </c>
      <c r="N839" s="74"/>
      <c r="O839" s="73">
        <v>240000.0</v>
      </c>
      <c r="P839" s="46" t="str">
        <f t="shared" si="2"/>
        <v>Rp20,000-12 PCS-0.00%</v>
      </c>
      <c r="Q839" s="75">
        <v>45411.0</v>
      </c>
      <c r="R839" s="76"/>
      <c r="S839" s="75">
        <v>45419.0</v>
      </c>
      <c r="T839" s="49"/>
    </row>
    <row r="840">
      <c r="A840" s="82">
        <v>4342.0</v>
      </c>
      <c r="B840" s="69" t="s">
        <v>29</v>
      </c>
      <c r="C840" s="79" t="s">
        <v>1134</v>
      </c>
      <c r="D840" s="50" t="s">
        <v>156</v>
      </c>
      <c r="E840" s="41" t="str">
        <f>IFERROR(__xludf.DUMMYFUNCTION("vlookup(D840,IMPORTRANGE(""https://docs.google.com/spreadsheets/d/1swGwZOEqYlTEUCJLY-eeJM1911Kvaei5oySBIxdgtNo/edit?pli=1#gid=257618397"",""stock untanna!B:C""),2,false)"),"TAS KARUNG 60 X 45 X 20")</f>
        <v>TAS KARUNG 60 X 45 X 20</v>
      </c>
      <c r="F840" s="70"/>
      <c r="G840" s="71" t="s">
        <v>1266</v>
      </c>
      <c r="H840" s="41"/>
      <c r="I840" s="42"/>
      <c r="J840" s="43" t="str">
        <f t="shared" si="1"/>
        <v>ADA</v>
      </c>
      <c r="K840" s="72">
        <v>1.0</v>
      </c>
      <c r="L840" s="53" t="s">
        <v>62</v>
      </c>
      <c r="M840" s="73">
        <v>240000.0</v>
      </c>
      <c r="N840" s="74"/>
      <c r="O840" s="73">
        <v>240000.0</v>
      </c>
      <c r="P840" s="46" t="str">
        <f t="shared" si="2"/>
        <v>Rp240,000-1 LSN-0.00%</v>
      </c>
      <c r="Q840" s="75">
        <v>45411.0</v>
      </c>
      <c r="R840" s="76"/>
      <c r="S840" s="75">
        <v>45419.0</v>
      </c>
      <c r="T840" s="49"/>
    </row>
    <row r="841">
      <c r="A841" s="82">
        <v>4342.0</v>
      </c>
      <c r="B841" s="69" t="s">
        <v>29</v>
      </c>
      <c r="C841" s="79" t="s">
        <v>1134</v>
      </c>
      <c r="D841" s="69"/>
      <c r="E841" s="41" t="s">
        <v>1267</v>
      </c>
      <c r="F841" s="70"/>
      <c r="G841" s="71" t="s">
        <v>1267</v>
      </c>
      <c r="H841" s="41"/>
      <c r="I841" s="42"/>
      <c r="J841" s="43" t="str">
        <f t="shared" si="1"/>
        <v>TIDAK ADA</v>
      </c>
      <c r="K841" s="72">
        <v>1.0</v>
      </c>
      <c r="L841" s="53" t="s">
        <v>62</v>
      </c>
      <c r="M841" s="73">
        <v>290000.0</v>
      </c>
      <c r="N841" s="74"/>
      <c r="O841" s="73">
        <v>290000.0</v>
      </c>
      <c r="P841" s="46" t="str">
        <f t="shared" si="2"/>
        <v>Rp290,000-1 LSN-0.00%</v>
      </c>
      <c r="Q841" s="75">
        <v>45411.0</v>
      </c>
      <c r="R841" s="76"/>
      <c r="S841" s="75">
        <v>45419.0</v>
      </c>
      <c r="T841" s="49"/>
    </row>
    <row r="842">
      <c r="A842" s="82">
        <v>4342.0</v>
      </c>
      <c r="B842" s="69" t="s">
        <v>29</v>
      </c>
      <c r="C842" s="79" t="s">
        <v>1134</v>
      </c>
      <c r="D842" s="69"/>
      <c r="E842" s="41" t="s">
        <v>1268</v>
      </c>
      <c r="F842" s="70"/>
      <c r="G842" s="71" t="s">
        <v>1268</v>
      </c>
      <c r="H842" s="41"/>
      <c r="I842" s="42"/>
      <c r="J842" s="43" t="str">
        <f t="shared" si="1"/>
        <v>TIDAK ADA</v>
      </c>
      <c r="K842" s="72">
        <v>1.0</v>
      </c>
      <c r="L842" s="53" t="s">
        <v>62</v>
      </c>
      <c r="M842" s="73">
        <v>85000.0</v>
      </c>
      <c r="N842" s="74"/>
      <c r="O842" s="73">
        <v>85000.0</v>
      </c>
      <c r="P842" s="46" t="str">
        <f t="shared" si="2"/>
        <v>Rp85,000-1 LSN-0.00%</v>
      </c>
      <c r="Q842" s="75">
        <v>45411.0</v>
      </c>
      <c r="R842" s="76"/>
      <c r="S842" s="75">
        <v>45419.0</v>
      </c>
      <c r="T842" s="49"/>
    </row>
    <row r="843">
      <c r="A843" s="82">
        <v>4342.0</v>
      </c>
      <c r="B843" s="69" t="s">
        <v>29</v>
      </c>
      <c r="C843" s="79" t="s">
        <v>1134</v>
      </c>
      <c r="D843" s="69"/>
      <c r="E843" s="41" t="s">
        <v>1269</v>
      </c>
      <c r="F843" s="70"/>
      <c r="G843" s="71" t="s">
        <v>1269</v>
      </c>
      <c r="H843" s="41"/>
      <c r="I843" s="42"/>
      <c r="J843" s="43" t="str">
        <f t="shared" si="1"/>
        <v>TIDAK ADA</v>
      </c>
      <c r="K843" s="72">
        <v>1.0</v>
      </c>
      <c r="L843" s="53" t="s">
        <v>62</v>
      </c>
      <c r="M843" s="73">
        <v>65000.0</v>
      </c>
      <c r="N843" s="74"/>
      <c r="O843" s="73">
        <v>65000.0</v>
      </c>
      <c r="P843" s="46" t="str">
        <f t="shared" si="2"/>
        <v>Rp65,000-1 LSN-0.00%</v>
      </c>
      <c r="Q843" s="75">
        <v>45411.0</v>
      </c>
      <c r="R843" s="76"/>
      <c r="S843" s="75">
        <v>45419.0</v>
      </c>
      <c r="T843" s="49"/>
    </row>
    <row r="844">
      <c r="A844" s="82">
        <v>4342.0</v>
      </c>
      <c r="B844" s="69" t="s">
        <v>29</v>
      </c>
      <c r="C844" s="79" t="s">
        <v>1134</v>
      </c>
      <c r="D844" s="69" t="s">
        <v>1270</v>
      </c>
      <c r="E844" s="41" t="str">
        <f>IFERROR(__xludf.DUMMYFUNCTION("vlookup(D844,IMPORTRANGE(""https://docs.google.com/spreadsheets/d/1swGwZOEqYlTEUCJLY-eeJM1911Kvaei5oySBIxdgtNo/edit?pli=1#gid=257618397"",""stock untanna!B:C""),2,false)"),"BALON BL 100178 M/ P")</f>
        <v>BALON BL 100178 M/ P</v>
      </c>
      <c r="F844" s="70" t="s">
        <v>1270</v>
      </c>
      <c r="G844" s="71" t="s">
        <v>1271</v>
      </c>
      <c r="H844" s="41"/>
      <c r="I844" s="42"/>
      <c r="J844" s="43" t="str">
        <f t="shared" si="1"/>
        <v>ADA</v>
      </c>
      <c r="K844" s="72">
        <v>5.0</v>
      </c>
      <c r="L844" s="53" t="s">
        <v>114</v>
      </c>
      <c r="M844" s="73">
        <v>70000.0</v>
      </c>
      <c r="N844" s="74"/>
      <c r="O844" s="73">
        <v>350000.0</v>
      </c>
      <c r="P844" s="46" t="str">
        <f t="shared" si="2"/>
        <v>Rp70,000-5 PAK-0.00%</v>
      </c>
      <c r="Q844" s="75">
        <v>45411.0</v>
      </c>
      <c r="R844" s="76"/>
      <c r="S844" s="75">
        <v>45419.0</v>
      </c>
      <c r="T844" s="49"/>
    </row>
    <row r="845">
      <c r="A845" s="82">
        <v>4342.0</v>
      </c>
      <c r="B845" s="69" t="s">
        <v>29</v>
      </c>
      <c r="C845" s="79" t="s">
        <v>1134</v>
      </c>
      <c r="D845" s="69" t="s">
        <v>1272</v>
      </c>
      <c r="E845" s="41" t="str">
        <f>IFERROR(__xludf.DUMMYFUNCTION("vlookup(D845,IMPORTRANGE(""https://docs.google.com/spreadsheets/d/1swGwZOEqYlTEUCJLY-eeJM1911Kvaei5oySBIxdgtNo/edit?pli=1#gid=257618397"",""stock untanna!B:C""),2,false)"),"BALON BL 10023")</f>
        <v>BALON BL 10023</v>
      </c>
      <c r="F845" s="70" t="s">
        <v>1272</v>
      </c>
      <c r="G845" s="71" t="s">
        <v>1273</v>
      </c>
      <c r="H845" s="41"/>
      <c r="I845" s="42"/>
      <c r="J845" s="43" t="str">
        <f t="shared" si="1"/>
        <v>ADA</v>
      </c>
      <c r="K845" s="72">
        <v>5.0</v>
      </c>
      <c r="L845" s="53" t="s">
        <v>114</v>
      </c>
      <c r="M845" s="73">
        <v>70000.0</v>
      </c>
      <c r="N845" s="74"/>
      <c r="O845" s="73">
        <v>350000.0</v>
      </c>
      <c r="P845" s="46" t="str">
        <f t="shared" si="2"/>
        <v>Rp70,000-5 PAK-0.00%</v>
      </c>
      <c r="Q845" s="75">
        <v>45411.0</v>
      </c>
      <c r="R845" s="76"/>
      <c r="S845" s="75">
        <v>45419.0</v>
      </c>
      <c r="T845" s="49"/>
    </row>
    <row r="846">
      <c r="A846" s="82">
        <v>4342.0</v>
      </c>
      <c r="B846" s="69" t="s">
        <v>29</v>
      </c>
      <c r="C846" s="79" t="s">
        <v>1134</v>
      </c>
      <c r="D846" s="69"/>
      <c r="E846" s="41" t="s">
        <v>1274</v>
      </c>
      <c r="F846" s="70"/>
      <c r="G846" s="71" t="s">
        <v>1274</v>
      </c>
      <c r="H846" s="41"/>
      <c r="I846" s="42"/>
      <c r="J846" s="43" t="str">
        <f t="shared" si="1"/>
        <v>TIDAK ADA</v>
      </c>
      <c r="K846" s="72">
        <v>3.0</v>
      </c>
      <c r="L846" s="53" t="s">
        <v>114</v>
      </c>
      <c r="M846" s="73">
        <v>70000.0</v>
      </c>
      <c r="N846" s="74"/>
      <c r="O846" s="73">
        <v>210000.0</v>
      </c>
      <c r="P846" s="46" t="str">
        <f t="shared" si="2"/>
        <v>Rp70,000-3 PAK-0.00%</v>
      </c>
      <c r="Q846" s="75">
        <v>45411.0</v>
      </c>
      <c r="R846" s="76"/>
      <c r="S846" s="75">
        <v>45419.0</v>
      </c>
      <c r="T846" s="80" t="s">
        <v>280</v>
      </c>
    </row>
    <row r="847">
      <c r="A847" s="82">
        <v>4342.0</v>
      </c>
      <c r="B847" s="69" t="s">
        <v>29</v>
      </c>
      <c r="C847" s="79" t="s">
        <v>1134</v>
      </c>
      <c r="D847" s="69" t="s">
        <v>1275</v>
      </c>
      <c r="E847" s="41" t="str">
        <f>IFERROR(__xludf.DUMMYFUNCTION("vlookup(D847,IMPORTRANGE(""https://docs.google.com/spreadsheets/d/1swGwZOEqYlTEUCJLY-eeJM1911Kvaei5oySBIxdgtNo/edit?pli=1#gid=257618397"",""stock untanna!B:C""),2,false)"),"BALON FS POLKADOT LKF 3200 PP")</f>
        <v>BALON FS POLKADOT LKF 3200 PP</v>
      </c>
      <c r="F847" s="70" t="s">
        <v>1275</v>
      </c>
      <c r="G847" s="71" t="s">
        <v>1276</v>
      </c>
      <c r="H847" s="41"/>
      <c r="I847" s="42"/>
      <c r="J847" s="43" t="str">
        <f t="shared" si="1"/>
        <v>ADA</v>
      </c>
      <c r="K847" s="72">
        <v>3.0</v>
      </c>
      <c r="L847" s="53" t="s">
        <v>114</v>
      </c>
      <c r="M847" s="73">
        <v>125000.0</v>
      </c>
      <c r="N847" s="74"/>
      <c r="O847" s="73">
        <v>375000.0</v>
      </c>
      <c r="P847" s="46" t="str">
        <f t="shared" si="2"/>
        <v>Rp125,000-3 PAK-0.00%</v>
      </c>
      <c r="Q847" s="75">
        <v>45411.0</v>
      </c>
      <c r="R847" s="76"/>
      <c r="S847" s="75">
        <v>45419.0</v>
      </c>
      <c r="T847" s="49"/>
    </row>
    <row r="848">
      <c r="A848" s="82">
        <v>4342.0</v>
      </c>
      <c r="B848" s="69" t="s">
        <v>29</v>
      </c>
      <c r="C848" s="79" t="s">
        <v>1134</v>
      </c>
      <c r="D848" s="69"/>
      <c r="E848" s="41" t="s">
        <v>1277</v>
      </c>
      <c r="F848" s="70"/>
      <c r="G848" s="71" t="s">
        <v>1277</v>
      </c>
      <c r="H848" s="41"/>
      <c r="I848" s="42"/>
      <c r="J848" s="43" t="str">
        <f t="shared" si="1"/>
        <v>TIDAK ADA</v>
      </c>
      <c r="K848" s="72">
        <v>3.0</v>
      </c>
      <c r="L848" s="53" t="s">
        <v>114</v>
      </c>
      <c r="M848" s="73">
        <v>125000.0</v>
      </c>
      <c r="N848" s="74"/>
      <c r="O848" s="73">
        <v>375000.0</v>
      </c>
      <c r="P848" s="46" t="str">
        <f t="shared" si="2"/>
        <v>Rp125,000-3 PAK-0.00%</v>
      </c>
      <c r="Q848" s="75">
        <v>45411.0</v>
      </c>
      <c r="R848" s="76"/>
      <c r="S848" s="75">
        <v>45419.0</v>
      </c>
      <c r="T848" s="49"/>
    </row>
    <row r="849">
      <c r="A849" s="82">
        <v>4342.0</v>
      </c>
      <c r="B849" s="69" t="s">
        <v>29</v>
      </c>
      <c r="C849" s="79" t="s">
        <v>1134</v>
      </c>
      <c r="D849" s="69" t="s">
        <v>1278</v>
      </c>
      <c r="E849" s="41" t="str">
        <f>IFERROR(__xludf.DUMMYFUNCTION("vlookup(D849,IMPORTRANGE(""https://docs.google.com/spreadsheets/d/1swGwZOEqYlTEUCJLY-eeJM1911Kvaei5oySBIxdgtNo/edit?pli=1#gid=257618397"",""stock untanna!B:C""),2,false)"),"BALON BL 10092")</f>
        <v>BALON BL 10092</v>
      </c>
      <c r="F849" s="70" t="s">
        <v>1278</v>
      </c>
      <c r="G849" s="71" t="s">
        <v>1279</v>
      </c>
      <c r="H849" s="41"/>
      <c r="I849" s="42"/>
      <c r="J849" s="43" t="str">
        <f t="shared" si="1"/>
        <v>ADA</v>
      </c>
      <c r="K849" s="72">
        <v>3.0</v>
      </c>
      <c r="L849" s="53" t="s">
        <v>114</v>
      </c>
      <c r="M849" s="73">
        <v>90000.0</v>
      </c>
      <c r="N849" s="74"/>
      <c r="O849" s="73">
        <v>270000.0</v>
      </c>
      <c r="P849" s="46" t="str">
        <f t="shared" si="2"/>
        <v>Rp90,000-3 PAK-0.00%</v>
      </c>
      <c r="Q849" s="75">
        <v>45411.0</v>
      </c>
      <c r="R849" s="76"/>
      <c r="S849" s="75">
        <v>45419.0</v>
      </c>
      <c r="T849" s="49"/>
    </row>
    <row r="850">
      <c r="A850" s="82">
        <v>4342.0</v>
      </c>
      <c r="B850" s="69" t="s">
        <v>29</v>
      </c>
      <c r="C850" s="79" t="s">
        <v>1134</v>
      </c>
      <c r="D850" s="69" t="s">
        <v>789</v>
      </c>
      <c r="E850" s="41" t="str">
        <f>IFERROR(__xludf.DUMMYFUNCTION("vlookup(D850,IMPORTRANGE(""https://docs.google.com/spreadsheets/d/1swGwZOEqYlTEUCJLY-eeJM1911Kvaei5oySBIxdgtNo/edit?pli=1#gid=257618397"",""stock untanna!B:C""),2,false)"),"MAP DATA FC 53")</f>
        <v>MAP DATA FC 53</v>
      </c>
      <c r="F850" s="70" t="s">
        <v>789</v>
      </c>
      <c r="G850" s="71" t="s">
        <v>790</v>
      </c>
      <c r="H850" s="41"/>
      <c r="I850" s="42"/>
      <c r="J850" s="43" t="str">
        <f t="shared" si="1"/>
        <v>ADA</v>
      </c>
      <c r="K850" s="72">
        <v>12.0</v>
      </c>
      <c r="L850" s="53" t="s">
        <v>69</v>
      </c>
      <c r="M850" s="73">
        <v>7500.0</v>
      </c>
      <c r="N850" s="74"/>
      <c r="O850" s="73">
        <v>90000.0</v>
      </c>
      <c r="P850" s="46" t="str">
        <f t="shared" si="2"/>
        <v>Rp7,500-12 PCS-0.00%</v>
      </c>
      <c r="Q850" s="75">
        <v>45411.0</v>
      </c>
      <c r="R850" s="76"/>
      <c r="S850" s="75">
        <v>45419.0</v>
      </c>
      <c r="T850" s="49"/>
    </row>
    <row r="851">
      <c r="A851" s="82">
        <v>4342.0</v>
      </c>
      <c r="B851" s="69" t="s">
        <v>29</v>
      </c>
      <c r="C851" s="79" t="s">
        <v>1134</v>
      </c>
      <c r="D851" s="69" t="s">
        <v>1280</v>
      </c>
      <c r="E851" s="41" t="str">
        <f>IFERROR(__xludf.DUMMYFUNCTION("vlookup(D851,IMPORTRANGE(""https://docs.google.com/spreadsheets/d/1swGwZOEqYlTEUCJLY-eeJM1911Kvaei5oySBIxdgtNo/edit?pli=1#gid=257618397"",""stock untanna!B:C""),2,false)"),"MAP FILE EN 1105 F")</f>
        <v>MAP FILE EN 1105 F</v>
      </c>
      <c r="F851" s="70" t="s">
        <v>1280</v>
      </c>
      <c r="G851" s="71" t="s">
        <v>1281</v>
      </c>
      <c r="H851" s="41"/>
      <c r="I851" s="42"/>
      <c r="J851" s="43" t="str">
        <f t="shared" si="1"/>
        <v>ADA</v>
      </c>
      <c r="K851" s="72">
        <v>1.0</v>
      </c>
      <c r="L851" s="53" t="s">
        <v>62</v>
      </c>
      <c r="M851" s="73">
        <v>50000.0</v>
      </c>
      <c r="N851" s="74"/>
      <c r="O851" s="73">
        <v>50000.0</v>
      </c>
      <c r="P851" s="46" t="str">
        <f t="shared" si="2"/>
        <v>Rp50,000-1 LSN-0.00%</v>
      </c>
      <c r="Q851" s="75">
        <v>45411.0</v>
      </c>
      <c r="R851" s="76"/>
      <c r="S851" s="75">
        <v>45419.0</v>
      </c>
      <c r="T851" s="49"/>
    </row>
    <row r="852">
      <c r="A852" s="82">
        <v>4342.0</v>
      </c>
      <c r="B852" s="69" t="s">
        <v>29</v>
      </c>
      <c r="C852" s="79" t="s">
        <v>1134</v>
      </c>
      <c r="D852" s="50" t="s">
        <v>1282</v>
      </c>
      <c r="E852" s="41" t="str">
        <f>IFERROR(__xludf.DUMMYFUNCTION("vlookup(D852,IMPORTRANGE(""https://docs.google.com/spreadsheets/d/1swGwZOEqYlTEUCJLY-eeJM1911Kvaei5oySBIxdgtNo/edit?pli=1#gid=257618397"",""stock untanna!B:C""),2,false)"),"MAP/ ZIPPER BAG TRIX EN 1101")</f>
        <v>MAP/ ZIPPER BAG TRIX EN 1101</v>
      </c>
      <c r="F852" s="70" t="s">
        <v>1283</v>
      </c>
      <c r="G852" s="71" t="s">
        <v>1284</v>
      </c>
      <c r="H852" s="41"/>
      <c r="I852" s="42"/>
      <c r="J852" s="43" t="str">
        <f t="shared" si="1"/>
        <v>ADA</v>
      </c>
      <c r="K852" s="72">
        <v>1.0</v>
      </c>
      <c r="L852" s="53" t="s">
        <v>62</v>
      </c>
      <c r="M852" s="73">
        <v>50000.0</v>
      </c>
      <c r="N852" s="74"/>
      <c r="O852" s="73">
        <v>50000.0</v>
      </c>
      <c r="P852" s="46" t="str">
        <f t="shared" si="2"/>
        <v>Rp50,000-1 LSN-0.00%</v>
      </c>
      <c r="Q852" s="75">
        <v>45411.0</v>
      </c>
      <c r="R852" s="76"/>
      <c r="S852" s="75">
        <v>45419.0</v>
      </c>
      <c r="T852" s="49"/>
    </row>
    <row r="853">
      <c r="A853" s="82">
        <v>4342.0</v>
      </c>
      <c r="B853" s="69" t="s">
        <v>29</v>
      </c>
      <c r="C853" s="79" t="s">
        <v>1134</v>
      </c>
      <c r="D853" s="69" t="s">
        <v>179</v>
      </c>
      <c r="E853" s="41" t="str">
        <f>IFERROR(__xludf.DUMMYFUNCTION("vlookup(D853,IMPORTRANGE(""https://docs.google.com/spreadsheets/d/1swGwZOEqYlTEUCJLY-eeJM1911Kvaei5oySBIxdgtNo/edit?pli=1#gid=257618397"",""stock untanna!B:C""),2,false)"),"MAP FILE EN 1020")</f>
        <v>MAP FILE EN 1020</v>
      </c>
      <c r="F853" s="70" t="s">
        <v>179</v>
      </c>
      <c r="G853" s="71" t="s">
        <v>180</v>
      </c>
      <c r="H853" s="41"/>
      <c r="I853" s="42"/>
      <c r="J853" s="43"/>
      <c r="K853" s="72">
        <v>1.0</v>
      </c>
      <c r="L853" s="53" t="s">
        <v>62</v>
      </c>
      <c r="M853" s="73">
        <v>50000.0</v>
      </c>
      <c r="N853" s="74"/>
      <c r="O853" s="73">
        <v>50000.0</v>
      </c>
      <c r="P853" s="46" t="str">
        <f t="shared" si="2"/>
        <v>Rp50,000-1 LSN-0.00%</v>
      </c>
      <c r="Q853" s="75">
        <v>45411.0</v>
      </c>
      <c r="R853" s="76"/>
      <c r="S853" s="75">
        <v>45419.0</v>
      </c>
      <c r="T853" s="49"/>
    </row>
    <row r="854">
      <c r="A854" s="82">
        <v>4342.0</v>
      </c>
      <c r="B854" s="69" t="s">
        <v>29</v>
      </c>
      <c r="C854" s="79" t="s">
        <v>1134</v>
      </c>
      <c r="D854" s="69"/>
      <c r="E854" s="41" t="s">
        <v>1285</v>
      </c>
      <c r="F854" s="70"/>
      <c r="G854" s="71" t="s">
        <v>1285</v>
      </c>
      <c r="H854" s="41"/>
      <c r="I854" s="42"/>
      <c r="J854" s="43"/>
      <c r="K854" s="72">
        <v>2.0</v>
      </c>
      <c r="L854" s="53" t="s">
        <v>114</v>
      </c>
      <c r="M854" s="73">
        <v>50000.0</v>
      </c>
      <c r="N854" s="74"/>
      <c r="O854" s="73">
        <v>100000.0</v>
      </c>
      <c r="P854" s="46" t="str">
        <f t="shared" si="2"/>
        <v>Rp50,000-2 PAK-0.00%</v>
      </c>
      <c r="Q854" s="75">
        <v>45411.0</v>
      </c>
      <c r="R854" s="76"/>
      <c r="S854" s="75">
        <v>45419.0</v>
      </c>
      <c r="T854" s="49"/>
    </row>
    <row r="855">
      <c r="A855" s="82">
        <v>4342.0</v>
      </c>
      <c r="B855" s="69" t="s">
        <v>29</v>
      </c>
      <c r="C855" s="79" t="s">
        <v>1134</v>
      </c>
      <c r="D855" s="69"/>
      <c r="E855" s="41" t="s">
        <v>1286</v>
      </c>
      <c r="F855" s="70"/>
      <c r="G855" s="71" t="s">
        <v>1286</v>
      </c>
      <c r="H855" s="41"/>
      <c r="I855" s="42"/>
      <c r="J855" s="43"/>
      <c r="K855" s="72">
        <v>2.0</v>
      </c>
      <c r="L855" s="53" t="s">
        <v>114</v>
      </c>
      <c r="M855" s="73">
        <v>50000.0</v>
      </c>
      <c r="N855" s="74"/>
      <c r="O855" s="73">
        <v>100000.0</v>
      </c>
      <c r="P855" s="46" t="str">
        <f t="shared" si="2"/>
        <v>Rp50,000-2 PAK-0.00%</v>
      </c>
      <c r="Q855" s="75">
        <v>45411.0</v>
      </c>
      <c r="R855" s="76"/>
      <c r="S855" s="75">
        <v>45419.0</v>
      </c>
      <c r="T855" s="49"/>
    </row>
    <row r="856">
      <c r="A856" s="82">
        <v>4343.0</v>
      </c>
      <c r="B856" s="69" t="s">
        <v>29</v>
      </c>
      <c r="C856" s="79" t="s">
        <v>1134</v>
      </c>
      <c r="D856" s="69" t="s">
        <v>931</v>
      </c>
      <c r="E856" s="41" t="str">
        <f>IFERROR(__xludf.DUMMYFUNCTION("vlookup(D856,IMPORTRANGE(""https://docs.google.com/spreadsheets/d/1swGwZOEqYlTEUCJLY-eeJM1911Kvaei5oySBIxdgtNo/edit?pli=1#gid=257618397"",""stock untanna!B:C""),2,false)"),"MAP DATA MICROTOP BS-53 A6")</f>
        <v>MAP DATA MICROTOP BS-53 A6</v>
      </c>
      <c r="F856" s="70" t="s">
        <v>931</v>
      </c>
      <c r="G856" s="71" t="s">
        <v>932</v>
      </c>
      <c r="H856" s="41"/>
      <c r="I856" s="42"/>
      <c r="J856" s="43"/>
      <c r="K856" s="72">
        <v>1.0</v>
      </c>
      <c r="L856" s="53" t="s">
        <v>62</v>
      </c>
      <c r="M856" s="73">
        <v>65000.0</v>
      </c>
      <c r="N856" s="74"/>
      <c r="O856" s="73">
        <v>65000.0</v>
      </c>
      <c r="P856" s="46" t="str">
        <f t="shared" si="2"/>
        <v>Rp65,000-1 LSN-0.00%</v>
      </c>
      <c r="Q856" s="75">
        <v>45411.0</v>
      </c>
      <c r="R856" s="76"/>
      <c r="S856" s="75">
        <v>45419.0</v>
      </c>
      <c r="T856" s="49"/>
    </row>
    <row r="857">
      <c r="A857" s="82">
        <v>4343.0</v>
      </c>
      <c r="B857" s="69" t="s">
        <v>29</v>
      </c>
      <c r="C857" s="79" t="s">
        <v>1134</v>
      </c>
      <c r="D857" s="69"/>
      <c r="E857" s="41" t="s">
        <v>1287</v>
      </c>
      <c r="F857" s="70"/>
      <c r="G857" s="71" t="s">
        <v>1287</v>
      </c>
      <c r="H857" s="41"/>
      <c r="I857" s="42"/>
      <c r="J857" s="43"/>
      <c r="K857" s="72">
        <v>2.0</v>
      </c>
      <c r="L857" s="53" t="s">
        <v>62</v>
      </c>
      <c r="M857" s="73">
        <v>30000.0</v>
      </c>
      <c r="N857" s="74"/>
      <c r="O857" s="73">
        <v>60000.0</v>
      </c>
      <c r="P857" s="46" t="str">
        <f t="shared" si="2"/>
        <v>Rp30,000-2 LSN-0.00%</v>
      </c>
      <c r="Q857" s="75">
        <v>45411.0</v>
      </c>
      <c r="R857" s="76"/>
      <c r="S857" s="75">
        <v>45419.0</v>
      </c>
      <c r="T857" s="49"/>
    </row>
    <row r="858">
      <c r="A858" s="82">
        <v>4343.0</v>
      </c>
      <c r="B858" s="69" t="s">
        <v>29</v>
      </c>
      <c r="C858" s="79" t="s">
        <v>1134</v>
      </c>
      <c r="D858" s="69"/>
      <c r="E858" s="41" t="s">
        <v>1288</v>
      </c>
      <c r="F858" s="70"/>
      <c r="G858" s="71" t="s">
        <v>1288</v>
      </c>
      <c r="H858" s="41"/>
      <c r="I858" s="42"/>
      <c r="J858" s="43"/>
      <c r="K858" s="72">
        <v>0.5</v>
      </c>
      <c r="L858" s="53" t="s">
        <v>62</v>
      </c>
      <c r="M858" s="73">
        <v>350000.0</v>
      </c>
      <c r="N858" s="74"/>
      <c r="O858" s="73">
        <v>175000.0</v>
      </c>
      <c r="P858" s="46" t="str">
        <f t="shared" si="2"/>
        <v>Rp350,000-0.5 LSN-0.00%</v>
      </c>
      <c r="Q858" s="75">
        <v>45411.0</v>
      </c>
      <c r="R858" s="76"/>
      <c r="S858" s="75">
        <v>45419.0</v>
      </c>
      <c r="T858" s="49"/>
    </row>
    <row r="859">
      <c r="A859" s="82">
        <v>4343.0</v>
      </c>
      <c r="B859" s="69" t="s">
        <v>29</v>
      </c>
      <c r="C859" s="79" t="s">
        <v>1134</v>
      </c>
      <c r="D859" s="69" t="s">
        <v>1289</v>
      </c>
      <c r="E859" s="41" t="str">
        <f>IFERROR(__xludf.DUMMYFUNCTION("vlookup(D859,IMPORTRANGE(""https://docs.google.com/spreadsheets/d/1swGwZOEqYlTEUCJLY-eeJM1911Kvaei5oySBIxdgtNo/edit?pli=1#gid=257618397"",""stock untanna!B:C""),2,false)"),"MAP CLEAR HOLDER KALUBI CH A5")</f>
        <v>MAP CLEAR HOLDER KALUBI CH A5</v>
      </c>
      <c r="F859" s="70" t="s">
        <v>1289</v>
      </c>
      <c r="G859" s="71" t="s">
        <v>1290</v>
      </c>
      <c r="H859" s="41"/>
      <c r="I859" s="42"/>
      <c r="J859" s="43"/>
      <c r="K859" s="72">
        <v>1.0</v>
      </c>
      <c r="L859" s="53" t="s">
        <v>62</v>
      </c>
      <c r="M859" s="73">
        <v>125000.0</v>
      </c>
      <c r="N859" s="74"/>
      <c r="O859" s="73">
        <v>125000.0</v>
      </c>
      <c r="P859" s="46" t="str">
        <f t="shared" si="2"/>
        <v>Rp125,000-1 LSN-0.00%</v>
      </c>
      <c r="Q859" s="75">
        <v>45411.0</v>
      </c>
      <c r="R859" s="76"/>
      <c r="S859" s="75">
        <v>45419.0</v>
      </c>
      <c r="T859" s="49"/>
    </row>
    <row r="860">
      <c r="A860" s="82">
        <v>4343.0</v>
      </c>
      <c r="B860" s="69" t="s">
        <v>29</v>
      </c>
      <c r="C860" s="79" t="s">
        <v>1134</v>
      </c>
      <c r="D860" s="69" t="s">
        <v>1291</v>
      </c>
      <c r="E860" s="41" t="str">
        <f>IFERROR(__xludf.DUMMYFUNCTION("vlookup(D860,IMPORTRANGE(""https://docs.google.com/spreadsheets/d/1swGwZOEqYlTEUCJLY-eeJM1911Kvaei5oySBIxdgtNo/edit?pli=1#gid=257618397"",""stock untanna!B:C""),2,false)"),"DOKUMEN RISLETING OPTIMA")</f>
        <v>DOKUMEN RISLETING OPTIMA</v>
      </c>
      <c r="F860" s="70" t="s">
        <v>1291</v>
      </c>
      <c r="G860" s="71" t="s">
        <v>1292</v>
      </c>
      <c r="H860" s="41"/>
      <c r="I860" s="42"/>
      <c r="J860" s="43"/>
      <c r="K860" s="72">
        <v>1.0</v>
      </c>
      <c r="L860" s="53" t="s">
        <v>62</v>
      </c>
      <c r="M860" s="73">
        <v>350000.0</v>
      </c>
      <c r="N860" s="74"/>
      <c r="O860" s="73">
        <v>350000.0</v>
      </c>
      <c r="P860" s="46" t="str">
        <f t="shared" si="2"/>
        <v>Rp350,000-1 LSN-0.00%</v>
      </c>
      <c r="Q860" s="75">
        <v>45411.0</v>
      </c>
      <c r="R860" s="76"/>
      <c r="S860" s="75">
        <v>45419.0</v>
      </c>
      <c r="T860" s="49"/>
    </row>
    <row r="861">
      <c r="A861" s="82">
        <v>4343.0</v>
      </c>
      <c r="B861" s="69" t="s">
        <v>29</v>
      </c>
      <c r="C861" s="79" t="s">
        <v>1134</v>
      </c>
      <c r="D861" s="69" t="s">
        <v>1293</v>
      </c>
      <c r="E861" s="41" t="str">
        <f>IFERROR(__xludf.DUMMYFUNCTION("vlookup(D861,IMPORTRANGE(""https://docs.google.com/spreadsheets/d/1swGwZOEqYlTEUCJLY-eeJM1911Kvaei5oySBIxdgtNo/edit?pli=1#gid=257618397"",""stock untanna!B:C""),2,false)"),"DOKUMEN RISLETING BRILLIANT")</f>
        <v>DOKUMEN RISLETING BRILLIANT</v>
      </c>
      <c r="F861" s="70" t="s">
        <v>1293</v>
      </c>
      <c r="G861" s="71" t="s">
        <v>1294</v>
      </c>
      <c r="H861" s="41"/>
      <c r="I861" s="42"/>
      <c r="J861" s="43"/>
      <c r="K861" s="72">
        <v>1.0</v>
      </c>
      <c r="L861" s="53" t="s">
        <v>62</v>
      </c>
      <c r="M861" s="73">
        <v>270000.0</v>
      </c>
      <c r="N861" s="74"/>
      <c r="O861" s="73">
        <v>270000.0</v>
      </c>
      <c r="P861" s="46" t="str">
        <f t="shared" si="2"/>
        <v>Rp270,000-1 LSN-0.00%</v>
      </c>
      <c r="Q861" s="75">
        <v>45411.0</v>
      </c>
      <c r="R861" s="76"/>
      <c r="S861" s="75">
        <v>45419.0</v>
      </c>
      <c r="T861" s="49"/>
    </row>
    <row r="862">
      <c r="A862" s="82">
        <v>4343.0</v>
      </c>
      <c r="B862" s="69" t="s">
        <v>29</v>
      </c>
      <c r="C862" s="79" t="s">
        <v>1134</v>
      </c>
      <c r="D862" s="69" t="s">
        <v>1295</v>
      </c>
      <c r="E862" s="41" t="str">
        <f>IFERROR(__xludf.DUMMYFUNCTION("vlookup(D862,IMPORTRANGE(""https://docs.google.com/spreadsheets/d/1swGwZOEqYlTEUCJLY-eeJM1911Kvaei5oySBIxdgtNo/edit?pli=1#gid=257618397"",""stock untanna!B:C""),2,false)"),"DOKUMEN RISLETING STATEMENT")</f>
        <v>DOKUMEN RISLETING STATEMENT</v>
      </c>
      <c r="F862" s="70" t="s">
        <v>1295</v>
      </c>
      <c r="G862" s="71" t="s">
        <v>1296</v>
      </c>
      <c r="H862" s="41"/>
      <c r="I862" s="42"/>
      <c r="J862" s="43"/>
      <c r="K862" s="72">
        <v>1.0</v>
      </c>
      <c r="L862" s="53" t="s">
        <v>62</v>
      </c>
      <c r="M862" s="73">
        <v>300000.0</v>
      </c>
      <c r="N862" s="74"/>
      <c r="O862" s="73">
        <v>300000.0</v>
      </c>
      <c r="P862" s="46" t="str">
        <f t="shared" si="2"/>
        <v>Rp300,000-1 LSN-0.00%</v>
      </c>
      <c r="Q862" s="75">
        <v>45411.0</v>
      </c>
      <c r="R862" s="76"/>
      <c r="S862" s="75">
        <v>45419.0</v>
      </c>
      <c r="T862" s="49"/>
    </row>
    <row r="863">
      <c r="A863" s="82">
        <v>4343.0</v>
      </c>
      <c r="B863" s="69" t="s">
        <v>29</v>
      </c>
      <c r="C863" s="79" t="s">
        <v>1134</v>
      </c>
      <c r="D863" s="69"/>
      <c r="E863" s="41" t="s">
        <v>622</v>
      </c>
      <c r="F863" s="70"/>
      <c r="G863" s="71" t="s">
        <v>622</v>
      </c>
      <c r="H863" s="41"/>
      <c r="I863" s="42"/>
      <c r="J863" s="43"/>
      <c r="K863" s="72">
        <v>30.0</v>
      </c>
      <c r="L863" s="53" t="s">
        <v>69</v>
      </c>
      <c r="M863" s="73">
        <v>1750.0</v>
      </c>
      <c r="N863" s="74"/>
      <c r="O863" s="73">
        <v>52500.0</v>
      </c>
      <c r="P863" s="46" t="str">
        <f t="shared" si="2"/>
        <v>Rp1,750-30 PCS-0.00%</v>
      </c>
      <c r="Q863" s="75">
        <v>45411.0</v>
      </c>
      <c r="R863" s="76"/>
      <c r="S863" s="75">
        <v>45419.0</v>
      </c>
      <c r="T863" s="49"/>
    </row>
    <row r="864">
      <c r="A864" s="82">
        <v>4343.0</v>
      </c>
      <c r="B864" s="69" t="s">
        <v>29</v>
      </c>
      <c r="C864" s="79" t="s">
        <v>1134</v>
      </c>
      <c r="D864" s="69"/>
      <c r="E864" s="41" t="s">
        <v>1297</v>
      </c>
      <c r="F864" s="70"/>
      <c r="G864" s="71" t="s">
        <v>1297</v>
      </c>
      <c r="H864" s="41"/>
      <c r="I864" s="42"/>
      <c r="J864" s="43"/>
      <c r="K864" s="72">
        <v>30.0</v>
      </c>
      <c r="L864" s="53" t="s">
        <v>69</v>
      </c>
      <c r="M864" s="73">
        <v>1750.0</v>
      </c>
      <c r="N864" s="74"/>
      <c r="O864" s="73">
        <v>52500.0</v>
      </c>
      <c r="P864" s="46" t="str">
        <f t="shared" si="2"/>
        <v>Rp1,750-30 PCS-0.00%</v>
      </c>
      <c r="Q864" s="75">
        <v>45411.0</v>
      </c>
      <c r="R864" s="76"/>
      <c r="S864" s="75">
        <v>45419.0</v>
      </c>
      <c r="T864" s="49"/>
    </row>
    <row r="865">
      <c r="A865" s="82">
        <v>4343.0</v>
      </c>
      <c r="B865" s="69" t="s">
        <v>29</v>
      </c>
      <c r="C865" s="79" t="s">
        <v>1134</v>
      </c>
      <c r="D865" s="69"/>
      <c r="E865" s="41" t="s">
        <v>621</v>
      </c>
      <c r="F865" s="70"/>
      <c r="G865" s="71" t="s">
        <v>621</v>
      </c>
      <c r="H865" s="41"/>
      <c r="I865" s="42"/>
      <c r="J865" s="43"/>
      <c r="K865" s="72">
        <v>40.0</v>
      </c>
      <c r="L865" s="53" t="s">
        <v>69</v>
      </c>
      <c r="M865" s="73">
        <v>1750.0</v>
      </c>
      <c r="N865" s="74"/>
      <c r="O865" s="73">
        <v>70000.0</v>
      </c>
      <c r="P865" s="46" t="str">
        <f t="shared" si="2"/>
        <v>Rp1,750-40 PCS-0.00%</v>
      </c>
      <c r="Q865" s="75">
        <v>45411.0</v>
      </c>
      <c r="R865" s="76"/>
      <c r="S865" s="75">
        <v>45419.0</v>
      </c>
      <c r="T865" s="49"/>
    </row>
    <row r="866">
      <c r="A866" s="82">
        <v>4343.0</v>
      </c>
      <c r="B866" s="69" t="s">
        <v>29</v>
      </c>
      <c r="C866" s="79" t="s">
        <v>1134</v>
      </c>
      <c r="D866" s="69" t="s">
        <v>1298</v>
      </c>
      <c r="E866" s="41" t="str">
        <f>IFERROR(__xludf.DUMMYFUNCTION("vlookup(D866,IMPORTRANGE(""https://docs.google.com/spreadsheets/d/1swGwZOEqYlTEUCJLY-eeJM1911Kvaei5oySBIxdgtNo/edit?pli=1#gid=257618397"",""stock untanna!B:C""),2,false)"),"PENSIL CARPENTER 500")</f>
        <v>PENSIL CARPENTER 500</v>
      </c>
      <c r="F866" s="70" t="s">
        <v>1298</v>
      </c>
      <c r="G866" s="71" t="s">
        <v>1299</v>
      </c>
      <c r="H866" s="41"/>
      <c r="I866" s="42"/>
      <c r="J866" s="43"/>
      <c r="K866" s="72">
        <v>0.16667</v>
      </c>
      <c r="L866" s="53" t="s">
        <v>131</v>
      </c>
      <c r="M866" s="73">
        <v>270000.0</v>
      </c>
      <c r="N866" s="74"/>
      <c r="O866" s="73">
        <v>45000.9</v>
      </c>
      <c r="P866" s="46" t="str">
        <f t="shared" si="2"/>
        <v>Rp270,000-0.16667 GRS-0.00%</v>
      </c>
      <c r="Q866" s="75">
        <v>45411.0</v>
      </c>
      <c r="R866" s="76"/>
      <c r="S866" s="75">
        <v>45419.0</v>
      </c>
      <c r="T866" s="49"/>
    </row>
    <row r="867">
      <c r="A867" s="82">
        <v>4343.0</v>
      </c>
      <c r="B867" s="69" t="s">
        <v>29</v>
      </c>
      <c r="C867" s="79" t="s">
        <v>1134</v>
      </c>
      <c r="D867" s="69"/>
      <c r="E867" s="41" t="s">
        <v>1300</v>
      </c>
      <c r="F867" s="70"/>
      <c r="G867" s="71" t="s">
        <v>1300</v>
      </c>
      <c r="H867" s="41"/>
      <c r="I867" s="42"/>
      <c r="J867" s="43"/>
      <c r="K867" s="72">
        <v>1.0</v>
      </c>
      <c r="L867" s="53" t="s">
        <v>62</v>
      </c>
      <c r="M867" s="73">
        <v>60000.0</v>
      </c>
      <c r="N867" s="74"/>
      <c r="O867" s="73">
        <v>60000.0</v>
      </c>
      <c r="P867" s="46" t="str">
        <f t="shared" si="2"/>
        <v>Rp60,000-1 LSN-0.00%</v>
      </c>
      <c r="Q867" s="75">
        <v>45411.0</v>
      </c>
      <c r="R867" s="76"/>
      <c r="S867" s="75">
        <v>45419.0</v>
      </c>
      <c r="T867" s="49"/>
    </row>
    <row r="868">
      <c r="A868" s="82">
        <v>4343.0</v>
      </c>
      <c r="B868" s="69" t="s">
        <v>29</v>
      </c>
      <c r="C868" s="79" t="s">
        <v>1134</v>
      </c>
      <c r="D868" s="69"/>
      <c r="E868" s="41" t="s">
        <v>1301</v>
      </c>
      <c r="F868" s="70"/>
      <c r="G868" s="71" t="s">
        <v>1301</v>
      </c>
      <c r="H868" s="41"/>
      <c r="I868" s="42"/>
      <c r="J868" s="43"/>
      <c r="K868" s="72">
        <v>1.0</v>
      </c>
      <c r="L868" s="53" t="s">
        <v>131</v>
      </c>
      <c r="M868" s="73">
        <v>285000.0</v>
      </c>
      <c r="N868" s="74"/>
      <c r="O868" s="73">
        <v>285000.0</v>
      </c>
      <c r="P868" s="46" t="str">
        <f t="shared" si="2"/>
        <v>Rp285,000-1 GRS-0.00%</v>
      </c>
      <c r="Q868" s="75">
        <v>45411.0</v>
      </c>
      <c r="R868" s="76"/>
      <c r="S868" s="75">
        <v>45419.0</v>
      </c>
      <c r="T868" s="49"/>
    </row>
    <row r="869">
      <c r="A869" s="82">
        <v>4359.0</v>
      </c>
      <c r="B869" s="69" t="s">
        <v>58</v>
      </c>
      <c r="C869" s="79" t="s">
        <v>1302</v>
      </c>
      <c r="D869" s="69" t="s">
        <v>1303</v>
      </c>
      <c r="E869" s="41" t="str">
        <f>IFERROR(__xludf.DUMMYFUNCTION("vlookup(D869,IMPORTRANGE(""https://docs.google.com/spreadsheets/d/1swGwZOEqYlTEUCJLY-eeJM1911Kvaei5oySBIxdgtNo/edit?pli=1#gid=257618397"",""stock untanna!B:C""),2,false)"),"JANGKA SET STARMOON 856")</f>
        <v>JANGKA SET STARMOON 856</v>
      </c>
      <c r="F869" s="70" t="s">
        <v>1303</v>
      </c>
      <c r="G869" s="71" t="s">
        <v>1304</v>
      </c>
      <c r="H869" s="41"/>
      <c r="I869" s="42"/>
      <c r="J869" s="43"/>
      <c r="K869" s="72">
        <v>3.0</v>
      </c>
      <c r="L869" s="53" t="s">
        <v>62</v>
      </c>
      <c r="M869" s="73">
        <v>45000.0</v>
      </c>
      <c r="N869" s="74"/>
      <c r="O869" s="73">
        <v>135000.0</v>
      </c>
      <c r="P869" s="46" t="str">
        <f t="shared" si="2"/>
        <v>Rp45,000-3 LSN-0.00%</v>
      </c>
      <c r="Q869" s="75">
        <v>45411.0</v>
      </c>
      <c r="R869" s="76"/>
      <c r="S869" s="75">
        <v>45420.0</v>
      </c>
      <c r="T869" s="49"/>
    </row>
    <row r="870">
      <c r="A870" s="82">
        <v>4359.0</v>
      </c>
      <c r="B870" s="69" t="s">
        <v>58</v>
      </c>
      <c r="C870" s="79" t="s">
        <v>1302</v>
      </c>
      <c r="D870" s="69"/>
      <c r="E870" s="41" t="s">
        <v>1305</v>
      </c>
      <c r="F870" s="70"/>
      <c r="G870" s="71" t="s">
        <v>1305</v>
      </c>
      <c r="H870" s="41"/>
      <c r="I870" s="42"/>
      <c r="J870" s="43"/>
      <c r="K870" s="72">
        <v>36.0</v>
      </c>
      <c r="L870" s="53" t="s">
        <v>69</v>
      </c>
      <c r="M870" s="73">
        <v>14500.0</v>
      </c>
      <c r="N870" s="74"/>
      <c r="O870" s="73">
        <v>522000.0</v>
      </c>
      <c r="P870" s="46" t="str">
        <f t="shared" si="2"/>
        <v>Rp14,500-36 PCS-0.00%</v>
      </c>
      <c r="Q870" s="75">
        <v>45411.0</v>
      </c>
      <c r="R870" s="76"/>
      <c r="S870" s="75">
        <v>45420.0</v>
      </c>
      <c r="T870" s="80" t="s">
        <v>280</v>
      </c>
    </row>
    <row r="871">
      <c r="A871" s="82">
        <v>4359.0</v>
      </c>
      <c r="B871" s="69" t="s">
        <v>58</v>
      </c>
      <c r="C871" s="79" t="s">
        <v>1302</v>
      </c>
      <c r="D871" s="69"/>
      <c r="E871" s="41" t="s">
        <v>1306</v>
      </c>
      <c r="F871" s="70"/>
      <c r="G871" s="71" t="s">
        <v>1306</v>
      </c>
      <c r="H871" s="41"/>
      <c r="I871" s="42"/>
      <c r="J871" s="43"/>
      <c r="K871" s="72">
        <v>36.0</v>
      </c>
      <c r="L871" s="53" t="s">
        <v>69</v>
      </c>
      <c r="M871" s="73">
        <v>16500.0</v>
      </c>
      <c r="N871" s="74"/>
      <c r="O871" s="73">
        <v>594000.0</v>
      </c>
      <c r="P871" s="46" t="str">
        <f t="shared" si="2"/>
        <v>Rp16,500-36 PCS-0.00%</v>
      </c>
      <c r="Q871" s="75">
        <v>45411.0</v>
      </c>
      <c r="R871" s="76"/>
      <c r="S871" s="75">
        <v>45420.0</v>
      </c>
      <c r="T871" s="49"/>
    </row>
    <row r="872">
      <c r="A872" s="82">
        <v>4359.0</v>
      </c>
      <c r="B872" s="69" t="s">
        <v>58</v>
      </c>
      <c r="C872" s="79" t="s">
        <v>1302</v>
      </c>
      <c r="D872" s="69" t="s">
        <v>1307</v>
      </c>
      <c r="E872" s="41" t="str">
        <f>IFERROR(__xludf.DUMMYFUNCTION("vlookup(D872,IMPORTRANGE(""https://docs.google.com/spreadsheets/d/1swGwZOEqYlTEUCJLY-eeJM1911Kvaei5oySBIxdgtNo/edit?pli=1#gid=257618397"",""stock untanna!B:C""),2,false)"),"BP E 8805 MULTI WARNA (24)")</f>
        <v>BP E 8805 MULTI WARNA (24)</v>
      </c>
      <c r="F872" s="70" t="s">
        <v>1307</v>
      </c>
      <c r="G872" s="71" t="s">
        <v>1308</v>
      </c>
      <c r="H872" s="41"/>
      <c r="I872" s="42"/>
      <c r="J872" s="43"/>
      <c r="K872" s="72">
        <v>2.0</v>
      </c>
      <c r="L872" s="53" t="s">
        <v>88</v>
      </c>
      <c r="M872" s="73">
        <v>168000.0</v>
      </c>
      <c r="N872" s="74"/>
      <c r="O872" s="73">
        <v>336000.0</v>
      </c>
      <c r="P872" s="46" t="str">
        <f t="shared" si="2"/>
        <v>Rp168,000-2 BOX-0.00%</v>
      </c>
      <c r="Q872" s="75">
        <v>45411.0</v>
      </c>
      <c r="R872" s="76"/>
      <c r="S872" s="75">
        <v>45420.0</v>
      </c>
      <c r="T872" s="49"/>
    </row>
    <row r="873">
      <c r="A873" s="82">
        <v>4359.0</v>
      </c>
      <c r="B873" s="69" t="s">
        <v>58</v>
      </c>
      <c r="C873" s="79" t="s">
        <v>1302</v>
      </c>
      <c r="D873" s="69" t="s">
        <v>138</v>
      </c>
      <c r="E873" s="41" t="str">
        <f>IFERROR(__xludf.DUMMYFUNCTION("vlookup(D873,IMPORTRANGE(""https://docs.google.com/spreadsheets/d/1swGwZOEqYlTEUCJLY-eeJM1911Kvaei5oySBIxdgtNo/edit?pli=1#gid=257618397"",""stock untanna!B:C""),2,false)"),"GARISAN LIPAT 008 (40) 30 CM FANCY")</f>
        <v>GARISAN LIPAT 008 (40) 30 CM FANCY</v>
      </c>
      <c r="F873" s="70" t="s">
        <v>138</v>
      </c>
      <c r="G873" s="71" t="s">
        <v>139</v>
      </c>
      <c r="H873" s="41"/>
      <c r="I873" s="42"/>
      <c r="J873" s="43"/>
      <c r="K873" s="72">
        <v>6.0</v>
      </c>
      <c r="L873" s="53" t="s">
        <v>88</v>
      </c>
      <c r="M873" s="73">
        <v>55000.0</v>
      </c>
      <c r="N873" s="74"/>
      <c r="O873" s="73">
        <v>330000.0</v>
      </c>
      <c r="P873" s="46" t="str">
        <f t="shared" si="2"/>
        <v>Rp55,000-6 BOX-0.00%</v>
      </c>
      <c r="Q873" s="75">
        <v>45411.0</v>
      </c>
      <c r="R873" s="76"/>
      <c r="S873" s="75">
        <v>45420.0</v>
      </c>
      <c r="T873" s="49"/>
    </row>
    <row r="874">
      <c r="A874" s="82">
        <v>4359.0</v>
      </c>
      <c r="B874" s="69" t="s">
        <v>58</v>
      </c>
      <c r="C874" s="79" t="s">
        <v>1302</v>
      </c>
      <c r="D874" s="69"/>
      <c r="E874" s="41" t="s">
        <v>1309</v>
      </c>
      <c r="F874" s="70"/>
      <c r="G874" s="71" t="s">
        <v>1309</v>
      </c>
      <c r="H874" s="41"/>
      <c r="I874" s="42"/>
      <c r="J874" s="43"/>
      <c r="K874" s="72">
        <v>6.0</v>
      </c>
      <c r="L874" s="53" t="s">
        <v>62</v>
      </c>
      <c r="M874" s="73">
        <v>140000.0</v>
      </c>
      <c r="N874" s="74"/>
      <c r="O874" s="73">
        <v>840000.0</v>
      </c>
      <c r="P874" s="46" t="str">
        <f t="shared" si="2"/>
        <v>Rp140,000-6 LSN-0.00%</v>
      </c>
      <c r="Q874" s="75">
        <v>45411.0</v>
      </c>
      <c r="R874" s="76"/>
      <c r="S874" s="75">
        <v>45420.0</v>
      </c>
      <c r="T874" s="49"/>
    </row>
    <row r="875">
      <c r="A875" s="82">
        <v>4359.0</v>
      </c>
      <c r="B875" s="69" t="s">
        <v>58</v>
      </c>
      <c r="C875" s="79" t="s">
        <v>1302</v>
      </c>
      <c r="D875" s="69" t="s">
        <v>1310</v>
      </c>
      <c r="E875" s="41" t="str">
        <f>IFERROR(__xludf.DUMMYFUNCTION("vlookup(D875,IMPORTRANGE(""https://docs.google.com/spreadsheets/d/1swGwZOEqYlTEUCJLY-eeJM1911Kvaei5oySBIxdgtNo/edit?pli=1#gid=257618397"",""stock untanna!B:C""),2,false)"),"JANGKA MT 2506")</f>
        <v>JANGKA MT 2506</v>
      </c>
      <c r="F875" s="70" t="s">
        <v>1310</v>
      </c>
      <c r="G875" s="71" t="s">
        <v>1311</v>
      </c>
      <c r="H875" s="41"/>
      <c r="I875" s="42"/>
      <c r="J875" s="43"/>
      <c r="K875" s="72">
        <v>3.0</v>
      </c>
      <c r="L875" s="53" t="s">
        <v>62</v>
      </c>
      <c r="M875" s="73">
        <v>45000.0</v>
      </c>
      <c r="N875" s="74"/>
      <c r="O875" s="73">
        <v>135000.0</v>
      </c>
      <c r="P875" s="46" t="str">
        <f t="shared" si="2"/>
        <v>Rp45,000-3 LSN-0.00%</v>
      </c>
      <c r="Q875" s="75">
        <v>45411.0</v>
      </c>
      <c r="R875" s="76"/>
      <c r="S875" s="75">
        <v>45420.0</v>
      </c>
      <c r="T875" s="49"/>
    </row>
    <row r="876">
      <c r="A876" s="82">
        <v>4359.0</v>
      </c>
      <c r="B876" s="69" t="s">
        <v>58</v>
      </c>
      <c r="C876" s="79" t="s">
        <v>1302</v>
      </c>
      <c r="D876" s="69" t="s">
        <v>1312</v>
      </c>
      <c r="E876" s="41" t="str">
        <f>IFERROR(__xludf.DUMMYFUNCTION("vlookup(D876,IMPORTRANGE(""https://docs.google.com/spreadsheets/d/1swGwZOEqYlTEUCJLY-eeJM1911Kvaei5oySBIxdgtNo/edit?pli=1#gid=257618397"",""stock untanna!B:C""),2,false)"),"JANGKA MS-4001 KOALA")</f>
        <v>JANGKA MS-4001 KOALA</v>
      </c>
      <c r="F876" s="70" t="s">
        <v>1312</v>
      </c>
      <c r="G876" s="71" t="s">
        <v>1313</v>
      </c>
      <c r="H876" s="41"/>
      <c r="I876" s="42"/>
      <c r="J876" s="43"/>
      <c r="K876" s="72">
        <v>3.0</v>
      </c>
      <c r="L876" s="53" t="s">
        <v>62</v>
      </c>
      <c r="M876" s="73">
        <v>85000.0</v>
      </c>
      <c r="N876" s="74"/>
      <c r="O876" s="73">
        <v>255000.0</v>
      </c>
      <c r="P876" s="46" t="str">
        <f t="shared" si="2"/>
        <v>Rp85,000-3 LSN-0.00%</v>
      </c>
      <c r="Q876" s="75">
        <v>45411.0</v>
      </c>
      <c r="R876" s="76"/>
      <c r="S876" s="75">
        <v>45420.0</v>
      </c>
      <c r="T876" s="49"/>
    </row>
    <row r="877">
      <c r="A877" s="82">
        <v>4359.0</v>
      </c>
      <c r="B877" s="69" t="s">
        <v>58</v>
      </c>
      <c r="C877" s="79" t="s">
        <v>1302</v>
      </c>
      <c r="D877" s="69"/>
      <c r="E877" s="41" t="s">
        <v>1314</v>
      </c>
      <c r="F877" s="70"/>
      <c r="G877" s="71" t="s">
        <v>1314</v>
      </c>
      <c r="H877" s="41"/>
      <c r="I877" s="42"/>
      <c r="J877" s="43"/>
      <c r="K877" s="72">
        <v>12.0</v>
      </c>
      <c r="L877" s="53" t="s">
        <v>62</v>
      </c>
      <c r="M877" s="73">
        <v>12500.0</v>
      </c>
      <c r="N877" s="74"/>
      <c r="O877" s="73">
        <v>150000.0</v>
      </c>
      <c r="P877" s="46" t="str">
        <f t="shared" si="2"/>
        <v>Rp12,500-12 LSN-0.00%</v>
      </c>
      <c r="Q877" s="75">
        <v>45411.0</v>
      </c>
      <c r="R877" s="76"/>
      <c r="S877" s="75">
        <v>45420.0</v>
      </c>
      <c r="T877" s="49"/>
    </row>
    <row r="878">
      <c r="A878" s="82">
        <v>4359.0</v>
      </c>
      <c r="B878" s="69" t="s">
        <v>58</v>
      </c>
      <c r="C878" s="79" t="s">
        <v>1302</v>
      </c>
      <c r="D878" s="69" t="s">
        <v>1315</v>
      </c>
      <c r="E878" s="41" t="str">
        <f>IFERROR(__xludf.DUMMYFUNCTION("vlookup(D878,IMPORTRANGE(""https://docs.google.com/spreadsheets/d/1swGwZOEqYlTEUCJLY-eeJM1911Kvaei5oySBIxdgtNo/edit?pli=1#gid=257618397"",""stock untanna!B:C""),2,false)"),"PENSIL CASE 168-18")</f>
        <v>PENSIL CASE 168-18</v>
      </c>
      <c r="F878" s="70" t="s">
        <v>1315</v>
      </c>
      <c r="G878" s="71" t="s">
        <v>1316</v>
      </c>
      <c r="H878" s="41"/>
      <c r="I878" s="42"/>
      <c r="J878" s="43"/>
      <c r="K878" s="72">
        <v>12.0</v>
      </c>
      <c r="L878" s="53" t="s">
        <v>69</v>
      </c>
      <c r="M878" s="73">
        <v>18750.0</v>
      </c>
      <c r="N878" s="74"/>
      <c r="O878" s="73">
        <v>225000.0</v>
      </c>
      <c r="P878" s="46" t="str">
        <f t="shared" si="2"/>
        <v>Rp18,750-12 PCS-0.00%</v>
      </c>
      <c r="Q878" s="75">
        <v>45411.0</v>
      </c>
      <c r="R878" s="76"/>
      <c r="S878" s="75">
        <v>45420.0</v>
      </c>
      <c r="T878" s="49"/>
    </row>
    <row r="879">
      <c r="A879" s="82">
        <v>4359.0</v>
      </c>
      <c r="B879" s="69" t="s">
        <v>58</v>
      </c>
      <c r="C879" s="79" t="s">
        <v>1302</v>
      </c>
      <c r="D879" s="50" t="s">
        <v>1317</v>
      </c>
      <c r="E879" s="41" t="str">
        <f>IFERROR(__xludf.DUMMYFUNCTION("IFNA(vlookup(D879,IMPORTRANGE(""https://docs.google.com/spreadsheets/d/1swGwZOEqYlTEUCJLY-eeJM1911Kvaei5oySBIxdgtNo/edit?pli=1#gid=257618397"",""stock untanna!B:C""),2,false),V:V)"),"PC MAGNIT KY 779")</f>
        <v>PC MAGNIT KY 779</v>
      </c>
      <c r="F879" s="70"/>
      <c r="G879" s="71" t="s">
        <v>1318</v>
      </c>
      <c r="H879" s="41"/>
      <c r="I879" s="42"/>
      <c r="J879" s="85" t="s">
        <v>1319</v>
      </c>
      <c r="K879" s="72">
        <v>6.0</v>
      </c>
      <c r="L879" s="53" t="s">
        <v>62</v>
      </c>
      <c r="M879" s="73">
        <v>225000.0</v>
      </c>
      <c r="N879" s="74"/>
      <c r="O879" s="73">
        <v>1350000.0</v>
      </c>
      <c r="P879" s="46" t="str">
        <f t="shared" si="2"/>
        <v>Rp225,000-6 LSN-0.00%</v>
      </c>
      <c r="Q879" s="75">
        <v>45411.0</v>
      </c>
      <c r="R879" s="76"/>
      <c r="S879" s="75">
        <v>45420.0</v>
      </c>
      <c r="T879" s="80" t="s">
        <v>280</v>
      </c>
    </row>
    <row r="880">
      <c r="A880" s="82">
        <v>4359.0</v>
      </c>
      <c r="B880" s="69" t="s">
        <v>58</v>
      </c>
      <c r="C880" s="79" t="s">
        <v>1302</v>
      </c>
      <c r="D880" s="69" t="s">
        <v>458</v>
      </c>
      <c r="E880" s="41" t="str">
        <f>IFERROR(__xludf.DUMMYFUNCTION("vlookup(D880,IMPORTRANGE(""https://docs.google.com/spreadsheets/d/1swGwZOEqYlTEUCJLY-eeJM1911Kvaei5oySBIxdgtNo/edit?pli=1#gid=257618397"",""stock untanna!B:C""),2,false)"),"BP GEL + GANTUNGAN A931")</f>
        <v>BP GEL + GANTUNGAN A931</v>
      </c>
      <c r="F880" s="70" t="s">
        <v>458</v>
      </c>
      <c r="G880" s="71" t="s">
        <v>459</v>
      </c>
      <c r="H880" s="41"/>
      <c r="I880" s="42"/>
      <c r="J880" s="43"/>
      <c r="K880" s="72">
        <v>6.0</v>
      </c>
      <c r="L880" s="53" t="s">
        <v>62</v>
      </c>
      <c r="M880" s="73">
        <v>23000.0</v>
      </c>
      <c r="N880" s="74"/>
      <c r="O880" s="73">
        <v>138000.0</v>
      </c>
      <c r="P880" s="46" t="str">
        <f t="shared" si="2"/>
        <v>Rp23,000-6 LSN-0.00%</v>
      </c>
      <c r="Q880" s="75">
        <v>45411.0</v>
      </c>
      <c r="R880" s="76"/>
      <c r="S880" s="75">
        <v>45420.0</v>
      </c>
      <c r="T880" s="49"/>
    </row>
    <row r="881">
      <c r="A881" s="82">
        <v>4359.0</v>
      </c>
      <c r="B881" s="69" t="s">
        <v>58</v>
      </c>
      <c r="C881" s="79" t="s">
        <v>1302</v>
      </c>
      <c r="D881" s="69" t="s">
        <v>1320</v>
      </c>
      <c r="E881" s="41" t="str">
        <f>IFERROR(__xludf.DUMMYFUNCTION("vlookup(D881,IMPORTRANGE(""https://docs.google.com/spreadsheets/d/1swGwZOEqYlTEUCJLY-eeJM1911Kvaei5oySBIxdgtNo/edit?pli=1#gid=257618397"",""stock untanna!B:C""),2,false)"),"BP MAINAN + GANTUNGAN 9082")</f>
        <v>BP MAINAN + GANTUNGAN 9082</v>
      </c>
      <c r="F881" s="70" t="s">
        <v>1320</v>
      </c>
      <c r="G881" s="71" t="s">
        <v>1321</v>
      </c>
      <c r="H881" s="41"/>
      <c r="I881" s="42"/>
      <c r="J881" s="43"/>
      <c r="K881" s="72">
        <v>6.0</v>
      </c>
      <c r="L881" s="53" t="s">
        <v>62</v>
      </c>
      <c r="M881" s="73">
        <v>23000.0</v>
      </c>
      <c r="N881" s="74"/>
      <c r="O881" s="73">
        <v>138000.0</v>
      </c>
      <c r="P881" s="46" t="str">
        <f t="shared" si="2"/>
        <v>Rp23,000-6 LSN-0.00%</v>
      </c>
      <c r="Q881" s="75">
        <v>45411.0</v>
      </c>
      <c r="R881" s="76"/>
      <c r="S881" s="75">
        <v>45420.0</v>
      </c>
      <c r="T881" s="49"/>
    </row>
    <row r="882">
      <c r="A882" s="82">
        <v>4359.0</v>
      </c>
      <c r="B882" s="69" t="s">
        <v>58</v>
      </c>
      <c r="C882" s="79" t="s">
        <v>1302</v>
      </c>
      <c r="D882" s="69" t="s">
        <v>1322</v>
      </c>
      <c r="E882" s="41" t="str">
        <f>IFERROR(__xludf.DUMMYFUNCTION("vlookup(D882,IMPORTRANGE(""https://docs.google.com/spreadsheets/d/1swGwZOEqYlTEUCJLY-eeJM1911Kvaei5oySBIxdgtNo/edit?pli=1#gid=257618397"",""stock untanna!B:C""),2,false)"),"BP GEL BP-A8010")</f>
        <v>BP GEL BP-A8010</v>
      </c>
      <c r="F882" s="70" t="s">
        <v>1322</v>
      </c>
      <c r="G882" s="71" t="s">
        <v>1323</v>
      </c>
      <c r="H882" s="41"/>
      <c r="I882" s="42"/>
      <c r="J882" s="43"/>
      <c r="K882" s="72">
        <v>72.0</v>
      </c>
      <c r="L882" s="53" t="s">
        <v>69</v>
      </c>
      <c r="M882" s="73">
        <v>2500.0</v>
      </c>
      <c r="N882" s="74"/>
      <c r="O882" s="73">
        <v>180000.0</v>
      </c>
      <c r="P882" s="46" t="str">
        <f t="shared" si="2"/>
        <v>Rp2,500-72 PCS-0.00%</v>
      </c>
      <c r="Q882" s="75">
        <v>45411.0</v>
      </c>
      <c r="R882" s="76"/>
      <c r="S882" s="75">
        <v>45420.0</v>
      </c>
      <c r="T882" s="49"/>
    </row>
    <row r="883">
      <c r="A883" s="82">
        <v>4360.0</v>
      </c>
      <c r="B883" s="69" t="s">
        <v>58</v>
      </c>
      <c r="C883" s="79" t="s">
        <v>1302</v>
      </c>
      <c r="D883" s="69" t="s">
        <v>1324</v>
      </c>
      <c r="E883" s="41" t="str">
        <f>IFERROR(__xludf.DUMMYFUNCTION("vlookup(D883,IMPORTRANGE(""https://docs.google.com/spreadsheets/d/1swGwZOEqYlTEUCJLY-eeJM1911Kvaei5oySBIxdgtNo/edit?pli=1#gid=257618397"",""stock untanna!B:C""),2,false)"),"BP GEL A8015")</f>
        <v>BP GEL A8015</v>
      </c>
      <c r="F883" s="70" t="s">
        <v>1324</v>
      </c>
      <c r="G883" s="71" t="s">
        <v>1325</v>
      </c>
      <c r="H883" s="41"/>
      <c r="I883" s="42"/>
      <c r="J883" s="43"/>
      <c r="K883" s="72">
        <v>72.0</v>
      </c>
      <c r="L883" s="53" t="s">
        <v>69</v>
      </c>
      <c r="M883" s="73">
        <v>2500.0</v>
      </c>
      <c r="N883" s="74"/>
      <c r="O883" s="73">
        <v>180000.0</v>
      </c>
      <c r="P883" s="46" t="str">
        <f t="shared" si="2"/>
        <v>Rp2,500-72 PCS-0.00%</v>
      </c>
      <c r="Q883" s="75">
        <v>45411.0</v>
      </c>
      <c r="R883" s="76"/>
      <c r="S883" s="75">
        <v>45420.0</v>
      </c>
      <c r="T883" s="49"/>
    </row>
    <row r="884">
      <c r="A884" s="82">
        <v>4360.0</v>
      </c>
      <c r="B884" s="69" t="s">
        <v>58</v>
      </c>
      <c r="C884" s="79" t="s">
        <v>1302</v>
      </c>
      <c r="D884" s="69" t="s">
        <v>1326</v>
      </c>
      <c r="E884" s="41" t="str">
        <f>IFERROR(__xludf.DUMMYFUNCTION("vlookup(D884,IMPORTRANGE(""https://docs.google.com/spreadsheets/d/1swGwZOEqYlTEUCJLY-eeJM1911Kvaei5oySBIxdgtNo/edit?pli=1#gid=257618397"",""stock untanna!B:C""),2,false)"),"BP GEL 7502 / 3211")</f>
        <v>BP GEL 7502 / 3211</v>
      </c>
      <c r="F884" s="70" t="s">
        <v>1326</v>
      </c>
      <c r="G884" s="71" t="s">
        <v>1327</v>
      </c>
      <c r="H884" s="41"/>
      <c r="I884" s="42"/>
      <c r="J884" s="43"/>
      <c r="K884" s="72">
        <v>72.0</v>
      </c>
      <c r="L884" s="53" t="s">
        <v>69</v>
      </c>
      <c r="M884" s="73">
        <v>1917.0</v>
      </c>
      <c r="N884" s="74"/>
      <c r="O884" s="73">
        <v>138024.0</v>
      </c>
      <c r="P884" s="46" t="str">
        <f t="shared" si="2"/>
        <v>Rp1,917-72 PCS-0.00%</v>
      </c>
      <c r="Q884" s="75">
        <v>45411.0</v>
      </c>
      <c r="R884" s="76"/>
      <c r="S884" s="75">
        <v>45420.0</v>
      </c>
      <c r="T884" s="49"/>
    </row>
    <row r="885">
      <c r="A885" s="82">
        <v>4360.0</v>
      </c>
      <c r="B885" s="69" t="s">
        <v>58</v>
      </c>
      <c r="C885" s="79" t="s">
        <v>1302</v>
      </c>
      <c r="D885" s="69" t="s">
        <v>485</v>
      </c>
      <c r="E885" s="41" t="str">
        <f>IFERROR(__xludf.DUMMYFUNCTION("vlookup(D885,IMPORTRANGE(""https://docs.google.com/spreadsheets/d/1swGwZOEqYlTEUCJLY-eeJM1911Kvaei5oySBIxdgtNo/edit?pli=1#gid=257618397"",""stock untanna!B:C""),2,false)"),"BP GEL DTIAN DT-832 + STIP")</f>
        <v>BP GEL DTIAN DT-832 + STIP</v>
      </c>
      <c r="F885" s="70" t="s">
        <v>485</v>
      </c>
      <c r="G885" s="71" t="s">
        <v>486</v>
      </c>
      <c r="H885" s="41"/>
      <c r="I885" s="42"/>
      <c r="J885" s="43"/>
      <c r="K885" s="72">
        <v>12.0</v>
      </c>
      <c r="L885" s="53" t="s">
        <v>62</v>
      </c>
      <c r="M885" s="73">
        <v>16500.0</v>
      </c>
      <c r="N885" s="74"/>
      <c r="O885" s="73">
        <v>198000.0</v>
      </c>
      <c r="P885" s="46" t="str">
        <f t="shared" si="2"/>
        <v>Rp16,500-12 LSN-0.00%</v>
      </c>
      <c r="Q885" s="75">
        <v>45411.0</v>
      </c>
      <c r="R885" s="76"/>
      <c r="S885" s="75">
        <v>45420.0</v>
      </c>
      <c r="T885" s="49"/>
    </row>
    <row r="886">
      <c r="A886" s="82">
        <v>4360.0</v>
      </c>
      <c r="B886" s="69" t="s">
        <v>58</v>
      </c>
      <c r="C886" s="79" t="s">
        <v>1302</v>
      </c>
      <c r="D886" s="69" t="s">
        <v>493</v>
      </c>
      <c r="E886" s="41" t="str">
        <f>IFERROR(__xludf.DUMMYFUNCTION("vlookup(D886,IMPORTRANGE(""https://docs.google.com/spreadsheets/d/1swGwZOEqYlTEUCJLY-eeJM1911Kvaei5oySBIxdgtNo/edit?pli=1#gid=257618397"",""stock untanna!B:C""),2,false)"),"BP GEL 8803 + STIP")</f>
        <v>BP GEL 8803 + STIP</v>
      </c>
      <c r="F886" s="70" t="s">
        <v>493</v>
      </c>
      <c r="G886" s="71" t="s">
        <v>494</v>
      </c>
      <c r="H886" s="41"/>
      <c r="I886" s="42"/>
      <c r="J886" s="43"/>
      <c r="K886" s="72">
        <v>144.0</v>
      </c>
      <c r="L886" s="53" t="s">
        <v>69</v>
      </c>
      <c r="M886" s="73">
        <v>1375.0</v>
      </c>
      <c r="N886" s="74"/>
      <c r="O886" s="73">
        <v>198000.0</v>
      </c>
      <c r="P886" s="46" t="str">
        <f t="shared" si="2"/>
        <v>Rp1,375-144 PCS-0.00%</v>
      </c>
      <c r="Q886" s="75">
        <v>45411.0</v>
      </c>
      <c r="R886" s="76"/>
      <c r="S886" s="75">
        <v>45420.0</v>
      </c>
      <c r="T886" s="49"/>
    </row>
    <row r="887">
      <c r="A887" s="82">
        <v>4360.0</v>
      </c>
      <c r="B887" s="69" t="s">
        <v>58</v>
      </c>
      <c r="C887" s="79" t="s">
        <v>1302</v>
      </c>
      <c r="D887" s="69" t="s">
        <v>1328</v>
      </c>
      <c r="E887" s="41" t="str">
        <f>IFERROR(__xludf.DUMMYFUNCTION("vlookup(D887,IMPORTRANGE(""https://docs.google.com/spreadsheets/d/1swGwZOEqYlTEUCJLY-eeJM1911Kvaei5oySBIxdgtNo/edit?pli=1#gid=257618397"",""stock untanna!B:C""),2,false)"),"ASAHAN 007")</f>
        <v>ASAHAN 007</v>
      </c>
      <c r="F887" s="70" t="s">
        <v>1328</v>
      </c>
      <c r="G887" s="71" t="s">
        <v>1329</v>
      </c>
      <c r="H887" s="41"/>
      <c r="I887" s="42"/>
      <c r="J887" s="43"/>
      <c r="K887" s="72">
        <v>12.0</v>
      </c>
      <c r="L887" s="53" t="s">
        <v>69</v>
      </c>
      <c r="M887" s="73">
        <v>25000.0</v>
      </c>
      <c r="N887" s="74"/>
      <c r="O887" s="73">
        <v>300000.0</v>
      </c>
      <c r="P887" s="46" t="str">
        <f t="shared" si="2"/>
        <v>Rp25,000-12 PCS-0.00%</v>
      </c>
      <c r="Q887" s="75">
        <v>45411.0</v>
      </c>
      <c r="R887" s="76"/>
      <c r="S887" s="75">
        <v>45420.0</v>
      </c>
      <c r="T887" s="49"/>
    </row>
    <row r="888">
      <c r="A888" s="82">
        <v>4360.0</v>
      </c>
      <c r="B888" s="69" t="s">
        <v>58</v>
      </c>
      <c r="C888" s="79" t="s">
        <v>1302</v>
      </c>
      <c r="D888" s="69" t="s">
        <v>535</v>
      </c>
      <c r="E888" s="41" t="str">
        <f>IFERROR(__xludf.DUMMYFUNCTION("vlookup(D888,IMPORTRANGE(""https://docs.google.com/spreadsheets/d/1swGwZOEqYlTEUCJLY-eeJM1911Kvaei5oySBIxdgtNo/edit?pli=1#gid=257618397"",""stock untanna!B:C""),2,false)"),"ASAHAN TOPLES SP 8865 IKAN")</f>
        <v>ASAHAN TOPLES SP 8865 IKAN</v>
      </c>
      <c r="F888" s="70" t="s">
        <v>535</v>
      </c>
      <c r="G888" s="71" t="s">
        <v>536</v>
      </c>
      <c r="H888" s="41"/>
      <c r="I888" s="42"/>
      <c r="J888" s="43"/>
      <c r="K888" s="72">
        <v>2.0</v>
      </c>
      <c r="L888" s="53" t="s">
        <v>88</v>
      </c>
      <c r="M888" s="73">
        <v>72000.0</v>
      </c>
      <c r="N888" s="74"/>
      <c r="O888" s="73">
        <v>144000.0</v>
      </c>
      <c r="P888" s="46" t="str">
        <f t="shared" si="2"/>
        <v>Rp72,000-2 BOX-0.00%</v>
      </c>
      <c r="Q888" s="75">
        <v>45411.0</v>
      </c>
      <c r="R888" s="76"/>
      <c r="S888" s="75">
        <v>45420.0</v>
      </c>
      <c r="T888" s="49"/>
    </row>
    <row r="889">
      <c r="A889" s="82">
        <v>4360.0</v>
      </c>
      <c r="B889" s="69" t="s">
        <v>58</v>
      </c>
      <c r="C889" s="79" t="s">
        <v>1302</v>
      </c>
      <c r="D889" s="69" t="s">
        <v>247</v>
      </c>
      <c r="E889" s="41" t="str">
        <f>IFERROR(__xludf.DUMMYFUNCTION("vlookup(D889,IMPORTRANGE(""https://docs.google.com/spreadsheets/d/1swGwZOEqYlTEUCJLY-eeJM1911Kvaei5oySBIxdgtNo/edit?pli=1#gid=257618397"",""stock untanna!B:C""),2,false)"),"TAS TUTUP PITA KADO FG-201 TANGGUNG")</f>
        <v>TAS TUTUP PITA KADO FG-201 TANGGUNG</v>
      </c>
      <c r="F889" s="70" t="s">
        <v>247</v>
      </c>
      <c r="G889" s="78" t="s">
        <v>248</v>
      </c>
      <c r="H889" s="41"/>
      <c r="I889" s="42"/>
      <c r="J889" s="43"/>
      <c r="K889" s="72">
        <v>1.0</v>
      </c>
      <c r="L889" s="53" t="s">
        <v>62</v>
      </c>
      <c r="M889" s="73">
        <v>95000.0</v>
      </c>
      <c r="N889" s="74"/>
      <c r="O889" s="73">
        <v>95000.0</v>
      </c>
      <c r="P889" s="46" t="str">
        <f t="shared" si="2"/>
        <v>Rp95,000-1 LSN-0.00%</v>
      </c>
      <c r="Q889" s="75">
        <v>45411.0</v>
      </c>
      <c r="R889" s="76"/>
      <c r="S889" s="75">
        <v>45420.0</v>
      </c>
      <c r="T889" s="49"/>
    </row>
    <row r="890">
      <c r="A890" s="82">
        <v>4360.0</v>
      </c>
      <c r="B890" s="69" t="s">
        <v>58</v>
      </c>
      <c r="C890" s="79" t="s">
        <v>1302</v>
      </c>
      <c r="D890" s="69" t="s">
        <v>247</v>
      </c>
      <c r="E890" s="41" t="str">
        <f>IFERROR(__xludf.DUMMYFUNCTION("vlookup(D890,IMPORTRANGE(""https://docs.google.com/spreadsheets/d/1swGwZOEqYlTEUCJLY-eeJM1911Kvaei5oySBIxdgtNo/edit?pli=1#gid=257618397"",""stock untanna!B:C""),2,false)"),"TAS TUTUP PITA KADO FG-201 TANGGUNG")</f>
        <v>TAS TUTUP PITA KADO FG-201 TANGGUNG</v>
      </c>
      <c r="F890" s="70" t="s">
        <v>247</v>
      </c>
      <c r="G890" s="78" t="s">
        <v>248</v>
      </c>
      <c r="H890" s="41"/>
      <c r="I890" s="42"/>
      <c r="J890" s="43"/>
      <c r="K890" s="72">
        <v>1.0</v>
      </c>
      <c r="L890" s="53" t="s">
        <v>62</v>
      </c>
      <c r="M890" s="73">
        <v>95000.0</v>
      </c>
      <c r="N890" s="74"/>
      <c r="O890" s="73">
        <v>95000.0</v>
      </c>
      <c r="P890" s="46" t="str">
        <f t="shared" si="2"/>
        <v>Rp95,000-1 LSN-0.00%</v>
      </c>
      <c r="Q890" s="75">
        <v>45411.0</v>
      </c>
      <c r="R890" s="76"/>
      <c r="S890" s="75">
        <v>45420.0</v>
      </c>
      <c r="T890" s="80" t="s">
        <v>280</v>
      </c>
    </row>
    <row r="891">
      <c r="A891" s="82">
        <v>4360.0</v>
      </c>
      <c r="B891" s="69" t="s">
        <v>58</v>
      </c>
      <c r="C891" s="79" t="s">
        <v>1302</v>
      </c>
      <c r="D891" s="50" t="s">
        <v>1330</v>
      </c>
      <c r="E891" s="41" t="str">
        <f>IFERROR(__xludf.DUMMYFUNCTION("IFNA(vlookup(D891,IMPORTRANGE(""https://docs.google.com/spreadsheets/d/1swGwZOEqYlTEUCJLY-eeJM1911Kvaei5oySBIxdgtNo/edit?pli=1#gid=257618397"",""stock untanna!B:C""),2,false),V:V)"),"PC MAGNIT MINION KT 535")</f>
        <v>PC MAGNIT MINION KT 535</v>
      </c>
      <c r="F891" s="70"/>
      <c r="G891" s="71" t="s">
        <v>1331</v>
      </c>
      <c r="H891" s="41"/>
      <c r="I891" s="42"/>
      <c r="J891" s="85" t="s">
        <v>1319</v>
      </c>
      <c r="K891" s="72">
        <v>12.0</v>
      </c>
      <c r="L891" s="53" t="s">
        <v>62</v>
      </c>
      <c r="M891" s="73">
        <v>120000.0</v>
      </c>
      <c r="N891" s="74"/>
      <c r="O891" s="73">
        <v>1440000.0</v>
      </c>
      <c r="P891" s="46" t="str">
        <f t="shared" si="2"/>
        <v>Rp120,000-12 LSN-0.00%</v>
      </c>
      <c r="Q891" s="75">
        <v>45411.0</v>
      </c>
      <c r="R891" s="76"/>
      <c r="S891" s="75">
        <v>45420.0</v>
      </c>
      <c r="T891" s="80" t="s">
        <v>280</v>
      </c>
    </row>
    <row r="892">
      <c r="A892" s="82">
        <v>4360.0</v>
      </c>
      <c r="B892" s="69" t="s">
        <v>58</v>
      </c>
      <c r="C892" s="79" t="s">
        <v>1302</v>
      </c>
      <c r="D892" s="69" t="s">
        <v>93</v>
      </c>
      <c r="E892" s="41" t="str">
        <f>IFERROR(__xludf.DUMMYFUNCTION("vlookup(D892,IMPORTRANGE(""https://docs.google.com/spreadsheets/d/1swGwZOEqYlTEUCJLY-eeJM1911Kvaei5oySBIxdgtNo/edit?pli=1#gid=257618397"",""stock untanna!B:C""),2,false)"),"CLIPBOARD SQ KAYU KOTAK")</f>
        <v>CLIPBOARD SQ KAYU KOTAK</v>
      </c>
      <c r="F892" s="70" t="s">
        <v>93</v>
      </c>
      <c r="G892" s="71" t="s">
        <v>94</v>
      </c>
      <c r="H892" s="41"/>
      <c r="I892" s="42"/>
      <c r="J892" s="43"/>
      <c r="K892" s="72">
        <v>144.0</v>
      </c>
      <c r="L892" s="53" t="s">
        <v>69</v>
      </c>
      <c r="M892" s="73">
        <v>3208.0</v>
      </c>
      <c r="N892" s="74"/>
      <c r="O892" s="73">
        <v>461952.0</v>
      </c>
      <c r="P892" s="46" t="str">
        <f t="shared" si="2"/>
        <v>Rp3,208-144 PCS-0.00%</v>
      </c>
      <c r="Q892" s="75">
        <v>45411.0</v>
      </c>
      <c r="R892" s="76"/>
      <c r="S892" s="75">
        <v>45420.0</v>
      </c>
      <c r="T892" s="49"/>
    </row>
    <row r="893">
      <c r="A893" s="82">
        <v>4360.0</v>
      </c>
      <c r="B893" s="69" t="s">
        <v>58</v>
      </c>
      <c r="C893" s="79" t="s">
        <v>1302</v>
      </c>
      <c r="D893" s="69" t="s">
        <v>1018</v>
      </c>
      <c r="E893" s="41" t="str">
        <f>IFERROR(__xludf.DUMMYFUNCTION("vlookup(D893,IMPORTRANGE(""https://docs.google.com/spreadsheets/d/1swGwZOEqYlTEUCJLY-eeJM1911Kvaei5oySBIxdgtNo/edit?pli=1#gid=257618397"",""stock untanna!B:C""),2,false)"),"BP PELNA ULIR 01 HT")</f>
        <v>BP PELNA ULIR 01 HT</v>
      </c>
      <c r="F893" s="70" t="s">
        <v>1018</v>
      </c>
      <c r="G893" s="71" t="s">
        <v>1019</v>
      </c>
      <c r="H893" s="41"/>
      <c r="I893" s="42"/>
      <c r="J893" s="43"/>
      <c r="K893" s="72">
        <v>3.5</v>
      </c>
      <c r="L893" s="53" t="s">
        <v>131</v>
      </c>
      <c r="M893" s="73">
        <v>48000.0</v>
      </c>
      <c r="N893" s="74"/>
      <c r="O893" s="73">
        <v>168000.0</v>
      </c>
      <c r="P893" s="46" t="str">
        <f t="shared" si="2"/>
        <v>Rp48,000-3.5 GRS-0.00%</v>
      </c>
      <c r="Q893" s="75">
        <v>45411.0</v>
      </c>
      <c r="R893" s="76"/>
      <c r="S893" s="75">
        <v>45420.0</v>
      </c>
      <c r="T893" s="49"/>
    </row>
    <row r="894">
      <c r="A894" s="82">
        <v>4360.0</v>
      </c>
      <c r="B894" s="69" t="s">
        <v>58</v>
      </c>
      <c r="C894" s="79" t="s">
        <v>1302</v>
      </c>
      <c r="D894" s="69" t="s">
        <v>483</v>
      </c>
      <c r="E894" s="41" t="str">
        <f>IFERROR(__xludf.DUMMYFUNCTION("vlookup(D894,IMPORTRANGE(""https://docs.google.com/spreadsheets/d/1swGwZOEqYlTEUCJLY-eeJM1911Kvaei5oySBIxdgtNo/edit?pli=1#gid=257618397"",""stock untanna!B:C""),2,false)"),"BP GEL DTIAN DT-830 + STIP")</f>
        <v>BP GEL DTIAN DT-830 + STIP</v>
      </c>
      <c r="F894" s="70" t="s">
        <v>483</v>
      </c>
      <c r="G894" s="71" t="s">
        <v>484</v>
      </c>
      <c r="H894" s="41"/>
      <c r="I894" s="42"/>
      <c r="J894" s="43"/>
      <c r="K894" s="72">
        <v>12.0</v>
      </c>
      <c r="L894" s="53" t="s">
        <v>62</v>
      </c>
      <c r="M894" s="73">
        <v>16500.0</v>
      </c>
      <c r="N894" s="74"/>
      <c r="O894" s="73">
        <v>198000.0</v>
      </c>
      <c r="P894" s="46" t="str">
        <f t="shared" si="2"/>
        <v>Rp16,500-12 LSN-0.00%</v>
      </c>
      <c r="Q894" s="75">
        <v>45411.0</v>
      </c>
      <c r="R894" s="76"/>
      <c r="S894" s="75">
        <v>45420.0</v>
      </c>
      <c r="T894" s="49"/>
    </row>
    <row r="895">
      <c r="A895" s="82">
        <v>4409.0</v>
      </c>
      <c r="B895" s="69" t="s">
        <v>29</v>
      </c>
      <c r="C895" s="70" t="s">
        <v>1332</v>
      </c>
      <c r="D895" s="69" t="s">
        <v>1333</v>
      </c>
      <c r="E895" s="41" t="str">
        <f>IFERROR(__xludf.DUMMYFUNCTION("vlookup(D895,IMPORTRANGE(""https://docs.google.com/spreadsheets/d/1swGwZOEqYlTEUCJLY-eeJM1911Kvaei5oySBIxdgtNo/edit?pli=1#gid=257618397"",""stock untanna!B:C""),2,false)"),"PIANIKA LOVELY BIRU")</f>
        <v>PIANIKA LOVELY BIRU</v>
      </c>
      <c r="F895" s="70" t="s">
        <v>1333</v>
      </c>
      <c r="G895" s="71" t="s">
        <v>1334</v>
      </c>
      <c r="H895" s="41"/>
      <c r="I895" s="42"/>
      <c r="J895" s="43"/>
      <c r="K895" s="72">
        <v>12.0</v>
      </c>
      <c r="L895" s="53" t="s">
        <v>69</v>
      </c>
      <c r="M895" s="73">
        <v>100000.0</v>
      </c>
      <c r="N895" s="74"/>
      <c r="O895" s="73">
        <v>1200000.0</v>
      </c>
      <c r="P895" s="46" t="str">
        <f t="shared" si="2"/>
        <v>Rp100,000-12 PCS-0.00%</v>
      </c>
      <c r="Q895" s="75">
        <v>45411.0</v>
      </c>
      <c r="R895" s="76"/>
      <c r="S895" s="75">
        <v>45420.0</v>
      </c>
      <c r="T895" s="49"/>
    </row>
    <row r="896">
      <c r="A896" s="82">
        <v>4409.0</v>
      </c>
      <c r="B896" s="69" t="s">
        <v>29</v>
      </c>
      <c r="C896" s="70" t="s">
        <v>1332</v>
      </c>
      <c r="D896" s="69" t="s">
        <v>816</v>
      </c>
      <c r="E896" s="41" t="str">
        <f>IFERROR(__xludf.DUMMYFUNCTION("vlookup(D896,IMPORTRANGE(""https://docs.google.com/spreadsheets/d/1swGwZOEqYlTEUCJLY-eeJM1911Kvaei5oySBIxdgtNo/edit?pli=1#gid=257618397"",""stock untanna!B:C""),2,false)"),"SELANG PIANIKA SP 12 (1) 246")</f>
        <v>SELANG PIANIKA SP 12 (1) 246</v>
      </c>
      <c r="F896" s="70" t="s">
        <v>816</v>
      </c>
      <c r="G896" s="71" t="s">
        <v>817</v>
      </c>
      <c r="H896" s="41"/>
      <c r="I896" s="42"/>
      <c r="J896" s="43"/>
      <c r="K896" s="72">
        <v>12.0</v>
      </c>
      <c r="L896" s="53" t="s">
        <v>69</v>
      </c>
      <c r="M896" s="73">
        <v>17500.0</v>
      </c>
      <c r="N896" s="74"/>
      <c r="O896" s="73">
        <v>210000.0</v>
      </c>
      <c r="P896" s="46" t="str">
        <f t="shared" si="2"/>
        <v>Rp17,500-12 PCS-0.00%</v>
      </c>
      <c r="Q896" s="75">
        <v>45411.0</v>
      </c>
      <c r="R896" s="76"/>
      <c r="S896" s="75">
        <v>45420.0</v>
      </c>
      <c r="T896" s="49"/>
    </row>
    <row r="897">
      <c r="A897" s="82">
        <v>4409.0</v>
      </c>
      <c r="B897" s="69" t="s">
        <v>29</v>
      </c>
      <c r="C897" s="70" t="s">
        <v>1332</v>
      </c>
      <c r="D897" s="69"/>
      <c r="E897" s="41" t="s">
        <v>1335</v>
      </c>
      <c r="F897" s="70"/>
      <c r="G897" s="71" t="s">
        <v>1335</v>
      </c>
      <c r="H897" s="41"/>
      <c r="I897" s="42"/>
      <c r="J897" s="43"/>
      <c r="K897" s="72">
        <v>3.0</v>
      </c>
      <c r="L897" s="53" t="s">
        <v>62</v>
      </c>
      <c r="M897" s="73">
        <v>17500.0</v>
      </c>
      <c r="N897" s="74"/>
      <c r="O897" s="73">
        <v>52500.0</v>
      </c>
      <c r="P897" s="46" t="str">
        <f t="shared" si="2"/>
        <v>Rp17,500-3 LSN-0.00%</v>
      </c>
      <c r="Q897" s="75">
        <v>45411.0</v>
      </c>
      <c r="R897" s="76"/>
      <c r="S897" s="75">
        <v>45420.0</v>
      </c>
      <c r="T897" s="49"/>
    </row>
    <row r="898">
      <c r="A898" s="82">
        <v>4409.0</v>
      </c>
      <c r="B898" s="69" t="s">
        <v>29</v>
      </c>
      <c r="C898" s="70" t="s">
        <v>1332</v>
      </c>
      <c r="D898" s="69" t="s">
        <v>1336</v>
      </c>
      <c r="E898" s="41" t="str">
        <f>IFERROR(__xludf.DUMMYFUNCTION("vlookup(D898,IMPORTRANGE(""https://docs.google.com/spreadsheets/d/1swGwZOEqYlTEUCJLY-eeJM1911Kvaei5oySBIxdgtNo/edit?pli=1#gid=257618397"",""stock untanna!B:C""),2,false)"),"TAS BATIK B ALPINDO")</f>
        <v>TAS BATIK B ALPINDO</v>
      </c>
      <c r="F898" s="70" t="s">
        <v>1336</v>
      </c>
      <c r="G898" s="71" t="s">
        <v>1337</v>
      </c>
      <c r="H898" s="41"/>
      <c r="I898" s="42"/>
      <c r="J898" s="43"/>
      <c r="K898" s="72">
        <v>3.0</v>
      </c>
      <c r="L898" s="53" t="s">
        <v>62</v>
      </c>
      <c r="M898" s="73">
        <v>35000.0</v>
      </c>
      <c r="N898" s="74"/>
      <c r="O898" s="73">
        <v>105000.0</v>
      </c>
      <c r="P898" s="46" t="str">
        <f t="shared" si="2"/>
        <v>Rp35,000-3 LSN-0.00%</v>
      </c>
      <c r="Q898" s="75">
        <v>45411.0</v>
      </c>
      <c r="R898" s="76"/>
      <c r="S898" s="75">
        <v>45420.0</v>
      </c>
      <c r="T898" s="49"/>
    </row>
    <row r="899">
      <c r="A899" s="82">
        <v>4409.0</v>
      </c>
      <c r="B899" s="69" t="s">
        <v>29</v>
      </c>
      <c r="C899" s="70" t="s">
        <v>1332</v>
      </c>
      <c r="D899" s="69" t="s">
        <v>216</v>
      </c>
      <c r="E899" s="41" t="str">
        <f>IFERROR(__xludf.DUMMYFUNCTION("vlookup(D899,IMPORTRANGE(""https://docs.google.com/spreadsheets/d/1swGwZOEqYlTEUCJLY-eeJM1911Kvaei5oySBIxdgtNo/edit?pli=1#gid=257618397"",""stock untanna!B:C""),2,false)"),"TAS COKLAT TEBAL BESAR")</f>
        <v>TAS COKLAT TEBAL BESAR</v>
      </c>
      <c r="F899" s="70" t="s">
        <v>216</v>
      </c>
      <c r="G899" s="71" t="s">
        <v>217</v>
      </c>
      <c r="H899" s="41"/>
      <c r="I899" s="42"/>
      <c r="J899" s="43"/>
      <c r="K899" s="72">
        <v>3.0</v>
      </c>
      <c r="L899" s="53" t="s">
        <v>62</v>
      </c>
      <c r="M899" s="73">
        <v>30000.0</v>
      </c>
      <c r="N899" s="74"/>
      <c r="O899" s="73">
        <v>90000.0</v>
      </c>
      <c r="P899" s="46" t="str">
        <f t="shared" si="2"/>
        <v>Rp30,000-3 LSN-0.00%</v>
      </c>
      <c r="Q899" s="75">
        <v>45411.0</v>
      </c>
      <c r="R899" s="76"/>
      <c r="S899" s="75">
        <v>45420.0</v>
      </c>
      <c r="T899" s="49"/>
    </row>
    <row r="900">
      <c r="A900" s="82">
        <v>4363.0</v>
      </c>
      <c r="B900" s="69" t="s">
        <v>58</v>
      </c>
      <c r="C900" s="70" t="s">
        <v>1338</v>
      </c>
      <c r="D900" s="69"/>
      <c r="E900" s="41" t="s">
        <v>1339</v>
      </c>
      <c r="F900" s="70"/>
      <c r="G900" s="71" t="s">
        <v>1339</v>
      </c>
      <c r="H900" s="41"/>
      <c r="I900" s="42"/>
      <c r="J900" s="43"/>
      <c r="K900" s="72">
        <v>400.0</v>
      </c>
      <c r="L900" s="53" t="s">
        <v>114</v>
      </c>
      <c r="M900" s="73">
        <v>3400.0</v>
      </c>
      <c r="N900" s="74"/>
      <c r="O900" s="73">
        <v>1360000.0</v>
      </c>
      <c r="P900" s="46" t="str">
        <f t="shared" si="2"/>
        <v>Rp3,400-400 PAK-0.00%</v>
      </c>
      <c r="Q900" s="75">
        <v>45411.0</v>
      </c>
      <c r="R900" s="76"/>
      <c r="S900" s="75">
        <v>45420.0</v>
      </c>
      <c r="T900" s="49"/>
    </row>
    <row r="901">
      <c r="A901" s="82">
        <v>4363.0</v>
      </c>
      <c r="B901" s="69" t="s">
        <v>58</v>
      </c>
      <c r="C901" s="70" t="s">
        <v>1338</v>
      </c>
      <c r="D901" s="69"/>
      <c r="E901" s="41" t="s">
        <v>1340</v>
      </c>
      <c r="F901" s="70"/>
      <c r="G901" s="71" t="s">
        <v>1340</v>
      </c>
      <c r="H901" s="41"/>
      <c r="I901" s="42"/>
      <c r="J901" s="43"/>
      <c r="K901" s="72">
        <v>36.0</v>
      </c>
      <c r="L901" s="53" t="s">
        <v>69</v>
      </c>
      <c r="M901" s="73">
        <v>22500.0</v>
      </c>
      <c r="N901" s="83">
        <v>0.1</v>
      </c>
      <c r="O901" s="73">
        <v>729000.0</v>
      </c>
      <c r="P901" s="46" t="str">
        <f t="shared" si="2"/>
        <v>Rp22,500-36 PCS-10.00%</v>
      </c>
      <c r="Q901" s="75">
        <v>45411.0</v>
      </c>
      <c r="R901" s="76"/>
      <c r="S901" s="75">
        <v>45420.0</v>
      </c>
      <c r="T901" s="49"/>
    </row>
    <row r="902">
      <c r="A902" s="82">
        <v>4363.0</v>
      </c>
      <c r="B902" s="69" t="s">
        <v>58</v>
      </c>
      <c r="C902" s="70" t="s">
        <v>1338</v>
      </c>
      <c r="D902" s="69" t="s">
        <v>1341</v>
      </c>
      <c r="E902" s="41" t="str">
        <f>IFERROR(__xludf.DUMMYFUNCTION("vlookup(D902,IMPORTRANGE(""https://docs.google.com/spreadsheets/d/1swGwZOEqYlTEUCJLY-eeJM1911Kvaei5oySBIxdgtNo/edit?pli=1#gid=257618397"",""stock untanna!B:C""),2,false)"),"STABILLO TF-1145 LIVE COLOUR PASTEL")</f>
        <v>STABILLO TF-1145 LIVE COLOUR PASTEL</v>
      </c>
      <c r="F902" s="70" t="s">
        <v>1341</v>
      </c>
      <c r="G902" s="71" t="s">
        <v>1342</v>
      </c>
      <c r="H902" s="41"/>
      <c r="I902" s="42"/>
      <c r="J902" s="43"/>
      <c r="K902" s="72">
        <v>24.0</v>
      </c>
      <c r="L902" s="53" t="s">
        <v>62</v>
      </c>
      <c r="M902" s="73">
        <v>24500.0</v>
      </c>
      <c r="N902" s="74"/>
      <c r="O902" s="73">
        <v>588000.0</v>
      </c>
      <c r="P902" s="46" t="str">
        <f t="shared" si="2"/>
        <v>Rp24,500-24 LSN-0.00%</v>
      </c>
      <c r="Q902" s="75">
        <v>45411.0</v>
      </c>
      <c r="R902" s="76"/>
      <c r="S902" s="75">
        <v>45420.0</v>
      </c>
      <c r="T902" s="49"/>
    </row>
    <row r="903">
      <c r="A903" s="82">
        <v>4363.0</v>
      </c>
      <c r="B903" s="69" t="s">
        <v>58</v>
      </c>
      <c r="C903" s="70" t="s">
        <v>1338</v>
      </c>
      <c r="D903" s="50" t="s">
        <v>1343</v>
      </c>
      <c r="E903" s="41" t="str">
        <f>IFERROR(__xludf.DUMMYFUNCTION("IFNA(vlookup(D903,IMPORTRANGE(""https://docs.google.com/spreadsheets/d/1swGwZOEqYlTEUCJLY-eeJM1911Kvaei5oySBIxdgtNo/edit?pli=1#gid=257618397"",""stock untanna!B:C""),2,false),V:V)"),"PENSIL DM 5188")</f>
        <v>PENSIL DM 5188</v>
      </c>
      <c r="F903" s="70"/>
      <c r="G903" s="71" t="s">
        <v>1344</v>
      </c>
      <c r="H903" s="41"/>
      <c r="I903" s="42"/>
      <c r="J903" s="43" t="str">
        <f>IF(D903="","TIDAK ADA","ADA")</f>
        <v>ADA</v>
      </c>
      <c r="K903" s="72">
        <v>6.0</v>
      </c>
      <c r="L903" s="53" t="s">
        <v>131</v>
      </c>
      <c r="M903" s="73">
        <v>100000.0</v>
      </c>
      <c r="N903" s="74"/>
      <c r="O903" s="73">
        <v>600000.0</v>
      </c>
      <c r="P903" s="46" t="str">
        <f t="shared" si="2"/>
        <v>Rp100,000-6 GRS-0.00%</v>
      </c>
      <c r="Q903" s="75">
        <v>45411.0</v>
      </c>
      <c r="R903" s="76"/>
      <c r="S903" s="75">
        <v>45420.0</v>
      </c>
      <c r="T903" s="80" t="s">
        <v>280</v>
      </c>
    </row>
    <row r="904">
      <c r="A904" s="82">
        <v>4363.0</v>
      </c>
      <c r="B904" s="69" t="s">
        <v>58</v>
      </c>
      <c r="C904" s="70" t="s">
        <v>1338</v>
      </c>
      <c r="D904" s="69"/>
      <c r="E904" s="41" t="s">
        <v>1345</v>
      </c>
      <c r="F904" s="70"/>
      <c r="G904" s="71" t="s">
        <v>1345</v>
      </c>
      <c r="H904" s="41"/>
      <c r="I904" s="42"/>
      <c r="J904" s="43"/>
      <c r="K904" s="72">
        <v>1.0</v>
      </c>
      <c r="L904" s="53" t="s">
        <v>1346</v>
      </c>
      <c r="M904" s="73">
        <v>36000.0</v>
      </c>
      <c r="N904" s="74"/>
      <c r="O904" s="73">
        <v>36000.0</v>
      </c>
      <c r="P904" s="46" t="str">
        <f t="shared" si="2"/>
        <v>Rp36,000-1 PAK (20)-0.00%</v>
      </c>
      <c r="Q904" s="75">
        <v>45411.0</v>
      </c>
      <c r="R904" s="76"/>
      <c r="S904" s="75">
        <v>45420.0</v>
      </c>
      <c r="T904" s="49"/>
    </row>
    <row r="905">
      <c r="A905" s="82">
        <v>4363.0</v>
      </c>
      <c r="B905" s="69" t="s">
        <v>58</v>
      </c>
      <c r="C905" s="70" t="s">
        <v>1338</v>
      </c>
      <c r="D905" s="69" t="s">
        <v>1347</v>
      </c>
      <c r="E905" s="41" t="str">
        <f>IFERROR(__xludf.DUMMYFUNCTION("vlookup(D905,IMPORTRANGE(""https://docs.google.com/spreadsheets/d/1swGwZOEqYlTEUCJLY-eeJM1911Kvaei5oySBIxdgtNo/edit?pli=1#gid=257618397"",""stock untanna!B:C""),2,false)"),"LILIN GOLD NO.1")</f>
        <v>LILIN GOLD NO.1</v>
      </c>
      <c r="F905" s="70" t="s">
        <v>1347</v>
      </c>
      <c r="G905" s="71" t="s">
        <v>1348</v>
      </c>
      <c r="H905" s="41"/>
      <c r="I905" s="42"/>
      <c r="J905" s="43"/>
      <c r="K905" s="72">
        <v>1.0</v>
      </c>
      <c r="L905" s="53" t="s">
        <v>88</v>
      </c>
      <c r="M905" s="73">
        <v>36000.0</v>
      </c>
      <c r="N905" s="74"/>
      <c r="O905" s="73">
        <v>36000.0</v>
      </c>
      <c r="P905" s="46" t="str">
        <f t="shared" si="2"/>
        <v>Rp36,000-1 BOX-0.00%</v>
      </c>
      <c r="Q905" s="75">
        <v>45411.0</v>
      </c>
      <c r="R905" s="76"/>
      <c r="S905" s="75">
        <v>45420.0</v>
      </c>
      <c r="T905" s="49"/>
    </row>
    <row r="906">
      <c r="A906" s="82">
        <v>4363.0</v>
      </c>
      <c r="B906" s="69" t="s">
        <v>58</v>
      </c>
      <c r="C906" s="70" t="s">
        <v>1338</v>
      </c>
      <c r="D906" s="69" t="s">
        <v>1349</v>
      </c>
      <c r="E906" s="41" t="str">
        <f>IFERROR(__xludf.DUMMYFUNCTION("vlookup(D906,IMPORTRANGE(""https://docs.google.com/spreadsheets/d/1swGwZOEqYlTEUCJLY-eeJM1911Kvaei5oySBIxdgtNo/edit?pli=1#gid=257618397"",""stock untanna!B:C""),2,false)"),"LILIN GOLD NO.2")</f>
        <v>LILIN GOLD NO.2</v>
      </c>
      <c r="F906" s="70" t="s">
        <v>1349</v>
      </c>
      <c r="G906" s="71" t="s">
        <v>1350</v>
      </c>
      <c r="H906" s="41"/>
      <c r="I906" s="42"/>
      <c r="J906" s="43"/>
      <c r="K906" s="72">
        <v>1.0</v>
      </c>
      <c r="L906" s="53" t="s">
        <v>88</v>
      </c>
      <c r="M906" s="73">
        <v>36000.0</v>
      </c>
      <c r="N906" s="74"/>
      <c r="O906" s="73">
        <v>36000.0</v>
      </c>
      <c r="P906" s="46" t="str">
        <f t="shared" si="2"/>
        <v>Rp36,000-1 BOX-0.00%</v>
      </c>
      <c r="Q906" s="75">
        <v>45411.0</v>
      </c>
      <c r="R906" s="76"/>
      <c r="S906" s="75">
        <v>45420.0</v>
      </c>
      <c r="T906" s="49"/>
    </row>
    <row r="907">
      <c r="A907" s="82">
        <v>4363.0</v>
      </c>
      <c r="B907" s="69" t="s">
        <v>58</v>
      </c>
      <c r="C907" s="70" t="s">
        <v>1338</v>
      </c>
      <c r="D907" s="69" t="s">
        <v>1351</v>
      </c>
      <c r="E907" s="41" t="str">
        <f>IFERROR(__xludf.DUMMYFUNCTION("vlookup(D907,IMPORTRANGE(""https://docs.google.com/spreadsheets/d/1swGwZOEqYlTEUCJLY-eeJM1911Kvaei5oySBIxdgtNo/edit?pli=1#gid=257618397"",""stock untanna!B:C""),2,false)"),"LILIN GOLD NO.3")</f>
        <v>LILIN GOLD NO.3</v>
      </c>
      <c r="F907" s="70" t="s">
        <v>1351</v>
      </c>
      <c r="G907" s="71" t="s">
        <v>1352</v>
      </c>
      <c r="H907" s="41"/>
      <c r="I907" s="42"/>
      <c r="J907" s="43"/>
      <c r="K907" s="72">
        <v>1.0</v>
      </c>
      <c r="L907" s="53" t="s">
        <v>88</v>
      </c>
      <c r="M907" s="73">
        <v>36000.0</v>
      </c>
      <c r="N907" s="74"/>
      <c r="O907" s="73">
        <v>36000.0</v>
      </c>
      <c r="P907" s="46" t="str">
        <f t="shared" si="2"/>
        <v>Rp36,000-1 BOX-0.00%</v>
      </c>
      <c r="Q907" s="75">
        <v>45411.0</v>
      </c>
      <c r="R907" s="76"/>
      <c r="S907" s="75">
        <v>45420.0</v>
      </c>
      <c r="T907" s="49"/>
    </row>
    <row r="908">
      <c r="A908" s="82">
        <v>4363.0</v>
      </c>
      <c r="B908" s="69" t="s">
        <v>58</v>
      </c>
      <c r="C908" s="70" t="s">
        <v>1338</v>
      </c>
      <c r="D908" s="69"/>
      <c r="E908" s="41" t="s">
        <v>1353</v>
      </c>
      <c r="F908" s="70"/>
      <c r="G908" s="71" t="s">
        <v>1353</v>
      </c>
      <c r="H908" s="41"/>
      <c r="I908" s="42"/>
      <c r="J908" s="43"/>
      <c r="K908" s="72">
        <v>1.0</v>
      </c>
      <c r="L908" s="53" t="s">
        <v>1346</v>
      </c>
      <c r="M908" s="73">
        <v>36000.0</v>
      </c>
      <c r="N908" s="74"/>
      <c r="O908" s="73">
        <v>36000.0</v>
      </c>
      <c r="P908" s="46" t="str">
        <f t="shared" si="2"/>
        <v>Rp36,000-1 PAK (20)-0.00%</v>
      </c>
      <c r="Q908" s="75">
        <v>45411.0</v>
      </c>
      <c r="R908" s="76"/>
      <c r="S908" s="75">
        <v>45420.0</v>
      </c>
      <c r="T908" s="49"/>
    </row>
    <row r="909">
      <c r="A909" s="82">
        <v>4363.0</v>
      </c>
      <c r="B909" s="69" t="s">
        <v>58</v>
      </c>
      <c r="C909" s="70" t="s">
        <v>1338</v>
      </c>
      <c r="D909" s="69"/>
      <c r="E909" s="41" t="s">
        <v>1354</v>
      </c>
      <c r="F909" s="70"/>
      <c r="G909" s="71" t="s">
        <v>1354</v>
      </c>
      <c r="H909" s="41"/>
      <c r="I909" s="42"/>
      <c r="J909" s="43"/>
      <c r="K909" s="72">
        <v>1.0</v>
      </c>
      <c r="L909" s="53" t="s">
        <v>1346</v>
      </c>
      <c r="M909" s="73">
        <v>36000.0</v>
      </c>
      <c r="N909" s="74"/>
      <c r="O909" s="73">
        <v>36000.0</v>
      </c>
      <c r="P909" s="46" t="str">
        <f t="shared" si="2"/>
        <v>Rp36,000-1 PAK (20)-0.00%</v>
      </c>
      <c r="Q909" s="75">
        <v>45411.0</v>
      </c>
      <c r="R909" s="76"/>
      <c r="S909" s="75">
        <v>45420.0</v>
      </c>
      <c r="T909" s="49"/>
    </row>
    <row r="910">
      <c r="A910" s="82">
        <v>4363.0</v>
      </c>
      <c r="B910" s="69" t="s">
        <v>58</v>
      </c>
      <c r="C910" s="70" t="s">
        <v>1338</v>
      </c>
      <c r="D910" s="69"/>
      <c r="E910" s="41" t="s">
        <v>1355</v>
      </c>
      <c r="F910" s="70"/>
      <c r="G910" s="71" t="s">
        <v>1355</v>
      </c>
      <c r="H910" s="41"/>
      <c r="I910" s="42"/>
      <c r="J910" s="43"/>
      <c r="K910" s="72">
        <v>1.0</v>
      </c>
      <c r="L910" s="53" t="s">
        <v>1346</v>
      </c>
      <c r="M910" s="73">
        <v>36000.0</v>
      </c>
      <c r="N910" s="74"/>
      <c r="O910" s="73">
        <v>36000.0</v>
      </c>
      <c r="P910" s="46" t="str">
        <f t="shared" si="2"/>
        <v>Rp36,000-1 PAK (20)-0.00%</v>
      </c>
      <c r="Q910" s="75">
        <v>45411.0</v>
      </c>
      <c r="R910" s="76"/>
      <c r="S910" s="75">
        <v>45420.0</v>
      </c>
      <c r="T910" s="49"/>
    </row>
    <row r="911">
      <c r="A911" s="82">
        <v>4363.0</v>
      </c>
      <c r="B911" s="69" t="s">
        <v>58</v>
      </c>
      <c r="C911" s="70" t="s">
        <v>1338</v>
      </c>
      <c r="D911" s="69"/>
      <c r="E911" s="41" t="s">
        <v>1356</v>
      </c>
      <c r="F911" s="70"/>
      <c r="G911" s="71" t="s">
        <v>1356</v>
      </c>
      <c r="H911" s="41"/>
      <c r="I911" s="42"/>
      <c r="J911" s="43"/>
      <c r="K911" s="72">
        <v>1.0</v>
      </c>
      <c r="L911" s="53" t="s">
        <v>1346</v>
      </c>
      <c r="M911" s="73">
        <v>36000.0</v>
      </c>
      <c r="N911" s="74"/>
      <c r="O911" s="73">
        <v>36000.0</v>
      </c>
      <c r="P911" s="46" t="str">
        <f t="shared" si="2"/>
        <v>Rp36,000-1 PAK (20)-0.00%</v>
      </c>
      <c r="Q911" s="75">
        <v>45411.0</v>
      </c>
      <c r="R911" s="76"/>
      <c r="S911" s="75">
        <v>45420.0</v>
      </c>
      <c r="T911" s="49"/>
    </row>
    <row r="912">
      <c r="A912" s="82">
        <v>4363.0</v>
      </c>
      <c r="B912" s="69" t="s">
        <v>58</v>
      </c>
      <c r="C912" s="70" t="s">
        <v>1338</v>
      </c>
      <c r="D912" s="69"/>
      <c r="E912" s="41" t="s">
        <v>1357</v>
      </c>
      <c r="F912" s="70"/>
      <c r="G912" s="71" t="s">
        <v>1357</v>
      </c>
      <c r="H912" s="41"/>
      <c r="I912" s="42"/>
      <c r="J912" s="43"/>
      <c r="K912" s="72">
        <v>1.0</v>
      </c>
      <c r="L912" s="53" t="s">
        <v>1346</v>
      </c>
      <c r="M912" s="73">
        <v>36000.0</v>
      </c>
      <c r="N912" s="74"/>
      <c r="O912" s="73">
        <v>36000.0</v>
      </c>
      <c r="P912" s="46" t="str">
        <f t="shared" si="2"/>
        <v>Rp36,000-1 PAK (20)-0.00%</v>
      </c>
      <c r="Q912" s="75">
        <v>45411.0</v>
      </c>
      <c r="R912" s="76"/>
      <c r="S912" s="75">
        <v>45420.0</v>
      </c>
      <c r="T912" s="49"/>
    </row>
    <row r="913">
      <c r="A913" s="82">
        <v>4363.0</v>
      </c>
      <c r="B913" s="69" t="s">
        <v>58</v>
      </c>
      <c r="C913" s="70" t="s">
        <v>1338</v>
      </c>
      <c r="D913" s="69"/>
      <c r="E913" s="41" t="s">
        <v>1358</v>
      </c>
      <c r="F913" s="70"/>
      <c r="G913" s="71" t="s">
        <v>1358</v>
      </c>
      <c r="H913" s="41"/>
      <c r="I913" s="42"/>
      <c r="J913" s="43"/>
      <c r="K913" s="72">
        <v>1.0</v>
      </c>
      <c r="L913" s="53" t="s">
        <v>1346</v>
      </c>
      <c r="M913" s="73">
        <v>36000.0</v>
      </c>
      <c r="N913" s="74"/>
      <c r="O913" s="73">
        <v>36000.0</v>
      </c>
      <c r="P913" s="46" t="str">
        <f t="shared" si="2"/>
        <v>Rp36,000-1 PAK (20)-0.00%</v>
      </c>
      <c r="Q913" s="75">
        <v>45411.0</v>
      </c>
      <c r="R913" s="76"/>
      <c r="S913" s="75">
        <v>45420.0</v>
      </c>
      <c r="T913" s="49"/>
    </row>
    <row r="914">
      <c r="A914" s="82">
        <v>4363.0</v>
      </c>
      <c r="B914" s="69" t="s">
        <v>58</v>
      </c>
      <c r="C914" s="70" t="s">
        <v>1338</v>
      </c>
      <c r="D914" s="69"/>
      <c r="E914" s="41" t="s">
        <v>1359</v>
      </c>
      <c r="F914" s="70"/>
      <c r="G914" s="71" t="s">
        <v>1359</v>
      </c>
      <c r="H914" s="41"/>
      <c r="I914" s="42"/>
      <c r="J914" s="43"/>
      <c r="K914" s="72">
        <v>3.0</v>
      </c>
      <c r="L914" s="53" t="s">
        <v>62</v>
      </c>
      <c r="M914" s="73">
        <v>22500.0</v>
      </c>
      <c r="N914" s="74"/>
      <c r="O914" s="73">
        <v>67500.0</v>
      </c>
      <c r="P914" s="46" t="str">
        <f t="shared" si="2"/>
        <v>Rp22,500-3 LSN-0.00%</v>
      </c>
      <c r="Q914" s="75">
        <v>45411.0</v>
      </c>
      <c r="R914" s="76"/>
      <c r="S914" s="75">
        <v>45420.0</v>
      </c>
      <c r="T914" s="49"/>
    </row>
    <row r="915">
      <c r="A915" s="82">
        <v>4364.0</v>
      </c>
      <c r="B915" s="69" t="s">
        <v>58</v>
      </c>
      <c r="C915" s="70" t="s">
        <v>1338</v>
      </c>
      <c r="D915" s="69" t="s">
        <v>1360</v>
      </c>
      <c r="E915" s="41" t="str">
        <f>IFERROR(__xludf.DUMMYFUNCTION("vlookup(D915,IMPORTRANGE(""https://docs.google.com/spreadsheets/d/1swGwZOEqYlTEUCJLY-eeJM1911Kvaei5oySBIxdgtNo/edit?pli=1#gid=257618397"",""stock untanna!B:C""),2,false)"),"BP V-TRO 231")</f>
        <v>BP V-TRO 231</v>
      </c>
      <c r="F915" s="70" t="s">
        <v>1360</v>
      </c>
      <c r="G915" s="71" t="s">
        <v>1361</v>
      </c>
      <c r="H915" s="41"/>
      <c r="I915" s="42"/>
      <c r="J915" s="43"/>
      <c r="K915" s="72">
        <v>24.0</v>
      </c>
      <c r="L915" s="53" t="s">
        <v>62</v>
      </c>
      <c r="M915" s="73">
        <v>10500.0</v>
      </c>
      <c r="N915" s="74"/>
      <c r="O915" s="73">
        <v>252000.0</v>
      </c>
      <c r="P915" s="46" t="str">
        <f t="shared" si="2"/>
        <v>Rp10,500-24 LSN-0.00%</v>
      </c>
      <c r="Q915" s="75">
        <v>45411.0</v>
      </c>
      <c r="R915" s="76"/>
      <c r="S915" s="75">
        <v>45420.0</v>
      </c>
      <c r="T915" s="49"/>
    </row>
    <row r="916">
      <c r="A916" s="82">
        <v>4364.0</v>
      </c>
      <c r="B916" s="69" t="s">
        <v>58</v>
      </c>
      <c r="C916" s="70" t="s">
        <v>1338</v>
      </c>
      <c r="D916" s="69" t="s">
        <v>1362</v>
      </c>
      <c r="E916" s="41" t="str">
        <f>IFERROR(__xludf.DUMMYFUNCTION("vlookup(D916,IMPORTRANGE(""https://docs.google.com/spreadsheets/d/1swGwZOEqYlTEUCJLY-eeJM1911Kvaei5oySBIxdgtNo/edit?pli=1#gid=257618397"",""stock untanna!B:C""),2,false)"),"BP V-TRO 225")</f>
        <v>BP V-TRO 225</v>
      </c>
      <c r="F916" s="70" t="s">
        <v>1362</v>
      </c>
      <c r="G916" s="71" t="s">
        <v>1363</v>
      </c>
      <c r="H916" s="41"/>
      <c r="I916" s="42"/>
      <c r="J916" s="43"/>
      <c r="K916" s="72">
        <v>24.0</v>
      </c>
      <c r="L916" s="53" t="s">
        <v>62</v>
      </c>
      <c r="M916" s="73">
        <v>10500.0</v>
      </c>
      <c r="N916" s="74"/>
      <c r="O916" s="73">
        <v>252000.0</v>
      </c>
      <c r="P916" s="46" t="str">
        <f t="shared" si="2"/>
        <v>Rp10,500-24 LSN-0.00%</v>
      </c>
      <c r="Q916" s="75">
        <v>45411.0</v>
      </c>
      <c r="R916" s="76"/>
      <c r="S916" s="75">
        <v>45420.0</v>
      </c>
      <c r="T916" s="49"/>
    </row>
    <row r="917">
      <c r="A917" s="82">
        <v>4364.0</v>
      </c>
      <c r="B917" s="69" t="s">
        <v>58</v>
      </c>
      <c r="C917" s="70" t="s">
        <v>1338</v>
      </c>
      <c r="D917" s="69" t="s">
        <v>1364</v>
      </c>
      <c r="E917" s="41" t="str">
        <f>IFERROR(__xludf.DUMMYFUNCTION("vlookup(D917,IMPORTRANGE(""https://docs.google.com/spreadsheets/d/1swGwZOEqYlTEUCJLY-eeJM1911Kvaei5oySBIxdgtNo/edit?pli=1#gid=257618397"",""stock untanna!B:C""),2,false)"),"BP GEL ZHIXIN G 3164")</f>
        <v>BP GEL ZHIXIN G 3164</v>
      </c>
      <c r="F917" s="70" t="s">
        <v>1364</v>
      </c>
      <c r="G917" s="71" t="s">
        <v>1365</v>
      </c>
      <c r="H917" s="41"/>
      <c r="I917" s="42"/>
      <c r="J917" s="43"/>
      <c r="K917" s="72">
        <v>34.0</v>
      </c>
      <c r="L917" s="53" t="s">
        <v>62</v>
      </c>
      <c r="M917" s="73">
        <v>18500.0</v>
      </c>
      <c r="N917" s="74"/>
      <c r="O917" s="73">
        <v>629000.0</v>
      </c>
      <c r="P917" s="46" t="str">
        <f t="shared" si="2"/>
        <v>Rp18,500-34 LSN-0.00%</v>
      </c>
      <c r="Q917" s="75">
        <v>45411.0</v>
      </c>
      <c r="R917" s="76"/>
      <c r="S917" s="75">
        <v>45420.0</v>
      </c>
      <c r="T917" s="49"/>
    </row>
    <row r="918">
      <c r="A918" s="82">
        <v>4364.0</v>
      </c>
      <c r="B918" s="69" t="s">
        <v>58</v>
      </c>
      <c r="C918" s="70" t="s">
        <v>1338</v>
      </c>
      <c r="D918" s="69" t="s">
        <v>1366</v>
      </c>
      <c r="E918" s="41" t="str">
        <f>IFERROR(__xludf.DUMMYFUNCTION("vlookup(D918,IMPORTRANGE(""https://docs.google.com/spreadsheets/d/1swGwZOEqYlTEUCJLY-eeJM1911Kvaei5oySBIxdgtNo/edit?pli=1#gid=257618397"",""stock untanna!B:C""),2,false)"),"BP GEL ZHIXIN G 3122")</f>
        <v>BP GEL ZHIXIN G 3122</v>
      </c>
      <c r="F918" s="70" t="s">
        <v>1366</v>
      </c>
      <c r="G918" s="71" t="s">
        <v>1367</v>
      </c>
      <c r="H918" s="41"/>
      <c r="I918" s="42"/>
      <c r="J918" s="43"/>
      <c r="K918" s="72">
        <v>31.0</v>
      </c>
      <c r="L918" s="53" t="s">
        <v>62</v>
      </c>
      <c r="M918" s="73">
        <v>18500.0</v>
      </c>
      <c r="N918" s="74"/>
      <c r="O918" s="73">
        <v>573500.0</v>
      </c>
      <c r="P918" s="46" t="str">
        <f t="shared" si="2"/>
        <v>Rp18,500-31 LSN-0.00%</v>
      </c>
      <c r="Q918" s="75">
        <v>45411.0</v>
      </c>
      <c r="R918" s="76"/>
      <c r="S918" s="75">
        <v>45420.0</v>
      </c>
      <c r="T918" s="49"/>
    </row>
    <row r="919">
      <c r="A919" s="82">
        <v>4364.0</v>
      </c>
      <c r="B919" s="69" t="s">
        <v>58</v>
      </c>
      <c r="C919" s="70" t="s">
        <v>1338</v>
      </c>
      <c r="D919" s="69" t="s">
        <v>1368</v>
      </c>
      <c r="E919" s="41" t="str">
        <f>IFERROR(__xludf.DUMMYFUNCTION("vlookup(D919,IMPORTRANGE(""https://docs.google.com/spreadsheets/d/1swGwZOEqYlTEUCJLY-eeJM1911Kvaei5oySBIxdgtNo/edit?pli=1#gid=257618397"",""stock untanna!B:C""),2,false)"),"NOTEBOOK SPIRAL 28850-68")</f>
        <v>NOTEBOOK SPIRAL 28850-68</v>
      </c>
      <c r="F919" s="70" t="s">
        <v>1368</v>
      </c>
      <c r="G919" s="71" t="s">
        <v>1369</v>
      </c>
      <c r="H919" s="41"/>
      <c r="I919" s="42"/>
      <c r="J919" s="43"/>
      <c r="K919" s="72">
        <v>5.0</v>
      </c>
      <c r="L919" s="53" t="s">
        <v>62</v>
      </c>
      <c r="M919" s="73">
        <v>80000.0</v>
      </c>
      <c r="N919" s="74"/>
      <c r="O919" s="73">
        <v>400000.0</v>
      </c>
      <c r="P919" s="46" t="str">
        <f t="shared" si="2"/>
        <v>Rp80,000-5 LSN-0.00%</v>
      </c>
      <c r="Q919" s="75">
        <v>45411.0</v>
      </c>
      <c r="R919" s="76"/>
      <c r="S919" s="75">
        <v>45420.0</v>
      </c>
      <c r="T919" s="49"/>
    </row>
    <row r="920">
      <c r="A920" s="82">
        <v>4364.0</v>
      </c>
      <c r="B920" s="69" t="s">
        <v>58</v>
      </c>
      <c r="C920" s="70" t="s">
        <v>1338</v>
      </c>
      <c r="D920" s="69" t="s">
        <v>1370</v>
      </c>
      <c r="E920" s="41" t="str">
        <f>IFERROR(__xludf.DUMMYFUNCTION("vlookup(D920,IMPORTRANGE(""https://docs.google.com/spreadsheets/d/1swGwZOEqYlTEUCJLY-eeJM1911Kvaei5oySBIxdgtNo/edit?pli=1#gid=257618397"",""stock untanna!B:C""),2,false)"),"NOTEBOOK  A5-UN")</f>
        <v>NOTEBOOK  A5-UN</v>
      </c>
      <c r="F920" s="70" t="s">
        <v>1370</v>
      </c>
      <c r="G920" s="71" t="s">
        <v>1371</v>
      </c>
      <c r="H920" s="41"/>
      <c r="I920" s="42"/>
      <c r="J920" s="43"/>
      <c r="K920" s="72">
        <v>1.0</v>
      </c>
      <c r="L920" s="53" t="s">
        <v>62</v>
      </c>
      <c r="M920" s="73">
        <v>198000.0</v>
      </c>
      <c r="N920" s="74"/>
      <c r="O920" s="73">
        <v>198000.0</v>
      </c>
      <c r="P920" s="46" t="str">
        <f t="shared" si="2"/>
        <v>Rp198,000-1 LSN-0.00%</v>
      </c>
      <c r="Q920" s="75">
        <v>45411.0</v>
      </c>
      <c r="R920" s="76"/>
      <c r="S920" s="75">
        <v>45420.0</v>
      </c>
      <c r="T920" s="49"/>
    </row>
    <row r="921">
      <c r="A921" s="82">
        <v>4364.0</v>
      </c>
      <c r="B921" s="69" t="s">
        <v>58</v>
      </c>
      <c r="C921" s="70" t="s">
        <v>1338</v>
      </c>
      <c r="D921" s="69" t="s">
        <v>1372</v>
      </c>
      <c r="E921" s="41" t="str">
        <f>IFERROR(__xludf.DUMMYFUNCTION("vlookup(D921,IMPORTRANGE(""https://docs.google.com/spreadsheets/d/1swGwZOEqYlTEUCJLY-eeJM1911Kvaei5oySBIxdgtNo/edit?pli=1#gid=257618397"",""stock untanna!B:C""),2,false)"),"NOTEBOOK  707-19")</f>
        <v>NOTEBOOK  707-19</v>
      </c>
      <c r="F921" s="70" t="s">
        <v>1372</v>
      </c>
      <c r="G921" s="71" t="s">
        <v>1373</v>
      </c>
      <c r="H921" s="41"/>
      <c r="I921" s="42"/>
      <c r="J921" s="43"/>
      <c r="K921" s="72">
        <v>1.0</v>
      </c>
      <c r="L921" s="53" t="s">
        <v>62</v>
      </c>
      <c r="M921" s="73">
        <v>198000.0</v>
      </c>
      <c r="N921" s="74"/>
      <c r="O921" s="73">
        <v>198000.0</v>
      </c>
      <c r="P921" s="46" t="str">
        <f t="shared" si="2"/>
        <v>Rp198,000-1 LSN-0.00%</v>
      </c>
      <c r="Q921" s="75">
        <v>45411.0</v>
      </c>
      <c r="R921" s="76"/>
      <c r="S921" s="75">
        <v>45420.0</v>
      </c>
      <c r="T921" s="49"/>
    </row>
    <row r="922">
      <c r="A922" s="82">
        <v>4364.0</v>
      </c>
      <c r="B922" s="69" t="s">
        <v>58</v>
      </c>
      <c r="C922" s="70" t="s">
        <v>1338</v>
      </c>
      <c r="D922" s="69" t="s">
        <v>1374</v>
      </c>
      <c r="E922" s="41" t="str">
        <f>IFERROR(__xludf.DUMMYFUNCTION("vlookup(D922,IMPORTRANGE(""https://docs.google.com/spreadsheets/d/1swGwZOEqYlTEUCJLY-eeJM1911Kvaei5oySBIxdgtNo/edit?pli=1#gid=257618397"",""stock untanna!B:C""),2,false)"),"NOTEBOOK  A5-106")</f>
        <v>NOTEBOOK  A5-106</v>
      </c>
      <c r="F922" s="70" t="s">
        <v>1374</v>
      </c>
      <c r="G922" s="71" t="s">
        <v>1375</v>
      </c>
      <c r="H922" s="41"/>
      <c r="I922" s="42"/>
      <c r="J922" s="43"/>
      <c r="K922" s="72">
        <v>12.0</v>
      </c>
      <c r="L922" s="53" t="s">
        <v>69</v>
      </c>
      <c r="M922" s="73">
        <v>16500.0</v>
      </c>
      <c r="N922" s="74"/>
      <c r="O922" s="73">
        <v>198000.0</v>
      </c>
      <c r="P922" s="46" t="str">
        <f t="shared" si="2"/>
        <v>Rp16,500-12 PCS-0.00%</v>
      </c>
      <c r="Q922" s="75">
        <v>45411.0</v>
      </c>
      <c r="R922" s="76"/>
      <c r="S922" s="75">
        <v>45420.0</v>
      </c>
      <c r="T922" s="49"/>
    </row>
    <row r="923">
      <c r="A923" s="82">
        <v>4364.0</v>
      </c>
      <c r="B923" s="69" t="s">
        <v>58</v>
      </c>
      <c r="C923" s="70" t="s">
        <v>1338</v>
      </c>
      <c r="D923" s="69" t="s">
        <v>1376</v>
      </c>
      <c r="E923" s="41" t="str">
        <f>IFERROR(__xludf.DUMMYFUNCTION("vlookup(D923,IMPORTRANGE(""https://docs.google.com/spreadsheets/d/1swGwZOEqYlTEUCJLY-eeJM1911Kvaei5oySBIxdgtNo/edit?pli=1#gid=257618397"",""stock untanna!B:C""),2,false)"),"NOTEBOOK  707-44")</f>
        <v>NOTEBOOK  707-44</v>
      </c>
      <c r="F923" s="70" t="s">
        <v>1376</v>
      </c>
      <c r="G923" s="71" t="s">
        <v>1377</v>
      </c>
      <c r="H923" s="41"/>
      <c r="I923" s="42"/>
      <c r="J923" s="43"/>
      <c r="K923" s="72">
        <v>1.0</v>
      </c>
      <c r="L923" s="53" t="s">
        <v>62</v>
      </c>
      <c r="M923" s="73">
        <v>198000.0</v>
      </c>
      <c r="N923" s="74"/>
      <c r="O923" s="73">
        <v>198000.0</v>
      </c>
      <c r="P923" s="46" t="str">
        <f t="shared" si="2"/>
        <v>Rp198,000-1 LSN-0.00%</v>
      </c>
      <c r="Q923" s="75">
        <v>45411.0</v>
      </c>
      <c r="R923" s="76"/>
      <c r="S923" s="75">
        <v>45420.0</v>
      </c>
      <c r="T923" s="49"/>
    </row>
    <row r="924">
      <c r="A924" s="82">
        <v>4364.0</v>
      </c>
      <c r="B924" s="69" t="s">
        <v>58</v>
      </c>
      <c r="C924" s="70" t="s">
        <v>1338</v>
      </c>
      <c r="D924" s="69" t="s">
        <v>1378</v>
      </c>
      <c r="E924" s="41" t="str">
        <f>IFERROR(__xludf.DUMMYFUNCTION("vlookup(D924,IMPORTRANGE(""https://docs.google.com/spreadsheets/d/1swGwZOEqYlTEUCJLY-eeJM1911Kvaei5oySBIxdgtNo/edit?pli=1#gid=257618397"",""stock untanna!B:C""),2,false)"),"ASAHAN TOPLES KITTY R-5842")</f>
        <v>ASAHAN TOPLES KITTY R-5842</v>
      </c>
      <c r="F924" s="70" t="s">
        <v>1378</v>
      </c>
      <c r="G924" s="71" t="s">
        <v>1379</v>
      </c>
      <c r="H924" s="41"/>
      <c r="I924" s="42"/>
      <c r="J924" s="43"/>
      <c r="K924" s="72">
        <v>1.0</v>
      </c>
      <c r="L924" s="53" t="s">
        <v>1380</v>
      </c>
      <c r="M924" s="73">
        <v>67500.0</v>
      </c>
      <c r="N924" s="74"/>
      <c r="O924" s="73">
        <v>67500.0</v>
      </c>
      <c r="P924" s="46" t="str">
        <f t="shared" si="2"/>
        <v>Rp67,500-1 TOP-0.00%</v>
      </c>
      <c r="Q924" s="75">
        <v>45411.0</v>
      </c>
      <c r="R924" s="76"/>
      <c r="S924" s="75">
        <v>45420.0</v>
      </c>
      <c r="T924" s="49"/>
    </row>
    <row r="925">
      <c r="A925" s="82">
        <v>4364.0</v>
      </c>
      <c r="B925" s="69" t="s">
        <v>58</v>
      </c>
      <c r="C925" s="70" t="s">
        <v>1338</v>
      </c>
      <c r="D925" s="69" t="s">
        <v>1381</v>
      </c>
      <c r="E925" s="41" t="str">
        <f>IFERROR(__xludf.DUMMYFUNCTION("vlookup(D925,IMPORTRANGE(""https://docs.google.com/spreadsheets/d/1swGwZOEqYlTEUCJLY-eeJM1911Kvaei5oySBIxdgtNo/edit?pli=1#gid=257618397"",""stock untanna!B:C""),2,false)"),"PENCIL CASE XLG BD786")</f>
        <v>PENCIL CASE XLG BD786</v>
      </c>
      <c r="F925" s="70" t="s">
        <v>1381</v>
      </c>
      <c r="G925" s="71" t="s">
        <v>1382</v>
      </c>
      <c r="H925" s="41"/>
      <c r="I925" s="42"/>
      <c r="J925" s="43"/>
      <c r="K925" s="72">
        <v>30.0</v>
      </c>
      <c r="L925" s="53" t="s">
        <v>69</v>
      </c>
      <c r="M925" s="73">
        <v>25000.0</v>
      </c>
      <c r="N925" s="74"/>
      <c r="O925" s="73">
        <v>750000.0</v>
      </c>
      <c r="P925" s="46" t="str">
        <f t="shared" si="2"/>
        <v>Rp25,000-30 PCS-0.00%</v>
      </c>
      <c r="Q925" s="75">
        <v>45411.0</v>
      </c>
      <c r="R925" s="76"/>
      <c r="S925" s="75">
        <v>45420.0</v>
      </c>
      <c r="T925" s="49"/>
    </row>
    <row r="926">
      <c r="A926" s="82">
        <v>4364.0</v>
      </c>
      <c r="B926" s="69" t="s">
        <v>58</v>
      </c>
      <c r="C926" s="70" t="s">
        <v>1338</v>
      </c>
      <c r="D926" s="69"/>
      <c r="E926" s="41" t="s">
        <v>1383</v>
      </c>
      <c r="F926" s="70"/>
      <c r="G926" s="71" t="s">
        <v>1383</v>
      </c>
      <c r="H926" s="41"/>
      <c r="I926" s="42"/>
      <c r="J926" s="43"/>
      <c r="K926" s="72">
        <v>17.0</v>
      </c>
      <c r="L926" s="53" t="s">
        <v>1384</v>
      </c>
      <c r="M926" s="73">
        <v>7500.0</v>
      </c>
      <c r="N926" s="74"/>
      <c r="O926" s="73">
        <v>127500.0</v>
      </c>
      <c r="P926" s="46" t="str">
        <f t="shared" si="2"/>
        <v>Rp7,500-17 ROL-0.00%</v>
      </c>
      <c r="Q926" s="75">
        <v>45411.0</v>
      </c>
      <c r="R926" s="76"/>
      <c r="S926" s="75">
        <v>45420.0</v>
      </c>
      <c r="T926" s="49"/>
    </row>
    <row r="927">
      <c r="A927" s="82">
        <v>4364.0</v>
      </c>
      <c r="B927" s="69" t="s">
        <v>58</v>
      </c>
      <c r="C927" s="70" t="s">
        <v>1338</v>
      </c>
      <c r="D927" s="69"/>
      <c r="E927" s="41" t="s">
        <v>1385</v>
      </c>
      <c r="F927" s="70"/>
      <c r="G927" s="71" t="s">
        <v>1385</v>
      </c>
      <c r="H927" s="41"/>
      <c r="I927" s="42"/>
      <c r="J927" s="43"/>
      <c r="K927" s="72">
        <v>10.0</v>
      </c>
      <c r="L927" s="53" t="s">
        <v>62</v>
      </c>
      <c r="M927" s="73">
        <v>70000.0</v>
      </c>
      <c r="N927" s="83">
        <v>0.1</v>
      </c>
      <c r="O927" s="73">
        <v>630000.0</v>
      </c>
      <c r="P927" s="46" t="str">
        <f t="shared" si="2"/>
        <v>Rp70,000-10 LSN-10.00%</v>
      </c>
      <c r="Q927" s="75">
        <v>45411.0</v>
      </c>
      <c r="R927" s="76"/>
      <c r="S927" s="75">
        <v>45420.0</v>
      </c>
      <c r="T927" s="80" t="s">
        <v>1386</v>
      </c>
    </row>
    <row r="928">
      <c r="A928" s="82">
        <v>4456.0</v>
      </c>
      <c r="B928" s="69" t="s">
        <v>58</v>
      </c>
      <c r="C928" s="70" t="s">
        <v>59</v>
      </c>
      <c r="D928" s="69" t="s">
        <v>1387</v>
      </c>
      <c r="E928" s="41" t="str">
        <f>IFERROR(__xludf.DUMMYFUNCTION("vlookup(D928,IMPORTRANGE(""https://docs.google.com/spreadsheets/d/1swGwZOEqYlTEUCJLY-eeJM1911Kvaei5oySBIxdgtNo/edit?pli=1#gid=257618397"",""stock untanna!B:C""),2,false)"),"MESIN LEM KECIL 20W PACMAN 82")</f>
        <v>MESIN LEM KECIL 20W PACMAN 82</v>
      </c>
      <c r="F928" s="70" t="s">
        <v>1387</v>
      </c>
      <c r="G928" s="71" t="s">
        <v>1388</v>
      </c>
      <c r="H928" s="41"/>
      <c r="I928" s="42"/>
      <c r="J928" s="43"/>
      <c r="K928" s="72">
        <v>12.0</v>
      </c>
      <c r="L928" s="53" t="s">
        <v>69</v>
      </c>
      <c r="M928" s="73">
        <v>9000.0</v>
      </c>
      <c r="N928" s="74"/>
      <c r="O928" s="73">
        <v>108000.0</v>
      </c>
      <c r="P928" s="46" t="str">
        <f t="shared" si="2"/>
        <v>Rp9,000-12 PCS-0.00%</v>
      </c>
      <c r="Q928" s="75">
        <v>45411.0</v>
      </c>
      <c r="R928" s="76"/>
      <c r="S928" s="75">
        <v>45420.0</v>
      </c>
      <c r="T928" s="49"/>
    </row>
    <row r="929">
      <c r="A929" s="82">
        <v>4456.0</v>
      </c>
      <c r="B929" s="69" t="s">
        <v>58</v>
      </c>
      <c r="C929" s="70" t="s">
        <v>59</v>
      </c>
      <c r="D929" s="69" t="s">
        <v>121</v>
      </c>
      <c r="E929" s="41" t="str">
        <f>IFERROR(__xludf.DUMMYFUNCTION("vlookup(D929,IMPORTRANGE(""https://docs.google.com/spreadsheets/d/1swGwZOEqYlTEUCJLY-eeJM1911Kvaei5oySBIxdgtNo/edit?pli=1#gid=257618397"",""stock untanna!B:C""),2,false)"),"LEM BAKAR STIK 7X30 WOMY PUTIH K")</f>
        <v>LEM BAKAR STIK 7X30 WOMY PUTIH K</v>
      </c>
      <c r="F929" s="70" t="s">
        <v>121</v>
      </c>
      <c r="G929" s="71" t="s">
        <v>122</v>
      </c>
      <c r="H929" s="41"/>
      <c r="I929" s="42"/>
      <c r="J929" s="43"/>
      <c r="K929" s="72">
        <v>3.0</v>
      </c>
      <c r="L929" s="53" t="s">
        <v>114</v>
      </c>
      <c r="M929" s="73">
        <v>50000.0</v>
      </c>
      <c r="N929" s="74"/>
      <c r="O929" s="73">
        <v>150000.0</v>
      </c>
      <c r="P929" s="46" t="str">
        <f t="shared" si="2"/>
        <v>Rp50,000-3 PAK-0.00%</v>
      </c>
      <c r="Q929" s="75">
        <v>45411.0</v>
      </c>
      <c r="R929" s="76"/>
      <c r="S929" s="75">
        <v>45420.0</v>
      </c>
      <c r="T929" s="49"/>
    </row>
    <row r="930">
      <c r="A930" s="82">
        <v>4456.0</v>
      </c>
      <c r="B930" s="69" t="s">
        <v>58</v>
      </c>
      <c r="C930" s="70" t="s">
        <v>59</v>
      </c>
      <c r="D930" s="69" t="s">
        <v>748</v>
      </c>
      <c r="E930" s="41" t="str">
        <f>IFERROR(__xludf.DUMMYFUNCTION("vlookup(D930,IMPORTRANGE(""https://docs.google.com/spreadsheets/d/1swGwZOEqYlTEUCJLY-eeJM1911Kvaei5oySBIxdgtNo/edit?pli=1#gid=257618397"",""stock untanna!B:C""),2,false)"),"GARISAN BT 30 CM")</f>
        <v>GARISAN BT 30 CM</v>
      </c>
      <c r="F930" s="70" t="s">
        <v>748</v>
      </c>
      <c r="G930" s="71" t="s">
        <v>749</v>
      </c>
      <c r="H930" s="41"/>
      <c r="I930" s="42"/>
      <c r="J930" s="43"/>
      <c r="K930" s="72">
        <v>3.0</v>
      </c>
      <c r="L930" s="53" t="s">
        <v>62</v>
      </c>
      <c r="M930" s="73">
        <v>26780.0</v>
      </c>
      <c r="N930" s="74"/>
      <c r="O930" s="73">
        <v>80340.0</v>
      </c>
      <c r="P930" s="46" t="str">
        <f t="shared" si="2"/>
        <v>Rp26,780-3 LSN-0.00%</v>
      </c>
      <c r="Q930" s="75">
        <v>45411.0</v>
      </c>
      <c r="R930" s="76"/>
      <c r="S930" s="75">
        <v>45420.0</v>
      </c>
      <c r="T930" s="49"/>
    </row>
    <row r="931">
      <c r="A931" s="82">
        <v>4456.0</v>
      </c>
      <c r="B931" s="69" t="s">
        <v>58</v>
      </c>
      <c r="C931" s="70" t="s">
        <v>59</v>
      </c>
      <c r="D931" s="69"/>
      <c r="E931" s="41" t="s">
        <v>141</v>
      </c>
      <c r="F931" s="70"/>
      <c r="G931" s="71" t="s">
        <v>141</v>
      </c>
      <c r="H931" s="41"/>
      <c r="I931" s="42"/>
      <c r="J931" s="43"/>
      <c r="K931" s="72">
        <v>6.0</v>
      </c>
      <c r="L931" s="53" t="s">
        <v>69</v>
      </c>
      <c r="M931" s="73">
        <v>16000.0</v>
      </c>
      <c r="N931" s="74"/>
      <c r="O931" s="73">
        <v>96000.0</v>
      </c>
      <c r="P931" s="46" t="str">
        <f t="shared" si="2"/>
        <v>Rp16,000-6 PCS-0.00%</v>
      </c>
      <c r="Q931" s="75">
        <v>45411.0</v>
      </c>
      <c r="R931" s="76"/>
      <c r="S931" s="75">
        <v>45420.0</v>
      </c>
      <c r="T931" s="80" t="s">
        <v>280</v>
      </c>
    </row>
    <row r="932">
      <c r="A932" s="82">
        <v>4258.0</v>
      </c>
      <c r="B932" s="69" t="s">
        <v>65</v>
      </c>
      <c r="C932" s="70" t="s">
        <v>92</v>
      </c>
      <c r="D932" s="69" t="s">
        <v>1389</v>
      </c>
      <c r="E932" s="41" t="str">
        <f>IFERROR(__xludf.DUMMYFUNCTION("vlookup(D932,IMPORTRANGE(""https://docs.google.com/spreadsheets/d/1swGwZOEqYlTEUCJLY-eeJM1911Kvaei5oySBIxdgtNo/edit?pli=1#gid=257618397"",""stock untanna!B:C""),2,false)"),"PENSIL CASE 17-01A")</f>
        <v>PENSIL CASE 17-01A</v>
      </c>
      <c r="F932" s="70" t="s">
        <v>1389</v>
      </c>
      <c r="G932" s="71" t="s">
        <v>1390</v>
      </c>
      <c r="H932" s="41"/>
      <c r="I932" s="42"/>
      <c r="J932" s="43"/>
      <c r="K932" s="72">
        <v>72.0</v>
      </c>
      <c r="L932" s="53" t="s">
        <v>69</v>
      </c>
      <c r="M932" s="73">
        <v>10417.0</v>
      </c>
      <c r="N932" s="74"/>
      <c r="O932" s="73">
        <v>750024.0</v>
      </c>
      <c r="P932" s="46" t="str">
        <f t="shared" si="2"/>
        <v>Rp10,417-72 PCS-0.00%</v>
      </c>
      <c r="Q932" s="75">
        <v>45411.0</v>
      </c>
      <c r="R932" s="76"/>
      <c r="S932" s="75">
        <v>45420.0</v>
      </c>
      <c r="T932" s="49"/>
    </row>
    <row r="933">
      <c r="A933" s="82">
        <v>4258.0</v>
      </c>
      <c r="B933" s="69" t="s">
        <v>65</v>
      </c>
      <c r="C933" s="70" t="s">
        <v>92</v>
      </c>
      <c r="D933" s="69" t="s">
        <v>1391</v>
      </c>
      <c r="E933" s="41" t="str">
        <f>IFERROR(__xludf.DUMMYFUNCTION("vlookup(D933,IMPORTRANGE(""https://docs.google.com/spreadsheets/d/1swGwZOEqYlTEUCJLY-eeJM1911Kvaei5oySBIxdgtNo/edit?pli=1#gid=257618397"",""stock untanna!B:C""),2,false)"),"PENCIL CASE KALENG H-9888")</f>
        <v>PENCIL CASE KALENG H-9888</v>
      </c>
      <c r="F933" s="70" t="s">
        <v>1391</v>
      </c>
      <c r="G933" s="71" t="s">
        <v>1392</v>
      </c>
      <c r="H933" s="41"/>
      <c r="I933" s="42"/>
      <c r="J933" s="43"/>
      <c r="K933" s="72">
        <v>36.0</v>
      </c>
      <c r="L933" s="53" t="s">
        <v>69</v>
      </c>
      <c r="M933" s="73">
        <v>13000.0</v>
      </c>
      <c r="N933" s="74"/>
      <c r="O933" s="73">
        <v>468000.0</v>
      </c>
      <c r="P933" s="46" t="str">
        <f t="shared" si="2"/>
        <v>Rp13,000-36 PCS-0.00%</v>
      </c>
      <c r="Q933" s="75">
        <v>45411.0</v>
      </c>
      <c r="R933" s="76"/>
      <c r="S933" s="75">
        <v>45420.0</v>
      </c>
      <c r="T933" s="49"/>
    </row>
    <row r="934">
      <c r="A934" s="82">
        <v>4258.0</v>
      </c>
      <c r="B934" s="69" t="s">
        <v>65</v>
      </c>
      <c r="C934" s="70" t="s">
        <v>92</v>
      </c>
      <c r="D934" s="69"/>
      <c r="E934" s="41" t="s">
        <v>1393</v>
      </c>
      <c r="F934" s="70"/>
      <c r="G934" s="71" t="s">
        <v>1393</v>
      </c>
      <c r="H934" s="41"/>
      <c r="I934" s="42"/>
      <c r="J934" s="43"/>
      <c r="K934" s="72">
        <v>36.0</v>
      </c>
      <c r="L934" s="53" t="s">
        <v>69</v>
      </c>
      <c r="M934" s="73">
        <v>11250.0</v>
      </c>
      <c r="N934" s="74"/>
      <c r="O934" s="73">
        <v>405000.0</v>
      </c>
      <c r="P934" s="46" t="str">
        <f t="shared" si="2"/>
        <v>Rp11,250-36 PCS-0.00%</v>
      </c>
      <c r="Q934" s="75">
        <v>45411.0</v>
      </c>
      <c r="R934" s="76"/>
      <c r="S934" s="75">
        <v>45420.0</v>
      </c>
      <c r="T934" s="49"/>
    </row>
    <row r="935">
      <c r="A935" s="82">
        <v>4258.0</v>
      </c>
      <c r="B935" s="69" t="s">
        <v>65</v>
      </c>
      <c r="C935" s="70" t="s">
        <v>92</v>
      </c>
      <c r="D935" s="69" t="s">
        <v>1157</v>
      </c>
      <c r="E935" s="41" t="str">
        <f>IFERROR(__xludf.DUMMYFUNCTION("vlookup(D935,IMPORTRANGE(""https://docs.google.com/spreadsheets/d/1swGwZOEqYlTEUCJLY-eeJM1911Kvaei5oySBIxdgtNo/edit?pli=1#gid=257618397"",""stock untanna!B:C""),2,false)"),"PENCIL CASE KALENG B233 MOBIL")</f>
        <v>PENCIL CASE KALENG B233 MOBIL</v>
      </c>
      <c r="F935" s="70" t="s">
        <v>1157</v>
      </c>
      <c r="G935" s="71" t="s">
        <v>1158</v>
      </c>
      <c r="H935" s="41"/>
      <c r="I935" s="42"/>
      <c r="J935" s="43"/>
      <c r="K935" s="72">
        <v>36.0</v>
      </c>
      <c r="L935" s="53" t="s">
        <v>69</v>
      </c>
      <c r="M935" s="73">
        <v>18000.0</v>
      </c>
      <c r="N935" s="74"/>
      <c r="O935" s="73">
        <v>648000.0</v>
      </c>
      <c r="P935" s="46" t="str">
        <f t="shared" si="2"/>
        <v>Rp18,000-36 PCS-0.00%</v>
      </c>
      <c r="Q935" s="75">
        <v>45411.0</v>
      </c>
      <c r="R935" s="76"/>
      <c r="S935" s="75">
        <v>45420.0</v>
      </c>
      <c r="T935" s="49"/>
    </row>
    <row r="936">
      <c r="A936" s="82">
        <v>4258.0</v>
      </c>
      <c r="B936" s="69" t="s">
        <v>65</v>
      </c>
      <c r="C936" s="70" t="s">
        <v>92</v>
      </c>
      <c r="D936" s="69" t="s">
        <v>1394</v>
      </c>
      <c r="E936" s="41" t="str">
        <f>IFERROR(__xludf.DUMMYFUNCTION("vlookup(D936,IMPORTRANGE(""https://docs.google.com/spreadsheets/d/1swGwZOEqYlTEUCJLY-eeJM1911Kvaei5oySBIxdgtNo/edit?pli=1#gid=257618397"",""stock untanna!B:C""),2,false)"),"PENCIL CASE H-9905 KLG")</f>
        <v>PENCIL CASE H-9905 KLG</v>
      </c>
      <c r="F936" s="70" t="s">
        <v>1394</v>
      </c>
      <c r="G936" s="71" t="s">
        <v>1395</v>
      </c>
      <c r="H936" s="41"/>
      <c r="I936" s="42"/>
      <c r="J936" s="43"/>
      <c r="K936" s="72">
        <v>36.0</v>
      </c>
      <c r="L936" s="53" t="s">
        <v>69</v>
      </c>
      <c r="M936" s="73">
        <v>11000.0</v>
      </c>
      <c r="N936" s="74"/>
      <c r="O936" s="73">
        <v>396000.0</v>
      </c>
      <c r="P936" s="46" t="str">
        <f t="shared" si="2"/>
        <v>Rp11,000-36 PCS-0.00%</v>
      </c>
      <c r="Q936" s="75">
        <v>45411.0</v>
      </c>
      <c r="R936" s="76"/>
      <c r="S936" s="75">
        <v>45420.0</v>
      </c>
      <c r="T936" s="49"/>
    </row>
    <row r="937">
      <c r="A937" s="82">
        <v>4258.0</v>
      </c>
      <c r="B937" s="69" t="s">
        <v>65</v>
      </c>
      <c r="C937" s="70" t="s">
        <v>92</v>
      </c>
      <c r="D937" s="69" t="s">
        <v>1396</v>
      </c>
      <c r="E937" s="41" t="str">
        <f>IFERROR(__xludf.DUMMYFUNCTION("vlookup(D937,IMPORTRANGE(""https://docs.google.com/spreadsheets/d/1swGwZOEqYlTEUCJLY-eeJM1911Kvaei5oySBIxdgtNo/edit?pli=1#gid=257618397"",""stock untanna!B:C""),2,false)"),"PENCIL CASE LPY99-3")</f>
        <v>PENCIL CASE LPY99-3</v>
      </c>
      <c r="F937" s="70" t="s">
        <v>1396</v>
      </c>
      <c r="G937" s="71" t="s">
        <v>1397</v>
      </c>
      <c r="H937" s="41"/>
      <c r="I937" s="42"/>
      <c r="J937" s="43"/>
      <c r="K937" s="72">
        <v>36.0</v>
      </c>
      <c r="L937" s="53" t="s">
        <v>69</v>
      </c>
      <c r="M937" s="73">
        <v>14000.0</v>
      </c>
      <c r="N937" s="74"/>
      <c r="O937" s="73">
        <v>504000.0</v>
      </c>
      <c r="P937" s="46" t="str">
        <f t="shared" si="2"/>
        <v>Rp14,000-36 PCS-0.00%</v>
      </c>
      <c r="Q937" s="75">
        <v>45411.0</v>
      </c>
      <c r="R937" s="76"/>
      <c r="S937" s="75">
        <v>45420.0</v>
      </c>
      <c r="T937" s="49"/>
    </row>
    <row r="938">
      <c r="A938" s="82">
        <v>4258.0</v>
      </c>
      <c r="B938" s="69" t="s">
        <v>65</v>
      </c>
      <c r="C938" s="70" t="s">
        <v>92</v>
      </c>
      <c r="D938" s="69" t="s">
        <v>582</v>
      </c>
      <c r="E938" s="41" t="str">
        <f>IFERROR(__xludf.DUMMYFUNCTION("vlookup(D938,IMPORTRANGE(""https://docs.google.com/spreadsheets/d/1swGwZOEqYlTEUCJLY-eeJM1911Kvaei5oySBIxdgtNo/edit?pli=1#gid=257618397"",""stock untanna!B:C""),2,false)"),"PENCIL CASE DZ-0065 MAGNET")</f>
        <v>PENCIL CASE DZ-0065 MAGNET</v>
      </c>
      <c r="F938" s="70" t="s">
        <v>582</v>
      </c>
      <c r="G938" s="71" t="s">
        <v>583</v>
      </c>
      <c r="H938" s="41"/>
      <c r="I938" s="42"/>
      <c r="J938" s="43"/>
      <c r="K938" s="72">
        <v>36.0</v>
      </c>
      <c r="L938" s="53" t="s">
        <v>69</v>
      </c>
      <c r="M938" s="73">
        <v>12500.0</v>
      </c>
      <c r="N938" s="74"/>
      <c r="O938" s="73">
        <v>450000.0</v>
      </c>
      <c r="P938" s="46" t="str">
        <f t="shared" si="2"/>
        <v>Rp12,500-36 PCS-0.00%</v>
      </c>
      <c r="Q938" s="75">
        <v>45411.0</v>
      </c>
      <c r="R938" s="76"/>
      <c r="S938" s="75">
        <v>45420.0</v>
      </c>
      <c r="T938" s="49"/>
    </row>
    <row r="939">
      <c r="A939" s="82">
        <v>4258.0</v>
      </c>
      <c r="B939" s="69" t="s">
        <v>65</v>
      </c>
      <c r="C939" s="70" t="s">
        <v>92</v>
      </c>
      <c r="D939" s="69" t="s">
        <v>598</v>
      </c>
      <c r="E939" s="41" t="str">
        <f>IFERROR(__xludf.DUMMYFUNCTION("vlookup(D939,IMPORTRANGE(""https://docs.google.com/spreadsheets/d/1swGwZOEqYlTEUCJLY-eeJM1911Kvaei5oySBIxdgtNo/edit?pli=1#gid=257618397"",""stock untanna!B:C""),2,false)"),"PENSIL CASE AC-2893-3")</f>
        <v>PENSIL CASE AC-2893-3</v>
      </c>
      <c r="F939" s="70" t="s">
        <v>598</v>
      </c>
      <c r="G939" s="71" t="s">
        <v>599</v>
      </c>
      <c r="H939" s="41"/>
      <c r="I939" s="42"/>
      <c r="J939" s="43"/>
      <c r="K939" s="72">
        <v>36.0</v>
      </c>
      <c r="L939" s="53" t="s">
        <v>69</v>
      </c>
      <c r="M939" s="73">
        <v>12500.0</v>
      </c>
      <c r="N939" s="74"/>
      <c r="O939" s="73">
        <v>450000.0</v>
      </c>
      <c r="P939" s="46" t="str">
        <f t="shared" si="2"/>
        <v>Rp12,500-36 PCS-0.00%</v>
      </c>
      <c r="Q939" s="75">
        <v>45411.0</v>
      </c>
      <c r="R939" s="76"/>
      <c r="S939" s="75">
        <v>45420.0</v>
      </c>
      <c r="T939" s="49"/>
    </row>
    <row r="940">
      <c r="A940" s="82">
        <v>4258.0</v>
      </c>
      <c r="B940" s="69" t="s">
        <v>65</v>
      </c>
      <c r="C940" s="70" t="s">
        <v>92</v>
      </c>
      <c r="D940" s="69" t="s">
        <v>1398</v>
      </c>
      <c r="E940" s="41" t="str">
        <f>IFERROR(__xludf.DUMMYFUNCTION("vlookup(D940,IMPORTRANGE(""https://docs.google.com/spreadsheets/d/1swGwZOEqYlTEUCJLY-eeJM1911Kvaei5oySBIxdgtNo/edit?pli=1#gid=257618397"",""stock untanna!B:C""),2,false)"),"PENSIL CASE 6A-28")</f>
        <v>PENSIL CASE 6A-28</v>
      </c>
      <c r="F940" s="70" t="s">
        <v>1398</v>
      </c>
      <c r="G940" s="71" t="s">
        <v>1399</v>
      </c>
      <c r="H940" s="41"/>
      <c r="I940" s="42"/>
      <c r="J940" s="43"/>
      <c r="K940" s="72">
        <v>36.0</v>
      </c>
      <c r="L940" s="53" t="s">
        <v>69</v>
      </c>
      <c r="M940" s="73">
        <v>12500.0</v>
      </c>
      <c r="N940" s="74"/>
      <c r="O940" s="73">
        <v>450000.0</v>
      </c>
      <c r="P940" s="46" t="str">
        <f t="shared" si="2"/>
        <v>Rp12,500-36 PCS-0.00%</v>
      </c>
      <c r="Q940" s="75">
        <v>45411.0</v>
      </c>
      <c r="R940" s="76"/>
      <c r="S940" s="75">
        <v>45420.0</v>
      </c>
      <c r="T940" s="49"/>
    </row>
    <row r="941">
      <c r="A941" s="82">
        <v>4258.0</v>
      </c>
      <c r="B941" s="69" t="s">
        <v>65</v>
      </c>
      <c r="C941" s="70" t="s">
        <v>92</v>
      </c>
      <c r="D941" s="69" t="s">
        <v>1400</v>
      </c>
      <c r="E941" s="41" t="str">
        <f>IFERROR(__xludf.DUMMYFUNCTION("vlookup(D941,IMPORTRANGE(""https://docs.google.com/spreadsheets/d/1swGwZOEqYlTEUCJLY-eeJM1911Kvaei5oySBIxdgtNo/edit?pli=1#gid=257618397"",""stock untanna!B:C""),2,false)"),"PENSIL CASE A-207")</f>
        <v>PENSIL CASE A-207</v>
      </c>
      <c r="F941" s="70" t="s">
        <v>1400</v>
      </c>
      <c r="G941" s="71" t="s">
        <v>1401</v>
      </c>
      <c r="H941" s="41"/>
      <c r="I941" s="42"/>
      <c r="J941" s="43"/>
      <c r="K941" s="72">
        <v>36.0</v>
      </c>
      <c r="L941" s="53" t="s">
        <v>69</v>
      </c>
      <c r="M941" s="73">
        <v>12500.0</v>
      </c>
      <c r="N941" s="74"/>
      <c r="O941" s="73">
        <v>450000.0</v>
      </c>
      <c r="P941" s="46" t="str">
        <f t="shared" si="2"/>
        <v>Rp12,500-36 PCS-0.00%</v>
      </c>
      <c r="Q941" s="75">
        <v>45411.0</v>
      </c>
      <c r="R941" s="76"/>
      <c r="S941" s="75">
        <v>45420.0</v>
      </c>
      <c r="T941" s="49"/>
    </row>
    <row r="942">
      <c r="A942" s="82">
        <v>4258.0</v>
      </c>
      <c r="B942" s="69" t="s">
        <v>65</v>
      </c>
      <c r="C942" s="70" t="s">
        <v>92</v>
      </c>
      <c r="D942" s="69" t="s">
        <v>592</v>
      </c>
      <c r="E942" s="41" t="str">
        <f>IFERROR(__xludf.DUMMYFUNCTION("vlookup(D942,IMPORTRANGE(""https://docs.google.com/spreadsheets/d/1swGwZOEqYlTEUCJLY-eeJM1911Kvaei5oySBIxdgtNo/edit?pli=1#gid=257618397"",""stock untanna!B:C""),2,false)"),"PENSIL CASE A-1037 + CAL")</f>
        <v>PENSIL CASE A-1037 + CAL</v>
      </c>
      <c r="F942" s="70" t="s">
        <v>592</v>
      </c>
      <c r="G942" s="71" t="s">
        <v>593</v>
      </c>
      <c r="H942" s="41"/>
      <c r="I942" s="42"/>
      <c r="J942" s="43"/>
      <c r="K942" s="72">
        <v>72.0</v>
      </c>
      <c r="L942" s="53" t="s">
        <v>69</v>
      </c>
      <c r="M942" s="73">
        <v>14000.0</v>
      </c>
      <c r="N942" s="74"/>
      <c r="O942" s="73">
        <v>1008000.0</v>
      </c>
      <c r="P942" s="46" t="str">
        <f t="shared" si="2"/>
        <v>Rp14,000-72 PCS-0.00%</v>
      </c>
      <c r="Q942" s="75">
        <v>45411.0</v>
      </c>
      <c r="R942" s="76"/>
      <c r="S942" s="75">
        <v>45420.0</v>
      </c>
      <c r="T942" s="49"/>
    </row>
    <row r="943">
      <c r="A943" s="82">
        <v>4258.0</v>
      </c>
      <c r="B943" s="69" t="s">
        <v>65</v>
      </c>
      <c r="C943" s="70" t="s">
        <v>92</v>
      </c>
      <c r="D943" s="69" t="s">
        <v>1402</v>
      </c>
      <c r="E943" s="41" t="str">
        <f>IFERROR(__xludf.DUMMYFUNCTION("vlookup(D943,IMPORTRANGE(""https://docs.google.com/spreadsheets/d/1swGwZOEqYlTEUCJLY-eeJM1911Kvaei5oySBIxdgtNo/edit?pli=1#gid=257618397"",""stock untanna!B:C""),2,false)"),"PENCIL CASE DZ-8057 MAGNET")</f>
        <v>PENCIL CASE DZ-8057 MAGNET</v>
      </c>
      <c r="F943" s="70" t="s">
        <v>1402</v>
      </c>
      <c r="G943" s="71" t="s">
        <v>1403</v>
      </c>
      <c r="H943" s="41"/>
      <c r="I943" s="42"/>
      <c r="J943" s="43"/>
      <c r="K943" s="72">
        <v>4.0</v>
      </c>
      <c r="L943" s="53" t="s">
        <v>62</v>
      </c>
      <c r="M943" s="73">
        <v>200000.0</v>
      </c>
      <c r="N943" s="83">
        <v>0.1</v>
      </c>
      <c r="O943" s="73">
        <v>720000.0</v>
      </c>
      <c r="P943" s="46" t="str">
        <f t="shared" si="2"/>
        <v>Rp200,000-4 LSN-10.00%</v>
      </c>
      <c r="Q943" s="75">
        <v>45411.0</v>
      </c>
      <c r="R943" s="76"/>
      <c r="S943" s="75">
        <v>45420.0</v>
      </c>
      <c r="T943" s="49"/>
    </row>
    <row r="944">
      <c r="A944" s="82">
        <v>4258.0</v>
      </c>
      <c r="B944" s="69" t="s">
        <v>65</v>
      </c>
      <c r="C944" s="70" t="s">
        <v>92</v>
      </c>
      <c r="D944" s="69" t="s">
        <v>1404</v>
      </c>
      <c r="E944" s="41" t="str">
        <f>IFERROR(__xludf.DUMMYFUNCTION("vlookup(D944,IMPORTRANGE(""https://docs.google.com/spreadsheets/d/1swGwZOEqYlTEUCJLY-eeJM1911Kvaei5oySBIxdgtNo/edit?pli=1#gid=257618397"",""stock untanna!B:C""),2,false)"),"PENSIL CASE 8300SG TIMBUL")</f>
        <v>PENSIL CASE 8300SG TIMBUL</v>
      </c>
      <c r="F944" s="70" t="s">
        <v>1404</v>
      </c>
      <c r="G944" s="71" t="s">
        <v>1405</v>
      </c>
      <c r="H944" s="41"/>
      <c r="I944" s="42"/>
      <c r="J944" s="43"/>
      <c r="K944" s="72">
        <v>12.0</v>
      </c>
      <c r="L944" s="53" t="s">
        <v>69</v>
      </c>
      <c r="M944" s="73">
        <v>33333.0</v>
      </c>
      <c r="N944" s="83">
        <v>0.1</v>
      </c>
      <c r="O944" s="73">
        <v>359996.4</v>
      </c>
      <c r="P944" s="46" t="str">
        <f t="shared" si="2"/>
        <v>Rp33,333-12 PCS-10.00%</v>
      </c>
      <c r="Q944" s="75">
        <v>45411.0</v>
      </c>
      <c r="R944" s="76"/>
      <c r="S944" s="75">
        <v>45420.0</v>
      </c>
      <c r="T944" s="49"/>
    </row>
    <row r="945">
      <c r="A945" s="82">
        <v>4258.0</v>
      </c>
      <c r="B945" s="69" t="s">
        <v>65</v>
      </c>
      <c r="C945" s="70" t="s">
        <v>92</v>
      </c>
      <c r="D945" s="69" t="s">
        <v>1406</v>
      </c>
      <c r="E945" s="41" t="str">
        <f>IFERROR(__xludf.DUMMYFUNCTION("vlookup(D945,IMPORTRANGE(""https://docs.google.com/spreadsheets/d/1swGwZOEqYlTEUCJLY-eeJM1911Kvaei5oySBIxdgtNo/edit?pli=1#gid=257618397"",""stock untanna!B:C""),2,false)"),"PENSIL CASE 8300TK TIMBUL")</f>
        <v>PENSIL CASE 8300TK TIMBUL</v>
      </c>
      <c r="F945" s="70" t="s">
        <v>1406</v>
      </c>
      <c r="G945" s="71" t="s">
        <v>1407</v>
      </c>
      <c r="H945" s="41"/>
      <c r="I945" s="42"/>
      <c r="J945" s="43"/>
      <c r="K945" s="72">
        <v>12.0</v>
      </c>
      <c r="L945" s="53" t="s">
        <v>69</v>
      </c>
      <c r="M945" s="73">
        <v>33333.0</v>
      </c>
      <c r="N945" s="83">
        <v>0.1</v>
      </c>
      <c r="O945" s="73">
        <v>359996.4</v>
      </c>
      <c r="P945" s="46" t="str">
        <f t="shared" si="2"/>
        <v>Rp33,333-12 PCS-10.00%</v>
      </c>
      <c r="Q945" s="75">
        <v>45411.0</v>
      </c>
      <c r="R945" s="76"/>
      <c r="S945" s="75">
        <v>45420.0</v>
      </c>
      <c r="T945" s="49"/>
    </row>
    <row r="946">
      <c r="A946" s="82">
        <v>4258.0</v>
      </c>
      <c r="B946" s="69" t="s">
        <v>65</v>
      </c>
      <c r="C946" s="70" t="s">
        <v>92</v>
      </c>
      <c r="D946" s="50" t="s">
        <v>1408</v>
      </c>
      <c r="E946" s="41" t="str">
        <f>IFERROR(__xludf.DUMMYFUNCTION("IFNA(vlookup(D946,IMPORTRANGE(""https://docs.google.com/spreadsheets/d/1swGwZOEqYlTEUCJLY-eeJM1911Kvaei5oySBIxdgtNo/edit?pli=1#gid=257618397"",""stock untanna!B:C""),2,false),V:V)"),"PC MAGNIT AZ 3302")</f>
        <v>PC MAGNIT AZ 3302</v>
      </c>
      <c r="F946" s="70"/>
      <c r="G946" s="71" t="s">
        <v>1409</v>
      </c>
      <c r="H946" s="41"/>
      <c r="I946" s="42"/>
      <c r="J946" s="85" t="s">
        <v>1319</v>
      </c>
      <c r="K946" s="72">
        <v>12.0</v>
      </c>
      <c r="L946" s="53" t="s">
        <v>69</v>
      </c>
      <c r="M946" s="73">
        <v>27500.0</v>
      </c>
      <c r="N946" s="74"/>
      <c r="O946" s="73">
        <v>330000.0</v>
      </c>
      <c r="P946" s="46" t="str">
        <f t="shared" si="2"/>
        <v>Rp27,500-12 PCS-0.00%</v>
      </c>
      <c r="Q946" s="75">
        <v>45411.0</v>
      </c>
      <c r="R946" s="76"/>
      <c r="S946" s="75">
        <v>45420.0</v>
      </c>
      <c r="T946" s="80" t="s">
        <v>280</v>
      </c>
    </row>
    <row r="947">
      <c r="A947" s="82">
        <v>4258.0</v>
      </c>
      <c r="B947" s="69" t="s">
        <v>65</v>
      </c>
      <c r="C947" s="70" t="s">
        <v>92</v>
      </c>
      <c r="D947" s="50" t="s">
        <v>713</v>
      </c>
      <c r="E947" s="41" t="str">
        <f>IFERROR(__xludf.DUMMYFUNCTION("IFNA(vlookup(D947,IMPORTRANGE(""https://docs.google.com/spreadsheets/d/1swGwZOEqYlTEUCJLY-eeJM1911Kvaei5oySBIxdgtNo/edit?pli=1#gid=257618397"",""stock untanna!B:C""),2,false),V:V)"),"PC MAGNIT AZ 3301")</f>
        <v>PC MAGNIT AZ 3301</v>
      </c>
      <c r="F947" s="70"/>
      <c r="G947" s="71" t="s">
        <v>714</v>
      </c>
      <c r="H947" s="41"/>
      <c r="I947" s="42"/>
      <c r="J947" s="85" t="s">
        <v>1319</v>
      </c>
      <c r="K947" s="72">
        <v>12.0</v>
      </c>
      <c r="L947" s="53" t="s">
        <v>69</v>
      </c>
      <c r="M947" s="73">
        <v>27500.0</v>
      </c>
      <c r="N947" s="74"/>
      <c r="O947" s="73">
        <v>330000.0</v>
      </c>
      <c r="P947" s="46" t="str">
        <f t="shared" si="2"/>
        <v>Rp27,500-12 PCS-0.00%</v>
      </c>
      <c r="Q947" s="75">
        <v>45411.0</v>
      </c>
      <c r="R947" s="76"/>
      <c r="S947" s="75">
        <v>45420.0</v>
      </c>
      <c r="T947" s="80" t="s">
        <v>280</v>
      </c>
    </row>
    <row r="948">
      <c r="A948" s="82">
        <v>4259.0</v>
      </c>
      <c r="B948" s="69" t="s">
        <v>65</v>
      </c>
      <c r="C948" s="70" t="s">
        <v>92</v>
      </c>
      <c r="D948" s="50" t="s">
        <v>1410</v>
      </c>
      <c r="E948" s="41" t="str">
        <f>IFERROR(__xludf.DUMMYFUNCTION("IFNA(vlookup(D948,IMPORTRANGE(""https://docs.google.com/spreadsheets/d/1swGwZOEqYlTEUCJLY-eeJM1911Kvaei5oySBIxdgtNo/edit?pli=1#gid=257618397"",""stock untanna!B:C""),2,false),V:V)"),"PC MAGNIT B 3513-15 (BIASA)")</f>
        <v>PC MAGNIT B 3513-15 (BIASA)</v>
      </c>
      <c r="F948" s="70"/>
      <c r="G948" s="71" t="s">
        <v>1411</v>
      </c>
      <c r="H948" s="41"/>
      <c r="I948" s="42"/>
      <c r="J948" s="85" t="s">
        <v>1319</v>
      </c>
      <c r="K948" s="72">
        <v>12.0</v>
      </c>
      <c r="L948" s="53" t="s">
        <v>69</v>
      </c>
      <c r="M948" s="73">
        <v>32500.0</v>
      </c>
      <c r="N948" s="74"/>
      <c r="O948" s="73">
        <v>390000.0</v>
      </c>
      <c r="P948" s="46" t="str">
        <f t="shared" si="2"/>
        <v>Rp32,500-12 PCS-0.00%</v>
      </c>
      <c r="Q948" s="75">
        <v>45411.0</v>
      </c>
      <c r="R948" s="76"/>
      <c r="S948" s="75">
        <v>45420.0</v>
      </c>
      <c r="T948" s="80" t="s">
        <v>280</v>
      </c>
    </row>
    <row r="949">
      <c r="A949" s="82">
        <v>4259.0</v>
      </c>
      <c r="B949" s="69" t="s">
        <v>65</v>
      </c>
      <c r="C949" s="70" t="s">
        <v>92</v>
      </c>
      <c r="D949" s="69"/>
      <c r="E949" s="41" t="s">
        <v>1412</v>
      </c>
      <c r="F949" s="70"/>
      <c r="G949" s="71" t="s">
        <v>1412</v>
      </c>
      <c r="H949" s="41"/>
      <c r="I949" s="42"/>
      <c r="J949" s="43"/>
      <c r="K949" s="72">
        <v>4.0</v>
      </c>
      <c r="L949" s="53" t="s">
        <v>62</v>
      </c>
      <c r="M949" s="73">
        <v>75000.0</v>
      </c>
      <c r="N949" s="74"/>
      <c r="O949" s="73">
        <v>300000.0</v>
      </c>
      <c r="P949" s="46" t="str">
        <f t="shared" si="2"/>
        <v>Rp75,000-4 LSN-0.00%</v>
      </c>
      <c r="Q949" s="75">
        <v>45411.0</v>
      </c>
      <c r="R949" s="76"/>
      <c r="S949" s="75">
        <v>45420.0</v>
      </c>
      <c r="T949" s="49"/>
    </row>
    <row r="950">
      <c r="A950" s="82">
        <v>4259.0</v>
      </c>
      <c r="B950" s="69" t="s">
        <v>65</v>
      </c>
      <c r="C950" s="70" t="s">
        <v>92</v>
      </c>
      <c r="D950" s="69"/>
      <c r="E950" s="41" t="s">
        <v>1413</v>
      </c>
      <c r="F950" s="70"/>
      <c r="G950" s="71" t="s">
        <v>1413</v>
      </c>
      <c r="H950" s="41"/>
      <c r="I950" s="42"/>
      <c r="J950" s="43"/>
      <c r="K950" s="72">
        <v>6.0</v>
      </c>
      <c r="L950" s="53" t="s">
        <v>62</v>
      </c>
      <c r="M950" s="73">
        <v>60000.0</v>
      </c>
      <c r="N950" s="74"/>
      <c r="O950" s="73">
        <v>360000.0</v>
      </c>
      <c r="P950" s="46" t="str">
        <f t="shared" si="2"/>
        <v>Rp60,000-6 LSN-0.00%</v>
      </c>
      <c r="Q950" s="75">
        <v>45411.0</v>
      </c>
      <c r="R950" s="76"/>
      <c r="S950" s="75">
        <v>45420.0</v>
      </c>
      <c r="T950" s="49"/>
    </row>
    <row r="951">
      <c r="A951" s="82">
        <v>4259.0</v>
      </c>
      <c r="B951" s="69" t="s">
        <v>65</v>
      </c>
      <c r="C951" s="70" t="s">
        <v>92</v>
      </c>
      <c r="D951" s="69"/>
      <c r="E951" s="41" t="s">
        <v>1414</v>
      </c>
      <c r="F951" s="70"/>
      <c r="G951" s="71" t="s">
        <v>1414</v>
      </c>
      <c r="H951" s="41"/>
      <c r="I951" s="42"/>
      <c r="J951" s="43"/>
      <c r="K951" s="72">
        <v>3.0</v>
      </c>
      <c r="L951" s="53" t="s">
        <v>62</v>
      </c>
      <c r="M951" s="73">
        <v>105000.0</v>
      </c>
      <c r="N951" s="74"/>
      <c r="O951" s="73">
        <v>315000.0</v>
      </c>
      <c r="P951" s="46" t="str">
        <f t="shared" si="2"/>
        <v>Rp105,000-3 LSN-0.00%</v>
      </c>
      <c r="Q951" s="75">
        <v>45411.0</v>
      </c>
      <c r="R951" s="76"/>
      <c r="S951" s="75">
        <v>45420.0</v>
      </c>
      <c r="T951" s="49"/>
    </row>
    <row r="952">
      <c r="A952" s="82">
        <v>4259.0</v>
      </c>
      <c r="B952" s="69" t="s">
        <v>65</v>
      </c>
      <c r="C952" s="70" t="s">
        <v>92</v>
      </c>
      <c r="D952" s="69" t="s">
        <v>1415</v>
      </c>
      <c r="E952" s="41" t="str">
        <f>IFERROR(__xludf.DUMMYFUNCTION("vlookup(D952,IMPORTRANGE(""https://docs.google.com/spreadsheets/d/1swGwZOEqYlTEUCJLY-eeJM1911Kvaei5oySBIxdgtNo/edit?pli=1#gid=257618397"",""stock untanna!B:C""),2,false)"),"PENCIL CASE B-118")</f>
        <v>PENCIL CASE B-118</v>
      </c>
      <c r="F952" s="70" t="s">
        <v>1415</v>
      </c>
      <c r="G952" s="71" t="s">
        <v>1416</v>
      </c>
      <c r="H952" s="41"/>
      <c r="I952" s="42"/>
      <c r="J952" s="43"/>
      <c r="K952" s="72">
        <v>3.0</v>
      </c>
      <c r="L952" s="53" t="s">
        <v>62</v>
      </c>
      <c r="M952" s="73">
        <v>105000.0</v>
      </c>
      <c r="N952" s="74"/>
      <c r="O952" s="73">
        <v>315000.0</v>
      </c>
      <c r="P952" s="46" t="str">
        <f t="shared" si="2"/>
        <v>Rp105,000-3 LSN-0.00%</v>
      </c>
      <c r="Q952" s="75">
        <v>45411.0</v>
      </c>
      <c r="R952" s="76"/>
      <c r="S952" s="75">
        <v>45420.0</v>
      </c>
      <c r="T952" s="49"/>
    </row>
    <row r="953">
      <c r="A953" s="82">
        <v>4259.0</v>
      </c>
      <c r="B953" s="69" t="s">
        <v>65</v>
      </c>
      <c r="C953" s="70" t="s">
        <v>92</v>
      </c>
      <c r="D953" s="69" t="s">
        <v>1417</v>
      </c>
      <c r="E953" s="41" t="str">
        <f>IFERROR(__xludf.DUMMYFUNCTION("vlookup(D953,IMPORTRANGE(""https://docs.google.com/spreadsheets/d/1swGwZOEqYlTEUCJLY-eeJM1911Kvaei5oySBIxdgtNo/edit?pli=1#gid=257618397"",""stock untanna!B:C""),2,false)"),"PENCIL CASE B-126")</f>
        <v>PENCIL CASE B-126</v>
      </c>
      <c r="F953" s="70" t="s">
        <v>1417</v>
      </c>
      <c r="G953" s="71" t="s">
        <v>1418</v>
      </c>
      <c r="H953" s="41"/>
      <c r="I953" s="42"/>
      <c r="J953" s="43"/>
      <c r="K953" s="72">
        <v>36.0</v>
      </c>
      <c r="L953" s="53" t="s">
        <v>69</v>
      </c>
      <c r="M953" s="73">
        <v>9000.0</v>
      </c>
      <c r="N953" s="74"/>
      <c r="O953" s="73">
        <v>324000.0</v>
      </c>
      <c r="P953" s="46" t="str">
        <f t="shared" si="2"/>
        <v>Rp9,000-36 PCS-0.00%</v>
      </c>
      <c r="Q953" s="75">
        <v>45411.0</v>
      </c>
      <c r="R953" s="76"/>
      <c r="S953" s="75">
        <v>45420.0</v>
      </c>
      <c r="T953" s="80" t="s">
        <v>1419</v>
      </c>
    </row>
    <row r="954">
      <c r="A954" s="82">
        <v>4259.0</v>
      </c>
      <c r="B954" s="69" t="s">
        <v>65</v>
      </c>
      <c r="C954" s="70" t="s">
        <v>92</v>
      </c>
      <c r="D954" s="69"/>
      <c r="E954" s="41" t="s">
        <v>1420</v>
      </c>
      <c r="F954" s="70"/>
      <c r="G954" s="71" t="s">
        <v>1420</v>
      </c>
      <c r="H954" s="41"/>
      <c r="I954" s="42"/>
      <c r="J954" s="43"/>
      <c r="K954" s="72">
        <v>4.0</v>
      </c>
      <c r="L954" s="53" t="s">
        <v>62</v>
      </c>
      <c r="M954" s="73">
        <v>60000.0</v>
      </c>
      <c r="N954" s="74"/>
      <c r="O954" s="73">
        <v>240000.0</v>
      </c>
      <c r="P954" s="46" t="str">
        <f t="shared" si="2"/>
        <v>Rp60,000-4 LSN-0.00%</v>
      </c>
      <c r="Q954" s="75">
        <v>45411.0</v>
      </c>
      <c r="R954" s="76"/>
      <c r="S954" s="75">
        <v>45420.0</v>
      </c>
      <c r="T954" s="49"/>
    </row>
    <row r="955">
      <c r="A955" s="82">
        <v>4259.0</v>
      </c>
      <c r="B955" s="69" t="s">
        <v>65</v>
      </c>
      <c r="C955" s="70" t="s">
        <v>92</v>
      </c>
      <c r="D955" s="69" t="s">
        <v>1421</v>
      </c>
      <c r="E955" s="41" t="str">
        <f>IFERROR(__xludf.DUMMYFUNCTION("vlookup(D955,IMPORTRANGE(""https://docs.google.com/spreadsheets/d/1swGwZOEqYlTEUCJLY-eeJM1911Kvaei5oySBIxdgtNo/edit?pli=1#gid=257618397"",""stock untanna!B:C""),2,false)"),"STATIONERY SET 8898")</f>
        <v>STATIONERY SET 8898</v>
      </c>
      <c r="F955" s="70" t="s">
        <v>1421</v>
      </c>
      <c r="G955" s="71" t="s">
        <v>1422</v>
      </c>
      <c r="H955" s="41"/>
      <c r="I955" s="42"/>
      <c r="J955" s="43"/>
      <c r="K955" s="72">
        <v>48.0</v>
      </c>
      <c r="L955" s="53" t="s">
        <v>69</v>
      </c>
      <c r="M955" s="73">
        <v>4792.0</v>
      </c>
      <c r="N955" s="74"/>
      <c r="O955" s="73">
        <v>230016.0</v>
      </c>
      <c r="P955" s="46" t="str">
        <f t="shared" si="2"/>
        <v>Rp4,792-48 PCS-0.00%</v>
      </c>
      <c r="Q955" s="75">
        <v>45411.0</v>
      </c>
      <c r="R955" s="76"/>
      <c r="S955" s="75">
        <v>45420.0</v>
      </c>
      <c r="T955" s="49"/>
    </row>
    <row r="956">
      <c r="A956" s="82">
        <v>4259.0</v>
      </c>
      <c r="B956" s="69" t="s">
        <v>65</v>
      </c>
      <c r="C956" s="70" t="s">
        <v>92</v>
      </c>
      <c r="D956" s="69" t="s">
        <v>1312</v>
      </c>
      <c r="E956" s="41" t="str">
        <f>IFERROR(__xludf.DUMMYFUNCTION("vlookup(D956,IMPORTRANGE(""https://docs.google.com/spreadsheets/d/1swGwZOEqYlTEUCJLY-eeJM1911Kvaei5oySBIxdgtNo/edit?pli=1#gid=257618397"",""stock untanna!B:C""),2,false)"),"JANGKA MS-4001 KOALA")</f>
        <v>JANGKA MS-4001 KOALA</v>
      </c>
      <c r="F956" s="70" t="s">
        <v>1312</v>
      </c>
      <c r="G956" s="71" t="s">
        <v>1313</v>
      </c>
      <c r="H956" s="41"/>
      <c r="I956" s="42"/>
      <c r="J956" s="43"/>
      <c r="K956" s="72">
        <v>20.0</v>
      </c>
      <c r="L956" s="53" t="s">
        <v>62</v>
      </c>
      <c r="M956" s="73">
        <v>80000.0</v>
      </c>
      <c r="N956" s="74"/>
      <c r="O956" s="73">
        <v>1600000.0</v>
      </c>
      <c r="P956" s="46" t="str">
        <f t="shared" si="2"/>
        <v>Rp80,000-20 LSN-0.00%</v>
      </c>
      <c r="Q956" s="75">
        <v>45411.0</v>
      </c>
      <c r="R956" s="76"/>
      <c r="S956" s="75">
        <v>45420.0</v>
      </c>
      <c r="T956" s="49"/>
    </row>
    <row r="957">
      <c r="A957" s="82">
        <v>4259.0</v>
      </c>
      <c r="B957" s="69" t="s">
        <v>65</v>
      </c>
      <c r="C957" s="70" t="s">
        <v>92</v>
      </c>
      <c r="D957" s="69" t="s">
        <v>1310</v>
      </c>
      <c r="E957" s="41" t="str">
        <f>IFERROR(__xludf.DUMMYFUNCTION("vlookup(D957,IMPORTRANGE(""https://docs.google.com/spreadsheets/d/1swGwZOEqYlTEUCJLY-eeJM1911Kvaei5oySBIxdgtNo/edit?pli=1#gid=257618397"",""stock untanna!B:C""),2,false)"),"JANGKA MT 2506")</f>
        <v>JANGKA MT 2506</v>
      </c>
      <c r="F957" s="70" t="s">
        <v>1310</v>
      </c>
      <c r="G957" s="71" t="s">
        <v>1311</v>
      </c>
      <c r="H957" s="41"/>
      <c r="I957" s="42"/>
      <c r="J957" s="43"/>
      <c r="K957" s="72">
        <v>10.0</v>
      </c>
      <c r="L957" s="53" t="s">
        <v>62</v>
      </c>
      <c r="M957" s="73">
        <v>42000.0</v>
      </c>
      <c r="N957" s="74"/>
      <c r="O957" s="73">
        <v>420000.0</v>
      </c>
      <c r="P957" s="46" t="str">
        <f t="shared" si="2"/>
        <v>Rp42,000-10 LSN-0.00%</v>
      </c>
      <c r="Q957" s="75">
        <v>45411.0</v>
      </c>
      <c r="R957" s="76"/>
      <c r="S957" s="75">
        <v>45420.0</v>
      </c>
      <c r="T957" s="49"/>
    </row>
    <row r="958">
      <c r="A958" s="82">
        <v>4259.0</v>
      </c>
      <c r="B958" s="69" t="s">
        <v>65</v>
      </c>
      <c r="C958" s="70" t="s">
        <v>92</v>
      </c>
      <c r="D958" s="69" t="s">
        <v>127</v>
      </c>
      <c r="E958" s="41" t="str">
        <f>IFERROR(__xludf.DUMMYFUNCTION("vlookup(D958,IMPORTRANGE(""https://docs.google.com/spreadsheets/d/1swGwZOEqYlTEUCJLY-eeJM1911Kvaei5oySBIxdgtNo/edit?pli=1#gid=257618397"",""stock untanna!B:C""),2,false)"),"JANGKA A5 3328 FANCY")</f>
        <v>JANGKA A5 3328 FANCY</v>
      </c>
      <c r="F958" s="70" t="s">
        <v>127</v>
      </c>
      <c r="G958" s="71" t="s">
        <v>128</v>
      </c>
      <c r="H958" s="41"/>
      <c r="I958" s="42"/>
      <c r="J958" s="43"/>
      <c r="K958" s="72">
        <v>10.0</v>
      </c>
      <c r="L958" s="53" t="s">
        <v>62</v>
      </c>
      <c r="M958" s="73">
        <v>60000.0</v>
      </c>
      <c r="N958" s="74"/>
      <c r="O958" s="73">
        <v>600000.0</v>
      </c>
      <c r="P958" s="46" t="str">
        <f t="shared" si="2"/>
        <v>Rp60,000-10 LSN-0.00%</v>
      </c>
      <c r="Q958" s="75">
        <v>45411.0</v>
      </c>
      <c r="R958" s="76"/>
      <c r="S958" s="75">
        <v>45420.0</v>
      </c>
      <c r="T958" s="49"/>
    </row>
    <row r="959">
      <c r="A959" s="82">
        <v>4259.0</v>
      </c>
      <c r="B959" s="69" t="s">
        <v>65</v>
      </c>
      <c r="C959" s="70" t="s">
        <v>92</v>
      </c>
      <c r="D959" s="69"/>
      <c r="E959" s="41" t="s">
        <v>1423</v>
      </c>
      <c r="F959" s="70"/>
      <c r="G959" s="71" t="s">
        <v>1423</v>
      </c>
      <c r="H959" s="41"/>
      <c r="I959" s="42"/>
      <c r="J959" s="43"/>
      <c r="K959" s="72">
        <v>10.0</v>
      </c>
      <c r="L959" s="53" t="s">
        <v>62</v>
      </c>
      <c r="M959" s="73">
        <v>18000.0</v>
      </c>
      <c r="N959" s="74"/>
      <c r="O959" s="73">
        <v>180000.0</v>
      </c>
      <c r="P959" s="46" t="str">
        <f t="shared" si="2"/>
        <v>Rp18,000-10 LSN-0.00%</v>
      </c>
      <c r="Q959" s="75">
        <v>45411.0</v>
      </c>
      <c r="R959" s="76"/>
      <c r="S959" s="75">
        <v>45420.0</v>
      </c>
      <c r="T959" s="49"/>
    </row>
    <row r="960">
      <c r="A960" s="82">
        <v>4259.0</v>
      </c>
      <c r="B960" s="69" t="s">
        <v>65</v>
      </c>
      <c r="C960" s="70" t="s">
        <v>92</v>
      </c>
      <c r="D960" s="69"/>
      <c r="E960" s="41" t="s">
        <v>1424</v>
      </c>
      <c r="F960" s="70"/>
      <c r="G960" s="71" t="s">
        <v>1424</v>
      </c>
      <c r="H960" s="41"/>
      <c r="I960" s="42"/>
      <c r="J960" s="43"/>
      <c r="K960" s="72">
        <v>200.0</v>
      </c>
      <c r="L960" s="53" t="s">
        <v>114</v>
      </c>
      <c r="M960" s="73">
        <v>6500.0</v>
      </c>
      <c r="N960" s="74"/>
      <c r="O960" s="73">
        <v>1300000.0</v>
      </c>
      <c r="P960" s="46" t="str">
        <f t="shared" si="2"/>
        <v>Rp6,500-200 PAK-0.00%</v>
      </c>
      <c r="Q960" s="75">
        <v>45411.0</v>
      </c>
      <c r="R960" s="76"/>
      <c r="S960" s="75">
        <v>45420.0</v>
      </c>
      <c r="T960" s="49"/>
    </row>
    <row r="961">
      <c r="A961" s="82">
        <v>4259.0</v>
      </c>
      <c r="B961" s="69" t="s">
        <v>65</v>
      </c>
      <c r="C961" s="70" t="s">
        <v>92</v>
      </c>
      <c r="D961" s="69"/>
      <c r="E961" s="41" t="s">
        <v>1425</v>
      </c>
      <c r="F961" s="70"/>
      <c r="G961" s="71" t="s">
        <v>1425</v>
      </c>
      <c r="H961" s="41"/>
      <c r="I961" s="42"/>
      <c r="J961" s="43"/>
      <c r="K961" s="72">
        <v>600.0</v>
      </c>
      <c r="L961" s="53" t="s">
        <v>114</v>
      </c>
      <c r="M961" s="73">
        <v>1600.0</v>
      </c>
      <c r="N961" s="74"/>
      <c r="O961" s="73">
        <v>960000.0</v>
      </c>
      <c r="P961" s="46" t="str">
        <f t="shared" si="2"/>
        <v>Rp1,600-600 PAK-0.00%</v>
      </c>
      <c r="Q961" s="75">
        <v>45411.0</v>
      </c>
      <c r="R961" s="76"/>
      <c r="S961" s="75">
        <v>45420.0</v>
      </c>
      <c r="T961" s="49"/>
    </row>
    <row r="962">
      <c r="A962" s="82">
        <v>4408.0</v>
      </c>
      <c r="B962" s="69" t="s">
        <v>29</v>
      </c>
      <c r="C962" s="70" t="s">
        <v>1426</v>
      </c>
      <c r="D962" s="69" t="s">
        <v>163</v>
      </c>
      <c r="E962" s="41" t="str">
        <f>IFERROR(__xludf.DUMMYFUNCTION("vlookup(D962,IMPORTRANGE(""https://docs.google.com/spreadsheets/d/1swGwZOEqYlTEUCJLY-eeJM1911Kvaei5oySBIxdgtNo/edit?pli=1#gid=257618397"",""stock untanna!B:C""),2,false)"),"KARTU ABSENSI KOJIKO DUS MERAH")</f>
        <v>KARTU ABSENSI KOJIKO DUS MERAH</v>
      </c>
      <c r="F962" s="70" t="s">
        <v>163</v>
      </c>
      <c r="G962" s="71" t="s">
        <v>164</v>
      </c>
      <c r="H962" s="41"/>
      <c r="I962" s="42"/>
      <c r="J962" s="43"/>
      <c r="K962" s="72">
        <v>20.0</v>
      </c>
      <c r="L962" s="53" t="s">
        <v>114</v>
      </c>
      <c r="M962" s="73">
        <v>19500.0</v>
      </c>
      <c r="N962" s="74"/>
      <c r="O962" s="73">
        <v>390000.0</v>
      </c>
      <c r="P962" s="46" t="str">
        <f t="shared" si="2"/>
        <v>Rp19,500-20 PAK-0.00%</v>
      </c>
      <c r="Q962" s="75">
        <v>45411.0</v>
      </c>
      <c r="R962" s="76"/>
      <c r="S962" s="75">
        <v>45420.0</v>
      </c>
      <c r="T962" s="49"/>
    </row>
    <row r="963">
      <c r="A963" s="82">
        <v>4408.0</v>
      </c>
      <c r="B963" s="69" t="s">
        <v>29</v>
      </c>
      <c r="C963" s="70" t="s">
        <v>1426</v>
      </c>
      <c r="D963" s="50" t="s">
        <v>1192</v>
      </c>
      <c r="E963" s="41" t="str">
        <f>IFERROR(__xludf.DUMMYFUNCTION("vlookup(D963,IMPORTRANGE(""https://docs.google.com/spreadsheets/d/1swGwZOEqYlTEUCJLY-eeJM1911Kvaei5oySBIxdgtNo/edit?pli=1#gid=257618397"",""stock untanna!B:C""),2,false)"),"ISI GEL DTIAN DT-090 (20PCS TABUNG)")</f>
        <v>ISI GEL DTIAN DT-090 (20PCS TABUNG)</v>
      </c>
      <c r="F963" s="70" t="s">
        <v>1193</v>
      </c>
      <c r="G963" s="71" t="s">
        <v>1194</v>
      </c>
      <c r="H963" s="41"/>
      <c r="I963" s="42"/>
      <c r="J963" s="43"/>
      <c r="K963" s="72">
        <v>3.0</v>
      </c>
      <c r="L963" s="53" t="s">
        <v>88</v>
      </c>
      <c r="M963" s="73">
        <v>216000.0</v>
      </c>
      <c r="N963" s="74"/>
      <c r="O963" s="73">
        <v>648000.0</v>
      </c>
      <c r="P963" s="46" t="str">
        <f t="shared" si="2"/>
        <v>Rp216,000-3 BOX-0.00%</v>
      </c>
      <c r="Q963" s="75">
        <v>45411.0</v>
      </c>
      <c r="R963" s="76"/>
      <c r="S963" s="75">
        <v>45420.0</v>
      </c>
      <c r="T963" s="49"/>
    </row>
    <row r="964">
      <c r="A964" s="82">
        <v>4452.0</v>
      </c>
      <c r="B964" s="69" t="s">
        <v>58</v>
      </c>
      <c r="C964" s="70" t="s">
        <v>1427</v>
      </c>
      <c r="D964" s="69" t="s">
        <v>1428</v>
      </c>
      <c r="E964" s="41" t="str">
        <f>IFERROR(__xludf.DUMMYFUNCTION("vlookup(D964,IMPORTRANGE(""https://docs.google.com/spreadsheets/d/1swGwZOEqYlTEUCJLY-eeJM1911Kvaei5oySBIxdgtNo/edit?pli=1#gid=257618397"",""stock untanna!B:C""),2,false)"),"MECHPEN TIZO TM 01500")</f>
        <v>MECHPEN TIZO TM 01500</v>
      </c>
      <c r="F964" s="70" t="s">
        <v>1428</v>
      </c>
      <c r="G964" s="71" t="s">
        <v>1429</v>
      </c>
      <c r="H964" s="41"/>
      <c r="I964" s="42"/>
      <c r="J964" s="43"/>
      <c r="K964" s="72">
        <v>288.0</v>
      </c>
      <c r="L964" s="53" t="s">
        <v>62</v>
      </c>
      <c r="M964" s="73">
        <v>14500.0</v>
      </c>
      <c r="N964" s="74"/>
      <c r="O964" s="73">
        <v>4176000.0</v>
      </c>
      <c r="P964" s="46" t="str">
        <f t="shared" si="2"/>
        <v>Rp14,500-288 LSN-0.00%</v>
      </c>
      <c r="Q964" s="75">
        <v>45411.0</v>
      </c>
      <c r="R964" s="76"/>
      <c r="S964" s="75">
        <v>45420.0</v>
      </c>
      <c r="T964" s="49"/>
    </row>
    <row r="965">
      <c r="A965" s="82">
        <v>4452.0</v>
      </c>
      <c r="B965" s="69" t="s">
        <v>58</v>
      </c>
      <c r="C965" s="70" t="s">
        <v>1427</v>
      </c>
      <c r="D965" s="69" t="s">
        <v>835</v>
      </c>
      <c r="E965" s="41" t="str">
        <f>IFERROR(__xludf.DUMMYFUNCTION("vlookup(D965,IMPORTRANGE(""https://docs.google.com/spreadsheets/d/1swGwZOEqYlTEUCJLY-eeJM1911Kvaei5oySBIxdgtNo/edit?pli=1#gid=257618397"",""stock untanna!B:C""),2,false)"),"MEKANIK PENSIL 2.0 TIZO TM01800")</f>
        <v>MEKANIK PENSIL 2.0 TIZO TM01800</v>
      </c>
      <c r="F965" s="70" t="s">
        <v>835</v>
      </c>
      <c r="G965" s="71" t="s">
        <v>836</v>
      </c>
      <c r="H965" s="41"/>
      <c r="I965" s="42"/>
      <c r="J965" s="43"/>
      <c r="K965" s="72">
        <v>192.0</v>
      </c>
      <c r="L965" s="53" t="s">
        <v>62</v>
      </c>
      <c r="M965" s="73">
        <v>30500.0</v>
      </c>
      <c r="N965" s="74"/>
      <c r="O965" s="73">
        <v>5856000.0</v>
      </c>
      <c r="P965" s="46" t="str">
        <f t="shared" si="2"/>
        <v>Rp30,500-192 LSN-0.00%</v>
      </c>
      <c r="Q965" s="75">
        <v>45411.0</v>
      </c>
      <c r="R965" s="76"/>
      <c r="S965" s="75">
        <v>45420.0</v>
      </c>
      <c r="T965" s="49"/>
    </row>
    <row r="966">
      <c r="A966" s="82">
        <v>4451.0</v>
      </c>
      <c r="B966" s="69" t="s">
        <v>58</v>
      </c>
      <c r="C966" s="70" t="s">
        <v>1430</v>
      </c>
      <c r="D966" s="69"/>
      <c r="E966" s="41" t="s">
        <v>1431</v>
      </c>
      <c r="F966" s="70"/>
      <c r="G966" s="71" t="s">
        <v>1431</v>
      </c>
      <c r="H966" s="41"/>
      <c r="I966" s="42"/>
      <c r="J966" s="43"/>
      <c r="K966" s="72">
        <v>96.0</v>
      </c>
      <c r="L966" s="53" t="s">
        <v>62</v>
      </c>
      <c r="M966" s="73">
        <v>30500.0</v>
      </c>
      <c r="N966" s="74"/>
      <c r="O966" s="73">
        <v>2928000.0</v>
      </c>
      <c r="P966" s="46" t="str">
        <f t="shared" si="2"/>
        <v>Rp30,500-96 LSN-0.00%</v>
      </c>
      <c r="Q966" s="75">
        <v>45411.0</v>
      </c>
      <c r="R966" s="76"/>
      <c r="S966" s="75">
        <v>45420.0</v>
      </c>
      <c r="T966" s="80" t="s">
        <v>280</v>
      </c>
    </row>
    <row r="967">
      <c r="A967" s="82">
        <v>4451.0</v>
      </c>
      <c r="B967" s="69" t="s">
        <v>58</v>
      </c>
      <c r="C967" s="70" t="s">
        <v>1430</v>
      </c>
      <c r="D967" s="69" t="s">
        <v>835</v>
      </c>
      <c r="E967" s="41" t="str">
        <f>IFERROR(__xludf.DUMMYFUNCTION("vlookup(D967,IMPORTRANGE(""https://docs.google.com/spreadsheets/d/1swGwZOEqYlTEUCJLY-eeJM1911Kvaei5oySBIxdgtNo/edit?pli=1#gid=257618397"",""stock untanna!B:C""),2,false)"),"MEKANIK PENSIL 2.0 TIZO TM01800")</f>
        <v>MEKANIK PENSIL 2.0 TIZO TM01800</v>
      </c>
      <c r="F967" s="70" t="s">
        <v>835</v>
      </c>
      <c r="G967" s="71" t="s">
        <v>836</v>
      </c>
      <c r="H967" s="41"/>
      <c r="I967" s="42"/>
      <c r="J967" s="43"/>
      <c r="K967" s="72">
        <v>288.0</v>
      </c>
      <c r="L967" s="53" t="s">
        <v>62</v>
      </c>
      <c r="M967" s="73">
        <v>30500.0</v>
      </c>
      <c r="N967" s="74"/>
      <c r="O967" s="73">
        <v>8784000.0</v>
      </c>
      <c r="P967" s="46" t="str">
        <f t="shared" si="2"/>
        <v>Rp30,500-288 LSN-0.00%</v>
      </c>
      <c r="Q967" s="75">
        <v>45411.0</v>
      </c>
      <c r="R967" s="76"/>
      <c r="S967" s="75">
        <v>45420.0</v>
      </c>
      <c r="T967" s="49"/>
    </row>
    <row r="968">
      <c r="A968" s="82">
        <v>4451.0</v>
      </c>
      <c r="B968" s="69" t="s">
        <v>58</v>
      </c>
      <c r="C968" s="70" t="s">
        <v>1430</v>
      </c>
      <c r="D968" s="50" t="s">
        <v>1432</v>
      </c>
      <c r="E968" s="41" t="str">
        <f>IFERROR(__xludf.DUMMYFUNCTION("IFNA(vlookup(D968,IMPORTRANGE(""https://docs.google.com/spreadsheets/d/1swGwZOEqYlTEUCJLY-eeJM1911Kvaei5oySBIxdgtNo/edit?pli=1#gid=257618397"",""stock untanna!B:C""),2,false),V:V)"),"ISI PENSIL 2B 2.0 DB-IMP062")</f>
        <v>ISI PENSIL 2B 2.0 DB-IMP062</v>
      </c>
      <c r="F968" s="70"/>
      <c r="G968" s="71" t="s">
        <v>1433</v>
      </c>
      <c r="H968" s="41"/>
      <c r="I968" s="42"/>
      <c r="J968" s="43" t="str">
        <f>IF(D968="","TIDAK ADA","ADA")</f>
        <v>ADA</v>
      </c>
      <c r="K968" s="72">
        <v>120.0</v>
      </c>
      <c r="L968" s="53" t="s">
        <v>62</v>
      </c>
      <c r="M968" s="73">
        <v>13500.0</v>
      </c>
      <c r="N968" s="74"/>
      <c r="O968" s="73">
        <v>1620000.0</v>
      </c>
      <c r="P968" s="46" t="str">
        <f t="shared" si="2"/>
        <v>Rp13,500-120 LSN-0.00%</v>
      </c>
      <c r="Q968" s="75">
        <v>45411.0</v>
      </c>
      <c r="R968" s="76"/>
      <c r="S968" s="75">
        <v>45420.0</v>
      </c>
      <c r="T968" s="80" t="s">
        <v>280</v>
      </c>
    </row>
    <row r="969">
      <c r="A969" s="82">
        <v>4451.0</v>
      </c>
      <c r="B969" s="69" t="s">
        <v>58</v>
      </c>
      <c r="C969" s="70" t="s">
        <v>1430</v>
      </c>
      <c r="D969" s="69"/>
      <c r="E969" s="41" t="s">
        <v>1434</v>
      </c>
      <c r="F969" s="70"/>
      <c r="G969" s="71" t="s">
        <v>1434</v>
      </c>
      <c r="H969" s="41"/>
      <c r="I969" s="42"/>
      <c r="J969" s="43"/>
      <c r="K969" s="72">
        <v>96.0</v>
      </c>
      <c r="L969" s="53" t="s">
        <v>62</v>
      </c>
      <c r="M969" s="73">
        <v>39000.0</v>
      </c>
      <c r="N969" s="74"/>
      <c r="O969" s="73">
        <v>3744000.0</v>
      </c>
      <c r="P969" s="46" t="str">
        <f t="shared" si="2"/>
        <v>Rp39,000-96 LSN-0.00%</v>
      </c>
      <c r="Q969" s="75">
        <v>45411.0</v>
      </c>
      <c r="R969" s="76"/>
      <c r="S969" s="75">
        <v>45420.0</v>
      </c>
      <c r="T969" s="49"/>
    </row>
    <row r="970">
      <c r="A970" s="82">
        <v>4451.0</v>
      </c>
      <c r="B970" s="69" t="s">
        <v>58</v>
      </c>
      <c r="C970" s="70" t="s">
        <v>1430</v>
      </c>
      <c r="D970" s="50" t="s">
        <v>1435</v>
      </c>
      <c r="E970" s="41" t="str">
        <f>IFERROR(__xludf.DUMMYFUNCTION("IFNA(vlookup(D970,IMPORTRANGE(""https://docs.google.com/spreadsheets/d/1swGwZOEqYlTEUCJLY-eeJM1911Kvaei5oySBIxdgtNo/edit?pli=1#gid=257618397"",""stock untanna!B:C""),2,false),V:V)"),"BP WEIYADA 681 BIRU")</f>
        <v>BP WEIYADA 681 BIRU</v>
      </c>
      <c r="F970" s="70"/>
      <c r="G970" s="71" t="s">
        <v>1436</v>
      </c>
      <c r="H970" s="41"/>
      <c r="I970" s="42"/>
      <c r="J970" s="85" t="s">
        <v>1319</v>
      </c>
      <c r="K970" s="72">
        <v>96.0</v>
      </c>
      <c r="L970" s="53" t="s">
        <v>62</v>
      </c>
      <c r="M970" s="73">
        <v>39000.0</v>
      </c>
      <c r="N970" s="74"/>
      <c r="O970" s="73">
        <v>3744000.0</v>
      </c>
      <c r="P970" s="46" t="str">
        <f t="shared" si="2"/>
        <v>Rp39,000-96 LSN-0.00%</v>
      </c>
      <c r="Q970" s="75">
        <v>45411.0</v>
      </c>
      <c r="R970" s="76"/>
      <c r="S970" s="75">
        <v>45420.0</v>
      </c>
      <c r="T970" s="80" t="s">
        <v>280</v>
      </c>
    </row>
    <row r="971">
      <c r="A971" s="82">
        <v>4451.0</v>
      </c>
      <c r="B971" s="69" t="s">
        <v>58</v>
      </c>
      <c r="C971" s="70" t="s">
        <v>1430</v>
      </c>
      <c r="D971" s="69"/>
      <c r="E971" s="41" t="s">
        <v>1437</v>
      </c>
      <c r="F971" s="70"/>
      <c r="G971" s="71" t="s">
        <v>1437</v>
      </c>
      <c r="H971" s="41"/>
      <c r="I971" s="42"/>
      <c r="J971" s="43"/>
      <c r="K971" s="72">
        <v>96.0</v>
      </c>
      <c r="L971" s="53" t="s">
        <v>62</v>
      </c>
      <c r="M971" s="73">
        <v>45000.0</v>
      </c>
      <c r="N971" s="74"/>
      <c r="O971" s="73">
        <v>4320000.0</v>
      </c>
      <c r="P971" s="46" t="str">
        <f t="shared" si="2"/>
        <v>Rp45,000-96 LSN-0.00%</v>
      </c>
      <c r="Q971" s="75">
        <v>45411.0</v>
      </c>
      <c r="R971" s="76"/>
      <c r="S971" s="75">
        <v>45420.0</v>
      </c>
      <c r="T971" s="49"/>
    </row>
    <row r="972">
      <c r="A972" s="82">
        <v>4451.0</v>
      </c>
      <c r="B972" s="69" t="s">
        <v>58</v>
      </c>
      <c r="C972" s="70" t="s">
        <v>1430</v>
      </c>
      <c r="D972" s="69" t="s">
        <v>762</v>
      </c>
      <c r="E972" s="41" t="str">
        <f>IFERROR(__xludf.DUMMYFUNCTION("vlookup(D972,IMPORTRANGE(""https://docs.google.com/spreadsheets/d/1swGwZOEqYlTEUCJLY-eeJM1911Kvaei5oySBIxdgtNo/edit?pli=1#gid=257618397"",""stock untanna!B:C""),2,false)"),"BP TIZO TG340 BIRU")</f>
        <v>BP TIZO TG340 BIRU</v>
      </c>
      <c r="F972" s="70" t="s">
        <v>762</v>
      </c>
      <c r="G972" s="71" t="s">
        <v>763</v>
      </c>
      <c r="H972" s="41"/>
      <c r="I972" s="42"/>
      <c r="J972" s="43"/>
      <c r="K972" s="72">
        <v>96.0</v>
      </c>
      <c r="L972" s="53" t="s">
        <v>62</v>
      </c>
      <c r="M972" s="73">
        <v>33000.0</v>
      </c>
      <c r="N972" s="74"/>
      <c r="O972" s="73">
        <v>3168000.0</v>
      </c>
      <c r="P972" s="46" t="str">
        <f t="shared" si="2"/>
        <v>Rp33,000-96 LSN-0.00%</v>
      </c>
      <c r="Q972" s="75">
        <v>45411.0</v>
      </c>
      <c r="R972" s="76"/>
      <c r="S972" s="75">
        <v>45420.0</v>
      </c>
      <c r="T972" s="49"/>
    </row>
    <row r="973">
      <c r="A973" s="82">
        <v>4451.0</v>
      </c>
      <c r="B973" s="69" t="s">
        <v>58</v>
      </c>
      <c r="C973" s="70" t="s">
        <v>1430</v>
      </c>
      <c r="D973" s="69" t="s">
        <v>719</v>
      </c>
      <c r="E973" s="41" t="str">
        <f>IFERROR(__xludf.DUMMYFUNCTION("vlookup(D973,IMPORTRANGE(""https://docs.google.com/spreadsheets/d/1swGwZOEqYlTEUCJLY-eeJM1911Kvaei5oySBIxdgtNo/edit?pli=1#gid=257618397"",""stock untanna!B:C""),2,false)"),"MECHPEN G-09307")</f>
        <v>MECHPEN G-09307</v>
      </c>
      <c r="F973" s="70" t="s">
        <v>719</v>
      </c>
      <c r="G973" s="71" t="s">
        <v>720</v>
      </c>
      <c r="H973" s="41"/>
      <c r="I973" s="42"/>
      <c r="J973" s="43"/>
      <c r="K973" s="72">
        <v>72.0</v>
      </c>
      <c r="L973" s="53" t="s">
        <v>114</v>
      </c>
      <c r="M973" s="73">
        <v>27000.0</v>
      </c>
      <c r="N973" s="74"/>
      <c r="O973" s="73">
        <v>1944000.0</v>
      </c>
      <c r="P973" s="46" t="str">
        <f t="shared" si="2"/>
        <v>Rp27,000-72 PAK-0.00%</v>
      </c>
      <c r="Q973" s="75">
        <v>45411.0</v>
      </c>
      <c r="R973" s="76"/>
      <c r="S973" s="75">
        <v>45420.0</v>
      </c>
      <c r="T973" s="49"/>
    </row>
    <row r="974">
      <c r="A974" s="82">
        <v>4451.0</v>
      </c>
      <c r="B974" s="69" t="s">
        <v>58</v>
      </c>
      <c r="C974" s="70" t="s">
        <v>1430</v>
      </c>
      <c r="D974" s="69" t="s">
        <v>1438</v>
      </c>
      <c r="E974" s="41" t="str">
        <f>IFERROR(__xludf.DUMMYFUNCTION("vlookup(D974,IMPORTRANGE(""https://docs.google.com/spreadsheets/d/1swGwZOEqYlTEUCJLY-eeJM1911Kvaei5oySBIxdgtNo/edit?pli=1#gid=257618397"",""stock untanna!B:C""),2,false)"),"MECHPEN G-09309")</f>
        <v>MECHPEN G-09309</v>
      </c>
      <c r="F974" s="70" t="s">
        <v>1438</v>
      </c>
      <c r="G974" s="71" t="s">
        <v>1439</v>
      </c>
      <c r="H974" s="41"/>
      <c r="I974" s="42"/>
      <c r="J974" s="43"/>
      <c r="K974" s="72">
        <v>36.0</v>
      </c>
      <c r="L974" s="53" t="s">
        <v>114</v>
      </c>
      <c r="M974" s="73">
        <v>27000.0</v>
      </c>
      <c r="N974" s="74"/>
      <c r="O974" s="73">
        <v>972000.0</v>
      </c>
      <c r="P974" s="46" t="str">
        <f t="shared" si="2"/>
        <v>Rp27,000-36 PAK-0.00%</v>
      </c>
      <c r="Q974" s="75">
        <v>45411.0</v>
      </c>
      <c r="R974" s="76"/>
      <c r="S974" s="75">
        <v>45420.0</v>
      </c>
      <c r="T974" s="49"/>
    </row>
    <row r="975">
      <c r="A975" s="82">
        <v>4034.0</v>
      </c>
      <c r="B975" s="69" t="s">
        <v>65</v>
      </c>
      <c r="C975" s="70" t="s">
        <v>1440</v>
      </c>
      <c r="D975" s="69" t="s">
        <v>1441</v>
      </c>
      <c r="E975" s="41" t="str">
        <f>IFERROR(__xludf.DUMMYFUNCTION("vlookup(D975,IMPORTRANGE(""https://docs.google.com/spreadsheets/d/1swGwZOEqYlTEUCJLY-eeJM1911Kvaei5oySBIxdgtNo/edit?pli=1#gid=257618397"",""stock untanna!B:C""),2,false)"),"PELNA LAPTOP TABLE")</f>
        <v>PELNA LAPTOP TABLE</v>
      </c>
      <c r="F975" s="70" t="s">
        <v>1441</v>
      </c>
      <c r="G975" s="71" t="s">
        <v>1442</v>
      </c>
      <c r="H975" s="41"/>
      <c r="I975" s="42"/>
      <c r="J975" s="43"/>
      <c r="K975" s="72">
        <v>10.0</v>
      </c>
      <c r="L975" s="53" t="s">
        <v>69</v>
      </c>
      <c r="M975" s="73">
        <v>65000.0</v>
      </c>
      <c r="N975" s="74"/>
      <c r="O975" s="73">
        <v>650000.0</v>
      </c>
      <c r="P975" s="46" t="str">
        <f t="shared" si="2"/>
        <v>Rp65,000-10 PCS-0.00%</v>
      </c>
      <c r="Q975" s="75">
        <v>45411.0</v>
      </c>
      <c r="R975" s="76"/>
      <c r="S975" s="75">
        <v>45420.0</v>
      </c>
      <c r="T975" s="49"/>
    </row>
    <row r="976">
      <c r="A976" s="82">
        <v>4034.0</v>
      </c>
      <c r="B976" s="69" t="s">
        <v>65</v>
      </c>
      <c r="C976" s="70" t="s">
        <v>1440</v>
      </c>
      <c r="D976" s="69"/>
      <c r="E976" s="41" t="s">
        <v>1443</v>
      </c>
      <c r="F976" s="70"/>
      <c r="G976" s="71" t="s">
        <v>1443</v>
      </c>
      <c r="H976" s="41"/>
      <c r="I976" s="42"/>
      <c r="J976" s="43"/>
      <c r="K976" s="72">
        <v>6.0</v>
      </c>
      <c r="L976" s="53" t="s">
        <v>69</v>
      </c>
      <c r="M976" s="73">
        <v>55000.0</v>
      </c>
      <c r="N976" s="74"/>
      <c r="O976" s="73">
        <v>330000.0</v>
      </c>
      <c r="P976" s="46" t="str">
        <f t="shared" si="2"/>
        <v>Rp55,000-6 PCS-0.00%</v>
      </c>
      <c r="Q976" s="75">
        <v>45411.0</v>
      </c>
      <c r="R976" s="76"/>
      <c r="S976" s="75">
        <v>45420.0</v>
      </c>
      <c r="T976" s="80" t="s">
        <v>280</v>
      </c>
    </row>
    <row r="977">
      <c r="A977" s="82">
        <v>4034.0</v>
      </c>
      <c r="B977" s="69" t="s">
        <v>65</v>
      </c>
      <c r="C977" s="70" t="s">
        <v>1440</v>
      </c>
      <c r="D977" s="69" t="s">
        <v>1444</v>
      </c>
      <c r="E977" s="41" t="str">
        <f>IFERROR(__xludf.DUMMYFUNCTION("vlookup(D977,IMPORTRANGE(""https://docs.google.com/spreadsheets/d/1swGwZOEqYlTEUCJLY-eeJM1911Kvaei5oySBIxdgtNo/edit?pli=1#gid=257618397"",""stock untanna!B:C""),2,false)"),"BP GEL TF-1191 BODY WR 0.3MM HIGHTECH")</f>
        <v>BP GEL TF-1191 BODY WR 0.3MM HIGHTECH</v>
      </c>
      <c r="F977" s="70" t="s">
        <v>1444</v>
      </c>
      <c r="G977" s="78" t="s">
        <v>1445</v>
      </c>
      <c r="H977" s="41"/>
      <c r="I977" s="42"/>
      <c r="J977" s="43"/>
      <c r="K977" s="72">
        <v>42.0</v>
      </c>
      <c r="L977" s="53" t="s">
        <v>62</v>
      </c>
      <c r="M977" s="73">
        <v>29000.0</v>
      </c>
      <c r="N977" s="74"/>
      <c r="O977" s="73">
        <v>1218000.0</v>
      </c>
      <c r="P977" s="46" t="str">
        <f t="shared" si="2"/>
        <v>Rp29,000-42 LSN-0.00%</v>
      </c>
      <c r="Q977" s="75">
        <v>45411.0</v>
      </c>
      <c r="R977" s="76"/>
      <c r="S977" s="75">
        <v>45420.0</v>
      </c>
      <c r="T977" s="49"/>
    </row>
    <row r="978">
      <c r="A978" s="82">
        <v>4034.0</v>
      </c>
      <c r="B978" s="69" t="s">
        <v>65</v>
      </c>
      <c r="C978" s="70" t="s">
        <v>1440</v>
      </c>
      <c r="D978" s="69"/>
      <c r="E978" s="41" t="s">
        <v>1446</v>
      </c>
      <c r="F978" s="70"/>
      <c r="G978" s="71" t="s">
        <v>1446</v>
      </c>
      <c r="H978" s="41"/>
      <c r="I978" s="42"/>
      <c r="J978" s="43"/>
      <c r="K978" s="72">
        <v>100.0</v>
      </c>
      <c r="L978" s="53" t="s">
        <v>69</v>
      </c>
      <c r="M978" s="73">
        <v>3100.0</v>
      </c>
      <c r="N978" s="74"/>
      <c r="O978" s="73">
        <v>310000.0</v>
      </c>
      <c r="P978" s="46" t="str">
        <f t="shared" si="2"/>
        <v>Rp3,100-100 PCS-0.00%</v>
      </c>
      <c r="Q978" s="75">
        <v>45411.0</v>
      </c>
      <c r="R978" s="76"/>
      <c r="S978" s="75">
        <v>45420.0</v>
      </c>
      <c r="T978" s="49"/>
    </row>
    <row r="979">
      <c r="A979" s="82">
        <v>1574.0</v>
      </c>
      <c r="B979" s="69" t="s">
        <v>29</v>
      </c>
      <c r="C979" s="70" t="s">
        <v>1447</v>
      </c>
      <c r="D979" s="69" t="s">
        <v>1448</v>
      </c>
      <c r="E979" s="41" t="str">
        <f>IFERROR(__xludf.DUMMYFUNCTION("vlookup(D979,IMPORTRANGE(""https://docs.google.com/spreadsheets/d/1swGwZOEqYlTEUCJLY-eeJM1911Kvaei5oySBIxdgtNo/edit?pli=1#gid=257618397"",""stock untanna!B:C""),2,false)"),"PALET ANGGUR")</f>
        <v>PALET ANGGUR</v>
      </c>
      <c r="F979" s="70" t="s">
        <v>1448</v>
      </c>
      <c r="G979" s="71" t="s">
        <v>1449</v>
      </c>
      <c r="H979" s="41"/>
      <c r="I979" s="42"/>
      <c r="J979" s="43"/>
      <c r="K979" s="72">
        <v>30.0</v>
      </c>
      <c r="L979" s="53" t="s">
        <v>62</v>
      </c>
      <c r="M979" s="73">
        <v>9500.0</v>
      </c>
      <c r="N979" s="74"/>
      <c r="O979" s="73">
        <v>285000.0</v>
      </c>
      <c r="P979" s="46" t="str">
        <f t="shared" si="2"/>
        <v>Rp9,500-30 LSN-0.00%</v>
      </c>
      <c r="Q979" s="75">
        <v>45411.0</v>
      </c>
      <c r="R979" s="76"/>
      <c r="S979" s="75">
        <v>45420.0</v>
      </c>
      <c r="T979" s="49"/>
    </row>
    <row r="980">
      <c r="A980" s="82">
        <v>1574.0</v>
      </c>
      <c r="B980" s="69" t="s">
        <v>29</v>
      </c>
      <c r="C980" s="70" t="s">
        <v>1447</v>
      </c>
      <c r="D980" s="69" t="s">
        <v>1450</v>
      </c>
      <c r="E980" s="41" t="str">
        <f>IFERROR(__xludf.DUMMYFUNCTION("vlookup(D980,IMPORTRANGE(""https://docs.google.com/spreadsheets/d/1swGwZOEqYlTEUCJLY-eeJM1911Kvaei5oySBIxdgtNo/edit?pli=1#gid=257618397"",""stock untanna!B:C""),2,false)"),"PALET APEL")</f>
        <v>PALET APEL</v>
      </c>
      <c r="F980" s="70" t="s">
        <v>1450</v>
      </c>
      <c r="G980" s="71" t="s">
        <v>1451</v>
      </c>
      <c r="H980" s="41"/>
      <c r="I980" s="42"/>
      <c r="J980" s="43"/>
      <c r="K980" s="72">
        <v>30.0</v>
      </c>
      <c r="L980" s="53" t="s">
        <v>62</v>
      </c>
      <c r="M980" s="73">
        <v>9500.0</v>
      </c>
      <c r="N980" s="74"/>
      <c r="O980" s="73">
        <v>285000.0</v>
      </c>
      <c r="P980" s="46" t="str">
        <f t="shared" si="2"/>
        <v>Rp9,500-30 LSN-0.00%</v>
      </c>
      <c r="Q980" s="75">
        <v>45411.0</v>
      </c>
      <c r="R980" s="76"/>
      <c r="S980" s="75">
        <v>45420.0</v>
      </c>
      <c r="T980" s="49"/>
    </row>
    <row r="981">
      <c r="A981" s="82">
        <v>4410.0</v>
      </c>
      <c r="B981" s="69" t="s">
        <v>29</v>
      </c>
      <c r="C981" s="70" t="s">
        <v>1452</v>
      </c>
      <c r="D981" s="69" t="s">
        <v>953</v>
      </c>
      <c r="E981" s="41" t="str">
        <f>IFERROR(__xludf.DUMMYFUNCTION("vlookup(D981,IMPORTRANGE(""https://docs.google.com/spreadsheets/d/1swGwZOEqYlTEUCJLY-eeJM1911Kvaei5oySBIxdgtNo/edit?pli=1#gid=257618397"",""stock untanna!B:C""),2,false)"),"BP GEL DTIAN DT-612")</f>
        <v>BP GEL DTIAN DT-612</v>
      </c>
      <c r="F981" s="70" t="s">
        <v>953</v>
      </c>
      <c r="G981" s="71" t="s">
        <v>954</v>
      </c>
      <c r="H981" s="41"/>
      <c r="I981" s="42"/>
      <c r="J981" s="43"/>
      <c r="K981" s="72">
        <v>192.0</v>
      </c>
      <c r="L981" s="53" t="s">
        <v>62</v>
      </c>
      <c r="M981" s="73">
        <v>10000.0</v>
      </c>
      <c r="N981" s="74"/>
      <c r="O981" s="73">
        <v>1920000.0</v>
      </c>
      <c r="P981" s="46" t="str">
        <f t="shared" si="2"/>
        <v>Rp10,000-192 LSN-0.00%</v>
      </c>
      <c r="Q981" s="75">
        <v>45411.0</v>
      </c>
      <c r="R981" s="76"/>
      <c r="S981" s="75">
        <v>45420.0</v>
      </c>
      <c r="T981" s="49"/>
    </row>
    <row r="982">
      <c r="A982" s="82">
        <v>4410.0</v>
      </c>
      <c r="B982" s="69" t="s">
        <v>29</v>
      </c>
      <c r="C982" s="70" t="s">
        <v>1452</v>
      </c>
      <c r="D982" s="69" t="s">
        <v>203</v>
      </c>
      <c r="E982" s="41" t="str">
        <f>IFERROR(__xludf.DUMMYFUNCTION("vlookup(D982,IMPORTRANGE(""https://docs.google.com/spreadsheets/d/1swGwZOEqYlTEUCJLY-eeJM1911Kvaei5oySBIxdgtNo/edit?pli=1#gid=257618397"",""stock untanna!B:C""),2,false)"),"BP HITECH JOSS GP-168 0.28MM")</f>
        <v>BP HITECH JOSS GP-168 0.28MM</v>
      </c>
      <c r="F982" s="70" t="s">
        <v>203</v>
      </c>
      <c r="G982" s="71" t="s">
        <v>204</v>
      </c>
      <c r="H982" s="41"/>
      <c r="I982" s="42"/>
      <c r="J982" s="43"/>
      <c r="K982" s="72">
        <v>36.0</v>
      </c>
      <c r="L982" s="53" t="s">
        <v>62</v>
      </c>
      <c r="M982" s="73">
        <v>22500.0</v>
      </c>
      <c r="N982" s="74"/>
      <c r="O982" s="73">
        <v>810000.0</v>
      </c>
      <c r="P982" s="46" t="str">
        <f t="shared" si="2"/>
        <v>Rp22,500-36 LSN-0.00%</v>
      </c>
      <c r="Q982" s="75">
        <v>45411.0</v>
      </c>
      <c r="R982" s="76"/>
      <c r="S982" s="75">
        <v>45420.0</v>
      </c>
      <c r="T982" s="49"/>
    </row>
    <row r="983">
      <c r="A983" s="82">
        <v>4410.0</v>
      </c>
      <c r="B983" s="69" t="s">
        <v>29</v>
      </c>
      <c r="C983" s="70" t="s">
        <v>1452</v>
      </c>
      <c r="D983" s="69" t="s">
        <v>205</v>
      </c>
      <c r="E983" s="41" t="str">
        <f>IFERROR(__xludf.DUMMYFUNCTION("vlookup(D983,IMPORTRANGE(""https://docs.google.com/spreadsheets/d/1swGwZOEqYlTEUCJLY-eeJM1911Kvaei5oySBIxdgtNo/edit?pli=1#gid=257618397"",""stock untanna!B:C""),2,false)"),"BP HITECH JOSS-188 B 0.28MM BIRU")</f>
        <v>BP HITECH JOSS-188 B 0.28MM BIRU</v>
      </c>
      <c r="F983" s="70" t="s">
        <v>205</v>
      </c>
      <c r="G983" s="71" t="s">
        <v>206</v>
      </c>
      <c r="H983" s="41"/>
      <c r="I983" s="42"/>
      <c r="J983" s="43"/>
      <c r="K983" s="72">
        <v>36.0</v>
      </c>
      <c r="L983" s="53" t="s">
        <v>62</v>
      </c>
      <c r="M983" s="73">
        <v>22500.0</v>
      </c>
      <c r="N983" s="74"/>
      <c r="O983" s="73">
        <v>810000.0</v>
      </c>
      <c r="P983" s="46" t="str">
        <f t="shared" si="2"/>
        <v>Rp22,500-36 LSN-0.00%</v>
      </c>
      <c r="Q983" s="75">
        <v>45411.0</v>
      </c>
      <c r="R983" s="76"/>
      <c r="S983" s="75">
        <v>45420.0</v>
      </c>
      <c r="T983" s="49"/>
    </row>
    <row r="984">
      <c r="A984" s="82">
        <v>4410.0</v>
      </c>
      <c r="B984" s="69" t="s">
        <v>29</v>
      </c>
      <c r="C984" s="70" t="s">
        <v>1452</v>
      </c>
      <c r="D984" s="69" t="s">
        <v>465</v>
      </c>
      <c r="E984" s="41" t="str">
        <f>IFERROR(__xludf.DUMMYFUNCTION("vlookup(D984,IMPORTRANGE(""https://docs.google.com/spreadsheets/d/1swGwZOEqYlTEUCJLY-eeJM1911Kvaei5oySBIxdgtNo/edit?pli=1#gid=257618397"",""stock untanna!B:C""),2,false)"),"TIPEX KERTAS 8525")</f>
        <v>TIPEX KERTAS 8525</v>
      </c>
      <c r="F984" s="70" t="s">
        <v>465</v>
      </c>
      <c r="G984" s="71" t="s">
        <v>466</v>
      </c>
      <c r="H984" s="41"/>
      <c r="I984" s="42"/>
      <c r="J984" s="43"/>
      <c r="K984" s="72">
        <v>4.0</v>
      </c>
      <c r="L984" s="53" t="s">
        <v>62</v>
      </c>
      <c r="M984" s="73">
        <v>100000.0</v>
      </c>
      <c r="N984" s="74"/>
      <c r="O984" s="73">
        <v>400000.0</v>
      </c>
      <c r="P984" s="46" t="str">
        <f t="shared" si="2"/>
        <v>Rp100,000-4 LSN-0.00%</v>
      </c>
      <c r="Q984" s="75">
        <v>45411.0</v>
      </c>
      <c r="R984" s="76"/>
      <c r="S984" s="75">
        <v>45420.0</v>
      </c>
      <c r="T984" s="49"/>
    </row>
    <row r="985">
      <c r="A985" s="82">
        <v>4410.0</v>
      </c>
      <c r="B985" s="69" t="s">
        <v>29</v>
      </c>
      <c r="C985" s="70" t="s">
        <v>1452</v>
      </c>
      <c r="D985" s="69" t="s">
        <v>1453</v>
      </c>
      <c r="E985" s="41" t="str">
        <f>IFERROR(__xludf.DUMMYFUNCTION("vlookup(D985,IMPORTRANGE(""https://docs.google.com/spreadsheets/d/1swGwZOEqYlTEUCJLY-eeJM1911Kvaei5oySBIxdgtNo/edit?pli=1#gid=257618397"",""stock untanna!B:C""),2,false)"),"CUTTER GOLDEN 888 B")</f>
        <v>CUTTER GOLDEN 888 B</v>
      </c>
      <c r="F985" s="70" t="s">
        <v>1453</v>
      </c>
      <c r="G985" s="71" t="s">
        <v>1454</v>
      </c>
      <c r="H985" s="41"/>
      <c r="I985" s="42"/>
      <c r="J985" s="43"/>
      <c r="K985" s="72">
        <v>12.0</v>
      </c>
      <c r="L985" s="53" t="s">
        <v>62</v>
      </c>
      <c r="M985" s="73">
        <v>11000.0</v>
      </c>
      <c r="N985" s="74"/>
      <c r="O985" s="73">
        <v>132000.0</v>
      </c>
      <c r="P985" s="46" t="str">
        <f t="shared" si="2"/>
        <v>Rp11,000-12 LSN-0.00%</v>
      </c>
      <c r="Q985" s="75">
        <v>45411.0</v>
      </c>
      <c r="R985" s="76"/>
      <c r="S985" s="75">
        <v>45420.0</v>
      </c>
      <c r="T985" s="49"/>
    </row>
    <row r="986">
      <c r="A986" s="82">
        <v>4410.0</v>
      </c>
      <c r="B986" s="69" t="s">
        <v>29</v>
      </c>
      <c r="C986" s="70" t="s">
        <v>1452</v>
      </c>
      <c r="D986" s="69" t="s">
        <v>748</v>
      </c>
      <c r="E986" s="41" t="str">
        <f>IFERROR(__xludf.DUMMYFUNCTION("vlookup(D986,IMPORTRANGE(""https://docs.google.com/spreadsheets/d/1swGwZOEqYlTEUCJLY-eeJM1911Kvaei5oySBIxdgtNo/edit?pli=1#gid=257618397"",""stock untanna!B:C""),2,false)"),"GARISAN BT 30 CM")</f>
        <v>GARISAN BT 30 CM</v>
      </c>
      <c r="F986" s="70" t="s">
        <v>748</v>
      </c>
      <c r="G986" s="71" t="s">
        <v>749</v>
      </c>
      <c r="H986" s="41"/>
      <c r="I986" s="42"/>
      <c r="J986" s="43"/>
      <c r="K986" s="72">
        <v>20.0</v>
      </c>
      <c r="L986" s="53" t="s">
        <v>62</v>
      </c>
      <c r="M986" s="73">
        <v>26780.0</v>
      </c>
      <c r="N986" s="83">
        <v>0.2</v>
      </c>
      <c r="O986" s="73">
        <v>428480.0</v>
      </c>
      <c r="P986" s="46" t="str">
        <f t="shared" si="2"/>
        <v>Rp26,780-20 LSN-20.00%</v>
      </c>
      <c r="Q986" s="75">
        <v>45411.0</v>
      </c>
      <c r="R986" s="76"/>
      <c r="S986" s="75">
        <v>45420.0</v>
      </c>
      <c r="T986" s="49"/>
    </row>
    <row r="987">
      <c r="A987" s="82">
        <v>4410.0</v>
      </c>
      <c r="B987" s="69" t="s">
        <v>29</v>
      </c>
      <c r="C987" s="70" t="s">
        <v>1452</v>
      </c>
      <c r="D987" s="69" t="s">
        <v>1455</v>
      </c>
      <c r="E987" s="41" t="str">
        <f>IFERROR(__xludf.DUMMYFUNCTION("vlookup(D987,IMPORTRANGE(""https://docs.google.com/spreadsheets/d/1swGwZOEqYlTEUCJLY-eeJM1911Kvaei5oySBIxdgtNo/edit?pli=1#gid=257618397"",""stock untanna!B:C""),2,false)"),"GARISAN BT 20 CM")</f>
        <v>GARISAN BT 20 CM</v>
      </c>
      <c r="F987" s="70" t="s">
        <v>1455</v>
      </c>
      <c r="G987" s="71" t="s">
        <v>1456</v>
      </c>
      <c r="H987" s="41"/>
      <c r="I987" s="42"/>
      <c r="J987" s="43"/>
      <c r="K987" s="72">
        <v>20.0</v>
      </c>
      <c r="L987" s="53" t="s">
        <v>62</v>
      </c>
      <c r="M987" s="73">
        <v>21380.0</v>
      </c>
      <c r="N987" s="83">
        <v>0.2</v>
      </c>
      <c r="O987" s="73">
        <v>342080.0</v>
      </c>
      <c r="P987" s="46" t="str">
        <f t="shared" si="2"/>
        <v>Rp21,380-20 LSN-20.00%</v>
      </c>
      <c r="Q987" s="75">
        <v>45411.0</v>
      </c>
      <c r="R987" s="76"/>
      <c r="S987" s="75">
        <v>45420.0</v>
      </c>
      <c r="T987" s="49"/>
    </row>
    <row r="988">
      <c r="A988" s="82">
        <v>4410.0</v>
      </c>
      <c r="B988" s="69" t="s">
        <v>29</v>
      </c>
      <c r="C988" s="70" t="s">
        <v>1452</v>
      </c>
      <c r="D988" s="69" t="s">
        <v>847</v>
      </c>
      <c r="E988" s="41" t="str">
        <f>IFERROR(__xludf.DUMMYFUNCTION("vlookup(D988,IMPORTRANGE(""https://docs.google.com/spreadsheets/d/1swGwZOEqYlTEUCJLY-eeJM1911Kvaei5oySBIxdgtNo/edit?pli=1#gid=257618397"",""stock untanna!B:C""),2,false)"),"LOOSE LEAF HOLO ALFA A5 ZODIAK")</f>
        <v>LOOSE LEAF HOLO ALFA A5 ZODIAK</v>
      </c>
      <c r="F988" s="70" t="s">
        <v>847</v>
      </c>
      <c r="G988" s="71" t="s">
        <v>848</v>
      </c>
      <c r="H988" s="41"/>
      <c r="I988" s="42"/>
      <c r="J988" s="43"/>
      <c r="K988" s="72">
        <v>120.0</v>
      </c>
      <c r="L988" s="53" t="s">
        <v>114</v>
      </c>
      <c r="M988" s="73">
        <v>2250.0</v>
      </c>
      <c r="N988" s="74"/>
      <c r="O988" s="73">
        <v>270000.0</v>
      </c>
      <c r="P988" s="46" t="str">
        <f t="shared" si="2"/>
        <v>Rp2,250-120 PAK-0.00%</v>
      </c>
      <c r="Q988" s="75">
        <v>45411.0</v>
      </c>
      <c r="R988" s="76"/>
      <c r="S988" s="75">
        <v>45420.0</v>
      </c>
      <c r="T988" s="49" t="s">
        <v>100</v>
      </c>
    </row>
    <row r="989">
      <c r="A989" s="82">
        <v>4416.0</v>
      </c>
      <c r="B989" s="69" t="s">
        <v>29</v>
      </c>
      <c r="C989" s="70" t="s">
        <v>1457</v>
      </c>
      <c r="D989" s="69"/>
      <c r="E989" s="41" t="s">
        <v>1458</v>
      </c>
      <c r="F989" s="70"/>
      <c r="G989" s="71" t="s">
        <v>1458</v>
      </c>
      <c r="H989" s="41"/>
      <c r="I989" s="42"/>
      <c r="J989" s="43"/>
      <c r="K989" s="72">
        <v>1.0</v>
      </c>
      <c r="L989" s="53" t="s">
        <v>62</v>
      </c>
      <c r="M989" s="73">
        <v>115500.0</v>
      </c>
      <c r="N989" s="74"/>
      <c r="O989" s="73">
        <v>115500.0</v>
      </c>
      <c r="P989" s="46" t="str">
        <f t="shared" si="2"/>
        <v>Rp115,500-1 LSN-0.00%</v>
      </c>
      <c r="Q989" s="75">
        <v>45412.0</v>
      </c>
      <c r="R989" s="76"/>
      <c r="S989" s="75">
        <v>45420.0</v>
      </c>
      <c r="T989" s="49"/>
    </row>
    <row r="990">
      <c r="A990" s="82">
        <v>4416.0</v>
      </c>
      <c r="B990" s="69" t="s">
        <v>29</v>
      </c>
      <c r="C990" s="70" t="s">
        <v>1457</v>
      </c>
      <c r="D990" s="69"/>
      <c r="E990" s="41" t="s">
        <v>1459</v>
      </c>
      <c r="F990" s="70"/>
      <c r="G990" s="71" t="s">
        <v>1459</v>
      </c>
      <c r="H990" s="41"/>
      <c r="I990" s="42"/>
      <c r="J990" s="43"/>
      <c r="K990" s="72">
        <v>1.0</v>
      </c>
      <c r="L990" s="53" t="s">
        <v>62</v>
      </c>
      <c r="M990" s="73">
        <v>115500.0</v>
      </c>
      <c r="N990" s="74"/>
      <c r="O990" s="73">
        <v>115500.0</v>
      </c>
      <c r="P990" s="46" t="str">
        <f t="shared" si="2"/>
        <v>Rp115,500-1 LSN-0.00%</v>
      </c>
      <c r="Q990" s="75">
        <v>45412.0</v>
      </c>
      <c r="R990" s="76"/>
      <c r="S990" s="75">
        <v>45420.0</v>
      </c>
      <c r="T990" s="49"/>
    </row>
    <row r="991">
      <c r="A991" s="82">
        <v>4416.0</v>
      </c>
      <c r="B991" s="69" t="s">
        <v>29</v>
      </c>
      <c r="C991" s="70" t="s">
        <v>1457</v>
      </c>
      <c r="D991" s="69" t="s">
        <v>1460</v>
      </c>
      <c r="E991" s="41" t="str">
        <f>IFERROR(__xludf.DUMMYFUNCTION("vlookup(D991,IMPORTRANGE(""https://docs.google.com/spreadsheets/d/1swGwZOEqYlTEUCJLY-eeJM1911Kvaei5oySBIxdgtNo/edit?pli=1#gid=257618397"",""stock untanna!B:C""),2,false)"),"CLIP CANDY NO 1")</f>
        <v>CLIP CANDY NO 1</v>
      </c>
      <c r="F991" s="70" t="s">
        <v>1460</v>
      </c>
      <c r="G991" s="71" t="s">
        <v>1461</v>
      </c>
      <c r="H991" s="41"/>
      <c r="I991" s="42"/>
      <c r="J991" s="43"/>
      <c r="K991" s="72">
        <v>12.0</v>
      </c>
      <c r="L991" s="53" t="s">
        <v>69</v>
      </c>
      <c r="M991" s="73">
        <v>4167.0</v>
      </c>
      <c r="N991" s="74"/>
      <c r="O991" s="73">
        <v>50004.0</v>
      </c>
      <c r="P991" s="46" t="str">
        <f t="shared" si="2"/>
        <v>Rp4,167-12 PCS-0.00%</v>
      </c>
      <c r="Q991" s="75">
        <v>45412.0</v>
      </c>
      <c r="R991" s="76"/>
      <c r="S991" s="75">
        <v>45420.0</v>
      </c>
      <c r="T991" s="49"/>
    </row>
    <row r="992">
      <c r="A992" s="82">
        <v>4416.0</v>
      </c>
      <c r="B992" s="69" t="s">
        <v>29</v>
      </c>
      <c r="C992" s="70" t="s">
        <v>1457</v>
      </c>
      <c r="D992" s="50" t="s">
        <v>868</v>
      </c>
      <c r="E992" s="41" t="str">
        <f>IFERROR(__xludf.DUMMYFUNCTION("vlookup(D992,IMPORTRANGE(""https://docs.google.com/spreadsheets/d/1swGwZOEqYlTEUCJLY-eeJM1911Kvaei5oySBIxdgtNo/edit?pli=1#gid=257618397"",""stock untanna!B:C""),2,false)"),"CLIP BOARD 6688-TR TRANSP KOALA")</f>
        <v>CLIP BOARD 6688-TR TRANSP KOALA</v>
      </c>
      <c r="F992" s="70" t="s">
        <v>869</v>
      </c>
      <c r="G992" s="71" t="s">
        <v>870</v>
      </c>
      <c r="H992" s="41"/>
      <c r="I992" s="42"/>
      <c r="J992" s="43"/>
      <c r="K992" s="72">
        <v>1.0</v>
      </c>
      <c r="L992" s="53" t="s">
        <v>62</v>
      </c>
      <c r="M992" s="73">
        <v>115000.0</v>
      </c>
      <c r="N992" s="74"/>
      <c r="O992" s="73">
        <v>115000.0</v>
      </c>
      <c r="P992" s="46" t="str">
        <f t="shared" si="2"/>
        <v>Rp115,000-1 LSN-0.00%</v>
      </c>
      <c r="Q992" s="75">
        <v>45412.0</v>
      </c>
      <c r="R992" s="76"/>
      <c r="S992" s="75">
        <v>45420.0</v>
      </c>
      <c r="T992" s="49"/>
    </row>
    <row r="993">
      <c r="A993" s="82">
        <v>4416.0</v>
      </c>
      <c r="B993" s="69" t="s">
        <v>29</v>
      </c>
      <c r="C993" s="70" t="s">
        <v>1457</v>
      </c>
      <c r="D993" s="69"/>
      <c r="E993" s="41" t="s">
        <v>1462</v>
      </c>
      <c r="F993" s="70"/>
      <c r="G993" s="71" t="s">
        <v>1462</v>
      </c>
      <c r="H993" s="41"/>
      <c r="I993" s="42"/>
      <c r="J993" s="43"/>
      <c r="K993" s="72">
        <v>0.5</v>
      </c>
      <c r="L993" s="53" t="s">
        <v>62</v>
      </c>
      <c r="M993" s="73">
        <v>125000.0</v>
      </c>
      <c r="N993" s="74"/>
      <c r="O993" s="73">
        <v>62500.0</v>
      </c>
      <c r="P993" s="46" t="str">
        <f t="shared" si="2"/>
        <v>Rp125,000-0.5 LSN-0.00%</v>
      </c>
      <c r="Q993" s="75">
        <v>45412.0</v>
      </c>
      <c r="R993" s="76"/>
      <c r="S993" s="75">
        <v>45420.0</v>
      </c>
      <c r="T993" s="49"/>
    </row>
    <row r="994">
      <c r="A994" s="82">
        <v>4416.0</v>
      </c>
      <c r="B994" s="69" t="s">
        <v>29</v>
      </c>
      <c r="C994" s="70" t="s">
        <v>1457</v>
      </c>
      <c r="D994" s="69"/>
      <c r="E994" s="41" t="s">
        <v>1463</v>
      </c>
      <c r="F994" s="70"/>
      <c r="G994" s="71" t="s">
        <v>1463</v>
      </c>
      <c r="H994" s="41"/>
      <c r="I994" s="42"/>
      <c r="J994" s="43"/>
      <c r="K994" s="72">
        <v>12.0</v>
      </c>
      <c r="L994" s="53" t="s">
        <v>69</v>
      </c>
      <c r="M994" s="73">
        <v>9500.0</v>
      </c>
      <c r="N994" s="74"/>
      <c r="O994" s="73">
        <v>114000.0</v>
      </c>
      <c r="P994" s="46" t="str">
        <f t="shared" si="2"/>
        <v>Rp9,500-12 PCS-0.00%</v>
      </c>
      <c r="Q994" s="75">
        <v>45412.0</v>
      </c>
      <c r="R994" s="76"/>
      <c r="S994" s="75">
        <v>45420.0</v>
      </c>
      <c r="T994" s="49"/>
    </row>
    <row r="995">
      <c r="A995" s="82">
        <v>4416.0</v>
      </c>
      <c r="B995" s="69" t="s">
        <v>29</v>
      </c>
      <c r="C995" s="70" t="s">
        <v>1457</v>
      </c>
      <c r="D995" s="69"/>
      <c r="E995" s="41" t="s">
        <v>1464</v>
      </c>
      <c r="F995" s="70"/>
      <c r="G995" s="71" t="s">
        <v>1464</v>
      </c>
      <c r="H995" s="41"/>
      <c r="I995" s="42"/>
      <c r="J995" s="43"/>
      <c r="K995" s="72">
        <v>12.0</v>
      </c>
      <c r="L995" s="53" t="s">
        <v>69</v>
      </c>
      <c r="M995" s="73">
        <v>11000.0</v>
      </c>
      <c r="N995" s="74"/>
      <c r="O995" s="73">
        <v>132000.0</v>
      </c>
      <c r="P995" s="46" t="str">
        <f t="shared" si="2"/>
        <v>Rp11,000-12 PCS-0.00%</v>
      </c>
      <c r="Q995" s="75">
        <v>45412.0</v>
      </c>
      <c r="R995" s="76"/>
      <c r="S995" s="75">
        <v>45420.0</v>
      </c>
      <c r="T995" s="49"/>
    </row>
    <row r="996">
      <c r="A996" s="82">
        <v>4416.0</v>
      </c>
      <c r="B996" s="69" t="s">
        <v>29</v>
      </c>
      <c r="C996" s="70" t="s">
        <v>1457</v>
      </c>
      <c r="D996" s="69"/>
      <c r="E996" s="41" t="s">
        <v>1465</v>
      </c>
      <c r="F996" s="70"/>
      <c r="G996" s="71" t="s">
        <v>1465</v>
      </c>
      <c r="H996" s="41"/>
      <c r="I996" s="42"/>
      <c r="J996" s="43"/>
      <c r="K996" s="72">
        <v>12.0</v>
      </c>
      <c r="L996" s="53" t="s">
        <v>69</v>
      </c>
      <c r="M996" s="73">
        <v>12500.0</v>
      </c>
      <c r="N996" s="74"/>
      <c r="O996" s="73">
        <v>150000.0</v>
      </c>
      <c r="P996" s="46" t="str">
        <f t="shared" si="2"/>
        <v>Rp12,500-12 PCS-0.00%</v>
      </c>
      <c r="Q996" s="75">
        <v>45412.0</v>
      </c>
      <c r="R996" s="76"/>
      <c r="S996" s="75">
        <v>45420.0</v>
      </c>
      <c r="T996" s="49"/>
    </row>
    <row r="997">
      <c r="A997" s="82">
        <v>4416.0</v>
      </c>
      <c r="B997" s="69" t="s">
        <v>29</v>
      </c>
      <c r="C997" s="70" t="s">
        <v>1457</v>
      </c>
      <c r="D997" s="69"/>
      <c r="E997" s="41" t="s">
        <v>1466</v>
      </c>
      <c r="F997" s="70"/>
      <c r="G997" s="71" t="s">
        <v>1466</v>
      </c>
      <c r="H997" s="41"/>
      <c r="I997" s="42"/>
      <c r="J997" s="43"/>
      <c r="K997" s="72">
        <v>1.0</v>
      </c>
      <c r="L997" s="53" t="s">
        <v>62</v>
      </c>
      <c r="M997" s="73">
        <v>60000.0</v>
      </c>
      <c r="N997" s="74"/>
      <c r="O997" s="73">
        <v>60000.0</v>
      </c>
      <c r="P997" s="46" t="str">
        <f t="shared" si="2"/>
        <v>Rp60,000-1 LSN-0.00%</v>
      </c>
      <c r="Q997" s="75">
        <v>45412.0</v>
      </c>
      <c r="R997" s="76"/>
      <c r="S997" s="75">
        <v>45420.0</v>
      </c>
      <c r="T997" s="49"/>
    </row>
    <row r="998">
      <c r="A998" s="82">
        <v>4416.0</v>
      </c>
      <c r="B998" s="69" t="s">
        <v>29</v>
      </c>
      <c r="C998" s="70" t="s">
        <v>1457</v>
      </c>
      <c r="D998" s="69" t="s">
        <v>1467</v>
      </c>
      <c r="E998" s="41" t="str">
        <f>IFERROR(__xludf.DUMMYFUNCTION("vlookup(D998,IMPORTRANGE(""https://docs.google.com/spreadsheets/d/1swGwZOEqYlTEUCJLY-eeJM1911Kvaei5oySBIxdgtNo/edit?pli=1#gid=257618397"",""stock untanna!B:C""),2,false)"),"BK TABUNGAN ENTER")</f>
        <v>BK TABUNGAN ENTER</v>
      </c>
      <c r="F998" s="70" t="s">
        <v>1467</v>
      </c>
      <c r="G998" s="71" t="s">
        <v>1468</v>
      </c>
      <c r="H998" s="41"/>
      <c r="I998" s="42"/>
      <c r="J998" s="43"/>
      <c r="K998" s="72">
        <v>200.0</v>
      </c>
      <c r="L998" s="53" t="s">
        <v>69</v>
      </c>
      <c r="M998" s="73">
        <v>1000.0</v>
      </c>
      <c r="N998" s="74"/>
      <c r="O998" s="73">
        <v>200000.0</v>
      </c>
      <c r="P998" s="46" t="str">
        <f t="shared" si="2"/>
        <v>Rp1,000-200 PCS-0.00%</v>
      </c>
      <c r="Q998" s="75">
        <v>45412.0</v>
      </c>
      <c r="R998" s="76"/>
      <c r="S998" s="75">
        <v>45420.0</v>
      </c>
      <c r="T998" s="49"/>
    </row>
    <row r="999">
      <c r="A999" s="82">
        <v>4416.0</v>
      </c>
      <c r="B999" s="69" t="s">
        <v>29</v>
      </c>
      <c r="C999" s="70" t="s">
        <v>1457</v>
      </c>
      <c r="D999" s="69"/>
      <c r="E999" s="41" t="s">
        <v>1469</v>
      </c>
      <c r="F999" s="70"/>
      <c r="G999" s="71" t="s">
        <v>1469</v>
      </c>
      <c r="H999" s="41"/>
      <c r="I999" s="42"/>
      <c r="J999" s="43"/>
      <c r="K999" s="72">
        <v>20.0</v>
      </c>
      <c r="L999" s="53" t="s">
        <v>69</v>
      </c>
      <c r="M999" s="73">
        <v>11000.0</v>
      </c>
      <c r="N999" s="74"/>
      <c r="O999" s="73">
        <v>220000.0</v>
      </c>
      <c r="P999" s="46" t="str">
        <f t="shared" si="2"/>
        <v>Rp11,000-20 PCS-0.00%</v>
      </c>
      <c r="Q999" s="75">
        <v>45412.0</v>
      </c>
      <c r="R999" s="76"/>
      <c r="S999" s="75">
        <v>45420.0</v>
      </c>
      <c r="T999" s="49"/>
    </row>
    <row r="1000">
      <c r="A1000" s="82">
        <v>4416.0</v>
      </c>
      <c r="B1000" s="69" t="s">
        <v>29</v>
      </c>
      <c r="C1000" s="70" t="s">
        <v>1457</v>
      </c>
      <c r="D1000" s="69"/>
      <c r="E1000" s="41" t="s">
        <v>1470</v>
      </c>
      <c r="F1000" s="70"/>
      <c r="G1000" s="71" t="s">
        <v>1470</v>
      </c>
      <c r="H1000" s="41"/>
      <c r="I1000" s="42"/>
      <c r="J1000" s="43"/>
      <c r="K1000" s="72">
        <v>100.0</v>
      </c>
      <c r="L1000" s="53" t="s">
        <v>69</v>
      </c>
      <c r="M1000" s="73">
        <v>5500.0</v>
      </c>
      <c r="N1000" s="74"/>
      <c r="O1000" s="73">
        <v>550000.0</v>
      </c>
      <c r="P1000" s="46" t="str">
        <f t="shared" si="2"/>
        <v>Rp5,500-100 PCS-0.00%</v>
      </c>
      <c r="Q1000" s="75">
        <v>45412.0</v>
      </c>
      <c r="R1000" s="76"/>
      <c r="S1000" s="75">
        <v>45420.0</v>
      </c>
      <c r="T1000" s="80" t="s">
        <v>280</v>
      </c>
    </row>
    <row r="1001">
      <c r="A1001" s="82">
        <v>4416.0</v>
      </c>
      <c r="B1001" s="69" t="s">
        <v>29</v>
      </c>
      <c r="C1001" s="70" t="s">
        <v>1457</v>
      </c>
      <c r="D1001" s="69"/>
      <c r="E1001" s="41" t="s">
        <v>1471</v>
      </c>
      <c r="F1001" s="70"/>
      <c r="G1001" s="71" t="s">
        <v>1471</v>
      </c>
      <c r="H1001" s="41"/>
      <c r="I1001" s="42"/>
      <c r="J1001" s="43"/>
      <c r="K1001" s="72">
        <v>30.0</v>
      </c>
      <c r="L1001" s="53" t="s">
        <v>69</v>
      </c>
      <c r="M1001" s="73">
        <v>6000.0</v>
      </c>
      <c r="N1001" s="74"/>
      <c r="O1001" s="73">
        <v>180000.0</v>
      </c>
      <c r="P1001" s="46" t="str">
        <f t="shared" si="2"/>
        <v>Rp6,000-30 PCS-0.00%</v>
      </c>
      <c r="Q1001" s="75">
        <v>45412.0</v>
      </c>
      <c r="R1001" s="76"/>
      <c r="S1001" s="75">
        <v>45420.0</v>
      </c>
      <c r="T1001" s="80" t="s">
        <v>280</v>
      </c>
    </row>
    <row r="1002">
      <c r="A1002" s="82">
        <v>4416.0</v>
      </c>
      <c r="B1002" s="69" t="s">
        <v>29</v>
      </c>
      <c r="C1002" s="70" t="s">
        <v>1457</v>
      </c>
      <c r="D1002" s="69" t="s">
        <v>1472</v>
      </c>
      <c r="E1002" s="41" t="str">
        <f>IFERROR(__xludf.DUMMYFUNCTION("vlookup(D1002,IMPORTRANGE(""https://docs.google.com/spreadsheets/d/1swGwZOEqYlTEUCJLY-eeJM1911Kvaei5oySBIxdgtNo/edit?pli=1#gid=257618397"",""stock untanna!B:C""),2,false)"),"STICK NOTE POST A")</f>
        <v>STICK NOTE POST A</v>
      </c>
      <c r="F1002" s="70" t="s">
        <v>1472</v>
      </c>
      <c r="G1002" s="71" t="s">
        <v>1473</v>
      </c>
      <c r="H1002" s="41"/>
      <c r="I1002" s="42"/>
      <c r="J1002" s="43"/>
      <c r="K1002" s="72">
        <v>40.0</v>
      </c>
      <c r="L1002" s="53" t="s">
        <v>69</v>
      </c>
      <c r="M1002" s="73">
        <v>5250.0</v>
      </c>
      <c r="N1002" s="74"/>
      <c r="O1002" s="73">
        <v>210000.0</v>
      </c>
      <c r="P1002" s="46" t="str">
        <f t="shared" si="2"/>
        <v>Rp5,250-40 PCS-0.00%</v>
      </c>
      <c r="Q1002" s="75">
        <v>45412.0</v>
      </c>
      <c r="R1002" s="76"/>
      <c r="S1002" s="75">
        <v>45420.0</v>
      </c>
      <c r="T1002" s="80" t="s">
        <v>1474</v>
      </c>
    </row>
    <row r="1003">
      <c r="A1003" s="82">
        <v>4416.0</v>
      </c>
      <c r="B1003" s="69" t="s">
        <v>29</v>
      </c>
      <c r="C1003" s="70" t="s">
        <v>1457</v>
      </c>
      <c r="D1003" s="69"/>
      <c r="E1003" s="41" t="s">
        <v>1475</v>
      </c>
      <c r="F1003" s="70"/>
      <c r="G1003" s="71" t="s">
        <v>1475</v>
      </c>
      <c r="H1003" s="41"/>
      <c r="I1003" s="42"/>
      <c r="J1003" s="43"/>
      <c r="K1003" s="72">
        <v>100.0</v>
      </c>
      <c r="L1003" s="53" t="s">
        <v>69</v>
      </c>
      <c r="M1003" s="73">
        <v>5500.0</v>
      </c>
      <c r="N1003" s="74"/>
      <c r="O1003" s="73">
        <v>550000.0</v>
      </c>
      <c r="P1003" s="46" t="str">
        <f t="shared" si="2"/>
        <v>Rp5,500-100 PCS-0.00%</v>
      </c>
      <c r="Q1003" s="75">
        <v>45412.0</v>
      </c>
      <c r="R1003" s="76"/>
      <c r="S1003" s="75">
        <v>45420.0</v>
      </c>
      <c r="T1003" s="49"/>
    </row>
    <row r="1004">
      <c r="A1004" s="82">
        <v>4417.0</v>
      </c>
      <c r="B1004" s="69" t="s">
        <v>29</v>
      </c>
      <c r="C1004" s="70" t="s">
        <v>1457</v>
      </c>
      <c r="D1004" s="69" t="s">
        <v>1336</v>
      </c>
      <c r="E1004" s="41" t="str">
        <f>IFERROR(__xludf.DUMMYFUNCTION("vlookup(D1004,IMPORTRANGE(""https://docs.google.com/spreadsheets/d/1swGwZOEqYlTEUCJLY-eeJM1911Kvaei5oySBIxdgtNo/edit?pli=1#gid=257618397"",""stock untanna!B:C""),2,false)"),"TAS BATIK B ALPINDO")</f>
        <v>TAS BATIK B ALPINDO</v>
      </c>
      <c r="F1004" s="70" t="s">
        <v>1336</v>
      </c>
      <c r="G1004" s="71" t="s">
        <v>1337</v>
      </c>
      <c r="H1004" s="41"/>
      <c r="I1004" s="42"/>
      <c r="J1004" s="43"/>
      <c r="K1004" s="72">
        <v>2.0</v>
      </c>
      <c r="L1004" s="53" t="s">
        <v>62</v>
      </c>
      <c r="M1004" s="73">
        <v>60000.0</v>
      </c>
      <c r="N1004" s="74"/>
      <c r="O1004" s="73">
        <v>120000.0</v>
      </c>
      <c r="P1004" s="46" t="str">
        <f t="shared" si="2"/>
        <v>Rp60,000-2 LSN-0.00%</v>
      </c>
      <c r="Q1004" s="75">
        <v>45412.0</v>
      </c>
      <c r="R1004" s="76"/>
      <c r="S1004" s="75">
        <v>45420.0</v>
      </c>
      <c r="T1004" s="49"/>
    </row>
    <row r="1005">
      <c r="A1005" s="82">
        <v>4417.0</v>
      </c>
      <c r="B1005" s="69" t="s">
        <v>29</v>
      </c>
      <c r="C1005" s="70" t="s">
        <v>1457</v>
      </c>
      <c r="D1005" s="69" t="s">
        <v>247</v>
      </c>
      <c r="E1005" s="41" t="str">
        <f>IFERROR(__xludf.DUMMYFUNCTION("vlookup(D1005,IMPORTRANGE(""https://docs.google.com/spreadsheets/d/1swGwZOEqYlTEUCJLY-eeJM1911Kvaei5oySBIxdgtNo/edit?pli=1#gid=257618397"",""stock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05" s="70" t="s">
        <v>247</v>
      </c>
      <c r="G1005" s="78" t="s">
        <v>248</v>
      </c>
      <c r="H1005" s="41"/>
      <c r="I1005" s="42"/>
      <c r="J1005" s="43"/>
      <c r="K1005" s="72">
        <v>1.0</v>
      </c>
      <c r="L1005" s="53" t="s">
        <v>62</v>
      </c>
      <c r="M1005" s="73">
        <v>157500.0</v>
      </c>
      <c r="N1005" s="74"/>
      <c r="O1005" s="73">
        <v>157500.0</v>
      </c>
      <c r="P1005" s="46" t="str">
        <f t="shared" si="2"/>
        <v>Rp157,500-1 LSN-0.00%</v>
      </c>
      <c r="Q1005" s="75">
        <v>45412.0</v>
      </c>
      <c r="R1005" s="76"/>
      <c r="S1005" s="75">
        <v>45420.0</v>
      </c>
      <c r="T1005" s="49"/>
    </row>
    <row r="1006">
      <c r="A1006" s="82">
        <v>4417.0</v>
      </c>
      <c r="B1006" s="69" t="s">
        <v>29</v>
      </c>
      <c r="C1006" s="70" t="s">
        <v>1457</v>
      </c>
      <c r="D1006" s="69" t="s">
        <v>247</v>
      </c>
      <c r="E1006" s="41" t="str">
        <f>IFERROR(__xludf.DUMMYFUNCTION("vlookup(D1006,IMPORTRANGE(""https://docs.google.com/spreadsheets/d/1swGwZOEqYlTEUCJLY-eeJM1911Kvaei5oySBIxdgtNo/edit?pli=1#gid=257618397"",""stock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06" s="70" t="s">
        <v>247</v>
      </c>
      <c r="G1006" s="78" t="s">
        <v>248</v>
      </c>
      <c r="H1006" s="41"/>
      <c r="I1006" s="42"/>
      <c r="J1006" s="43"/>
      <c r="K1006" s="72">
        <v>1.0</v>
      </c>
      <c r="L1006" s="53" t="s">
        <v>62</v>
      </c>
      <c r="M1006" s="73">
        <v>157500.0</v>
      </c>
      <c r="N1006" s="74"/>
      <c r="O1006" s="73">
        <v>157500.0</v>
      </c>
      <c r="P1006" s="46" t="str">
        <f t="shared" si="2"/>
        <v>Rp157,500-1 LSN-0.00%</v>
      </c>
      <c r="Q1006" s="75">
        <v>45412.0</v>
      </c>
      <c r="R1006" s="76"/>
      <c r="S1006" s="75">
        <v>45420.0</v>
      </c>
      <c r="T1006" s="49"/>
    </row>
    <row r="1007">
      <c r="A1007" s="82">
        <v>4417.0</v>
      </c>
      <c r="B1007" s="69" t="s">
        <v>29</v>
      </c>
      <c r="C1007" s="70" t="s">
        <v>1457</v>
      </c>
      <c r="D1007" s="69"/>
      <c r="E1007" s="41" t="s">
        <v>1476</v>
      </c>
      <c r="F1007" s="70"/>
      <c r="G1007" s="71" t="s">
        <v>1476</v>
      </c>
      <c r="H1007" s="41"/>
      <c r="I1007" s="42"/>
      <c r="J1007" s="43"/>
      <c r="K1007" s="72">
        <v>1.0</v>
      </c>
      <c r="L1007" s="53" t="s">
        <v>62</v>
      </c>
      <c r="M1007" s="73">
        <v>20000.0</v>
      </c>
      <c r="N1007" s="74"/>
      <c r="O1007" s="73">
        <v>20000.0</v>
      </c>
      <c r="P1007" s="46" t="str">
        <f t="shared" si="2"/>
        <v>Rp20,000-1 LSN-0.00%</v>
      </c>
      <c r="Q1007" s="75">
        <v>45412.0</v>
      </c>
      <c r="R1007" s="76"/>
      <c r="S1007" s="75">
        <v>45420.0</v>
      </c>
      <c r="T1007" s="49"/>
    </row>
    <row r="1008">
      <c r="A1008" s="82">
        <v>4417.0</v>
      </c>
      <c r="B1008" s="69" t="s">
        <v>29</v>
      </c>
      <c r="C1008" s="70" t="s">
        <v>1457</v>
      </c>
      <c r="D1008" s="69" t="s">
        <v>247</v>
      </c>
      <c r="E1008" s="41" t="str">
        <f>IFERROR(__xludf.DUMMYFUNCTION("vlookup(D1008,IMPORTRANGE(""https://docs.google.com/spreadsheets/d/1swGwZOEqYlTEUCJLY-eeJM1911Kvaei5oySBIxdgtNo/edit?pli=1#gid=257618397"",""stock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08" s="70" t="s">
        <v>247</v>
      </c>
      <c r="G1008" s="78" t="s">
        <v>248</v>
      </c>
      <c r="H1008" s="41"/>
      <c r="I1008" s="42"/>
      <c r="J1008" s="43"/>
      <c r="K1008" s="72">
        <v>1.0</v>
      </c>
      <c r="L1008" s="53" t="s">
        <v>62</v>
      </c>
      <c r="M1008" s="73">
        <v>157500.0</v>
      </c>
      <c r="N1008" s="74"/>
      <c r="O1008" s="73">
        <v>157500.0</v>
      </c>
      <c r="P1008" s="46" t="str">
        <f t="shared" si="2"/>
        <v>Rp157,500-1 LSN-0.00%</v>
      </c>
      <c r="Q1008" s="75">
        <v>45412.0</v>
      </c>
      <c r="R1008" s="76"/>
      <c r="S1008" s="75">
        <v>45420.0</v>
      </c>
      <c r="T1008" s="49"/>
    </row>
    <row r="1009">
      <c r="A1009" s="82">
        <v>4417.0</v>
      </c>
      <c r="B1009" s="69" t="s">
        <v>29</v>
      </c>
      <c r="C1009" s="70" t="s">
        <v>1457</v>
      </c>
      <c r="D1009" s="69" t="s">
        <v>247</v>
      </c>
      <c r="E1009" s="41" t="str">
        <f>IFERROR(__xludf.DUMMYFUNCTION("vlookup(D1009,IMPORTRANGE(""https://docs.google.com/spreadsheets/d/1swGwZOEqYlTEUCJLY-eeJM1911Kvaei5oySBIxdgtNo/edit?pli=1#gid=257618397"",""stock untanna!B:C""),2,false)"),"TAS TUTUP PITA KADO FG-201 TANGGUNG")</f>
        <v>TAS TUTUP PITA KADO FG-201 TANGGUNG</v>
      </c>
      <c r="F1009" s="70" t="s">
        <v>247</v>
      </c>
      <c r="G1009" s="78" t="s">
        <v>248</v>
      </c>
      <c r="H1009" s="41"/>
      <c r="I1009" s="42"/>
      <c r="J1009" s="43"/>
      <c r="K1009" s="72">
        <v>1.0</v>
      </c>
      <c r="L1009" s="53" t="s">
        <v>62</v>
      </c>
      <c r="M1009" s="73">
        <v>200000.0</v>
      </c>
      <c r="N1009" s="74"/>
      <c r="O1009" s="73">
        <v>200000.0</v>
      </c>
      <c r="P1009" s="46" t="str">
        <f t="shared" si="2"/>
        <v>Rp200,000-1 LSN-0.00%</v>
      </c>
      <c r="Q1009" s="75">
        <v>45412.0</v>
      </c>
      <c r="R1009" s="76"/>
      <c r="S1009" s="75">
        <v>45420.0</v>
      </c>
      <c r="T1009" s="49"/>
    </row>
    <row r="1010">
      <c r="A1010" s="82">
        <v>4417.0</v>
      </c>
      <c r="B1010" s="69" t="s">
        <v>29</v>
      </c>
      <c r="C1010" s="70" t="s">
        <v>1457</v>
      </c>
      <c r="D1010" s="69" t="s">
        <v>249</v>
      </c>
      <c r="E1010" s="41" t="str">
        <f>IFERROR(__xludf.DUMMYFUNCTION("vlookup(D1010,IMPORTRANGE(""https://docs.google.com/spreadsheets/d/1swGwZOEqYlTEUCJLY-eeJM1911Kvaei5oySBIxdgtNo/edit?pli=1#gid=257618397"",""stock untanna!B:C""),2,false)"),"TAS TUTUP PITA KADO FG-101 KECIL")</f>
        <v>TAS TUTUP PITA KADO FG-101 KECIL</v>
      </c>
      <c r="F1010" s="70" t="s">
        <v>249</v>
      </c>
      <c r="G1010" s="71" t="s">
        <v>250</v>
      </c>
      <c r="H1010" s="41"/>
      <c r="I1010" s="42"/>
      <c r="J1010" s="43"/>
      <c r="K1010" s="72">
        <v>1.0</v>
      </c>
      <c r="L1010" s="53" t="s">
        <v>62</v>
      </c>
      <c r="M1010" s="73">
        <v>85000.0</v>
      </c>
      <c r="N1010" s="74"/>
      <c r="O1010" s="73">
        <v>85000.0</v>
      </c>
      <c r="P1010" s="46" t="str">
        <f t="shared" si="2"/>
        <v>Rp85,000-1 LSN-0.00%</v>
      </c>
      <c r="Q1010" s="75">
        <v>45412.0</v>
      </c>
      <c r="R1010" s="76"/>
      <c r="S1010" s="75">
        <v>45420.0</v>
      </c>
      <c r="T1010" s="49"/>
    </row>
    <row r="1011">
      <c r="A1011" s="82">
        <v>4417.0</v>
      </c>
      <c r="B1011" s="69" t="s">
        <v>29</v>
      </c>
      <c r="C1011" s="70" t="s">
        <v>1457</v>
      </c>
      <c r="D1011" s="69"/>
      <c r="E1011" s="41" t="s">
        <v>1477</v>
      </c>
      <c r="F1011" s="70"/>
      <c r="G1011" s="71" t="s">
        <v>1477</v>
      </c>
      <c r="H1011" s="41"/>
      <c r="I1011" s="42"/>
      <c r="J1011" s="43"/>
      <c r="K1011" s="72">
        <v>1.0</v>
      </c>
      <c r="L1011" s="53" t="s">
        <v>62</v>
      </c>
      <c r="M1011" s="73">
        <v>50000.0</v>
      </c>
      <c r="N1011" s="74"/>
      <c r="O1011" s="73">
        <v>50000.0</v>
      </c>
      <c r="P1011" s="46" t="str">
        <f t="shared" si="2"/>
        <v>Rp50,000-1 LSN-0.00%</v>
      </c>
      <c r="Q1011" s="75">
        <v>45412.0</v>
      </c>
      <c r="R1011" s="76"/>
      <c r="S1011" s="75">
        <v>45420.0</v>
      </c>
      <c r="T1011" s="49"/>
    </row>
    <row r="1012">
      <c r="A1012" s="82">
        <v>4417.0</v>
      </c>
      <c r="B1012" s="69" t="s">
        <v>29</v>
      </c>
      <c r="C1012" s="70" t="s">
        <v>1457</v>
      </c>
      <c r="D1012" s="69" t="s">
        <v>656</v>
      </c>
      <c r="E1012" s="41" t="str">
        <f>IFERROR(__xludf.DUMMYFUNCTION("vlookup(D1012,IMPORTRANGE(""https://docs.google.com/spreadsheets/d/1swGwZOEqYlTEUCJLY-eeJM1911Kvaei5oySBIxdgtNo/edit?pli=1#gid=257618397"",""stock untanna!B:C""),2,false)"),"TAS BATIK T ALPINDO ")</f>
        <v>TAS BATIK T ALPINDO </v>
      </c>
      <c r="F1012" s="70" t="s">
        <v>656</v>
      </c>
      <c r="G1012" s="71" t="s">
        <v>1240</v>
      </c>
      <c r="H1012" s="41"/>
      <c r="I1012" s="42"/>
      <c r="J1012" s="43"/>
      <c r="K1012" s="72">
        <v>1.0</v>
      </c>
      <c r="L1012" s="53" t="s">
        <v>62</v>
      </c>
      <c r="M1012" s="73">
        <v>47500.0</v>
      </c>
      <c r="N1012" s="74"/>
      <c r="O1012" s="73">
        <v>47500.0</v>
      </c>
      <c r="P1012" s="46" t="str">
        <f t="shared" si="2"/>
        <v>Rp47,500-1 LSN-0.00%</v>
      </c>
      <c r="Q1012" s="75">
        <v>45412.0</v>
      </c>
      <c r="R1012" s="76"/>
      <c r="S1012" s="75">
        <v>45420.0</v>
      </c>
      <c r="T1012" s="49"/>
    </row>
    <row r="1013">
      <c r="A1013" s="82">
        <v>4417.0</v>
      </c>
      <c r="B1013" s="69" t="s">
        <v>29</v>
      </c>
      <c r="C1013" s="70" t="s">
        <v>1457</v>
      </c>
      <c r="D1013" s="69"/>
      <c r="E1013" s="41" t="s">
        <v>1478</v>
      </c>
      <c r="F1013" s="70"/>
      <c r="G1013" s="71" t="s">
        <v>1478</v>
      </c>
      <c r="H1013" s="41"/>
      <c r="I1013" s="42"/>
      <c r="J1013" s="43"/>
      <c r="K1013" s="72">
        <v>1.0</v>
      </c>
      <c r="L1013" s="53" t="s">
        <v>62</v>
      </c>
      <c r="M1013" s="73">
        <v>32500.0</v>
      </c>
      <c r="N1013" s="74"/>
      <c r="O1013" s="73">
        <v>32500.0</v>
      </c>
      <c r="P1013" s="46" t="str">
        <f t="shared" si="2"/>
        <v>Rp32,500-1 LSN-0.00%</v>
      </c>
      <c r="Q1013" s="75">
        <v>45412.0</v>
      </c>
      <c r="R1013" s="76"/>
      <c r="S1013" s="75">
        <v>45420.0</v>
      </c>
      <c r="T1013" s="49"/>
    </row>
    <row r="1014">
      <c r="A1014" s="82">
        <v>4417.0</v>
      </c>
      <c r="B1014" s="69" t="s">
        <v>29</v>
      </c>
      <c r="C1014" s="70" t="s">
        <v>1457</v>
      </c>
      <c r="D1014" s="69" t="s">
        <v>1479</v>
      </c>
      <c r="E1014" s="41" t="str">
        <f>IFERROR(__xludf.DUMMYFUNCTION("vlookup(D1014,IMPORTRANGE(""https://docs.google.com/spreadsheets/d/1swGwZOEqYlTEUCJLY-eeJM1911Kvaei5oySBIxdgtNo/edit?pli=1#gid=257618397"",""stock untanna!B:C""),2,false)"),"TAS H-4007-M BIASA KECIL")</f>
        <v>TAS H-4007-M BIASA KECIL</v>
      </c>
      <c r="F1014" s="70" t="s">
        <v>1479</v>
      </c>
      <c r="G1014" s="71" t="s">
        <v>1480</v>
      </c>
      <c r="H1014" s="41"/>
      <c r="I1014" s="42"/>
      <c r="J1014" s="43"/>
      <c r="K1014" s="72">
        <v>12.0</v>
      </c>
      <c r="L1014" s="53" t="s">
        <v>69</v>
      </c>
      <c r="M1014" s="73">
        <v>7083.0</v>
      </c>
      <c r="N1014" s="74"/>
      <c r="O1014" s="73">
        <v>84996.0</v>
      </c>
      <c r="P1014" s="46" t="str">
        <f t="shared" si="2"/>
        <v>Rp7,083-12 PCS-0.00%</v>
      </c>
      <c r="Q1014" s="75">
        <v>45412.0</v>
      </c>
      <c r="R1014" s="76"/>
      <c r="S1014" s="75">
        <v>45420.0</v>
      </c>
      <c r="T1014" s="49"/>
    </row>
    <row r="1015">
      <c r="A1015" s="82">
        <v>4417.0</v>
      </c>
      <c r="B1015" s="69" t="s">
        <v>29</v>
      </c>
      <c r="C1015" s="70" t="s">
        <v>1457</v>
      </c>
      <c r="D1015" s="69"/>
      <c r="E1015" s="41" t="s">
        <v>1481</v>
      </c>
      <c r="F1015" s="70"/>
      <c r="G1015" s="71" t="s">
        <v>1481</v>
      </c>
      <c r="H1015" s="41"/>
      <c r="I1015" s="42"/>
      <c r="J1015" s="43"/>
      <c r="K1015" s="72">
        <v>1.0</v>
      </c>
      <c r="L1015" s="53" t="s">
        <v>62</v>
      </c>
      <c r="M1015" s="73">
        <v>85000.0</v>
      </c>
      <c r="N1015" s="74"/>
      <c r="O1015" s="73">
        <v>85000.0</v>
      </c>
      <c r="P1015" s="46" t="str">
        <f t="shared" si="2"/>
        <v>Rp85,000-1 LSN-0.00%</v>
      </c>
      <c r="Q1015" s="75">
        <v>45412.0</v>
      </c>
      <c r="R1015" s="76"/>
      <c r="S1015" s="75">
        <v>45420.0</v>
      </c>
      <c r="T1015" s="49"/>
    </row>
    <row r="1016">
      <c r="A1016" s="82">
        <v>4417.0</v>
      </c>
      <c r="B1016" s="69" t="s">
        <v>29</v>
      </c>
      <c r="C1016" s="70" t="s">
        <v>1457</v>
      </c>
      <c r="D1016" s="69"/>
      <c r="E1016" s="41" t="s">
        <v>1482</v>
      </c>
      <c r="F1016" s="70"/>
      <c r="G1016" s="71" t="s">
        <v>1482</v>
      </c>
      <c r="H1016" s="41"/>
      <c r="I1016" s="42"/>
      <c r="J1016" s="43"/>
      <c r="K1016" s="72">
        <v>1.0</v>
      </c>
      <c r="L1016" s="53" t="s">
        <v>62</v>
      </c>
      <c r="M1016" s="73">
        <v>93500.0</v>
      </c>
      <c r="N1016" s="74"/>
      <c r="O1016" s="73">
        <v>93500.0</v>
      </c>
      <c r="P1016" s="46" t="str">
        <f t="shared" si="2"/>
        <v>Rp93,500-1 LSN-0.00%</v>
      </c>
      <c r="Q1016" s="75">
        <v>45412.0</v>
      </c>
      <c r="R1016" s="76"/>
      <c r="S1016" s="75">
        <v>45420.0</v>
      </c>
      <c r="T1016" s="49"/>
    </row>
    <row r="1017">
      <c r="A1017" s="82">
        <v>4417.0</v>
      </c>
      <c r="B1017" s="69" t="s">
        <v>29</v>
      </c>
      <c r="C1017" s="70" t="s">
        <v>1457</v>
      </c>
      <c r="D1017" s="69"/>
      <c r="E1017" s="41" t="s">
        <v>1483</v>
      </c>
      <c r="F1017" s="70"/>
      <c r="G1017" s="71" t="s">
        <v>1483</v>
      </c>
      <c r="H1017" s="41"/>
      <c r="I1017" s="42"/>
      <c r="J1017" s="43"/>
      <c r="K1017" s="72">
        <v>1.0</v>
      </c>
      <c r="L1017" s="53" t="s">
        <v>62</v>
      </c>
      <c r="M1017" s="73">
        <v>85000.0</v>
      </c>
      <c r="N1017" s="74"/>
      <c r="O1017" s="73">
        <v>85000.0</v>
      </c>
      <c r="P1017" s="46" t="str">
        <f t="shared" si="2"/>
        <v>Rp85,000-1 LSN-0.00%</v>
      </c>
      <c r="Q1017" s="75">
        <v>45412.0</v>
      </c>
      <c r="R1017" s="76"/>
      <c r="S1017" s="75">
        <v>45420.0</v>
      </c>
      <c r="T1017" s="49"/>
    </row>
    <row r="1018">
      <c r="A1018" s="82">
        <v>4417.0</v>
      </c>
      <c r="B1018" s="69" t="s">
        <v>29</v>
      </c>
      <c r="C1018" s="70" t="s">
        <v>1457</v>
      </c>
      <c r="D1018" s="69"/>
      <c r="E1018" s="41" t="s">
        <v>1484</v>
      </c>
      <c r="F1018" s="70"/>
      <c r="G1018" s="71" t="s">
        <v>1484</v>
      </c>
      <c r="H1018" s="41"/>
      <c r="I1018" s="42"/>
      <c r="J1018" s="43"/>
      <c r="K1018" s="72">
        <v>1.0</v>
      </c>
      <c r="L1018" s="53" t="s">
        <v>62</v>
      </c>
      <c r="M1018" s="73">
        <v>93500.0</v>
      </c>
      <c r="N1018" s="74"/>
      <c r="O1018" s="73">
        <v>93500.0</v>
      </c>
      <c r="P1018" s="46" t="str">
        <f t="shared" si="2"/>
        <v>Rp93,500-1 LSN-0.00%</v>
      </c>
      <c r="Q1018" s="75">
        <v>45412.0</v>
      </c>
      <c r="R1018" s="76"/>
      <c r="S1018" s="75">
        <v>45420.0</v>
      </c>
      <c r="T1018" s="49"/>
    </row>
    <row r="1019">
      <c r="A1019" s="82">
        <v>4417.0</v>
      </c>
      <c r="B1019" s="69" t="s">
        <v>29</v>
      </c>
      <c r="C1019" s="70" t="s">
        <v>1457</v>
      </c>
      <c r="D1019" s="69" t="s">
        <v>1485</v>
      </c>
      <c r="E1019" s="41" t="str">
        <f>IFERROR(__xludf.DUMMYFUNCTION("vlookup(D1019,IMPORTRANGE(""https://docs.google.com/spreadsheets/d/1swGwZOEqYlTEUCJLY-eeJM1911Kvaei5oySBIxdgtNo/edit?pli=1#gid=257618397"",""stock untanna!B:C""),2,false)"),"TAS 16 X 21")</f>
        <v>TAS 16 X 21</v>
      </c>
      <c r="F1019" s="70" t="s">
        <v>1485</v>
      </c>
      <c r="G1019" s="71" t="s">
        <v>1486</v>
      </c>
      <c r="H1019" s="41"/>
      <c r="I1019" s="42"/>
      <c r="J1019" s="43"/>
      <c r="K1019" s="72">
        <v>1.0</v>
      </c>
      <c r="L1019" s="53" t="s">
        <v>62</v>
      </c>
      <c r="M1019" s="73">
        <v>20000.0</v>
      </c>
      <c r="N1019" s="74"/>
      <c r="O1019" s="73">
        <v>20000.0</v>
      </c>
      <c r="P1019" s="46" t="str">
        <f t="shared" si="2"/>
        <v>Rp20,000-1 LSN-0.00%</v>
      </c>
      <c r="Q1019" s="75">
        <v>45412.0</v>
      </c>
      <c r="R1019" s="76"/>
      <c r="S1019" s="75">
        <v>45420.0</v>
      </c>
      <c r="T1019" s="49"/>
    </row>
    <row r="1020">
      <c r="A1020" s="82">
        <v>4418.0</v>
      </c>
      <c r="B1020" s="69" t="s">
        <v>29</v>
      </c>
      <c r="C1020" s="70" t="s">
        <v>1457</v>
      </c>
      <c r="D1020" s="69"/>
      <c r="E1020" s="41" t="s">
        <v>1487</v>
      </c>
      <c r="F1020" s="70"/>
      <c r="G1020" s="71" t="s">
        <v>1487</v>
      </c>
      <c r="H1020" s="41"/>
      <c r="I1020" s="42"/>
      <c r="J1020" s="43"/>
      <c r="K1020" s="72">
        <v>24.0</v>
      </c>
      <c r="L1020" s="53" t="s">
        <v>69</v>
      </c>
      <c r="M1020" s="73">
        <v>12500.0</v>
      </c>
      <c r="N1020" s="74"/>
      <c r="O1020" s="73">
        <v>300000.0</v>
      </c>
      <c r="P1020" s="46" t="str">
        <f t="shared" si="2"/>
        <v>Rp12,500-24 PCS-0.00%</v>
      </c>
      <c r="Q1020" s="75">
        <v>45412.0</v>
      </c>
      <c r="R1020" s="76"/>
      <c r="S1020" s="75">
        <v>45420.0</v>
      </c>
      <c r="T1020" s="49"/>
    </row>
    <row r="1021">
      <c r="A1021" s="82">
        <v>4418.0</v>
      </c>
      <c r="B1021" s="69" t="s">
        <v>29</v>
      </c>
      <c r="C1021" s="70" t="s">
        <v>1457</v>
      </c>
      <c r="D1021" s="69" t="s">
        <v>938</v>
      </c>
      <c r="E1021" s="41" t="str">
        <f>IFERROR(__xludf.DUMMYFUNCTION("vlookup(D1021,IMPORTRANGE(""https://docs.google.com/spreadsheets/d/1swGwZOEqYlTEUCJLY-eeJM1911Kvaei5oySBIxdgtNo/edit?pli=1#gid=257618397"",""stock untanna!B:C""),2,false)"),"STICKER QJF-A")</f>
        <v>STICKER QJF-A</v>
      </c>
      <c r="F1021" s="70" t="s">
        <v>938</v>
      </c>
      <c r="G1021" s="71" t="s">
        <v>939</v>
      </c>
      <c r="H1021" s="41"/>
      <c r="I1021" s="42"/>
      <c r="J1021" s="43"/>
      <c r="K1021" s="72">
        <v>24.0</v>
      </c>
      <c r="L1021" s="53" t="s">
        <v>114</v>
      </c>
      <c r="M1021" s="73">
        <v>24000.0</v>
      </c>
      <c r="N1021" s="74"/>
      <c r="O1021" s="73">
        <v>576000.0</v>
      </c>
      <c r="P1021" s="46" t="str">
        <f t="shared" si="2"/>
        <v>Rp24,000-24 PAK-0.00%</v>
      </c>
      <c r="Q1021" s="75">
        <v>45412.0</v>
      </c>
      <c r="R1021" s="76"/>
      <c r="S1021" s="75">
        <v>45420.0</v>
      </c>
      <c r="T1021" s="49" t="s">
        <v>100</v>
      </c>
    </row>
    <row r="1022">
      <c r="A1022" s="82">
        <v>4418.0</v>
      </c>
      <c r="B1022" s="69" t="s">
        <v>29</v>
      </c>
      <c r="C1022" s="70" t="s">
        <v>1457</v>
      </c>
      <c r="D1022" s="69" t="s">
        <v>1488</v>
      </c>
      <c r="E1022" s="41" t="str">
        <f>IFERROR(__xludf.DUMMYFUNCTION("vlookup(D1022,IMPORTRANGE(""https://docs.google.com/spreadsheets/d/1swGwZOEqYlTEUCJLY-eeJM1911Kvaei5oySBIxdgtNo/edit?pli=1#gid=257618397"",""stock untanna!B:C""),2,false)"),"STICKER JBE-30")</f>
        <v>STICKER JBE-30</v>
      </c>
      <c r="F1022" s="70" t="s">
        <v>1488</v>
      </c>
      <c r="G1022" s="71" t="s">
        <v>1489</v>
      </c>
      <c r="H1022" s="41"/>
      <c r="I1022" s="42"/>
      <c r="J1022" s="43"/>
      <c r="K1022" s="72">
        <v>24.0</v>
      </c>
      <c r="L1022" s="53" t="s">
        <v>69</v>
      </c>
      <c r="M1022" s="73">
        <v>12500.0</v>
      </c>
      <c r="N1022" s="74"/>
      <c r="O1022" s="73">
        <v>300000.0</v>
      </c>
      <c r="P1022" s="46" t="str">
        <f t="shared" si="2"/>
        <v>Rp12,500-24 PCS-0.00%</v>
      </c>
      <c r="Q1022" s="75">
        <v>45412.0</v>
      </c>
      <c r="R1022" s="76"/>
      <c r="S1022" s="75">
        <v>45420.0</v>
      </c>
      <c r="T1022" s="49"/>
    </row>
    <row r="1023">
      <c r="A1023" s="82">
        <v>4418.0</v>
      </c>
      <c r="B1023" s="69" t="s">
        <v>29</v>
      </c>
      <c r="C1023" s="70" t="s">
        <v>1457</v>
      </c>
      <c r="D1023" s="69" t="s">
        <v>945</v>
      </c>
      <c r="E1023" s="41" t="str">
        <f>IFERROR(__xludf.DUMMYFUNCTION("vlookup(D1023,IMPORTRANGE(""https://docs.google.com/spreadsheets/d/1swGwZOEqYlTEUCJLY-eeJM1911Kvaei5oySBIxdgtNo/edit?pli=1#gid=257618397"",""stock untanna!B:C""),2,false)"),"STICKER XTQ-E")</f>
        <v>STICKER XTQ-E</v>
      </c>
      <c r="F1023" s="70" t="s">
        <v>945</v>
      </c>
      <c r="G1023" s="71" t="s">
        <v>946</v>
      </c>
      <c r="H1023" s="41"/>
      <c r="I1023" s="42"/>
      <c r="J1023" s="43"/>
      <c r="K1023" s="72">
        <v>36.0</v>
      </c>
      <c r="L1023" s="53" t="s">
        <v>69</v>
      </c>
      <c r="M1023" s="73">
        <v>6250.0</v>
      </c>
      <c r="N1023" s="74"/>
      <c r="O1023" s="73">
        <v>225000.0</v>
      </c>
      <c r="P1023" s="46" t="str">
        <f t="shared" si="2"/>
        <v>Rp6,250-36 PCS-0.00%</v>
      </c>
      <c r="Q1023" s="75">
        <v>45412.0</v>
      </c>
      <c r="R1023" s="76"/>
      <c r="S1023" s="75">
        <v>45420.0</v>
      </c>
      <c r="T1023" s="49"/>
    </row>
    <row r="1024">
      <c r="A1024" s="82">
        <v>4418.0</v>
      </c>
      <c r="B1024" s="69" t="s">
        <v>29</v>
      </c>
      <c r="C1024" s="70" t="s">
        <v>1457</v>
      </c>
      <c r="D1024" s="69" t="s">
        <v>1490</v>
      </c>
      <c r="E1024" s="41" t="str">
        <f>IFERROR(__xludf.DUMMYFUNCTION("vlookup(D1024,IMPORTRANGE(""https://docs.google.com/spreadsheets/d/1swGwZOEqYlTEUCJLY-eeJM1911Kvaei5oySBIxdgtNo/edit?pli=1#gid=257618397"",""stock untanna!B:C""),2,false)"),"STICKER JBE-SV")</f>
        <v>STICKER JBE-SV</v>
      </c>
      <c r="F1024" s="70" t="s">
        <v>1490</v>
      </c>
      <c r="G1024" s="71" t="s">
        <v>1491</v>
      </c>
      <c r="H1024" s="41"/>
      <c r="I1024" s="42"/>
      <c r="J1024" s="43"/>
      <c r="K1024" s="72">
        <v>12.0</v>
      </c>
      <c r="L1024" s="53" t="s">
        <v>114</v>
      </c>
      <c r="M1024" s="73">
        <v>24000.0</v>
      </c>
      <c r="N1024" s="74"/>
      <c r="O1024" s="73">
        <v>288000.0</v>
      </c>
      <c r="P1024" s="46" t="str">
        <f t="shared" si="2"/>
        <v>Rp24,000-12 PAK-0.00%</v>
      </c>
      <c r="Q1024" s="75">
        <v>45412.0</v>
      </c>
      <c r="R1024" s="76"/>
      <c r="S1024" s="75">
        <v>45420.0</v>
      </c>
      <c r="T1024" s="49" t="s">
        <v>100</v>
      </c>
    </row>
    <row r="1025">
      <c r="A1025" s="82">
        <v>4418.0</v>
      </c>
      <c r="B1025" s="69" t="s">
        <v>29</v>
      </c>
      <c r="C1025" s="70" t="s">
        <v>1457</v>
      </c>
      <c r="D1025" s="69" t="s">
        <v>1492</v>
      </c>
      <c r="E1025" s="41" t="str">
        <f>IFERROR(__xludf.DUMMYFUNCTION("vlookup(D1025,IMPORTRANGE(""https://docs.google.com/spreadsheets/d/1swGwZOEqYlTEUCJLY-eeJM1911Kvaei5oySBIxdgtNo/edit?pli=1#gid=257618397"",""stock untanna!B:C""),2,false)"),"STICKER KL-63")</f>
        <v>STICKER KL-63</v>
      </c>
      <c r="F1025" s="70" t="s">
        <v>1492</v>
      </c>
      <c r="G1025" s="71" t="s">
        <v>1493</v>
      </c>
      <c r="H1025" s="41"/>
      <c r="I1025" s="42"/>
      <c r="J1025" s="43"/>
      <c r="K1025" s="72">
        <v>12.0</v>
      </c>
      <c r="L1025" s="53" t="s">
        <v>114</v>
      </c>
      <c r="M1025" s="73">
        <v>24000.0</v>
      </c>
      <c r="N1025" s="74"/>
      <c r="O1025" s="73">
        <v>288000.0</v>
      </c>
      <c r="P1025" s="46" t="str">
        <f t="shared" si="2"/>
        <v>Rp24,000-12 PAK-0.00%</v>
      </c>
      <c r="Q1025" s="75">
        <v>45412.0</v>
      </c>
      <c r="R1025" s="76"/>
      <c r="S1025" s="75">
        <v>45420.0</v>
      </c>
      <c r="T1025" s="49" t="s">
        <v>100</v>
      </c>
    </row>
    <row r="1026">
      <c r="A1026" s="82">
        <v>4418.0</v>
      </c>
      <c r="B1026" s="69" t="s">
        <v>29</v>
      </c>
      <c r="C1026" s="70" t="s">
        <v>1457</v>
      </c>
      <c r="D1026" s="69" t="s">
        <v>1494</v>
      </c>
      <c r="E1026" s="41" t="str">
        <f>IFERROR(__xludf.DUMMYFUNCTION("vlookup(D1026,IMPORTRANGE(""https://docs.google.com/spreadsheets/d/1swGwZOEqYlTEUCJLY-eeJM1911Kvaei5oySBIxdgtNo/edit?pli=1#gid=257618397"",""stock untanna!B:C""),2,false)"),"STICKER JBE-35")</f>
        <v>STICKER JBE-35</v>
      </c>
      <c r="F1026" s="70" t="s">
        <v>1494</v>
      </c>
      <c r="G1026" s="71" t="s">
        <v>1495</v>
      </c>
      <c r="H1026" s="41"/>
      <c r="I1026" s="42"/>
      <c r="J1026" s="43"/>
      <c r="K1026" s="72">
        <v>48.0</v>
      </c>
      <c r="L1026" s="53" t="s">
        <v>69</v>
      </c>
      <c r="M1026" s="73">
        <v>5000.0</v>
      </c>
      <c r="N1026" s="74"/>
      <c r="O1026" s="73">
        <v>240000.0</v>
      </c>
      <c r="P1026" s="46" t="str">
        <f t="shared" si="2"/>
        <v>Rp5,000-48 PCS-0.00%</v>
      </c>
      <c r="Q1026" s="75">
        <v>45412.0</v>
      </c>
      <c r="R1026" s="76"/>
      <c r="S1026" s="75">
        <v>45420.0</v>
      </c>
      <c r="T1026" s="49"/>
    </row>
    <row r="1027">
      <c r="A1027" s="82">
        <v>4418.0</v>
      </c>
      <c r="B1027" s="69" t="s">
        <v>29</v>
      </c>
      <c r="C1027" s="70" t="s">
        <v>1457</v>
      </c>
      <c r="D1027" s="69" t="s">
        <v>1496</v>
      </c>
      <c r="E1027" s="41" t="str">
        <f>IFERROR(__xludf.DUMMYFUNCTION("vlookup(D1027,IMPORTRANGE(""https://docs.google.com/spreadsheets/d/1swGwZOEqYlTEUCJLY-eeJM1911Kvaei5oySBIxdgtNo/edit?pli=1#gid=257618397"",""stock untanna!B:C""),2,false)"),"STICKER JBE-SA")</f>
        <v>STICKER JBE-SA</v>
      </c>
      <c r="F1027" s="70" t="s">
        <v>1496</v>
      </c>
      <c r="G1027" s="71" t="s">
        <v>1497</v>
      </c>
      <c r="H1027" s="41"/>
      <c r="I1027" s="42"/>
      <c r="J1027" s="43"/>
      <c r="K1027" s="72">
        <v>12.0</v>
      </c>
      <c r="L1027" s="53" t="s">
        <v>114</v>
      </c>
      <c r="M1027" s="73">
        <v>25000.0</v>
      </c>
      <c r="N1027" s="74"/>
      <c r="O1027" s="73">
        <v>300000.0</v>
      </c>
      <c r="P1027" s="46" t="str">
        <f t="shared" si="2"/>
        <v>Rp25,000-12 PAK-0.00%</v>
      </c>
      <c r="Q1027" s="75">
        <v>45412.0</v>
      </c>
      <c r="R1027" s="76"/>
      <c r="S1027" s="75">
        <v>45420.0</v>
      </c>
      <c r="T1027" s="49" t="s">
        <v>100</v>
      </c>
    </row>
    <row r="1028">
      <c r="A1028" s="82">
        <v>4418.0</v>
      </c>
      <c r="B1028" s="69" t="s">
        <v>29</v>
      </c>
      <c r="C1028" s="70" t="s">
        <v>1457</v>
      </c>
      <c r="D1028" s="69" t="s">
        <v>941</v>
      </c>
      <c r="E1028" s="41" t="str">
        <f>IFERROR(__xludf.DUMMYFUNCTION("vlookup(D1028,IMPORTRANGE(""https://docs.google.com/spreadsheets/d/1swGwZOEqYlTEUCJLY-eeJM1911Kvaei5oySBIxdgtNo/edit?pli=1#gid=257618397"",""stock untanna!B:C""),2,false)"),"STICKER JBE-34")</f>
        <v>STICKER JBE-34</v>
      </c>
      <c r="F1028" s="70" t="s">
        <v>941</v>
      </c>
      <c r="G1028" s="71" t="s">
        <v>942</v>
      </c>
      <c r="H1028" s="41"/>
      <c r="I1028" s="42"/>
      <c r="J1028" s="43"/>
      <c r="K1028" s="72">
        <v>12.0</v>
      </c>
      <c r="L1028" s="53" t="s">
        <v>114</v>
      </c>
      <c r="M1028" s="73">
        <v>10000.0</v>
      </c>
      <c r="N1028" s="74"/>
      <c r="O1028" s="73">
        <v>120000.0</v>
      </c>
      <c r="P1028" s="46" t="str">
        <f t="shared" si="2"/>
        <v>Rp10,000-12 PAK-0.00%</v>
      </c>
      <c r="Q1028" s="75">
        <v>45412.0</v>
      </c>
      <c r="R1028" s="76"/>
      <c r="S1028" s="75">
        <v>45420.0</v>
      </c>
      <c r="T1028" s="49" t="s">
        <v>100</v>
      </c>
    </row>
    <row r="1029">
      <c r="A1029" s="82">
        <v>4418.0</v>
      </c>
      <c r="B1029" s="69" t="s">
        <v>29</v>
      </c>
      <c r="C1029" s="70" t="s">
        <v>1457</v>
      </c>
      <c r="D1029" s="69" t="s">
        <v>1498</v>
      </c>
      <c r="E1029" s="41" t="str">
        <f>IFERROR(__xludf.DUMMYFUNCTION("vlookup(D1029,IMPORTRANGE(""https://docs.google.com/spreadsheets/d/1swGwZOEqYlTEUCJLY-eeJM1911Kvaei5oySBIxdgtNo/edit?pli=1#gid=257618397"",""stock untanna!B:C""),2,false)"),"STICKER JBE-24")</f>
        <v>STICKER JBE-24</v>
      </c>
      <c r="F1029" s="70" t="s">
        <v>1498</v>
      </c>
      <c r="G1029" s="71" t="s">
        <v>1499</v>
      </c>
      <c r="H1029" s="41"/>
      <c r="I1029" s="42"/>
      <c r="J1029" s="43"/>
      <c r="K1029" s="72">
        <v>12.0</v>
      </c>
      <c r="L1029" s="53" t="s">
        <v>69</v>
      </c>
      <c r="M1029" s="73">
        <v>14583.0</v>
      </c>
      <c r="N1029" s="74"/>
      <c r="O1029" s="73">
        <v>174996.0</v>
      </c>
      <c r="P1029" s="46" t="str">
        <f t="shared" si="2"/>
        <v>Rp14,583-12 PCS-0.00%</v>
      </c>
      <c r="Q1029" s="75">
        <v>45412.0</v>
      </c>
      <c r="R1029" s="76"/>
      <c r="S1029" s="75">
        <v>45420.0</v>
      </c>
      <c r="T1029" s="49"/>
    </row>
    <row r="1030">
      <c r="A1030" s="82">
        <v>4418.0</v>
      </c>
      <c r="B1030" s="69" t="s">
        <v>29</v>
      </c>
      <c r="C1030" s="70" t="s">
        <v>1457</v>
      </c>
      <c r="D1030" s="69"/>
      <c r="E1030" s="41" t="s">
        <v>1500</v>
      </c>
      <c r="F1030" s="70"/>
      <c r="G1030" s="71" t="s">
        <v>1500</v>
      </c>
      <c r="H1030" s="41"/>
      <c r="I1030" s="42"/>
      <c r="J1030" s="43"/>
      <c r="K1030" s="72">
        <v>24.0</v>
      </c>
      <c r="L1030" s="53" t="s">
        <v>69</v>
      </c>
      <c r="M1030" s="73">
        <v>7500.0</v>
      </c>
      <c r="N1030" s="74"/>
      <c r="O1030" s="73">
        <v>180000.0</v>
      </c>
      <c r="P1030" s="46" t="str">
        <f t="shared" si="2"/>
        <v>Rp7,500-24 PCS-0.00%</v>
      </c>
      <c r="Q1030" s="75">
        <v>45412.0</v>
      </c>
      <c r="R1030" s="76"/>
      <c r="S1030" s="75">
        <v>45420.0</v>
      </c>
      <c r="T1030" s="49"/>
    </row>
    <row r="1031">
      <c r="A1031" s="82">
        <v>4418.0</v>
      </c>
      <c r="B1031" s="69" t="s">
        <v>29</v>
      </c>
      <c r="C1031" s="70" t="s">
        <v>1457</v>
      </c>
      <c r="D1031" s="69"/>
      <c r="E1031" s="41" t="s">
        <v>1501</v>
      </c>
      <c r="F1031" s="70"/>
      <c r="G1031" s="71" t="s">
        <v>1501</v>
      </c>
      <c r="H1031" s="41"/>
      <c r="I1031" s="42"/>
      <c r="J1031" s="43"/>
      <c r="K1031" s="72">
        <v>40.0</v>
      </c>
      <c r="L1031" s="53" t="s">
        <v>69</v>
      </c>
      <c r="M1031" s="73">
        <v>9000.0</v>
      </c>
      <c r="N1031" s="74"/>
      <c r="O1031" s="73">
        <v>360000.0</v>
      </c>
      <c r="P1031" s="46" t="str">
        <f t="shared" si="2"/>
        <v>Rp9,000-40 PCS-0.00%</v>
      </c>
      <c r="Q1031" s="75">
        <v>45412.0</v>
      </c>
      <c r="R1031" s="76"/>
      <c r="S1031" s="75">
        <v>45420.0</v>
      </c>
      <c r="T1031" s="49"/>
    </row>
    <row r="1032">
      <c r="A1032" s="82">
        <v>4418.0</v>
      </c>
      <c r="B1032" s="69" t="s">
        <v>29</v>
      </c>
      <c r="C1032" s="70" t="s">
        <v>1457</v>
      </c>
      <c r="D1032" s="69" t="s">
        <v>1502</v>
      </c>
      <c r="E1032" s="41" t="str">
        <f>IFERROR(__xludf.DUMMYFUNCTION("vlookup(D1032,IMPORTRANGE(""https://docs.google.com/spreadsheets/d/1swGwZOEqYlTEUCJLY-eeJM1911Kvaei5oySBIxdgtNo/edit?pli=1#gid=257618397"",""stock untanna!B:C""),2,false)"),"NOTEBOOK SPIRAL 28825-61 A5")</f>
        <v>NOTEBOOK SPIRAL 28825-61 A5</v>
      </c>
      <c r="F1032" s="70" t="s">
        <v>1502</v>
      </c>
      <c r="G1032" s="71" t="s">
        <v>1503</v>
      </c>
      <c r="H1032" s="41"/>
      <c r="I1032" s="42"/>
      <c r="J1032" s="43"/>
      <c r="K1032" s="72">
        <v>12.0</v>
      </c>
      <c r="L1032" s="53" t="s">
        <v>69</v>
      </c>
      <c r="M1032" s="73">
        <v>16667.0</v>
      </c>
      <c r="N1032" s="74"/>
      <c r="O1032" s="73">
        <v>200004.0</v>
      </c>
      <c r="P1032" s="46" t="str">
        <f t="shared" si="2"/>
        <v>Rp16,667-12 PCS-0.00%</v>
      </c>
      <c r="Q1032" s="75">
        <v>45412.0</v>
      </c>
      <c r="R1032" s="76"/>
      <c r="S1032" s="75">
        <v>45420.0</v>
      </c>
      <c r="T1032" s="49"/>
    </row>
    <row r="1033">
      <c r="A1033" s="82">
        <v>4418.0</v>
      </c>
      <c r="B1033" s="69" t="s">
        <v>29</v>
      </c>
      <c r="C1033" s="70" t="s">
        <v>1457</v>
      </c>
      <c r="D1033" s="69"/>
      <c r="E1033" s="41" t="s">
        <v>1504</v>
      </c>
      <c r="F1033" s="70"/>
      <c r="G1033" s="71" t="s">
        <v>1504</v>
      </c>
      <c r="H1033" s="41"/>
      <c r="I1033" s="42"/>
      <c r="J1033" s="43"/>
      <c r="K1033" s="72">
        <v>1.0</v>
      </c>
      <c r="L1033" s="53" t="s">
        <v>62</v>
      </c>
      <c r="M1033" s="73">
        <v>147000.0</v>
      </c>
      <c r="N1033" s="74"/>
      <c r="O1033" s="73">
        <v>147000.0</v>
      </c>
      <c r="P1033" s="46" t="str">
        <f t="shared" si="2"/>
        <v>Rp147,000-1 LSN-0.00%</v>
      </c>
      <c r="Q1033" s="75">
        <v>45412.0</v>
      </c>
      <c r="R1033" s="76"/>
      <c r="S1033" s="75">
        <v>45420.0</v>
      </c>
      <c r="T1033" s="80" t="s">
        <v>280</v>
      </c>
    </row>
    <row r="1034">
      <c r="A1034" s="82">
        <v>4418.0</v>
      </c>
      <c r="B1034" s="69" t="s">
        <v>29</v>
      </c>
      <c r="C1034" s="70" t="s">
        <v>1457</v>
      </c>
      <c r="D1034" s="69" t="s">
        <v>181</v>
      </c>
      <c r="E1034" s="41" t="str">
        <f>IFERROR(__xludf.DUMMYFUNCTION("vlookup(D1034,IMPORTRANGE(""https://docs.google.com/spreadsheets/d/1swGwZOEqYlTEUCJLY-eeJM1911Kvaei5oySBIxdgtNo/edit?pli=1#gid=257618397"",""stock untanna!B:C""),2,false)"),"NOTEBOOK 18100-62")</f>
        <v>NOTEBOOK 18100-62</v>
      </c>
      <c r="F1034" s="70" t="s">
        <v>181</v>
      </c>
      <c r="G1034" s="71" t="s">
        <v>182</v>
      </c>
      <c r="H1034" s="41"/>
      <c r="I1034" s="42"/>
      <c r="J1034" s="43"/>
      <c r="K1034" s="72">
        <v>1.0</v>
      </c>
      <c r="L1034" s="53" t="s">
        <v>62</v>
      </c>
      <c r="M1034" s="73">
        <v>250000.0</v>
      </c>
      <c r="N1034" s="74"/>
      <c r="O1034" s="73">
        <v>250000.0</v>
      </c>
      <c r="P1034" s="46" t="str">
        <f t="shared" si="2"/>
        <v>Rp250,000-1 LSN-0.00%</v>
      </c>
      <c r="Q1034" s="75">
        <v>45412.0</v>
      </c>
      <c r="R1034" s="76"/>
      <c r="S1034" s="75">
        <v>45420.0</v>
      </c>
      <c r="T1034" s="49"/>
    </row>
    <row r="1035">
      <c r="A1035" s="82">
        <v>4418.0</v>
      </c>
      <c r="B1035" s="69" t="s">
        <v>29</v>
      </c>
      <c r="C1035" s="70" t="s">
        <v>1457</v>
      </c>
      <c r="D1035" s="69"/>
      <c r="E1035" s="41" t="s">
        <v>1505</v>
      </c>
      <c r="F1035" s="70"/>
      <c r="G1035" s="71" t="s">
        <v>1505</v>
      </c>
      <c r="H1035" s="41"/>
      <c r="I1035" s="42"/>
      <c r="J1035" s="43"/>
      <c r="K1035" s="72">
        <v>1.0</v>
      </c>
      <c r="L1035" s="53" t="s">
        <v>62</v>
      </c>
      <c r="M1035" s="73">
        <v>140000.0</v>
      </c>
      <c r="N1035" s="74"/>
      <c r="O1035" s="73">
        <v>140000.0</v>
      </c>
      <c r="P1035" s="46" t="str">
        <f t="shared" si="2"/>
        <v>Rp140,000-1 LSN-0.00%</v>
      </c>
      <c r="Q1035" s="75">
        <v>45412.0</v>
      </c>
      <c r="R1035" s="76"/>
      <c r="S1035" s="75">
        <v>45420.0</v>
      </c>
      <c r="T1035" s="80" t="s">
        <v>280</v>
      </c>
    </row>
    <row r="1036">
      <c r="A1036" s="82">
        <v>4419.0</v>
      </c>
      <c r="B1036" s="69" t="s">
        <v>29</v>
      </c>
      <c r="C1036" s="70" t="s">
        <v>1457</v>
      </c>
      <c r="D1036" s="69" t="s">
        <v>1506</v>
      </c>
      <c r="E1036" s="41" t="str">
        <f>IFERROR(__xludf.DUMMYFUNCTION("vlookup(D1036,IMPORTRANGE(""https://docs.google.com/spreadsheets/d/1swGwZOEqYlTEUCJLY-eeJM1911Kvaei5oySBIxdgtNo/edit?pli=1#gid=257618397"",""stock untanna!B:C""),2,false)"),"NOTEBOOK 28850-64")</f>
        <v>NOTEBOOK 28850-64</v>
      </c>
      <c r="F1036" s="70" t="s">
        <v>1506</v>
      </c>
      <c r="G1036" s="71" t="s">
        <v>1507</v>
      </c>
      <c r="H1036" s="41"/>
      <c r="I1036" s="42"/>
      <c r="J1036" s="43"/>
      <c r="K1036" s="72">
        <v>1.0</v>
      </c>
      <c r="L1036" s="53" t="s">
        <v>62</v>
      </c>
      <c r="M1036" s="73">
        <v>180000.0</v>
      </c>
      <c r="N1036" s="74"/>
      <c r="O1036" s="73">
        <v>180000.0</v>
      </c>
      <c r="P1036" s="46" t="str">
        <f t="shared" si="2"/>
        <v>Rp180,000-1 LSN-0.00%</v>
      </c>
      <c r="Q1036" s="75">
        <v>45412.0</v>
      </c>
      <c r="R1036" s="76"/>
      <c r="S1036" s="75">
        <v>45420.0</v>
      </c>
      <c r="T1036" s="49"/>
    </row>
    <row r="1037">
      <c r="A1037" s="82">
        <v>4419.0</v>
      </c>
      <c r="B1037" s="69" t="s">
        <v>29</v>
      </c>
      <c r="C1037" s="70" t="s">
        <v>1457</v>
      </c>
      <c r="D1037" s="69"/>
      <c r="E1037" s="41" t="s">
        <v>1508</v>
      </c>
      <c r="F1037" s="70"/>
      <c r="G1037" s="71" t="s">
        <v>1508</v>
      </c>
      <c r="H1037" s="41"/>
      <c r="I1037" s="42"/>
      <c r="J1037" s="43"/>
      <c r="K1037" s="72">
        <v>1.0</v>
      </c>
      <c r="L1037" s="53" t="s">
        <v>62</v>
      </c>
      <c r="M1037" s="73">
        <v>180000.0</v>
      </c>
      <c r="N1037" s="74"/>
      <c r="O1037" s="73">
        <v>180000.0</v>
      </c>
      <c r="P1037" s="46" t="str">
        <f t="shared" si="2"/>
        <v>Rp180,000-1 LSN-0.00%</v>
      </c>
      <c r="Q1037" s="75">
        <v>45412.0</v>
      </c>
      <c r="R1037" s="76"/>
      <c r="S1037" s="75">
        <v>45420.0</v>
      </c>
      <c r="T1037" s="49"/>
    </row>
    <row r="1038">
      <c r="A1038" s="82">
        <v>4419.0</v>
      </c>
      <c r="B1038" s="69" t="s">
        <v>29</v>
      </c>
      <c r="C1038" s="70" t="s">
        <v>1457</v>
      </c>
      <c r="D1038" s="69"/>
      <c r="E1038" s="41" t="s">
        <v>1509</v>
      </c>
      <c r="F1038" s="70"/>
      <c r="G1038" s="71" t="s">
        <v>1509</v>
      </c>
      <c r="H1038" s="41"/>
      <c r="I1038" s="42"/>
      <c r="J1038" s="43"/>
      <c r="K1038" s="72">
        <v>1.0</v>
      </c>
      <c r="L1038" s="53" t="s">
        <v>62</v>
      </c>
      <c r="M1038" s="73">
        <v>180000.0</v>
      </c>
      <c r="N1038" s="74"/>
      <c r="O1038" s="73">
        <v>180000.0</v>
      </c>
      <c r="P1038" s="46" t="str">
        <f t="shared" si="2"/>
        <v>Rp180,000-1 LSN-0.00%</v>
      </c>
      <c r="Q1038" s="75">
        <v>45412.0</v>
      </c>
      <c r="R1038" s="76"/>
      <c r="S1038" s="75">
        <v>45420.0</v>
      </c>
      <c r="T1038" s="80" t="s">
        <v>280</v>
      </c>
    </row>
    <row r="1039">
      <c r="A1039" s="82">
        <v>4419.0</v>
      </c>
      <c r="B1039" s="69" t="s">
        <v>29</v>
      </c>
      <c r="C1039" s="70" t="s">
        <v>1457</v>
      </c>
      <c r="D1039" s="69"/>
      <c r="E1039" s="41" t="s">
        <v>1510</v>
      </c>
      <c r="F1039" s="70"/>
      <c r="G1039" s="71" t="s">
        <v>1510</v>
      </c>
      <c r="H1039" s="41"/>
      <c r="I1039" s="42"/>
      <c r="J1039" s="43"/>
      <c r="K1039" s="72">
        <v>1.0</v>
      </c>
      <c r="L1039" s="53" t="s">
        <v>62</v>
      </c>
      <c r="M1039" s="73">
        <v>240000.0</v>
      </c>
      <c r="N1039" s="74"/>
      <c r="O1039" s="73">
        <v>240000.0</v>
      </c>
      <c r="P1039" s="46" t="str">
        <f t="shared" si="2"/>
        <v>Rp240,000-1 LSN-0.00%</v>
      </c>
      <c r="Q1039" s="75">
        <v>45412.0</v>
      </c>
      <c r="R1039" s="76"/>
      <c r="S1039" s="75">
        <v>45420.0</v>
      </c>
      <c r="T1039" s="49"/>
    </row>
    <row r="1040">
      <c r="A1040" s="82">
        <v>4419.0</v>
      </c>
      <c r="B1040" s="69" t="s">
        <v>29</v>
      </c>
      <c r="C1040" s="70" t="s">
        <v>1457</v>
      </c>
      <c r="D1040" s="69" t="s">
        <v>187</v>
      </c>
      <c r="E1040" s="41" t="str">
        <f>IFERROR(__xludf.DUMMYFUNCTION("vlookup(D1040,IMPORTRANGE(""https://docs.google.com/spreadsheets/d/1swGwZOEqYlTEUCJLY-eeJM1911Kvaei5oySBIxdgtNo/edit?pli=1#gid=257618397"",""stock untanna!B:C""),2,false)"),"NOTEBOOK SPIRAL 28850-61")</f>
        <v>NOTEBOOK SPIRAL 28850-61</v>
      </c>
      <c r="F1040" s="70" t="s">
        <v>187</v>
      </c>
      <c r="G1040" s="71" t="s">
        <v>188</v>
      </c>
      <c r="H1040" s="41"/>
      <c r="I1040" s="42"/>
      <c r="J1040" s="43"/>
      <c r="K1040" s="72">
        <v>1.0</v>
      </c>
      <c r="L1040" s="53" t="s">
        <v>62</v>
      </c>
      <c r="M1040" s="73">
        <v>180000.0</v>
      </c>
      <c r="N1040" s="74"/>
      <c r="O1040" s="73">
        <v>180000.0</v>
      </c>
      <c r="P1040" s="46" t="str">
        <f t="shared" si="2"/>
        <v>Rp180,000-1 LSN-0.00%</v>
      </c>
      <c r="Q1040" s="75">
        <v>45412.0</v>
      </c>
      <c r="R1040" s="76"/>
      <c r="S1040" s="75">
        <v>45420.0</v>
      </c>
      <c r="T1040" s="49"/>
    </row>
    <row r="1041">
      <c r="A1041" s="82">
        <v>4419.0</v>
      </c>
      <c r="B1041" s="69" t="s">
        <v>29</v>
      </c>
      <c r="C1041" s="70" t="s">
        <v>1457</v>
      </c>
      <c r="D1041" s="69"/>
      <c r="E1041" s="41" t="s">
        <v>1511</v>
      </c>
      <c r="F1041" s="70"/>
      <c r="G1041" s="71" t="s">
        <v>1511</v>
      </c>
      <c r="H1041" s="41"/>
      <c r="I1041" s="42"/>
      <c r="J1041" s="43"/>
      <c r="K1041" s="72">
        <v>1.0</v>
      </c>
      <c r="L1041" s="53" t="s">
        <v>62</v>
      </c>
      <c r="M1041" s="73">
        <v>100000.0</v>
      </c>
      <c r="N1041" s="74"/>
      <c r="O1041" s="73">
        <v>100000.0</v>
      </c>
      <c r="P1041" s="46" t="str">
        <f t="shared" si="2"/>
        <v>Rp100,000-1 LSN-0.00%</v>
      </c>
      <c r="Q1041" s="75">
        <v>45412.0</v>
      </c>
      <c r="R1041" s="76"/>
      <c r="S1041" s="75">
        <v>45420.0</v>
      </c>
      <c r="T1041" s="49"/>
    </row>
    <row r="1042">
      <c r="A1042" s="82">
        <v>4419.0</v>
      </c>
      <c r="B1042" s="69" t="s">
        <v>29</v>
      </c>
      <c r="C1042" s="70" t="s">
        <v>1457</v>
      </c>
      <c r="D1042" s="69" t="s">
        <v>1512</v>
      </c>
      <c r="E1042" s="41" t="str">
        <f>IFERROR(__xludf.DUMMYFUNCTION("vlookup(D1042,IMPORTRANGE(""https://docs.google.com/spreadsheets/d/1swGwZOEqYlTEUCJLY-eeJM1911Kvaei5oySBIxdgtNo/edit?pli=1#gid=257618397"",""stock untanna!B:C""),2,false)"),"NOTEBOOK 25100-71")</f>
        <v>NOTEBOOK 25100-71</v>
      </c>
      <c r="F1042" s="70" t="s">
        <v>1512</v>
      </c>
      <c r="G1042" s="71" t="s">
        <v>1513</v>
      </c>
      <c r="H1042" s="41"/>
      <c r="I1042" s="42"/>
      <c r="J1042" s="43"/>
      <c r="K1042" s="72">
        <v>12.0</v>
      </c>
      <c r="L1042" s="53" t="s">
        <v>69</v>
      </c>
      <c r="M1042" s="73">
        <v>16667.0</v>
      </c>
      <c r="N1042" s="74"/>
      <c r="O1042" s="73">
        <v>200004.0</v>
      </c>
      <c r="P1042" s="46" t="str">
        <f t="shared" si="2"/>
        <v>Rp16,667-12 PCS-0.00%</v>
      </c>
      <c r="Q1042" s="75">
        <v>45412.0</v>
      </c>
      <c r="R1042" s="76"/>
      <c r="S1042" s="75">
        <v>45420.0</v>
      </c>
      <c r="T1042" s="49"/>
    </row>
    <row r="1043">
      <c r="A1043" s="82">
        <v>4419.0</v>
      </c>
      <c r="B1043" s="69" t="s">
        <v>29</v>
      </c>
      <c r="C1043" s="70" t="s">
        <v>1457</v>
      </c>
      <c r="D1043" s="69" t="s">
        <v>1514</v>
      </c>
      <c r="E1043" s="41" t="str">
        <f>IFERROR(__xludf.DUMMYFUNCTION("vlookup(D1043,IMPORTRANGE(""https://docs.google.com/spreadsheets/d/1swGwZOEqYlTEUCJLY-eeJM1911Kvaei5oySBIxdgtNo/edit?pli=1#gid=257618397"",""stock untanna!B:C""),2,false)"),"NOTEBOOK 7025-31")</f>
        <v>NOTEBOOK 7025-31</v>
      </c>
      <c r="F1043" s="70" t="s">
        <v>1514</v>
      </c>
      <c r="G1043" s="71" t="s">
        <v>1515</v>
      </c>
      <c r="H1043" s="41"/>
      <c r="I1043" s="42"/>
      <c r="J1043" s="43"/>
      <c r="K1043" s="72">
        <v>1.0</v>
      </c>
      <c r="L1043" s="53" t="s">
        <v>62</v>
      </c>
      <c r="M1043" s="73">
        <v>225000.0</v>
      </c>
      <c r="N1043" s="74"/>
      <c r="O1043" s="73">
        <v>225000.0</v>
      </c>
      <c r="P1043" s="46" t="str">
        <f t="shared" si="2"/>
        <v>Rp225,000-1 LSN-0.00%</v>
      </c>
      <c r="Q1043" s="75">
        <v>45412.0</v>
      </c>
      <c r="R1043" s="76"/>
      <c r="S1043" s="75">
        <v>45420.0</v>
      </c>
      <c r="T1043" s="49"/>
    </row>
    <row r="1044">
      <c r="A1044" s="82">
        <v>4419.0</v>
      </c>
      <c r="B1044" s="69" t="s">
        <v>29</v>
      </c>
      <c r="C1044" s="70" t="s">
        <v>1457</v>
      </c>
      <c r="D1044" s="69"/>
      <c r="E1044" s="41" t="s">
        <v>1516</v>
      </c>
      <c r="F1044" s="70"/>
      <c r="G1044" s="71" t="s">
        <v>1516</v>
      </c>
      <c r="H1044" s="41"/>
      <c r="I1044" s="42"/>
      <c r="J1044" s="43"/>
      <c r="K1044" s="72">
        <v>1.0</v>
      </c>
      <c r="L1044" s="53" t="s">
        <v>62</v>
      </c>
      <c r="M1044" s="73">
        <v>150000.0</v>
      </c>
      <c r="N1044" s="74"/>
      <c r="O1044" s="73">
        <v>150000.0</v>
      </c>
      <c r="P1044" s="46" t="str">
        <f t="shared" si="2"/>
        <v>Rp150,000-1 LSN-0.00%</v>
      </c>
      <c r="Q1044" s="75">
        <v>45412.0</v>
      </c>
      <c r="R1044" s="76"/>
      <c r="S1044" s="75">
        <v>45420.0</v>
      </c>
      <c r="T1044" s="80" t="s">
        <v>280</v>
      </c>
    </row>
    <row r="1045">
      <c r="A1045" s="82">
        <v>4419.0</v>
      </c>
      <c r="B1045" s="69" t="s">
        <v>29</v>
      </c>
      <c r="C1045" s="70" t="s">
        <v>1457</v>
      </c>
      <c r="D1045" s="69"/>
      <c r="E1045" s="41" t="s">
        <v>1517</v>
      </c>
      <c r="F1045" s="70"/>
      <c r="G1045" s="71" t="s">
        <v>1517</v>
      </c>
      <c r="H1045" s="41"/>
      <c r="I1045" s="42"/>
      <c r="J1045" s="43"/>
      <c r="K1045" s="72">
        <v>1.0</v>
      </c>
      <c r="L1045" s="53" t="s">
        <v>62</v>
      </c>
      <c r="M1045" s="73">
        <v>95000.0</v>
      </c>
      <c r="N1045" s="74"/>
      <c r="O1045" s="73">
        <v>95000.0</v>
      </c>
      <c r="P1045" s="46" t="str">
        <f t="shared" si="2"/>
        <v>Rp95,000-1 LSN-0.00%</v>
      </c>
      <c r="Q1045" s="75">
        <v>45412.0</v>
      </c>
      <c r="R1045" s="76"/>
      <c r="S1045" s="75">
        <v>45420.0</v>
      </c>
      <c r="T1045" s="49"/>
    </row>
    <row r="1046">
      <c r="A1046" s="82">
        <v>4419.0</v>
      </c>
      <c r="B1046" s="69" t="s">
        <v>29</v>
      </c>
      <c r="C1046" s="70" t="s">
        <v>1457</v>
      </c>
      <c r="D1046" s="69"/>
      <c r="E1046" s="41" t="s">
        <v>279</v>
      </c>
      <c r="F1046" s="70"/>
      <c r="G1046" s="71" t="s">
        <v>279</v>
      </c>
      <c r="H1046" s="41"/>
      <c r="I1046" s="42"/>
      <c r="J1046" s="43"/>
      <c r="K1046" s="72">
        <v>12.0</v>
      </c>
      <c r="L1046" s="53" t="s">
        <v>1518</v>
      </c>
      <c r="M1046" s="73">
        <v>30000.0</v>
      </c>
      <c r="N1046" s="74"/>
      <c r="O1046" s="73">
        <v>360000.0</v>
      </c>
      <c r="P1046" s="46" t="str">
        <f t="shared" si="2"/>
        <v>Rp30,000-12 PSK-0.00%</v>
      </c>
      <c r="Q1046" s="75">
        <v>45412.0</v>
      </c>
      <c r="R1046" s="76"/>
      <c r="S1046" s="75">
        <v>45420.0</v>
      </c>
      <c r="T1046" s="80" t="s">
        <v>280</v>
      </c>
    </row>
    <row r="1047">
      <c r="A1047" s="82">
        <v>4419.0</v>
      </c>
      <c r="B1047" s="69" t="s">
        <v>29</v>
      </c>
      <c r="C1047" s="70" t="s">
        <v>1457</v>
      </c>
      <c r="D1047" s="69" t="s">
        <v>1519</v>
      </c>
      <c r="E1047" s="41" t="str">
        <f>IFERROR(__xludf.DUMMYFUNCTION("vlookup(D1047,IMPORTRANGE(""https://docs.google.com/spreadsheets/d/1swGwZOEqYlTEUCJLY-eeJM1911Kvaei5oySBIxdgtNo/edit?pli=1#gid=257618397"",""stock untanna!B:C""),2,false)"),"BALON LMP 2200")</f>
        <v>BALON LMP 2200</v>
      </c>
      <c r="F1047" s="70" t="s">
        <v>1519</v>
      </c>
      <c r="G1047" s="71" t="s">
        <v>1520</v>
      </c>
      <c r="H1047" s="41"/>
      <c r="I1047" s="42"/>
      <c r="J1047" s="43"/>
      <c r="K1047" s="72">
        <v>1.0</v>
      </c>
      <c r="L1047" s="53" t="s">
        <v>1521</v>
      </c>
      <c r="M1047" s="73">
        <v>90000.0</v>
      </c>
      <c r="N1047" s="74"/>
      <c r="O1047" s="73">
        <v>90000.0</v>
      </c>
      <c r="P1047" s="46" t="str">
        <f t="shared" si="2"/>
        <v>Rp90,000-1 DISP-0.00%</v>
      </c>
      <c r="Q1047" s="75">
        <v>45412.0</v>
      </c>
      <c r="R1047" s="76"/>
      <c r="S1047" s="75">
        <v>45420.0</v>
      </c>
      <c r="T1047" s="49"/>
    </row>
    <row r="1048">
      <c r="A1048" s="82">
        <v>4419.0</v>
      </c>
      <c r="B1048" s="69" t="s">
        <v>29</v>
      </c>
      <c r="C1048" s="70" t="s">
        <v>1457</v>
      </c>
      <c r="D1048" s="69" t="s">
        <v>1522</v>
      </c>
      <c r="E1048" s="41" t="str">
        <f>IFERROR(__xludf.DUMMYFUNCTION("vlookup(D1048,IMPORTRANGE(""https://docs.google.com/spreadsheets/d/1swGwZOEqYlTEUCJLY-eeJM1911Kvaei5oySBIxdgtNo/edit?pli=1#gid=257618397"",""stock untanna!B:C""),2,false)"),"BALON LKM 2800")</f>
        <v>BALON LKM 2800</v>
      </c>
      <c r="F1048" s="70" t="s">
        <v>1522</v>
      </c>
      <c r="G1048" s="71" t="s">
        <v>1523</v>
      </c>
      <c r="H1048" s="41"/>
      <c r="I1048" s="42"/>
      <c r="J1048" s="43"/>
      <c r="K1048" s="72">
        <v>1.0</v>
      </c>
      <c r="L1048" s="53" t="s">
        <v>1521</v>
      </c>
      <c r="M1048" s="73">
        <v>90000.0</v>
      </c>
      <c r="N1048" s="74"/>
      <c r="O1048" s="73">
        <v>90000.0</v>
      </c>
      <c r="P1048" s="46" t="str">
        <f t="shared" si="2"/>
        <v>Rp90,000-1 DISP-0.00%</v>
      </c>
      <c r="Q1048" s="75">
        <v>45412.0</v>
      </c>
      <c r="R1048" s="76"/>
      <c r="S1048" s="75">
        <v>45420.0</v>
      </c>
      <c r="T1048" s="49"/>
    </row>
    <row r="1049">
      <c r="A1049" s="82">
        <v>4419.0</v>
      </c>
      <c r="B1049" s="69" t="s">
        <v>29</v>
      </c>
      <c r="C1049" s="70" t="s">
        <v>1457</v>
      </c>
      <c r="D1049" s="69" t="s">
        <v>1524</v>
      </c>
      <c r="E1049" s="41" t="str">
        <f>IFERROR(__xludf.DUMMYFUNCTION("vlookup(D1049,IMPORTRANGE(""https://docs.google.com/spreadsheets/d/1swGwZOEqYlTEUCJLY-eeJM1911Kvaei5oySBIxdgtNo/edit?pli=1#gid=257618397"",""stock untanna!B:C""),2,false)"),"BALON LOVE 1022 20X5 LKL 2200")</f>
        <v>BALON LOVE 1022 20X5 LKL 2200</v>
      </c>
      <c r="F1049" s="70" t="s">
        <v>1524</v>
      </c>
      <c r="G1049" s="71" t="s">
        <v>1525</v>
      </c>
      <c r="H1049" s="41"/>
      <c r="I1049" s="42"/>
      <c r="J1049" s="43"/>
      <c r="K1049" s="72">
        <v>1.0</v>
      </c>
      <c r="L1049" s="53" t="s">
        <v>1521</v>
      </c>
      <c r="M1049" s="73">
        <v>100000.0</v>
      </c>
      <c r="N1049" s="74"/>
      <c r="O1049" s="73">
        <v>100000.0</v>
      </c>
      <c r="P1049" s="46" t="str">
        <f t="shared" si="2"/>
        <v>Rp100,000-1 DISP-0.00%</v>
      </c>
      <c r="Q1049" s="75">
        <v>45412.0</v>
      </c>
      <c r="R1049" s="76"/>
      <c r="S1049" s="75">
        <v>45420.0</v>
      </c>
      <c r="T1049" s="49"/>
    </row>
    <row r="1050">
      <c r="A1050" s="82">
        <v>4419.0</v>
      </c>
      <c r="B1050" s="69" t="s">
        <v>29</v>
      </c>
      <c r="C1050" s="70" t="s">
        <v>1457</v>
      </c>
      <c r="D1050" s="69"/>
      <c r="E1050" s="41" t="s">
        <v>1526</v>
      </c>
      <c r="F1050" s="70"/>
      <c r="G1050" s="71" t="s">
        <v>1526</v>
      </c>
      <c r="H1050" s="41"/>
      <c r="I1050" s="42"/>
      <c r="J1050" s="43"/>
      <c r="K1050" s="72">
        <v>1.0</v>
      </c>
      <c r="L1050" s="53" t="s">
        <v>114</v>
      </c>
      <c r="M1050" s="73">
        <v>90000.0</v>
      </c>
      <c r="N1050" s="74"/>
      <c r="O1050" s="73">
        <v>90000.0</v>
      </c>
      <c r="P1050" s="46" t="str">
        <f t="shared" si="2"/>
        <v>Rp90,000-1 PAK-0.00%</v>
      </c>
      <c r="Q1050" s="75">
        <v>45412.0</v>
      </c>
      <c r="R1050" s="76"/>
      <c r="S1050" s="75">
        <v>45420.0</v>
      </c>
      <c r="T1050" s="49"/>
    </row>
    <row r="1051">
      <c r="A1051" s="82">
        <v>4419.0</v>
      </c>
      <c r="B1051" s="69" t="s">
        <v>29</v>
      </c>
      <c r="C1051" s="70" t="s">
        <v>1457</v>
      </c>
      <c r="D1051" s="69"/>
      <c r="E1051" s="41" t="s">
        <v>1527</v>
      </c>
      <c r="F1051" s="70"/>
      <c r="G1051" s="71" t="s">
        <v>1527</v>
      </c>
      <c r="H1051" s="41"/>
      <c r="I1051" s="42"/>
      <c r="J1051" s="43"/>
      <c r="K1051" s="72">
        <v>1.0</v>
      </c>
      <c r="L1051" s="53" t="s">
        <v>114</v>
      </c>
      <c r="M1051" s="73">
        <v>143000.0</v>
      </c>
      <c r="N1051" s="74"/>
      <c r="O1051" s="73">
        <v>143000.0</v>
      </c>
      <c r="P1051" s="46" t="str">
        <f t="shared" si="2"/>
        <v>Rp143,000-1 PAK-0.00%</v>
      </c>
      <c r="Q1051" s="75">
        <v>45412.0</v>
      </c>
      <c r="R1051" s="76"/>
      <c r="S1051" s="75">
        <v>45420.0</v>
      </c>
      <c r="T1051" s="49"/>
    </row>
    <row r="1052">
      <c r="A1052" s="82">
        <v>4420.0</v>
      </c>
      <c r="B1052" s="69" t="s">
        <v>29</v>
      </c>
      <c r="C1052" s="70" t="s">
        <v>1457</v>
      </c>
      <c r="D1052" s="69"/>
      <c r="E1052" s="41" t="s">
        <v>209</v>
      </c>
      <c r="F1052" s="70"/>
      <c r="G1052" s="71" t="s">
        <v>209</v>
      </c>
      <c r="H1052" s="41"/>
      <c r="I1052" s="42"/>
      <c r="J1052" s="43"/>
      <c r="K1052" s="72">
        <v>1.0</v>
      </c>
      <c r="L1052" s="53" t="s">
        <v>62</v>
      </c>
      <c r="M1052" s="73">
        <v>65000.0</v>
      </c>
      <c r="N1052" s="74"/>
      <c r="O1052" s="73">
        <v>65000.0</v>
      </c>
      <c r="P1052" s="46" t="str">
        <f t="shared" si="2"/>
        <v>Rp65,000-1 LSN-0.00%</v>
      </c>
      <c r="Q1052" s="75">
        <v>45412.0</v>
      </c>
      <c r="R1052" s="76"/>
      <c r="S1052" s="75">
        <v>45420.0</v>
      </c>
      <c r="T1052" s="49"/>
    </row>
    <row r="1053">
      <c r="A1053" s="82">
        <v>4420.0</v>
      </c>
      <c r="B1053" s="69" t="s">
        <v>29</v>
      </c>
      <c r="C1053" s="70" t="s">
        <v>1457</v>
      </c>
      <c r="D1053" s="69" t="s">
        <v>896</v>
      </c>
      <c r="E1053" s="41" t="str">
        <f>IFERROR(__xludf.DUMMYFUNCTION("vlookup(D1053,IMPORTRANGE(""https://docs.google.com/spreadsheets/d/1swGwZOEqYlTEUCJLY-eeJM1911Kvaei5oySBIxdgtNo/edit?pli=1#gid=257618397"",""stock untanna!B:C""),2,false)"),"TAS BRANDED TANGGUNG SB-116")</f>
        <v>TAS BRANDED TANGGUNG SB-116</v>
      </c>
      <c r="F1053" s="70" t="s">
        <v>896</v>
      </c>
      <c r="G1053" s="71" t="s">
        <v>897</v>
      </c>
      <c r="H1053" s="41"/>
      <c r="I1053" s="42"/>
      <c r="J1053" s="43"/>
      <c r="K1053" s="72">
        <v>1.0</v>
      </c>
      <c r="L1053" s="53" t="s">
        <v>62</v>
      </c>
      <c r="M1053" s="73">
        <v>52500.0</v>
      </c>
      <c r="N1053" s="74"/>
      <c r="O1053" s="73">
        <v>52500.0</v>
      </c>
      <c r="P1053" s="46" t="str">
        <f t="shared" si="2"/>
        <v>Rp52,500-1 LSN-0.00%</v>
      </c>
      <c r="Q1053" s="75">
        <v>45412.0</v>
      </c>
      <c r="R1053" s="76"/>
      <c r="S1053" s="75">
        <v>45420.0</v>
      </c>
      <c r="T1053" s="49"/>
    </row>
    <row r="1054">
      <c r="A1054" s="82">
        <v>4420.0</v>
      </c>
      <c r="B1054" s="69" t="s">
        <v>29</v>
      </c>
      <c r="C1054" s="70" t="s">
        <v>1457</v>
      </c>
      <c r="D1054" s="69" t="s">
        <v>214</v>
      </c>
      <c r="E1054" s="41" t="str">
        <f>IFERROR(__xludf.DUMMYFUNCTION("vlookup(D1054,IMPORTRANGE(""https://docs.google.com/spreadsheets/d/1swGwZOEqYlTEUCJLY-eeJM1911Kvaei5oySBIxdgtNo/edit?pli=1#gid=257618397"",""stock untanna!B:C""),2,false)"),"TAS COKLAT TEBAL KECIL ")</f>
        <v>TAS COKLAT TEBAL KECIL </v>
      </c>
      <c r="F1054" s="70" t="s">
        <v>214</v>
      </c>
      <c r="G1054" s="71" t="s">
        <v>215</v>
      </c>
      <c r="H1054" s="41"/>
      <c r="I1054" s="42"/>
      <c r="J1054" s="43"/>
      <c r="K1054" s="72">
        <v>1.0</v>
      </c>
      <c r="L1054" s="53" t="s">
        <v>62</v>
      </c>
      <c r="M1054" s="73">
        <v>32500.0</v>
      </c>
      <c r="N1054" s="74"/>
      <c r="O1054" s="73">
        <v>32500.0</v>
      </c>
      <c r="P1054" s="46" t="str">
        <f t="shared" si="2"/>
        <v>Rp32,500-1 LSN-0.00%</v>
      </c>
      <c r="Q1054" s="75">
        <v>45412.0</v>
      </c>
      <c r="R1054" s="76"/>
      <c r="S1054" s="75">
        <v>45420.0</v>
      </c>
      <c r="T1054" s="49"/>
    </row>
    <row r="1055">
      <c r="A1055" s="82">
        <v>4420.0</v>
      </c>
      <c r="B1055" s="69" t="s">
        <v>29</v>
      </c>
      <c r="C1055" s="70" t="s">
        <v>1457</v>
      </c>
      <c r="D1055" s="69" t="s">
        <v>216</v>
      </c>
      <c r="E1055" s="41" t="str">
        <f>IFERROR(__xludf.DUMMYFUNCTION("vlookup(D1055,IMPORTRANGE(""https://docs.google.com/spreadsheets/d/1swGwZOEqYlTEUCJLY-eeJM1911Kvaei5oySBIxdgtNo/edit?pli=1#gid=257618397"",""stock untanna!B:C""),2,false)"),"TAS COKLAT TEBAL BESAR")</f>
        <v>TAS COKLAT TEBAL BESAR</v>
      </c>
      <c r="F1055" s="70" t="s">
        <v>216</v>
      </c>
      <c r="G1055" s="71" t="s">
        <v>217</v>
      </c>
      <c r="H1055" s="41"/>
      <c r="I1055" s="42"/>
      <c r="J1055" s="43"/>
      <c r="K1055" s="72">
        <v>1.0</v>
      </c>
      <c r="L1055" s="53" t="s">
        <v>62</v>
      </c>
      <c r="M1055" s="73">
        <v>52500.0</v>
      </c>
      <c r="N1055" s="74"/>
      <c r="O1055" s="73">
        <v>52500.0</v>
      </c>
      <c r="P1055" s="46" t="str">
        <f t="shared" si="2"/>
        <v>Rp52,500-1 LSN-0.00%</v>
      </c>
      <c r="Q1055" s="75">
        <v>45412.0</v>
      </c>
      <c r="R1055" s="76"/>
      <c r="S1055" s="75">
        <v>45420.0</v>
      </c>
      <c r="T1055" s="49"/>
    </row>
    <row r="1056">
      <c r="A1056" s="82">
        <v>4420.0</v>
      </c>
      <c r="B1056" s="69" t="s">
        <v>29</v>
      </c>
      <c r="C1056" s="70" t="s">
        <v>1457</v>
      </c>
      <c r="D1056" s="69" t="s">
        <v>210</v>
      </c>
      <c r="E1056" s="41" t="str">
        <f>IFERROR(__xludf.DUMMYFUNCTION("vlookup(D1056,IMPORTRANGE(""https://docs.google.com/spreadsheets/d/1swGwZOEqYlTEUCJLY-eeJM1911Kvaei5oySBIxdgtNo/edit?pli=1#gid=257618397"",""stock untanna!B:C""),2,false)"),"TAS JASMIN TANGGUNG")</f>
        <v>TAS JASMIN TANGGUNG</v>
      </c>
      <c r="F1056" s="70" t="s">
        <v>210</v>
      </c>
      <c r="G1056" s="71" t="s">
        <v>211</v>
      </c>
      <c r="H1056" s="41"/>
      <c r="I1056" s="42"/>
      <c r="J1056" s="43"/>
      <c r="K1056" s="72">
        <v>1.0</v>
      </c>
      <c r="L1056" s="53" t="s">
        <v>62</v>
      </c>
      <c r="M1056" s="73">
        <v>60000.0</v>
      </c>
      <c r="N1056" s="74"/>
      <c r="O1056" s="73">
        <v>60000.0</v>
      </c>
      <c r="P1056" s="46" t="str">
        <f t="shared" si="2"/>
        <v>Rp60,000-1 LSN-0.00%</v>
      </c>
      <c r="Q1056" s="75">
        <v>45412.0</v>
      </c>
      <c r="R1056" s="76"/>
      <c r="S1056" s="75">
        <v>45420.0</v>
      </c>
      <c r="T1056" s="49"/>
    </row>
    <row r="1057">
      <c r="A1057" s="82">
        <v>4420.0</v>
      </c>
      <c r="B1057" s="69" t="s">
        <v>29</v>
      </c>
      <c r="C1057" s="70" t="s">
        <v>1457</v>
      </c>
      <c r="D1057" s="69"/>
      <c r="E1057" s="41" t="s">
        <v>1528</v>
      </c>
      <c r="F1057" s="70"/>
      <c r="G1057" s="71" t="s">
        <v>1528</v>
      </c>
      <c r="H1057" s="41"/>
      <c r="I1057" s="42"/>
      <c r="J1057" s="43"/>
      <c r="K1057" s="72">
        <v>1.0</v>
      </c>
      <c r="L1057" s="53" t="s">
        <v>62</v>
      </c>
      <c r="M1057" s="73">
        <v>170000.0</v>
      </c>
      <c r="N1057" s="74"/>
      <c r="O1057" s="73">
        <v>170000.0</v>
      </c>
      <c r="P1057" s="46" t="str">
        <f t="shared" si="2"/>
        <v>Rp170,000-1 LSN-0.00%</v>
      </c>
      <c r="Q1057" s="75">
        <v>45412.0</v>
      </c>
      <c r="R1057" s="76"/>
      <c r="S1057" s="75">
        <v>45420.0</v>
      </c>
      <c r="T1057" s="49"/>
    </row>
    <row r="1058">
      <c r="A1058" s="82">
        <v>4420.0</v>
      </c>
      <c r="B1058" s="69" t="s">
        <v>29</v>
      </c>
      <c r="C1058" s="70" t="s">
        <v>1457</v>
      </c>
      <c r="D1058" s="69"/>
      <c r="E1058" s="41" t="s">
        <v>1529</v>
      </c>
      <c r="F1058" s="70"/>
      <c r="G1058" s="71" t="s">
        <v>1529</v>
      </c>
      <c r="H1058" s="41"/>
      <c r="I1058" s="42"/>
      <c r="J1058" s="43"/>
      <c r="K1058" s="72">
        <v>1.0</v>
      </c>
      <c r="L1058" s="53" t="s">
        <v>62</v>
      </c>
      <c r="M1058" s="73">
        <v>182000.0</v>
      </c>
      <c r="N1058" s="74"/>
      <c r="O1058" s="73">
        <v>182000.0</v>
      </c>
      <c r="P1058" s="46" t="str">
        <f t="shared" si="2"/>
        <v>Rp182,000-1 LSN-0.00%</v>
      </c>
      <c r="Q1058" s="75">
        <v>45412.0</v>
      </c>
      <c r="R1058" s="76"/>
      <c r="S1058" s="75">
        <v>45420.0</v>
      </c>
      <c r="T1058" s="49"/>
    </row>
    <row r="1059">
      <c r="A1059" s="82">
        <v>4420.0</v>
      </c>
      <c r="B1059" s="69" t="s">
        <v>29</v>
      </c>
      <c r="C1059" s="70" t="s">
        <v>1457</v>
      </c>
      <c r="D1059" s="69" t="s">
        <v>212</v>
      </c>
      <c r="E1059" s="41" t="str">
        <f>IFERROR(__xludf.DUMMYFUNCTION("vlookup(D1059,IMPORTRANGE(""https://docs.google.com/spreadsheets/d/1swGwZOEqYlTEUCJLY-eeJM1911Kvaei5oySBIxdgtNo/edit?pli=1#gid=257618397"",""stock untanna!B:C""),2,false)"),"TAS JASMIN BESAR")</f>
        <v>TAS JASMIN BESAR</v>
      </c>
      <c r="F1059" s="70" t="s">
        <v>212</v>
      </c>
      <c r="G1059" s="71" t="s">
        <v>213</v>
      </c>
      <c r="H1059" s="41"/>
      <c r="I1059" s="42"/>
      <c r="J1059" s="43"/>
      <c r="K1059" s="72">
        <v>1.0</v>
      </c>
      <c r="L1059" s="53" t="s">
        <v>62</v>
      </c>
      <c r="M1059" s="73">
        <v>75000.0</v>
      </c>
      <c r="N1059" s="74"/>
      <c r="O1059" s="73">
        <v>75000.0</v>
      </c>
      <c r="P1059" s="46" t="str">
        <f t="shared" si="2"/>
        <v>Rp75,000-1 LSN-0.00%</v>
      </c>
      <c r="Q1059" s="75">
        <v>45412.0</v>
      </c>
      <c r="R1059" s="76"/>
      <c r="S1059" s="75">
        <v>45420.0</v>
      </c>
      <c r="T1059" s="49"/>
    </row>
    <row r="1060">
      <c r="A1060" s="82">
        <v>4420.0</v>
      </c>
      <c r="B1060" s="69" t="s">
        <v>29</v>
      </c>
      <c r="C1060" s="70" t="s">
        <v>1457</v>
      </c>
      <c r="D1060" s="69" t="s">
        <v>1530</v>
      </c>
      <c r="E1060" s="41" t="str">
        <f>IFERROR(__xludf.DUMMYFUNCTION("vlookup(D1060,IMPORTRANGE(""https://docs.google.com/spreadsheets/d/1swGwZOEqYlTEUCJLY-eeJM1911Kvaei5oySBIxdgtNo/edit?pli=1#gid=257618397"",""stock untanna!B:C""),2,false)"),"TAS TALI GG-02 TANGGUNG GLITTER")</f>
        <v>TAS TALI GG-02 TANGGUNG GLITTER</v>
      </c>
      <c r="F1060" s="70" t="s">
        <v>1530</v>
      </c>
      <c r="G1060" s="71" t="s">
        <v>1531</v>
      </c>
      <c r="H1060" s="41"/>
      <c r="I1060" s="42"/>
      <c r="J1060" s="43"/>
      <c r="K1060" s="72">
        <v>1.0</v>
      </c>
      <c r="L1060" s="53" t="s">
        <v>62</v>
      </c>
      <c r="M1060" s="73">
        <v>170000.0</v>
      </c>
      <c r="N1060" s="74"/>
      <c r="O1060" s="73">
        <v>170000.0</v>
      </c>
      <c r="P1060" s="46" t="str">
        <f t="shared" si="2"/>
        <v>Rp170,000-1 LSN-0.00%</v>
      </c>
      <c r="Q1060" s="75">
        <v>45412.0</v>
      </c>
      <c r="R1060" s="76"/>
      <c r="S1060" s="75">
        <v>45420.0</v>
      </c>
      <c r="T1060" s="49"/>
    </row>
    <row r="1061">
      <c r="A1061" s="82">
        <v>4420.0</v>
      </c>
      <c r="B1061" s="69" t="s">
        <v>29</v>
      </c>
      <c r="C1061" s="70" t="s">
        <v>1457</v>
      </c>
      <c r="D1061" s="69"/>
      <c r="E1061" s="41" t="s">
        <v>1532</v>
      </c>
      <c r="F1061" s="70"/>
      <c r="G1061" s="71" t="s">
        <v>1532</v>
      </c>
      <c r="H1061" s="41"/>
      <c r="I1061" s="42"/>
      <c r="J1061" s="43"/>
      <c r="K1061" s="72">
        <v>1.0</v>
      </c>
      <c r="L1061" s="53" t="s">
        <v>62</v>
      </c>
      <c r="M1061" s="73">
        <v>182000.0</v>
      </c>
      <c r="N1061" s="74"/>
      <c r="O1061" s="73">
        <v>182000.0</v>
      </c>
      <c r="P1061" s="46" t="str">
        <f t="shared" si="2"/>
        <v>Rp182,000-1 LSN-0.00%</v>
      </c>
      <c r="Q1061" s="75">
        <v>45412.0</v>
      </c>
      <c r="R1061" s="76"/>
      <c r="S1061" s="75">
        <v>45420.0</v>
      </c>
      <c r="T1061" s="49"/>
    </row>
    <row r="1062">
      <c r="A1062" s="82">
        <v>4420.0</v>
      </c>
      <c r="B1062" s="69" t="s">
        <v>29</v>
      </c>
      <c r="C1062" s="70" t="s">
        <v>1457</v>
      </c>
      <c r="D1062" s="69"/>
      <c r="E1062" s="41" t="s">
        <v>1533</v>
      </c>
      <c r="F1062" s="70"/>
      <c r="G1062" s="78" t="s">
        <v>1533</v>
      </c>
      <c r="H1062" s="41"/>
      <c r="I1062" s="42"/>
      <c r="J1062" s="43"/>
      <c r="K1062" s="72">
        <v>1.0</v>
      </c>
      <c r="L1062" s="53" t="s">
        <v>62</v>
      </c>
      <c r="M1062" s="73">
        <v>195000.0</v>
      </c>
      <c r="N1062" s="74"/>
      <c r="O1062" s="73">
        <v>195000.0</v>
      </c>
      <c r="P1062" s="46" t="str">
        <f t="shared" si="2"/>
        <v>Rp195,000-1 LSN-0.00%</v>
      </c>
      <c r="Q1062" s="75">
        <v>45412.0</v>
      </c>
      <c r="R1062" s="76"/>
      <c r="S1062" s="75">
        <v>45420.0</v>
      </c>
      <c r="T1062" s="49"/>
    </row>
    <row r="1063">
      <c r="A1063" s="82">
        <v>4420.0</v>
      </c>
      <c r="B1063" s="69" t="s">
        <v>29</v>
      </c>
      <c r="C1063" s="70" t="s">
        <v>1457</v>
      </c>
      <c r="D1063" s="69"/>
      <c r="E1063" s="41" t="s">
        <v>1534</v>
      </c>
      <c r="F1063" s="70"/>
      <c r="G1063" s="71" t="s">
        <v>1534</v>
      </c>
      <c r="H1063" s="41"/>
      <c r="I1063" s="42"/>
      <c r="J1063" s="43"/>
      <c r="K1063" s="72">
        <v>1.0</v>
      </c>
      <c r="L1063" s="53" t="s">
        <v>62</v>
      </c>
      <c r="M1063" s="73">
        <v>195000.0</v>
      </c>
      <c r="N1063" s="74"/>
      <c r="O1063" s="73">
        <v>195000.0</v>
      </c>
      <c r="P1063" s="46" t="str">
        <f t="shared" si="2"/>
        <v>Rp195,000-1 LSN-0.00%</v>
      </c>
      <c r="Q1063" s="75">
        <v>45412.0</v>
      </c>
      <c r="R1063" s="76"/>
      <c r="S1063" s="75">
        <v>45420.0</v>
      </c>
      <c r="T1063" s="49"/>
    </row>
    <row r="1064">
      <c r="A1064" s="82">
        <v>4420.0</v>
      </c>
      <c r="B1064" s="69" t="s">
        <v>29</v>
      </c>
      <c r="C1064" s="70" t="s">
        <v>1457</v>
      </c>
      <c r="D1064" s="69" t="s">
        <v>1535</v>
      </c>
      <c r="E1064" s="41" t="str">
        <f>IFERROR(__xludf.DUMMYFUNCTION("vlookup(D1064,IMPORTRANGE(""https://docs.google.com/spreadsheets/d/1swGwZOEqYlTEUCJLY-eeJM1911Kvaei5oySBIxdgtNo/edit?pli=1#gid=257618397"",""stock untanna!B:C""),2,false)"),"BALON BL 1009")</f>
        <v>BALON BL 1009</v>
      </c>
      <c r="F1064" s="70" t="s">
        <v>1535</v>
      </c>
      <c r="G1064" s="71" t="s">
        <v>1536</v>
      </c>
      <c r="H1064" s="41"/>
      <c r="I1064" s="42"/>
      <c r="J1064" s="43"/>
      <c r="K1064" s="72">
        <v>1.0</v>
      </c>
      <c r="L1064" s="53" t="s">
        <v>1521</v>
      </c>
      <c r="M1064" s="73">
        <v>115000.0</v>
      </c>
      <c r="N1064" s="74"/>
      <c r="O1064" s="73">
        <v>115000.0</v>
      </c>
      <c r="P1064" s="46" t="str">
        <f t="shared" si="2"/>
        <v>Rp115,000-1 DISP-0.00%</v>
      </c>
      <c r="Q1064" s="75">
        <v>45412.0</v>
      </c>
      <c r="R1064" s="76"/>
      <c r="S1064" s="75">
        <v>45420.0</v>
      </c>
      <c r="T1064" s="49"/>
    </row>
    <row r="1065">
      <c r="A1065" s="82">
        <v>4421.0</v>
      </c>
      <c r="B1065" s="69" t="s">
        <v>29</v>
      </c>
      <c r="C1065" s="70" t="s">
        <v>1457</v>
      </c>
      <c r="D1065" s="50" t="s">
        <v>889</v>
      </c>
      <c r="E1065" s="41" t="str">
        <f>IFERROR(__xludf.DUMMYFUNCTION("vlookup(D1065,IMPORTRANGE(""https://docs.google.com/spreadsheets/d/1swGwZOEqYlTEUCJLY-eeJM1911Kvaei5oySBIxdgtNo/edit?pli=1#gid=257618397"",""stock untanna!B:C""),2,false)"),"TAS LYSD 241 K")</f>
        <v>TAS LYSD 241 K</v>
      </c>
      <c r="F1065" s="70" t="s">
        <v>890</v>
      </c>
      <c r="G1065" s="71" t="s">
        <v>891</v>
      </c>
      <c r="H1065" s="41"/>
      <c r="I1065" s="42"/>
      <c r="J1065" s="43"/>
      <c r="K1065" s="72">
        <v>12.0</v>
      </c>
      <c r="L1065" s="53" t="s">
        <v>69</v>
      </c>
      <c r="M1065" s="73">
        <v>7083.0</v>
      </c>
      <c r="N1065" s="74"/>
      <c r="O1065" s="73">
        <v>84996.0</v>
      </c>
      <c r="P1065" s="46" t="str">
        <f t="shared" si="2"/>
        <v>Rp7,083-12 PCS-0.00%</v>
      </c>
      <c r="Q1065" s="75">
        <v>45412.0</v>
      </c>
      <c r="R1065" s="76"/>
      <c r="S1065" s="75">
        <v>45420.0</v>
      </c>
      <c r="T1065" s="49"/>
    </row>
    <row r="1066">
      <c r="A1066" s="82">
        <v>4421.0</v>
      </c>
      <c r="B1066" s="69" t="s">
        <v>29</v>
      </c>
      <c r="C1066" s="70" t="s">
        <v>1457</v>
      </c>
      <c r="D1066" s="69" t="s">
        <v>1537</v>
      </c>
      <c r="E1066" s="41" t="str">
        <f>IFERROR(__xludf.DUMMYFUNCTION("vlookup(D1066,IMPORTRANGE(""https://docs.google.com/spreadsheets/d/1swGwZOEqYlTEUCJLY-eeJM1911Kvaei5oySBIxdgtNo/edit?pli=1#gid=257618397"",""stock untanna!B:C""),2,false)"),"TAS HD 234")</f>
        <v>TAS HD 234</v>
      </c>
      <c r="F1066" s="70" t="s">
        <v>1537</v>
      </c>
      <c r="G1066" s="71" t="s">
        <v>1538</v>
      </c>
      <c r="H1066" s="41"/>
      <c r="I1066" s="42"/>
      <c r="J1066" s="43"/>
      <c r="K1066" s="72">
        <v>12.0</v>
      </c>
      <c r="L1066" s="53" t="s">
        <v>69</v>
      </c>
      <c r="M1066" s="73">
        <v>7083.0</v>
      </c>
      <c r="N1066" s="74"/>
      <c r="O1066" s="73">
        <v>84996.0</v>
      </c>
      <c r="P1066" s="46" t="str">
        <f t="shared" si="2"/>
        <v>Rp7,083-12 PCS-0.00%</v>
      </c>
      <c r="Q1066" s="75">
        <v>45412.0</v>
      </c>
      <c r="R1066" s="76"/>
      <c r="S1066" s="75">
        <v>45420.0</v>
      </c>
      <c r="T1066" s="49"/>
    </row>
    <row r="1067">
      <c r="A1067" s="82">
        <v>4421.0</v>
      </c>
      <c r="B1067" s="69" t="s">
        <v>29</v>
      </c>
      <c r="C1067" s="70" t="s">
        <v>1457</v>
      </c>
      <c r="D1067" s="69" t="s">
        <v>1539</v>
      </c>
      <c r="E1067" s="41" t="str">
        <f>IFERROR(__xludf.DUMMYFUNCTION("vlookup(D1067,IMPORTRANGE(""https://docs.google.com/spreadsheets/d/1swGwZOEqYlTEUCJLY-eeJM1911Kvaei5oySBIxdgtNo/edit?pli=1#gid=257618397"",""stock untanna!B:C""),2,false)"),"NOTEBOOK B0200 (A5）")</f>
        <v>NOTEBOOK B0200 (A5）</v>
      </c>
      <c r="F1067" s="70" t="s">
        <v>1539</v>
      </c>
      <c r="G1067" s="71" t="s">
        <v>1540</v>
      </c>
      <c r="H1067" s="41"/>
      <c r="I1067" s="42"/>
      <c r="J1067" s="43"/>
      <c r="K1067" s="72">
        <v>12.0</v>
      </c>
      <c r="L1067" s="53" t="s">
        <v>69</v>
      </c>
      <c r="M1067" s="73">
        <v>27500.0</v>
      </c>
      <c r="N1067" s="74"/>
      <c r="O1067" s="73">
        <v>330000.0</v>
      </c>
      <c r="P1067" s="46" t="str">
        <f t="shared" si="2"/>
        <v>Rp27,500-12 PCS-0.00%</v>
      </c>
      <c r="Q1067" s="75">
        <v>45412.0</v>
      </c>
      <c r="R1067" s="76"/>
      <c r="S1067" s="75">
        <v>45420.0</v>
      </c>
      <c r="T1067" s="49"/>
    </row>
    <row r="1068">
      <c r="A1068" s="82">
        <v>4421.0</v>
      </c>
      <c r="B1068" s="69" t="s">
        <v>29</v>
      </c>
      <c r="C1068" s="70" t="s">
        <v>1457</v>
      </c>
      <c r="D1068" s="69" t="s">
        <v>1541</v>
      </c>
      <c r="E1068" s="41" t="str">
        <f>IFERROR(__xludf.DUMMYFUNCTION("vlookup(D1068,IMPORTRANGE(""https://docs.google.com/spreadsheets/d/1swGwZOEqYlTEUCJLY-eeJM1911Kvaei5oySBIxdgtNo/edit?pli=1#gid=257618397"",""stock untanna!B:C""),2,false)"),"NOTEBOOK 05204")</f>
        <v>NOTEBOOK 05204</v>
      </c>
      <c r="F1068" s="70" t="s">
        <v>1541</v>
      </c>
      <c r="G1068" s="71" t="s">
        <v>1542</v>
      </c>
      <c r="H1068" s="41"/>
      <c r="I1068" s="42"/>
      <c r="J1068" s="43"/>
      <c r="K1068" s="72">
        <v>12.0</v>
      </c>
      <c r="L1068" s="53" t="s">
        <v>69</v>
      </c>
      <c r="M1068" s="73">
        <v>30000.0</v>
      </c>
      <c r="N1068" s="74"/>
      <c r="O1068" s="73">
        <v>360000.0</v>
      </c>
      <c r="P1068" s="46" t="str">
        <f t="shared" si="2"/>
        <v>Rp30,000-12 PCS-0.00%</v>
      </c>
      <c r="Q1068" s="75">
        <v>45412.0</v>
      </c>
      <c r="R1068" s="76"/>
      <c r="S1068" s="75">
        <v>45420.0</v>
      </c>
      <c r="T1068" s="49"/>
    </row>
    <row r="1069">
      <c r="A1069" s="82">
        <v>4421.0</v>
      </c>
      <c r="B1069" s="69" t="s">
        <v>29</v>
      </c>
      <c r="C1069" s="70" t="s">
        <v>1457</v>
      </c>
      <c r="D1069" s="69" t="s">
        <v>1543</v>
      </c>
      <c r="E1069" s="41" t="str">
        <f>IFERROR(__xludf.DUMMYFUNCTION("vlookup(D1069,IMPORTRANGE(""https://docs.google.com/spreadsheets/d/1swGwZOEqYlTEUCJLY-eeJM1911Kvaei5oySBIxdgtNo/edit?pli=1#gid=257618397"",""stock untanna!B:C""),2,false)"),"NOTEBOOK 76205")</f>
        <v>NOTEBOOK 76205</v>
      </c>
      <c r="F1069" s="70" t="s">
        <v>1543</v>
      </c>
      <c r="G1069" s="71" t="s">
        <v>1544</v>
      </c>
      <c r="H1069" s="41"/>
      <c r="I1069" s="42"/>
      <c r="J1069" s="43"/>
      <c r="K1069" s="72">
        <v>12.0</v>
      </c>
      <c r="L1069" s="53" t="s">
        <v>69</v>
      </c>
      <c r="M1069" s="73">
        <v>37500.0</v>
      </c>
      <c r="N1069" s="74"/>
      <c r="O1069" s="73">
        <v>450000.0</v>
      </c>
      <c r="P1069" s="46" t="str">
        <f t="shared" si="2"/>
        <v>Rp37,500-12 PCS-0.00%</v>
      </c>
      <c r="Q1069" s="75">
        <v>45412.0</v>
      </c>
      <c r="R1069" s="76"/>
      <c r="S1069" s="75">
        <v>45420.0</v>
      </c>
      <c r="T1069" s="49"/>
    </row>
    <row r="1070">
      <c r="A1070" s="82">
        <v>4421.0</v>
      </c>
      <c r="B1070" s="69" t="s">
        <v>29</v>
      </c>
      <c r="C1070" s="70" t="s">
        <v>1457</v>
      </c>
      <c r="D1070" s="69" t="s">
        <v>298</v>
      </c>
      <c r="E1070" s="41" t="str">
        <f>IFERROR(__xludf.DUMMYFUNCTION("vlookup(D1070,IMPORTRANGE(""https://docs.google.com/spreadsheets/d/1swGwZOEqYlTEUCJLY-eeJM1911Kvaei5oySBIxdgtNo/edit?pli=1#gid=257618397"",""stock untanna!B:C""),2,false)"),"NOTEBOOK B1018 (B5）")</f>
        <v>NOTEBOOK B1018 (B5）</v>
      </c>
      <c r="F1070" s="70" t="s">
        <v>298</v>
      </c>
      <c r="G1070" s="71" t="s">
        <v>1213</v>
      </c>
      <c r="H1070" s="41"/>
      <c r="I1070" s="42"/>
      <c r="J1070" s="43"/>
      <c r="K1070" s="72">
        <v>12.0</v>
      </c>
      <c r="L1070" s="53" t="s">
        <v>69</v>
      </c>
      <c r="M1070" s="73">
        <v>30000.0</v>
      </c>
      <c r="N1070" s="74"/>
      <c r="O1070" s="73">
        <v>360000.0</v>
      </c>
      <c r="P1070" s="46" t="str">
        <f t="shared" si="2"/>
        <v>Rp30,000-12 PCS-0.00%</v>
      </c>
      <c r="Q1070" s="75">
        <v>45412.0</v>
      </c>
      <c r="R1070" s="76"/>
      <c r="S1070" s="75">
        <v>45420.0</v>
      </c>
      <c r="T1070" s="49"/>
    </row>
    <row r="1071">
      <c r="A1071" s="82">
        <v>4421.0</v>
      </c>
      <c r="B1071" s="69" t="s">
        <v>29</v>
      </c>
      <c r="C1071" s="70" t="s">
        <v>1457</v>
      </c>
      <c r="D1071" s="69" t="s">
        <v>300</v>
      </c>
      <c r="E1071" s="41" t="str">
        <f>IFERROR(__xludf.DUMMYFUNCTION("vlookup(D1071,IMPORTRANGE(""https://docs.google.com/spreadsheets/d/1swGwZOEqYlTEUCJLY-eeJM1911Kvaei5oySBIxdgtNo/edit?pli=1#gid=257618397"",""stock untanna!B:C""),2,false)"),"NOTEBOOK B1019 (B5）")</f>
        <v>NOTEBOOK B1019 (B5）</v>
      </c>
      <c r="F1071" s="70" t="s">
        <v>300</v>
      </c>
      <c r="G1071" s="71" t="s">
        <v>1545</v>
      </c>
      <c r="H1071" s="41"/>
      <c r="I1071" s="42"/>
      <c r="J1071" s="43"/>
      <c r="K1071" s="72">
        <v>12.0</v>
      </c>
      <c r="L1071" s="53" t="s">
        <v>69</v>
      </c>
      <c r="M1071" s="73">
        <v>37500.0</v>
      </c>
      <c r="N1071" s="74"/>
      <c r="O1071" s="73">
        <v>450000.0</v>
      </c>
      <c r="P1071" s="46" t="str">
        <f t="shared" si="2"/>
        <v>Rp37,500-12 PCS-0.00%</v>
      </c>
      <c r="Q1071" s="75">
        <v>45412.0</v>
      </c>
      <c r="R1071" s="76"/>
      <c r="S1071" s="75">
        <v>45420.0</v>
      </c>
      <c r="T1071" s="49"/>
    </row>
    <row r="1072">
      <c r="A1072" s="82">
        <v>4421.0</v>
      </c>
      <c r="B1072" s="69" t="s">
        <v>29</v>
      </c>
      <c r="C1072" s="70" t="s">
        <v>1457</v>
      </c>
      <c r="D1072" s="50" t="s">
        <v>1546</v>
      </c>
      <c r="E1072" s="41" t="str">
        <f>IFERROR(__xludf.DUMMYFUNCTION("vlookup(D1072,IMPORTRANGE(""https://docs.google.com/spreadsheets/d/1swGwZOEqYlTEUCJLY-eeJM1911Kvaei5oySBIxdgtNo/edit?pli=1#gid=257618397"",""stock untanna!B:C""),2,false)"),"BN WENGU A5-B 0164 (4W)")</f>
        <v>BN WENGU A5-B 0164 (4W)</v>
      </c>
      <c r="F1072" s="70" t="s">
        <v>1547</v>
      </c>
      <c r="G1072" s="71" t="s">
        <v>1548</v>
      </c>
      <c r="H1072" s="41"/>
      <c r="I1072" s="42"/>
      <c r="J1072" s="43"/>
      <c r="K1072" s="72">
        <v>12.0</v>
      </c>
      <c r="L1072" s="53" t="s">
        <v>69</v>
      </c>
      <c r="M1072" s="73">
        <v>32500.0</v>
      </c>
      <c r="N1072" s="74"/>
      <c r="O1072" s="73">
        <v>390000.0</v>
      </c>
      <c r="P1072" s="46" t="str">
        <f t="shared" si="2"/>
        <v>Rp32,500-12 PCS-0.00%</v>
      </c>
      <c r="Q1072" s="75">
        <v>45412.0</v>
      </c>
      <c r="R1072" s="76"/>
      <c r="S1072" s="75">
        <v>45420.0</v>
      </c>
      <c r="T1072" s="49"/>
    </row>
    <row r="1073">
      <c r="A1073" s="82">
        <v>4421.0</v>
      </c>
      <c r="B1073" s="69" t="s">
        <v>29</v>
      </c>
      <c r="C1073" s="70" t="s">
        <v>1457</v>
      </c>
      <c r="D1073" s="69" t="s">
        <v>1549</v>
      </c>
      <c r="E1073" s="41" t="str">
        <f>IFERROR(__xludf.DUMMYFUNCTION("vlookup(D1073,IMPORTRANGE(""https://docs.google.com/spreadsheets/d/1swGwZOEqYlTEUCJLY-eeJM1911Kvaei5oySBIxdgtNo/edit?pli=1#gid=257618397"",""stock untanna!B:C""),2,false)"),"NOTEBOOK 93846")</f>
        <v>NOTEBOOK 93846</v>
      </c>
      <c r="F1073" s="70" t="s">
        <v>1549</v>
      </c>
      <c r="G1073" s="71" t="s">
        <v>1550</v>
      </c>
      <c r="H1073" s="41"/>
      <c r="I1073" s="42"/>
      <c r="J1073" s="43"/>
      <c r="K1073" s="72">
        <v>12.0</v>
      </c>
      <c r="L1073" s="53" t="s">
        <v>69</v>
      </c>
      <c r="M1073" s="73">
        <v>37500.0</v>
      </c>
      <c r="N1073" s="74"/>
      <c r="O1073" s="73">
        <v>450000.0</v>
      </c>
      <c r="P1073" s="46" t="str">
        <f t="shared" si="2"/>
        <v>Rp37,500-12 PCS-0.00%</v>
      </c>
      <c r="Q1073" s="75">
        <v>45412.0</v>
      </c>
      <c r="R1073" s="76"/>
      <c r="S1073" s="75">
        <v>45420.0</v>
      </c>
      <c r="T1073" s="49"/>
    </row>
    <row r="1074">
      <c r="A1074" s="82">
        <v>4421.0</v>
      </c>
      <c r="B1074" s="69" t="s">
        <v>29</v>
      </c>
      <c r="C1074" s="70" t="s">
        <v>1457</v>
      </c>
      <c r="D1074" s="69"/>
      <c r="E1074" s="41" t="s">
        <v>1206</v>
      </c>
      <c r="F1074" s="70"/>
      <c r="G1074" s="71" t="s">
        <v>1206</v>
      </c>
      <c r="H1074" s="41"/>
      <c r="I1074" s="42"/>
      <c r="J1074" s="43"/>
      <c r="K1074" s="72">
        <v>1.0</v>
      </c>
      <c r="L1074" s="53" t="s">
        <v>62</v>
      </c>
      <c r="M1074" s="73">
        <v>175000.0</v>
      </c>
      <c r="N1074" s="74"/>
      <c r="O1074" s="73">
        <v>175000.0</v>
      </c>
      <c r="P1074" s="46" t="str">
        <f t="shared" si="2"/>
        <v>Rp175,000-1 LSN-0.00%</v>
      </c>
      <c r="Q1074" s="75">
        <v>45412.0</v>
      </c>
      <c r="R1074" s="76"/>
      <c r="S1074" s="75">
        <v>45420.0</v>
      </c>
      <c r="T1074" s="80" t="s">
        <v>280</v>
      </c>
    </row>
    <row r="1075">
      <c r="A1075" s="82">
        <v>4421.0</v>
      </c>
      <c r="B1075" s="69" t="s">
        <v>29</v>
      </c>
      <c r="C1075" s="70" t="s">
        <v>1457</v>
      </c>
      <c r="D1075" s="69" t="s">
        <v>1551</v>
      </c>
      <c r="E1075" s="41" t="str">
        <f>IFERROR(__xludf.DUMMYFUNCTION("vlookup(D1075,IMPORTRANGE(""https://docs.google.com/spreadsheets/d/1swGwZOEqYlTEUCJLY-eeJM1911Kvaei5oySBIxdgtNo/edit?pli=1#gid=257618397"",""stock untanna!B:C""),2,false)"),"CLIPBOARD ENTER ANTI PECAH (GAP 03)")</f>
        <v>CLIPBOARD ENTER ANTI PECAH (GAP 03)</v>
      </c>
      <c r="F1075" s="70" t="s">
        <v>1551</v>
      </c>
      <c r="G1075" s="78" t="s">
        <v>1552</v>
      </c>
      <c r="H1075" s="41"/>
      <c r="I1075" s="42"/>
      <c r="J1075" s="43"/>
      <c r="K1075" s="72">
        <v>1.0</v>
      </c>
      <c r="L1075" s="53" t="s">
        <v>62</v>
      </c>
      <c r="M1075" s="73">
        <v>200000.0</v>
      </c>
      <c r="N1075" s="74"/>
      <c r="O1075" s="73">
        <v>200000.0</v>
      </c>
      <c r="P1075" s="46" t="str">
        <f t="shared" si="2"/>
        <v>Rp200,000-1 LSN-0.00%</v>
      </c>
      <c r="Q1075" s="75">
        <v>45412.0</v>
      </c>
      <c r="R1075" s="76"/>
      <c r="S1075" s="75">
        <v>45420.0</v>
      </c>
      <c r="T1075" s="49"/>
    </row>
    <row r="1076">
      <c r="A1076" s="82">
        <v>4421.0</v>
      </c>
      <c r="B1076" s="69" t="s">
        <v>29</v>
      </c>
      <c r="C1076" s="70" t="s">
        <v>1457</v>
      </c>
      <c r="D1076" s="69"/>
      <c r="E1076" s="41" t="s">
        <v>1553</v>
      </c>
      <c r="F1076" s="70"/>
      <c r="G1076" s="78" t="s">
        <v>1553</v>
      </c>
      <c r="H1076" s="41"/>
      <c r="I1076" s="42"/>
      <c r="J1076" s="43"/>
      <c r="K1076" s="72">
        <v>1.0</v>
      </c>
      <c r="L1076" s="53" t="s">
        <v>62</v>
      </c>
      <c r="M1076" s="73">
        <v>70000.0</v>
      </c>
      <c r="N1076" s="74"/>
      <c r="O1076" s="73">
        <v>70000.0</v>
      </c>
      <c r="P1076" s="46" t="str">
        <f t="shared" si="2"/>
        <v>Rp70,000-1 LSN-0.00%</v>
      </c>
      <c r="Q1076" s="75">
        <v>45412.0</v>
      </c>
      <c r="R1076" s="76"/>
      <c r="S1076" s="75">
        <v>45420.0</v>
      </c>
      <c r="T1076" s="49"/>
    </row>
    <row r="1077">
      <c r="A1077" s="82">
        <v>4421.0</v>
      </c>
      <c r="B1077" s="69" t="s">
        <v>29</v>
      </c>
      <c r="C1077" s="70" t="s">
        <v>1457</v>
      </c>
      <c r="D1077" s="50" t="s">
        <v>1554</v>
      </c>
      <c r="E1077" s="41" t="str">
        <f>IFERROR(__xludf.DUMMYFUNCTION("vlookup(D1077,IMPORTRANGE(""https://docs.google.com/spreadsheets/d/1swGwZOEqYlTEUCJLY-eeJM1911Kvaei5oySBIxdgtNo/edit?pli=1#gid=257618397"",""stock untanna!B:C""),2,false)"),"CLIP BOARD 303 (CLIP BESAR)")</f>
        <v>CLIP BOARD 303 (CLIP BESAR)</v>
      </c>
      <c r="F1077" s="70" t="s">
        <v>1555</v>
      </c>
      <c r="G1077" s="71" t="s">
        <v>1556</v>
      </c>
      <c r="H1077" s="41"/>
      <c r="I1077" s="42"/>
      <c r="J1077" s="43"/>
      <c r="K1077" s="72">
        <v>1.0</v>
      </c>
      <c r="L1077" s="53" t="s">
        <v>62</v>
      </c>
      <c r="M1077" s="73">
        <v>200000.0</v>
      </c>
      <c r="N1077" s="74"/>
      <c r="O1077" s="73">
        <v>200000.0</v>
      </c>
      <c r="P1077" s="46" t="str">
        <f t="shared" si="2"/>
        <v>Rp200,000-1 LSN-0.00%</v>
      </c>
      <c r="Q1077" s="75">
        <v>45412.0</v>
      </c>
      <c r="R1077" s="76"/>
      <c r="S1077" s="75">
        <v>45420.0</v>
      </c>
      <c r="T1077" s="49"/>
    </row>
    <row r="1078">
      <c r="A1078" s="82">
        <v>4421.0</v>
      </c>
      <c r="B1078" s="69" t="s">
        <v>29</v>
      </c>
      <c r="C1078" s="70" t="s">
        <v>1457</v>
      </c>
      <c r="D1078" s="69" t="s">
        <v>1557</v>
      </c>
      <c r="E1078" s="41" t="str">
        <f>IFERROR(__xludf.DUMMYFUNCTION("vlookup(D1078,IMPORTRANGE(""https://docs.google.com/spreadsheets/d/1swGwZOEqYlTEUCJLY-eeJM1911Kvaei5oySBIxdgtNo/edit?pli=1#gid=257618397"",""stock untanna!B:C""),2,false)"),"NOTEBOOK  A5-103")</f>
        <v>NOTEBOOK  A5-103</v>
      </c>
      <c r="F1078" s="70" t="s">
        <v>1557</v>
      </c>
      <c r="G1078" s="71" t="s">
        <v>1558</v>
      </c>
      <c r="H1078" s="41"/>
      <c r="I1078" s="42"/>
      <c r="J1078" s="43"/>
      <c r="K1078" s="72">
        <v>1.0</v>
      </c>
      <c r="L1078" s="53" t="s">
        <v>62</v>
      </c>
      <c r="M1078" s="73">
        <v>270000.0</v>
      </c>
      <c r="N1078" s="74"/>
      <c r="O1078" s="73">
        <v>270000.0</v>
      </c>
      <c r="P1078" s="46" t="str">
        <f t="shared" si="2"/>
        <v>Rp270,000-1 LSN-0.00%</v>
      </c>
      <c r="Q1078" s="75">
        <v>45412.0</v>
      </c>
      <c r="R1078" s="76"/>
      <c r="S1078" s="75">
        <v>45420.0</v>
      </c>
      <c r="T1078" s="49"/>
    </row>
    <row r="1079">
      <c r="A1079" s="82">
        <v>4421.0</v>
      </c>
      <c r="B1079" s="69" t="s">
        <v>29</v>
      </c>
      <c r="C1079" s="70" t="s">
        <v>1457</v>
      </c>
      <c r="D1079" s="69"/>
      <c r="E1079" s="41" t="s">
        <v>1559</v>
      </c>
      <c r="F1079" s="70"/>
      <c r="G1079" s="71" t="s">
        <v>1559</v>
      </c>
      <c r="H1079" s="41"/>
      <c r="I1079" s="42"/>
      <c r="J1079" s="43"/>
      <c r="K1079" s="72">
        <v>24.0</v>
      </c>
      <c r="L1079" s="53" t="s">
        <v>69</v>
      </c>
      <c r="M1079" s="73">
        <v>7500.0</v>
      </c>
      <c r="N1079" s="74"/>
      <c r="O1079" s="73">
        <v>180000.0</v>
      </c>
      <c r="P1079" s="46" t="str">
        <f t="shared" si="2"/>
        <v>Rp7,500-24 PCS-0.00%</v>
      </c>
      <c r="Q1079" s="75">
        <v>45412.0</v>
      </c>
      <c r="R1079" s="76"/>
      <c r="S1079" s="75">
        <v>45420.0</v>
      </c>
      <c r="T1079" s="49"/>
    </row>
    <row r="1080">
      <c r="A1080" s="82">
        <v>4422.0</v>
      </c>
      <c r="B1080" s="69" t="s">
        <v>29</v>
      </c>
      <c r="C1080" s="70" t="s">
        <v>1457</v>
      </c>
      <c r="D1080" s="69" t="s">
        <v>1560</v>
      </c>
      <c r="E1080" s="41" t="str">
        <f>IFERROR(__xludf.DUMMYFUNCTION("vlookup(D1080,IMPORTRANGE(""https://docs.google.com/spreadsheets/d/1swGwZOEqYlTEUCJLY-eeJM1911Kvaei5oySBIxdgtNo/edit?pli=1#gid=257618397"",""stock untanna!B:C""),2,false)"),"AGENDA 25K (BC 510)")</f>
        <v>AGENDA 25K (BC 510)</v>
      </c>
      <c r="F1080" s="70" t="s">
        <v>1560</v>
      </c>
      <c r="G1080" s="71" t="s">
        <v>1561</v>
      </c>
      <c r="H1080" s="41"/>
      <c r="I1080" s="42"/>
      <c r="J1080" s="43"/>
      <c r="K1080" s="72">
        <v>12.0</v>
      </c>
      <c r="L1080" s="53" t="s">
        <v>69</v>
      </c>
      <c r="M1080" s="73">
        <v>27000.0</v>
      </c>
      <c r="N1080" s="74"/>
      <c r="O1080" s="73">
        <v>324000.0</v>
      </c>
      <c r="P1080" s="46" t="str">
        <f t="shared" si="2"/>
        <v>Rp27,000-12 PCS-0.00%</v>
      </c>
      <c r="Q1080" s="75">
        <v>45412.0</v>
      </c>
      <c r="R1080" s="76"/>
      <c r="S1080" s="75">
        <v>45420.0</v>
      </c>
      <c r="T1080" s="49"/>
    </row>
    <row r="1081">
      <c r="A1081" s="82">
        <v>4422.0</v>
      </c>
      <c r="B1081" s="69" t="s">
        <v>29</v>
      </c>
      <c r="C1081" s="70" t="s">
        <v>1457</v>
      </c>
      <c r="D1081" s="69" t="s">
        <v>1562</v>
      </c>
      <c r="E1081" s="41" t="str">
        <f>IFERROR(__xludf.DUMMYFUNCTION("vlookup(D1081,IMPORTRANGE(""https://docs.google.com/spreadsheets/d/1swGwZOEqYlTEUCJLY-eeJM1911Kvaei5oySBIxdgtNo/edit?pli=1#gid=257618397"",""stock untanna!B:C""),2,false)"),"BN 7102 A5-20")</f>
        <v>BN 7102 A5-20</v>
      </c>
      <c r="F1081" s="70" t="s">
        <v>1562</v>
      </c>
      <c r="G1081" s="71" t="s">
        <v>1563</v>
      </c>
      <c r="H1081" s="41"/>
      <c r="I1081" s="42"/>
      <c r="J1081" s="43"/>
      <c r="K1081" s="72">
        <v>6.0</v>
      </c>
      <c r="L1081" s="53" t="s">
        <v>69</v>
      </c>
      <c r="M1081" s="73">
        <v>22500.0</v>
      </c>
      <c r="N1081" s="74"/>
      <c r="O1081" s="73">
        <v>135000.0</v>
      </c>
      <c r="P1081" s="46" t="str">
        <f t="shared" si="2"/>
        <v>Rp22,500-6 PCS-0.00%</v>
      </c>
      <c r="Q1081" s="75">
        <v>45412.0</v>
      </c>
      <c r="R1081" s="76"/>
      <c r="S1081" s="75">
        <v>45420.0</v>
      </c>
      <c r="T1081" s="49"/>
    </row>
    <row r="1082">
      <c r="A1082" s="82">
        <v>4422.0</v>
      </c>
      <c r="B1082" s="69" t="s">
        <v>29</v>
      </c>
      <c r="C1082" s="70" t="s">
        <v>1457</v>
      </c>
      <c r="D1082" s="69"/>
      <c r="E1082" s="41" t="s">
        <v>1564</v>
      </c>
      <c r="F1082" s="70"/>
      <c r="G1082" s="71" t="s">
        <v>1564</v>
      </c>
      <c r="H1082" s="41"/>
      <c r="I1082" s="42"/>
      <c r="J1082" s="43"/>
      <c r="K1082" s="72">
        <v>2.0</v>
      </c>
      <c r="L1082" s="53" t="s">
        <v>88</v>
      </c>
      <c r="M1082" s="73">
        <v>42000.0</v>
      </c>
      <c r="N1082" s="74"/>
      <c r="O1082" s="73">
        <v>84000.0</v>
      </c>
      <c r="P1082" s="46" t="str">
        <f t="shared" si="2"/>
        <v>Rp42,000-2 BOX-0.00%</v>
      </c>
      <c r="Q1082" s="75">
        <v>45412.0</v>
      </c>
      <c r="R1082" s="76"/>
      <c r="S1082" s="75">
        <v>45420.0</v>
      </c>
      <c r="T1082" s="49"/>
    </row>
    <row r="1083">
      <c r="A1083" s="82">
        <v>4422.0</v>
      </c>
      <c r="B1083" s="69" t="s">
        <v>29</v>
      </c>
      <c r="C1083" s="70" t="s">
        <v>1457</v>
      </c>
      <c r="D1083" s="69"/>
      <c r="E1083" s="41" t="s">
        <v>1565</v>
      </c>
      <c r="F1083" s="70"/>
      <c r="G1083" s="71" t="s">
        <v>1565</v>
      </c>
      <c r="H1083" s="41"/>
      <c r="I1083" s="42"/>
      <c r="J1083" s="43"/>
      <c r="K1083" s="72">
        <v>2.0</v>
      </c>
      <c r="L1083" s="53" t="s">
        <v>88</v>
      </c>
      <c r="M1083" s="73">
        <v>42000.0</v>
      </c>
      <c r="N1083" s="74"/>
      <c r="O1083" s="73">
        <v>84000.0</v>
      </c>
      <c r="P1083" s="46" t="str">
        <f t="shared" si="2"/>
        <v>Rp42,000-2 BOX-0.00%</v>
      </c>
      <c r="Q1083" s="75">
        <v>45412.0</v>
      </c>
      <c r="R1083" s="76"/>
      <c r="S1083" s="75">
        <v>45420.0</v>
      </c>
      <c r="T1083" s="49"/>
    </row>
    <row r="1084">
      <c r="A1084" s="82">
        <v>4422.0</v>
      </c>
      <c r="B1084" s="69" t="s">
        <v>29</v>
      </c>
      <c r="C1084" s="70" t="s">
        <v>1457</v>
      </c>
      <c r="D1084" s="69"/>
      <c r="E1084" s="41" t="s">
        <v>1566</v>
      </c>
      <c r="F1084" s="70"/>
      <c r="G1084" s="71" t="s">
        <v>1566</v>
      </c>
      <c r="H1084" s="41"/>
      <c r="I1084" s="42"/>
      <c r="J1084" s="43"/>
      <c r="K1084" s="72">
        <v>2.0</v>
      </c>
      <c r="L1084" s="53" t="s">
        <v>62</v>
      </c>
      <c r="M1084" s="73">
        <v>25000.0</v>
      </c>
      <c r="N1084" s="74"/>
      <c r="O1084" s="73">
        <v>50000.0</v>
      </c>
      <c r="P1084" s="46" t="str">
        <f t="shared" si="2"/>
        <v>Rp25,000-2 LSN-0.00%</v>
      </c>
      <c r="Q1084" s="75">
        <v>45412.0</v>
      </c>
      <c r="R1084" s="76"/>
      <c r="S1084" s="75">
        <v>45420.0</v>
      </c>
      <c r="T1084" s="49"/>
    </row>
    <row r="1085">
      <c r="A1085" s="82">
        <v>4422.0</v>
      </c>
      <c r="B1085" s="69" t="s">
        <v>29</v>
      </c>
      <c r="C1085" s="70" t="s">
        <v>1457</v>
      </c>
      <c r="D1085" s="69"/>
      <c r="E1085" s="41" t="s">
        <v>1567</v>
      </c>
      <c r="F1085" s="70"/>
      <c r="G1085" s="71" t="s">
        <v>1567</v>
      </c>
      <c r="H1085" s="41"/>
      <c r="I1085" s="42"/>
      <c r="J1085" s="43"/>
      <c r="K1085" s="72">
        <v>2.0</v>
      </c>
      <c r="L1085" s="53" t="s">
        <v>62</v>
      </c>
      <c r="M1085" s="73">
        <v>25000.0</v>
      </c>
      <c r="N1085" s="74"/>
      <c r="O1085" s="73">
        <v>50000.0</v>
      </c>
      <c r="P1085" s="46" t="str">
        <f t="shared" si="2"/>
        <v>Rp25,000-2 LSN-0.00%</v>
      </c>
      <c r="Q1085" s="75">
        <v>45412.0</v>
      </c>
      <c r="R1085" s="76"/>
      <c r="S1085" s="75">
        <v>45420.0</v>
      </c>
      <c r="T1085" s="49"/>
    </row>
    <row r="1086">
      <c r="A1086" s="82">
        <v>4422.0</v>
      </c>
      <c r="B1086" s="69" t="s">
        <v>29</v>
      </c>
      <c r="C1086" s="70" t="s">
        <v>1457</v>
      </c>
      <c r="D1086" s="50" t="s">
        <v>981</v>
      </c>
      <c r="E1086" s="41" t="str">
        <f>IFERROR(__xludf.DUMMYFUNCTION("IFNA(vlookup(D1086,IMPORTRANGE(""https://docs.google.com/spreadsheets/d/1swGwZOEqYlTEUCJLY-eeJM1911Kvaei5oySBIxdgtNo/edit?pli=1#gid=257618397"",""stock untanna!B:C""),2,false),V:V)"),"BP COSH CS 8501")</f>
        <v>BP COSH CS 8501</v>
      </c>
      <c r="F1086" s="70"/>
      <c r="G1086" s="71" t="s">
        <v>982</v>
      </c>
      <c r="H1086" s="41"/>
      <c r="I1086" s="42"/>
      <c r="J1086" s="85" t="s">
        <v>1319</v>
      </c>
      <c r="K1086" s="72">
        <v>2.0</v>
      </c>
      <c r="L1086" s="53" t="s">
        <v>62</v>
      </c>
      <c r="M1086" s="73">
        <v>29000.0</v>
      </c>
      <c r="N1086" s="74"/>
      <c r="O1086" s="73">
        <v>58000.0</v>
      </c>
      <c r="P1086" s="46" t="str">
        <f t="shared" si="2"/>
        <v>Rp29,000-2 LSN-0.00%</v>
      </c>
      <c r="Q1086" s="75">
        <v>45412.0</v>
      </c>
      <c r="R1086" s="76"/>
      <c r="S1086" s="75">
        <v>45420.0</v>
      </c>
      <c r="T1086" s="80" t="s">
        <v>280</v>
      </c>
    </row>
    <row r="1087">
      <c r="A1087" s="82">
        <v>4422.0</v>
      </c>
      <c r="B1087" s="69" t="s">
        <v>29</v>
      </c>
      <c r="C1087" s="70" t="s">
        <v>1457</v>
      </c>
      <c r="D1087" s="69" t="s">
        <v>1341</v>
      </c>
      <c r="E1087" s="41" t="str">
        <f>IFERROR(__xludf.DUMMYFUNCTION("vlookup(D1087,IMPORTRANGE(""https://docs.google.com/spreadsheets/d/1swGwZOEqYlTEUCJLY-eeJM1911Kvaei5oySBIxdgtNo/edit?pli=1#gid=257618397"",""stock untanna!B:C""),2,false)"),"STABILLO TF-1145 LIVE COLOUR PASTEL")</f>
        <v>STABILLO TF-1145 LIVE COLOUR PASTEL</v>
      </c>
      <c r="F1087" s="70" t="s">
        <v>1341</v>
      </c>
      <c r="G1087" s="71" t="s">
        <v>1342</v>
      </c>
      <c r="H1087" s="41"/>
      <c r="I1087" s="42"/>
      <c r="J1087" s="43"/>
      <c r="K1087" s="72">
        <v>2.0</v>
      </c>
      <c r="L1087" s="53" t="s">
        <v>62</v>
      </c>
      <c r="M1087" s="73">
        <v>36500.0</v>
      </c>
      <c r="N1087" s="74"/>
      <c r="O1087" s="73">
        <v>73000.0</v>
      </c>
      <c r="P1087" s="46" t="str">
        <f t="shared" si="2"/>
        <v>Rp36,500-2 LSN-0.00%</v>
      </c>
      <c r="Q1087" s="75">
        <v>45412.0</v>
      </c>
      <c r="R1087" s="76"/>
      <c r="S1087" s="75">
        <v>45420.0</v>
      </c>
      <c r="T1087" s="49"/>
    </row>
    <row r="1088">
      <c r="A1088" s="82">
        <v>4422.0</v>
      </c>
      <c r="B1088" s="69" t="s">
        <v>29</v>
      </c>
      <c r="C1088" s="70" t="s">
        <v>1457</v>
      </c>
      <c r="D1088" s="50" t="s">
        <v>1568</v>
      </c>
      <c r="E1088" s="41" t="str">
        <f>IFERROR(__xludf.DUMMYFUNCTION("vlookup(D1088,IMPORTRANGE(""https://docs.google.com/spreadsheets/d/1swGwZOEqYlTEUCJLY-eeJM1911Kvaei5oySBIxdgtNo/edit?pli=1#gid=257618397"",""stock untanna!B:C""),2,false)"),"SPIDOL 12W + KUAS DB 218-12")</f>
        <v>SPIDOL 12W + KUAS DB 218-12</v>
      </c>
      <c r="F1088" s="70" t="s">
        <v>1569</v>
      </c>
      <c r="G1088" s="71" t="s">
        <v>1570</v>
      </c>
      <c r="H1088" s="41"/>
      <c r="I1088" s="42"/>
      <c r="J1088" s="43"/>
      <c r="K1088" s="72">
        <v>1.0</v>
      </c>
      <c r="L1088" s="53" t="s">
        <v>62</v>
      </c>
      <c r="M1088" s="73">
        <v>270000.0</v>
      </c>
      <c r="N1088" s="74"/>
      <c r="O1088" s="73">
        <v>270000.0</v>
      </c>
      <c r="P1088" s="46" t="str">
        <f t="shared" si="2"/>
        <v>Rp270,000-1 LSN-0.00%</v>
      </c>
      <c r="Q1088" s="75">
        <v>45412.0</v>
      </c>
      <c r="R1088" s="76"/>
      <c r="S1088" s="75">
        <v>45420.0</v>
      </c>
      <c r="T1088" s="49"/>
    </row>
    <row r="1089">
      <c r="A1089" s="82">
        <v>4422.0</v>
      </c>
      <c r="B1089" s="69" t="s">
        <v>29</v>
      </c>
      <c r="C1089" s="70" t="s">
        <v>1457</v>
      </c>
      <c r="D1089" s="69" t="s">
        <v>1571</v>
      </c>
      <c r="E1089" s="41" t="str">
        <f>IFERROR(__xludf.DUMMYFUNCTION("vlookup(D1089,IMPORTRANGE(""https://docs.google.com/spreadsheets/d/1swGwZOEqYlTEUCJLY-eeJM1911Kvaei5oySBIxdgtNo/edit?pli=1#gid=257618397"",""stock untanna!B:C""),2,false)"),"SPIDOL 12W 555 YOEKER")</f>
        <v>SPIDOL 12W 555 YOEKER</v>
      </c>
      <c r="F1089" s="70" t="s">
        <v>1571</v>
      </c>
      <c r="G1089" s="71" t="s">
        <v>1572</v>
      </c>
      <c r="H1089" s="41"/>
      <c r="I1089" s="42"/>
      <c r="J1089" s="43"/>
      <c r="K1089" s="72">
        <v>2.0</v>
      </c>
      <c r="L1089" s="53" t="s">
        <v>62</v>
      </c>
      <c r="M1089" s="73">
        <v>45000.0</v>
      </c>
      <c r="N1089" s="74"/>
      <c r="O1089" s="73">
        <v>90000.0</v>
      </c>
      <c r="P1089" s="46" t="str">
        <f t="shared" si="2"/>
        <v>Rp45,000-2 LSN-0.00%</v>
      </c>
      <c r="Q1089" s="75">
        <v>45412.0</v>
      </c>
      <c r="R1089" s="76"/>
      <c r="S1089" s="75">
        <v>45420.0</v>
      </c>
      <c r="T1089" s="49"/>
    </row>
    <row r="1090">
      <c r="A1090" s="82">
        <v>4422.0</v>
      </c>
      <c r="B1090" s="69" t="s">
        <v>29</v>
      </c>
      <c r="C1090" s="70" t="s">
        <v>1457</v>
      </c>
      <c r="D1090" s="69" t="s">
        <v>1573</v>
      </c>
      <c r="E1090" s="41" t="str">
        <f>IFERROR(__xludf.DUMMYFUNCTION("vlookup(D1090,IMPORTRANGE(""https://docs.google.com/spreadsheets/d/1swGwZOEqYlTEUCJLY-eeJM1911Kvaei5oySBIxdgtNo/edit?pli=1#gid=257618397"",""stock untanna!B:C""),2,false)"),"SPIDOL GOLDEN 838 12W")</f>
        <v>SPIDOL GOLDEN 838 12W</v>
      </c>
      <c r="F1090" s="70" t="s">
        <v>1573</v>
      </c>
      <c r="G1090" s="71" t="s">
        <v>1574</v>
      </c>
      <c r="H1090" s="41"/>
      <c r="I1090" s="42"/>
      <c r="J1090" s="43"/>
      <c r="K1090" s="72">
        <v>2.0</v>
      </c>
      <c r="L1090" s="53" t="s">
        <v>62</v>
      </c>
      <c r="M1090" s="73">
        <v>58000.0</v>
      </c>
      <c r="N1090" s="74"/>
      <c r="O1090" s="73">
        <v>116000.0</v>
      </c>
      <c r="P1090" s="46" t="str">
        <f t="shared" si="2"/>
        <v>Rp58,000-2 LSN-0.00%</v>
      </c>
      <c r="Q1090" s="75">
        <v>45412.0</v>
      </c>
      <c r="R1090" s="76"/>
      <c r="S1090" s="75">
        <v>45420.0</v>
      </c>
      <c r="T1090" s="49"/>
    </row>
    <row r="1091">
      <c r="A1091" s="82">
        <v>4422.0</v>
      </c>
      <c r="B1091" s="69" t="s">
        <v>29</v>
      </c>
      <c r="C1091" s="70" t="s">
        <v>1457</v>
      </c>
      <c r="D1091" s="69" t="s">
        <v>1575</v>
      </c>
      <c r="E1091" s="41" t="str">
        <f>IFERROR(__xludf.DUMMYFUNCTION("vlookup(D1091,IMPORTRANGE(""https://docs.google.com/spreadsheets/d/1swGwZOEqYlTEUCJLY-eeJM1911Kvaei5oySBIxdgtNo/edit?pli=1#gid=257618397"",""stock untanna!B:C""),2,false)"),"STABILLO TF MINI 105")</f>
        <v>STABILLO TF MINI 105</v>
      </c>
      <c r="F1091" s="70" t="s">
        <v>1575</v>
      </c>
      <c r="G1091" s="71" t="s">
        <v>1576</v>
      </c>
      <c r="H1091" s="41"/>
      <c r="I1091" s="42"/>
      <c r="J1091" s="43"/>
      <c r="K1091" s="72">
        <v>7.0</v>
      </c>
      <c r="L1091" s="53" t="s">
        <v>62</v>
      </c>
      <c r="M1091" s="73">
        <v>27000.0</v>
      </c>
      <c r="N1091" s="74"/>
      <c r="O1091" s="73">
        <v>189000.0</v>
      </c>
      <c r="P1091" s="46" t="str">
        <f t="shared" si="2"/>
        <v>Rp27,000-7 LSN-0.00%</v>
      </c>
      <c r="Q1091" s="75">
        <v>45412.0</v>
      </c>
      <c r="R1091" s="76"/>
      <c r="S1091" s="75">
        <v>45420.0</v>
      </c>
      <c r="T1091" s="49"/>
    </row>
    <row r="1092">
      <c r="A1092" s="82">
        <v>4422.0</v>
      </c>
      <c r="B1092" s="69" t="s">
        <v>29</v>
      </c>
      <c r="C1092" s="70" t="s">
        <v>1457</v>
      </c>
      <c r="D1092" s="69" t="s">
        <v>1577</v>
      </c>
      <c r="E1092" s="41" t="str">
        <f>IFERROR(__xludf.DUMMYFUNCTION("vlookup(D1092,IMPORTRANGE(""https://docs.google.com/spreadsheets/d/1swGwZOEqYlTEUCJLY-eeJM1911Kvaei5oySBIxdgtNo/edit?pli=1#gid=257618397"",""stock untanna!B:C""),2,false)"),"STABILLO TIZO TF610")</f>
        <v>STABILLO TIZO TF610</v>
      </c>
      <c r="F1092" s="70" t="s">
        <v>1577</v>
      </c>
      <c r="G1092" s="71" t="s">
        <v>1578</v>
      </c>
      <c r="H1092" s="41"/>
      <c r="I1092" s="42"/>
      <c r="J1092" s="43"/>
      <c r="K1092" s="72">
        <v>2.0</v>
      </c>
      <c r="L1092" s="53" t="s">
        <v>88</v>
      </c>
      <c r="M1092" s="73">
        <v>132000.0</v>
      </c>
      <c r="N1092" s="74"/>
      <c r="O1092" s="73">
        <v>264000.0</v>
      </c>
      <c r="P1092" s="46" t="str">
        <f t="shared" si="2"/>
        <v>Rp132,000-2 BOX-0.00%</v>
      </c>
      <c r="Q1092" s="75">
        <v>45412.0</v>
      </c>
      <c r="R1092" s="76"/>
      <c r="S1092" s="75">
        <v>45420.0</v>
      </c>
      <c r="T1092" s="49"/>
    </row>
    <row r="1093">
      <c r="A1093" s="82">
        <v>4422.0</v>
      </c>
      <c r="B1093" s="69" t="s">
        <v>29</v>
      </c>
      <c r="C1093" s="70" t="s">
        <v>1457</v>
      </c>
      <c r="D1093" s="69"/>
      <c r="E1093" s="41" t="s">
        <v>1579</v>
      </c>
      <c r="F1093" s="70"/>
      <c r="G1093" s="71" t="s">
        <v>1579</v>
      </c>
      <c r="H1093" s="41"/>
      <c r="I1093" s="42"/>
      <c r="J1093" s="43"/>
      <c r="K1093" s="72">
        <v>1.0</v>
      </c>
      <c r="L1093" s="53" t="s">
        <v>62</v>
      </c>
      <c r="M1093" s="73">
        <v>15000.0</v>
      </c>
      <c r="N1093" s="74"/>
      <c r="O1093" s="73">
        <v>15000.0</v>
      </c>
      <c r="P1093" s="46" t="str">
        <f t="shared" si="2"/>
        <v>Rp15,000-1 LSN-0.00%</v>
      </c>
      <c r="Q1093" s="75">
        <v>45412.0</v>
      </c>
      <c r="R1093" s="76"/>
      <c r="S1093" s="75">
        <v>45420.0</v>
      </c>
      <c r="T1093" s="49"/>
    </row>
    <row r="1094">
      <c r="A1094" s="82">
        <v>4422.0</v>
      </c>
      <c r="B1094" s="69" t="s">
        <v>29</v>
      </c>
      <c r="C1094" s="70" t="s">
        <v>1457</v>
      </c>
      <c r="D1094" s="50" t="s">
        <v>1580</v>
      </c>
      <c r="E1094" s="41" t="str">
        <f>IFERROR(__xludf.DUMMYFUNCTION("vlookup(D1094,IMPORTRANGE(""https://docs.google.com/spreadsheets/d/1swGwZOEqYlTEUCJLY-eeJM1911Kvaei5oySBIxdgtNo/edit?pli=1#gid=257618397"",""stock untanna!B:C""),2,false)"),"GARISAN BESI 30CM FANCY A 300")</f>
        <v>GARISAN BESI 30CM FANCY A 300</v>
      </c>
      <c r="F1094" s="70" t="s">
        <v>1581</v>
      </c>
      <c r="G1094" s="71" t="s">
        <v>1582</v>
      </c>
      <c r="H1094" s="41"/>
      <c r="I1094" s="42"/>
      <c r="J1094" s="43"/>
      <c r="K1094" s="72">
        <v>1.0</v>
      </c>
      <c r="L1094" s="53" t="s">
        <v>62</v>
      </c>
      <c r="M1094" s="73">
        <v>22000.0</v>
      </c>
      <c r="N1094" s="74"/>
      <c r="O1094" s="73">
        <v>22000.0</v>
      </c>
      <c r="P1094" s="46" t="str">
        <f t="shared" si="2"/>
        <v>Rp22,000-1 LSN-0.00%</v>
      </c>
      <c r="Q1094" s="75">
        <v>45412.0</v>
      </c>
      <c r="R1094" s="76"/>
      <c r="S1094" s="75">
        <v>45420.0</v>
      </c>
      <c r="T1094" s="49"/>
    </row>
    <row r="1095">
      <c r="A1095" s="82">
        <v>4422.0</v>
      </c>
      <c r="B1095" s="69" t="s">
        <v>29</v>
      </c>
      <c r="C1095" s="70" t="s">
        <v>1457</v>
      </c>
      <c r="D1095" s="69"/>
      <c r="E1095" s="41" t="s">
        <v>1583</v>
      </c>
      <c r="F1095" s="70"/>
      <c r="G1095" s="71" t="s">
        <v>1583</v>
      </c>
      <c r="H1095" s="41"/>
      <c r="I1095" s="42"/>
      <c r="J1095" s="43"/>
      <c r="K1095" s="72">
        <v>1.0</v>
      </c>
      <c r="L1095" s="53" t="s">
        <v>88</v>
      </c>
      <c r="M1095" s="73">
        <v>220000.0</v>
      </c>
      <c r="N1095" s="74"/>
      <c r="O1095" s="73">
        <v>220000.0</v>
      </c>
      <c r="P1095" s="46" t="str">
        <f t="shared" si="2"/>
        <v>Rp220,000-1 BOX-0.00%</v>
      </c>
      <c r="Q1095" s="75">
        <v>45412.0</v>
      </c>
      <c r="R1095" s="76"/>
      <c r="S1095" s="75">
        <v>45420.0</v>
      </c>
      <c r="T1095" s="49"/>
    </row>
    <row r="1096">
      <c r="A1096" s="82">
        <v>4427.0</v>
      </c>
      <c r="B1096" s="69" t="s">
        <v>29</v>
      </c>
      <c r="C1096" s="70" t="s">
        <v>1457</v>
      </c>
      <c r="D1096" s="69"/>
      <c r="E1096" s="41" t="s">
        <v>1584</v>
      </c>
      <c r="F1096" s="70"/>
      <c r="G1096" s="71" t="s">
        <v>1584</v>
      </c>
      <c r="H1096" s="41"/>
      <c r="I1096" s="42"/>
      <c r="J1096" s="43"/>
      <c r="K1096" s="72">
        <v>1.0</v>
      </c>
      <c r="L1096" s="53" t="s">
        <v>88</v>
      </c>
      <c r="M1096" s="73">
        <v>137500.0</v>
      </c>
      <c r="N1096" s="74"/>
      <c r="O1096" s="73">
        <v>137500.0</v>
      </c>
      <c r="P1096" s="46" t="str">
        <f t="shared" si="2"/>
        <v>Rp137,500-1 BOX-0.00%</v>
      </c>
      <c r="Q1096" s="75">
        <v>45412.0</v>
      </c>
      <c r="R1096" s="76"/>
      <c r="S1096" s="75">
        <v>45420.0</v>
      </c>
      <c r="T1096" s="49"/>
    </row>
    <row r="1097">
      <c r="A1097" s="82">
        <v>4427.0</v>
      </c>
      <c r="B1097" s="69" t="s">
        <v>29</v>
      </c>
      <c r="C1097" s="70" t="s">
        <v>1457</v>
      </c>
      <c r="D1097" s="69"/>
      <c r="E1097" s="41" t="s">
        <v>1585</v>
      </c>
      <c r="F1097" s="70"/>
      <c r="G1097" s="71" t="s">
        <v>1585</v>
      </c>
      <c r="H1097" s="41"/>
      <c r="I1097" s="42"/>
      <c r="J1097" s="43"/>
      <c r="K1097" s="72">
        <v>1.0</v>
      </c>
      <c r="L1097" s="53" t="s">
        <v>62</v>
      </c>
      <c r="M1097" s="73">
        <v>30000.0</v>
      </c>
      <c r="N1097" s="74"/>
      <c r="O1097" s="73">
        <v>30000.0</v>
      </c>
      <c r="P1097" s="46" t="str">
        <f t="shared" si="2"/>
        <v>Rp30,000-1 LSN-0.00%</v>
      </c>
      <c r="Q1097" s="75">
        <v>45412.0</v>
      </c>
      <c r="R1097" s="76"/>
      <c r="S1097" s="75">
        <v>45420.0</v>
      </c>
      <c r="T1097" s="49"/>
    </row>
    <row r="1098">
      <c r="A1098" s="82">
        <v>4427.0</v>
      </c>
      <c r="B1098" s="69" t="s">
        <v>29</v>
      </c>
      <c r="C1098" s="70" t="s">
        <v>1457</v>
      </c>
      <c r="D1098" s="50" t="s">
        <v>1586</v>
      </c>
      <c r="E1098" s="41" t="str">
        <f>IFERROR(__xludf.DUMMYFUNCTION("IFNA(vlookup(D1098,IMPORTRANGE(""https://docs.google.com/spreadsheets/d/1swGwZOEqYlTEUCJLY-eeJM1911Kvaei5oySBIxdgtNo/edit?pli=1#gid=257618397"",""stock untanna!B:C""),2,false),V:V)"),"BP COSH CS 8503")</f>
        <v>BP COSH CS 8503</v>
      </c>
      <c r="F1098" s="70"/>
      <c r="G1098" s="71" t="s">
        <v>1587</v>
      </c>
      <c r="H1098" s="41"/>
      <c r="I1098" s="42"/>
      <c r="J1098" s="85" t="s">
        <v>1319</v>
      </c>
      <c r="K1098" s="72">
        <v>2.0</v>
      </c>
      <c r="L1098" s="53" t="s">
        <v>62</v>
      </c>
      <c r="M1098" s="73">
        <v>29000.0</v>
      </c>
      <c r="N1098" s="74"/>
      <c r="O1098" s="73">
        <v>58000.0</v>
      </c>
      <c r="P1098" s="46" t="str">
        <f t="shared" si="2"/>
        <v>Rp29,000-2 LSN-0.00%</v>
      </c>
      <c r="Q1098" s="75">
        <v>45412.0</v>
      </c>
      <c r="R1098" s="76"/>
      <c r="S1098" s="75">
        <v>45420.0</v>
      </c>
      <c r="T1098" s="80" t="s">
        <v>280</v>
      </c>
    </row>
    <row r="1099">
      <c r="A1099" s="82">
        <v>4427.0</v>
      </c>
      <c r="B1099" s="69" t="s">
        <v>29</v>
      </c>
      <c r="C1099" s="70" t="s">
        <v>1457</v>
      </c>
      <c r="D1099" s="69" t="s">
        <v>1588</v>
      </c>
      <c r="E1099" s="41" t="str">
        <f>IFERROR(__xludf.DUMMYFUNCTION("vlookup(D1099,IMPORTRANGE(""https://docs.google.com/spreadsheets/d/1swGwZOEqYlTEUCJLY-eeJM1911Kvaei5oySBIxdgtNo/edit?pli=1#gid=257618397"",""stock untanna!B:C""),2,false)"),"ISI BENSIA LANTU LT 1132")</f>
        <v>ISI BENSIA LANTU LT 1132</v>
      </c>
      <c r="F1099" s="70" t="s">
        <v>1588</v>
      </c>
      <c r="G1099" s="71" t="s">
        <v>1589</v>
      </c>
      <c r="H1099" s="41"/>
      <c r="I1099" s="42"/>
      <c r="J1099" s="43"/>
      <c r="K1099" s="72">
        <v>120.0</v>
      </c>
      <c r="L1099" s="53" t="s">
        <v>69</v>
      </c>
      <c r="M1099" s="73">
        <v>3600.0</v>
      </c>
      <c r="N1099" s="74"/>
      <c r="O1099" s="73">
        <v>432000.0</v>
      </c>
      <c r="P1099" s="46" t="str">
        <f t="shared" si="2"/>
        <v>Rp3,600-120 PCS-0.00%</v>
      </c>
      <c r="Q1099" s="75">
        <v>45412.0</v>
      </c>
      <c r="R1099" s="76"/>
      <c r="S1099" s="75">
        <v>45420.0</v>
      </c>
      <c r="T1099" s="49" t="s">
        <v>100</v>
      </c>
    </row>
    <row r="1100">
      <c r="A1100" s="82">
        <v>4427.0</v>
      </c>
      <c r="B1100" s="69" t="s">
        <v>29</v>
      </c>
      <c r="C1100" s="70" t="s">
        <v>1457</v>
      </c>
      <c r="D1100" s="69"/>
      <c r="E1100" s="41" t="s">
        <v>1590</v>
      </c>
      <c r="F1100" s="70"/>
      <c r="G1100" s="71" t="s">
        <v>1590</v>
      </c>
      <c r="H1100" s="41"/>
      <c r="I1100" s="42"/>
      <c r="J1100" s="43"/>
      <c r="K1100" s="72">
        <v>1.0</v>
      </c>
      <c r="L1100" s="53" t="s">
        <v>62</v>
      </c>
      <c r="M1100" s="73">
        <v>63000.0</v>
      </c>
      <c r="N1100" s="74"/>
      <c r="O1100" s="73">
        <v>63000.0</v>
      </c>
      <c r="P1100" s="46" t="str">
        <f t="shared" si="2"/>
        <v>Rp63,000-1 LSN-0.00%</v>
      </c>
      <c r="Q1100" s="75">
        <v>45412.0</v>
      </c>
      <c r="R1100" s="76"/>
      <c r="S1100" s="75">
        <v>45420.0</v>
      </c>
      <c r="T1100" s="49"/>
    </row>
    <row r="1101">
      <c r="A1101" s="82">
        <v>4427.0</v>
      </c>
      <c r="B1101" s="69" t="s">
        <v>29</v>
      </c>
      <c r="C1101" s="70" t="s">
        <v>1457</v>
      </c>
      <c r="D1101" s="69" t="s">
        <v>782</v>
      </c>
      <c r="E1101" s="41" t="str">
        <f>IFERROR(__xludf.DUMMYFUNCTION("vlookup(D1101,IMPORTRANGE(""https://docs.google.com/spreadsheets/d/1swGwZOEqYlTEUCJLY-eeJM1911Kvaei5oySBIxdgtNo/edit?pli=1#gid=257618397"",""stock untanna!B:C""),2,false)"),"CRAYON PUTAR FANCY 1011/2011 PENDEK CEWEK COWOK 12W")</f>
        <v>CRAYON PUTAR FANCY 1011/2011 PENDEK CEWEK COWOK 12W</v>
      </c>
      <c r="F1101" s="70" t="s">
        <v>782</v>
      </c>
      <c r="G1101" s="78" t="s">
        <v>1591</v>
      </c>
      <c r="H1101" s="41"/>
      <c r="I1101" s="42"/>
      <c r="J1101" s="43"/>
      <c r="K1101" s="72">
        <v>1.0</v>
      </c>
      <c r="L1101" s="53" t="s">
        <v>62</v>
      </c>
      <c r="M1101" s="73">
        <v>240000.0</v>
      </c>
      <c r="N1101" s="74"/>
      <c r="O1101" s="73">
        <v>240000.0</v>
      </c>
      <c r="P1101" s="46" t="str">
        <f t="shared" si="2"/>
        <v>Rp240,000-1 LSN-0.00%</v>
      </c>
      <c r="Q1101" s="75">
        <v>45412.0</v>
      </c>
      <c r="R1101" s="76"/>
      <c r="S1101" s="75">
        <v>45420.0</v>
      </c>
      <c r="T1101" s="49"/>
    </row>
    <row r="1102">
      <c r="A1102" s="82">
        <v>4427.0</v>
      </c>
      <c r="B1102" s="69" t="s">
        <v>29</v>
      </c>
      <c r="C1102" s="70" t="s">
        <v>1457</v>
      </c>
      <c r="D1102" s="69"/>
      <c r="E1102" s="41" t="s">
        <v>1592</v>
      </c>
      <c r="F1102" s="70"/>
      <c r="G1102" s="71" t="s">
        <v>1592</v>
      </c>
      <c r="H1102" s="41"/>
      <c r="I1102" s="42"/>
      <c r="J1102" s="43"/>
      <c r="K1102" s="72">
        <v>1.0</v>
      </c>
      <c r="L1102" s="53" t="s">
        <v>62</v>
      </c>
      <c r="M1102" s="73">
        <v>140000.0</v>
      </c>
      <c r="N1102" s="74"/>
      <c r="O1102" s="73">
        <v>140000.0</v>
      </c>
      <c r="P1102" s="46" t="str">
        <f t="shared" si="2"/>
        <v>Rp140,000-1 LSN-0.00%</v>
      </c>
      <c r="Q1102" s="75">
        <v>45412.0</v>
      </c>
      <c r="R1102" s="76"/>
      <c r="S1102" s="75">
        <v>45420.0</v>
      </c>
      <c r="T1102" s="80" t="s">
        <v>280</v>
      </c>
    </row>
    <row r="1103">
      <c r="A1103" s="82">
        <v>4427.0</v>
      </c>
      <c r="B1103" s="69" t="s">
        <v>29</v>
      </c>
      <c r="C1103" s="70" t="s">
        <v>1457</v>
      </c>
      <c r="D1103" s="69" t="s">
        <v>1593</v>
      </c>
      <c r="E1103" s="41" t="str">
        <f>IFERROR(__xludf.DUMMYFUNCTION("vlookup(D1103,IMPORTRANGE(""https://docs.google.com/spreadsheets/d/1swGwZOEqYlTEUCJLY-eeJM1911Kvaei5oySBIxdgtNo/edit?pli=1#gid=257618397"",""stock untanna!B:C""),2,false)"),"BENSIA 06LM1 (6034)")</f>
        <v>BENSIA 06LM1 (6034)</v>
      </c>
      <c r="F1103" s="70" t="s">
        <v>1593</v>
      </c>
      <c r="G1103" s="71" t="s">
        <v>1594</v>
      </c>
      <c r="H1103" s="41"/>
      <c r="I1103" s="42"/>
      <c r="J1103" s="43"/>
      <c r="K1103" s="72">
        <v>1.0</v>
      </c>
      <c r="L1103" s="53" t="s">
        <v>88</v>
      </c>
      <c r="M1103" s="73">
        <v>117000.0</v>
      </c>
      <c r="N1103" s="74"/>
      <c r="O1103" s="73">
        <v>117000.0</v>
      </c>
      <c r="P1103" s="46" t="str">
        <f t="shared" si="2"/>
        <v>Rp117,000-1 BOX-0.00%</v>
      </c>
      <c r="Q1103" s="75">
        <v>45412.0</v>
      </c>
      <c r="R1103" s="76"/>
      <c r="S1103" s="75">
        <v>45420.0</v>
      </c>
      <c r="T1103" s="49"/>
    </row>
    <row r="1104">
      <c r="A1104" s="82">
        <v>4427.0</v>
      </c>
      <c r="B1104" s="69" t="s">
        <v>29</v>
      </c>
      <c r="C1104" s="70" t="s">
        <v>1457</v>
      </c>
      <c r="D1104" s="69" t="s">
        <v>1595</v>
      </c>
      <c r="E1104" s="41" t="str">
        <f>IFERROR(__xludf.DUMMYFUNCTION("vlookup(D1104,IMPORTRANGE(""https://docs.google.com/spreadsheets/d/1swGwZOEqYlTEUCJLY-eeJM1911Kvaei5oySBIxdgtNo/edit?pli=1#gid=257618397"",""stock untanna!B:C""),2,false)"),"ALPHABET MAGNIT HURUF AK 17/ 005")</f>
        <v>ALPHABET MAGNIT HURUF AK 17/ 005</v>
      </c>
      <c r="F1104" s="70" t="s">
        <v>1595</v>
      </c>
      <c r="G1104" s="71" t="s">
        <v>1596</v>
      </c>
      <c r="H1104" s="41"/>
      <c r="I1104" s="42"/>
      <c r="J1104" s="43"/>
      <c r="K1104" s="72">
        <v>12.0</v>
      </c>
      <c r="L1104" s="53" t="s">
        <v>69</v>
      </c>
      <c r="M1104" s="73">
        <v>15000.0</v>
      </c>
      <c r="N1104" s="74"/>
      <c r="O1104" s="73">
        <v>180000.0</v>
      </c>
      <c r="P1104" s="46" t="str">
        <f t="shared" si="2"/>
        <v>Rp15,000-12 PCS-0.00%</v>
      </c>
      <c r="Q1104" s="75">
        <v>45412.0</v>
      </c>
      <c r="R1104" s="76"/>
      <c r="S1104" s="75">
        <v>45420.0</v>
      </c>
      <c r="T1104" s="49"/>
    </row>
    <row r="1105">
      <c r="A1105" s="82">
        <v>4427.0</v>
      </c>
      <c r="B1105" s="69" t="s">
        <v>29</v>
      </c>
      <c r="C1105" s="70" t="s">
        <v>1457</v>
      </c>
      <c r="D1105" s="69" t="s">
        <v>1597</v>
      </c>
      <c r="E1105" s="41" t="str">
        <f>IFERROR(__xludf.DUMMYFUNCTION("vlookup(D1105,IMPORTRANGE(""https://docs.google.com/spreadsheets/d/1swGwZOEqYlTEUCJLY-eeJM1911Kvaei5oySBIxdgtNo/edit?pli=1#gid=257618397"",""stock untanna!B:C""),2,false)"),"GARISAN KAYAGI 3124 30CM")</f>
        <v>GARISAN KAYAGI 3124 30CM</v>
      </c>
      <c r="F1105" s="70" t="s">
        <v>1597</v>
      </c>
      <c r="G1105" s="71" t="s">
        <v>1598</v>
      </c>
      <c r="H1105" s="41"/>
      <c r="I1105" s="42"/>
      <c r="J1105" s="43"/>
      <c r="K1105" s="72">
        <v>4.0</v>
      </c>
      <c r="L1105" s="53" t="s">
        <v>62</v>
      </c>
      <c r="M1105" s="73">
        <v>40000.0</v>
      </c>
      <c r="N1105" s="74"/>
      <c r="O1105" s="73">
        <v>160000.0</v>
      </c>
      <c r="P1105" s="46" t="str">
        <f t="shared" si="2"/>
        <v>Rp40,000-4 LSN-0.00%</v>
      </c>
      <c r="Q1105" s="75">
        <v>45412.0</v>
      </c>
      <c r="R1105" s="76"/>
      <c r="S1105" s="75">
        <v>45420.0</v>
      </c>
      <c r="T1105" s="49"/>
    </row>
    <row r="1106">
      <c r="A1106" s="82">
        <v>4427.0</v>
      </c>
      <c r="B1106" s="69" t="s">
        <v>29</v>
      </c>
      <c r="C1106" s="70" t="s">
        <v>1457</v>
      </c>
      <c r="D1106" s="50" t="s">
        <v>365</v>
      </c>
      <c r="E1106" s="41" t="str">
        <f>IFERROR(__xludf.DUMMYFUNCTION("vlookup(D1106,IMPORTRANGE(""https://docs.google.com/spreadsheets/d/1swGwZOEqYlTEUCJLY-eeJM1911Kvaei5oySBIxdgtNo/edit?pli=1#gid=257618397"",""stock untanna!B:C""),2,false)"),"GARISAN 30CM KAYAGI 3123")</f>
        <v>GARISAN 30CM KAYAGI 3123</v>
      </c>
      <c r="F1106" s="70" t="s">
        <v>366</v>
      </c>
      <c r="G1106" s="71" t="s">
        <v>367</v>
      </c>
      <c r="H1106" s="41"/>
      <c r="I1106" s="42"/>
      <c r="J1106" s="43"/>
      <c r="K1106" s="72">
        <v>4.0</v>
      </c>
      <c r="L1106" s="53" t="s">
        <v>62</v>
      </c>
      <c r="M1106" s="73">
        <v>40000.0</v>
      </c>
      <c r="N1106" s="74"/>
      <c r="O1106" s="73">
        <v>160000.0</v>
      </c>
      <c r="P1106" s="46" t="str">
        <f t="shared" si="2"/>
        <v>Rp40,000-4 LSN-0.00%</v>
      </c>
      <c r="Q1106" s="75">
        <v>45412.0</v>
      </c>
      <c r="R1106" s="76"/>
      <c r="S1106" s="75">
        <v>45420.0</v>
      </c>
      <c r="T1106" s="49"/>
    </row>
    <row r="1107">
      <c r="A1107" s="82">
        <v>4427.0</v>
      </c>
      <c r="B1107" s="69" t="s">
        <v>29</v>
      </c>
      <c r="C1107" s="70" t="s">
        <v>1457</v>
      </c>
      <c r="D1107" s="69" t="s">
        <v>383</v>
      </c>
      <c r="E1107" s="41" t="str">
        <f>IFERROR(__xludf.DUMMYFUNCTION("vlookup(D1107,IMPORTRANGE(""https://docs.google.com/spreadsheets/d/1swGwZOEqYlTEUCJLY-eeJM1911Kvaei5oySBIxdgtNo/edit?pli=1#gid=257618397"",""stock untanna!B:C""),2,false)"),"GARISAN BC-6018")</f>
        <v>GARISAN BC-6018</v>
      </c>
      <c r="F1107" s="70" t="s">
        <v>383</v>
      </c>
      <c r="G1107" s="71" t="s">
        <v>384</v>
      </c>
      <c r="H1107" s="41"/>
      <c r="I1107" s="42"/>
      <c r="J1107" s="43"/>
      <c r="K1107" s="72">
        <v>50.0</v>
      </c>
      <c r="L1107" s="53" t="s">
        <v>69</v>
      </c>
      <c r="M1107" s="73">
        <v>6000.0</v>
      </c>
      <c r="N1107" s="74"/>
      <c r="O1107" s="73">
        <v>300000.0</v>
      </c>
      <c r="P1107" s="46" t="str">
        <f t="shared" si="2"/>
        <v>Rp6,000-50 PCS-0.00%</v>
      </c>
      <c r="Q1107" s="75">
        <v>45412.0</v>
      </c>
      <c r="R1107" s="76"/>
      <c r="S1107" s="75">
        <v>45420.0</v>
      </c>
      <c r="T1107" s="49"/>
    </row>
    <row r="1108">
      <c r="A1108" s="82">
        <v>4427.0</v>
      </c>
      <c r="B1108" s="69" t="s">
        <v>29</v>
      </c>
      <c r="C1108" s="70" t="s">
        <v>1457</v>
      </c>
      <c r="D1108" s="69" t="s">
        <v>387</v>
      </c>
      <c r="E1108" s="41" t="str">
        <f>IFERROR(__xludf.DUMMYFUNCTION("vlookup(D1108,IMPORTRANGE(""https://docs.google.com/spreadsheets/d/1swGwZOEqYlTEUCJLY-eeJM1911Kvaei5oySBIxdgtNo/edit?pli=1#gid=257618397"",""stock untanna!B:C""),2,false)"),"GARISAN ZH-243")</f>
        <v>GARISAN ZH-243</v>
      </c>
      <c r="F1108" s="70" t="s">
        <v>387</v>
      </c>
      <c r="G1108" s="71" t="s">
        <v>388</v>
      </c>
      <c r="H1108" s="41"/>
      <c r="I1108" s="42"/>
      <c r="J1108" s="43"/>
      <c r="K1108" s="72">
        <v>50.0</v>
      </c>
      <c r="L1108" s="53" t="s">
        <v>69</v>
      </c>
      <c r="M1108" s="73">
        <v>2000.0</v>
      </c>
      <c r="N1108" s="74"/>
      <c r="O1108" s="73">
        <v>100000.0</v>
      </c>
      <c r="P1108" s="46" t="str">
        <f t="shared" si="2"/>
        <v>Rp2,000-50 PCS-0.00%</v>
      </c>
      <c r="Q1108" s="75">
        <v>45412.0</v>
      </c>
      <c r="R1108" s="76"/>
      <c r="S1108" s="75">
        <v>45420.0</v>
      </c>
      <c r="T1108" s="49"/>
    </row>
    <row r="1109">
      <c r="A1109" s="82">
        <v>4427.0</v>
      </c>
      <c r="B1109" s="69" t="s">
        <v>29</v>
      </c>
      <c r="C1109" s="70" t="s">
        <v>1457</v>
      </c>
      <c r="D1109" s="69" t="s">
        <v>953</v>
      </c>
      <c r="E1109" s="41" t="str">
        <f>IFERROR(__xludf.DUMMYFUNCTION("vlookup(D1109,IMPORTRANGE(""https://docs.google.com/spreadsheets/d/1swGwZOEqYlTEUCJLY-eeJM1911Kvaei5oySBIxdgtNo/edit?pli=1#gid=257618397"",""stock untanna!B:C""),2,false)"),"BP GEL DTIAN DT-612")</f>
        <v>BP GEL DTIAN DT-612</v>
      </c>
      <c r="F1109" s="70" t="s">
        <v>953</v>
      </c>
      <c r="G1109" s="71" t="s">
        <v>954</v>
      </c>
      <c r="H1109" s="41"/>
      <c r="I1109" s="42"/>
      <c r="J1109" s="43"/>
      <c r="K1109" s="72">
        <v>12.0</v>
      </c>
      <c r="L1109" s="53" t="s">
        <v>62</v>
      </c>
      <c r="M1109" s="73">
        <v>22500.0</v>
      </c>
      <c r="N1109" s="74"/>
      <c r="O1109" s="73">
        <v>270000.0</v>
      </c>
      <c r="P1109" s="46" t="str">
        <f t="shared" si="2"/>
        <v>Rp22,500-12 LSN-0.00%</v>
      </c>
      <c r="Q1109" s="75">
        <v>45412.0</v>
      </c>
      <c r="R1109" s="76"/>
      <c r="S1109" s="75">
        <v>45420.0</v>
      </c>
      <c r="T1109" s="49"/>
    </row>
    <row r="1110">
      <c r="A1110" s="82">
        <v>4427.0</v>
      </c>
      <c r="B1110" s="69" t="s">
        <v>29</v>
      </c>
      <c r="C1110" s="70" t="s">
        <v>1457</v>
      </c>
      <c r="D1110" s="69" t="s">
        <v>1599</v>
      </c>
      <c r="E1110" s="41" t="str">
        <f>IFERROR(__xludf.DUMMYFUNCTION("vlookup(D1110,IMPORTRANGE(""https://docs.google.com/spreadsheets/d/1swGwZOEqYlTEUCJLY-eeJM1911Kvaei5oySBIxdgtNo/edit?pli=1#gid=257618397"",""stock untanna!B:C""),2,false)"),"ISI GEL JOSS-268 HITAM")</f>
        <v>ISI GEL JOSS-268 HITAM</v>
      </c>
      <c r="F1110" s="70" t="s">
        <v>1599</v>
      </c>
      <c r="G1110" s="71" t="s">
        <v>1600</v>
      </c>
      <c r="H1110" s="41"/>
      <c r="I1110" s="42"/>
      <c r="J1110" s="43"/>
      <c r="K1110" s="72">
        <v>2.0</v>
      </c>
      <c r="L1110" s="53" t="s">
        <v>62</v>
      </c>
      <c r="M1110" s="73">
        <v>20000.0</v>
      </c>
      <c r="N1110" s="74"/>
      <c r="O1110" s="73">
        <v>40000.0</v>
      </c>
      <c r="P1110" s="46" t="str">
        <f t="shared" si="2"/>
        <v>Rp20,000-2 LSN-0.00%</v>
      </c>
      <c r="Q1110" s="75">
        <v>45412.0</v>
      </c>
      <c r="R1110" s="76"/>
      <c r="S1110" s="75">
        <v>45420.0</v>
      </c>
      <c r="T1110" s="49"/>
    </row>
    <row r="1111">
      <c r="A1111" s="82">
        <v>4427.0</v>
      </c>
      <c r="B1111" s="69" t="s">
        <v>29</v>
      </c>
      <c r="C1111" s="70" t="s">
        <v>1457</v>
      </c>
      <c r="D1111" s="69"/>
      <c r="E1111" s="41" t="s">
        <v>1601</v>
      </c>
      <c r="F1111" s="70"/>
      <c r="G1111" s="71" t="s">
        <v>1601</v>
      </c>
      <c r="H1111" s="41"/>
      <c r="I1111" s="42"/>
      <c r="J1111" s="43"/>
      <c r="K1111" s="72">
        <v>1.0</v>
      </c>
      <c r="L1111" s="53" t="s">
        <v>88</v>
      </c>
      <c r="M1111" s="73">
        <v>137500.0</v>
      </c>
      <c r="N1111" s="74"/>
      <c r="O1111" s="73">
        <v>137500.0</v>
      </c>
      <c r="P1111" s="46" t="str">
        <f t="shared" si="2"/>
        <v>Rp137,500-1 BOX-0.00%</v>
      </c>
      <c r="Q1111" s="75">
        <v>45412.0</v>
      </c>
      <c r="R1111" s="76"/>
      <c r="S1111" s="75">
        <v>45420.0</v>
      </c>
      <c r="T1111" s="49"/>
    </row>
    <row r="1112">
      <c r="A1112" s="82">
        <v>4424.0</v>
      </c>
      <c r="B1112" s="69" t="s">
        <v>29</v>
      </c>
      <c r="C1112" s="70" t="s">
        <v>1457</v>
      </c>
      <c r="D1112" s="69" t="s">
        <v>1041</v>
      </c>
      <c r="E1112" s="41" t="str">
        <f>IFERROR(__xludf.DUMMYFUNCTION("vlookup(D1112,IMPORTRANGE(""https://docs.google.com/spreadsheets/d/1swGwZOEqYlTEUCJLY-eeJM1911Kvaei5oySBIxdgtNo/edit?pli=1#gid=257618397"",""stock untanna!B:C""),2,false)"),"TIPEX KERTAS NO.5039")</f>
        <v>TIPEX KERTAS NO.5039</v>
      </c>
      <c r="F1112" s="70" t="s">
        <v>1041</v>
      </c>
      <c r="G1112" s="71" t="s">
        <v>1042</v>
      </c>
      <c r="H1112" s="41"/>
      <c r="I1112" s="42"/>
      <c r="J1112" s="43"/>
      <c r="K1112" s="72">
        <v>2.0</v>
      </c>
      <c r="L1112" s="53" t="s">
        <v>62</v>
      </c>
      <c r="M1112" s="73">
        <v>57500.0</v>
      </c>
      <c r="N1112" s="74"/>
      <c r="O1112" s="73">
        <v>115000.0</v>
      </c>
      <c r="P1112" s="46" t="str">
        <f t="shared" si="2"/>
        <v>Rp57,500-2 LSN-0.00%</v>
      </c>
      <c r="Q1112" s="75">
        <v>45412.0</v>
      </c>
      <c r="R1112" s="76"/>
      <c r="S1112" s="75">
        <v>45420.0</v>
      </c>
      <c r="T1112" s="49"/>
    </row>
    <row r="1113">
      <c r="A1113" s="82">
        <v>4424.0</v>
      </c>
      <c r="B1113" s="69" t="s">
        <v>29</v>
      </c>
      <c r="C1113" s="70" t="s">
        <v>1457</v>
      </c>
      <c r="D1113" s="69" t="s">
        <v>465</v>
      </c>
      <c r="E1113" s="41" t="str">
        <f>IFERROR(__xludf.DUMMYFUNCTION("vlookup(D1113,IMPORTRANGE(""https://docs.google.com/spreadsheets/d/1swGwZOEqYlTEUCJLY-eeJM1911Kvaei5oySBIxdgtNo/edit?pli=1#gid=257618397"",""stock untanna!B:C""),2,false)"),"TIPEX KERTAS 8525")</f>
        <v>TIPEX KERTAS 8525</v>
      </c>
      <c r="F1113" s="70" t="s">
        <v>465</v>
      </c>
      <c r="G1113" s="71" t="s">
        <v>466</v>
      </c>
      <c r="H1113" s="41"/>
      <c r="I1113" s="42"/>
      <c r="J1113" s="43"/>
      <c r="K1113" s="72">
        <v>2.0</v>
      </c>
      <c r="L1113" s="53" t="s">
        <v>62</v>
      </c>
      <c r="M1113" s="73">
        <v>140000.0</v>
      </c>
      <c r="N1113" s="74"/>
      <c r="O1113" s="73">
        <v>280000.0</v>
      </c>
      <c r="P1113" s="46" t="str">
        <f t="shared" si="2"/>
        <v>Rp140,000-2 LSN-0.00%</v>
      </c>
      <c r="Q1113" s="75">
        <v>45412.0</v>
      </c>
      <c r="R1113" s="76"/>
      <c r="S1113" s="75">
        <v>45420.0</v>
      </c>
      <c r="T1113" s="49"/>
    </row>
    <row r="1114">
      <c r="A1114" s="82">
        <v>4424.0</v>
      </c>
      <c r="B1114" s="69" t="s">
        <v>29</v>
      </c>
      <c r="C1114" s="70" t="s">
        <v>1457</v>
      </c>
      <c r="D1114" s="69" t="s">
        <v>118</v>
      </c>
      <c r="E1114" s="41" t="str">
        <f>IFERROR(__xludf.DUMMYFUNCTION("vlookup(D1114,IMPORTRANGE(""https://docs.google.com/spreadsheets/d/1swGwZOEqYlTEUCJLY-eeJM1911Kvaei5oySBIxdgtNo/edit?pli=1#gid=257618397"",""stock untanna!B:C""),2,false)"),"TIPEX KERTAS NO.9443")</f>
        <v>TIPEX KERTAS NO.9443</v>
      </c>
      <c r="F1114" s="70" t="s">
        <v>118</v>
      </c>
      <c r="G1114" s="71" t="s">
        <v>119</v>
      </c>
      <c r="H1114" s="41"/>
      <c r="I1114" s="42"/>
      <c r="J1114" s="43"/>
      <c r="K1114" s="72">
        <v>2.0</v>
      </c>
      <c r="L1114" s="53" t="s">
        <v>62</v>
      </c>
      <c r="M1114" s="73">
        <v>60000.0</v>
      </c>
      <c r="N1114" s="74"/>
      <c r="O1114" s="73">
        <v>120000.0</v>
      </c>
      <c r="P1114" s="46" t="str">
        <f t="shared" si="2"/>
        <v>Rp60,000-2 LSN-0.00%</v>
      </c>
      <c r="Q1114" s="75">
        <v>45412.0</v>
      </c>
      <c r="R1114" s="76"/>
      <c r="S1114" s="75">
        <v>45420.0</v>
      </c>
      <c r="T1114" s="49"/>
    </row>
    <row r="1115">
      <c r="A1115" s="82">
        <v>4424.0</v>
      </c>
      <c r="B1115" s="69" t="s">
        <v>29</v>
      </c>
      <c r="C1115" s="70" t="s">
        <v>1457</v>
      </c>
      <c r="D1115" s="69" t="s">
        <v>1602</v>
      </c>
      <c r="E1115" s="41" t="str">
        <f>IFERROR(__xludf.DUMMYFUNCTION("vlookup(D1115,IMPORTRANGE(""https://docs.google.com/spreadsheets/d/1swGwZOEqYlTEUCJLY-eeJM1911Kvaei5oySBIxdgtNo/edit?pli=1#gid=257618397"",""stock untanna!B:C""),2,false)"),"TIPEX KERTAS NO.9304")</f>
        <v>TIPEX KERTAS NO.9304</v>
      </c>
      <c r="F1115" s="70" t="s">
        <v>1602</v>
      </c>
      <c r="G1115" s="71" t="s">
        <v>1603</v>
      </c>
      <c r="H1115" s="41"/>
      <c r="I1115" s="42"/>
      <c r="J1115" s="43"/>
      <c r="K1115" s="72">
        <v>2.0</v>
      </c>
      <c r="L1115" s="53" t="s">
        <v>62</v>
      </c>
      <c r="M1115" s="73">
        <v>60000.0</v>
      </c>
      <c r="N1115" s="74"/>
      <c r="O1115" s="73">
        <v>120000.0</v>
      </c>
      <c r="P1115" s="46" t="str">
        <f t="shared" si="2"/>
        <v>Rp60,000-2 LSN-0.00%</v>
      </c>
      <c r="Q1115" s="75">
        <v>45412.0</v>
      </c>
      <c r="R1115" s="76"/>
      <c r="S1115" s="75">
        <v>45420.0</v>
      </c>
      <c r="T1115" s="49"/>
    </row>
    <row r="1116">
      <c r="A1116" s="82">
        <v>4424.0</v>
      </c>
      <c r="B1116" s="69" t="s">
        <v>29</v>
      </c>
      <c r="C1116" s="70" t="s">
        <v>1457</v>
      </c>
      <c r="D1116" s="69" t="s">
        <v>461</v>
      </c>
      <c r="E1116" s="41" t="str">
        <f>IFERROR(__xludf.DUMMYFUNCTION("vlookup(D1116,IMPORTRANGE(""https://docs.google.com/spreadsheets/d/1swGwZOEqYlTEUCJLY-eeJM1911Kvaei5oySBIxdgtNo/edit?pli=1#gid=257618397"",""stock untanna!B:C""),2,false)"),"TIPEX KERTAS NO.8539")</f>
        <v>TIPEX KERTAS NO.8539</v>
      </c>
      <c r="F1116" s="70" t="s">
        <v>461</v>
      </c>
      <c r="G1116" s="71" t="s">
        <v>462</v>
      </c>
      <c r="H1116" s="41"/>
      <c r="I1116" s="42"/>
      <c r="J1116" s="43"/>
      <c r="K1116" s="72">
        <v>2.0</v>
      </c>
      <c r="L1116" s="53" t="s">
        <v>62</v>
      </c>
      <c r="M1116" s="73">
        <v>140000.0</v>
      </c>
      <c r="N1116" s="74"/>
      <c r="O1116" s="73">
        <v>280000.0</v>
      </c>
      <c r="P1116" s="46" t="str">
        <f t="shared" si="2"/>
        <v>Rp140,000-2 LSN-0.00%</v>
      </c>
      <c r="Q1116" s="75">
        <v>45412.0</v>
      </c>
      <c r="R1116" s="76"/>
      <c r="S1116" s="75">
        <v>45420.0</v>
      </c>
      <c r="T1116" s="49"/>
    </row>
    <row r="1117">
      <c r="A1117" s="82">
        <v>4424.0</v>
      </c>
      <c r="B1117" s="69" t="s">
        <v>29</v>
      </c>
      <c r="C1117" s="70" t="s">
        <v>1457</v>
      </c>
      <c r="D1117" s="69"/>
      <c r="E1117" s="41" t="s">
        <v>1604</v>
      </c>
      <c r="F1117" s="70"/>
      <c r="G1117" s="71" t="s">
        <v>1604</v>
      </c>
      <c r="H1117" s="41"/>
      <c r="I1117" s="42"/>
      <c r="J1117" s="43"/>
      <c r="K1117" s="72">
        <v>2.0</v>
      </c>
      <c r="L1117" s="53" t="s">
        <v>62</v>
      </c>
      <c r="M1117" s="73">
        <v>60000.0</v>
      </c>
      <c r="N1117" s="74"/>
      <c r="O1117" s="73">
        <v>120000.0</v>
      </c>
      <c r="P1117" s="46" t="str">
        <f t="shared" si="2"/>
        <v>Rp60,000-2 LSN-0.00%</v>
      </c>
      <c r="Q1117" s="75">
        <v>45412.0</v>
      </c>
      <c r="R1117" s="76"/>
      <c r="S1117" s="75">
        <v>45420.0</v>
      </c>
      <c r="T1117" s="49"/>
    </row>
    <row r="1118">
      <c r="A1118" s="82">
        <v>4424.0</v>
      </c>
      <c r="B1118" s="69" t="s">
        <v>29</v>
      </c>
      <c r="C1118" s="70" t="s">
        <v>1457</v>
      </c>
      <c r="D1118" s="69" t="s">
        <v>1039</v>
      </c>
      <c r="E1118" s="41" t="str">
        <f>IFERROR(__xludf.DUMMYFUNCTION("vlookup(D1118,IMPORTRANGE(""https://docs.google.com/spreadsheets/d/1swGwZOEqYlTEUCJLY-eeJM1911Kvaei5oySBIxdgtNo/edit?pli=1#gid=257618397"",""stock untanna!B:C""),2,false)"),"TIPEX KERTAS NO.5031")</f>
        <v>TIPEX KERTAS NO.5031</v>
      </c>
      <c r="F1118" s="70" t="s">
        <v>1039</v>
      </c>
      <c r="G1118" s="71" t="s">
        <v>1040</v>
      </c>
      <c r="H1118" s="41"/>
      <c r="I1118" s="42"/>
      <c r="J1118" s="43"/>
      <c r="K1118" s="72">
        <v>2.0</v>
      </c>
      <c r="L1118" s="53" t="s">
        <v>62</v>
      </c>
      <c r="M1118" s="73">
        <v>57500.0</v>
      </c>
      <c r="N1118" s="74"/>
      <c r="O1118" s="73">
        <v>115000.0</v>
      </c>
      <c r="P1118" s="46" t="str">
        <f t="shared" si="2"/>
        <v>Rp57,500-2 LSN-0.00%</v>
      </c>
      <c r="Q1118" s="75">
        <v>45412.0</v>
      </c>
      <c r="R1118" s="76"/>
      <c r="S1118" s="75">
        <v>45420.0</v>
      </c>
      <c r="T1118" s="49"/>
    </row>
    <row r="1119">
      <c r="A1119" s="82">
        <v>4424.0</v>
      </c>
      <c r="B1119" s="69" t="s">
        <v>29</v>
      </c>
      <c r="C1119" s="70" t="s">
        <v>1457</v>
      </c>
      <c r="D1119" s="69" t="s">
        <v>1605</v>
      </c>
      <c r="E1119" s="41" t="str">
        <f>IFERROR(__xludf.DUMMYFUNCTION("vlookup(D1119,IMPORTRANGE(""https://docs.google.com/spreadsheets/d/1swGwZOEqYlTEUCJLY-eeJM1911Kvaei5oySBIxdgtNo/edit?pli=1#gid=257618397"",""stock untanna!B:C""),2,false)"),"TIPEX MICROTOP MT-767")</f>
        <v>TIPEX MICROTOP MT-767</v>
      </c>
      <c r="F1119" s="70" t="s">
        <v>1605</v>
      </c>
      <c r="G1119" s="71" t="s">
        <v>1606</v>
      </c>
      <c r="H1119" s="41"/>
      <c r="I1119" s="42"/>
      <c r="J1119" s="43"/>
      <c r="K1119" s="72">
        <v>2.0</v>
      </c>
      <c r="L1119" s="53" t="s">
        <v>62</v>
      </c>
      <c r="M1119" s="73">
        <v>60000.0</v>
      </c>
      <c r="N1119" s="74"/>
      <c r="O1119" s="73">
        <v>120000.0</v>
      </c>
      <c r="P1119" s="46" t="str">
        <f t="shared" si="2"/>
        <v>Rp60,000-2 LSN-0.00%</v>
      </c>
      <c r="Q1119" s="75">
        <v>45412.0</v>
      </c>
      <c r="R1119" s="76"/>
      <c r="S1119" s="75">
        <v>45420.0</v>
      </c>
      <c r="T1119" s="49" t="s">
        <v>100</v>
      </c>
    </row>
    <row r="1120">
      <c r="A1120" s="82">
        <v>4424.0</v>
      </c>
      <c r="B1120" s="69" t="s">
        <v>29</v>
      </c>
      <c r="C1120" s="70" t="s">
        <v>1457</v>
      </c>
      <c r="D1120" s="69"/>
      <c r="E1120" s="41" t="s">
        <v>1607</v>
      </c>
      <c r="F1120" s="70"/>
      <c r="G1120" s="71" t="s">
        <v>1607</v>
      </c>
      <c r="H1120" s="41"/>
      <c r="I1120" s="42"/>
      <c r="J1120" s="43"/>
      <c r="K1120" s="72">
        <v>2.0</v>
      </c>
      <c r="L1120" s="53" t="s">
        <v>62</v>
      </c>
      <c r="M1120" s="73">
        <v>60000.0</v>
      </c>
      <c r="N1120" s="74"/>
      <c r="O1120" s="73">
        <v>120000.0</v>
      </c>
      <c r="P1120" s="46" t="str">
        <f t="shared" si="2"/>
        <v>Rp60,000-2 LSN-0.00%</v>
      </c>
      <c r="Q1120" s="75">
        <v>45412.0</v>
      </c>
      <c r="R1120" s="76"/>
      <c r="S1120" s="75">
        <v>45420.0</v>
      </c>
      <c r="T1120" s="49"/>
    </row>
    <row r="1121">
      <c r="A1121" s="82">
        <v>4424.0</v>
      </c>
      <c r="B1121" s="69" t="s">
        <v>29</v>
      </c>
      <c r="C1121" s="70" t="s">
        <v>1457</v>
      </c>
      <c r="D1121" s="69" t="s">
        <v>757</v>
      </c>
      <c r="E1121" s="41" t="str">
        <f>IFERROR(__xludf.DUMMYFUNCTION("vlookup(D1121,IMPORTRANGE(""https://docs.google.com/spreadsheets/d/1swGwZOEqYlTEUCJLY-eeJM1911Kvaei5oySBIxdgtNo/edit?pli=1#gid=257618397"",""stock untanna!B:C""),2,false)"),"TIPEX MICROTOP MT 737")</f>
        <v>TIPEX MICROTOP MT 737</v>
      </c>
      <c r="F1121" s="70" t="s">
        <v>757</v>
      </c>
      <c r="G1121" s="71" t="s">
        <v>758</v>
      </c>
      <c r="H1121" s="41"/>
      <c r="I1121" s="42"/>
      <c r="J1121" s="43"/>
      <c r="K1121" s="72">
        <v>2.0</v>
      </c>
      <c r="L1121" s="53" t="s">
        <v>62</v>
      </c>
      <c r="M1121" s="73">
        <v>105000.0</v>
      </c>
      <c r="N1121" s="74"/>
      <c r="O1121" s="73">
        <v>210000.0</v>
      </c>
      <c r="P1121" s="46" t="str">
        <f t="shared" si="2"/>
        <v>Rp105,000-2 LSN-0.00%</v>
      </c>
      <c r="Q1121" s="75">
        <v>45412.0</v>
      </c>
      <c r="R1121" s="76"/>
      <c r="S1121" s="75">
        <v>45420.0</v>
      </c>
      <c r="T1121" s="49"/>
    </row>
    <row r="1122">
      <c r="A1122" s="82">
        <v>4424.0</v>
      </c>
      <c r="B1122" s="69" t="s">
        <v>29</v>
      </c>
      <c r="C1122" s="70" t="s">
        <v>1457</v>
      </c>
      <c r="D1122" s="69" t="s">
        <v>1029</v>
      </c>
      <c r="E1122" s="41" t="str">
        <f>IFERROR(__xludf.DUMMYFUNCTION("vlookup(D1122,IMPORTRANGE(""https://docs.google.com/spreadsheets/d/1swGwZOEqYlTEUCJLY-eeJM1911Kvaei5oySBIxdgtNo/edit?pli=1#gid=257618397"",""stock untanna!B:C""),2,false)"),"TIPEX KERTAS NO.5026")</f>
        <v>TIPEX KERTAS NO.5026</v>
      </c>
      <c r="F1122" s="70" t="s">
        <v>1029</v>
      </c>
      <c r="G1122" s="71" t="s">
        <v>1030</v>
      </c>
      <c r="H1122" s="41"/>
      <c r="I1122" s="42"/>
      <c r="J1122" s="43"/>
      <c r="K1122" s="72">
        <v>2.0</v>
      </c>
      <c r="L1122" s="53" t="s">
        <v>62</v>
      </c>
      <c r="M1122" s="73">
        <v>57500.0</v>
      </c>
      <c r="N1122" s="74"/>
      <c r="O1122" s="73">
        <v>115000.0</v>
      </c>
      <c r="P1122" s="46" t="str">
        <f t="shared" si="2"/>
        <v>Rp57,500-2 LSN-0.00%</v>
      </c>
      <c r="Q1122" s="75">
        <v>45412.0</v>
      </c>
      <c r="R1122" s="76"/>
      <c r="S1122" s="75">
        <v>45420.0</v>
      </c>
      <c r="T1122" s="49"/>
    </row>
    <row r="1123">
      <c r="A1123" s="82">
        <v>4424.0</v>
      </c>
      <c r="B1123" s="69" t="s">
        <v>29</v>
      </c>
      <c r="C1123" s="70" t="s">
        <v>1457</v>
      </c>
      <c r="D1123" s="69"/>
      <c r="E1123" s="41" t="s">
        <v>1608</v>
      </c>
      <c r="F1123" s="70"/>
      <c r="G1123" s="71" t="s">
        <v>1608</v>
      </c>
      <c r="H1123" s="41"/>
      <c r="I1123" s="42"/>
      <c r="J1123" s="43"/>
      <c r="K1123" s="72">
        <v>4.0</v>
      </c>
      <c r="L1123" s="53" t="s">
        <v>62</v>
      </c>
      <c r="M1123" s="73">
        <v>35000.0</v>
      </c>
      <c r="N1123" s="74"/>
      <c r="O1123" s="73">
        <v>140000.0</v>
      </c>
      <c r="P1123" s="46" t="str">
        <f t="shared" si="2"/>
        <v>Rp35,000-4 LSN-0.00%</v>
      </c>
      <c r="Q1123" s="75">
        <v>45412.0</v>
      </c>
      <c r="R1123" s="76"/>
      <c r="S1123" s="75">
        <v>45420.0</v>
      </c>
      <c r="T1123" s="49"/>
    </row>
    <row r="1124">
      <c r="A1124" s="82">
        <v>4424.0</v>
      </c>
      <c r="B1124" s="69" t="s">
        <v>29</v>
      </c>
      <c r="C1124" s="70" t="s">
        <v>1457</v>
      </c>
      <c r="D1124" s="69"/>
      <c r="E1124" s="41" t="s">
        <v>1609</v>
      </c>
      <c r="F1124" s="70"/>
      <c r="G1124" s="71" t="s">
        <v>1609</v>
      </c>
      <c r="H1124" s="41"/>
      <c r="I1124" s="42"/>
      <c r="J1124" s="43"/>
      <c r="K1124" s="72">
        <v>2.0</v>
      </c>
      <c r="L1124" s="53" t="s">
        <v>62</v>
      </c>
      <c r="M1124" s="73">
        <v>100000.0</v>
      </c>
      <c r="N1124" s="74"/>
      <c r="O1124" s="73">
        <v>200000.0</v>
      </c>
      <c r="P1124" s="46" t="str">
        <f t="shared" si="2"/>
        <v>Rp100,000-2 LSN-0.00%</v>
      </c>
      <c r="Q1124" s="75">
        <v>45412.0</v>
      </c>
      <c r="R1124" s="76"/>
      <c r="S1124" s="75">
        <v>45420.0</v>
      </c>
      <c r="T1124" s="49"/>
    </row>
    <row r="1125">
      <c r="A1125" s="82">
        <v>4424.0</v>
      </c>
      <c r="B1125" s="69" t="s">
        <v>29</v>
      </c>
      <c r="C1125" s="70" t="s">
        <v>1457</v>
      </c>
      <c r="D1125" s="69"/>
      <c r="E1125" s="41" t="s">
        <v>1610</v>
      </c>
      <c r="F1125" s="70"/>
      <c r="G1125" s="71" t="s">
        <v>1610</v>
      </c>
      <c r="H1125" s="41"/>
      <c r="I1125" s="42"/>
      <c r="J1125" s="43"/>
      <c r="K1125" s="72">
        <v>2.0</v>
      </c>
      <c r="L1125" s="53" t="s">
        <v>62</v>
      </c>
      <c r="M1125" s="73">
        <v>100000.0</v>
      </c>
      <c r="N1125" s="74"/>
      <c r="O1125" s="73">
        <v>200000.0</v>
      </c>
      <c r="P1125" s="46" t="str">
        <f t="shared" si="2"/>
        <v>Rp100,000-2 LSN-0.00%</v>
      </c>
      <c r="Q1125" s="75">
        <v>45412.0</v>
      </c>
      <c r="R1125" s="76"/>
      <c r="S1125" s="75">
        <v>45420.0</v>
      </c>
      <c r="T1125" s="49"/>
    </row>
    <row r="1126">
      <c r="A1126" s="82">
        <v>4424.0</v>
      </c>
      <c r="B1126" s="69" t="s">
        <v>29</v>
      </c>
      <c r="C1126" s="70" t="s">
        <v>1457</v>
      </c>
      <c r="D1126" s="69" t="s">
        <v>1611</v>
      </c>
      <c r="E1126" s="41" t="str">
        <f>IFERROR(__xludf.DUMMYFUNCTION("vlookup(D1126,IMPORTRANGE(""https://docs.google.com/spreadsheets/d/1swGwZOEqYlTEUCJLY-eeJM1911Kvaei5oySBIxdgtNo/edit?pli=1#gid=257618397"",""stock untanna!B:C""),2,false)"),"TIPEX KERTAS 7013 MINI")</f>
        <v>TIPEX KERTAS 7013 MINI</v>
      </c>
      <c r="F1126" s="70" t="s">
        <v>1611</v>
      </c>
      <c r="G1126" s="71" t="s">
        <v>1612</v>
      </c>
      <c r="H1126" s="41"/>
      <c r="I1126" s="42"/>
      <c r="J1126" s="43"/>
      <c r="K1126" s="72">
        <v>4.0</v>
      </c>
      <c r="L1126" s="53" t="s">
        <v>62</v>
      </c>
      <c r="M1126" s="73">
        <v>37000.0</v>
      </c>
      <c r="N1126" s="74"/>
      <c r="O1126" s="73">
        <v>148000.0</v>
      </c>
      <c r="P1126" s="46" t="str">
        <f t="shared" si="2"/>
        <v>Rp37,000-4 LSN-0.00%</v>
      </c>
      <c r="Q1126" s="75">
        <v>45412.0</v>
      </c>
      <c r="R1126" s="76"/>
      <c r="S1126" s="75">
        <v>45420.0</v>
      </c>
      <c r="T1126" s="49"/>
    </row>
    <row r="1127">
      <c r="A1127" s="82">
        <v>4424.0</v>
      </c>
      <c r="B1127" s="69" t="s">
        <v>29</v>
      </c>
      <c r="C1127" s="70" t="s">
        <v>1457</v>
      </c>
      <c r="D1127" s="69" t="s">
        <v>1613</v>
      </c>
      <c r="E1127" s="41" t="str">
        <f>IFERROR(__xludf.DUMMYFUNCTION("vlookup(D1127,IMPORTRANGE(""https://docs.google.com/spreadsheets/d/1swGwZOEqYlTEUCJLY-eeJM1911Kvaei5oySBIxdgtNo/edit?pli=1#gid=257618397"",""stock untanna!B:C""),2,false)"),"GARISAN SET PAYU 9810 20CM")</f>
        <v>GARISAN SET PAYU 9810 20CM</v>
      </c>
      <c r="F1127" s="70" t="s">
        <v>1613</v>
      </c>
      <c r="G1127" s="71" t="s">
        <v>1614</v>
      </c>
      <c r="H1127" s="41"/>
      <c r="I1127" s="42"/>
      <c r="J1127" s="43"/>
      <c r="K1127" s="72">
        <v>1.0</v>
      </c>
      <c r="L1127" s="53" t="s">
        <v>88</v>
      </c>
      <c r="M1127" s="73">
        <v>220000.0</v>
      </c>
      <c r="N1127" s="74"/>
      <c r="O1127" s="73">
        <v>220000.0</v>
      </c>
      <c r="P1127" s="46" t="str">
        <f t="shared" si="2"/>
        <v>Rp220,000-1 BOX-0.00%</v>
      </c>
      <c r="Q1127" s="75">
        <v>45412.0</v>
      </c>
      <c r="R1127" s="76"/>
      <c r="S1127" s="75">
        <v>45420.0</v>
      </c>
      <c r="T1127" s="49"/>
    </row>
    <row r="1128">
      <c r="A1128" s="82">
        <v>4425.0</v>
      </c>
      <c r="B1128" s="69" t="s">
        <v>29</v>
      </c>
      <c r="C1128" s="70" t="s">
        <v>1457</v>
      </c>
      <c r="D1128" s="69"/>
      <c r="E1128" s="41" t="s">
        <v>1615</v>
      </c>
      <c r="F1128" s="70"/>
      <c r="G1128" s="71" t="s">
        <v>1615</v>
      </c>
      <c r="H1128" s="41"/>
      <c r="I1128" s="42"/>
      <c r="J1128" s="43"/>
      <c r="K1128" s="72">
        <v>48.0</v>
      </c>
      <c r="L1128" s="53" t="s">
        <v>69</v>
      </c>
      <c r="M1128" s="73">
        <v>3250.0</v>
      </c>
      <c r="N1128" s="74"/>
      <c r="O1128" s="73">
        <v>156000.0</v>
      </c>
      <c r="P1128" s="46" t="str">
        <f t="shared" si="2"/>
        <v>Rp3,250-48 PCS-0.00%</v>
      </c>
      <c r="Q1128" s="75">
        <v>45412.0</v>
      </c>
      <c r="R1128" s="76"/>
      <c r="S1128" s="75">
        <v>45420.0</v>
      </c>
      <c r="T1128" s="49"/>
    </row>
    <row r="1129">
      <c r="A1129" s="82">
        <v>4425.0</v>
      </c>
      <c r="B1129" s="69" t="s">
        <v>29</v>
      </c>
      <c r="C1129" s="70" t="s">
        <v>1457</v>
      </c>
      <c r="D1129" s="69"/>
      <c r="E1129" s="41" t="s">
        <v>1616</v>
      </c>
      <c r="F1129" s="70"/>
      <c r="G1129" s="71" t="s">
        <v>1616</v>
      </c>
      <c r="H1129" s="41"/>
      <c r="I1129" s="42"/>
      <c r="J1129" s="43"/>
      <c r="K1129" s="72">
        <v>48.0</v>
      </c>
      <c r="L1129" s="53" t="s">
        <v>69</v>
      </c>
      <c r="M1129" s="73">
        <v>3250.0</v>
      </c>
      <c r="N1129" s="74"/>
      <c r="O1129" s="73">
        <v>156000.0</v>
      </c>
      <c r="P1129" s="46" t="str">
        <f t="shared" si="2"/>
        <v>Rp3,250-48 PCS-0.00%</v>
      </c>
      <c r="Q1129" s="75">
        <v>45412.0</v>
      </c>
      <c r="R1129" s="76"/>
      <c r="S1129" s="75">
        <v>45420.0</v>
      </c>
      <c r="T1129" s="49"/>
    </row>
    <row r="1130">
      <c r="A1130" s="82">
        <v>4425.0</v>
      </c>
      <c r="B1130" s="69" t="s">
        <v>29</v>
      </c>
      <c r="C1130" s="70" t="s">
        <v>1457</v>
      </c>
      <c r="D1130" s="69"/>
      <c r="E1130" s="41" t="s">
        <v>445</v>
      </c>
      <c r="F1130" s="70"/>
      <c r="G1130" s="71" t="s">
        <v>445</v>
      </c>
      <c r="H1130" s="41"/>
      <c r="I1130" s="42"/>
      <c r="J1130" s="43"/>
      <c r="K1130" s="72">
        <v>48.0</v>
      </c>
      <c r="L1130" s="53" t="s">
        <v>69</v>
      </c>
      <c r="M1130" s="73">
        <v>3250.0</v>
      </c>
      <c r="N1130" s="74"/>
      <c r="O1130" s="73">
        <v>156000.0</v>
      </c>
      <c r="P1130" s="46" t="str">
        <f t="shared" si="2"/>
        <v>Rp3,250-48 PCS-0.00%</v>
      </c>
      <c r="Q1130" s="75">
        <v>45412.0</v>
      </c>
      <c r="R1130" s="76"/>
      <c r="S1130" s="75">
        <v>45420.0</v>
      </c>
      <c r="T1130" s="49"/>
    </row>
    <row r="1131">
      <c r="A1131" s="82">
        <v>4425.0</v>
      </c>
      <c r="B1131" s="69" t="s">
        <v>29</v>
      </c>
      <c r="C1131" s="70" t="s">
        <v>1457</v>
      </c>
      <c r="D1131" s="69"/>
      <c r="E1131" s="41" t="s">
        <v>444</v>
      </c>
      <c r="F1131" s="70"/>
      <c r="G1131" s="71" t="s">
        <v>444</v>
      </c>
      <c r="H1131" s="41"/>
      <c r="I1131" s="42"/>
      <c r="J1131" s="43"/>
      <c r="K1131" s="72">
        <v>48.0</v>
      </c>
      <c r="L1131" s="53" t="s">
        <v>69</v>
      </c>
      <c r="M1131" s="73">
        <v>3250.0</v>
      </c>
      <c r="N1131" s="74"/>
      <c r="O1131" s="73">
        <v>156000.0</v>
      </c>
      <c r="P1131" s="46" t="str">
        <f t="shared" si="2"/>
        <v>Rp3,250-48 PCS-0.00%</v>
      </c>
      <c r="Q1131" s="75">
        <v>45412.0</v>
      </c>
      <c r="R1131" s="76"/>
      <c r="S1131" s="75">
        <v>45420.0</v>
      </c>
      <c r="T1131" s="49"/>
    </row>
    <row r="1132">
      <c r="A1132" s="82">
        <v>4425.0</v>
      </c>
      <c r="B1132" s="69" t="s">
        <v>29</v>
      </c>
      <c r="C1132" s="70" t="s">
        <v>1457</v>
      </c>
      <c r="D1132" s="69"/>
      <c r="E1132" s="41" t="s">
        <v>442</v>
      </c>
      <c r="F1132" s="70"/>
      <c r="G1132" s="71" t="s">
        <v>442</v>
      </c>
      <c r="H1132" s="41"/>
      <c r="I1132" s="42"/>
      <c r="J1132" s="43"/>
      <c r="K1132" s="72">
        <v>48.0</v>
      </c>
      <c r="L1132" s="53" t="s">
        <v>69</v>
      </c>
      <c r="M1132" s="73">
        <v>3250.0</v>
      </c>
      <c r="N1132" s="74"/>
      <c r="O1132" s="73">
        <v>156000.0</v>
      </c>
      <c r="P1132" s="46" t="str">
        <f t="shared" si="2"/>
        <v>Rp3,250-48 PCS-0.00%</v>
      </c>
      <c r="Q1132" s="75">
        <v>45412.0</v>
      </c>
      <c r="R1132" s="76"/>
      <c r="S1132" s="75">
        <v>45420.0</v>
      </c>
      <c r="T1132" s="49"/>
    </row>
    <row r="1133">
      <c r="A1133" s="82">
        <v>4425.0</v>
      </c>
      <c r="B1133" s="69" t="s">
        <v>29</v>
      </c>
      <c r="C1133" s="70" t="s">
        <v>1457</v>
      </c>
      <c r="D1133" s="69"/>
      <c r="E1133" s="41" t="s">
        <v>1617</v>
      </c>
      <c r="F1133" s="70"/>
      <c r="G1133" s="71" t="s">
        <v>1617</v>
      </c>
      <c r="H1133" s="41"/>
      <c r="I1133" s="42"/>
      <c r="J1133" s="43"/>
      <c r="K1133" s="72">
        <v>48.0</v>
      </c>
      <c r="L1133" s="53" t="s">
        <v>69</v>
      </c>
      <c r="M1133" s="73">
        <v>3250.0</v>
      </c>
      <c r="N1133" s="74"/>
      <c r="O1133" s="73">
        <v>156000.0</v>
      </c>
      <c r="P1133" s="46" t="str">
        <f t="shared" si="2"/>
        <v>Rp3,250-48 PCS-0.00%</v>
      </c>
      <c r="Q1133" s="75">
        <v>45412.0</v>
      </c>
      <c r="R1133" s="76"/>
      <c r="S1133" s="75">
        <v>45420.0</v>
      </c>
      <c r="T1133" s="49"/>
    </row>
    <row r="1134">
      <c r="A1134" s="82">
        <v>4425.0</v>
      </c>
      <c r="B1134" s="69" t="s">
        <v>29</v>
      </c>
      <c r="C1134" s="70" t="s">
        <v>1457</v>
      </c>
      <c r="D1134" s="69"/>
      <c r="E1134" s="41" t="s">
        <v>440</v>
      </c>
      <c r="F1134" s="70"/>
      <c r="G1134" s="71" t="s">
        <v>440</v>
      </c>
      <c r="H1134" s="41"/>
      <c r="I1134" s="42"/>
      <c r="J1134" s="43"/>
      <c r="K1134" s="72">
        <v>48.0</v>
      </c>
      <c r="L1134" s="53" t="s">
        <v>69</v>
      </c>
      <c r="M1134" s="73">
        <v>3250.0</v>
      </c>
      <c r="N1134" s="74"/>
      <c r="O1134" s="73">
        <v>156000.0</v>
      </c>
      <c r="P1134" s="46" t="str">
        <f t="shared" si="2"/>
        <v>Rp3,250-48 PCS-0.00%</v>
      </c>
      <c r="Q1134" s="75">
        <v>45412.0</v>
      </c>
      <c r="R1134" s="76"/>
      <c r="S1134" s="75">
        <v>45420.0</v>
      </c>
      <c r="T1134" s="49"/>
    </row>
    <row r="1135">
      <c r="A1135" s="82">
        <v>4425.0</v>
      </c>
      <c r="B1135" s="69" t="s">
        <v>29</v>
      </c>
      <c r="C1135" s="70" t="s">
        <v>1457</v>
      </c>
      <c r="D1135" s="69" t="s">
        <v>374</v>
      </c>
      <c r="E1135" s="41" t="str">
        <f>IFERROR(__xludf.DUMMYFUNCTION("vlookup(D1135,IMPORTRANGE(""https://docs.google.com/spreadsheets/d/1swGwZOEqYlTEUCJLY-eeJM1911Kvaei5oySBIxdgtNo/edit?pli=1#gid=257618397"",""stock untanna!B:C""),2,false)"),"GARISAN TF 1989 LINGKARAN")</f>
        <v>GARISAN TF 1989 LINGKARAN</v>
      </c>
      <c r="F1135" s="70" t="s">
        <v>374</v>
      </c>
      <c r="G1135" s="71" t="s">
        <v>375</v>
      </c>
      <c r="H1135" s="41"/>
      <c r="I1135" s="42"/>
      <c r="J1135" s="43"/>
      <c r="K1135" s="72">
        <v>1.0</v>
      </c>
      <c r="L1135" s="53" t="s">
        <v>62</v>
      </c>
      <c r="M1135" s="73">
        <v>24000.0</v>
      </c>
      <c r="N1135" s="74"/>
      <c r="O1135" s="73">
        <v>24000.0</v>
      </c>
      <c r="P1135" s="46" t="str">
        <f t="shared" si="2"/>
        <v>Rp24,000-1 LSN-0.00%</v>
      </c>
      <c r="Q1135" s="75">
        <v>45412.0</v>
      </c>
      <c r="R1135" s="76"/>
      <c r="S1135" s="75">
        <v>45420.0</v>
      </c>
      <c r="T1135" s="49"/>
    </row>
    <row r="1136">
      <c r="A1136" s="82">
        <v>4425.0</v>
      </c>
      <c r="B1136" s="69" t="s">
        <v>29</v>
      </c>
      <c r="C1136" s="70" t="s">
        <v>1457</v>
      </c>
      <c r="D1136" s="69" t="s">
        <v>1618</v>
      </c>
      <c r="E1136" s="41" t="str">
        <f>IFERROR(__xludf.DUMMYFUNCTION("vlookup(D1136,IMPORTRANGE(""https://docs.google.com/spreadsheets/d/1swGwZOEqYlTEUCJLY-eeJM1911Kvaei5oySBIxdgtNo/edit?pli=1#gid=257618397"",""stock untanna!B:C""),2,false)"),"BENSIA 9938 CERMIN KACA (32)")</f>
        <v>BENSIA 9938 CERMIN KACA (32)</v>
      </c>
      <c r="F1136" s="70" t="s">
        <v>1618</v>
      </c>
      <c r="G1136" s="71" t="s">
        <v>1619</v>
      </c>
      <c r="H1136" s="41"/>
      <c r="I1136" s="42"/>
      <c r="J1136" s="43"/>
      <c r="K1136" s="72">
        <v>2.0</v>
      </c>
      <c r="L1136" s="53" t="s">
        <v>88</v>
      </c>
      <c r="M1136" s="73">
        <v>96000.0</v>
      </c>
      <c r="N1136" s="74"/>
      <c r="O1136" s="73">
        <v>192000.0</v>
      </c>
      <c r="P1136" s="46" t="str">
        <f t="shared" si="2"/>
        <v>Rp96,000-2 BOX-0.00%</v>
      </c>
      <c r="Q1136" s="75">
        <v>45412.0</v>
      </c>
      <c r="R1136" s="76"/>
      <c r="S1136" s="75">
        <v>45420.0</v>
      </c>
      <c r="T1136" s="49"/>
    </row>
    <row r="1137">
      <c r="A1137" s="82">
        <v>4425.0</v>
      </c>
      <c r="B1137" s="69" t="s">
        <v>29</v>
      </c>
      <c r="C1137" s="70" t="s">
        <v>1457</v>
      </c>
      <c r="D1137" s="69"/>
      <c r="E1137" s="41" t="s">
        <v>1620</v>
      </c>
      <c r="F1137" s="70"/>
      <c r="G1137" s="71" t="s">
        <v>1620</v>
      </c>
      <c r="H1137" s="41"/>
      <c r="I1137" s="42"/>
      <c r="J1137" s="43"/>
      <c r="K1137" s="72">
        <v>2.0</v>
      </c>
      <c r="L1137" s="53" t="s">
        <v>88</v>
      </c>
      <c r="M1137" s="73">
        <v>95000.0</v>
      </c>
      <c r="N1137" s="74"/>
      <c r="O1137" s="73">
        <v>190000.0</v>
      </c>
      <c r="P1137" s="46" t="str">
        <f t="shared" si="2"/>
        <v>Rp95,000-2 BOX-0.00%</v>
      </c>
      <c r="Q1137" s="75">
        <v>45412.0</v>
      </c>
      <c r="R1137" s="76"/>
      <c r="S1137" s="75">
        <v>45420.0</v>
      </c>
      <c r="T1137" s="49"/>
    </row>
    <row r="1138">
      <c r="A1138" s="82">
        <v>4425.0</v>
      </c>
      <c r="B1138" s="69" t="s">
        <v>29</v>
      </c>
      <c r="C1138" s="70" t="s">
        <v>1457</v>
      </c>
      <c r="D1138" s="69" t="s">
        <v>1621</v>
      </c>
      <c r="E1138" s="41" t="str">
        <f>IFERROR(__xludf.DUMMYFUNCTION("vlookup(D1138,IMPORTRANGE(""https://docs.google.com/spreadsheets/d/1swGwZOEqYlTEUCJLY-eeJM1911Kvaei5oySBIxdgtNo/edit?pli=1#gid=257618397"",""stock untanna!B:C""),2,false)"),"ISI GEL ELSON ES-226 SANRIO")</f>
        <v>ISI GEL ELSON ES-226 SANRIO</v>
      </c>
      <c r="F1138" s="70" t="s">
        <v>1621</v>
      </c>
      <c r="G1138" s="71" t="s">
        <v>1622</v>
      </c>
      <c r="H1138" s="41"/>
      <c r="I1138" s="42"/>
      <c r="J1138" s="43"/>
      <c r="K1138" s="72">
        <v>2.0</v>
      </c>
      <c r="L1138" s="53" t="s">
        <v>88</v>
      </c>
      <c r="M1138" s="73">
        <v>15500.0</v>
      </c>
      <c r="N1138" s="74"/>
      <c r="O1138" s="73">
        <v>31000.0</v>
      </c>
      <c r="P1138" s="46" t="str">
        <f t="shared" si="2"/>
        <v>Rp15,500-2 BOX-0.00%</v>
      </c>
      <c r="Q1138" s="75">
        <v>45412.0</v>
      </c>
      <c r="R1138" s="76"/>
      <c r="S1138" s="75">
        <v>45420.0</v>
      </c>
      <c r="T1138" s="49"/>
    </row>
    <row r="1139">
      <c r="A1139" s="82">
        <v>4425.0</v>
      </c>
      <c r="B1139" s="69" t="s">
        <v>29</v>
      </c>
      <c r="C1139" s="70" t="s">
        <v>1457</v>
      </c>
      <c r="D1139" s="69"/>
      <c r="E1139" s="41" t="s">
        <v>1623</v>
      </c>
      <c r="F1139" s="70"/>
      <c r="G1139" s="71" t="s">
        <v>1623</v>
      </c>
      <c r="H1139" s="41"/>
      <c r="I1139" s="42"/>
      <c r="J1139" s="43"/>
      <c r="K1139" s="72">
        <v>6.0</v>
      </c>
      <c r="L1139" s="53" t="s">
        <v>84</v>
      </c>
      <c r="M1139" s="73">
        <v>15000.0</v>
      </c>
      <c r="N1139" s="74"/>
      <c r="O1139" s="73">
        <v>90000.0</v>
      </c>
      <c r="P1139" s="46" t="str">
        <f t="shared" si="2"/>
        <v>Rp15,000-6 SET-0.00%</v>
      </c>
      <c r="Q1139" s="75">
        <v>45412.0</v>
      </c>
      <c r="R1139" s="76"/>
      <c r="S1139" s="75">
        <v>45420.0</v>
      </c>
      <c r="T1139" s="49"/>
    </row>
    <row r="1140">
      <c r="A1140" s="82">
        <v>4425.0</v>
      </c>
      <c r="B1140" s="69" t="s">
        <v>29</v>
      </c>
      <c r="C1140" s="70" t="s">
        <v>1457</v>
      </c>
      <c r="D1140" s="69"/>
      <c r="E1140" s="41" t="s">
        <v>1624</v>
      </c>
      <c r="F1140" s="70"/>
      <c r="G1140" s="71" t="s">
        <v>1624</v>
      </c>
      <c r="H1140" s="41"/>
      <c r="I1140" s="42"/>
      <c r="J1140" s="43"/>
      <c r="K1140" s="72">
        <v>6.0</v>
      </c>
      <c r="L1140" s="53" t="s">
        <v>84</v>
      </c>
      <c r="M1140" s="73">
        <v>15000.0</v>
      </c>
      <c r="N1140" s="74"/>
      <c r="O1140" s="73">
        <v>90000.0</v>
      </c>
      <c r="P1140" s="46" t="str">
        <f t="shared" si="2"/>
        <v>Rp15,000-6 SET-0.00%</v>
      </c>
      <c r="Q1140" s="75">
        <v>45412.0</v>
      </c>
      <c r="R1140" s="76"/>
      <c r="S1140" s="75">
        <v>45420.0</v>
      </c>
      <c r="T1140" s="80" t="s">
        <v>280</v>
      </c>
    </row>
    <row r="1141">
      <c r="A1141" s="82">
        <v>4425.0</v>
      </c>
      <c r="B1141" s="69" t="s">
        <v>29</v>
      </c>
      <c r="C1141" s="70" t="s">
        <v>1457</v>
      </c>
      <c r="D1141" s="69" t="s">
        <v>1625</v>
      </c>
      <c r="E1141" s="41" t="str">
        <f>IFERROR(__xludf.DUMMYFUNCTION("vlookup(D1141,IMPORTRANGE(""https://docs.google.com/spreadsheets/d/1swGwZOEqYlTEUCJLY-eeJM1911Kvaei5oySBIxdgtNo/edit?pli=1#gid=257618397"",""stock untanna!B:C""),2,false)"),"KUAS 21839-6HP")</f>
        <v>KUAS 21839-6HP</v>
      </c>
      <c r="F1141" s="70" t="s">
        <v>1625</v>
      </c>
      <c r="G1141" s="71" t="s">
        <v>1626</v>
      </c>
      <c r="H1141" s="41"/>
      <c r="I1141" s="42"/>
      <c r="J1141" s="43"/>
      <c r="K1141" s="72">
        <v>6.0</v>
      </c>
      <c r="L1141" s="53" t="s">
        <v>84</v>
      </c>
      <c r="M1141" s="73">
        <v>12500.0</v>
      </c>
      <c r="N1141" s="74"/>
      <c r="O1141" s="73">
        <v>75000.0</v>
      </c>
      <c r="P1141" s="46" t="str">
        <f t="shared" si="2"/>
        <v>Rp12,500-6 SET-0.00%</v>
      </c>
      <c r="Q1141" s="75">
        <v>45412.0</v>
      </c>
      <c r="R1141" s="76"/>
      <c r="S1141" s="75">
        <v>45420.0</v>
      </c>
      <c r="T1141" s="49"/>
    </row>
    <row r="1142">
      <c r="A1142" s="82">
        <v>4425.0</v>
      </c>
      <c r="B1142" s="69" t="s">
        <v>29</v>
      </c>
      <c r="C1142" s="70" t="s">
        <v>1457</v>
      </c>
      <c r="D1142" s="69" t="s">
        <v>1627</v>
      </c>
      <c r="E1142" s="41" t="str">
        <f>IFERROR(__xludf.DUMMYFUNCTION("vlookup(D1142,IMPORTRANGE(""https://docs.google.com/spreadsheets/d/1swGwZOEqYlTEUCJLY-eeJM1911Kvaei5oySBIxdgtNo/edit?pli=1#gid=257618397"",""stock untanna!B:C""),2,false)"),"KUAS 21839-4S")</f>
        <v>KUAS 21839-4S</v>
      </c>
      <c r="F1142" s="70" t="s">
        <v>1627</v>
      </c>
      <c r="G1142" s="71" t="s">
        <v>1628</v>
      </c>
      <c r="H1142" s="41"/>
      <c r="I1142" s="42"/>
      <c r="J1142" s="43"/>
      <c r="K1142" s="72">
        <v>6.0</v>
      </c>
      <c r="L1142" s="53" t="s">
        <v>69</v>
      </c>
      <c r="M1142" s="73">
        <v>21000.0</v>
      </c>
      <c r="N1142" s="74"/>
      <c r="O1142" s="73">
        <v>126000.0</v>
      </c>
      <c r="P1142" s="46" t="str">
        <f t="shared" si="2"/>
        <v>Rp21,000-6 PCS-0.00%</v>
      </c>
      <c r="Q1142" s="75">
        <v>45412.0</v>
      </c>
      <c r="R1142" s="76"/>
      <c r="S1142" s="75">
        <v>45420.0</v>
      </c>
      <c r="T1142" s="49"/>
    </row>
    <row r="1143">
      <c r="A1143" s="82">
        <v>4425.0</v>
      </c>
      <c r="B1143" s="69" t="s">
        <v>29</v>
      </c>
      <c r="C1143" s="70" t="s">
        <v>1457</v>
      </c>
      <c r="D1143" s="69"/>
      <c r="E1143" s="41" t="s">
        <v>1629</v>
      </c>
      <c r="F1143" s="70"/>
      <c r="G1143" s="71" t="s">
        <v>1629</v>
      </c>
      <c r="H1143" s="41"/>
      <c r="I1143" s="42"/>
      <c r="J1143" s="43"/>
      <c r="K1143" s="72">
        <v>6.0</v>
      </c>
      <c r="L1143" s="53" t="s">
        <v>84</v>
      </c>
      <c r="M1143" s="73">
        <v>35000.0</v>
      </c>
      <c r="N1143" s="74"/>
      <c r="O1143" s="73">
        <v>210000.0</v>
      </c>
      <c r="P1143" s="46" t="str">
        <f t="shared" si="2"/>
        <v>Rp35,000-6 SET-0.00%</v>
      </c>
      <c r="Q1143" s="75">
        <v>45412.0</v>
      </c>
      <c r="R1143" s="76"/>
      <c r="S1143" s="75">
        <v>45420.0</v>
      </c>
      <c r="T1143" s="49"/>
    </row>
    <row r="1144">
      <c r="A1144" s="82">
        <v>4426.0</v>
      </c>
      <c r="B1144" s="69" t="s">
        <v>29</v>
      </c>
      <c r="C1144" s="70" t="s">
        <v>1457</v>
      </c>
      <c r="D1144" s="69" t="s">
        <v>1630</v>
      </c>
      <c r="E1144" s="41" t="str">
        <f>IFERROR(__xludf.DUMMYFUNCTION("vlookup(D1144,IMPORTRANGE(""https://docs.google.com/spreadsheets/d/1swGwZOEqYlTEUCJLY-eeJM1911Kvaei5oySBIxdgtNo/edit?pli=1#gid=257618397"",""stock untanna!B:C""),2,false)"),"TAS BRANDED KECIL SB 115")</f>
        <v>TAS BRANDED KECIL SB 115</v>
      </c>
      <c r="F1144" s="70" t="s">
        <v>1630</v>
      </c>
      <c r="G1144" s="71" t="s">
        <v>1631</v>
      </c>
      <c r="H1144" s="41"/>
      <c r="I1144" s="42"/>
      <c r="J1144" s="43"/>
      <c r="K1144" s="72">
        <v>1.0</v>
      </c>
      <c r="L1144" s="53" t="s">
        <v>62</v>
      </c>
      <c r="M1144" s="73">
        <v>40000.0</v>
      </c>
      <c r="N1144" s="74"/>
      <c r="O1144" s="73">
        <v>40000.0</v>
      </c>
      <c r="P1144" s="46" t="str">
        <f t="shared" si="2"/>
        <v>Rp40,000-1 LSN-0.00%</v>
      </c>
      <c r="Q1144" s="75">
        <v>45412.0</v>
      </c>
      <c r="R1144" s="76"/>
      <c r="S1144" s="75">
        <v>45420.0</v>
      </c>
      <c r="T1144" s="49"/>
    </row>
    <row r="1145">
      <c r="A1145" s="82">
        <v>4426.0</v>
      </c>
      <c r="B1145" s="69" t="s">
        <v>29</v>
      </c>
      <c r="C1145" s="70" t="s">
        <v>1457</v>
      </c>
      <c r="D1145" s="69" t="s">
        <v>719</v>
      </c>
      <c r="E1145" s="41" t="str">
        <f>IFERROR(__xludf.DUMMYFUNCTION("vlookup(D1145,IMPORTRANGE(""https://docs.google.com/spreadsheets/d/1swGwZOEqYlTEUCJLY-eeJM1911Kvaei5oySBIxdgtNo/edit?pli=1#gid=257618397"",""stock untanna!B:C""),2,false)"),"MECHPEN G-09307")</f>
        <v>MECHPEN G-09307</v>
      </c>
      <c r="F1145" s="70" t="s">
        <v>719</v>
      </c>
      <c r="G1145" s="71" t="s">
        <v>720</v>
      </c>
      <c r="H1145" s="41"/>
      <c r="I1145" s="42"/>
      <c r="J1145" s="43"/>
      <c r="K1145" s="72">
        <v>1.0</v>
      </c>
      <c r="L1145" s="53" t="s">
        <v>114</v>
      </c>
      <c r="M1145" s="73">
        <v>42000.0</v>
      </c>
      <c r="N1145" s="74"/>
      <c r="O1145" s="73">
        <v>42000.0</v>
      </c>
      <c r="P1145" s="46" t="str">
        <f t="shared" si="2"/>
        <v>Rp42,000-1 PAK-0.00%</v>
      </c>
      <c r="Q1145" s="75">
        <v>45412.0</v>
      </c>
      <c r="R1145" s="76"/>
      <c r="S1145" s="75">
        <v>45420.0</v>
      </c>
      <c r="T1145" s="49"/>
    </row>
    <row r="1146">
      <c r="A1146" s="82">
        <v>4426.0</v>
      </c>
      <c r="B1146" s="69" t="s">
        <v>29</v>
      </c>
      <c r="C1146" s="70" t="s">
        <v>1457</v>
      </c>
      <c r="D1146" s="69"/>
      <c r="E1146" s="41" t="s">
        <v>1632</v>
      </c>
      <c r="F1146" s="70"/>
      <c r="G1146" s="71" t="s">
        <v>1632</v>
      </c>
      <c r="H1146" s="41"/>
      <c r="I1146" s="42"/>
      <c r="J1146" s="43"/>
      <c r="K1146" s="72">
        <v>1.0</v>
      </c>
      <c r="L1146" s="53" t="s">
        <v>114</v>
      </c>
      <c r="M1146" s="73">
        <v>42000.0</v>
      </c>
      <c r="N1146" s="74"/>
      <c r="O1146" s="73">
        <v>42000.0</v>
      </c>
      <c r="P1146" s="46" t="str">
        <f t="shared" si="2"/>
        <v>Rp42,000-1 PAK-0.00%</v>
      </c>
      <c r="Q1146" s="75">
        <v>45412.0</v>
      </c>
      <c r="R1146" s="76"/>
      <c r="S1146" s="75">
        <v>45420.0</v>
      </c>
      <c r="T1146" s="49"/>
    </row>
    <row r="1147">
      <c r="A1147" s="82">
        <v>4426.0</v>
      </c>
      <c r="B1147" s="69" t="s">
        <v>29</v>
      </c>
      <c r="C1147" s="70" t="s">
        <v>1457</v>
      </c>
      <c r="D1147" s="69" t="s">
        <v>1438</v>
      </c>
      <c r="E1147" s="41" t="str">
        <f>IFERROR(__xludf.DUMMYFUNCTION("vlookup(D1147,IMPORTRANGE(""https://docs.google.com/spreadsheets/d/1swGwZOEqYlTEUCJLY-eeJM1911Kvaei5oySBIxdgtNo/edit?pli=1#gid=257618397"",""stock untanna!B:C""),2,false)"),"MECHPEN G-09309")</f>
        <v>MECHPEN G-09309</v>
      </c>
      <c r="F1147" s="70" t="s">
        <v>1438</v>
      </c>
      <c r="G1147" s="71" t="s">
        <v>1439</v>
      </c>
      <c r="H1147" s="41"/>
      <c r="I1147" s="42"/>
      <c r="J1147" s="43"/>
      <c r="K1147" s="72">
        <v>1.0</v>
      </c>
      <c r="L1147" s="53" t="s">
        <v>114</v>
      </c>
      <c r="M1147" s="73">
        <v>42000.0</v>
      </c>
      <c r="N1147" s="74"/>
      <c r="O1147" s="73">
        <v>42000.0</v>
      </c>
      <c r="P1147" s="46" t="str">
        <f t="shared" si="2"/>
        <v>Rp42,000-1 PAK-0.00%</v>
      </c>
      <c r="Q1147" s="75">
        <v>45412.0</v>
      </c>
      <c r="R1147" s="76"/>
      <c r="S1147" s="75">
        <v>45420.0</v>
      </c>
      <c r="T1147" s="49"/>
    </row>
    <row r="1148">
      <c r="A1148" s="82">
        <v>4426.0</v>
      </c>
      <c r="B1148" s="69" t="s">
        <v>29</v>
      </c>
      <c r="C1148" s="70" t="s">
        <v>1457</v>
      </c>
      <c r="D1148" s="69"/>
      <c r="E1148" s="41" t="s">
        <v>1633</v>
      </c>
      <c r="F1148" s="70"/>
      <c r="G1148" s="71" t="s">
        <v>1633</v>
      </c>
      <c r="H1148" s="41"/>
      <c r="I1148" s="42"/>
      <c r="J1148" s="43"/>
      <c r="K1148" s="72">
        <v>1.0</v>
      </c>
      <c r="L1148" s="53" t="s">
        <v>62</v>
      </c>
      <c r="M1148" s="73">
        <v>105000.0</v>
      </c>
      <c r="N1148" s="74"/>
      <c r="O1148" s="73">
        <v>105000.0</v>
      </c>
      <c r="P1148" s="46" t="str">
        <f t="shared" si="2"/>
        <v>Rp105,000-1 LSN-0.00%</v>
      </c>
      <c r="Q1148" s="75">
        <v>45412.0</v>
      </c>
      <c r="R1148" s="76"/>
      <c r="S1148" s="75">
        <v>45420.0</v>
      </c>
      <c r="T1148" s="80" t="s">
        <v>280</v>
      </c>
    </row>
    <row r="1149">
      <c r="A1149" s="82">
        <v>4426.0</v>
      </c>
      <c r="B1149" s="69" t="s">
        <v>29</v>
      </c>
      <c r="C1149" s="70" t="s">
        <v>1457</v>
      </c>
      <c r="D1149" s="69"/>
      <c r="E1149" s="41" t="s">
        <v>1634</v>
      </c>
      <c r="F1149" s="70"/>
      <c r="G1149" s="71" t="s">
        <v>1634</v>
      </c>
      <c r="H1149" s="41"/>
      <c r="I1149" s="42"/>
      <c r="J1149" s="43"/>
      <c r="K1149" s="72">
        <v>2.0</v>
      </c>
      <c r="L1149" s="53" t="s">
        <v>62</v>
      </c>
      <c r="M1149" s="73">
        <v>25000.0</v>
      </c>
      <c r="N1149" s="74"/>
      <c r="O1149" s="73">
        <v>50000.0</v>
      </c>
      <c r="P1149" s="46" t="str">
        <f t="shared" si="2"/>
        <v>Rp25,000-2 LSN-0.00%</v>
      </c>
      <c r="Q1149" s="75">
        <v>45412.0</v>
      </c>
      <c r="R1149" s="76"/>
      <c r="S1149" s="75">
        <v>45420.0</v>
      </c>
      <c r="T1149" s="49"/>
    </row>
    <row r="1150">
      <c r="A1150" s="82">
        <v>4426.0</v>
      </c>
      <c r="B1150" s="69" t="s">
        <v>29</v>
      </c>
      <c r="C1150" s="70" t="s">
        <v>1457</v>
      </c>
      <c r="D1150" s="69" t="s">
        <v>1635</v>
      </c>
      <c r="E1150" s="41" t="str">
        <f>IFERROR(__xludf.DUMMYFUNCTION("vlookup(D1150,IMPORTRANGE(""https://docs.google.com/spreadsheets/d/1swGwZOEqYlTEUCJLY-eeJM1911Kvaei5oySBIxdgtNo/edit?pli=1#gid=257618397"",""stock untanna!B:C""),2,false)"),"PW 12W PANJANG BTS")</f>
        <v>PW 12W PANJANG BTS</v>
      </c>
      <c r="F1150" s="70" t="s">
        <v>1635</v>
      </c>
      <c r="G1150" s="71" t="s">
        <v>1636</v>
      </c>
      <c r="H1150" s="41"/>
      <c r="I1150" s="42"/>
      <c r="J1150" s="43"/>
      <c r="K1150" s="72">
        <v>1.0</v>
      </c>
      <c r="L1150" s="53" t="s">
        <v>62</v>
      </c>
      <c r="M1150" s="73">
        <v>63000.0</v>
      </c>
      <c r="N1150" s="74"/>
      <c r="O1150" s="73">
        <v>63000.0</v>
      </c>
      <c r="P1150" s="46" t="str">
        <f t="shared" si="2"/>
        <v>Rp63,000-1 LSN-0.00%</v>
      </c>
      <c r="Q1150" s="75">
        <v>45412.0</v>
      </c>
      <c r="R1150" s="76"/>
      <c r="S1150" s="75">
        <v>45420.0</v>
      </c>
      <c r="T1150" s="49"/>
    </row>
    <row r="1151">
      <c r="A1151" s="82">
        <v>4426.0</v>
      </c>
      <c r="B1151" s="69" t="s">
        <v>29</v>
      </c>
      <c r="C1151" s="70" t="s">
        <v>1457</v>
      </c>
      <c r="D1151" s="50" t="s">
        <v>1637</v>
      </c>
      <c r="E1151" s="41" t="str">
        <f>IFERROR(__xludf.DUMMYFUNCTION("vlookup(D1151,IMPORTRANGE(""https://docs.google.com/spreadsheets/d/1swGwZOEqYlTEUCJLY-eeJM1911Kvaei5oySBIxdgtNo/edit?pli=1#gid=257618397"",""stock untanna!B:C""),2,false)"),"PW KIKO 12/24W")</f>
        <v>PW KIKO 12/24W</v>
      </c>
      <c r="F1151" s="70" t="s">
        <v>1638</v>
      </c>
      <c r="G1151" s="71" t="s">
        <v>1639</v>
      </c>
      <c r="H1151" s="41"/>
      <c r="I1151" s="42"/>
      <c r="J1151" s="43"/>
      <c r="K1151" s="72">
        <v>1.0</v>
      </c>
      <c r="L1151" s="53" t="s">
        <v>62</v>
      </c>
      <c r="M1151" s="73">
        <v>220000.0</v>
      </c>
      <c r="N1151" s="74"/>
      <c r="O1151" s="73">
        <v>220000.0</v>
      </c>
      <c r="P1151" s="46" t="str">
        <f t="shared" si="2"/>
        <v>Rp220,000-1 LSN-0.00%</v>
      </c>
      <c r="Q1151" s="75">
        <v>45412.0</v>
      </c>
      <c r="R1151" s="76"/>
      <c r="S1151" s="75">
        <v>45420.0</v>
      </c>
      <c r="T1151" s="49"/>
    </row>
    <row r="1152">
      <c r="A1152" s="82">
        <v>4426.0</v>
      </c>
      <c r="B1152" s="69" t="s">
        <v>29</v>
      </c>
      <c r="C1152" s="70" t="s">
        <v>1457</v>
      </c>
      <c r="D1152" s="69"/>
      <c r="E1152" s="41" t="s">
        <v>1640</v>
      </c>
      <c r="F1152" s="70"/>
      <c r="G1152" s="71" t="s">
        <v>1640</v>
      </c>
      <c r="H1152" s="41"/>
      <c r="I1152" s="42"/>
      <c r="J1152" s="43"/>
      <c r="K1152" s="72">
        <v>2.0</v>
      </c>
      <c r="L1152" s="53" t="s">
        <v>114</v>
      </c>
      <c r="M1152" s="73">
        <v>30000.0</v>
      </c>
      <c r="N1152" s="74"/>
      <c r="O1152" s="73">
        <v>60000.0</v>
      </c>
      <c r="P1152" s="46" t="str">
        <f t="shared" si="2"/>
        <v>Rp30,000-2 PAK-0.00%</v>
      </c>
      <c r="Q1152" s="75">
        <v>45412.0</v>
      </c>
      <c r="R1152" s="76"/>
      <c r="S1152" s="75">
        <v>45420.0</v>
      </c>
      <c r="T1152" s="49"/>
    </row>
    <row r="1153">
      <c r="A1153" s="82">
        <v>4426.0</v>
      </c>
      <c r="B1153" s="69" t="s">
        <v>29</v>
      </c>
      <c r="C1153" s="70" t="s">
        <v>1457</v>
      </c>
      <c r="D1153" s="69" t="s">
        <v>419</v>
      </c>
      <c r="E1153" s="41" t="str">
        <f>IFERROR(__xludf.DUMMYFUNCTION("vlookup(D1153,IMPORTRANGE(""https://docs.google.com/spreadsheets/d/1swGwZOEqYlTEUCJLY-eeJM1911Kvaei5oySBIxdgtNo/edit?pli=1#gid=257618397"",""stock untanna!B:C""),2,false)"),"BP GEL ZUI XUA HY-1020 HITAM")</f>
        <v>BP GEL ZUI XUA HY-1020 HITAM</v>
      </c>
      <c r="F1153" s="70" t="s">
        <v>419</v>
      </c>
      <c r="G1153" s="71" t="s">
        <v>420</v>
      </c>
      <c r="H1153" s="41"/>
      <c r="I1153" s="42"/>
      <c r="J1153" s="43"/>
      <c r="K1153" s="72">
        <v>12.0</v>
      </c>
      <c r="L1153" s="53" t="s">
        <v>62</v>
      </c>
      <c r="M1153" s="73">
        <v>21500.0</v>
      </c>
      <c r="N1153" s="74"/>
      <c r="O1153" s="73">
        <v>258000.0</v>
      </c>
      <c r="P1153" s="46" t="str">
        <f t="shared" si="2"/>
        <v>Rp21,500-12 LSN-0.00%</v>
      </c>
      <c r="Q1153" s="75">
        <v>45412.0</v>
      </c>
      <c r="R1153" s="76"/>
      <c r="S1153" s="75">
        <v>45420.0</v>
      </c>
      <c r="T1153" s="49"/>
    </row>
    <row r="1154">
      <c r="A1154" s="82">
        <v>4426.0</v>
      </c>
      <c r="B1154" s="69" t="s">
        <v>29</v>
      </c>
      <c r="C1154" s="70" t="s">
        <v>1457</v>
      </c>
      <c r="D1154" s="69" t="s">
        <v>421</v>
      </c>
      <c r="E1154" s="41" t="str">
        <f>IFERROR(__xludf.DUMMYFUNCTION("vlookup(D1154,IMPORTRANGE(""https://docs.google.com/spreadsheets/d/1swGwZOEqYlTEUCJLY-eeJM1911Kvaei5oySBIxdgtNo/edit?pli=1#gid=257618397"",""stock untanna!B:C""),2,false)"),"BP GEL ZUI ZHUA HY-1020 BIRU")</f>
        <v>BP GEL ZUI ZHUA HY-1020 BIRU</v>
      </c>
      <c r="F1154" s="70" t="s">
        <v>421</v>
      </c>
      <c r="G1154" s="71" t="s">
        <v>422</v>
      </c>
      <c r="H1154" s="41"/>
      <c r="I1154" s="42"/>
      <c r="J1154" s="43"/>
      <c r="K1154" s="72">
        <v>6.0</v>
      </c>
      <c r="L1154" s="53" t="s">
        <v>62</v>
      </c>
      <c r="M1154" s="73">
        <v>21500.0</v>
      </c>
      <c r="N1154" s="74"/>
      <c r="O1154" s="73">
        <v>129000.0</v>
      </c>
      <c r="P1154" s="46" t="str">
        <f t="shared" si="2"/>
        <v>Rp21,500-6 LSN-0.00%</v>
      </c>
      <c r="Q1154" s="75">
        <v>45412.0</v>
      </c>
      <c r="R1154" s="76"/>
      <c r="S1154" s="75">
        <v>45420.0</v>
      </c>
      <c r="T1154" s="49"/>
    </row>
    <row r="1155">
      <c r="A1155" s="82">
        <v>4426.0</v>
      </c>
      <c r="B1155" s="69" t="s">
        <v>29</v>
      </c>
      <c r="C1155" s="70" t="s">
        <v>1457</v>
      </c>
      <c r="D1155" s="69" t="s">
        <v>423</v>
      </c>
      <c r="E1155" s="41" t="str">
        <f>IFERROR(__xludf.DUMMYFUNCTION("vlookup(D1155,IMPORTRANGE(""https://docs.google.com/spreadsheets/d/1swGwZOEqYlTEUCJLY-eeJM1911Kvaei5oySBIxdgtNo/edit?pli=1#gid=257618397"",""stock untanna!B:C""),2,false)"),"BP GEL ZUI XUA HY-1020 MERAH")</f>
        <v>BP GEL ZUI XUA HY-1020 MERAH</v>
      </c>
      <c r="F1155" s="70" t="s">
        <v>423</v>
      </c>
      <c r="G1155" s="71" t="s">
        <v>424</v>
      </c>
      <c r="H1155" s="41"/>
      <c r="I1155" s="42"/>
      <c r="J1155" s="43"/>
      <c r="K1155" s="72">
        <v>6.0</v>
      </c>
      <c r="L1155" s="53" t="s">
        <v>62</v>
      </c>
      <c r="M1155" s="73">
        <v>21500.0</v>
      </c>
      <c r="N1155" s="74"/>
      <c r="O1155" s="73">
        <v>129000.0</v>
      </c>
      <c r="P1155" s="46" t="str">
        <f t="shared" si="2"/>
        <v>Rp21,500-6 LSN-0.00%</v>
      </c>
      <c r="Q1155" s="75">
        <v>45412.0</v>
      </c>
      <c r="R1155" s="76"/>
      <c r="S1155" s="75">
        <v>45420.0</v>
      </c>
      <c r="T1155" s="49"/>
    </row>
    <row r="1156">
      <c r="A1156" s="82">
        <v>4426.0</v>
      </c>
      <c r="B1156" s="69" t="s">
        <v>29</v>
      </c>
      <c r="C1156" s="70" t="s">
        <v>1457</v>
      </c>
      <c r="D1156" s="69"/>
      <c r="E1156" s="41" t="s">
        <v>1641</v>
      </c>
      <c r="F1156" s="70"/>
      <c r="G1156" s="71" t="s">
        <v>1641</v>
      </c>
      <c r="H1156" s="41"/>
      <c r="I1156" s="42"/>
      <c r="J1156" s="43"/>
      <c r="K1156" s="72">
        <v>2.0</v>
      </c>
      <c r="L1156" s="53" t="s">
        <v>62</v>
      </c>
      <c r="M1156" s="73">
        <v>210000.0</v>
      </c>
      <c r="N1156" s="74"/>
      <c r="O1156" s="73">
        <v>420000.0</v>
      </c>
      <c r="P1156" s="46" t="str">
        <f t="shared" si="2"/>
        <v>Rp210,000-2 LSN-0.00%</v>
      </c>
      <c r="Q1156" s="75">
        <v>45412.0</v>
      </c>
      <c r="R1156" s="76"/>
      <c r="S1156" s="75">
        <v>45420.0</v>
      </c>
      <c r="T1156" s="49"/>
    </row>
    <row r="1157">
      <c r="A1157" s="82">
        <v>4426.0</v>
      </c>
      <c r="B1157" s="69" t="s">
        <v>29</v>
      </c>
      <c r="C1157" s="70" t="s">
        <v>1457</v>
      </c>
      <c r="D1157" s="69" t="s">
        <v>736</v>
      </c>
      <c r="E1157" s="41" t="str">
        <f>IFERROR(__xludf.DUMMYFUNCTION("vlookup(D1157,IMPORTRANGE(""https://docs.google.com/spreadsheets/d/1swGwZOEqYlTEUCJLY-eeJM1911Kvaei5oySBIxdgtNo/edit?pli=1#gid=257618397"",""stock untanna!B:C""),2,false)"),"PENSIL KAYAGI 2B PF3050")</f>
        <v>PENSIL KAYAGI 2B PF3050</v>
      </c>
      <c r="F1157" s="70" t="s">
        <v>736</v>
      </c>
      <c r="G1157" s="71" t="s">
        <v>737</v>
      </c>
      <c r="H1157" s="41"/>
      <c r="I1157" s="42"/>
      <c r="J1157" s="43"/>
      <c r="K1157" s="72">
        <v>1.0</v>
      </c>
      <c r="L1157" s="53" t="s">
        <v>131</v>
      </c>
      <c r="M1157" s="73">
        <v>145000.0</v>
      </c>
      <c r="N1157" s="74"/>
      <c r="O1157" s="73">
        <v>145000.0</v>
      </c>
      <c r="P1157" s="46" t="str">
        <f t="shared" si="2"/>
        <v>Rp145,000-1 GRS-0.00%</v>
      </c>
      <c r="Q1157" s="75">
        <v>45412.0</v>
      </c>
      <c r="R1157" s="76"/>
      <c r="S1157" s="75">
        <v>45420.0</v>
      </c>
      <c r="T1157" s="49"/>
    </row>
    <row r="1158">
      <c r="A1158" s="82">
        <v>4426.0</v>
      </c>
      <c r="B1158" s="69" t="s">
        <v>29</v>
      </c>
      <c r="C1158" s="70" t="s">
        <v>1457</v>
      </c>
      <c r="D1158" s="69"/>
      <c r="E1158" s="41" t="s">
        <v>1642</v>
      </c>
      <c r="F1158" s="70"/>
      <c r="G1158" s="71" t="s">
        <v>1642</v>
      </c>
      <c r="H1158" s="41"/>
      <c r="I1158" s="42"/>
      <c r="J1158" s="43"/>
      <c r="K1158" s="72">
        <v>1.0</v>
      </c>
      <c r="L1158" s="53" t="s">
        <v>131</v>
      </c>
      <c r="M1158" s="73">
        <v>145000.0</v>
      </c>
      <c r="N1158" s="74"/>
      <c r="O1158" s="73">
        <v>145000.0</v>
      </c>
      <c r="P1158" s="46" t="str">
        <f t="shared" si="2"/>
        <v>Rp145,000-1 GRS-0.00%</v>
      </c>
      <c r="Q1158" s="75">
        <v>45412.0</v>
      </c>
      <c r="R1158" s="76"/>
      <c r="S1158" s="75">
        <v>45420.0</v>
      </c>
      <c r="T1158" s="49"/>
    </row>
    <row r="1159">
      <c r="A1159" s="82">
        <v>4426.0</v>
      </c>
      <c r="B1159" s="69" t="s">
        <v>29</v>
      </c>
      <c r="C1159" s="70" t="s">
        <v>1457</v>
      </c>
      <c r="D1159" s="50" t="s">
        <v>1643</v>
      </c>
      <c r="E1159" s="41" t="str">
        <f>IFERROR(__xludf.DUMMYFUNCTION("IFNA(vlookup(D1159,IMPORTRANGE(""https://docs.google.com/spreadsheets/d/1swGwZOEqYlTEUCJLY-eeJM1911Kvaei5oySBIxdgtNo/edit?pli=1#gid=257618397"",""stock untanna!B:C""),2,false),V:V)"),"BP 7054")</f>
        <v>BP 7054</v>
      </c>
      <c r="F1159" s="70"/>
      <c r="G1159" s="71" t="s">
        <v>1644</v>
      </c>
      <c r="H1159" s="41"/>
      <c r="I1159" s="42"/>
      <c r="J1159" s="85" t="s">
        <v>1319</v>
      </c>
      <c r="K1159" s="72">
        <v>2.0</v>
      </c>
      <c r="L1159" s="53" t="s">
        <v>62</v>
      </c>
      <c r="M1159" s="73">
        <v>20000.0</v>
      </c>
      <c r="N1159" s="74"/>
      <c r="O1159" s="73">
        <v>40000.0</v>
      </c>
      <c r="P1159" s="46" t="str">
        <f t="shared" si="2"/>
        <v>Rp20,000-2 LSN-0.00%</v>
      </c>
      <c r="Q1159" s="75">
        <v>45412.0</v>
      </c>
      <c r="R1159" s="76"/>
      <c r="S1159" s="75">
        <v>45420.0</v>
      </c>
      <c r="T1159" s="80" t="s">
        <v>280</v>
      </c>
    </row>
    <row r="1160">
      <c r="A1160" s="82">
        <v>4427.0</v>
      </c>
      <c r="B1160" s="69" t="s">
        <v>29</v>
      </c>
      <c r="C1160" s="70" t="s">
        <v>1457</v>
      </c>
      <c r="D1160" s="69" t="s">
        <v>951</v>
      </c>
      <c r="E1160" s="41" t="str">
        <f>IFERROR(__xludf.DUMMYFUNCTION("vlookup(D1160,IMPORTRANGE(""https://docs.google.com/spreadsheets/d/1swGwZOEqYlTEUCJLY-eeJM1911Kvaei5oySBIxdgtNo/edit?pli=1#gid=257618397"",""stock untanna!B:C""),2,false)"),"BP D TIAN 108")</f>
        <v>BP D TIAN 108</v>
      </c>
      <c r="F1160" s="70" t="s">
        <v>951</v>
      </c>
      <c r="G1160" s="71" t="s">
        <v>952</v>
      </c>
      <c r="H1160" s="41"/>
      <c r="I1160" s="42"/>
      <c r="J1160" s="43"/>
      <c r="K1160" s="72">
        <v>4.0</v>
      </c>
      <c r="L1160" s="53" t="s">
        <v>62</v>
      </c>
      <c r="M1160" s="73">
        <v>22500.0</v>
      </c>
      <c r="N1160" s="74"/>
      <c r="O1160" s="73">
        <v>90000.0</v>
      </c>
      <c r="P1160" s="46" t="str">
        <f t="shared" si="2"/>
        <v>Rp22,500-4 LSN-0.00%</v>
      </c>
      <c r="Q1160" s="75">
        <v>45412.0</v>
      </c>
      <c r="R1160" s="76"/>
      <c r="S1160" s="75">
        <v>45420.0</v>
      </c>
      <c r="T1160" s="49"/>
    </row>
    <row r="1161">
      <c r="A1161" s="82">
        <v>4427.0</v>
      </c>
      <c r="B1161" s="69" t="s">
        <v>29</v>
      </c>
      <c r="C1161" s="70" t="s">
        <v>1457</v>
      </c>
      <c r="D1161" s="69"/>
      <c r="E1161" s="41" t="s">
        <v>1645</v>
      </c>
      <c r="F1161" s="70"/>
      <c r="G1161" s="71" t="s">
        <v>1645</v>
      </c>
      <c r="H1161" s="41"/>
      <c r="I1161" s="42"/>
      <c r="J1161" s="43"/>
      <c r="K1161" s="72">
        <v>2.0</v>
      </c>
      <c r="L1161" s="53" t="s">
        <v>62</v>
      </c>
      <c r="M1161" s="73">
        <v>22500.0</v>
      </c>
      <c r="N1161" s="74"/>
      <c r="O1161" s="73">
        <v>45000.0</v>
      </c>
      <c r="P1161" s="46" t="str">
        <f t="shared" si="2"/>
        <v>Rp22,500-2 LSN-0.00%</v>
      </c>
      <c r="Q1161" s="75">
        <v>45412.0</v>
      </c>
      <c r="R1161" s="76"/>
      <c r="S1161" s="75">
        <v>45420.0</v>
      </c>
      <c r="T1161" s="49"/>
    </row>
    <row r="1162">
      <c r="A1162" s="82">
        <v>4427.0</v>
      </c>
      <c r="B1162" s="69" t="s">
        <v>29</v>
      </c>
      <c r="C1162" s="70" t="s">
        <v>1457</v>
      </c>
      <c r="D1162" s="69" t="s">
        <v>1646</v>
      </c>
      <c r="E1162" s="41" t="str">
        <f>IFERROR(__xludf.DUMMYFUNCTION("vlookup(D1162,IMPORTRANGE(""https://docs.google.com/spreadsheets/d/1swGwZOEqYlTEUCJLY-eeJM1911Kvaei5oySBIxdgtNo/edit?pli=1#gid=257618397"",""stock untanna!B:C""),2,false)"),"BP D TIAN 1015")</f>
        <v>BP D TIAN 1015</v>
      </c>
      <c r="F1162" s="70" t="s">
        <v>1646</v>
      </c>
      <c r="G1162" s="71" t="s">
        <v>1647</v>
      </c>
      <c r="H1162" s="41"/>
      <c r="I1162" s="42"/>
      <c r="J1162" s="43"/>
      <c r="K1162" s="72">
        <v>2.0</v>
      </c>
      <c r="L1162" s="53" t="s">
        <v>62</v>
      </c>
      <c r="M1162" s="73">
        <v>19500.0</v>
      </c>
      <c r="N1162" s="74"/>
      <c r="O1162" s="73">
        <v>39000.0</v>
      </c>
      <c r="P1162" s="46" t="str">
        <f t="shared" si="2"/>
        <v>Rp19,500-2 LSN-0.00%</v>
      </c>
      <c r="Q1162" s="75">
        <v>45412.0</v>
      </c>
      <c r="R1162" s="76"/>
      <c r="S1162" s="75">
        <v>45420.0</v>
      </c>
      <c r="T1162" s="49"/>
    </row>
    <row r="1163">
      <c r="A1163" s="82">
        <v>4427.0</v>
      </c>
      <c r="B1163" s="69" t="s">
        <v>29</v>
      </c>
      <c r="C1163" s="70" t="s">
        <v>1457</v>
      </c>
      <c r="D1163" s="69" t="s">
        <v>1648</v>
      </c>
      <c r="E1163" s="41" t="str">
        <f>IFERROR(__xludf.DUMMYFUNCTION("vlookup(D1163,IMPORTRANGE(""https://docs.google.com/spreadsheets/d/1swGwZOEqYlTEUCJLY-eeJM1911Kvaei5oySBIxdgtNo/edit?pli=1#gid=257618397"",""stock untanna!B:C""),2,false)"),"BP GEL DTIAN DT-222")</f>
        <v>BP GEL DTIAN DT-222</v>
      </c>
      <c r="F1163" s="70" t="s">
        <v>1648</v>
      </c>
      <c r="G1163" s="71" t="s">
        <v>1649</v>
      </c>
      <c r="H1163" s="41"/>
      <c r="I1163" s="42"/>
      <c r="J1163" s="43"/>
      <c r="K1163" s="72">
        <v>2.0</v>
      </c>
      <c r="L1163" s="53" t="s">
        <v>62</v>
      </c>
      <c r="M1163" s="73">
        <v>27000.0</v>
      </c>
      <c r="N1163" s="74"/>
      <c r="O1163" s="73">
        <v>54000.0</v>
      </c>
      <c r="P1163" s="46" t="str">
        <f t="shared" si="2"/>
        <v>Rp27,000-2 LSN-0.00%</v>
      </c>
      <c r="Q1163" s="75">
        <v>45412.0</v>
      </c>
      <c r="R1163" s="76"/>
      <c r="S1163" s="75">
        <v>45420.0</v>
      </c>
      <c r="T1163" s="49"/>
    </row>
    <row r="1164">
      <c r="A1164" s="82">
        <v>4427.0</v>
      </c>
      <c r="B1164" s="69" t="s">
        <v>29</v>
      </c>
      <c r="C1164" s="70" t="s">
        <v>1457</v>
      </c>
      <c r="D1164" s="69" t="s">
        <v>1650</v>
      </c>
      <c r="E1164" s="41" t="str">
        <f>IFERROR(__xludf.DUMMYFUNCTION("vlookup(D1164,IMPORTRANGE(""https://docs.google.com/spreadsheets/d/1swGwZOEqYlTEUCJLY-eeJM1911Kvaei5oySBIxdgtNo/edit?pli=1#gid=257618397"",""stock untanna!B:C""),2,false)"),"BP GEL DTIAN DT-227")</f>
        <v>BP GEL DTIAN DT-227</v>
      </c>
      <c r="F1164" s="70" t="s">
        <v>1650</v>
      </c>
      <c r="G1164" s="71" t="s">
        <v>1651</v>
      </c>
      <c r="H1164" s="41"/>
      <c r="I1164" s="42"/>
      <c r="J1164" s="43"/>
      <c r="K1164" s="72">
        <v>2.0</v>
      </c>
      <c r="L1164" s="53" t="s">
        <v>62</v>
      </c>
      <c r="M1164" s="73">
        <v>27000.0</v>
      </c>
      <c r="N1164" s="74"/>
      <c r="O1164" s="73">
        <v>54000.0</v>
      </c>
      <c r="P1164" s="46" t="str">
        <f t="shared" si="2"/>
        <v>Rp27,000-2 LSN-0.00%</v>
      </c>
      <c r="Q1164" s="75">
        <v>45412.0</v>
      </c>
      <c r="R1164" s="76"/>
      <c r="S1164" s="75">
        <v>45420.0</v>
      </c>
      <c r="T1164" s="49"/>
    </row>
    <row r="1165">
      <c r="A1165" s="82">
        <v>4427.0</v>
      </c>
      <c r="B1165" s="69" t="s">
        <v>29</v>
      </c>
      <c r="C1165" s="70" t="s">
        <v>1457</v>
      </c>
      <c r="D1165" s="69"/>
      <c r="E1165" s="41" t="s">
        <v>1652</v>
      </c>
      <c r="F1165" s="70"/>
      <c r="G1165" s="71" t="s">
        <v>1652</v>
      </c>
      <c r="H1165" s="41"/>
      <c r="I1165" s="42"/>
      <c r="J1165" s="43"/>
      <c r="K1165" s="72">
        <v>2.0</v>
      </c>
      <c r="L1165" s="53" t="s">
        <v>62</v>
      </c>
      <c r="M1165" s="73">
        <v>22500.0</v>
      </c>
      <c r="N1165" s="74"/>
      <c r="O1165" s="73">
        <v>45000.0</v>
      </c>
      <c r="P1165" s="46" t="str">
        <f t="shared" si="2"/>
        <v>Rp22,500-2 LSN-0.00%</v>
      </c>
      <c r="Q1165" s="75">
        <v>45412.0</v>
      </c>
      <c r="R1165" s="76"/>
      <c r="S1165" s="75">
        <v>45420.0</v>
      </c>
      <c r="T1165" s="49"/>
    </row>
    <row r="1166">
      <c r="A1166" s="82">
        <v>4427.0</v>
      </c>
      <c r="B1166" s="69" t="s">
        <v>29</v>
      </c>
      <c r="C1166" s="70" t="s">
        <v>1457</v>
      </c>
      <c r="D1166" s="69" t="s">
        <v>487</v>
      </c>
      <c r="E1166" s="41" t="str">
        <f>IFERROR(__xludf.DUMMYFUNCTION("vlookup(D1166,IMPORTRANGE(""https://docs.google.com/spreadsheets/d/1swGwZOEqYlTEUCJLY-eeJM1911Kvaei5oySBIxdgtNo/edit?pli=1#gid=257618397"",""stock untanna!B:C""),2,false)"),"BP GEL DTIAN DT-835 + STIP")</f>
        <v>BP GEL DTIAN DT-835 + STIP</v>
      </c>
      <c r="F1166" s="70" t="s">
        <v>487</v>
      </c>
      <c r="G1166" s="71" t="s">
        <v>488</v>
      </c>
      <c r="H1166" s="41"/>
      <c r="I1166" s="42"/>
      <c r="J1166" s="43"/>
      <c r="K1166" s="72">
        <v>2.0</v>
      </c>
      <c r="L1166" s="53" t="s">
        <v>62</v>
      </c>
      <c r="M1166" s="73">
        <v>27500.0</v>
      </c>
      <c r="N1166" s="74"/>
      <c r="O1166" s="73">
        <v>55000.0</v>
      </c>
      <c r="P1166" s="46" t="str">
        <f t="shared" si="2"/>
        <v>Rp27,500-2 LSN-0.00%</v>
      </c>
      <c r="Q1166" s="75">
        <v>45412.0</v>
      </c>
      <c r="R1166" s="76"/>
      <c r="S1166" s="75">
        <v>45420.0</v>
      </c>
      <c r="T1166" s="49"/>
    </row>
    <row r="1167">
      <c r="A1167" s="82">
        <v>4427.0</v>
      </c>
      <c r="B1167" s="69" t="s">
        <v>29</v>
      </c>
      <c r="C1167" s="70" t="s">
        <v>1457</v>
      </c>
      <c r="D1167" s="69" t="s">
        <v>1653</v>
      </c>
      <c r="E1167" s="41" t="str">
        <f>IFERROR(__xludf.DUMMYFUNCTION("vlookup(D1167,IMPORTRANGE(""https://docs.google.com/spreadsheets/d/1swGwZOEqYlTEUCJLY-eeJM1911Kvaei5oySBIxdgtNo/edit?pli=1#gid=257618397"",""stock untanna!B:C""),2,false)"),"PW 12W PANJANG KOALA")</f>
        <v>PW 12W PANJANG KOALA</v>
      </c>
      <c r="F1167" s="70" t="s">
        <v>1653</v>
      </c>
      <c r="G1167" s="71" t="s">
        <v>1654</v>
      </c>
      <c r="H1167" s="41"/>
      <c r="I1167" s="42"/>
      <c r="J1167" s="43"/>
      <c r="K1167" s="72">
        <v>1.0</v>
      </c>
      <c r="L1167" s="53" t="s">
        <v>62</v>
      </c>
      <c r="M1167" s="73">
        <v>136500.0</v>
      </c>
      <c r="N1167" s="74"/>
      <c r="O1167" s="73">
        <v>136500.0</v>
      </c>
      <c r="P1167" s="46" t="str">
        <f t="shared" si="2"/>
        <v>Rp136,500-1 LSN-0.00%</v>
      </c>
      <c r="Q1167" s="75">
        <v>45412.0</v>
      </c>
      <c r="R1167" s="76"/>
      <c r="S1167" s="75">
        <v>45420.0</v>
      </c>
      <c r="T1167" s="49"/>
    </row>
    <row r="1168">
      <c r="A1168" s="82">
        <v>4427.0</v>
      </c>
      <c r="B1168" s="69" t="s">
        <v>29</v>
      </c>
      <c r="C1168" s="70" t="s">
        <v>1457</v>
      </c>
      <c r="D1168" s="69"/>
      <c r="E1168" s="41" t="s">
        <v>1655</v>
      </c>
      <c r="F1168" s="70"/>
      <c r="G1168" s="71" t="s">
        <v>1655</v>
      </c>
      <c r="H1168" s="41"/>
      <c r="I1168" s="42"/>
      <c r="J1168" s="43"/>
      <c r="K1168" s="72">
        <v>1.0</v>
      </c>
      <c r="L1168" s="53" t="s">
        <v>131</v>
      </c>
      <c r="M1168" s="73">
        <v>145000.0</v>
      </c>
      <c r="N1168" s="74"/>
      <c r="O1168" s="73">
        <v>145000.0</v>
      </c>
      <c r="P1168" s="46" t="str">
        <f t="shared" si="2"/>
        <v>Rp145,000-1 GRS-0.00%</v>
      </c>
      <c r="Q1168" s="75">
        <v>45412.0</v>
      </c>
      <c r="R1168" s="76"/>
      <c r="S1168" s="75">
        <v>45420.0</v>
      </c>
      <c r="T1168" s="49"/>
    </row>
    <row r="1169">
      <c r="A1169" s="82">
        <v>4427.0</v>
      </c>
      <c r="B1169" s="69" t="s">
        <v>29</v>
      </c>
      <c r="C1169" s="70" t="s">
        <v>1457</v>
      </c>
      <c r="D1169" s="69" t="s">
        <v>1656</v>
      </c>
      <c r="E1169" s="41" t="str">
        <f>IFERROR(__xludf.DUMMYFUNCTION("vlookup(D1169,IMPORTRANGE(""https://docs.google.com/spreadsheets/d/1swGwZOEqYlTEUCJLY-eeJM1911Kvaei5oySBIxdgtNo/edit?pli=1#gid=257618397"",""stock untanna!B:C""),2,false)"),"PENSIL 2B KAYAGI 3041")</f>
        <v>PENSIL 2B KAYAGI 3041</v>
      </c>
      <c r="F1169" s="70" t="s">
        <v>1656</v>
      </c>
      <c r="G1169" s="71" t="s">
        <v>1657</v>
      </c>
      <c r="H1169" s="41"/>
      <c r="I1169" s="42"/>
      <c r="J1169" s="43"/>
      <c r="K1169" s="72">
        <v>1.0</v>
      </c>
      <c r="L1169" s="53" t="s">
        <v>131</v>
      </c>
      <c r="M1169" s="73">
        <v>145000.0</v>
      </c>
      <c r="N1169" s="74"/>
      <c r="O1169" s="73">
        <v>145000.0</v>
      </c>
      <c r="P1169" s="46" t="str">
        <f t="shared" si="2"/>
        <v>Rp145,000-1 GRS-0.00%</v>
      </c>
      <c r="Q1169" s="75">
        <v>45412.0</v>
      </c>
      <c r="R1169" s="76"/>
      <c r="S1169" s="75">
        <v>45420.0</v>
      </c>
      <c r="T1169" s="49"/>
    </row>
    <row r="1170">
      <c r="A1170" s="82">
        <v>4427.0</v>
      </c>
      <c r="B1170" s="69" t="s">
        <v>29</v>
      </c>
      <c r="C1170" s="70" t="s">
        <v>1457</v>
      </c>
      <c r="D1170" s="69" t="s">
        <v>132</v>
      </c>
      <c r="E1170" s="41" t="str">
        <f>IFERROR(__xludf.DUMMYFUNCTION("vlookup(D1170,IMPORTRANGE(""https://docs.google.com/spreadsheets/d/1swGwZOEqYlTEUCJLY-eeJM1911Kvaei5oySBIxdgtNo/edit?pli=1#gid=257618397"",""stock untanna!B:C""),2,false)"),"PENSIL TF 488")</f>
        <v>PENSIL TF 488</v>
      </c>
      <c r="F1170" s="70" t="s">
        <v>132</v>
      </c>
      <c r="G1170" s="71" t="s">
        <v>133</v>
      </c>
      <c r="H1170" s="41"/>
      <c r="I1170" s="42"/>
      <c r="J1170" s="43"/>
      <c r="K1170" s="72">
        <v>1.0</v>
      </c>
      <c r="L1170" s="53" t="s">
        <v>131</v>
      </c>
      <c r="M1170" s="73">
        <v>147000.0</v>
      </c>
      <c r="N1170" s="74"/>
      <c r="O1170" s="73">
        <v>147000.0</v>
      </c>
      <c r="P1170" s="46" t="str">
        <f t="shared" si="2"/>
        <v>Rp147,000-1 GRS-0.00%</v>
      </c>
      <c r="Q1170" s="75">
        <v>45412.0</v>
      </c>
      <c r="R1170" s="76"/>
      <c r="S1170" s="75">
        <v>45420.0</v>
      </c>
      <c r="T1170" s="49"/>
    </row>
    <row r="1171">
      <c r="A1171" s="82">
        <v>4427.0</v>
      </c>
      <c r="B1171" s="69" t="s">
        <v>29</v>
      </c>
      <c r="C1171" s="70" t="s">
        <v>1457</v>
      </c>
      <c r="D1171" s="21" t="s">
        <v>1658</v>
      </c>
      <c r="E1171" s="41" t="str">
        <f>IFERROR(__xludf.DUMMYFUNCTION("IFNA(vlookup(D1171,IMPORTRANGE(""https://docs.google.com/spreadsheets/d/1swGwZOEqYlTEUCJLY-eeJM1911Kvaei5oySBIxdgtNo/edit?pli=1#gid=257618397"",""stock untanna!B:C""),2,false),V:V)"),"PENSIL DW9022-12")</f>
        <v>PENSIL DW9022-12</v>
      </c>
      <c r="F1171" s="70"/>
      <c r="G1171" s="71" t="s">
        <v>1659</v>
      </c>
      <c r="H1171" s="41"/>
      <c r="I1171" s="42"/>
      <c r="J1171" s="43" t="str">
        <f t="shared" ref="J1171:J1173" si="3">IF(D1171="","TIDAK ADA","ADA")</f>
        <v>ADA</v>
      </c>
      <c r="K1171" s="72">
        <v>1.0</v>
      </c>
      <c r="L1171" s="53" t="s">
        <v>62</v>
      </c>
      <c r="M1171" s="73">
        <v>135000.0</v>
      </c>
      <c r="N1171" s="74"/>
      <c r="O1171" s="73">
        <v>135000.0</v>
      </c>
      <c r="P1171" s="46" t="str">
        <f t="shared" si="2"/>
        <v>Rp135,000-1 LSN-0.00%</v>
      </c>
      <c r="Q1171" s="75">
        <v>45412.0</v>
      </c>
      <c r="R1171" s="76"/>
      <c r="S1171" s="75">
        <v>45420.0</v>
      </c>
      <c r="T1171" s="80" t="s">
        <v>280</v>
      </c>
    </row>
    <row r="1172">
      <c r="A1172" s="82">
        <v>4427.0</v>
      </c>
      <c r="B1172" s="69" t="s">
        <v>29</v>
      </c>
      <c r="C1172" s="70" t="s">
        <v>1457</v>
      </c>
      <c r="D1172" s="50" t="s">
        <v>1660</v>
      </c>
      <c r="E1172" s="41" t="str">
        <f>IFERROR(__xludf.DUMMYFUNCTION("IFNA(vlookup(D1172,IMPORTRANGE(""https://docs.google.com/spreadsheets/d/1swGwZOEqYlTEUCJLY-eeJM1911Kvaei5oySBIxdgtNo/edit?pli=1#gid=257618397"",""stock untanna!B:C""),2,false),V:V)"),"PENSIL DW9019-12")</f>
        <v>PENSIL DW9019-12</v>
      </c>
      <c r="F1172" s="70"/>
      <c r="G1172" s="71" t="s">
        <v>1661</v>
      </c>
      <c r="H1172" s="41"/>
      <c r="I1172" s="42"/>
      <c r="J1172" s="43" t="str">
        <f t="shared" si="3"/>
        <v>ADA</v>
      </c>
      <c r="K1172" s="72">
        <v>1.0</v>
      </c>
      <c r="L1172" s="53" t="s">
        <v>62</v>
      </c>
      <c r="M1172" s="73">
        <v>135000.0</v>
      </c>
      <c r="N1172" s="74"/>
      <c r="O1172" s="73">
        <v>135000.0</v>
      </c>
      <c r="P1172" s="46" t="str">
        <f t="shared" si="2"/>
        <v>Rp135,000-1 LSN-0.00%</v>
      </c>
      <c r="Q1172" s="75">
        <v>45412.0</v>
      </c>
      <c r="R1172" s="76"/>
      <c r="S1172" s="75">
        <v>45420.0</v>
      </c>
      <c r="T1172" s="80" t="s">
        <v>280</v>
      </c>
    </row>
    <row r="1173">
      <c r="A1173" s="82">
        <v>4427.0</v>
      </c>
      <c r="B1173" s="69" t="s">
        <v>29</v>
      </c>
      <c r="C1173" s="70" t="s">
        <v>1457</v>
      </c>
      <c r="D1173" s="50" t="s">
        <v>1662</v>
      </c>
      <c r="E1173" s="41" t="str">
        <f>IFERROR(__xludf.DUMMYFUNCTION("IFNA(vlookup(D1173,IMPORTRANGE(""https://docs.google.com/spreadsheets/d/1swGwZOEqYlTEUCJLY-eeJM1911Kvaei5oySBIxdgtNo/edit?pli=1#gid=257618397"",""stock untanna!B:C""),2,false),V:V)"),"PENSIL 8891-12")</f>
        <v>PENSIL 8891-12</v>
      </c>
      <c r="F1173" s="70"/>
      <c r="G1173" s="71" t="s">
        <v>1663</v>
      </c>
      <c r="H1173" s="41"/>
      <c r="I1173" s="42"/>
      <c r="J1173" s="43" t="str">
        <f t="shared" si="3"/>
        <v>ADA</v>
      </c>
      <c r="K1173" s="72">
        <v>1.0</v>
      </c>
      <c r="L1173" s="53" t="s">
        <v>62</v>
      </c>
      <c r="M1173" s="73">
        <v>168000.0</v>
      </c>
      <c r="N1173" s="74"/>
      <c r="O1173" s="73">
        <v>168000.0</v>
      </c>
      <c r="P1173" s="46" t="str">
        <f t="shared" si="2"/>
        <v>Rp168,000-1 LSN-0.00%</v>
      </c>
      <c r="Q1173" s="75">
        <v>45412.0</v>
      </c>
      <c r="R1173" s="76"/>
      <c r="S1173" s="75">
        <v>45420.0</v>
      </c>
      <c r="T1173" s="80" t="s">
        <v>280</v>
      </c>
    </row>
    <row r="1174">
      <c r="A1174" s="82">
        <v>4427.0</v>
      </c>
      <c r="B1174" s="69" t="s">
        <v>29</v>
      </c>
      <c r="C1174" s="70" t="s">
        <v>1457</v>
      </c>
      <c r="D1174" s="69" t="s">
        <v>31</v>
      </c>
      <c r="E1174" s="41" t="str">
        <f>IFERROR(__xludf.DUMMYFUNCTION("vlookup(D1174,IMPORTRANGE(""https://docs.google.com/spreadsheets/d/1swGwZOEqYlTEUCJLY-eeJM1911Kvaei5oySBIxdgtNo/edit?pli=1#gid=257618397"",""stock untanna!B:C""),2,false)"),"ISI STAPLER 13/8 JOSS")</f>
        <v>ISI STAPLER 13/8 JOSS</v>
      </c>
      <c r="F1174" s="70" t="s">
        <v>31</v>
      </c>
      <c r="G1174" s="71" t="s">
        <v>113</v>
      </c>
      <c r="H1174" s="41"/>
      <c r="I1174" s="42"/>
      <c r="J1174" s="43"/>
      <c r="K1174" s="72">
        <v>10.0</v>
      </c>
      <c r="L1174" s="53" t="s">
        <v>114</v>
      </c>
      <c r="M1174" s="73">
        <v>22500.0</v>
      </c>
      <c r="N1174" s="74"/>
      <c r="O1174" s="73">
        <v>225000.0</v>
      </c>
      <c r="P1174" s="46" t="str">
        <f t="shared" si="2"/>
        <v>Rp22,500-10 PAK-0.00%</v>
      </c>
      <c r="Q1174" s="75">
        <v>45412.0</v>
      </c>
      <c r="R1174" s="76"/>
      <c r="S1174" s="75">
        <v>45420.0</v>
      </c>
      <c r="T1174" s="49"/>
    </row>
    <row r="1175">
      <c r="A1175" s="82">
        <v>4427.0</v>
      </c>
      <c r="B1175" s="69" t="s">
        <v>29</v>
      </c>
      <c r="C1175" s="70" t="s">
        <v>1457</v>
      </c>
      <c r="D1175" s="69"/>
      <c r="E1175" s="41" t="s">
        <v>1664</v>
      </c>
      <c r="F1175" s="70"/>
      <c r="G1175" s="71" t="s">
        <v>1664</v>
      </c>
      <c r="H1175" s="41"/>
      <c r="I1175" s="42"/>
      <c r="J1175" s="43"/>
      <c r="K1175" s="72">
        <v>1.0</v>
      </c>
      <c r="L1175" s="53" t="s">
        <v>62</v>
      </c>
      <c r="M1175" s="73">
        <v>30000.0</v>
      </c>
      <c r="N1175" s="74"/>
      <c r="O1175" s="73">
        <v>30000.0</v>
      </c>
      <c r="P1175" s="46" t="str">
        <f t="shared" si="2"/>
        <v>Rp30,000-1 LSN-0.00%</v>
      </c>
      <c r="Q1175" s="75">
        <v>45412.0</v>
      </c>
      <c r="R1175" s="76"/>
      <c r="S1175" s="75">
        <v>45420.0</v>
      </c>
      <c r="T1175" s="49"/>
    </row>
    <row r="1176">
      <c r="A1176" s="82">
        <v>4428.0</v>
      </c>
      <c r="B1176" s="69" t="s">
        <v>29</v>
      </c>
      <c r="C1176" s="70" t="s">
        <v>1457</v>
      </c>
      <c r="D1176" s="69" t="s">
        <v>1665</v>
      </c>
      <c r="E1176" s="41" t="str">
        <f>IFERROR(__xludf.DUMMYFUNCTION("vlookup(D1176,IMPORTRANGE(""https://docs.google.com/spreadsheets/d/1swGwZOEqYlTEUCJLY-eeJM1911Kvaei5oySBIxdgtNo/edit?pli=1#gid=257618397"",""stock untanna!B:C""),2,false)"),"BP GEL 9165")</f>
        <v>BP GEL 9165</v>
      </c>
      <c r="F1176" s="70" t="s">
        <v>1665</v>
      </c>
      <c r="G1176" s="71" t="s">
        <v>1666</v>
      </c>
      <c r="H1176" s="41"/>
      <c r="I1176" s="42"/>
      <c r="J1176" s="43"/>
      <c r="K1176" s="72">
        <v>12.0</v>
      </c>
      <c r="L1176" s="53" t="s">
        <v>69</v>
      </c>
      <c r="M1176" s="73">
        <v>2500.0</v>
      </c>
      <c r="N1176" s="74"/>
      <c r="O1176" s="73">
        <v>30000.0</v>
      </c>
      <c r="P1176" s="46" t="str">
        <f t="shared" si="2"/>
        <v>Rp2,500-12 PCS-0.00%</v>
      </c>
      <c r="Q1176" s="75">
        <v>45412.0</v>
      </c>
      <c r="R1176" s="76"/>
      <c r="S1176" s="75">
        <v>45420.0</v>
      </c>
      <c r="T1176" s="49"/>
    </row>
    <row r="1177">
      <c r="A1177" s="82">
        <v>4428.0</v>
      </c>
      <c r="B1177" s="69" t="s">
        <v>29</v>
      </c>
      <c r="C1177" s="70" t="s">
        <v>1457</v>
      </c>
      <c r="D1177" s="69" t="s">
        <v>1667</v>
      </c>
      <c r="E1177" s="41" t="str">
        <f>IFERROR(__xludf.DUMMYFUNCTION("vlookup(D1177,IMPORTRANGE(""https://docs.google.com/spreadsheets/d/1swGwZOEqYlTEUCJLY-eeJM1911Kvaei5oySBIxdgtNo/edit?pli=1#gid=257618397"",""stock untanna!B:C""),2,false)"),"BP GEL + GANTUNGAN 9173")</f>
        <v>BP GEL + GANTUNGAN 9173</v>
      </c>
      <c r="F1177" s="70" t="s">
        <v>1667</v>
      </c>
      <c r="G1177" s="71" t="s">
        <v>1668</v>
      </c>
      <c r="H1177" s="41"/>
      <c r="I1177" s="42"/>
      <c r="J1177" s="43"/>
      <c r="K1177" s="72">
        <v>1.0</v>
      </c>
      <c r="L1177" s="53" t="s">
        <v>62</v>
      </c>
      <c r="M1177" s="73">
        <v>30000.0</v>
      </c>
      <c r="N1177" s="74"/>
      <c r="O1177" s="73">
        <v>30000.0</v>
      </c>
      <c r="P1177" s="46" t="str">
        <f t="shared" si="2"/>
        <v>Rp30,000-1 LSN-0.00%</v>
      </c>
      <c r="Q1177" s="75">
        <v>45412.0</v>
      </c>
      <c r="R1177" s="76"/>
      <c r="S1177" s="75">
        <v>45420.0</v>
      </c>
      <c r="T1177" s="49"/>
    </row>
    <row r="1178">
      <c r="A1178" s="82">
        <v>4428.0</v>
      </c>
      <c r="B1178" s="69" t="s">
        <v>29</v>
      </c>
      <c r="C1178" s="70" t="s">
        <v>1457</v>
      </c>
      <c r="D1178" s="69" t="s">
        <v>1669</v>
      </c>
      <c r="E1178" s="41" t="str">
        <f>IFERROR(__xludf.DUMMYFUNCTION("vlookup(D1178,IMPORTRANGE(""https://docs.google.com/spreadsheets/d/1swGwZOEqYlTEUCJLY-eeJM1911Kvaei5oySBIxdgtNo/edit?pli=1#gid=257618397"",""stock untanna!B:C""),2,false)"),"BP GEL + GANTUNGAN 9169")</f>
        <v>BP GEL + GANTUNGAN 9169</v>
      </c>
      <c r="F1178" s="70" t="s">
        <v>1669</v>
      </c>
      <c r="G1178" s="71" t="s">
        <v>1670</v>
      </c>
      <c r="H1178" s="41"/>
      <c r="I1178" s="42"/>
      <c r="J1178" s="43"/>
      <c r="K1178" s="72">
        <v>1.0</v>
      </c>
      <c r="L1178" s="53" t="s">
        <v>62</v>
      </c>
      <c r="M1178" s="73">
        <v>30000.0</v>
      </c>
      <c r="N1178" s="74"/>
      <c r="O1178" s="73">
        <v>30000.0</v>
      </c>
      <c r="P1178" s="46" t="str">
        <f t="shared" si="2"/>
        <v>Rp30,000-1 LSN-0.00%</v>
      </c>
      <c r="Q1178" s="75">
        <v>45412.0</v>
      </c>
      <c r="R1178" s="76"/>
      <c r="S1178" s="75">
        <v>45420.0</v>
      </c>
      <c r="T1178" s="49"/>
    </row>
    <row r="1179">
      <c r="A1179" s="82">
        <v>4428.0</v>
      </c>
      <c r="B1179" s="69" t="s">
        <v>29</v>
      </c>
      <c r="C1179" s="70" t="s">
        <v>1457</v>
      </c>
      <c r="D1179" s="69" t="s">
        <v>1320</v>
      </c>
      <c r="E1179" s="41" t="str">
        <f>IFERROR(__xludf.DUMMYFUNCTION("vlookup(D1179,IMPORTRANGE(""https://docs.google.com/spreadsheets/d/1swGwZOEqYlTEUCJLY-eeJM1911Kvaei5oySBIxdgtNo/edit?pli=1#gid=257618397"",""stock untanna!B:C""),2,false)"),"BP MAINAN + GANTUNGAN 9082")</f>
        <v>BP MAINAN + GANTUNGAN 9082</v>
      </c>
      <c r="F1179" s="70" t="s">
        <v>1320</v>
      </c>
      <c r="G1179" s="71" t="s">
        <v>1321</v>
      </c>
      <c r="H1179" s="41"/>
      <c r="I1179" s="42"/>
      <c r="J1179" s="43"/>
      <c r="K1179" s="72">
        <v>1.0</v>
      </c>
      <c r="L1179" s="53" t="s">
        <v>62</v>
      </c>
      <c r="M1179" s="73">
        <v>30000.0</v>
      </c>
      <c r="N1179" s="74"/>
      <c r="O1179" s="73">
        <v>30000.0</v>
      </c>
      <c r="P1179" s="46" t="str">
        <f t="shared" si="2"/>
        <v>Rp30,000-1 LSN-0.00%</v>
      </c>
      <c r="Q1179" s="75">
        <v>45412.0</v>
      </c>
      <c r="R1179" s="76"/>
      <c r="S1179" s="75">
        <v>45420.0</v>
      </c>
      <c r="T1179" s="49"/>
    </row>
    <row r="1180">
      <c r="A1180" s="82">
        <v>4428.0</v>
      </c>
      <c r="B1180" s="69" t="s">
        <v>29</v>
      </c>
      <c r="C1180" s="70" t="s">
        <v>1457</v>
      </c>
      <c r="D1180" s="69" t="s">
        <v>1671</v>
      </c>
      <c r="E1180" s="41" t="str">
        <f>IFERROR(__xludf.DUMMYFUNCTION("vlookup(D1180,IMPORTRANGE(""https://docs.google.com/spreadsheets/d/1swGwZOEqYlTEUCJLY-eeJM1911Kvaei5oySBIxdgtNo/edit?pli=1#gid=257618397"",""stock untanna!B:C""),2,false)"),"BP GEL 9176")</f>
        <v>BP GEL 9176</v>
      </c>
      <c r="F1180" s="70" t="s">
        <v>1671</v>
      </c>
      <c r="G1180" s="71" t="s">
        <v>1672</v>
      </c>
      <c r="H1180" s="41"/>
      <c r="I1180" s="42"/>
      <c r="J1180" s="43"/>
      <c r="K1180" s="72">
        <v>12.0</v>
      </c>
      <c r="L1180" s="53" t="s">
        <v>69</v>
      </c>
      <c r="M1180" s="73">
        <v>2500.0</v>
      </c>
      <c r="N1180" s="74"/>
      <c r="O1180" s="73">
        <v>30000.0</v>
      </c>
      <c r="P1180" s="46" t="str">
        <f t="shared" si="2"/>
        <v>Rp2,500-12 PCS-0.00%</v>
      </c>
      <c r="Q1180" s="75">
        <v>45412.0</v>
      </c>
      <c r="R1180" s="76"/>
      <c r="S1180" s="75">
        <v>45420.0</v>
      </c>
      <c r="T1180" s="49"/>
    </row>
    <row r="1181">
      <c r="A1181" s="82">
        <v>4428.0</v>
      </c>
      <c r="B1181" s="69" t="s">
        <v>29</v>
      </c>
      <c r="C1181" s="70" t="s">
        <v>1457</v>
      </c>
      <c r="D1181" s="69" t="s">
        <v>456</v>
      </c>
      <c r="E1181" s="41" t="str">
        <f>IFERROR(__xludf.DUMMYFUNCTION("vlookup(D1181,IMPORTRANGE(""https://docs.google.com/spreadsheets/d/1swGwZOEqYlTEUCJLY-eeJM1911Kvaei5oySBIxdgtNo/edit?pli=1#gid=257618397"",""stock untanna!B:C""),2,false)"),"BP GEL BP-8782")</f>
        <v>BP GEL BP-8782</v>
      </c>
      <c r="F1181" s="70" t="s">
        <v>456</v>
      </c>
      <c r="G1181" s="71" t="s">
        <v>457</v>
      </c>
      <c r="H1181" s="41"/>
      <c r="I1181" s="42"/>
      <c r="J1181" s="43"/>
      <c r="K1181" s="72">
        <v>12.0</v>
      </c>
      <c r="L1181" s="53" t="s">
        <v>69</v>
      </c>
      <c r="M1181" s="73">
        <v>5000.0</v>
      </c>
      <c r="N1181" s="74"/>
      <c r="O1181" s="73">
        <v>60000.0</v>
      </c>
      <c r="P1181" s="46" t="str">
        <f t="shared" si="2"/>
        <v>Rp5,000-12 PCS-0.00%</v>
      </c>
      <c r="Q1181" s="75">
        <v>45412.0</v>
      </c>
      <c r="R1181" s="76"/>
      <c r="S1181" s="75">
        <v>45420.0</v>
      </c>
      <c r="T1181" s="49"/>
    </row>
    <row r="1182">
      <c r="A1182" s="82">
        <v>4428.0</v>
      </c>
      <c r="B1182" s="69" t="s">
        <v>29</v>
      </c>
      <c r="C1182" s="70" t="s">
        <v>1457</v>
      </c>
      <c r="D1182" s="69" t="s">
        <v>1673</v>
      </c>
      <c r="E1182" s="41" t="str">
        <f>IFERROR(__xludf.DUMMYFUNCTION("vlookup(D1182,IMPORTRANGE(""https://docs.google.com/spreadsheets/d/1swGwZOEqYlTEUCJLY-eeJM1911Kvaei5oySBIxdgtNo/edit?pli=1#gid=257618397"",""stock untanna!B:C""),2,false)"),"BP GEL A8028")</f>
        <v>BP GEL A8028</v>
      </c>
      <c r="F1182" s="70" t="s">
        <v>1673</v>
      </c>
      <c r="G1182" s="71" t="s">
        <v>1674</v>
      </c>
      <c r="H1182" s="41"/>
      <c r="I1182" s="42"/>
      <c r="J1182" s="43"/>
      <c r="K1182" s="72">
        <v>12.0</v>
      </c>
      <c r="L1182" s="53" t="s">
        <v>69</v>
      </c>
      <c r="M1182" s="73">
        <v>5000.0</v>
      </c>
      <c r="N1182" s="74"/>
      <c r="O1182" s="73">
        <v>60000.0</v>
      </c>
      <c r="P1182" s="46" t="str">
        <f t="shared" si="2"/>
        <v>Rp5,000-12 PCS-0.00%</v>
      </c>
      <c r="Q1182" s="75">
        <v>45412.0</v>
      </c>
      <c r="R1182" s="76"/>
      <c r="S1182" s="75">
        <v>45420.0</v>
      </c>
      <c r="T1182" s="49"/>
    </row>
    <row r="1183">
      <c r="A1183" s="82">
        <v>4428.0</v>
      </c>
      <c r="B1183" s="69" t="s">
        <v>29</v>
      </c>
      <c r="C1183" s="70" t="s">
        <v>1457</v>
      </c>
      <c r="D1183" s="69" t="s">
        <v>1675</v>
      </c>
      <c r="E1183" s="41" t="str">
        <f>IFERROR(__xludf.DUMMYFUNCTION("vlookup(D1183,IMPORTRANGE(""https://docs.google.com/spreadsheets/d/1swGwZOEqYlTEUCJLY-eeJM1911Kvaei5oySBIxdgtNo/edit?pli=1#gid=257618397"",""stock untanna!B:C""),2,false)"),"BP GEL BP-A8005")</f>
        <v>BP GEL BP-A8005</v>
      </c>
      <c r="F1183" s="70" t="s">
        <v>1675</v>
      </c>
      <c r="G1183" s="71" t="s">
        <v>1676</v>
      </c>
      <c r="H1183" s="41"/>
      <c r="I1183" s="42"/>
      <c r="J1183" s="43"/>
      <c r="K1183" s="72">
        <v>12.0</v>
      </c>
      <c r="L1183" s="53" t="s">
        <v>69</v>
      </c>
      <c r="M1183" s="73">
        <v>5000.0</v>
      </c>
      <c r="N1183" s="74"/>
      <c r="O1183" s="73">
        <v>60000.0</v>
      </c>
      <c r="P1183" s="46" t="str">
        <f t="shared" si="2"/>
        <v>Rp5,000-12 PCS-0.00%</v>
      </c>
      <c r="Q1183" s="75">
        <v>45412.0</v>
      </c>
      <c r="R1183" s="76"/>
      <c r="S1183" s="75">
        <v>45420.0</v>
      </c>
      <c r="T1183" s="49"/>
    </row>
    <row r="1184">
      <c r="A1184" s="82">
        <v>4428.0</v>
      </c>
      <c r="B1184" s="69" t="s">
        <v>29</v>
      </c>
      <c r="C1184" s="70" t="s">
        <v>1457</v>
      </c>
      <c r="D1184" s="69" t="s">
        <v>1677</v>
      </c>
      <c r="E1184" s="41" t="str">
        <f>IFERROR(__xludf.DUMMYFUNCTION("vlookup(D1184,IMPORTRANGE(""https://docs.google.com/spreadsheets/d/1swGwZOEqYlTEUCJLY-eeJM1911Kvaei5oySBIxdgtNo/edit?pli=1#gid=257618397"",""stock untanna!B:C""),2,false)"),"BP GEL BP-8785")</f>
        <v>BP GEL BP-8785</v>
      </c>
      <c r="F1184" s="70" t="s">
        <v>1677</v>
      </c>
      <c r="G1184" s="71" t="s">
        <v>1678</v>
      </c>
      <c r="H1184" s="41"/>
      <c r="I1184" s="42"/>
      <c r="J1184" s="43"/>
      <c r="K1184" s="72">
        <v>12.0</v>
      </c>
      <c r="L1184" s="53" t="s">
        <v>69</v>
      </c>
      <c r="M1184" s="73">
        <v>5000.0</v>
      </c>
      <c r="N1184" s="74"/>
      <c r="O1184" s="73">
        <v>60000.0</v>
      </c>
      <c r="P1184" s="46" t="str">
        <f t="shared" si="2"/>
        <v>Rp5,000-12 PCS-0.00%</v>
      </c>
      <c r="Q1184" s="75">
        <v>45412.0</v>
      </c>
      <c r="R1184" s="76"/>
      <c r="S1184" s="75">
        <v>45420.0</v>
      </c>
      <c r="T1184" s="49"/>
    </row>
    <row r="1185">
      <c r="A1185" s="82">
        <v>4428.0</v>
      </c>
      <c r="B1185" s="69" t="s">
        <v>29</v>
      </c>
      <c r="C1185" s="70" t="s">
        <v>1457</v>
      </c>
      <c r="D1185" s="69" t="s">
        <v>1679</v>
      </c>
      <c r="E1185" s="41" t="str">
        <f>IFERROR(__xludf.DUMMYFUNCTION("vlookup(D1185,IMPORTRANGE(""https://docs.google.com/spreadsheets/d/1swGwZOEqYlTEUCJLY-eeJM1911Kvaei5oySBIxdgtNo/edit?pli=1#gid=257618397"",""stock untanna!B:C""),2,false)"),"BP GEL BP-A8025")</f>
        <v>BP GEL BP-A8025</v>
      </c>
      <c r="F1185" s="70" t="s">
        <v>1679</v>
      </c>
      <c r="G1185" s="71" t="s">
        <v>1680</v>
      </c>
      <c r="H1185" s="41"/>
      <c r="I1185" s="42"/>
      <c r="J1185" s="43"/>
      <c r="K1185" s="72">
        <v>12.0</v>
      </c>
      <c r="L1185" s="53" t="s">
        <v>69</v>
      </c>
      <c r="M1185" s="73">
        <v>5000.0</v>
      </c>
      <c r="N1185" s="74"/>
      <c r="O1185" s="73">
        <v>60000.0</v>
      </c>
      <c r="P1185" s="46" t="str">
        <f t="shared" si="2"/>
        <v>Rp5,000-12 PCS-0.00%</v>
      </c>
      <c r="Q1185" s="75">
        <v>45412.0</v>
      </c>
      <c r="R1185" s="76"/>
      <c r="S1185" s="75">
        <v>45420.0</v>
      </c>
      <c r="T1185" s="49"/>
    </row>
    <row r="1186">
      <c r="A1186" s="82">
        <v>4428.0</v>
      </c>
      <c r="B1186" s="69" t="s">
        <v>29</v>
      </c>
      <c r="C1186" s="70" t="s">
        <v>1457</v>
      </c>
      <c r="D1186" s="69" t="s">
        <v>1681</v>
      </c>
      <c r="E1186" s="41" t="str">
        <f>IFERROR(__xludf.DUMMYFUNCTION("vlookup(D1186,IMPORTRANGE(""https://docs.google.com/spreadsheets/d/1swGwZOEqYlTEUCJLY-eeJM1911Kvaei5oySBIxdgtNo/edit?pli=1#gid=257618397"",""stock untanna!B:C""),2,false)"),"BP GEL A8001")</f>
        <v>BP GEL A8001</v>
      </c>
      <c r="F1186" s="70" t="s">
        <v>1681</v>
      </c>
      <c r="G1186" s="71" t="s">
        <v>1682</v>
      </c>
      <c r="H1186" s="41"/>
      <c r="I1186" s="42"/>
      <c r="J1186" s="43"/>
      <c r="K1186" s="72">
        <v>12.0</v>
      </c>
      <c r="L1186" s="53" t="s">
        <v>69</v>
      </c>
      <c r="M1186" s="73">
        <v>5000.0</v>
      </c>
      <c r="N1186" s="74"/>
      <c r="O1186" s="73">
        <v>60000.0</v>
      </c>
      <c r="P1186" s="46" t="str">
        <f t="shared" si="2"/>
        <v>Rp5,000-12 PCS-0.00%</v>
      </c>
      <c r="Q1186" s="75">
        <v>45412.0</v>
      </c>
      <c r="R1186" s="76"/>
      <c r="S1186" s="75">
        <v>45420.0</v>
      </c>
      <c r="T1186" s="49"/>
    </row>
    <row r="1187">
      <c r="A1187" s="82">
        <v>4428.0</v>
      </c>
      <c r="B1187" s="69" t="s">
        <v>29</v>
      </c>
      <c r="C1187" s="70" t="s">
        <v>1457</v>
      </c>
      <c r="D1187" s="69" t="s">
        <v>454</v>
      </c>
      <c r="E1187" s="41" t="str">
        <f>IFERROR(__xludf.DUMMYFUNCTION("vlookup(D1187,IMPORTRANGE(""https://docs.google.com/spreadsheets/d/1swGwZOEqYlTEUCJLY-eeJM1911Kvaei5oySBIxdgtNo/edit?pli=1#gid=257618397"",""stock untanna!B:C""),2,false)"),"BP GEL BP-8781")</f>
        <v>BP GEL BP-8781</v>
      </c>
      <c r="F1187" s="70" t="s">
        <v>454</v>
      </c>
      <c r="G1187" s="71" t="s">
        <v>455</v>
      </c>
      <c r="H1187" s="41"/>
      <c r="I1187" s="42"/>
      <c r="J1187" s="43"/>
      <c r="K1187" s="72">
        <v>12.0</v>
      </c>
      <c r="L1187" s="53" t="s">
        <v>69</v>
      </c>
      <c r="M1187" s="73">
        <v>5000.0</v>
      </c>
      <c r="N1187" s="74"/>
      <c r="O1187" s="73">
        <v>60000.0</v>
      </c>
      <c r="P1187" s="46" t="str">
        <f t="shared" si="2"/>
        <v>Rp5,000-12 PCS-0.00%</v>
      </c>
      <c r="Q1187" s="75">
        <v>45412.0</v>
      </c>
      <c r="R1187" s="76"/>
      <c r="S1187" s="75">
        <v>45420.0</v>
      </c>
      <c r="T1187" s="49"/>
    </row>
    <row r="1188">
      <c r="A1188" s="82">
        <v>4428.0</v>
      </c>
      <c r="B1188" s="69" t="s">
        <v>29</v>
      </c>
      <c r="C1188" s="70" t="s">
        <v>1457</v>
      </c>
      <c r="D1188" s="21" t="s">
        <v>1683</v>
      </c>
      <c r="E1188" s="41" t="str">
        <f>IFERROR(__xludf.DUMMYFUNCTION("IFNA(vlookup(D1188,IMPORTRANGE(""https://docs.google.com/spreadsheets/d/1swGwZOEqYlTEUCJLY-eeJM1911Kvaei5oySBIxdgtNo/edit?pli=1#gid=257618397"",""stock untanna!B:C""),2,false),V:V)"),"BP SPRAY GP-218")</f>
        <v>BP SPRAY GP-218</v>
      </c>
      <c r="F1188" s="70"/>
      <c r="G1188" s="71" t="s">
        <v>1684</v>
      </c>
      <c r="H1188" s="41"/>
      <c r="I1188" s="42"/>
      <c r="J1188" s="85" t="s">
        <v>1319</v>
      </c>
      <c r="K1188" s="72">
        <v>1.0</v>
      </c>
      <c r="L1188" s="53" t="s">
        <v>62</v>
      </c>
      <c r="M1188" s="73">
        <v>47500.0</v>
      </c>
      <c r="N1188" s="74"/>
      <c r="O1188" s="73">
        <v>47500.0</v>
      </c>
      <c r="P1188" s="46" t="str">
        <f t="shared" si="2"/>
        <v>Rp47,500-1 LSN-0.00%</v>
      </c>
      <c r="Q1188" s="75">
        <v>45412.0</v>
      </c>
      <c r="R1188" s="76"/>
      <c r="S1188" s="75">
        <v>45420.0</v>
      </c>
      <c r="T1188" s="80" t="s">
        <v>280</v>
      </c>
    </row>
    <row r="1189">
      <c r="A1189" s="82">
        <v>4428.0</v>
      </c>
      <c r="B1189" s="69" t="s">
        <v>29</v>
      </c>
      <c r="C1189" s="70" t="s">
        <v>1457</v>
      </c>
      <c r="D1189" s="69" t="s">
        <v>203</v>
      </c>
      <c r="E1189" s="41" t="str">
        <f>IFERROR(__xludf.DUMMYFUNCTION("vlookup(D1189,IMPORTRANGE(""https://docs.google.com/spreadsheets/d/1swGwZOEqYlTEUCJLY-eeJM1911Kvaei5oySBIxdgtNo/edit?pli=1#gid=257618397"",""stock untanna!B:C""),2,false)"),"BP HITECH JOSS GP-168 0.28MM")</f>
        <v>BP HITECH JOSS GP-168 0.28MM</v>
      </c>
      <c r="F1189" s="70" t="s">
        <v>203</v>
      </c>
      <c r="G1189" s="71" t="s">
        <v>204</v>
      </c>
      <c r="H1189" s="41"/>
      <c r="I1189" s="42"/>
      <c r="J1189" s="43"/>
      <c r="K1189" s="72">
        <v>24.0</v>
      </c>
      <c r="L1189" s="53" t="s">
        <v>62</v>
      </c>
      <c r="M1189" s="73">
        <v>45000.0</v>
      </c>
      <c r="N1189" s="74"/>
      <c r="O1189" s="73">
        <v>1080000.0</v>
      </c>
      <c r="P1189" s="46" t="str">
        <f t="shared" si="2"/>
        <v>Rp45,000-24 LSN-0.00%</v>
      </c>
      <c r="Q1189" s="75">
        <v>45412.0</v>
      </c>
      <c r="R1189" s="76"/>
      <c r="S1189" s="75">
        <v>45420.0</v>
      </c>
      <c r="T1189" s="49"/>
    </row>
    <row r="1190">
      <c r="A1190" s="82">
        <v>4428.0</v>
      </c>
      <c r="B1190" s="69" t="s">
        <v>29</v>
      </c>
      <c r="C1190" s="70" t="s">
        <v>1457</v>
      </c>
      <c r="D1190" s="69" t="s">
        <v>205</v>
      </c>
      <c r="E1190" s="41" t="str">
        <f>IFERROR(__xludf.DUMMYFUNCTION("vlookup(D1190,IMPORTRANGE(""https://docs.google.com/spreadsheets/d/1swGwZOEqYlTEUCJLY-eeJM1911Kvaei5oySBIxdgtNo/edit?pli=1#gid=257618397"",""stock untanna!B:C""),2,false)"),"BP HITECH JOSS-188 B 0.28MM BIRU")</f>
        <v>BP HITECH JOSS-188 B 0.28MM BIRU</v>
      </c>
      <c r="F1190" s="70" t="s">
        <v>205</v>
      </c>
      <c r="G1190" s="71" t="s">
        <v>206</v>
      </c>
      <c r="H1190" s="41"/>
      <c r="I1190" s="42"/>
      <c r="J1190" s="43"/>
      <c r="K1190" s="72">
        <v>12.0</v>
      </c>
      <c r="L1190" s="53" t="s">
        <v>62</v>
      </c>
      <c r="M1190" s="73">
        <v>45000.0</v>
      </c>
      <c r="N1190" s="74"/>
      <c r="O1190" s="73">
        <v>540000.0</v>
      </c>
      <c r="P1190" s="46" t="str">
        <f t="shared" si="2"/>
        <v>Rp45,000-12 LSN-0.00%</v>
      </c>
      <c r="Q1190" s="75">
        <v>45412.0</v>
      </c>
      <c r="R1190" s="76"/>
      <c r="S1190" s="75">
        <v>45420.0</v>
      </c>
      <c r="T1190" s="49"/>
    </row>
    <row r="1191">
      <c r="A1191" s="82">
        <v>4428.0</v>
      </c>
      <c r="B1191" s="69" t="s">
        <v>29</v>
      </c>
      <c r="C1191" s="70" t="s">
        <v>1457</v>
      </c>
      <c r="D1191" s="69" t="s">
        <v>207</v>
      </c>
      <c r="E1191" s="41" t="str">
        <f>IFERROR(__xludf.DUMMYFUNCTION("vlookup(D1191,IMPORTRANGE(""https://docs.google.com/spreadsheets/d/1swGwZOEqYlTEUCJLY-eeJM1911Kvaei5oySBIxdgtNo/edit?pli=1#gid=257618397"",""stock untanna!B:C""),2,false)"),"BP GEL KOALA GP-168")</f>
        <v>BP GEL KOALA GP-168</v>
      </c>
      <c r="F1191" s="70" t="s">
        <v>207</v>
      </c>
      <c r="G1191" s="71" t="s">
        <v>208</v>
      </c>
      <c r="H1191" s="41"/>
      <c r="I1191" s="42"/>
      <c r="J1191" s="43"/>
      <c r="K1191" s="72">
        <v>12.0</v>
      </c>
      <c r="L1191" s="53" t="s">
        <v>62</v>
      </c>
      <c r="M1191" s="73">
        <v>45000.0</v>
      </c>
      <c r="N1191" s="74"/>
      <c r="O1191" s="73">
        <v>540000.0</v>
      </c>
      <c r="P1191" s="46" t="str">
        <f t="shared" si="2"/>
        <v>Rp45,000-12 LSN-0.00%</v>
      </c>
      <c r="Q1191" s="75">
        <v>45412.0</v>
      </c>
      <c r="R1191" s="76"/>
      <c r="S1191" s="75">
        <v>45420.0</v>
      </c>
      <c r="T1191" s="49"/>
    </row>
    <row r="1192">
      <c r="A1192" s="82">
        <v>4429.0</v>
      </c>
      <c r="B1192" s="69" t="s">
        <v>29</v>
      </c>
      <c r="C1192" s="70" t="s">
        <v>1457</v>
      </c>
      <c r="D1192" s="69" t="s">
        <v>623</v>
      </c>
      <c r="E1192" s="41" t="str">
        <f>IFERROR(__xludf.DUMMYFUNCTION("vlookup(D1192,IMPORTRANGE(""https://docs.google.com/spreadsheets/d/1swGwZOEqYlTEUCJLY-eeJM1911Kvaei5oySBIxdgtNo/edit?pli=1#gid=257618397"",""stock untanna!B:C""),2,false)"),"BP GEL TF-1190 0.3MM HIGHTECH (H)")</f>
        <v>BP GEL TF-1190 0.3MM HIGHTECH (H)</v>
      </c>
      <c r="F1192" s="70" t="s">
        <v>623</v>
      </c>
      <c r="G1192" s="71" t="s">
        <v>624</v>
      </c>
      <c r="H1192" s="41"/>
      <c r="I1192" s="42"/>
      <c r="J1192" s="43"/>
      <c r="K1192" s="72">
        <v>12.0</v>
      </c>
      <c r="L1192" s="53" t="s">
        <v>62</v>
      </c>
      <c r="M1192" s="73">
        <v>45000.0</v>
      </c>
      <c r="N1192" s="74"/>
      <c r="O1192" s="73">
        <v>540000.0</v>
      </c>
      <c r="P1192" s="46" t="str">
        <f t="shared" si="2"/>
        <v>Rp45,000-12 LSN-0.00%</v>
      </c>
      <c r="Q1192" s="75">
        <v>45412.0</v>
      </c>
      <c r="R1192" s="76"/>
      <c r="S1192" s="75">
        <v>45420.0</v>
      </c>
      <c r="T1192" s="49"/>
    </row>
    <row r="1193">
      <c r="A1193" s="82">
        <v>4429.0</v>
      </c>
      <c r="B1193" s="69" t="s">
        <v>29</v>
      </c>
      <c r="C1193" s="70" t="s">
        <v>1457</v>
      </c>
      <c r="D1193" s="69" t="s">
        <v>201</v>
      </c>
      <c r="E1193" s="41" t="str">
        <f>IFERROR(__xludf.DUMMYFUNCTION("vlookup(D1193,IMPORTRANGE(""https://docs.google.com/spreadsheets/d/1swGwZOEqYlTEUCJLY-eeJM1911Kvaei5oySBIxdgtNo/edit?pli=1#gid=257618397"",""stock untanna!B:C""),2,false)"),"BP GEL TF-1190 0.3MM HIGHTECH (B)")</f>
        <v>BP GEL TF-1190 0.3MM HIGHTECH (B)</v>
      </c>
      <c r="F1193" s="70" t="s">
        <v>201</v>
      </c>
      <c r="G1193" s="71" t="s">
        <v>202</v>
      </c>
      <c r="H1193" s="41"/>
      <c r="I1193" s="42"/>
      <c r="J1193" s="43"/>
      <c r="K1193" s="72">
        <v>6.0</v>
      </c>
      <c r="L1193" s="53" t="s">
        <v>62</v>
      </c>
      <c r="M1193" s="73">
        <v>45000.0</v>
      </c>
      <c r="N1193" s="74"/>
      <c r="O1193" s="73">
        <v>270000.0</v>
      </c>
      <c r="P1193" s="46" t="str">
        <f t="shared" si="2"/>
        <v>Rp45,000-6 LSN-0.00%</v>
      </c>
      <c r="Q1193" s="75">
        <v>45412.0</v>
      </c>
      <c r="R1193" s="76"/>
      <c r="S1193" s="75">
        <v>45420.0</v>
      </c>
      <c r="T1193" s="49"/>
    </row>
    <row r="1194">
      <c r="A1194" s="82">
        <v>4429.0</v>
      </c>
      <c r="B1194" s="69" t="s">
        <v>29</v>
      </c>
      <c r="C1194" s="70" t="s">
        <v>1457</v>
      </c>
      <c r="D1194" s="69" t="s">
        <v>479</v>
      </c>
      <c r="E1194" s="41" t="str">
        <f>IFERROR(__xludf.DUMMYFUNCTION("vlookup(D1194,IMPORTRANGE(""https://docs.google.com/spreadsheets/d/1swGwZOEqYlTEUCJLY-eeJM1911Kvaei5oySBIxdgtNo/edit?pli=1#gid=257618397"",""stock untanna!B:C""),2,false)"),"BP GEL DTIAN A 93")</f>
        <v>BP GEL DTIAN A 93</v>
      </c>
      <c r="F1194" s="70" t="s">
        <v>479</v>
      </c>
      <c r="G1194" s="71" t="s">
        <v>480</v>
      </c>
      <c r="H1194" s="41"/>
      <c r="I1194" s="42"/>
      <c r="J1194" s="43"/>
      <c r="K1194" s="72">
        <v>12.0</v>
      </c>
      <c r="L1194" s="53" t="s">
        <v>62</v>
      </c>
      <c r="M1194" s="73">
        <v>22500.0</v>
      </c>
      <c r="N1194" s="74"/>
      <c r="O1194" s="73">
        <v>270000.0</v>
      </c>
      <c r="P1194" s="46" t="str">
        <f t="shared" si="2"/>
        <v>Rp22,500-12 LSN-0.00%</v>
      </c>
      <c r="Q1194" s="75">
        <v>45412.0</v>
      </c>
      <c r="R1194" s="76"/>
      <c r="S1194" s="75">
        <v>45420.0</v>
      </c>
      <c r="T1194" s="49"/>
    </row>
    <row r="1195">
      <c r="A1195" s="82">
        <v>4429.0</v>
      </c>
      <c r="B1195" s="69" t="s">
        <v>29</v>
      </c>
      <c r="C1195" s="70" t="s">
        <v>1457</v>
      </c>
      <c r="D1195" s="69"/>
      <c r="E1195" s="41" t="s">
        <v>1685</v>
      </c>
      <c r="F1195" s="70"/>
      <c r="G1195" s="71" t="s">
        <v>1685</v>
      </c>
      <c r="H1195" s="41"/>
      <c r="I1195" s="42"/>
      <c r="J1195" s="43"/>
      <c r="K1195" s="72">
        <v>2.0</v>
      </c>
      <c r="L1195" s="53" t="s">
        <v>62</v>
      </c>
      <c r="M1195" s="73">
        <v>45000.0</v>
      </c>
      <c r="N1195" s="74"/>
      <c r="O1195" s="73">
        <v>90000.0</v>
      </c>
      <c r="P1195" s="46" t="str">
        <f t="shared" si="2"/>
        <v>Rp45,000-2 LSN-0.00%</v>
      </c>
      <c r="Q1195" s="75">
        <v>45412.0</v>
      </c>
      <c r="R1195" s="76"/>
      <c r="S1195" s="75">
        <v>45420.0</v>
      </c>
      <c r="T1195" s="49"/>
    </row>
    <row r="1196">
      <c r="A1196" s="82">
        <v>4429.0</v>
      </c>
      <c r="B1196" s="69" t="s">
        <v>29</v>
      </c>
      <c r="C1196" s="70" t="s">
        <v>1457</v>
      </c>
      <c r="D1196" s="50" t="s">
        <v>1686</v>
      </c>
      <c r="E1196" s="41" t="str">
        <f>IFERROR(__xludf.DUMMYFUNCTION("IFNA(vlookup(D1196,IMPORTRANGE(""https://docs.google.com/spreadsheets/d/1swGwZOEqYlTEUCJLY-eeJM1911Kvaei5oySBIxdgtNo/edit?pli=1#gid=257618397"",""stock untanna!B:C""),2,false),V:V)"),"BP DB 550")</f>
        <v>BP DB 550</v>
      </c>
      <c r="F1196" s="70"/>
      <c r="G1196" s="71" t="s">
        <v>1687</v>
      </c>
      <c r="H1196" s="41"/>
      <c r="I1196" s="42"/>
      <c r="J1196" s="85" t="s">
        <v>1319</v>
      </c>
      <c r="K1196" s="72">
        <v>4.0</v>
      </c>
      <c r="L1196" s="53" t="s">
        <v>62</v>
      </c>
      <c r="M1196" s="73">
        <v>30000.0</v>
      </c>
      <c r="N1196" s="74"/>
      <c r="O1196" s="73">
        <v>120000.0</v>
      </c>
      <c r="P1196" s="46" t="str">
        <f t="shared" si="2"/>
        <v>Rp30,000-4 LSN-0.00%</v>
      </c>
      <c r="Q1196" s="75">
        <v>45412.0</v>
      </c>
      <c r="R1196" s="76"/>
      <c r="S1196" s="75">
        <v>45420.0</v>
      </c>
      <c r="T1196" s="80" t="s">
        <v>280</v>
      </c>
    </row>
    <row r="1197">
      <c r="A1197" s="82">
        <v>4429.0</v>
      </c>
      <c r="B1197" s="69" t="s">
        <v>29</v>
      </c>
      <c r="C1197" s="70" t="s">
        <v>1457</v>
      </c>
      <c r="D1197" s="69" t="s">
        <v>197</v>
      </c>
      <c r="E1197" s="41" t="str">
        <f>IFERROR(__xludf.DUMMYFUNCTION("vlookup(D1197,IMPORTRANGE(""https://docs.google.com/spreadsheets/d/1swGwZOEqYlTEUCJLY-eeJM1911Kvaei5oySBIxdgtNo/edit?pli=1#gid=257618397"",""stock untanna!B:C""),2,false)"),"BP TF G-3114 0.3MM HIGHTECH KNOCK")</f>
        <v>BP TF G-3114 0.3MM HIGHTECH KNOCK</v>
      </c>
      <c r="F1197" s="70" t="s">
        <v>197</v>
      </c>
      <c r="G1197" s="71" t="s">
        <v>198</v>
      </c>
      <c r="H1197" s="41"/>
      <c r="I1197" s="42"/>
      <c r="J1197" s="43"/>
      <c r="K1197" s="72">
        <v>4.0</v>
      </c>
      <c r="L1197" s="53" t="s">
        <v>62</v>
      </c>
      <c r="M1197" s="73">
        <v>52500.0</v>
      </c>
      <c r="N1197" s="74"/>
      <c r="O1197" s="73">
        <v>210000.0</v>
      </c>
      <c r="P1197" s="46" t="str">
        <f t="shared" si="2"/>
        <v>Rp52,500-4 LSN-0.00%</v>
      </c>
      <c r="Q1197" s="75">
        <v>45412.0</v>
      </c>
      <c r="R1197" s="76"/>
      <c r="S1197" s="75">
        <v>45420.0</v>
      </c>
      <c r="T1197" s="49"/>
    </row>
    <row r="1198">
      <c r="A1198" s="82">
        <v>4429.0</v>
      </c>
      <c r="B1198" s="69" t="s">
        <v>29</v>
      </c>
      <c r="C1198" s="70" t="s">
        <v>1457</v>
      </c>
      <c r="D1198" s="69" t="s">
        <v>195</v>
      </c>
      <c r="E1198" s="41" t="str">
        <f>IFERROR(__xludf.DUMMYFUNCTION("vlookup(D1198,IMPORTRANGE(""https://docs.google.com/spreadsheets/d/1swGwZOEqYlTEUCJLY-eeJM1911Kvaei5oySBIxdgtNo/edit?pli=1#gid=257618397"",""stock untanna!B:C""),2,false)"),"BP TF-3115 HIGHTECH KNOCK")</f>
        <v>BP TF-3115 HIGHTECH KNOCK</v>
      </c>
      <c r="F1198" s="70" t="s">
        <v>195</v>
      </c>
      <c r="G1198" s="71" t="s">
        <v>196</v>
      </c>
      <c r="H1198" s="41"/>
      <c r="I1198" s="42"/>
      <c r="J1198" s="43"/>
      <c r="K1198" s="72">
        <v>4.0</v>
      </c>
      <c r="L1198" s="53" t="s">
        <v>62</v>
      </c>
      <c r="M1198" s="73">
        <v>52500.0</v>
      </c>
      <c r="N1198" s="74"/>
      <c r="O1198" s="73">
        <v>210000.0</v>
      </c>
      <c r="P1198" s="46" t="str">
        <f t="shared" si="2"/>
        <v>Rp52,500-4 LSN-0.00%</v>
      </c>
      <c r="Q1198" s="75">
        <v>45412.0</v>
      </c>
      <c r="R1198" s="76"/>
      <c r="S1198" s="75">
        <v>45420.0</v>
      </c>
      <c r="T1198" s="49"/>
    </row>
    <row r="1199">
      <c r="A1199" s="82">
        <v>4429.0</v>
      </c>
      <c r="B1199" s="69" t="s">
        <v>29</v>
      </c>
      <c r="C1199" s="70" t="s">
        <v>1457</v>
      </c>
      <c r="D1199" s="69" t="s">
        <v>1688</v>
      </c>
      <c r="E1199" s="41" t="str">
        <f>IFERROR(__xludf.DUMMYFUNCTION("vlookup(D1199,IMPORTRANGE(""https://docs.google.com/spreadsheets/d/1swGwZOEqYlTEUCJLY-eeJM1911Kvaei5oySBIxdgtNo/edit?pli=1#gid=257618397"",""stock untanna!B:C""),2,false)"),"BP SIKA GP 001 HT")</f>
        <v>BP SIKA GP 001 HT</v>
      </c>
      <c r="F1199" s="70" t="s">
        <v>1688</v>
      </c>
      <c r="G1199" s="71" t="s">
        <v>1689</v>
      </c>
      <c r="H1199" s="41"/>
      <c r="I1199" s="42"/>
      <c r="J1199" s="43"/>
      <c r="K1199" s="72">
        <v>6.0</v>
      </c>
      <c r="L1199" s="53" t="s">
        <v>62</v>
      </c>
      <c r="M1199" s="73">
        <v>35000.0</v>
      </c>
      <c r="N1199" s="74"/>
      <c r="O1199" s="73">
        <v>210000.0</v>
      </c>
      <c r="P1199" s="46" t="str">
        <f t="shared" si="2"/>
        <v>Rp35,000-6 LSN-0.00%</v>
      </c>
      <c r="Q1199" s="75">
        <v>45412.0</v>
      </c>
      <c r="R1199" s="76"/>
      <c r="S1199" s="75">
        <v>45420.0</v>
      </c>
      <c r="T1199" s="49"/>
    </row>
    <row r="1200">
      <c r="A1200" s="82">
        <v>4429.0</v>
      </c>
      <c r="B1200" s="69" t="s">
        <v>29</v>
      </c>
      <c r="C1200" s="70" t="s">
        <v>1457</v>
      </c>
      <c r="D1200" s="69" t="s">
        <v>1690</v>
      </c>
      <c r="E1200" s="41" t="str">
        <f>IFERROR(__xludf.DUMMYFUNCTION("vlookup(D1200,IMPORTRANGE(""https://docs.google.com/spreadsheets/d/1swGwZOEqYlTEUCJLY-eeJM1911Kvaei5oySBIxdgtNo/edit?pli=1#gid=257618397"",""stock untanna!B:C""),2,false)"),"BP SIKA GP 002 HT")</f>
        <v>BP SIKA GP 002 HT</v>
      </c>
      <c r="F1200" s="70" t="s">
        <v>1690</v>
      </c>
      <c r="G1200" s="71" t="s">
        <v>1691</v>
      </c>
      <c r="H1200" s="41"/>
      <c r="I1200" s="42"/>
      <c r="J1200" s="43"/>
      <c r="K1200" s="72">
        <v>6.0</v>
      </c>
      <c r="L1200" s="53" t="s">
        <v>62</v>
      </c>
      <c r="M1200" s="73">
        <v>30000.0</v>
      </c>
      <c r="N1200" s="74"/>
      <c r="O1200" s="73">
        <v>180000.0</v>
      </c>
      <c r="P1200" s="46" t="str">
        <f t="shared" si="2"/>
        <v>Rp30,000-6 LSN-0.00%</v>
      </c>
      <c r="Q1200" s="75">
        <v>45412.0</v>
      </c>
      <c r="R1200" s="76"/>
      <c r="S1200" s="75">
        <v>45420.0</v>
      </c>
      <c r="T1200" s="49"/>
    </row>
    <row r="1201">
      <c r="A1201" s="82">
        <v>4429.0</v>
      </c>
      <c r="B1201" s="69" t="s">
        <v>29</v>
      </c>
      <c r="C1201" s="70" t="s">
        <v>1457</v>
      </c>
      <c r="D1201" s="69" t="s">
        <v>774</v>
      </c>
      <c r="E1201" s="41" t="str">
        <f>IFERROR(__xludf.DUMMYFUNCTION("vlookup(D1201,IMPORTRANGE(""https://docs.google.com/spreadsheets/d/1swGwZOEqYlTEUCJLY-eeJM1911Kvaei5oySBIxdgtNo/edit?pli=1#gid=257618397"",""stock untanna!B:C""),2,false)"),"MECHPEN TIZO G 9001 A")</f>
        <v>MECHPEN TIZO G 9001 A</v>
      </c>
      <c r="F1201" s="70" t="s">
        <v>774</v>
      </c>
      <c r="G1201" s="71" t="s">
        <v>775</v>
      </c>
      <c r="H1201" s="41"/>
      <c r="I1201" s="42"/>
      <c r="J1201" s="43"/>
      <c r="K1201" s="72">
        <v>2.0</v>
      </c>
      <c r="L1201" s="53" t="s">
        <v>62</v>
      </c>
      <c r="M1201" s="73">
        <v>21000.0</v>
      </c>
      <c r="N1201" s="74"/>
      <c r="O1201" s="73">
        <v>42000.0</v>
      </c>
      <c r="P1201" s="46" t="str">
        <f t="shared" si="2"/>
        <v>Rp21,000-2 LSN-0.00%</v>
      </c>
      <c r="Q1201" s="75">
        <v>45412.0</v>
      </c>
      <c r="R1201" s="76"/>
      <c r="S1201" s="75">
        <v>45420.0</v>
      </c>
      <c r="T1201" s="49"/>
    </row>
    <row r="1202">
      <c r="A1202" s="82">
        <v>4429.0</v>
      </c>
      <c r="B1202" s="69" t="s">
        <v>29</v>
      </c>
      <c r="C1202" s="70" t="s">
        <v>1457</v>
      </c>
      <c r="D1202" s="69" t="s">
        <v>1692</v>
      </c>
      <c r="E1202" s="41" t="str">
        <f>IFERROR(__xludf.DUMMYFUNCTION("vlookup(D1202,IMPORTRANGE(""https://docs.google.com/spreadsheets/d/1swGwZOEqYlTEUCJLY-eeJM1911Kvaei5oySBIxdgtNo/edit?pli=1#gid=257618397"",""stock untanna!B:C""),2,false)"),"BP GEL TIZO 1.0 TG31580")</f>
        <v>BP GEL TIZO 1.0 TG31580</v>
      </c>
      <c r="F1202" s="70" t="s">
        <v>1692</v>
      </c>
      <c r="G1202" s="71" t="s">
        <v>1693</v>
      </c>
      <c r="H1202" s="41"/>
      <c r="I1202" s="42"/>
      <c r="J1202" s="43"/>
      <c r="K1202" s="72">
        <v>2.0</v>
      </c>
      <c r="L1202" s="53" t="s">
        <v>62</v>
      </c>
      <c r="M1202" s="73">
        <v>65000.0</v>
      </c>
      <c r="N1202" s="74"/>
      <c r="O1202" s="73">
        <v>130000.0</v>
      </c>
      <c r="P1202" s="46" t="str">
        <f t="shared" si="2"/>
        <v>Rp65,000-2 LSN-0.00%</v>
      </c>
      <c r="Q1202" s="75">
        <v>45412.0</v>
      </c>
      <c r="R1202" s="76"/>
      <c r="S1202" s="75">
        <v>45420.0</v>
      </c>
      <c r="T1202" s="49"/>
    </row>
    <row r="1203">
      <c r="A1203" s="82">
        <v>4429.0</v>
      </c>
      <c r="B1203" s="69" t="s">
        <v>29</v>
      </c>
      <c r="C1203" s="70" t="s">
        <v>1457</v>
      </c>
      <c r="D1203" s="69"/>
      <c r="E1203" s="41" t="s">
        <v>1694</v>
      </c>
      <c r="F1203" s="70"/>
      <c r="G1203" s="71" t="s">
        <v>1694</v>
      </c>
      <c r="H1203" s="41"/>
      <c r="I1203" s="42"/>
      <c r="J1203" s="43"/>
      <c r="K1203" s="72">
        <v>0.5</v>
      </c>
      <c r="L1203" s="53" t="s">
        <v>62</v>
      </c>
      <c r="M1203" s="73">
        <v>60000.0</v>
      </c>
      <c r="N1203" s="74"/>
      <c r="O1203" s="73">
        <v>30000.0</v>
      </c>
      <c r="P1203" s="46" t="str">
        <f t="shared" si="2"/>
        <v>Rp60,000-0.5 LSN-0.00%</v>
      </c>
      <c r="Q1203" s="75">
        <v>45412.0</v>
      </c>
      <c r="R1203" s="76"/>
      <c r="S1203" s="75">
        <v>45420.0</v>
      </c>
      <c r="T1203" s="49"/>
    </row>
    <row r="1204">
      <c r="A1204" s="82">
        <v>4429.0</v>
      </c>
      <c r="B1204" s="69" t="s">
        <v>29</v>
      </c>
      <c r="C1204" s="70" t="s">
        <v>1457</v>
      </c>
      <c r="D1204" s="69" t="s">
        <v>138</v>
      </c>
      <c r="E1204" s="41" t="str">
        <f>IFERROR(__xludf.DUMMYFUNCTION("vlookup(D1204,IMPORTRANGE(""https://docs.google.com/spreadsheets/d/1swGwZOEqYlTEUCJLY-eeJM1911Kvaei5oySBIxdgtNo/edit?pli=1#gid=257618397"",""stock untanna!B:C""),2,false)"),"GARISAN LIPAT 008 (40) 30 CM FANCY")</f>
        <v>GARISAN LIPAT 008 (40) 30 CM FANCY</v>
      </c>
      <c r="F1204" s="70" t="s">
        <v>138</v>
      </c>
      <c r="G1204" s="71" t="s">
        <v>139</v>
      </c>
      <c r="H1204" s="41"/>
      <c r="I1204" s="42"/>
      <c r="J1204" s="43"/>
      <c r="K1204" s="72">
        <v>1.0</v>
      </c>
      <c r="L1204" s="53" t="s">
        <v>88</v>
      </c>
      <c r="M1204" s="73">
        <v>100000.0</v>
      </c>
      <c r="N1204" s="74"/>
      <c r="O1204" s="73">
        <v>100000.0</v>
      </c>
      <c r="P1204" s="46" t="str">
        <f t="shared" si="2"/>
        <v>Rp100,000-1 BOX-0.00%</v>
      </c>
      <c r="Q1204" s="75">
        <v>45412.0</v>
      </c>
      <c r="R1204" s="76"/>
      <c r="S1204" s="75">
        <v>45420.0</v>
      </c>
      <c r="T1204" s="49"/>
    </row>
    <row r="1205">
      <c r="A1205" s="82">
        <v>4429.0</v>
      </c>
      <c r="B1205" s="69" t="s">
        <v>29</v>
      </c>
      <c r="C1205" s="70" t="s">
        <v>1457</v>
      </c>
      <c r="D1205" s="69" t="s">
        <v>86</v>
      </c>
      <c r="E1205" s="41" t="str">
        <f>IFERROR(__xludf.DUMMYFUNCTION("vlookup(D1205,IMPORTRANGE(""https://docs.google.com/spreadsheets/d/1swGwZOEqYlTEUCJLY-eeJM1911Kvaei5oySBIxdgtNo/edit?pli=1#gid=257618397"",""stock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1205" s="70" t="s">
        <v>86</v>
      </c>
      <c r="G1205" s="71" t="s">
        <v>87</v>
      </c>
      <c r="H1205" s="41"/>
      <c r="I1205" s="42"/>
      <c r="J1205" s="43"/>
      <c r="K1205" s="72">
        <v>2.0</v>
      </c>
      <c r="L1205" s="53" t="s">
        <v>88</v>
      </c>
      <c r="M1205" s="73">
        <v>174000.0</v>
      </c>
      <c r="N1205" s="74"/>
      <c r="O1205" s="73">
        <v>348000.0</v>
      </c>
      <c r="P1205" s="46" t="str">
        <f t="shared" si="2"/>
        <v>Rp174,000-2 BOX-0.00%</v>
      </c>
      <c r="Q1205" s="75">
        <v>45412.0</v>
      </c>
      <c r="R1205" s="76"/>
      <c r="S1205" s="75">
        <v>45420.0</v>
      </c>
      <c r="T1205" s="49"/>
    </row>
    <row r="1206">
      <c r="A1206" s="82">
        <v>4429.0</v>
      </c>
      <c r="B1206" s="69" t="s">
        <v>29</v>
      </c>
      <c r="C1206" s="70" t="s">
        <v>1457</v>
      </c>
      <c r="D1206" s="50" t="s">
        <v>89</v>
      </c>
      <c r="E1206" s="41" t="str">
        <f>IFERROR(__xludf.DUMMYFUNCTION("vlookup(D1206,IMPORTRANGE(""https://docs.google.com/spreadsheets/d/1swGwZOEqYlTEUCJLY-eeJM1911Kvaei5oySBIxdgtNo/edit?pli=1#gid=257618397"",""stock untanna!B:C""),2,false)"),"ISI GEL DTIAN GR-089 (12PCS TABUNG)")</f>
        <v>ISI GEL DTIAN GR-089 (12PCS TABUNG)</v>
      </c>
      <c r="F1206" s="70" t="s">
        <v>90</v>
      </c>
      <c r="G1206" s="71" t="s">
        <v>91</v>
      </c>
      <c r="H1206" s="41"/>
      <c r="I1206" s="42"/>
      <c r="J1206" s="43"/>
      <c r="K1206" s="72">
        <v>2.0</v>
      </c>
      <c r="L1206" s="53" t="s">
        <v>88</v>
      </c>
      <c r="M1206" s="73">
        <v>348000.0</v>
      </c>
      <c r="N1206" s="74"/>
      <c r="O1206" s="73">
        <v>696000.0</v>
      </c>
      <c r="P1206" s="46" t="str">
        <f t="shared" si="2"/>
        <v>Rp348,000-2 BOX-0.00%</v>
      </c>
      <c r="Q1206" s="75">
        <v>45412.0</v>
      </c>
      <c r="R1206" s="76"/>
      <c r="S1206" s="75">
        <v>45420.0</v>
      </c>
      <c r="T1206" s="49"/>
    </row>
    <row r="1207">
      <c r="A1207" s="82">
        <v>4429.0</v>
      </c>
      <c r="B1207" s="69" t="s">
        <v>29</v>
      </c>
      <c r="C1207" s="70" t="s">
        <v>1457</v>
      </c>
      <c r="D1207" s="50" t="s">
        <v>1192</v>
      </c>
      <c r="E1207" s="41" t="str">
        <f>IFERROR(__xludf.DUMMYFUNCTION("vlookup(D1207,IMPORTRANGE(""https://docs.google.com/spreadsheets/d/1swGwZOEqYlTEUCJLY-eeJM1911Kvaei5oySBIxdgtNo/edit?pli=1#gid=257618397"",""stock untanna!B:C""),2,false)"),"ISI GEL DTIAN DT-090 (20PCS TABUNG)")</f>
        <v>ISI GEL DTIAN DT-090 (20PCS TABUNG)</v>
      </c>
      <c r="F1207" s="70" t="s">
        <v>1193</v>
      </c>
      <c r="G1207" s="71" t="s">
        <v>1194</v>
      </c>
      <c r="H1207" s="41"/>
      <c r="I1207" s="42"/>
      <c r="J1207" s="43"/>
      <c r="K1207" s="72">
        <v>1.0</v>
      </c>
      <c r="L1207" s="53" t="s">
        <v>88</v>
      </c>
      <c r="M1207" s="73">
        <v>372000.0</v>
      </c>
      <c r="N1207" s="74"/>
      <c r="O1207" s="73">
        <v>372000.0</v>
      </c>
      <c r="P1207" s="46" t="str">
        <f t="shared" si="2"/>
        <v>Rp372,000-1 BOX-0.00%</v>
      </c>
      <c r="Q1207" s="75">
        <v>45412.0</v>
      </c>
      <c r="R1207" s="76"/>
      <c r="S1207" s="75">
        <v>45420.0</v>
      </c>
      <c r="T1207" s="49"/>
    </row>
    <row r="1208">
      <c r="A1208" s="82">
        <v>4430.0</v>
      </c>
      <c r="B1208" s="69" t="s">
        <v>29</v>
      </c>
      <c r="C1208" s="70" t="s">
        <v>1457</v>
      </c>
      <c r="D1208" s="50" t="s">
        <v>1695</v>
      </c>
      <c r="E1208" s="41" t="str">
        <f>IFERROR(__xludf.DUMMYFUNCTION("vlookup(D1208,IMPORTRANGE(""https://docs.google.com/spreadsheets/d/1swGwZOEqYlTEUCJLY-eeJM1911Kvaei5oySBIxdgtNo/edit?pli=1#gid=257618397"",""stock untanna!B:C""),2,false)"),"GUNTING SH-2302 PLST MINI 1X52")</f>
        <v>GUNTING SH-2302 PLST MINI 1X52</v>
      </c>
      <c r="F1208" s="70" t="s">
        <v>1696</v>
      </c>
      <c r="G1208" s="71" t="s">
        <v>1697</v>
      </c>
      <c r="H1208" s="41"/>
      <c r="I1208" s="42"/>
      <c r="J1208" s="43"/>
      <c r="K1208" s="72">
        <v>1.0</v>
      </c>
      <c r="L1208" s="53" t="s">
        <v>62</v>
      </c>
      <c r="M1208" s="73">
        <v>22500.0</v>
      </c>
      <c r="N1208" s="74"/>
      <c r="O1208" s="73">
        <v>22500.0</v>
      </c>
      <c r="P1208" s="46" t="str">
        <f t="shared" si="2"/>
        <v>Rp22,500-1 LSN-0.00%</v>
      </c>
      <c r="Q1208" s="75">
        <v>45412.0</v>
      </c>
      <c r="R1208" s="76"/>
      <c r="S1208" s="75">
        <v>45420.0</v>
      </c>
      <c r="T1208" s="49" t="s">
        <v>100</v>
      </c>
    </row>
    <row r="1209">
      <c r="A1209" s="82">
        <v>4430.0</v>
      </c>
      <c r="B1209" s="69" t="s">
        <v>29</v>
      </c>
      <c r="C1209" s="70" t="s">
        <v>1457</v>
      </c>
      <c r="D1209" s="69" t="s">
        <v>121</v>
      </c>
      <c r="E1209" s="41" t="str">
        <f>IFERROR(__xludf.DUMMYFUNCTION("vlookup(D1209,IMPORTRANGE(""https://docs.google.com/spreadsheets/d/1swGwZOEqYlTEUCJLY-eeJM1911Kvaei5oySBIxdgtNo/edit?pli=1#gid=257618397"",""stock untanna!B:C""),2,false)"),"LEM BAKAR STIK 7X30 WOMY PUTIH K")</f>
        <v>LEM BAKAR STIK 7X30 WOMY PUTIH K</v>
      </c>
      <c r="F1209" s="70" t="s">
        <v>121</v>
      </c>
      <c r="G1209" s="71" t="s">
        <v>122</v>
      </c>
      <c r="H1209" s="41"/>
      <c r="I1209" s="42"/>
      <c r="J1209" s="43"/>
      <c r="K1209" s="72">
        <v>1.0</v>
      </c>
      <c r="L1209" s="53" t="s">
        <v>114</v>
      </c>
      <c r="M1209" s="73">
        <v>90000.0</v>
      </c>
      <c r="N1209" s="74"/>
      <c r="O1209" s="73">
        <v>90000.0</v>
      </c>
      <c r="P1209" s="46" t="str">
        <f t="shared" si="2"/>
        <v>Rp90,000-1 PAK-0.00%</v>
      </c>
      <c r="Q1209" s="75">
        <v>45412.0</v>
      </c>
      <c r="R1209" s="76"/>
      <c r="S1209" s="75">
        <v>45420.0</v>
      </c>
      <c r="T1209" s="49"/>
    </row>
    <row r="1210">
      <c r="A1210" s="82">
        <v>4430.0</v>
      </c>
      <c r="B1210" s="69" t="s">
        <v>29</v>
      </c>
      <c r="C1210" s="70" t="s">
        <v>1457</v>
      </c>
      <c r="D1210" s="69" t="s">
        <v>123</v>
      </c>
      <c r="E1210" s="41" t="str">
        <f>IFERROR(__xludf.DUMMYFUNCTION("vlookup(D1210,IMPORTRANGE(""https://docs.google.com/spreadsheets/d/1swGwZOEqYlTEUCJLY-eeJM1911Kvaei5oySBIxdgtNo/edit?pli=1#gid=257618397"",""stock untanna!B:C""),2,false)"),"LEM BAKAR STIK 11X29 WOMY PUTIH B")</f>
        <v>LEM BAKAR STIK 11X29 WOMY PUTIH B</v>
      </c>
      <c r="F1210" s="70" t="s">
        <v>123</v>
      </c>
      <c r="G1210" s="71" t="s">
        <v>124</v>
      </c>
      <c r="H1210" s="41"/>
      <c r="I1210" s="42"/>
      <c r="J1210" s="43"/>
      <c r="K1210" s="72">
        <v>1.0</v>
      </c>
      <c r="L1210" s="53" t="s">
        <v>114</v>
      </c>
      <c r="M1210" s="73">
        <v>90000.0</v>
      </c>
      <c r="N1210" s="74"/>
      <c r="O1210" s="73">
        <v>90000.0</v>
      </c>
      <c r="P1210" s="46" t="str">
        <f t="shared" si="2"/>
        <v>Rp90,000-1 PAK-0.00%</v>
      </c>
      <c r="Q1210" s="75">
        <v>45412.0</v>
      </c>
      <c r="R1210" s="76"/>
      <c r="S1210" s="75">
        <v>45420.0</v>
      </c>
      <c r="T1210" s="49"/>
    </row>
    <row r="1211">
      <c r="A1211" s="82">
        <v>4430.0</v>
      </c>
      <c r="B1211" s="69" t="s">
        <v>29</v>
      </c>
      <c r="C1211" s="70" t="s">
        <v>1457</v>
      </c>
      <c r="D1211" s="69"/>
      <c r="E1211" s="41" t="s">
        <v>1698</v>
      </c>
      <c r="F1211" s="70"/>
      <c r="G1211" s="71" t="s">
        <v>1698</v>
      </c>
      <c r="H1211" s="41"/>
      <c r="I1211" s="42"/>
      <c r="J1211" s="43"/>
      <c r="K1211" s="72">
        <v>20.0</v>
      </c>
      <c r="L1211" s="53" t="s">
        <v>69</v>
      </c>
      <c r="M1211" s="73">
        <v>3250.0</v>
      </c>
      <c r="N1211" s="74"/>
      <c r="O1211" s="73">
        <v>65000.0</v>
      </c>
      <c r="P1211" s="46" t="str">
        <f t="shared" si="2"/>
        <v>Rp3,250-20 PCS-0.00%</v>
      </c>
      <c r="Q1211" s="75">
        <v>45412.0</v>
      </c>
      <c r="R1211" s="76"/>
      <c r="S1211" s="75">
        <v>45420.0</v>
      </c>
      <c r="T1211" s="49"/>
    </row>
    <row r="1212">
      <c r="A1212" s="82">
        <v>4430.0</v>
      </c>
      <c r="B1212" s="69" t="s">
        <v>29</v>
      </c>
      <c r="C1212" s="70" t="s">
        <v>1457</v>
      </c>
      <c r="D1212" s="69"/>
      <c r="E1212" s="41" t="s">
        <v>819</v>
      </c>
      <c r="F1212" s="70"/>
      <c r="G1212" s="71" t="s">
        <v>819</v>
      </c>
      <c r="H1212" s="41"/>
      <c r="I1212" s="42"/>
      <c r="J1212" s="43"/>
      <c r="K1212" s="72">
        <v>2.0</v>
      </c>
      <c r="L1212" s="53" t="s">
        <v>62</v>
      </c>
      <c r="M1212" s="73">
        <v>15000.0</v>
      </c>
      <c r="N1212" s="74"/>
      <c r="O1212" s="73">
        <v>30000.0</v>
      </c>
      <c r="P1212" s="46" t="str">
        <f t="shared" si="2"/>
        <v>Rp15,000-2 LSN-0.00%</v>
      </c>
      <c r="Q1212" s="75">
        <v>45412.0</v>
      </c>
      <c r="R1212" s="76"/>
      <c r="S1212" s="75">
        <v>45420.0</v>
      </c>
      <c r="T1212" s="49"/>
    </row>
    <row r="1213">
      <c r="A1213" s="82">
        <v>4430.0</v>
      </c>
      <c r="B1213" s="69" t="s">
        <v>29</v>
      </c>
      <c r="C1213" s="70" t="s">
        <v>1457</v>
      </c>
      <c r="D1213" s="69"/>
      <c r="E1213" s="41" t="s">
        <v>1699</v>
      </c>
      <c r="F1213" s="70"/>
      <c r="G1213" s="71" t="s">
        <v>1699</v>
      </c>
      <c r="H1213" s="41"/>
      <c r="I1213" s="42"/>
      <c r="J1213" s="43"/>
      <c r="K1213" s="72">
        <v>1.0</v>
      </c>
      <c r="L1213" s="53" t="s">
        <v>62</v>
      </c>
      <c r="M1213" s="73">
        <v>27500.0</v>
      </c>
      <c r="N1213" s="74"/>
      <c r="O1213" s="73">
        <v>27500.0</v>
      </c>
      <c r="P1213" s="46" t="str">
        <f t="shared" si="2"/>
        <v>Rp27,500-1 LSN-0.00%</v>
      </c>
      <c r="Q1213" s="75">
        <v>45412.0</v>
      </c>
      <c r="R1213" s="76"/>
      <c r="S1213" s="75">
        <v>45420.0</v>
      </c>
      <c r="T1213" s="49"/>
    </row>
    <row r="1214">
      <c r="A1214" s="82">
        <v>4430.0</v>
      </c>
      <c r="B1214" s="69" t="s">
        <v>29</v>
      </c>
      <c r="C1214" s="70" t="s">
        <v>1457</v>
      </c>
      <c r="D1214" s="69" t="s">
        <v>1083</v>
      </c>
      <c r="E1214" s="41" t="str">
        <f>IFERROR(__xludf.DUMMYFUNCTION("vlookup(D1214,IMPORTRANGE(""https://docs.google.com/spreadsheets/d/1swGwZOEqYlTEUCJLY-eeJM1911Kvaei5oySBIxdgtNo/edit?pli=1#gid=257618397"",""stock untanna!B:C""),2,false)"),"KEY RING KC-008")</f>
        <v>KEY RING KC-008</v>
      </c>
      <c r="F1214" s="70" t="s">
        <v>1083</v>
      </c>
      <c r="G1214" s="71" t="s">
        <v>1084</v>
      </c>
      <c r="H1214" s="41"/>
      <c r="I1214" s="42"/>
      <c r="J1214" s="43"/>
      <c r="K1214" s="72">
        <v>2.0</v>
      </c>
      <c r="L1214" s="53" t="s">
        <v>88</v>
      </c>
      <c r="M1214" s="73">
        <v>27500.0</v>
      </c>
      <c r="N1214" s="74"/>
      <c r="O1214" s="73">
        <v>55000.0</v>
      </c>
      <c r="P1214" s="46" t="str">
        <f t="shared" si="2"/>
        <v>Rp27,500-2 BOX-0.00%</v>
      </c>
      <c r="Q1214" s="75">
        <v>45412.0</v>
      </c>
      <c r="R1214" s="76"/>
      <c r="S1214" s="75">
        <v>45420.0</v>
      </c>
      <c r="T1214" s="49"/>
    </row>
    <row r="1215">
      <c r="A1215" s="82">
        <v>4430.0</v>
      </c>
      <c r="B1215" s="69" t="s">
        <v>29</v>
      </c>
      <c r="C1215" s="70" t="s">
        <v>1457</v>
      </c>
      <c r="D1215" s="69"/>
      <c r="E1215" s="41" t="s">
        <v>1700</v>
      </c>
      <c r="F1215" s="70"/>
      <c r="G1215" s="71" t="s">
        <v>1700</v>
      </c>
      <c r="H1215" s="41"/>
      <c r="I1215" s="42"/>
      <c r="J1215" s="43"/>
      <c r="K1215" s="72">
        <v>1.0</v>
      </c>
      <c r="L1215" s="53" t="s">
        <v>114</v>
      </c>
      <c r="M1215" s="73">
        <v>30000.0</v>
      </c>
      <c r="N1215" s="74"/>
      <c r="O1215" s="73">
        <v>30000.0</v>
      </c>
      <c r="P1215" s="46" t="str">
        <f t="shared" si="2"/>
        <v>Rp30,000-1 PAK-0.00%</v>
      </c>
      <c r="Q1215" s="75">
        <v>45412.0</v>
      </c>
      <c r="R1215" s="76"/>
      <c r="S1215" s="75">
        <v>45420.0</v>
      </c>
      <c r="T1215" s="49"/>
    </row>
    <row r="1216">
      <c r="A1216" s="82">
        <v>4430.0</v>
      </c>
      <c r="B1216" s="69" t="s">
        <v>29</v>
      </c>
      <c r="C1216" s="70" t="s">
        <v>1457</v>
      </c>
      <c r="D1216" s="69"/>
      <c r="E1216" s="41" t="s">
        <v>1701</v>
      </c>
      <c r="F1216" s="70"/>
      <c r="G1216" s="71" t="s">
        <v>1701</v>
      </c>
      <c r="H1216" s="41"/>
      <c r="I1216" s="42"/>
      <c r="J1216" s="43"/>
      <c r="K1216" s="72">
        <v>1.0</v>
      </c>
      <c r="L1216" s="53" t="s">
        <v>114</v>
      </c>
      <c r="M1216" s="73">
        <v>45000.0</v>
      </c>
      <c r="N1216" s="74"/>
      <c r="O1216" s="73">
        <v>45000.0</v>
      </c>
      <c r="P1216" s="46" t="str">
        <f t="shared" si="2"/>
        <v>Rp45,000-1 PAK-0.00%</v>
      </c>
      <c r="Q1216" s="75">
        <v>45412.0</v>
      </c>
      <c r="R1216" s="76"/>
      <c r="S1216" s="75">
        <v>45420.0</v>
      </c>
      <c r="T1216" s="49"/>
    </row>
    <row r="1217">
      <c r="A1217" s="82">
        <v>4430.0</v>
      </c>
      <c r="B1217" s="69" t="s">
        <v>29</v>
      </c>
      <c r="C1217" s="70" t="s">
        <v>1457</v>
      </c>
      <c r="D1217" s="69"/>
      <c r="E1217" s="41" t="s">
        <v>1702</v>
      </c>
      <c r="F1217" s="70"/>
      <c r="G1217" s="71" t="s">
        <v>1702</v>
      </c>
      <c r="H1217" s="41"/>
      <c r="I1217" s="42"/>
      <c r="J1217" s="43"/>
      <c r="K1217" s="72">
        <v>12.0</v>
      </c>
      <c r="L1217" s="53" t="s">
        <v>69</v>
      </c>
      <c r="M1217" s="73">
        <v>2250.0</v>
      </c>
      <c r="N1217" s="74"/>
      <c r="O1217" s="73">
        <v>27000.0</v>
      </c>
      <c r="P1217" s="46" t="str">
        <f t="shared" si="2"/>
        <v>Rp2,250-12 PCS-0.00%</v>
      </c>
      <c r="Q1217" s="75">
        <v>45412.0</v>
      </c>
      <c r="R1217" s="76"/>
      <c r="S1217" s="75">
        <v>45420.0</v>
      </c>
      <c r="T1217" s="49"/>
    </row>
    <row r="1218">
      <c r="A1218" s="82">
        <v>4430.0</v>
      </c>
      <c r="B1218" s="69" t="s">
        <v>29</v>
      </c>
      <c r="C1218" s="70" t="s">
        <v>1457</v>
      </c>
      <c r="D1218" s="69" t="s">
        <v>1703</v>
      </c>
      <c r="E1218" s="41" t="str">
        <f>IFERROR(__xludf.DUMMYFUNCTION("vlookup(D1218,IMPORTRANGE(""https://docs.google.com/spreadsheets/d/1swGwZOEqYlTEUCJLY-eeJM1911Kvaei5oySBIxdgtNo/edit?pli=1#gid=257618397"",""stock untanna!B:C""),2,false)"),"MAGNET 8203 ANGKA")</f>
        <v>MAGNET 8203 ANGKA</v>
      </c>
      <c r="F1218" s="70" t="s">
        <v>1703</v>
      </c>
      <c r="G1218" s="71" t="s">
        <v>1704</v>
      </c>
      <c r="H1218" s="41"/>
      <c r="I1218" s="42"/>
      <c r="J1218" s="43"/>
      <c r="K1218" s="72">
        <v>1.0</v>
      </c>
      <c r="L1218" s="53" t="s">
        <v>62</v>
      </c>
      <c r="M1218" s="73">
        <v>225000.0</v>
      </c>
      <c r="N1218" s="74"/>
      <c r="O1218" s="73">
        <v>225000.0</v>
      </c>
      <c r="P1218" s="46" t="str">
        <f t="shared" si="2"/>
        <v>Rp225,000-1 LSN-0.00%</v>
      </c>
      <c r="Q1218" s="75">
        <v>45412.0</v>
      </c>
      <c r="R1218" s="76"/>
      <c r="S1218" s="75">
        <v>45420.0</v>
      </c>
      <c r="T1218" s="49"/>
    </row>
    <row r="1219">
      <c r="A1219" s="82">
        <v>4430.0</v>
      </c>
      <c r="B1219" s="69" t="s">
        <v>29</v>
      </c>
      <c r="C1219" s="70" t="s">
        <v>1457</v>
      </c>
      <c r="D1219" s="69" t="s">
        <v>1705</v>
      </c>
      <c r="E1219" s="41" t="str">
        <f>IFERROR(__xludf.DUMMYFUNCTION("vlookup(D1219,IMPORTRANGE(""https://docs.google.com/spreadsheets/d/1swGwZOEqYlTEUCJLY-eeJM1911Kvaei5oySBIxdgtNo/edit?pli=1#gid=257618397"",""stock untanna!B:C""),2,false)"),"MAGNET 8201 HURUF")</f>
        <v>MAGNET 8201 HURUF</v>
      </c>
      <c r="F1219" s="70" t="s">
        <v>1705</v>
      </c>
      <c r="G1219" s="71" t="s">
        <v>1706</v>
      </c>
      <c r="H1219" s="41"/>
      <c r="I1219" s="42"/>
      <c r="J1219" s="43"/>
      <c r="K1219" s="72">
        <v>1.0</v>
      </c>
      <c r="L1219" s="53" t="s">
        <v>62</v>
      </c>
      <c r="M1219" s="73">
        <v>225000.0</v>
      </c>
      <c r="N1219" s="74"/>
      <c r="O1219" s="73">
        <v>225000.0</v>
      </c>
      <c r="P1219" s="46" t="str">
        <f t="shared" si="2"/>
        <v>Rp225,000-1 LSN-0.00%</v>
      </c>
      <c r="Q1219" s="75">
        <v>45412.0</v>
      </c>
      <c r="R1219" s="76"/>
      <c r="S1219" s="75">
        <v>45420.0</v>
      </c>
      <c r="T1219" s="49"/>
    </row>
    <row r="1220">
      <c r="A1220" s="82">
        <v>4430.0</v>
      </c>
      <c r="B1220" s="69" t="s">
        <v>29</v>
      </c>
      <c r="C1220" s="70" t="s">
        <v>1457</v>
      </c>
      <c r="D1220" s="69"/>
      <c r="E1220" s="41" t="s">
        <v>1707</v>
      </c>
      <c r="F1220" s="70"/>
      <c r="G1220" s="71" t="s">
        <v>1707</v>
      </c>
      <c r="H1220" s="41"/>
      <c r="I1220" s="42"/>
      <c r="J1220" s="43"/>
      <c r="K1220" s="72">
        <v>2.0</v>
      </c>
      <c r="L1220" s="53" t="s">
        <v>62</v>
      </c>
      <c r="M1220" s="73">
        <v>28000.0</v>
      </c>
      <c r="N1220" s="74"/>
      <c r="O1220" s="73">
        <v>56000.0</v>
      </c>
      <c r="P1220" s="46" t="str">
        <f t="shared" si="2"/>
        <v>Rp28,000-2 LSN-0.00%</v>
      </c>
      <c r="Q1220" s="75">
        <v>45412.0</v>
      </c>
      <c r="R1220" s="76"/>
      <c r="S1220" s="75">
        <v>45420.0</v>
      </c>
      <c r="T1220" s="49"/>
    </row>
    <row r="1221">
      <c r="A1221" s="82">
        <v>4430.0</v>
      </c>
      <c r="B1221" s="69" t="s">
        <v>29</v>
      </c>
      <c r="C1221" s="70" t="s">
        <v>1457</v>
      </c>
      <c r="D1221" s="69" t="s">
        <v>1708</v>
      </c>
      <c r="E1221" s="41" t="str">
        <f>IFERROR(__xludf.DUMMYFUNCTION("vlookup(D1221,IMPORTRANGE(""https://docs.google.com/spreadsheets/d/1swGwZOEqYlTEUCJLY-eeJM1911Kvaei5oySBIxdgtNo/edit?pli=1#gid=257618397"",""stock untanna!B:C""),2,false)"),"ASAHAN DY-349B")</f>
        <v>ASAHAN DY-349B</v>
      </c>
      <c r="F1221" s="70" t="s">
        <v>1708</v>
      </c>
      <c r="G1221" s="71" t="s">
        <v>1709</v>
      </c>
      <c r="H1221" s="41"/>
      <c r="I1221" s="42"/>
      <c r="J1221" s="43"/>
      <c r="K1221" s="72">
        <v>12.0</v>
      </c>
      <c r="L1221" s="53" t="s">
        <v>69</v>
      </c>
      <c r="M1221" s="73">
        <v>2500.0</v>
      </c>
      <c r="N1221" s="74"/>
      <c r="O1221" s="73">
        <v>30000.0</v>
      </c>
      <c r="P1221" s="46" t="str">
        <f t="shared" si="2"/>
        <v>Rp2,500-12 PCS-0.00%</v>
      </c>
      <c r="Q1221" s="75">
        <v>45412.0</v>
      </c>
      <c r="R1221" s="76"/>
      <c r="S1221" s="75">
        <v>45420.0</v>
      </c>
      <c r="T1221" s="49"/>
    </row>
    <row r="1222">
      <c r="A1222" s="82">
        <v>4430.0</v>
      </c>
      <c r="B1222" s="69" t="s">
        <v>29</v>
      </c>
      <c r="C1222" s="70" t="s">
        <v>1457</v>
      </c>
      <c r="D1222" s="69" t="s">
        <v>1710</v>
      </c>
      <c r="E1222" s="41" t="str">
        <f>IFERROR(__xludf.DUMMYFUNCTION("vlookup(D1222,IMPORTRANGE(""https://docs.google.com/spreadsheets/d/1swGwZOEqYlTEUCJLY-eeJM1911Kvaei5oySBIxdgtNo/edit?pli=1#gid=257618397"",""stock untanna!B:C""),2,false)"),"ASAHAN 395 B")</f>
        <v>ASAHAN 395 B</v>
      </c>
      <c r="F1222" s="70" t="s">
        <v>1710</v>
      </c>
      <c r="G1222" s="71" t="s">
        <v>1711</v>
      </c>
      <c r="H1222" s="41"/>
      <c r="I1222" s="42"/>
      <c r="J1222" s="43"/>
      <c r="K1222" s="72">
        <v>1.0</v>
      </c>
      <c r="L1222" s="53" t="s">
        <v>62</v>
      </c>
      <c r="M1222" s="73">
        <v>27500.0</v>
      </c>
      <c r="N1222" s="74"/>
      <c r="O1222" s="73">
        <v>27500.0</v>
      </c>
      <c r="P1222" s="46" t="str">
        <f t="shared" si="2"/>
        <v>Rp27,500-1 LSN-0.00%</v>
      </c>
      <c r="Q1222" s="75">
        <v>45412.0</v>
      </c>
      <c r="R1222" s="76"/>
      <c r="S1222" s="75">
        <v>45420.0</v>
      </c>
      <c r="T1222" s="49" t="s">
        <v>100</v>
      </c>
    </row>
    <row r="1223">
      <c r="A1223" s="82">
        <v>4430.0</v>
      </c>
      <c r="B1223" s="69" t="s">
        <v>29</v>
      </c>
      <c r="C1223" s="70" t="s">
        <v>1457</v>
      </c>
      <c r="D1223" s="69" t="s">
        <v>1712</v>
      </c>
      <c r="E1223" s="41" t="str">
        <f>IFERROR(__xludf.DUMMYFUNCTION("vlookup(D1223,IMPORTRANGE(""https://docs.google.com/spreadsheets/d/1swGwZOEqYlTEUCJLY-eeJM1911Kvaei5oySBIxdgtNo/edit?pli=1#gid=257618397"",""stock untanna!B:C""),2,false)"),"ASAHAN CL-113/2H 1X48")</f>
        <v>ASAHAN CL-113/2H 1X48</v>
      </c>
      <c r="F1223" s="70" t="s">
        <v>1712</v>
      </c>
      <c r="G1223" s="71" t="s">
        <v>1713</v>
      </c>
      <c r="H1223" s="41"/>
      <c r="I1223" s="42"/>
      <c r="J1223" s="43"/>
      <c r="K1223" s="72">
        <v>4.0</v>
      </c>
      <c r="L1223" s="53" t="s">
        <v>62</v>
      </c>
      <c r="M1223" s="73">
        <v>25000.0</v>
      </c>
      <c r="N1223" s="74"/>
      <c r="O1223" s="73">
        <v>100000.0</v>
      </c>
      <c r="P1223" s="46" t="str">
        <f t="shared" si="2"/>
        <v>Rp25,000-4 LSN-0.00%</v>
      </c>
      <c r="Q1223" s="75">
        <v>45412.0</v>
      </c>
      <c r="R1223" s="76"/>
      <c r="S1223" s="75">
        <v>45420.0</v>
      </c>
      <c r="T1223" s="49" t="s">
        <v>100</v>
      </c>
    </row>
    <row r="1224">
      <c r="A1224" s="82">
        <v>4431.0</v>
      </c>
      <c r="B1224" s="69" t="s">
        <v>29</v>
      </c>
      <c r="C1224" s="70" t="s">
        <v>1457</v>
      </c>
      <c r="D1224" s="69"/>
      <c r="E1224" s="41" t="s">
        <v>1714</v>
      </c>
      <c r="F1224" s="70"/>
      <c r="G1224" s="71" t="s">
        <v>1714</v>
      </c>
      <c r="H1224" s="41"/>
      <c r="I1224" s="42"/>
      <c r="J1224" s="43"/>
      <c r="K1224" s="72">
        <v>1.0</v>
      </c>
      <c r="L1224" s="53" t="s">
        <v>1715</v>
      </c>
      <c r="M1224" s="73">
        <v>66000.0</v>
      </c>
      <c r="N1224" s="74"/>
      <c r="O1224" s="73">
        <v>66000.0</v>
      </c>
      <c r="P1224" s="46" t="str">
        <f t="shared" si="2"/>
        <v>Rp66,000-1 BOX (36)-0.00%</v>
      </c>
      <c r="Q1224" s="75">
        <v>45412.0</v>
      </c>
      <c r="R1224" s="76"/>
      <c r="S1224" s="75">
        <v>45420.0</v>
      </c>
      <c r="T1224" s="49"/>
    </row>
    <row r="1225">
      <c r="A1225" s="82">
        <v>4431.0</v>
      </c>
      <c r="B1225" s="69" t="s">
        <v>29</v>
      </c>
      <c r="C1225" s="70" t="s">
        <v>1457</v>
      </c>
      <c r="D1225" s="69" t="s">
        <v>1716</v>
      </c>
      <c r="E1225" s="41" t="str">
        <f>IFERROR(__xludf.DUMMYFUNCTION("vlookup(D1225,IMPORTRANGE(""https://docs.google.com/spreadsheets/d/1swGwZOEqYlTEUCJLY-eeJM1911Kvaei5oySBIxdgtNo/edit?pli=1#gid=257618397"",""stock untanna!B:C""),2,false)"),"STIP RENCAI RC 6008")</f>
        <v>STIP RENCAI RC 6008</v>
      </c>
      <c r="F1225" s="70" t="s">
        <v>1716</v>
      </c>
      <c r="G1225" s="71" t="s">
        <v>1717</v>
      </c>
      <c r="H1225" s="41"/>
      <c r="I1225" s="42"/>
      <c r="J1225" s="43"/>
      <c r="K1225" s="72">
        <v>6.0</v>
      </c>
      <c r="L1225" s="53" t="s">
        <v>62</v>
      </c>
      <c r="M1225" s="73">
        <v>26500.0</v>
      </c>
      <c r="N1225" s="74"/>
      <c r="O1225" s="73">
        <v>159000.0</v>
      </c>
      <c r="P1225" s="46" t="str">
        <f t="shared" si="2"/>
        <v>Rp26,500-6 LSN-0.00%</v>
      </c>
      <c r="Q1225" s="75">
        <v>45412.0</v>
      </c>
      <c r="R1225" s="76"/>
      <c r="S1225" s="75">
        <v>45420.0</v>
      </c>
      <c r="T1225" s="49"/>
    </row>
    <row r="1226">
      <c r="A1226" s="82">
        <v>4431.0</v>
      </c>
      <c r="B1226" s="69" t="s">
        <v>29</v>
      </c>
      <c r="C1226" s="70" t="s">
        <v>1457</v>
      </c>
      <c r="D1226" s="69" t="s">
        <v>830</v>
      </c>
      <c r="E1226" s="41" t="str">
        <f>IFERROR(__xludf.DUMMYFUNCTION("vlookup(D1226,IMPORTRANGE(""https://docs.google.com/spreadsheets/d/1swGwZOEqYlTEUCJLY-eeJM1911Kvaei5oySBIxdgtNo/edit?pli=1#gid=257618397"",""stock untanna!B:C""),2,false)"),"STIP RENCAI RC 700")</f>
        <v>STIP RENCAI RC 700</v>
      </c>
      <c r="F1226" s="70" t="s">
        <v>830</v>
      </c>
      <c r="G1226" s="71" t="s">
        <v>831</v>
      </c>
      <c r="H1226" s="41"/>
      <c r="I1226" s="42"/>
      <c r="J1226" s="43"/>
      <c r="K1226" s="72">
        <v>4.0</v>
      </c>
      <c r="L1226" s="53" t="s">
        <v>62</v>
      </c>
      <c r="M1226" s="73">
        <v>26500.0</v>
      </c>
      <c r="N1226" s="74"/>
      <c r="O1226" s="73">
        <v>106000.0</v>
      </c>
      <c r="P1226" s="46" t="str">
        <f t="shared" si="2"/>
        <v>Rp26,500-4 LSN-0.00%</v>
      </c>
      <c r="Q1226" s="75">
        <v>45412.0</v>
      </c>
      <c r="R1226" s="76"/>
      <c r="S1226" s="75">
        <v>45420.0</v>
      </c>
      <c r="T1226" s="49"/>
    </row>
    <row r="1227">
      <c r="A1227" s="82">
        <v>4431.0</v>
      </c>
      <c r="B1227" s="69" t="s">
        <v>29</v>
      </c>
      <c r="C1227" s="70" t="s">
        <v>1457</v>
      </c>
      <c r="D1227" s="69" t="s">
        <v>1718</v>
      </c>
      <c r="E1227" s="41" t="str">
        <f>IFERROR(__xludf.DUMMYFUNCTION("vlookup(D1227,IMPORTRANGE(""https://docs.google.com/spreadsheets/d/1swGwZOEqYlTEUCJLY-eeJM1911Kvaei5oySBIxdgtNo/edit?pli=1#gid=257618397"",""stock untanna!B:C""),2,false)"),"DISPENSER KEONG V-TECH 216")</f>
        <v>DISPENSER KEONG V-TECH 216</v>
      </c>
      <c r="F1227" s="70" t="s">
        <v>1718</v>
      </c>
      <c r="G1227" s="71" t="s">
        <v>1719</v>
      </c>
      <c r="H1227" s="41"/>
      <c r="I1227" s="42"/>
      <c r="J1227" s="43"/>
      <c r="K1227" s="72">
        <v>6.0</v>
      </c>
      <c r="L1227" s="53" t="s">
        <v>69</v>
      </c>
      <c r="M1227" s="73">
        <v>22500.0</v>
      </c>
      <c r="N1227" s="74"/>
      <c r="O1227" s="73">
        <v>135000.0</v>
      </c>
      <c r="P1227" s="46" t="str">
        <f t="shared" si="2"/>
        <v>Rp22,500-6 PCS-0.00%</v>
      </c>
      <c r="Q1227" s="75">
        <v>45412.0</v>
      </c>
      <c r="R1227" s="76"/>
      <c r="S1227" s="75">
        <v>45420.0</v>
      </c>
      <c r="T1227" s="49"/>
    </row>
    <row r="1228">
      <c r="A1228" s="82">
        <v>4431.0</v>
      </c>
      <c r="B1228" s="69" t="s">
        <v>29</v>
      </c>
      <c r="C1228" s="70" t="s">
        <v>1457</v>
      </c>
      <c r="D1228" s="69" t="s">
        <v>1092</v>
      </c>
      <c r="E1228" s="41" t="str">
        <f>IFERROR(__xludf.DUMMYFUNCTION("vlookup(D1228,IMPORTRANGE(""https://docs.google.com/spreadsheets/d/1swGwZOEqYlTEUCJLY-eeJM1911Kvaei5oySBIxdgtNo/edit?pli=1#gid=257618397"",""stock untanna!B:C""),2,false)"),"TAPE LK-22305")</f>
        <v>TAPE LK-22305</v>
      </c>
      <c r="F1228" s="70" t="s">
        <v>1092</v>
      </c>
      <c r="G1228" s="71" t="s">
        <v>1093</v>
      </c>
      <c r="H1228" s="41"/>
      <c r="I1228" s="42"/>
      <c r="J1228" s="43"/>
      <c r="K1228" s="72">
        <v>3.0</v>
      </c>
      <c r="L1228" s="53" t="s">
        <v>88</v>
      </c>
      <c r="M1228" s="73">
        <v>144000.0</v>
      </c>
      <c r="N1228" s="74"/>
      <c r="O1228" s="73">
        <v>432000.0</v>
      </c>
      <c r="P1228" s="46" t="str">
        <f t="shared" si="2"/>
        <v>Rp144,000-3 BOX-0.00%</v>
      </c>
      <c r="Q1228" s="75">
        <v>45412.0</v>
      </c>
      <c r="R1228" s="76"/>
      <c r="S1228" s="75">
        <v>45420.0</v>
      </c>
      <c r="T1228" s="49"/>
    </row>
    <row r="1229">
      <c r="A1229" s="82">
        <v>4431.0</v>
      </c>
      <c r="B1229" s="69" t="s">
        <v>29</v>
      </c>
      <c r="C1229" s="70" t="s">
        <v>1457</v>
      </c>
      <c r="D1229" s="69"/>
      <c r="E1229" s="41" t="s">
        <v>1720</v>
      </c>
      <c r="F1229" s="70"/>
      <c r="G1229" s="71" t="s">
        <v>1720</v>
      </c>
      <c r="H1229" s="41"/>
      <c r="I1229" s="42"/>
      <c r="J1229" s="43"/>
      <c r="K1229" s="72">
        <v>2.0</v>
      </c>
      <c r="L1229" s="53" t="s">
        <v>1721</v>
      </c>
      <c r="M1229" s="73">
        <v>60000.0</v>
      </c>
      <c r="N1229" s="74"/>
      <c r="O1229" s="73">
        <v>120000.0</v>
      </c>
      <c r="P1229" s="46" t="str">
        <f t="shared" si="2"/>
        <v>Rp60,000-2 BOX (60)-0.00%</v>
      </c>
      <c r="Q1229" s="75">
        <v>45412.0</v>
      </c>
      <c r="R1229" s="76"/>
      <c r="S1229" s="75">
        <v>45420.0</v>
      </c>
      <c r="T1229" s="80" t="s">
        <v>280</v>
      </c>
    </row>
    <row r="1230">
      <c r="A1230" s="82">
        <v>4431.0</v>
      </c>
      <c r="B1230" s="69" t="s">
        <v>29</v>
      </c>
      <c r="C1230" s="70" t="s">
        <v>1457</v>
      </c>
      <c r="D1230" s="69" t="s">
        <v>1722</v>
      </c>
      <c r="E1230" s="41" t="str">
        <f>IFERROR(__xludf.DUMMYFUNCTION("vlookup(D1230,IMPORTRANGE(""https://docs.google.com/spreadsheets/d/1swGwZOEqYlTEUCJLY-eeJM1911Kvaei5oySBIxdgtNo/edit?pli=1#gid=257618397"",""stock untanna!B:C""),2,false)"),"PITA JEPANG ROLL MOTIF WOMY")</f>
        <v>PITA JEPANG ROLL MOTIF WOMY</v>
      </c>
      <c r="F1230" s="70" t="s">
        <v>1722</v>
      </c>
      <c r="G1230" s="71" t="s">
        <v>1723</v>
      </c>
      <c r="H1230" s="41"/>
      <c r="I1230" s="42"/>
      <c r="J1230" s="43"/>
      <c r="K1230" s="72">
        <v>50.0</v>
      </c>
      <c r="L1230" s="53" t="s">
        <v>69</v>
      </c>
      <c r="M1230" s="73">
        <v>1100.0</v>
      </c>
      <c r="N1230" s="74"/>
      <c r="O1230" s="73">
        <v>55000.0</v>
      </c>
      <c r="P1230" s="46" t="str">
        <f t="shared" si="2"/>
        <v>Rp1,100-50 PCS-0.00%</v>
      </c>
      <c r="Q1230" s="75">
        <v>45412.0</v>
      </c>
      <c r="R1230" s="76"/>
      <c r="S1230" s="75">
        <v>45420.0</v>
      </c>
      <c r="T1230" s="49"/>
    </row>
    <row r="1231">
      <c r="A1231" s="82">
        <v>4431.0</v>
      </c>
      <c r="B1231" s="69" t="s">
        <v>29</v>
      </c>
      <c r="C1231" s="70" t="s">
        <v>1457</v>
      </c>
      <c r="D1231" s="69" t="s">
        <v>1724</v>
      </c>
      <c r="E1231" s="41" t="str">
        <f>IFERROR(__xludf.DUMMYFUNCTION("vlookup(D1231,IMPORTRANGE(""https://docs.google.com/spreadsheets/d/1swGwZOEqYlTEUCJLY-eeJM1911Kvaei5oySBIxdgtNo/edit?pli=1#gid=257618397"",""stock untanna!B:C""),2,false)"),"PITA JEPANG ROLL POLOS WOMY")</f>
        <v>PITA JEPANG ROLL POLOS WOMY</v>
      </c>
      <c r="F1231" s="70" t="s">
        <v>1724</v>
      </c>
      <c r="G1231" s="71" t="s">
        <v>1725</v>
      </c>
      <c r="H1231" s="41"/>
      <c r="I1231" s="42"/>
      <c r="J1231" s="43"/>
      <c r="K1231" s="72">
        <v>1.0</v>
      </c>
      <c r="L1231" s="53" t="s">
        <v>1726</v>
      </c>
      <c r="M1231" s="73">
        <v>55000.0</v>
      </c>
      <c r="N1231" s="74"/>
      <c r="O1231" s="73">
        <v>55000.0</v>
      </c>
      <c r="P1231" s="46" t="str">
        <f t="shared" si="2"/>
        <v>Rp55,000-1 SLOP-0.00%</v>
      </c>
      <c r="Q1231" s="75">
        <v>45412.0</v>
      </c>
      <c r="R1231" s="76"/>
      <c r="S1231" s="75">
        <v>45420.0</v>
      </c>
      <c r="T1231" s="49"/>
    </row>
    <row r="1232">
      <c r="A1232" s="82">
        <v>4431.0</v>
      </c>
      <c r="B1232" s="69" t="s">
        <v>29</v>
      </c>
      <c r="C1232" s="70" t="s">
        <v>1457</v>
      </c>
      <c r="D1232" s="69" t="s">
        <v>1727</v>
      </c>
      <c r="E1232" s="41" t="str">
        <f>IFERROR(__xludf.DUMMYFUNCTION("vlookup(D1232,IMPORTRANGE(""https://docs.google.com/spreadsheets/d/1swGwZOEqYlTEUCJLY-eeJM1911Kvaei5oySBIxdgtNo/edit?pli=1#gid=257618397"",""stock untanna!B:C""),2,false)"),"PITA JEPANG GARIS EMAS (LISMAS)")</f>
        <v>PITA JEPANG GARIS EMAS (LISMAS)</v>
      </c>
      <c r="F1232" s="70" t="s">
        <v>1727</v>
      </c>
      <c r="G1232" s="71" t="s">
        <v>1728</v>
      </c>
      <c r="H1232" s="41"/>
      <c r="I1232" s="42"/>
      <c r="J1232" s="43"/>
      <c r="K1232" s="72">
        <v>1.0</v>
      </c>
      <c r="L1232" s="53" t="s">
        <v>1726</v>
      </c>
      <c r="M1232" s="73">
        <v>55000.0</v>
      </c>
      <c r="N1232" s="74"/>
      <c r="O1232" s="73">
        <v>55000.0</v>
      </c>
      <c r="P1232" s="46" t="str">
        <f t="shared" si="2"/>
        <v>Rp55,000-1 SLOP-0.00%</v>
      </c>
      <c r="Q1232" s="75">
        <v>45412.0</v>
      </c>
      <c r="R1232" s="76"/>
      <c r="S1232" s="75">
        <v>45420.0</v>
      </c>
      <c r="T1232" s="49"/>
    </row>
    <row r="1233">
      <c r="A1233" s="82">
        <v>4431.0</v>
      </c>
      <c r="B1233" s="69" t="s">
        <v>29</v>
      </c>
      <c r="C1233" s="70" t="s">
        <v>1457</v>
      </c>
      <c r="D1233" s="69" t="s">
        <v>1729</v>
      </c>
      <c r="E1233" s="41" t="str">
        <f>IFERROR(__xludf.DUMMYFUNCTION("vlookup(D1233,IMPORTRANGE(""https://docs.google.com/spreadsheets/d/1swGwZOEqYlTEUCJLY-eeJM1911Kvaei5oySBIxdgtNo/edit?pli=1#gid=257618397"",""stock untanna!B:C""),2,false)"),"STIP RENCAI RC 6016")</f>
        <v>STIP RENCAI RC 6016</v>
      </c>
      <c r="F1233" s="70" t="s">
        <v>1729</v>
      </c>
      <c r="G1233" s="71" t="s">
        <v>1730</v>
      </c>
      <c r="H1233" s="41"/>
      <c r="I1233" s="42"/>
      <c r="J1233" s="43"/>
      <c r="K1233" s="72">
        <v>2.0</v>
      </c>
      <c r="L1233" s="53" t="s">
        <v>62</v>
      </c>
      <c r="M1233" s="73">
        <v>26500.0</v>
      </c>
      <c r="N1233" s="74"/>
      <c r="O1233" s="73">
        <v>53000.0</v>
      </c>
      <c r="P1233" s="46" t="str">
        <f t="shared" si="2"/>
        <v>Rp26,500-2 LSN-0.00%</v>
      </c>
      <c r="Q1233" s="75">
        <v>45412.0</v>
      </c>
      <c r="R1233" s="76"/>
      <c r="S1233" s="75">
        <v>45420.0</v>
      </c>
      <c r="T1233" s="49"/>
    </row>
    <row r="1234">
      <c r="A1234" s="82">
        <v>4431.0</v>
      </c>
      <c r="B1234" s="69" t="s">
        <v>29</v>
      </c>
      <c r="C1234" s="70" t="s">
        <v>1457</v>
      </c>
      <c r="D1234" s="69"/>
      <c r="E1234" s="41" t="s">
        <v>1731</v>
      </c>
      <c r="F1234" s="70"/>
      <c r="G1234" s="71" t="s">
        <v>1731</v>
      </c>
      <c r="H1234" s="41"/>
      <c r="I1234" s="42"/>
      <c r="J1234" s="43"/>
      <c r="K1234" s="72">
        <v>1.0</v>
      </c>
      <c r="L1234" s="53" t="s">
        <v>1732</v>
      </c>
      <c r="M1234" s="73">
        <v>46500.0</v>
      </c>
      <c r="N1234" s="74"/>
      <c r="O1234" s="73">
        <v>46500.0</v>
      </c>
      <c r="P1234" s="46" t="str">
        <f t="shared" si="2"/>
        <v>Rp46,500-1 BOX (12)-0.00%</v>
      </c>
      <c r="Q1234" s="75">
        <v>45412.0</v>
      </c>
      <c r="R1234" s="76"/>
      <c r="S1234" s="75">
        <v>45420.0</v>
      </c>
      <c r="T1234" s="49"/>
    </row>
    <row r="1235">
      <c r="A1235" s="82">
        <v>4431.0</v>
      </c>
      <c r="B1235" s="69" t="s">
        <v>29</v>
      </c>
      <c r="C1235" s="70" t="s">
        <v>1457</v>
      </c>
      <c r="D1235" s="69" t="s">
        <v>1060</v>
      </c>
      <c r="E1235" s="41" t="str">
        <f>IFERROR(__xludf.DUMMYFUNCTION("vlookup(D1235,IMPORTRANGE(""https://docs.google.com/spreadsheets/d/1swGwZOEqYlTEUCJLY-eeJM1911Kvaei5oySBIxdgtNo/edit?pli=1#gid=257618397"",""stock untanna!B:C""),2,false)"),"ASAHAN HIPPO X357")</f>
        <v>ASAHAN HIPPO X357</v>
      </c>
      <c r="F1235" s="70" t="s">
        <v>1060</v>
      </c>
      <c r="G1235" s="71" t="s">
        <v>1061</v>
      </c>
      <c r="H1235" s="41"/>
      <c r="I1235" s="42"/>
      <c r="J1235" s="43"/>
      <c r="K1235" s="72">
        <v>3.0</v>
      </c>
      <c r="L1235" s="53" t="s">
        <v>62</v>
      </c>
      <c r="M1235" s="73">
        <v>30000.0</v>
      </c>
      <c r="N1235" s="74"/>
      <c r="O1235" s="73">
        <v>90000.0</v>
      </c>
      <c r="P1235" s="46" t="str">
        <f t="shared" si="2"/>
        <v>Rp30,000-3 LSN-0.00%</v>
      </c>
      <c r="Q1235" s="75">
        <v>45412.0</v>
      </c>
      <c r="R1235" s="76"/>
      <c r="S1235" s="75">
        <v>45420.0</v>
      </c>
      <c r="T1235" s="49"/>
    </row>
    <row r="1236">
      <c r="A1236" s="82">
        <v>4431.0</v>
      </c>
      <c r="B1236" s="69" t="s">
        <v>29</v>
      </c>
      <c r="C1236" s="70" t="s">
        <v>1457</v>
      </c>
      <c r="D1236" s="69" t="s">
        <v>1733</v>
      </c>
      <c r="E1236" s="41" t="str">
        <f>IFERROR(__xludf.DUMMYFUNCTION("vlookup(D1236,IMPORTRANGE(""https://docs.google.com/spreadsheets/d/1swGwZOEqYlTEUCJLY-eeJM1911Kvaei5oySBIxdgtNo/edit?pli=1#gid=257618397"",""stock untanna!B:C""),2,false)"),"ASAHAN SC 6023")</f>
        <v>ASAHAN SC 6023</v>
      </c>
      <c r="F1236" s="70" t="s">
        <v>1733</v>
      </c>
      <c r="G1236" s="71" t="s">
        <v>1734</v>
      </c>
      <c r="H1236" s="41"/>
      <c r="I1236" s="42"/>
      <c r="J1236" s="43"/>
      <c r="K1236" s="72">
        <v>2.0</v>
      </c>
      <c r="L1236" s="53" t="s">
        <v>62</v>
      </c>
      <c r="M1236" s="73">
        <v>37000.0</v>
      </c>
      <c r="N1236" s="74"/>
      <c r="O1236" s="73">
        <v>74000.0</v>
      </c>
      <c r="P1236" s="46" t="str">
        <f t="shared" si="2"/>
        <v>Rp37,000-2 LSN-0.00%</v>
      </c>
      <c r="Q1236" s="75">
        <v>45412.0</v>
      </c>
      <c r="R1236" s="76"/>
      <c r="S1236" s="75">
        <v>45420.0</v>
      </c>
      <c r="T1236" s="49"/>
    </row>
    <row r="1237">
      <c r="A1237" s="82">
        <v>4431.0</v>
      </c>
      <c r="B1237" s="69" t="s">
        <v>29</v>
      </c>
      <c r="C1237" s="70" t="s">
        <v>1457</v>
      </c>
      <c r="D1237" s="69"/>
      <c r="E1237" s="41" t="s">
        <v>507</v>
      </c>
      <c r="F1237" s="70"/>
      <c r="G1237" s="71" t="s">
        <v>507</v>
      </c>
      <c r="H1237" s="41"/>
      <c r="I1237" s="42"/>
      <c r="J1237" s="43"/>
      <c r="K1237" s="72">
        <v>1.0</v>
      </c>
      <c r="L1237" s="53" t="s">
        <v>62</v>
      </c>
      <c r="M1237" s="73">
        <v>120000.0</v>
      </c>
      <c r="N1237" s="74"/>
      <c r="O1237" s="73">
        <v>120000.0</v>
      </c>
      <c r="P1237" s="46" t="str">
        <f t="shared" si="2"/>
        <v>Rp120,000-1 LSN-0.00%</v>
      </c>
      <c r="Q1237" s="75">
        <v>45412.0</v>
      </c>
      <c r="R1237" s="76"/>
      <c r="S1237" s="75">
        <v>45420.0</v>
      </c>
      <c r="T1237" s="49"/>
    </row>
    <row r="1238">
      <c r="A1238" s="82">
        <v>4431.0</v>
      </c>
      <c r="B1238" s="69" t="s">
        <v>29</v>
      </c>
      <c r="C1238" s="70" t="s">
        <v>1457</v>
      </c>
      <c r="D1238" s="69"/>
      <c r="E1238" s="41" t="s">
        <v>1735</v>
      </c>
      <c r="F1238" s="70"/>
      <c r="G1238" s="71" t="s">
        <v>1735</v>
      </c>
      <c r="H1238" s="41"/>
      <c r="I1238" s="42"/>
      <c r="J1238" s="43"/>
      <c r="K1238" s="72">
        <v>12.0</v>
      </c>
      <c r="L1238" s="53" t="s">
        <v>84</v>
      </c>
      <c r="M1238" s="73">
        <v>11000.0</v>
      </c>
      <c r="N1238" s="74"/>
      <c r="O1238" s="73">
        <v>132000.0</v>
      </c>
      <c r="P1238" s="46" t="str">
        <f t="shared" si="2"/>
        <v>Rp11,000-12 SET-0.00%</v>
      </c>
      <c r="Q1238" s="75">
        <v>45412.0</v>
      </c>
      <c r="R1238" s="76"/>
      <c r="S1238" s="75">
        <v>45420.0</v>
      </c>
      <c r="T1238" s="49"/>
    </row>
    <row r="1239">
      <c r="A1239" s="82">
        <v>4432.0</v>
      </c>
      <c r="B1239" s="69" t="s">
        <v>29</v>
      </c>
      <c r="C1239" s="70" t="s">
        <v>1457</v>
      </c>
      <c r="D1239" s="69"/>
      <c r="E1239" s="41" t="s">
        <v>1736</v>
      </c>
      <c r="F1239" s="70"/>
      <c r="G1239" s="71" t="s">
        <v>1736</v>
      </c>
      <c r="H1239" s="41"/>
      <c r="I1239" s="42"/>
      <c r="J1239" s="43"/>
      <c r="K1239" s="72">
        <v>1.0</v>
      </c>
      <c r="L1239" s="53" t="s">
        <v>88</v>
      </c>
      <c r="M1239" s="73">
        <v>52500.0</v>
      </c>
      <c r="N1239" s="74"/>
      <c r="O1239" s="73">
        <v>52500.0</v>
      </c>
      <c r="P1239" s="46" t="str">
        <f t="shared" si="2"/>
        <v>Rp52,500-1 BOX-0.00%</v>
      </c>
      <c r="Q1239" s="75">
        <v>45412.0</v>
      </c>
      <c r="R1239" s="76"/>
      <c r="S1239" s="75">
        <v>45420.0</v>
      </c>
      <c r="T1239" s="49"/>
    </row>
    <row r="1240">
      <c r="A1240" s="82">
        <v>4432.0</v>
      </c>
      <c r="B1240" s="69" t="s">
        <v>29</v>
      </c>
      <c r="C1240" s="70" t="s">
        <v>1457</v>
      </c>
      <c r="D1240" s="69"/>
      <c r="E1240" s="41" t="s">
        <v>1737</v>
      </c>
      <c r="F1240" s="70"/>
      <c r="G1240" s="71" t="s">
        <v>1737</v>
      </c>
      <c r="H1240" s="41"/>
      <c r="I1240" s="42"/>
      <c r="J1240" s="43"/>
      <c r="K1240" s="72">
        <v>1.0</v>
      </c>
      <c r="L1240" s="53" t="s">
        <v>62</v>
      </c>
      <c r="M1240" s="73">
        <v>270000.0</v>
      </c>
      <c r="N1240" s="74"/>
      <c r="O1240" s="73">
        <v>270000.0</v>
      </c>
      <c r="P1240" s="46" t="str">
        <f t="shared" si="2"/>
        <v>Rp270,000-1 LSN-0.00%</v>
      </c>
      <c r="Q1240" s="75">
        <v>45412.0</v>
      </c>
      <c r="R1240" s="76"/>
      <c r="S1240" s="75">
        <v>45420.0</v>
      </c>
      <c r="T1240" s="49"/>
    </row>
    <row r="1241">
      <c r="A1241" s="82">
        <v>4432.0</v>
      </c>
      <c r="B1241" s="69" t="s">
        <v>29</v>
      </c>
      <c r="C1241" s="70" t="s">
        <v>1457</v>
      </c>
      <c r="D1241" s="69" t="s">
        <v>1738</v>
      </c>
      <c r="E1241" s="41" t="str">
        <f>IFERROR(__xludf.DUMMYFUNCTION("vlookup(D1241,IMPORTRANGE(""https://docs.google.com/spreadsheets/d/1swGwZOEqYlTEUCJLY-eeJM1911Kvaei5oySBIxdgtNo/edit?pli=1#gid=257618397"",""stock untanna!B:C""),2,false)"),"ASAHAN DINOSAURUS 8188")</f>
        <v>ASAHAN DINOSAURUS 8188</v>
      </c>
      <c r="F1241" s="70" t="s">
        <v>1738</v>
      </c>
      <c r="G1241" s="71" t="s">
        <v>1739</v>
      </c>
      <c r="H1241" s="41"/>
      <c r="I1241" s="42"/>
      <c r="J1241" s="43"/>
      <c r="K1241" s="72">
        <v>48.0</v>
      </c>
      <c r="L1241" s="53" t="s">
        <v>69</v>
      </c>
      <c r="M1241" s="73">
        <v>4583.0</v>
      </c>
      <c r="N1241" s="74"/>
      <c r="O1241" s="73">
        <v>219984.0</v>
      </c>
      <c r="P1241" s="46" t="str">
        <f t="shared" si="2"/>
        <v>Rp4,583-48 PCS-0.00%</v>
      </c>
      <c r="Q1241" s="75">
        <v>45412.0</v>
      </c>
      <c r="R1241" s="76"/>
      <c r="S1241" s="75">
        <v>45420.0</v>
      </c>
      <c r="T1241" s="49"/>
    </row>
    <row r="1242">
      <c r="A1242" s="82">
        <v>4432.0</v>
      </c>
      <c r="B1242" s="69" t="s">
        <v>29</v>
      </c>
      <c r="C1242" s="70" t="s">
        <v>1457</v>
      </c>
      <c r="D1242" s="69" t="s">
        <v>1740</v>
      </c>
      <c r="E1242" s="41" t="str">
        <f>IFERROR(__xludf.DUMMYFUNCTION("vlookup(D1242,IMPORTRANGE(""https://docs.google.com/spreadsheets/d/1swGwZOEqYlTEUCJLY-eeJM1911Kvaei5oySBIxdgtNo/edit?pli=1#gid=257618397"",""stock untanna!B:C""),2,false)"),"ASAHAN TIKO 0531")</f>
        <v>ASAHAN TIKO 0531</v>
      </c>
      <c r="F1242" s="70" t="s">
        <v>1740</v>
      </c>
      <c r="G1242" s="71" t="s">
        <v>1741</v>
      </c>
      <c r="H1242" s="41"/>
      <c r="I1242" s="42"/>
      <c r="J1242" s="43"/>
      <c r="K1242" s="72">
        <v>2.0</v>
      </c>
      <c r="L1242" s="53" t="s">
        <v>62</v>
      </c>
      <c r="M1242" s="73">
        <v>155000.0</v>
      </c>
      <c r="N1242" s="74"/>
      <c r="O1242" s="73">
        <v>310000.0</v>
      </c>
      <c r="P1242" s="46" t="str">
        <f t="shared" si="2"/>
        <v>Rp155,000-2 LSN-0.00%</v>
      </c>
      <c r="Q1242" s="75">
        <v>45412.0</v>
      </c>
      <c r="R1242" s="76"/>
      <c r="S1242" s="75">
        <v>45420.0</v>
      </c>
      <c r="T1242" s="49"/>
    </row>
    <row r="1243">
      <c r="A1243" s="82">
        <v>4432.0</v>
      </c>
      <c r="B1243" s="69" t="s">
        <v>29</v>
      </c>
      <c r="C1243" s="70" t="s">
        <v>1457</v>
      </c>
      <c r="D1243" s="69"/>
      <c r="E1243" s="41" t="s">
        <v>1742</v>
      </c>
      <c r="F1243" s="70"/>
      <c r="G1243" s="71" t="s">
        <v>1742</v>
      </c>
      <c r="H1243" s="41"/>
      <c r="I1243" s="42"/>
      <c r="J1243" s="43"/>
      <c r="K1243" s="72">
        <v>1.0</v>
      </c>
      <c r="L1243" s="53" t="s">
        <v>62</v>
      </c>
      <c r="M1243" s="73">
        <v>80000.0</v>
      </c>
      <c r="N1243" s="74"/>
      <c r="O1243" s="73">
        <v>80000.0</v>
      </c>
      <c r="P1243" s="46" t="str">
        <f t="shared" si="2"/>
        <v>Rp80,000-1 LSN-0.00%</v>
      </c>
      <c r="Q1243" s="75">
        <v>45412.0</v>
      </c>
      <c r="R1243" s="76"/>
      <c r="S1243" s="75">
        <v>45420.0</v>
      </c>
      <c r="T1243" s="49"/>
    </row>
    <row r="1244">
      <c r="A1244" s="82">
        <v>4432.0</v>
      </c>
      <c r="B1244" s="69" t="s">
        <v>29</v>
      </c>
      <c r="C1244" s="70" t="s">
        <v>1457</v>
      </c>
      <c r="D1244" s="69"/>
      <c r="E1244" s="41" t="s">
        <v>1743</v>
      </c>
      <c r="F1244" s="70"/>
      <c r="G1244" s="71" t="s">
        <v>1743</v>
      </c>
      <c r="H1244" s="41"/>
      <c r="I1244" s="42"/>
      <c r="J1244" s="43"/>
      <c r="K1244" s="72">
        <v>1.0</v>
      </c>
      <c r="L1244" s="53" t="s">
        <v>62</v>
      </c>
      <c r="M1244" s="73">
        <v>17500.0</v>
      </c>
      <c r="N1244" s="74"/>
      <c r="O1244" s="73">
        <v>17500.0</v>
      </c>
      <c r="P1244" s="46" t="str">
        <f t="shared" si="2"/>
        <v>Rp17,500-1 LSN-0.00%</v>
      </c>
      <c r="Q1244" s="75">
        <v>45412.0</v>
      </c>
      <c r="R1244" s="76"/>
      <c r="S1244" s="75">
        <v>45420.0</v>
      </c>
      <c r="T1244" s="49"/>
    </row>
    <row r="1245">
      <c r="A1245" s="82">
        <v>4432.0</v>
      </c>
      <c r="B1245" s="69" t="s">
        <v>29</v>
      </c>
      <c r="C1245" s="70" t="s">
        <v>1457</v>
      </c>
      <c r="D1245" s="69" t="s">
        <v>503</v>
      </c>
      <c r="E1245" s="41" t="str">
        <f>IFERROR(__xludf.DUMMYFUNCTION("vlookup(D1245,IMPORTRANGE(""https://docs.google.com/spreadsheets/d/1swGwZOEqYlTEUCJLY-eeJM1911Kvaei5oySBIxdgtNo/edit?pli=1#gid=257618397"",""stock untanna!B:C""),2,false)"),"CUTTER TACO 78 KECIL TRANSPARAN")</f>
        <v>CUTTER TACO 78 KECIL TRANSPARAN</v>
      </c>
      <c r="F1245" s="70" t="s">
        <v>503</v>
      </c>
      <c r="G1245" s="71" t="s">
        <v>504</v>
      </c>
      <c r="H1245" s="41"/>
      <c r="I1245" s="42"/>
      <c r="J1245" s="43"/>
      <c r="K1245" s="72">
        <v>2.0</v>
      </c>
      <c r="L1245" s="53" t="s">
        <v>62</v>
      </c>
      <c r="M1245" s="73">
        <v>31000.0</v>
      </c>
      <c r="N1245" s="74"/>
      <c r="O1245" s="73">
        <v>62000.0</v>
      </c>
      <c r="P1245" s="46" t="str">
        <f t="shared" si="2"/>
        <v>Rp31,000-2 LSN-0.00%</v>
      </c>
      <c r="Q1245" s="75">
        <v>45412.0</v>
      </c>
      <c r="R1245" s="76"/>
      <c r="S1245" s="75">
        <v>45420.0</v>
      </c>
      <c r="T1245" s="49"/>
    </row>
    <row r="1246">
      <c r="A1246" s="82">
        <v>4432.0</v>
      </c>
      <c r="B1246" s="69" t="s">
        <v>29</v>
      </c>
      <c r="C1246" s="70" t="s">
        <v>1457</v>
      </c>
      <c r="D1246" s="69" t="s">
        <v>1460</v>
      </c>
      <c r="E1246" s="41" t="str">
        <f>IFERROR(__xludf.DUMMYFUNCTION("vlookup(D1246,IMPORTRANGE(""https://docs.google.com/spreadsheets/d/1swGwZOEqYlTEUCJLY-eeJM1911Kvaei5oySBIxdgtNo/edit?pli=1#gid=257618397"",""stock untanna!B:C""),2,false)"),"CLIP CANDY NO 1")</f>
        <v>CLIP CANDY NO 1</v>
      </c>
      <c r="F1246" s="70" t="s">
        <v>1460</v>
      </c>
      <c r="G1246" s="71" t="s">
        <v>1461</v>
      </c>
      <c r="H1246" s="41"/>
      <c r="I1246" s="42"/>
      <c r="J1246" s="43"/>
      <c r="K1246" s="72">
        <v>1.0</v>
      </c>
      <c r="L1246" s="53" t="s">
        <v>114</v>
      </c>
      <c r="M1246" s="73">
        <v>16000.0</v>
      </c>
      <c r="N1246" s="74"/>
      <c r="O1246" s="73">
        <v>16000.0</v>
      </c>
      <c r="P1246" s="46" t="str">
        <f t="shared" si="2"/>
        <v>Rp16,000-1 PAK-0.00%</v>
      </c>
      <c r="Q1246" s="75">
        <v>45412.0</v>
      </c>
      <c r="R1246" s="76"/>
      <c r="S1246" s="75">
        <v>45420.0</v>
      </c>
      <c r="T1246" s="49" t="s">
        <v>100</v>
      </c>
    </row>
    <row r="1247">
      <c r="A1247" s="82">
        <v>4432.0</v>
      </c>
      <c r="B1247" s="69" t="s">
        <v>29</v>
      </c>
      <c r="C1247" s="70" t="s">
        <v>1457</v>
      </c>
      <c r="D1247" s="69"/>
      <c r="E1247" s="41" t="s">
        <v>1744</v>
      </c>
      <c r="F1247" s="70"/>
      <c r="G1247" s="71" t="s">
        <v>1744</v>
      </c>
      <c r="H1247" s="41"/>
      <c r="I1247" s="42"/>
      <c r="J1247" s="43"/>
      <c r="K1247" s="72">
        <v>2.0</v>
      </c>
      <c r="L1247" s="53" t="s">
        <v>62</v>
      </c>
      <c r="M1247" s="73">
        <v>25000.0</v>
      </c>
      <c r="N1247" s="74"/>
      <c r="O1247" s="73">
        <v>50000.0</v>
      </c>
      <c r="P1247" s="46" t="str">
        <f t="shared" si="2"/>
        <v>Rp25,000-2 LSN-0.00%</v>
      </c>
      <c r="Q1247" s="75">
        <v>45412.0</v>
      </c>
      <c r="R1247" s="76"/>
      <c r="S1247" s="75">
        <v>45420.0</v>
      </c>
      <c r="T1247" s="49"/>
    </row>
    <row r="1248">
      <c r="A1248" s="82">
        <v>4432.0</v>
      </c>
      <c r="B1248" s="69" t="s">
        <v>29</v>
      </c>
      <c r="C1248" s="70" t="s">
        <v>1457</v>
      </c>
      <c r="D1248" s="69" t="s">
        <v>1745</v>
      </c>
      <c r="E1248" s="41" t="str">
        <f>IFERROR(__xludf.DUMMYFUNCTION("vlookup(D1248,IMPORTRANGE(""https://docs.google.com/spreadsheets/d/1swGwZOEqYlTEUCJLY-eeJM1911Kvaei5oySBIxdgtNo/edit?pli=1#gid=257618397"",""stock untanna!B:C""),2,false)"),"ASAHAN XXY-1868")</f>
        <v>ASAHAN XXY-1868</v>
      </c>
      <c r="F1248" s="70" t="s">
        <v>1745</v>
      </c>
      <c r="G1248" s="71" t="s">
        <v>1746</v>
      </c>
      <c r="H1248" s="41"/>
      <c r="I1248" s="42"/>
      <c r="J1248" s="43"/>
      <c r="K1248" s="72">
        <v>42.0</v>
      </c>
      <c r="L1248" s="53" t="s">
        <v>69</v>
      </c>
      <c r="M1248" s="73">
        <v>2500.0</v>
      </c>
      <c r="N1248" s="74"/>
      <c r="O1248" s="73">
        <v>105000.0</v>
      </c>
      <c r="P1248" s="46" t="str">
        <f t="shared" si="2"/>
        <v>Rp2,500-42 PCS-0.00%</v>
      </c>
      <c r="Q1248" s="75">
        <v>45412.0</v>
      </c>
      <c r="R1248" s="76"/>
      <c r="S1248" s="75">
        <v>45420.0</v>
      </c>
      <c r="T1248" s="49"/>
    </row>
    <row r="1249">
      <c r="A1249" s="82">
        <v>4432.0</v>
      </c>
      <c r="B1249" s="69" t="s">
        <v>29</v>
      </c>
      <c r="C1249" s="70" t="s">
        <v>1457</v>
      </c>
      <c r="D1249" s="69" t="s">
        <v>1747</v>
      </c>
      <c r="E1249" s="41" t="str">
        <f>IFERROR(__xludf.DUMMYFUNCTION("vlookup(D1249,IMPORTRANGE(""https://docs.google.com/spreadsheets/d/1swGwZOEqYlTEUCJLY-eeJM1911Kvaei5oySBIxdgtNo/edit?pli=1#gid=257618397"",""stock untanna!B:C""),2,false)"),"ASAHAN TY808")</f>
        <v>ASAHAN TY808</v>
      </c>
      <c r="F1249" s="70" t="s">
        <v>1747</v>
      </c>
      <c r="G1249" s="71" t="s">
        <v>1748</v>
      </c>
      <c r="H1249" s="41"/>
      <c r="I1249" s="42"/>
      <c r="J1249" s="43"/>
      <c r="K1249" s="72">
        <v>72.0</v>
      </c>
      <c r="L1249" s="53" t="s">
        <v>69</v>
      </c>
      <c r="M1249" s="73">
        <v>2500.0</v>
      </c>
      <c r="N1249" s="74"/>
      <c r="O1249" s="73">
        <v>180000.0</v>
      </c>
      <c r="P1249" s="46" t="str">
        <f t="shared" si="2"/>
        <v>Rp2,500-72 PCS-0.00%</v>
      </c>
      <c r="Q1249" s="75">
        <v>45412.0</v>
      </c>
      <c r="R1249" s="76"/>
      <c r="S1249" s="75">
        <v>45420.0</v>
      </c>
      <c r="T1249" s="49"/>
    </row>
    <row r="1250">
      <c r="A1250" s="82">
        <v>4432.0</v>
      </c>
      <c r="B1250" s="69" t="s">
        <v>29</v>
      </c>
      <c r="C1250" s="70" t="s">
        <v>1457</v>
      </c>
      <c r="D1250" s="69" t="s">
        <v>531</v>
      </c>
      <c r="E1250" s="41" t="str">
        <f>IFERROR(__xludf.DUMMYFUNCTION("vlookup(D1250,IMPORTRANGE(""https://docs.google.com/spreadsheets/d/1swGwZOEqYlTEUCJLY-eeJM1911Kvaei5oySBIxdgtNo/edit?pli=1#gid=257618397"",""stock untanna!B:C""),2,false)"),"ASAHAN 8095")</f>
        <v>ASAHAN 8095</v>
      </c>
      <c r="F1250" s="70" t="s">
        <v>531</v>
      </c>
      <c r="G1250" s="71" t="s">
        <v>532</v>
      </c>
      <c r="H1250" s="41"/>
      <c r="I1250" s="42"/>
      <c r="J1250" s="43"/>
      <c r="K1250" s="72">
        <v>48.0</v>
      </c>
      <c r="L1250" s="53" t="s">
        <v>69</v>
      </c>
      <c r="M1250" s="73">
        <v>2500.0</v>
      </c>
      <c r="N1250" s="74"/>
      <c r="O1250" s="73">
        <v>120000.0</v>
      </c>
      <c r="P1250" s="46" t="str">
        <f t="shared" si="2"/>
        <v>Rp2,500-48 PCS-0.00%</v>
      </c>
      <c r="Q1250" s="75">
        <v>45412.0</v>
      </c>
      <c r="R1250" s="76"/>
      <c r="S1250" s="75">
        <v>45420.0</v>
      </c>
      <c r="T1250" s="49"/>
    </row>
    <row r="1251">
      <c r="A1251" s="82">
        <v>4432.0</v>
      </c>
      <c r="B1251" s="69" t="s">
        <v>29</v>
      </c>
      <c r="C1251" s="70" t="s">
        <v>1457</v>
      </c>
      <c r="D1251" s="69" t="s">
        <v>1122</v>
      </c>
      <c r="E1251" s="41" t="str">
        <f>IFERROR(__xludf.DUMMYFUNCTION("vlookup(D1251,IMPORTRANGE(""https://docs.google.com/spreadsheets/d/1swGwZOEqYlTEUCJLY-eeJM1911Kvaei5oySBIxdgtNo/edit?pli=1#gid=257618397"",""stock untanna!B:C""),2,false)"),"ASAHAN 8810")</f>
        <v>ASAHAN 8810</v>
      </c>
      <c r="F1251" s="70" t="s">
        <v>1122</v>
      </c>
      <c r="G1251" s="71" t="s">
        <v>1123</v>
      </c>
      <c r="H1251" s="41"/>
      <c r="I1251" s="42"/>
      <c r="J1251" s="43"/>
      <c r="K1251" s="72">
        <v>72.0</v>
      </c>
      <c r="L1251" s="53" t="s">
        <v>69</v>
      </c>
      <c r="M1251" s="73">
        <v>2500.0</v>
      </c>
      <c r="N1251" s="74"/>
      <c r="O1251" s="73">
        <v>180000.0</v>
      </c>
      <c r="P1251" s="46" t="str">
        <f t="shared" si="2"/>
        <v>Rp2,500-72 PCS-0.00%</v>
      </c>
      <c r="Q1251" s="75">
        <v>45412.0</v>
      </c>
      <c r="R1251" s="76"/>
      <c r="S1251" s="75">
        <v>45420.0</v>
      </c>
      <c r="T1251" s="49"/>
    </row>
    <row r="1252">
      <c r="A1252" s="82">
        <v>4432.0</v>
      </c>
      <c r="B1252" s="69" t="s">
        <v>29</v>
      </c>
      <c r="C1252" s="70" t="s">
        <v>1457</v>
      </c>
      <c r="D1252" s="69" t="s">
        <v>1749</v>
      </c>
      <c r="E1252" s="41" t="str">
        <f>IFERROR(__xludf.DUMMYFUNCTION("vlookup(D1252,IMPORTRANGE(""https://docs.google.com/spreadsheets/d/1swGwZOEqYlTEUCJLY-eeJM1911Kvaei5oySBIxdgtNo/edit?pli=1#gid=257618397"",""stock untanna!B:C""),2,false)"),"ASAHAN 8608")</f>
        <v>ASAHAN 8608</v>
      </c>
      <c r="F1252" s="70" t="s">
        <v>1749</v>
      </c>
      <c r="G1252" s="71" t="s">
        <v>1750</v>
      </c>
      <c r="H1252" s="41"/>
      <c r="I1252" s="42"/>
      <c r="J1252" s="43"/>
      <c r="K1252" s="72">
        <v>6.0</v>
      </c>
      <c r="L1252" s="53" t="s">
        <v>69</v>
      </c>
      <c r="M1252" s="73">
        <v>28500.0</v>
      </c>
      <c r="N1252" s="74"/>
      <c r="O1252" s="73">
        <v>171000.0</v>
      </c>
      <c r="P1252" s="46" t="str">
        <f t="shared" si="2"/>
        <v>Rp28,500-6 PCS-0.00%</v>
      </c>
      <c r="Q1252" s="75">
        <v>45412.0</v>
      </c>
      <c r="R1252" s="76"/>
      <c r="S1252" s="75">
        <v>45420.0</v>
      </c>
      <c r="T1252" s="49"/>
    </row>
    <row r="1253">
      <c r="A1253" s="82">
        <v>4432.0</v>
      </c>
      <c r="B1253" s="69" t="s">
        <v>29</v>
      </c>
      <c r="C1253" s="70" t="s">
        <v>1457</v>
      </c>
      <c r="D1253" s="69" t="s">
        <v>1751</v>
      </c>
      <c r="E1253" s="41" t="str">
        <f>IFERROR(__xludf.DUMMYFUNCTION("vlookup(D1253,IMPORTRANGE(""https://docs.google.com/spreadsheets/d/1swGwZOEqYlTEUCJLY-eeJM1911Kvaei5oySBIxdgtNo/edit?pli=1#gid=257618397"",""stock untanna!B:C""),2,false)"),"ASAHAN DMS 030")</f>
        <v>ASAHAN DMS 030</v>
      </c>
      <c r="F1253" s="70" t="s">
        <v>1751</v>
      </c>
      <c r="G1253" s="71" t="s">
        <v>1752</v>
      </c>
      <c r="H1253" s="41"/>
      <c r="I1253" s="42"/>
      <c r="J1253" s="43"/>
      <c r="K1253" s="72">
        <v>3.0</v>
      </c>
      <c r="L1253" s="53" t="s">
        <v>62</v>
      </c>
      <c r="M1253" s="73">
        <v>31500.0</v>
      </c>
      <c r="N1253" s="74"/>
      <c r="O1253" s="73">
        <v>94500.0</v>
      </c>
      <c r="P1253" s="46" t="str">
        <f t="shared" si="2"/>
        <v>Rp31,500-3 LSN-0.00%</v>
      </c>
      <c r="Q1253" s="75">
        <v>45412.0</v>
      </c>
      <c r="R1253" s="76"/>
      <c r="S1253" s="75">
        <v>45420.0</v>
      </c>
      <c r="T1253" s="49" t="s">
        <v>100</v>
      </c>
    </row>
    <row r="1254">
      <c r="A1254" s="82">
        <v>4432.0</v>
      </c>
      <c r="B1254" s="69" t="s">
        <v>29</v>
      </c>
      <c r="C1254" s="70" t="s">
        <v>1457</v>
      </c>
      <c r="D1254" s="69" t="s">
        <v>1056</v>
      </c>
      <c r="E1254" s="41" t="str">
        <f>IFERROR(__xludf.DUMMYFUNCTION("vlookup(D1254,IMPORTRANGE(""https://docs.google.com/spreadsheets/d/1swGwZOEqYlTEUCJLY-eeJM1911Kvaei5oySBIxdgtNo/edit?pli=1#gid=257618397"",""stock untanna!B:C""),2,false)"),"ASAHAN 344")</f>
        <v>ASAHAN 344</v>
      </c>
      <c r="F1254" s="70" t="s">
        <v>1056</v>
      </c>
      <c r="G1254" s="71" t="s">
        <v>1057</v>
      </c>
      <c r="H1254" s="41"/>
      <c r="I1254" s="42"/>
      <c r="J1254" s="43"/>
      <c r="K1254" s="72">
        <v>3.0</v>
      </c>
      <c r="L1254" s="53" t="s">
        <v>62</v>
      </c>
      <c r="M1254" s="73">
        <v>30000.0</v>
      </c>
      <c r="N1254" s="74"/>
      <c r="O1254" s="73">
        <v>90000.0</v>
      </c>
      <c r="P1254" s="46" t="str">
        <f t="shared" si="2"/>
        <v>Rp30,000-3 LSN-0.00%</v>
      </c>
      <c r="Q1254" s="75">
        <v>45412.0</v>
      </c>
      <c r="R1254" s="76"/>
      <c r="S1254" s="75">
        <v>45420.0</v>
      </c>
      <c r="T1254" s="49" t="s">
        <v>100</v>
      </c>
    </row>
    <row r="1255">
      <c r="A1255" s="82">
        <v>4433.0</v>
      </c>
      <c r="B1255" s="69" t="s">
        <v>29</v>
      </c>
      <c r="C1255" s="70" t="s">
        <v>1457</v>
      </c>
      <c r="D1255" s="69" t="s">
        <v>1753</v>
      </c>
      <c r="E1255" s="41" t="str">
        <f>IFERROR(__xludf.DUMMYFUNCTION("vlookup(D1255,IMPORTRANGE(""https://docs.google.com/spreadsheets/d/1swGwZOEqYlTEUCJLY-eeJM1911Kvaei5oySBIxdgtNo/edit?pli=1#gid=257618397"",""stock untanna!B:C""),2,false)"),"ASAHAN 722B")</f>
        <v>ASAHAN 722B</v>
      </c>
      <c r="F1255" s="70" t="s">
        <v>1753</v>
      </c>
      <c r="G1255" s="71" t="s">
        <v>1754</v>
      </c>
      <c r="H1255" s="41"/>
      <c r="I1255" s="42"/>
      <c r="J1255" s="43"/>
      <c r="K1255" s="72">
        <v>6.0</v>
      </c>
      <c r="L1255" s="53" t="s">
        <v>69</v>
      </c>
      <c r="M1255" s="73">
        <v>18000.0</v>
      </c>
      <c r="N1255" s="74"/>
      <c r="O1255" s="73">
        <v>108000.0</v>
      </c>
      <c r="P1255" s="46" t="str">
        <f t="shared" si="2"/>
        <v>Rp18,000-6 PCS-0.00%</v>
      </c>
      <c r="Q1255" s="75">
        <v>45412.0</v>
      </c>
      <c r="R1255" s="76"/>
      <c r="S1255" s="75">
        <v>45420.0</v>
      </c>
      <c r="T1255" s="49"/>
    </row>
    <row r="1256">
      <c r="A1256" s="82">
        <v>4433.0</v>
      </c>
      <c r="B1256" s="69" t="s">
        <v>29</v>
      </c>
      <c r="C1256" s="70" t="s">
        <v>1457</v>
      </c>
      <c r="D1256" s="69" t="s">
        <v>1755</v>
      </c>
      <c r="E1256" s="41" t="str">
        <f>IFERROR(__xludf.DUMMYFUNCTION("vlookup(D1256,IMPORTRANGE(""https://docs.google.com/spreadsheets/d/1swGwZOEqYlTEUCJLY-eeJM1911Kvaei5oySBIxdgtNo/edit?pli=1#gid=257618397"",""stock untanna!B:C""),2,false)"),"DISPENSER KENJOY 25")</f>
        <v>DISPENSER KENJOY 25</v>
      </c>
      <c r="F1256" s="70" t="s">
        <v>1755</v>
      </c>
      <c r="G1256" s="71" t="s">
        <v>1756</v>
      </c>
      <c r="H1256" s="41"/>
      <c r="I1256" s="42"/>
      <c r="J1256" s="43"/>
      <c r="K1256" s="72">
        <v>12.0</v>
      </c>
      <c r="L1256" s="53" t="s">
        <v>69</v>
      </c>
      <c r="M1256" s="73">
        <v>9000.0</v>
      </c>
      <c r="N1256" s="74"/>
      <c r="O1256" s="73">
        <v>108000.0</v>
      </c>
      <c r="P1256" s="46" t="str">
        <f t="shared" si="2"/>
        <v>Rp9,000-12 PCS-0.00%</v>
      </c>
      <c r="Q1256" s="75">
        <v>45412.0</v>
      </c>
      <c r="R1256" s="76"/>
      <c r="S1256" s="75">
        <v>45420.0</v>
      </c>
      <c r="T1256" s="49"/>
    </row>
    <row r="1257">
      <c r="A1257" s="82">
        <v>4433.0</v>
      </c>
      <c r="B1257" s="69" t="s">
        <v>29</v>
      </c>
      <c r="C1257" s="70" t="s">
        <v>1457</v>
      </c>
      <c r="D1257" s="69"/>
      <c r="E1257" s="41" t="s">
        <v>1757</v>
      </c>
      <c r="F1257" s="70"/>
      <c r="G1257" s="71" t="s">
        <v>1757</v>
      </c>
      <c r="H1257" s="41"/>
      <c r="I1257" s="42"/>
      <c r="J1257" s="43"/>
      <c r="K1257" s="72">
        <v>2.0</v>
      </c>
      <c r="L1257" s="53" t="s">
        <v>114</v>
      </c>
      <c r="M1257" s="73">
        <v>9500.0</v>
      </c>
      <c r="N1257" s="74"/>
      <c r="O1257" s="73">
        <v>19000.0</v>
      </c>
      <c r="P1257" s="46" t="str">
        <f t="shared" si="2"/>
        <v>Rp9,500-2 PAK-0.00%</v>
      </c>
      <c r="Q1257" s="75">
        <v>45412.0</v>
      </c>
      <c r="R1257" s="76"/>
      <c r="S1257" s="75">
        <v>45420.0</v>
      </c>
      <c r="T1257" s="49"/>
    </row>
    <row r="1258">
      <c r="A1258" s="82">
        <v>4433.0</v>
      </c>
      <c r="B1258" s="69" t="s">
        <v>29</v>
      </c>
      <c r="C1258" s="70" t="s">
        <v>1457</v>
      </c>
      <c r="D1258" s="69"/>
      <c r="E1258" s="41" t="s">
        <v>1758</v>
      </c>
      <c r="F1258" s="70"/>
      <c r="G1258" s="71" t="s">
        <v>1758</v>
      </c>
      <c r="H1258" s="41"/>
      <c r="I1258" s="42"/>
      <c r="J1258" s="43"/>
      <c r="K1258" s="72">
        <v>2.0</v>
      </c>
      <c r="L1258" s="53" t="s">
        <v>114</v>
      </c>
      <c r="M1258" s="73">
        <v>8000.0</v>
      </c>
      <c r="N1258" s="74"/>
      <c r="O1258" s="73">
        <v>16000.0</v>
      </c>
      <c r="P1258" s="46" t="str">
        <f t="shared" si="2"/>
        <v>Rp8,000-2 PAK-0.00%</v>
      </c>
      <c r="Q1258" s="75">
        <v>45412.0</v>
      </c>
      <c r="R1258" s="76"/>
      <c r="S1258" s="75">
        <v>45420.0</v>
      </c>
      <c r="T1258" s="49"/>
    </row>
    <row r="1259">
      <c r="A1259" s="82">
        <v>4433.0</v>
      </c>
      <c r="B1259" s="69" t="s">
        <v>29</v>
      </c>
      <c r="C1259" s="70" t="s">
        <v>1457</v>
      </c>
      <c r="D1259" s="69"/>
      <c r="E1259" s="41" t="s">
        <v>1759</v>
      </c>
      <c r="F1259" s="70"/>
      <c r="G1259" s="71" t="s">
        <v>1759</v>
      </c>
      <c r="H1259" s="41"/>
      <c r="I1259" s="42"/>
      <c r="J1259" s="43"/>
      <c r="K1259" s="72">
        <v>2.0</v>
      </c>
      <c r="L1259" s="53" t="s">
        <v>114</v>
      </c>
      <c r="M1259" s="73">
        <v>11500.0</v>
      </c>
      <c r="N1259" s="74"/>
      <c r="O1259" s="73">
        <v>23000.0</v>
      </c>
      <c r="P1259" s="46" t="str">
        <f t="shared" si="2"/>
        <v>Rp11,500-2 PAK-0.00%</v>
      </c>
      <c r="Q1259" s="75">
        <v>45412.0</v>
      </c>
      <c r="R1259" s="76"/>
      <c r="S1259" s="75">
        <v>45420.0</v>
      </c>
      <c r="T1259" s="80" t="s">
        <v>280</v>
      </c>
    </row>
    <row r="1260">
      <c r="A1260" s="82">
        <v>4433.0</v>
      </c>
      <c r="B1260" s="69" t="s">
        <v>29</v>
      </c>
      <c r="C1260" s="70" t="s">
        <v>1457</v>
      </c>
      <c r="D1260" s="69"/>
      <c r="E1260" s="41" t="s">
        <v>1760</v>
      </c>
      <c r="F1260" s="70"/>
      <c r="G1260" s="71" t="s">
        <v>1760</v>
      </c>
      <c r="H1260" s="41"/>
      <c r="I1260" s="42"/>
      <c r="J1260" s="43"/>
      <c r="K1260" s="72">
        <v>2.0</v>
      </c>
      <c r="L1260" s="53" t="s">
        <v>114</v>
      </c>
      <c r="M1260" s="73">
        <v>11500.0</v>
      </c>
      <c r="N1260" s="74"/>
      <c r="O1260" s="73">
        <v>23000.0</v>
      </c>
      <c r="P1260" s="46" t="str">
        <f t="shared" si="2"/>
        <v>Rp11,500-2 PAK-0.00%</v>
      </c>
      <c r="Q1260" s="75">
        <v>45412.0</v>
      </c>
      <c r="R1260" s="76"/>
      <c r="S1260" s="75">
        <v>45420.0</v>
      </c>
      <c r="T1260" s="80" t="s">
        <v>280</v>
      </c>
    </row>
    <row r="1261">
      <c r="A1261" s="82">
        <v>4433.0</v>
      </c>
      <c r="B1261" s="69" t="s">
        <v>29</v>
      </c>
      <c r="C1261" s="70" t="s">
        <v>1457</v>
      </c>
      <c r="D1261" s="69" t="s">
        <v>511</v>
      </c>
      <c r="E1261" s="41" t="str">
        <f>IFERROR(__xludf.DUMMYFUNCTION("vlookup(D1261,IMPORTRANGE(""https://docs.google.com/spreadsheets/d/1swGwZOEqYlTEUCJLY-eeJM1911Kvaei5oySBIxdgtNo/edit?pli=1#gid=257618397"",""stock untanna!B:C""),2,false)"),"TAPE 1505 FANCY")</f>
        <v>TAPE 1505 FANCY</v>
      </c>
      <c r="F1261" s="70" t="s">
        <v>511</v>
      </c>
      <c r="G1261" s="71" t="s">
        <v>512</v>
      </c>
      <c r="H1261" s="41"/>
      <c r="I1261" s="42"/>
      <c r="J1261" s="43"/>
      <c r="K1261" s="72">
        <v>20.0</v>
      </c>
      <c r="L1261" s="53" t="s">
        <v>69</v>
      </c>
      <c r="M1261" s="73">
        <v>1000.0</v>
      </c>
      <c r="N1261" s="74"/>
      <c r="O1261" s="73">
        <v>20000.0</v>
      </c>
      <c r="P1261" s="46" t="str">
        <f t="shared" si="2"/>
        <v>Rp1,000-20 PCS-0.00%</v>
      </c>
      <c r="Q1261" s="75">
        <v>45412.0</v>
      </c>
      <c r="R1261" s="76"/>
      <c r="S1261" s="75">
        <v>45420.0</v>
      </c>
      <c r="T1261" s="49"/>
    </row>
    <row r="1262">
      <c r="A1262" s="82">
        <v>4433.0</v>
      </c>
      <c r="B1262" s="69" t="s">
        <v>29</v>
      </c>
      <c r="C1262" s="70" t="s">
        <v>1457</v>
      </c>
      <c r="D1262" s="69"/>
      <c r="E1262" s="41" t="s">
        <v>1761</v>
      </c>
      <c r="F1262" s="70"/>
      <c r="G1262" s="71" t="s">
        <v>1761</v>
      </c>
      <c r="H1262" s="41"/>
      <c r="I1262" s="42"/>
      <c r="J1262" s="43"/>
      <c r="K1262" s="72">
        <v>12.0</v>
      </c>
      <c r="L1262" s="53" t="s">
        <v>69</v>
      </c>
      <c r="M1262" s="73">
        <v>3500.0</v>
      </c>
      <c r="N1262" s="74"/>
      <c r="O1262" s="73">
        <v>42000.0</v>
      </c>
      <c r="P1262" s="46" t="str">
        <f t="shared" si="2"/>
        <v>Rp3,500-12 PCS-0.00%</v>
      </c>
      <c r="Q1262" s="75">
        <v>45412.0</v>
      </c>
      <c r="R1262" s="76"/>
      <c r="S1262" s="75">
        <v>45420.0</v>
      </c>
      <c r="T1262" s="49"/>
    </row>
    <row r="1263">
      <c r="A1263" s="82">
        <v>4433.0</v>
      </c>
      <c r="B1263" s="69" t="s">
        <v>29</v>
      </c>
      <c r="C1263" s="70" t="s">
        <v>1457</v>
      </c>
      <c r="D1263" s="69"/>
      <c r="E1263" s="41" t="s">
        <v>1762</v>
      </c>
      <c r="F1263" s="70"/>
      <c r="G1263" s="71" t="s">
        <v>1762</v>
      </c>
      <c r="H1263" s="41"/>
      <c r="I1263" s="42"/>
      <c r="J1263" s="43"/>
      <c r="K1263" s="72">
        <v>12.0</v>
      </c>
      <c r="L1263" s="53" t="s">
        <v>69</v>
      </c>
      <c r="M1263" s="73">
        <v>13000.0</v>
      </c>
      <c r="N1263" s="74"/>
      <c r="O1263" s="73">
        <v>156000.0</v>
      </c>
      <c r="P1263" s="46" t="str">
        <f t="shared" si="2"/>
        <v>Rp13,000-12 PCS-0.00%</v>
      </c>
      <c r="Q1263" s="75">
        <v>45412.0</v>
      </c>
      <c r="R1263" s="76"/>
      <c r="S1263" s="75">
        <v>45420.0</v>
      </c>
      <c r="T1263" s="49"/>
    </row>
    <row r="1264">
      <c r="A1264" s="82">
        <v>4433.0</v>
      </c>
      <c r="B1264" s="69" t="s">
        <v>29</v>
      </c>
      <c r="C1264" s="70" t="s">
        <v>1457</v>
      </c>
      <c r="D1264" s="69"/>
      <c r="E1264" s="41" t="s">
        <v>1763</v>
      </c>
      <c r="F1264" s="70"/>
      <c r="G1264" s="71" t="s">
        <v>1763</v>
      </c>
      <c r="H1264" s="41"/>
      <c r="I1264" s="42"/>
      <c r="J1264" s="43"/>
      <c r="K1264" s="72">
        <v>4.0</v>
      </c>
      <c r="L1264" s="53" t="s">
        <v>62</v>
      </c>
      <c r="M1264" s="73">
        <v>34000.0</v>
      </c>
      <c r="N1264" s="74"/>
      <c r="O1264" s="73">
        <v>136000.0</v>
      </c>
      <c r="P1264" s="46" t="str">
        <f t="shared" si="2"/>
        <v>Rp34,000-4 LSN-0.00%</v>
      </c>
      <c r="Q1264" s="75">
        <v>45412.0</v>
      </c>
      <c r="R1264" s="76"/>
      <c r="S1264" s="75">
        <v>45420.0</v>
      </c>
      <c r="T1264" s="49"/>
    </row>
    <row r="1265">
      <c r="A1265" s="82">
        <v>4433.0</v>
      </c>
      <c r="B1265" s="69" t="s">
        <v>29</v>
      </c>
      <c r="C1265" s="70" t="s">
        <v>1457</v>
      </c>
      <c r="D1265" s="69" t="s">
        <v>1764</v>
      </c>
      <c r="E1265" s="41" t="str">
        <f>IFERROR(__xludf.DUMMYFUNCTION("vlookup(D1265,IMPORTRANGE(""https://docs.google.com/spreadsheets/d/1swGwZOEqYlTEUCJLY-eeJM1911Kvaei5oySBIxdgtNo/edit?pli=1#gid=257618397"",""stock untanna!B:C""),2,false)"),"PW VANCO 12W PJG ZOO")</f>
        <v>PW VANCO 12W PJG ZOO</v>
      </c>
      <c r="F1265" s="70" t="s">
        <v>1764</v>
      </c>
      <c r="G1265" s="71" t="s">
        <v>1765</v>
      </c>
      <c r="H1265" s="41"/>
      <c r="I1265" s="42"/>
      <c r="J1265" s="43"/>
      <c r="K1265" s="72">
        <v>12.0</v>
      </c>
      <c r="L1265" s="53" t="s">
        <v>69</v>
      </c>
      <c r="M1265" s="73">
        <v>11375.0</v>
      </c>
      <c r="N1265" s="74"/>
      <c r="O1265" s="73">
        <v>136500.0</v>
      </c>
      <c r="P1265" s="46" t="str">
        <f t="shared" si="2"/>
        <v>Rp11,375-12 PCS-0.00%</v>
      </c>
      <c r="Q1265" s="75">
        <v>45412.0</v>
      </c>
      <c r="R1265" s="76"/>
      <c r="S1265" s="75">
        <v>45420.0</v>
      </c>
      <c r="T1265" s="49"/>
    </row>
    <row r="1266">
      <c r="A1266" s="82">
        <v>4433.0</v>
      </c>
      <c r="B1266" s="69" t="s">
        <v>29</v>
      </c>
      <c r="C1266" s="70" t="s">
        <v>1457</v>
      </c>
      <c r="D1266" s="69" t="s">
        <v>1766</v>
      </c>
      <c r="E1266" s="41" t="str">
        <f>IFERROR(__xludf.DUMMYFUNCTION("vlookup(D1266,IMPORTRANGE(""https://docs.google.com/spreadsheets/d/1swGwZOEqYlTEUCJLY-eeJM1911Kvaei5oySBIxdgtNo/edit?pli=1#gid=257618397"",""stock untanna!B:C""),2,false)"),"CAT ACRYLIC PACMAN")</f>
        <v>CAT ACRYLIC PACMAN</v>
      </c>
      <c r="F1266" s="70" t="s">
        <v>1766</v>
      </c>
      <c r="G1266" s="71" t="s">
        <v>1767</v>
      </c>
      <c r="H1266" s="41"/>
      <c r="I1266" s="42"/>
      <c r="J1266" s="43"/>
      <c r="K1266" s="72">
        <v>12.0</v>
      </c>
      <c r="L1266" s="53" t="s">
        <v>69</v>
      </c>
      <c r="M1266" s="73">
        <v>25000.0</v>
      </c>
      <c r="N1266" s="74"/>
      <c r="O1266" s="73">
        <v>300000.0</v>
      </c>
      <c r="P1266" s="46" t="str">
        <f t="shared" si="2"/>
        <v>Rp25,000-12 PCS-0.00%</v>
      </c>
      <c r="Q1266" s="75">
        <v>45412.0</v>
      </c>
      <c r="R1266" s="76"/>
      <c r="S1266" s="75">
        <v>45420.0</v>
      </c>
      <c r="T1266" s="49"/>
    </row>
    <row r="1267">
      <c r="A1267" s="82">
        <v>3874.0</v>
      </c>
      <c r="B1267" s="69" t="s">
        <v>29</v>
      </c>
      <c r="C1267" s="70" t="s">
        <v>1768</v>
      </c>
      <c r="D1267" s="69" t="s">
        <v>746</v>
      </c>
      <c r="E1267" s="41" t="str">
        <f>IFERROR(__xludf.DUMMYFUNCTION("vlookup(D1267,IMPORTRANGE(""https://docs.google.com/spreadsheets/d/1swGwZOEqYlTEUCJLY-eeJM1911Kvaei5oySBIxdgtNo/edit?pli=1#gid=257618397"",""stock untanna!B:C""),2,false)"),"STAMP PAD HERO K")</f>
        <v>STAMP PAD HERO K</v>
      </c>
      <c r="F1267" s="70" t="s">
        <v>746</v>
      </c>
      <c r="G1267" s="71" t="s">
        <v>747</v>
      </c>
      <c r="H1267" s="41"/>
      <c r="I1267" s="42"/>
      <c r="J1267" s="43"/>
      <c r="K1267" s="72">
        <v>5.0</v>
      </c>
      <c r="L1267" s="53" t="s">
        <v>62</v>
      </c>
      <c r="M1267" s="73">
        <v>60000.0</v>
      </c>
      <c r="N1267" s="74"/>
      <c r="O1267" s="73">
        <v>300000.0</v>
      </c>
      <c r="P1267" s="46" t="str">
        <f t="shared" si="2"/>
        <v>Rp60,000-5 LSN-0.00%</v>
      </c>
      <c r="Q1267" s="75">
        <v>45405.0</v>
      </c>
      <c r="R1267" s="76"/>
      <c r="S1267" s="75">
        <v>45420.0</v>
      </c>
      <c r="T1267" s="49"/>
    </row>
    <row r="1268">
      <c r="A1268" s="82">
        <v>3874.0</v>
      </c>
      <c r="B1268" s="69" t="s">
        <v>29</v>
      </c>
      <c r="C1268" s="70" t="s">
        <v>1768</v>
      </c>
      <c r="D1268" s="50" t="s">
        <v>1192</v>
      </c>
      <c r="E1268" s="41" t="str">
        <f>IFERROR(__xludf.DUMMYFUNCTION("vlookup(D1268,IMPORTRANGE(""https://docs.google.com/spreadsheets/d/1swGwZOEqYlTEUCJLY-eeJM1911Kvaei5oySBIxdgtNo/edit?pli=1#gid=257618397"",""stock untanna!B:C""),2,false)"),"ISI GEL DTIAN DT-090 (20PCS TABUNG)")</f>
        <v>ISI GEL DTIAN DT-090 (20PCS TABUNG)</v>
      </c>
      <c r="F1268" s="70" t="s">
        <v>1193</v>
      </c>
      <c r="G1268" s="71" t="s">
        <v>1194</v>
      </c>
      <c r="H1268" s="41"/>
      <c r="I1268" s="42"/>
      <c r="J1268" s="43"/>
      <c r="K1268" s="72">
        <v>2.0</v>
      </c>
      <c r="L1268" s="53" t="s">
        <v>88</v>
      </c>
      <c r="M1268" s="73">
        <v>216000.0</v>
      </c>
      <c r="N1268" s="74"/>
      <c r="O1268" s="73">
        <v>432000.0</v>
      </c>
      <c r="P1268" s="46" t="str">
        <f t="shared" si="2"/>
        <v>Rp216,000-2 BOX-0.00%</v>
      </c>
      <c r="Q1268" s="75">
        <v>45405.0</v>
      </c>
      <c r="R1268" s="76"/>
      <c r="S1268" s="75">
        <v>45420.0</v>
      </c>
      <c r="T1268" s="49"/>
    </row>
    <row r="1269">
      <c r="A1269" s="82">
        <v>3874.0</v>
      </c>
      <c r="B1269" s="69" t="s">
        <v>29</v>
      </c>
      <c r="C1269" s="70" t="s">
        <v>1768</v>
      </c>
      <c r="D1269" s="50" t="s">
        <v>1769</v>
      </c>
      <c r="E1269" s="41" t="str">
        <f>IFERROR(__xludf.DUMMYFUNCTION("IFNA(vlookup(D1269,IMPORTRANGE(""https://docs.google.com/spreadsheets/d/1swGwZOEqYlTEUCJLY-eeJM1911Kvaei5oySBIxdgtNo/edit?pli=1#gid=257618397"",""stock untanna!B:C""),2,false),V:V)"),"ISI GEL V-TRO 2018 TSUM")</f>
        <v>ISI GEL V-TRO 2018 TSUM</v>
      </c>
      <c r="F1269" s="70"/>
      <c r="G1269" s="71" t="s">
        <v>1770</v>
      </c>
      <c r="H1269" s="41"/>
      <c r="I1269" s="42"/>
      <c r="J1269" s="43" t="str">
        <f t="shared" ref="J1269:J1270" si="4">IF(D1269="","TIDAK ADA","ADA")</f>
        <v>ADA</v>
      </c>
      <c r="K1269" s="72">
        <v>12.0</v>
      </c>
      <c r="L1269" s="53" t="s">
        <v>88</v>
      </c>
      <c r="M1269" s="73">
        <v>6750.0</v>
      </c>
      <c r="N1269" s="74"/>
      <c r="O1269" s="73">
        <v>81000.0</v>
      </c>
      <c r="P1269" s="46" t="str">
        <f t="shared" si="2"/>
        <v>Rp6,750-12 BOX-0.00%</v>
      </c>
      <c r="Q1269" s="75">
        <v>45405.0</v>
      </c>
      <c r="R1269" s="76"/>
      <c r="S1269" s="75">
        <v>45420.0</v>
      </c>
      <c r="T1269" s="80" t="s">
        <v>280</v>
      </c>
    </row>
    <row r="1270">
      <c r="A1270" s="82">
        <v>3874.0</v>
      </c>
      <c r="B1270" s="69" t="s">
        <v>29</v>
      </c>
      <c r="C1270" s="70" t="s">
        <v>1768</v>
      </c>
      <c r="D1270" s="50" t="s">
        <v>1204</v>
      </c>
      <c r="E1270" s="41" t="str">
        <f>IFERROR(__xludf.DUMMYFUNCTION("IFNA(vlookup(D1270,IMPORTRANGE(""https://docs.google.com/spreadsheets/d/1swGwZOEqYlTEUCJLY-eeJM1911Kvaei5oySBIxdgtNo/edit?pli=1#gid=257618397"",""stock untanna!B:C""),2,false),V:V)"),"ISI GEL V-TRO 2020 HIJAB")</f>
        <v>ISI GEL V-TRO 2020 HIJAB</v>
      </c>
      <c r="F1270" s="70"/>
      <c r="G1270" s="71" t="s">
        <v>1205</v>
      </c>
      <c r="H1270" s="41"/>
      <c r="I1270" s="42"/>
      <c r="J1270" s="43" t="str">
        <f t="shared" si="4"/>
        <v>ADA</v>
      </c>
      <c r="K1270" s="72">
        <v>12.0</v>
      </c>
      <c r="L1270" s="53" t="s">
        <v>88</v>
      </c>
      <c r="M1270" s="73">
        <v>6750.0</v>
      </c>
      <c r="N1270" s="74"/>
      <c r="O1270" s="73">
        <v>81000.0</v>
      </c>
      <c r="P1270" s="46" t="str">
        <f t="shared" si="2"/>
        <v>Rp6,750-12 BOX-0.00%</v>
      </c>
      <c r="Q1270" s="75">
        <v>45405.0</v>
      </c>
      <c r="R1270" s="76"/>
      <c r="S1270" s="75">
        <v>45420.0</v>
      </c>
      <c r="T1270" s="80" t="s">
        <v>280</v>
      </c>
    </row>
    <row r="1271">
      <c r="A1271" s="82">
        <v>3874.0</v>
      </c>
      <c r="B1271" s="69" t="s">
        <v>29</v>
      </c>
      <c r="C1271" s="70" t="s">
        <v>1768</v>
      </c>
      <c r="D1271" s="69" t="s">
        <v>1771</v>
      </c>
      <c r="E1271" s="41" t="str">
        <f>IFERROR(__xludf.DUMMYFUNCTION("vlookup(D1271,IMPORTRANGE(""https://docs.google.com/spreadsheets/d/1swGwZOEqYlTEUCJLY-eeJM1911Kvaei5oySBIxdgtNo/edit?pli=1#gid=257618397"",""stock untanna!B:C""),2,false)"),"PENSIL KAYAGI 2B PF3093")</f>
        <v>PENSIL KAYAGI 2B PF3093</v>
      </c>
      <c r="F1271" s="70" t="s">
        <v>1771</v>
      </c>
      <c r="G1271" s="71" t="s">
        <v>1772</v>
      </c>
      <c r="H1271" s="41"/>
      <c r="I1271" s="42"/>
      <c r="J1271" s="43"/>
      <c r="K1271" s="72">
        <v>1.0</v>
      </c>
      <c r="L1271" s="53" t="s">
        <v>131</v>
      </c>
      <c r="M1271" s="73">
        <v>96000.0</v>
      </c>
      <c r="N1271" s="74"/>
      <c r="O1271" s="73">
        <v>96000.0</v>
      </c>
      <c r="P1271" s="46" t="str">
        <f t="shared" si="2"/>
        <v>Rp96,000-1 GRS-0.00%</v>
      </c>
      <c r="Q1271" s="75">
        <v>45405.0</v>
      </c>
      <c r="R1271" s="76"/>
      <c r="S1271" s="75">
        <v>45420.0</v>
      </c>
      <c r="T1271" s="49"/>
    </row>
    <row r="1272">
      <c r="A1272" s="82">
        <v>3874.0</v>
      </c>
      <c r="B1272" s="69" t="s">
        <v>29</v>
      </c>
      <c r="C1272" s="70" t="s">
        <v>1768</v>
      </c>
      <c r="D1272" s="69" t="s">
        <v>740</v>
      </c>
      <c r="E1272" s="41" t="str">
        <f>IFERROR(__xludf.DUMMYFUNCTION("vlookup(D1272,IMPORTRANGE(""https://docs.google.com/spreadsheets/d/1swGwZOEqYlTEUCJLY-eeJM1911Kvaei5oySBIxdgtNo/edit?pli=1#gid=257618397"",""stock untanna!B:C""),2,false)"),"PENSIL KAYAGI 3062")</f>
        <v>PENSIL KAYAGI 3062</v>
      </c>
      <c r="F1272" s="70" t="s">
        <v>740</v>
      </c>
      <c r="G1272" s="71" t="s">
        <v>741</v>
      </c>
      <c r="H1272" s="41"/>
      <c r="I1272" s="42"/>
      <c r="J1272" s="43"/>
      <c r="K1272" s="72">
        <v>1.0</v>
      </c>
      <c r="L1272" s="53" t="s">
        <v>131</v>
      </c>
      <c r="M1272" s="73">
        <v>96000.0</v>
      </c>
      <c r="N1272" s="74"/>
      <c r="O1272" s="73">
        <v>96000.0</v>
      </c>
      <c r="P1272" s="46" t="str">
        <f t="shared" si="2"/>
        <v>Rp96,000-1 GRS-0.00%</v>
      </c>
      <c r="Q1272" s="75">
        <v>45405.0</v>
      </c>
      <c r="R1272" s="76"/>
      <c r="S1272" s="75">
        <v>45420.0</v>
      </c>
      <c r="T1272" s="49"/>
    </row>
    <row r="1273">
      <c r="A1273" s="82">
        <v>3874.0</v>
      </c>
      <c r="B1273" s="69" t="s">
        <v>29</v>
      </c>
      <c r="C1273" s="70" t="s">
        <v>1768</v>
      </c>
      <c r="D1273" s="69" t="s">
        <v>1656</v>
      </c>
      <c r="E1273" s="41" t="str">
        <f>IFERROR(__xludf.DUMMYFUNCTION("vlookup(D1273,IMPORTRANGE(""https://docs.google.com/spreadsheets/d/1swGwZOEqYlTEUCJLY-eeJM1911Kvaei5oySBIxdgtNo/edit?pli=1#gid=257618397"",""stock untanna!B:C""),2,false)"),"PENSIL 2B KAYAGI 3041")</f>
        <v>PENSIL 2B KAYAGI 3041</v>
      </c>
      <c r="F1273" s="70" t="s">
        <v>1656</v>
      </c>
      <c r="G1273" s="71" t="s">
        <v>1657</v>
      </c>
      <c r="H1273" s="41"/>
      <c r="I1273" s="42"/>
      <c r="J1273" s="43"/>
      <c r="K1273" s="72">
        <v>1.0</v>
      </c>
      <c r="L1273" s="53" t="s">
        <v>131</v>
      </c>
      <c r="M1273" s="73">
        <v>96000.0</v>
      </c>
      <c r="N1273" s="74"/>
      <c r="O1273" s="73">
        <v>96000.0</v>
      </c>
      <c r="P1273" s="46" t="str">
        <f t="shared" si="2"/>
        <v>Rp96,000-1 GRS-0.00%</v>
      </c>
      <c r="Q1273" s="75">
        <v>45405.0</v>
      </c>
      <c r="R1273" s="76"/>
      <c r="S1273" s="75">
        <v>45420.0</v>
      </c>
      <c r="T1273" s="49"/>
    </row>
    <row r="1274">
      <c r="A1274" s="82">
        <v>4407.0</v>
      </c>
      <c r="B1274" s="69" t="s">
        <v>29</v>
      </c>
      <c r="C1274" s="70" t="s">
        <v>1773</v>
      </c>
      <c r="D1274" s="69" t="s">
        <v>762</v>
      </c>
      <c r="E1274" s="41" t="str">
        <f>IFERROR(__xludf.DUMMYFUNCTION("vlookup(D1274,IMPORTRANGE(""https://docs.google.com/spreadsheets/d/1swGwZOEqYlTEUCJLY-eeJM1911Kvaei5oySBIxdgtNo/edit?pli=1#gid=257618397"",""stock untanna!B:C""),2,false)"),"BP TIZO TG340 BIRU")</f>
        <v>BP TIZO TG340 BIRU</v>
      </c>
      <c r="F1274" s="70" t="s">
        <v>762</v>
      </c>
      <c r="G1274" s="71" t="s">
        <v>763</v>
      </c>
      <c r="H1274" s="41"/>
      <c r="I1274" s="42"/>
      <c r="J1274" s="43"/>
      <c r="K1274" s="72">
        <v>144.0</v>
      </c>
      <c r="L1274" s="53" t="s">
        <v>62</v>
      </c>
      <c r="M1274" s="73">
        <v>32500.0</v>
      </c>
      <c r="N1274" s="74"/>
      <c r="O1274" s="73">
        <v>4680000.0</v>
      </c>
      <c r="P1274" s="46" t="str">
        <f t="shared" si="2"/>
        <v>Rp32,500-144 LSN-0.00%</v>
      </c>
      <c r="Q1274" s="75">
        <v>45411.0</v>
      </c>
      <c r="R1274" s="76"/>
      <c r="S1274" s="75">
        <v>45420.0</v>
      </c>
      <c r="T1274" s="49"/>
    </row>
    <row r="1275">
      <c r="A1275" s="82">
        <v>51.0</v>
      </c>
      <c r="B1275" s="69" t="s">
        <v>29</v>
      </c>
      <c r="C1275" s="70" t="s">
        <v>845</v>
      </c>
      <c r="D1275" s="69" t="s">
        <v>1490</v>
      </c>
      <c r="E1275" s="41" t="str">
        <f>IFERROR(__xludf.DUMMYFUNCTION("vlookup(D1275,IMPORTRANGE(""https://docs.google.com/spreadsheets/d/1swGwZOEqYlTEUCJLY-eeJM1911Kvaei5oySBIxdgtNo/edit?pli=1#gid=257618397"",""stock untanna!B:C""),2,false)"),"STICKER JBE-SV")</f>
        <v>STICKER JBE-SV</v>
      </c>
      <c r="F1275" s="70" t="s">
        <v>1490</v>
      </c>
      <c r="G1275" s="71" t="s">
        <v>1491</v>
      </c>
      <c r="H1275" s="41"/>
      <c r="I1275" s="42"/>
      <c r="J1275" s="43"/>
      <c r="K1275" s="72">
        <v>12.0</v>
      </c>
      <c r="L1275" s="53" t="s">
        <v>88</v>
      </c>
      <c r="M1275" s="73">
        <v>24000.0</v>
      </c>
      <c r="N1275" s="74"/>
      <c r="O1275" s="73">
        <v>288000.0</v>
      </c>
      <c r="P1275" s="46" t="str">
        <f t="shared" si="2"/>
        <v>Rp24,000-12 BOX-0.00%</v>
      </c>
      <c r="Q1275" s="75">
        <v>45412.0</v>
      </c>
      <c r="R1275" s="75">
        <v>45408.0</v>
      </c>
      <c r="S1275" s="75">
        <v>45420.0</v>
      </c>
      <c r="T1275" s="49" t="s">
        <v>100</v>
      </c>
    </row>
    <row r="1276">
      <c r="A1276" s="82">
        <v>51.0</v>
      </c>
      <c r="B1276" s="69" t="s">
        <v>29</v>
      </c>
      <c r="C1276" s="70" t="s">
        <v>845</v>
      </c>
      <c r="D1276" s="69" t="s">
        <v>1774</v>
      </c>
      <c r="E1276" s="41" t="str">
        <f>IFERROR(__xludf.DUMMYFUNCTION("vlookup(D1276,IMPORTRANGE(""https://docs.google.com/spreadsheets/d/1swGwZOEqYlTEUCJLY-eeJM1911Kvaei5oySBIxdgtNo/edit?pli=1#gid=257618397"",""stock untanna!B:C""),2,false)"),"STICKER JBE-SD")</f>
        <v>STICKER JBE-SD</v>
      </c>
      <c r="F1276" s="70" t="s">
        <v>1774</v>
      </c>
      <c r="G1276" s="71" t="s">
        <v>1775</v>
      </c>
      <c r="H1276" s="41"/>
      <c r="I1276" s="42"/>
      <c r="J1276" s="43"/>
      <c r="K1276" s="72">
        <v>12.0</v>
      </c>
      <c r="L1276" s="53" t="s">
        <v>88</v>
      </c>
      <c r="M1276" s="73">
        <v>25000.0</v>
      </c>
      <c r="N1276" s="74"/>
      <c r="O1276" s="73">
        <v>300000.0</v>
      </c>
      <c r="P1276" s="46" t="str">
        <f t="shared" si="2"/>
        <v>Rp25,000-12 BOX-0.00%</v>
      </c>
      <c r="Q1276" s="75">
        <v>45412.0</v>
      </c>
      <c r="R1276" s="75">
        <v>45408.0</v>
      </c>
      <c r="S1276" s="75">
        <v>45420.0</v>
      </c>
      <c r="T1276" s="49" t="s">
        <v>100</v>
      </c>
    </row>
    <row r="1277">
      <c r="A1277" s="82">
        <v>51.0</v>
      </c>
      <c r="B1277" s="69" t="s">
        <v>29</v>
      </c>
      <c r="C1277" s="70" t="s">
        <v>845</v>
      </c>
      <c r="D1277" s="69"/>
      <c r="E1277" s="41" t="s">
        <v>1487</v>
      </c>
      <c r="F1277" s="70"/>
      <c r="G1277" s="71" t="s">
        <v>1487</v>
      </c>
      <c r="H1277" s="41"/>
      <c r="I1277" s="42"/>
      <c r="J1277" s="43"/>
      <c r="K1277" s="72">
        <v>1.0</v>
      </c>
      <c r="L1277" s="53" t="s">
        <v>114</v>
      </c>
      <c r="M1277" s="73">
        <v>300000.0</v>
      </c>
      <c r="N1277" s="74"/>
      <c r="O1277" s="73">
        <v>300000.0</v>
      </c>
      <c r="P1277" s="46" t="str">
        <f t="shared" si="2"/>
        <v>Rp300,000-1 PAK-0.00%</v>
      </c>
      <c r="Q1277" s="75">
        <v>45412.0</v>
      </c>
      <c r="R1277" s="75">
        <v>45408.0</v>
      </c>
      <c r="S1277" s="75">
        <v>45420.0</v>
      </c>
      <c r="T1277" s="49"/>
    </row>
    <row r="1278">
      <c r="A1278" s="82">
        <v>51.0</v>
      </c>
      <c r="B1278" s="69" t="s">
        <v>29</v>
      </c>
      <c r="C1278" s="70" t="s">
        <v>845</v>
      </c>
      <c r="D1278" s="69" t="s">
        <v>1498</v>
      </c>
      <c r="E1278" s="41" t="str">
        <f>IFERROR(__xludf.DUMMYFUNCTION("vlookup(D1278,IMPORTRANGE(""https://docs.google.com/spreadsheets/d/1swGwZOEqYlTEUCJLY-eeJM1911Kvaei5oySBIxdgtNo/edit?pli=1#gid=257618397"",""stock untanna!B:C""),2,false)"),"STICKER JBE-24")</f>
        <v>STICKER JBE-24</v>
      </c>
      <c r="F1278" s="70" t="s">
        <v>1498</v>
      </c>
      <c r="G1278" s="71" t="s">
        <v>1499</v>
      </c>
      <c r="H1278" s="41"/>
      <c r="I1278" s="42"/>
      <c r="J1278" s="43"/>
      <c r="K1278" s="72">
        <v>12.0</v>
      </c>
      <c r="L1278" s="53" t="s">
        <v>69</v>
      </c>
      <c r="M1278" s="73">
        <v>14583.0</v>
      </c>
      <c r="N1278" s="74"/>
      <c r="O1278" s="73">
        <v>174996.0</v>
      </c>
      <c r="P1278" s="46" t="str">
        <f t="shared" si="2"/>
        <v>Rp14,583-12 PCS-0.00%</v>
      </c>
      <c r="Q1278" s="75">
        <v>45412.0</v>
      </c>
      <c r="R1278" s="75">
        <v>45408.0</v>
      </c>
      <c r="S1278" s="75">
        <v>45420.0</v>
      </c>
      <c r="T1278" s="49"/>
    </row>
    <row r="1279">
      <c r="A1279" s="82">
        <v>51.0</v>
      </c>
      <c r="B1279" s="69" t="s">
        <v>29</v>
      </c>
      <c r="C1279" s="70" t="s">
        <v>845</v>
      </c>
      <c r="D1279" s="69" t="s">
        <v>1494</v>
      </c>
      <c r="E1279" s="41" t="str">
        <f>IFERROR(__xludf.DUMMYFUNCTION("vlookup(D1279,IMPORTRANGE(""https://docs.google.com/spreadsheets/d/1swGwZOEqYlTEUCJLY-eeJM1911Kvaei5oySBIxdgtNo/edit?pli=1#gid=257618397"",""stock untanna!B:C""),2,false)"),"STICKER JBE-35")</f>
        <v>STICKER JBE-35</v>
      </c>
      <c r="F1279" s="70" t="s">
        <v>1494</v>
      </c>
      <c r="G1279" s="71" t="s">
        <v>1495</v>
      </c>
      <c r="H1279" s="41"/>
      <c r="I1279" s="42"/>
      <c r="J1279" s="43"/>
      <c r="K1279" s="72">
        <v>48.0</v>
      </c>
      <c r="L1279" s="53" t="s">
        <v>69</v>
      </c>
      <c r="M1279" s="73">
        <v>5000.0</v>
      </c>
      <c r="N1279" s="74"/>
      <c r="O1279" s="73">
        <v>240000.0</v>
      </c>
      <c r="P1279" s="46" t="str">
        <f t="shared" si="2"/>
        <v>Rp5,000-48 PCS-0.00%</v>
      </c>
      <c r="Q1279" s="75">
        <v>45412.0</v>
      </c>
      <c r="R1279" s="75">
        <v>45408.0</v>
      </c>
      <c r="S1279" s="75">
        <v>45420.0</v>
      </c>
      <c r="T1279" s="49"/>
    </row>
    <row r="1280">
      <c r="A1280" s="82">
        <v>51.0</v>
      </c>
      <c r="B1280" s="69" t="s">
        <v>29</v>
      </c>
      <c r="C1280" s="70" t="s">
        <v>845</v>
      </c>
      <c r="D1280" s="69" t="s">
        <v>1776</v>
      </c>
      <c r="E1280" s="41" t="str">
        <f>IFERROR(__xludf.DUMMYFUNCTION("vlookup(D1280,IMPORTRANGE(""https://docs.google.com/spreadsheets/d/1swGwZOEqYlTEUCJLY-eeJM1911Kvaei5oySBIxdgtNo/edit?pli=1#gid=257618397"",""stock untanna!B:C""),2,false)"),"STICKER KL 68")</f>
        <v>STICKER KL 68</v>
      </c>
      <c r="F1280" s="70" t="s">
        <v>1776</v>
      </c>
      <c r="G1280" s="71" t="s">
        <v>1777</v>
      </c>
      <c r="H1280" s="41"/>
      <c r="I1280" s="42"/>
      <c r="J1280" s="43"/>
      <c r="K1280" s="72">
        <v>12.0</v>
      </c>
      <c r="L1280" s="53" t="s">
        <v>88</v>
      </c>
      <c r="M1280" s="73">
        <v>15000.0</v>
      </c>
      <c r="N1280" s="74"/>
      <c r="O1280" s="73">
        <v>180000.0</v>
      </c>
      <c r="P1280" s="46" t="str">
        <f t="shared" si="2"/>
        <v>Rp15,000-12 BOX-0.00%</v>
      </c>
      <c r="Q1280" s="75">
        <v>45412.0</v>
      </c>
      <c r="R1280" s="75">
        <v>45408.0</v>
      </c>
      <c r="S1280" s="75">
        <v>45420.0</v>
      </c>
      <c r="T1280" s="49" t="s">
        <v>100</v>
      </c>
    </row>
    <row r="1281">
      <c r="A1281" s="82">
        <v>51.0</v>
      </c>
      <c r="B1281" s="69" t="s">
        <v>29</v>
      </c>
      <c r="C1281" s="70" t="s">
        <v>845</v>
      </c>
      <c r="D1281" s="69" t="s">
        <v>1778</v>
      </c>
      <c r="E1281" s="41" t="str">
        <f>IFERROR(__xludf.DUMMYFUNCTION("vlookup(D1281,IMPORTRANGE(""https://docs.google.com/spreadsheets/d/1swGwZOEqYlTEUCJLY-eeJM1911Kvaei5oySBIxdgtNo/edit?pli=1#gid=257618397"",""stock untanna!B:C""),2,false)"),"STICKER KL-70")</f>
        <v>STICKER KL-70</v>
      </c>
      <c r="F1281" s="70" t="s">
        <v>1778</v>
      </c>
      <c r="G1281" s="71" t="s">
        <v>1779</v>
      </c>
      <c r="H1281" s="41"/>
      <c r="I1281" s="42"/>
      <c r="J1281" s="43"/>
      <c r="K1281" s="72">
        <v>12.0</v>
      </c>
      <c r="L1281" s="53" t="s">
        <v>88</v>
      </c>
      <c r="M1281" s="73">
        <v>24000.0</v>
      </c>
      <c r="N1281" s="74"/>
      <c r="O1281" s="73">
        <v>288000.0</v>
      </c>
      <c r="P1281" s="46" t="str">
        <f t="shared" si="2"/>
        <v>Rp24,000-12 BOX-0.00%</v>
      </c>
      <c r="Q1281" s="75">
        <v>45412.0</v>
      </c>
      <c r="R1281" s="75">
        <v>45408.0</v>
      </c>
      <c r="S1281" s="75">
        <v>45420.0</v>
      </c>
      <c r="T1281" s="49" t="s">
        <v>100</v>
      </c>
    </row>
    <row r="1282">
      <c r="A1282" s="82">
        <v>51.0</v>
      </c>
      <c r="B1282" s="69" t="s">
        <v>29</v>
      </c>
      <c r="C1282" s="70" t="s">
        <v>845</v>
      </c>
      <c r="D1282" s="69" t="s">
        <v>1496</v>
      </c>
      <c r="E1282" s="41" t="str">
        <f>IFERROR(__xludf.DUMMYFUNCTION("vlookup(D1282,IMPORTRANGE(""https://docs.google.com/spreadsheets/d/1swGwZOEqYlTEUCJLY-eeJM1911Kvaei5oySBIxdgtNo/edit?pli=1#gid=257618397"",""stock untanna!B:C""),2,false)"),"STICKER JBE-SA")</f>
        <v>STICKER JBE-SA</v>
      </c>
      <c r="F1282" s="70" t="s">
        <v>1496</v>
      </c>
      <c r="G1282" s="71" t="s">
        <v>1497</v>
      </c>
      <c r="H1282" s="41"/>
      <c r="I1282" s="42"/>
      <c r="J1282" s="43"/>
      <c r="K1282" s="72">
        <v>12.0</v>
      </c>
      <c r="L1282" s="53" t="s">
        <v>88</v>
      </c>
      <c r="M1282" s="73">
        <v>25000.0</v>
      </c>
      <c r="N1282" s="74"/>
      <c r="O1282" s="73">
        <v>300000.0</v>
      </c>
      <c r="P1282" s="46" t="str">
        <f t="shared" si="2"/>
        <v>Rp25,000-12 BOX-0.00%</v>
      </c>
      <c r="Q1282" s="75">
        <v>45412.0</v>
      </c>
      <c r="R1282" s="75">
        <v>45408.0</v>
      </c>
      <c r="S1282" s="75">
        <v>45420.0</v>
      </c>
      <c r="T1282" s="49" t="s">
        <v>100</v>
      </c>
    </row>
    <row r="1283">
      <c r="A1283" s="82">
        <v>51.0</v>
      </c>
      <c r="B1283" s="69" t="s">
        <v>29</v>
      </c>
      <c r="C1283" s="70" t="s">
        <v>845</v>
      </c>
      <c r="D1283" s="69" t="s">
        <v>1492</v>
      </c>
      <c r="E1283" s="41" t="str">
        <f>IFERROR(__xludf.DUMMYFUNCTION("vlookup(D1283,IMPORTRANGE(""https://docs.google.com/spreadsheets/d/1swGwZOEqYlTEUCJLY-eeJM1911Kvaei5oySBIxdgtNo/edit?pli=1#gid=257618397"",""stock untanna!B:C""),2,false)"),"STICKER KL-63")</f>
        <v>STICKER KL-63</v>
      </c>
      <c r="F1283" s="70" t="s">
        <v>1492</v>
      </c>
      <c r="G1283" s="71" t="s">
        <v>1493</v>
      </c>
      <c r="H1283" s="41"/>
      <c r="I1283" s="42"/>
      <c r="J1283" s="43"/>
      <c r="K1283" s="72">
        <v>12.0</v>
      </c>
      <c r="L1283" s="53" t="s">
        <v>88</v>
      </c>
      <c r="M1283" s="73">
        <v>24000.0</v>
      </c>
      <c r="N1283" s="74"/>
      <c r="O1283" s="73">
        <v>288000.0</v>
      </c>
      <c r="P1283" s="46" t="str">
        <f t="shared" si="2"/>
        <v>Rp24,000-12 BOX-0.00%</v>
      </c>
      <c r="Q1283" s="75">
        <v>45412.0</v>
      </c>
      <c r="R1283" s="75">
        <v>45408.0</v>
      </c>
      <c r="S1283" s="75">
        <v>45420.0</v>
      </c>
      <c r="T1283" s="49" t="s">
        <v>100</v>
      </c>
    </row>
    <row r="1284">
      <c r="A1284" s="82">
        <v>51.0</v>
      </c>
      <c r="B1284" s="69" t="s">
        <v>29</v>
      </c>
      <c r="C1284" s="70" t="s">
        <v>845</v>
      </c>
      <c r="D1284" s="69" t="s">
        <v>1488</v>
      </c>
      <c r="E1284" s="41" t="str">
        <f>IFERROR(__xludf.DUMMYFUNCTION("vlookup(D1284,IMPORTRANGE(""https://docs.google.com/spreadsheets/d/1swGwZOEqYlTEUCJLY-eeJM1911Kvaei5oySBIxdgtNo/edit?pli=1#gid=257618397"",""stock untanna!B:C""),2,false)"),"STICKER JBE-30")</f>
        <v>STICKER JBE-30</v>
      </c>
      <c r="F1284" s="70" t="s">
        <v>1488</v>
      </c>
      <c r="G1284" s="71" t="s">
        <v>1489</v>
      </c>
      <c r="H1284" s="41"/>
      <c r="I1284" s="42"/>
      <c r="J1284" s="43"/>
      <c r="K1284" s="72">
        <v>24.0</v>
      </c>
      <c r="L1284" s="53" t="s">
        <v>69</v>
      </c>
      <c r="M1284" s="73">
        <v>12500.0</v>
      </c>
      <c r="N1284" s="74"/>
      <c r="O1284" s="73">
        <v>300000.0</v>
      </c>
      <c r="P1284" s="46" t="str">
        <f t="shared" si="2"/>
        <v>Rp12,500-24 PCS-0.00%</v>
      </c>
      <c r="Q1284" s="75">
        <v>45412.0</v>
      </c>
      <c r="R1284" s="75">
        <v>45408.0</v>
      </c>
      <c r="S1284" s="75">
        <v>45420.0</v>
      </c>
      <c r="T1284" s="49"/>
    </row>
    <row r="1285">
      <c r="A1285" s="82">
        <v>51.0</v>
      </c>
      <c r="B1285" s="69" t="s">
        <v>29</v>
      </c>
      <c r="C1285" s="70" t="s">
        <v>845</v>
      </c>
      <c r="D1285" s="69" t="s">
        <v>1780</v>
      </c>
      <c r="E1285" s="41" t="str">
        <f>IFERROR(__xludf.DUMMYFUNCTION("vlookup(D1285,IMPORTRANGE(""https://docs.google.com/spreadsheets/d/1swGwZOEqYlTEUCJLY-eeJM1911Kvaei5oySBIxdgtNo/edit?pli=1#gid=257618397"",""stock untanna!B:C""),2,false)"),"NOTEBOOK 7025-18")</f>
        <v>NOTEBOOK 7025-18</v>
      </c>
      <c r="F1285" s="70" t="s">
        <v>1780</v>
      </c>
      <c r="G1285" s="71" t="s">
        <v>1781</v>
      </c>
      <c r="H1285" s="41"/>
      <c r="I1285" s="42"/>
      <c r="J1285" s="43"/>
      <c r="K1285" s="72">
        <v>1.0</v>
      </c>
      <c r="L1285" s="53" t="s">
        <v>62</v>
      </c>
      <c r="M1285" s="73">
        <v>225000.0</v>
      </c>
      <c r="N1285" s="74"/>
      <c r="O1285" s="73">
        <v>225000.0</v>
      </c>
      <c r="P1285" s="46" t="str">
        <f t="shared" si="2"/>
        <v>Rp225,000-1 LSN-0.00%</v>
      </c>
      <c r="Q1285" s="75">
        <v>45412.0</v>
      </c>
      <c r="R1285" s="75">
        <v>45408.0</v>
      </c>
      <c r="S1285" s="75">
        <v>45420.0</v>
      </c>
      <c r="T1285" s="49"/>
    </row>
    <row r="1286">
      <c r="A1286" s="82">
        <v>51.0</v>
      </c>
      <c r="B1286" s="69" t="s">
        <v>29</v>
      </c>
      <c r="C1286" s="70" t="s">
        <v>845</v>
      </c>
      <c r="D1286" s="69"/>
      <c r="E1286" s="41" t="s">
        <v>1782</v>
      </c>
      <c r="F1286" s="70"/>
      <c r="G1286" s="71" t="s">
        <v>1782</v>
      </c>
      <c r="H1286" s="41"/>
      <c r="I1286" s="42"/>
      <c r="J1286" s="43"/>
      <c r="K1286" s="72">
        <v>1.0</v>
      </c>
      <c r="L1286" s="53" t="s">
        <v>62</v>
      </c>
      <c r="M1286" s="73">
        <v>225000.0</v>
      </c>
      <c r="N1286" s="74"/>
      <c r="O1286" s="73">
        <v>225000.0</v>
      </c>
      <c r="P1286" s="46" t="str">
        <f t="shared" si="2"/>
        <v>Rp225,000-1 LSN-0.00%</v>
      </c>
      <c r="Q1286" s="75">
        <v>45412.0</v>
      </c>
      <c r="R1286" s="75">
        <v>45408.0</v>
      </c>
      <c r="S1286" s="75">
        <v>45420.0</v>
      </c>
      <c r="T1286" s="80" t="s">
        <v>280</v>
      </c>
    </row>
    <row r="1287">
      <c r="A1287" s="82">
        <v>51.0</v>
      </c>
      <c r="B1287" s="69" t="s">
        <v>29</v>
      </c>
      <c r="C1287" s="70" t="s">
        <v>845</v>
      </c>
      <c r="D1287" s="69" t="s">
        <v>1783</v>
      </c>
      <c r="E1287" s="41" t="str">
        <f>IFERROR(__xludf.DUMMYFUNCTION("vlookup(D1287,IMPORTRANGE(""https://docs.google.com/spreadsheets/d/1swGwZOEqYlTEUCJLY-eeJM1911Kvaei5oySBIxdgtNo/edit?pli=1#gid=257618397"",""stock untanna!B:C""),2,false)"),"NOTEBOOK 7025-28")</f>
        <v>NOTEBOOK 7025-28</v>
      </c>
      <c r="F1287" s="70" t="s">
        <v>1783</v>
      </c>
      <c r="G1287" s="71" t="s">
        <v>1784</v>
      </c>
      <c r="H1287" s="41"/>
      <c r="I1287" s="42"/>
      <c r="J1287" s="43"/>
      <c r="K1287" s="72">
        <v>1.0</v>
      </c>
      <c r="L1287" s="53" t="s">
        <v>62</v>
      </c>
      <c r="M1287" s="73">
        <v>225000.0</v>
      </c>
      <c r="N1287" s="74"/>
      <c r="O1287" s="73">
        <v>225000.0</v>
      </c>
      <c r="P1287" s="46" t="str">
        <f t="shared" si="2"/>
        <v>Rp225,000-1 LSN-0.00%</v>
      </c>
      <c r="Q1287" s="75">
        <v>45412.0</v>
      </c>
      <c r="R1287" s="75">
        <v>45408.0</v>
      </c>
      <c r="S1287" s="75">
        <v>45420.0</v>
      </c>
      <c r="T1287" s="49"/>
    </row>
    <row r="1288">
      <c r="A1288" s="82">
        <v>51.0</v>
      </c>
      <c r="B1288" s="69" t="s">
        <v>29</v>
      </c>
      <c r="C1288" s="70" t="s">
        <v>845</v>
      </c>
      <c r="D1288" s="69" t="s">
        <v>1785</v>
      </c>
      <c r="E1288" s="41" t="str">
        <f>IFERROR(__xludf.DUMMYFUNCTION("vlookup(D1288,IMPORTRANGE(""https://docs.google.com/spreadsheets/d/1swGwZOEqYlTEUCJLY-eeJM1911Kvaei5oySBIxdgtNo/edit?pli=1#gid=257618397"",""stock untanna!B:C""),2,false)"),"NOTEBOOK 7025-30")</f>
        <v>NOTEBOOK 7025-30</v>
      </c>
      <c r="F1288" s="70" t="s">
        <v>1785</v>
      </c>
      <c r="G1288" s="71" t="s">
        <v>1786</v>
      </c>
      <c r="H1288" s="41"/>
      <c r="I1288" s="42"/>
      <c r="J1288" s="43"/>
      <c r="K1288" s="72">
        <v>12.0</v>
      </c>
      <c r="L1288" s="53" t="s">
        <v>69</v>
      </c>
      <c r="M1288" s="73">
        <v>18750.0</v>
      </c>
      <c r="N1288" s="74"/>
      <c r="O1288" s="73">
        <v>225000.0</v>
      </c>
      <c r="P1288" s="46" t="str">
        <f t="shared" si="2"/>
        <v>Rp18,750-12 PCS-0.00%</v>
      </c>
      <c r="Q1288" s="75">
        <v>45412.0</v>
      </c>
      <c r="R1288" s="75">
        <v>45408.0</v>
      </c>
      <c r="S1288" s="75">
        <v>45420.0</v>
      </c>
      <c r="T1288" s="49"/>
    </row>
    <row r="1289">
      <c r="A1289" s="82">
        <v>51.0</v>
      </c>
      <c r="B1289" s="69" t="s">
        <v>29</v>
      </c>
      <c r="C1289" s="70" t="s">
        <v>845</v>
      </c>
      <c r="D1289" s="69" t="s">
        <v>1787</v>
      </c>
      <c r="E1289" s="41" t="str">
        <f>IFERROR(__xludf.DUMMYFUNCTION("vlookup(D1289,IMPORTRANGE(""https://docs.google.com/spreadsheets/d/1swGwZOEqYlTEUCJLY-eeJM1911Kvaei5oySBIxdgtNo/edit?pli=1#gid=257618397"",""stock untanna!B:C""),2,false)"),"NOTEBOOK 7025-27")</f>
        <v>NOTEBOOK 7025-27</v>
      </c>
      <c r="F1289" s="70" t="s">
        <v>1787</v>
      </c>
      <c r="G1289" s="71" t="s">
        <v>1788</v>
      </c>
      <c r="H1289" s="41"/>
      <c r="I1289" s="42"/>
      <c r="J1289" s="43"/>
      <c r="K1289" s="72">
        <v>1.0</v>
      </c>
      <c r="L1289" s="53" t="s">
        <v>62</v>
      </c>
      <c r="M1289" s="73">
        <v>225000.0</v>
      </c>
      <c r="N1289" s="74"/>
      <c r="O1289" s="73">
        <v>225000.0</v>
      </c>
      <c r="P1289" s="46" t="str">
        <f t="shared" si="2"/>
        <v>Rp225,000-1 LSN-0.00%</v>
      </c>
      <c r="Q1289" s="75">
        <v>45412.0</v>
      </c>
      <c r="R1289" s="75">
        <v>45408.0</v>
      </c>
      <c r="S1289" s="75">
        <v>45420.0</v>
      </c>
      <c r="T1289" s="49"/>
    </row>
    <row r="1290">
      <c r="A1290" s="82">
        <v>51.0</v>
      </c>
      <c r="B1290" s="69" t="s">
        <v>29</v>
      </c>
      <c r="C1290" s="70" t="s">
        <v>845</v>
      </c>
      <c r="D1290" s="69" t="s">
        <v>1789</v>
      </c>
      <c r="E1290" s="41" t="str">
        <f>IFERROR(__xludf.DUMMYFUNCTION("vlookup(D1290,IMPORTRANGE(""https://docs.google.com/spreadsheets/d/1swGwZOEqYlTEUCJLY-eeJM1911Kvaei5oySBIxdgtNo/edit?pli=1#gid=257618397"",""stock untanna!B:C""),2,false)"),"NOTEBOOK 7025-16")</f>
        <v>NOTEBOOK 7025-16</v>
      </c>
      <c r="F1290" s="70" t="s">
        <v>1789</v>
      </c>
      <c r="G1290" s="71" t="s">
        <v>1790</v>
      </c>
      <c r="H1290" s="41"/>
      <c r="I1290" s="42"/>
      <c r="J1290" s="43"/>
      <c r="K1290" s="72">
        <v>1.0</v>
      </c>
      <c r="L1290" s="53" t="s">
        <v>62</v>
      </c>
      <c r="M1290" s="73">
        <v>225000.0</v>
      </c>
      <c r="N1290" s="74"/>
      <c r="O1290" s="73">
        <v>225000.0</v>
      </c>
      <c r="P1290" s="46" t="str">
        <f t="shared" si="2"/>
        <v>Rp225,000-1 LSN-0.00%</v>
      </c>
      <c r="Q1290" s="75">
        <v>45412.0</v>
      </c>
      <c r="R1290" s="75">
        <v>45408.0</v>
      </c>
      <c r="S1290" s="75">
        <v>45420.0</v>
      </c>
      <c r="T1290" s="49"/>
    </row>
    <row r="1291">
      <c r="A1291" s="82">
        <v>52.0</v>
      </c>
      <c r="B1291" s="69" t="s">
        <v>29</v>
      </c>
      <c r="C1291" s="70" t="s">
        <v>845</v>
      </c>
      <c r="D1291" s="69"/>
      <c r="E1291" s="41" t="s">
        <v>1791</v>
      </c>
      <c r="F1291" s="70"/>
      <c r="G1291" s="71" t="s">
        <v>1791</v>
      </c>
      <c r="H1291" s="41"/>
      <c r="I1291" s="42"/>
      <c r="J1291" s="43"/>
      <c r="K1291" s="72">
        <v>12.0</v>
      </c>
      <c r="L1291" s="53" t="s">
        <v>69</v>
      </c>
      <c r="M1291" s="73">
        <v>22500.0</v>
      </c>
      <c r="N1291" s="74"/>
      <c r="O1291" s="73">
        <v>270000.0</v>
      </c>
      <c r="P1291" s="46" t="str">
        <f t="shared" si="2"/>
        <v>Rp22,500-12 PCS-0.00%</v>
      </c>
      <c r="Q1291" s="75">
        <v>45412.0</v>
      </c>
      <c r="R1291" s="75">
        <v>45408.0</v>
      </c>
      <c r="S1291" s="75">
        <v>45420.0</v>
      </c>
      <c r="T1291" s="80" t="s">
        <v>280</v>
      </c>
    </row>
    <row r="1292">
      <c r="A1292" s="82">
        <v>52.0</v>
      </c>
      <c r="B1292" s="69" t="s">
        <v>29</v>
      </c>
      <c r="C1292" s="70" t="s">
        <v>845</v>
      </c>
      <c r="D1292" s="69" t="s">
        <v>1792</v>
      </c>
      <c r="E1292" s="41" t="str">
        <f>IFERROR(__xludf.DUMMYFUNCTION("vlookup(D1292,IMPORTRANGE(""https://docs.google.com/spreadsheets/d/1swGwZOEqYlTEUCJLY-eeJM1911Kvaei5oySBIxdgtNo/edit?pli=1#gid=257618397"",""stock untanna!B:C""),2,false)"),"NOTEBOOK  A5-105")</f>
        <v>NOTEBOOK  A5-105</v>
      </c>
      <c r="F1292" s="70" t="s">
        <v>1792</v>
      </c>
      <c r="G1292" s="71" t="s">
        <v>1793</v>
      </c>
      <c r="H1292" s="41"/>
      <c r="I1292" s="42"/>
      <c r="J1292" s="43"/>
      <c r="K1292" s="72">
        <v>1.0</v>
      </c>
      <c r="L1292" s="53" t="s">
        <v>62</v>
      </c>
      <c r="M1292" s="73">
        <v>270000.0</v>
      </c>
      <c r="N1292" s="74"/>
      <c r="O1292" s="73">
        <v>270000.0</v>
      </c>
      <c r="P1292" s="46" t="str">
        <f t="shared" si="2"/>
        <v>Rp270,000-1 LSN-0.00%</v>
      </c>
      <c r="Q1292" s="75">
        <v>45412.0</v>
      </c>
      <c r="R1292" s="75">
        <v>45408.0</v>
      </c>
      <c r="S1292" s="75">
        <v>45420.0</v>
      </c>
      <c r="T1292" s="49"/>
    </row>
    <row r="1293">
      <c r="A1293" s="82">
        <v>52.0</v>
      </c>
      <c r="B1293" s="69" t="s">
        <v>29</v>
      </c>
      <c r="C1293" s="70" t="s">
        <v>845</v>
      </c>
      <c r="D1293" s="69" t="s">
        <v>1557</v>
      </c>
      <c r="E1293" s="41" t="str">
        <f>IFERROR(__xludf.DUMMYFUNCTION("vlookup(D1293,IMPORTRANGE(""https://docs.google.com/spreadsheets/d/1swGwZOEqYlTEUCJLY-eeJM1911Kvaei5oySBIxdgtNo/edit?pli=1#gid=257618397"",""stock untanna!B:C""),2,false)"),"NOTEBOOK  A5-103")</f>
        <v>NOTEBOOK  A5-103</v>
      </c>
      <c r="F1293" s="70" t="s">
        <v>1557</v>
      </c>
      <c r="G1293" s="71" t="s">
        <v>1558</v>
      </c>
      <c r="H1293" s="41"/>
      <c r="I1293" s="42"/>
      <c r="J1293" s="43"/>
      <c r="K1293" s="72">
        <v>1.0</v>
      </c>
      <c r="L1293" s="53" t="s">
        <v>62</v>
      </c>
      <c r="M1293" s="73">
        <v>270000.0</v>
      </c>
      <c r="N1293" s="74"/>
      <c r="O1293" s="73">
        <v>270000.0</v>
      </c>
      <c r="P1293" s="46" t="str">
        <f t="shared" si="2"/>
        <v>Rp270,000-1 LSN-0.00%</v>
      </c>
      <c r="Q1293" s="75">
        <v>45412.0</v>
      </c>
      <c r="R1293" s="75">
        <v>45408.0</v>
      </c>
      <c r="S1293" s="75">
        <v>45420.0</v>
      </c>
      <c r="T1293" s="49"/>
    </row>
    <row r="1294">
      <c r="A1294" s="82">
        <v>52.0</v>
      </c>
      <c r="B1294" s="69" t="s">
        <v>29</v>
      </c>
      <c r="C1294" s="70" t="s">
        <v>845</v>
      </c>
      <c r="D1294" s="69" t="s">
        <v>1370</v>
      </c>
      <c r="E1294" s="41" t="str">
        <f>IFERROR(__xludf.DUMMYFUNCTION("vlookup(D1294,IMPORTRANGE(""https://docs.google.com/spreadsheets/d/1swGwZOEqYlTEUCJLY-eeJM1911Kvaei5oySBIxdgtNo/edit?pli=1#gid=257618397"",""stock untanna!B:C""),2,false)"),"NOTEBOOK  A5-UN")</f>
        <v>NOTEBOOK  A5-UN</v>
      </c>
      <c r="F1294" s="70" t="s">
        <v>1370</v>
      </c>
      <c r="G1294" s="71" t="s">
        <v>1371</v>
      </c>
      <c r="H1294" s="41"/>
      <c r="I1294" s="42"/>
      <c r="J1294" s="43"/>
      <c r="K1294" s="72">
        <v>1.0</v>
      </c>
      <c r="L1294" s="53" t="s">
        <v>62</v>
      </c>
      <c r="M1294" s="73">
        <v>270000.0</v>
      </c>
      <c r="N1294" s="74"/>
      <c r="O1294" s="73">
        <v>270000.0</v>
      </c>
      <c r="P1294" s="46" t="str">
        <f t="shared" si="2"/>
        <v>Rp270,000-1 LSN-0.00%</v>
      </c>
      <c r="Q1294" s="75">
        <v>45412.0</v>
      </c>
      <c r="R1294" s="75">
        <v>45408.0</v>
      </c>
      <c r="S1294" s="75">
        <v>45420.0</v>
      </c>
      <c r="T1294" s="49"/>
    </row>
    <row r="1295">
      <c r="A1295" s="82">
        <v>52.0</v>
      </c>
      <c r="B1295" s="69" t="s">
        <v>29</v>
      </c>
      <c r="C1295" s="70" t="s">
        <v>845</v>
      </c>
      <c r="D1295" s="69" t="s">
        <v>1794</v>
      </c>
      <c r="E1295" s="41" t="str">
        <f>IFERROR(__xludf.DUMMYFUNCTION("vlookup(D1295,IMPORTRANGE(""https://docs.google.com/spreadsheets/d/1swGwZOEqYlTEUCJLY-eeJM1911Kvaei5oySBIxdgtNo/edit?pli=1#gid=257618397"",""stock untanna!B:C""),2,false)"),"BN TALI AA 0321-18/A7-80/LUCU")</f>
        <v>BN TALI AA 0321-18/A7-80/LUCU</v>
      </c>
      <c r="F1295" s="70" t="s">
        <v>1794</v>
      </c>
      <c r="G1295" s="71" t="s">
        <v>1795</v>
      </c>
      <c r="H1295" s="41"/>
      <c r="I1295" s="42"/>
      <c r="J1295" s="43"/>
      <c r="K1295" s="72">
        <v>1.0</v>
      </c>
      <c r="L1295" s="53" t="s">
        <v>62</v>
      </c>
      <c r="M1295" s="73">
        <v>150000.0</v>
      </c>
      <c r="N1295" s="74"/>
      <c r="O1295" s="73">
        <v>150000.0</v>
      </c>
      <c r="P1295" s="46" t="str">
        <f t="shared" si="2"/>
        <v>Rp150,000-1 LSN-0.00%</v>
      </c>
      <c r="Q1295" s="75">
        <v>45412.0</v>
      </c>
      <c r="R1295" s="75">
        <v>45408.0</v>
      </c>
      <c r="S1295" s="75">
        <v>45420.0</v>
      </c>
      <c r="T1295" s="49"/>
    </row>
    <row r="1296">
      <c r="A1296" s="82">
        <v>52.0</v>
      </c>
      <c r="B1296" s="69" t="s">
        <v>29</v>
      </c>
      <c r="C1296" s="70" t="s">
        <v>845</v>
      </c>
      <c r="D1296" s="69"/>
      <c r="E1296" s="41" t="s">
        <v>1516</v>
      </c>
      <c r="F1296" s="70"/>
      <c r="G1296" s="71" t="s">
        <v>1516</v>
      </c>
      <c r="H1296" s="41"/>
      <c r="I1296" s="42"/>
      <c r="J1296" s="43"/>
      <c r="K1296" s="72">
        <v>1.0</v>
      </c>
      <c r="L1296" s="53" t="s">
        <v>62</v>
      </c>
      <c r="M1296" s="73">
        <v>150000.0</v>
      </c>
      <c r="N1296" s="74"/>
      <c r="O1296" s="73">
        <v>150000.0</v>
      </c>
      <c r="P1296" s="46" t="str">
        <f t="shared" si="2"/>
        <v>Rp150,000-1 LSN-0.00%</v>
      </c>
      <c r="Q1296" s="75">
        <v>45412.0</v>
      </c>
      <c r="R1296" s="75">
        <v>45408.0</v>
      </c>
      <c r="S1296" s="75">
        <v>45420.0</v>
      </c>
      <c r="T1296" s="80" t="s">
        <v>280</v>
      </c>
    </row>
    <row r="1297">
      <c r="A1297" s="82">
        <v>52.0</v>
      </c>
      <c r="B1297" s="69" t="s">
        <v>29</v>
      </c>
      <c r="C1297" s="70" t="s">
        <v>845</v>
      </c>
      <c r="D1297" s="69" t="s">
        <v>1796</v>
      </c>
      <c r="E1297" s="41" t="str">
        <f>IFERROR(__xludf.DUMMYFUNCTION("vlookup(D1297,IMPORTRANGE(""https://docs.google.com/spreadsheets/d/1swGwZOEqYlTEUCJLY-eeJM1911Kvaei5oySBIxdgtNo/edit?pli=1#gid=257618397"",""stock untanna!B:C""),2,false)"),"BN TALI AA 0321-20/A7-80/SR")</f>
        <v>BN TALI AA 0321-20/A7-80/SR</v>
      </c>
      <c r="F1297" s="70" t="s">
        <v>1796</v>
      </c>
      <c r="G1297" s="71" t="s">
        <v>1797</v>
      </c>
      <c r="H1297" s="41"/>
      <c r="I1297" s="42"/>
      <c r="J1297" s="43"/>
      <c r="K1297" s="72">
        <v>1.0</v>
      </c>
      <c r="L1297" s="53" t="s">
        <v>62</v>
      </c>
      <c r="M1297" s="73">
        <v>150000.0</v>
      </c>
      <c r="N1297" s="74"/>
      <c r="O1297" s="73">
        <v>150000.0</v>
      </c>
      <c r="P1297" s="46" t="str">
        <f t="shared" si="2"/>
        <v>Rp150,000-1 LSN-0.00%</v>
      </c>
      <c r="Q1297" s="75">
        <v>45412.0</v>
      </c>
      <c r="R1297" s="75">
        <v>45408.0</v>
      </c>
      <c r="S1297" s="75">
        <v>45420.0</v>
      </c>
      <c r="T1297" s="49"/>
    </row>
    <row r="1298">
      <c r="A1298" s="82">
        <v>52.0</v>
      </c>
      <c r="B1298" s="69" t="s">
        <v>29</v>
      </c>
      <c r="C1298" s="70" t="s">
        <v>845</v>
      </c>
      <c r="D1298" s="69" t="s">
        <v>1798</v>
      </c>
      <c r="E1298" s="41" t="str">
        <f>IFERROR(__xludf.DUMMYFUNCTION("vlookup(D1298,IMPORTRANGE(""https://docs.google.com/spreadsheets/d/1swGwZOEqYlTEUCJLY-eeJM1911Kvaei5oySBIxdgtNo/edit?pli=1#gid=257618397"",""stock untanna!B:C""),2,false)"),"NOTEBOOK 7050-19")</f>
        <v>NOTEBOOK 7050-19</v>
      </c>
      <c r="F1298" s="70" t="s">
        <v>1798</v>
      </c>
      <c r="G1298" s="71" t="s">
        <v>1799</v>
      </c>
      <c r="H1298" s="41"/>
      <c r="I1298" s="42"/>
      <c r="J1298" s="43"/>
      <c r="K1298" s="72">
        <v>12.0</v>
      </c>
      <c r="L1298" s="53" t="s">
        <v>69</v>
      </c>
      <c r="M1298" s="73">
        <v>8333.0</v>
      </c>
      <c r="N1298" s="74"/>
      <c r="O1298" s="73">
        <v>99996.0</v>
      </c>
      <c r="P1298" s="46" t="str">
        <f t="shared" si="2"/>
        <v>Rp8,333-12 PCS-0.00%</v>
      </c>
      <c r="Q1298" s="75">
        <v>45412.0</v>
      </c>
      <c r="R1298" s="75">
        <v>45408.0</v>
      </c>
      <c r="S1298" s="75">
        <v>45420.0</v>
      </c>
      <c r="T1298" s="49"/>
    </row>
    <row r="1299">
      <c r="A1299" s="82">
        <v>52.0</v>
      </c>
      <c r="B1299" s="69" t="s">
        <v>29</v>
      </c>
      <c r="C1299" s="70" t="s">
        <v>845</v>
      </c>
      <c r="D1299" s="69" t="s">
        <v>1800</v>
      </c>
      <c r="E1299" s="41" t="str">
        <f>IFERROR(__xludf.DUMMYFUNCTION("vlookup(D1299,IMPORTRANGE(""https://docs.google.com/spreadsheets/d/1swGwZOEqYlTEUCJLY-eeJM1911Kvaei5oySBIxdgtNo/edit?pli=1#gid=257618397"",""stock untanna!B:C""),2,false)"),"NOTEBOOK 7050-11")</f>
        <v>NOTEBOOK 7050-11</v>
      </c>
      <c r="F1299" s="70" t="s">
        <v>1800</v>
      </c>
      <c r="G1299" s="71" t="s">
        <v>1801</v>
      </c>
      <c r="H1299" s="41"/>
      <c r="I1299" s="42"/>
      <c r="J1299" s="43"/>
      <c r="K1299" s="72">
        <v>12.0</v>
      </c>
      <c r="L1299" s="53" t="s">
        <v>69</v>
      </c>
      <c r="M1299" s="73">
        <v>8333.0</v>
      </c>
      <c r="N1299" s="74"/>
      <c r="O1299" s="73">
        <v>99996.0</v>
      </c>
      <c r="P1299" s="46" t="str">
        <f t="shared" si="2"/>
        <v>Rp8,333-12 PCS-0.00%</v>
      </c>
      <c r="Q1299" s="75">
        <v>45412.0</v>
      </c>
      <c r="R1299" s="75">
        <v>45408.0</v>
      </c>
      <c r="S1299" s="75">
        <v>45420.0</v>
      </c>
      <c r="T1299" s="49"/>
    </row>
    <row r="1300">
      <c r="A1300" s="82">
        <v>52.0</v>
      </c>
      <c r="B1300" s="69" t="s">
        <v>29</v>
      </c>
      <c r="C1300" s="70" t="s">
        <v>845</v>
      </c>
      <c r="D1300" s="69" t="s">
        <v>1802</v>
      </c>
      <c r="E1300" s="41" t="str">
        <f>IFERROR(__xludf.DUMMYFUNCTION("vlookup(D1300,IMPORTRANGE(""https://docs.google.com/spreadsheets/d/1swGwZOEqYlTEUCJLY-eeJM1911Kvaei5oySBIxdgtNo/edit?pli=1#gid=257618397"",""stock untanna!B:C""),2,false)"),"NOTEBOOK 7050-18")</f>
        <v>NOTEBOOK 7050-18</v>
      </c>
      <c r="F1300" s="70" t="s">
        <v>1802</v>
      </c>
      <c r="G1300" s="71" t="s">
        <v>1803</v>
      </c>
      <c r="H1300" s="41"/>
      <c r="I1300" s="42"/>
      <c r="J1300" s="43"/>
      <c r="K1300" s="72">
        <v>12.0</v>
      </c>
      <c r="L1300" s="53" t="s">
        <v>69</v>
      </c>
      <c r="M1300" s="73">
        <v>8333.0</v>
      </c>
      <c r="N1300" s="74"/>
      <c r="O1300" s="73">
        <v>99996.0</v>
      </c>
      <c r="P1300" s="46" t="str">
        <f t="shared" si="2"/>
        <v>Rp8,333-12 PCS-0.00%</v>
      </c>
      <c r="Q1300" s="75">
        <v>45412.0</v>
      </c>
      <c r="R1300" s="75">
        <v>45408.0</v>
      </c>
      <c r="S1300" s="75">
        <v>45420.0</v>
      </c>
      <c r="T1300" s="49"/>
    </row>
    <row r="1301">
      <c r="A1301" s="82">
        <v>52.0</v>
      </c>
      <c r="B1301" s="69" t="s">
        <v>29</v>
      </c>
      <c r="C1301" s="70" t="s">
        <v>845</v>
      </c>
      <c r="D1301" s="69" t="s">
        <v>1804</v>
      </c>
      <c r="E1301" s="41" t="str">
        <f>IFERROR(__xludf.DUMMYFUNCTION("vlookup(D1301,IMPORTRANGE(""https://docs.google.com/spreadsheets/d/1swGwZOEqYlTEUCJLY-eeJM1911Kvaei5oySBIxdgtNo/edit?pli=1#gid=257618397"",""stock untanna!B:C""),2,false)"),"NOTEBOOK 7050-20")</f>
        <v>NOTEBOOK 7050-20</v>
      </c>
      <c r="F1301" s="70" t="s">
        <v>1804</v>
      </c>
      <c r="G1301" s="71" t="s">
        <v>1805</v>
      </c>
      <c r="H1301" s="41"/>
      <c r="I1301" s="42"/>
      <c r="J1301" s="43"/>
      <c r="K1301" s="72">
        <v>12.0</v>
      </c>
      <c r="L1301" s="53" t="s">
        <v>69</v>
      </c>
      <c r="M1301" s="73">
        <v>8333.0</v>
      </c>
      <c r="N1301" s="74"/>
      <c r="O1301" s="73">
        <v>99996.0</v>
      </c>
      <c r="P1301" s="46" t="str">
        <f t="shared" si="2"/>
        <v>Rp8,333-12 PCS-0.00%</v>
      </c>
      <c r="Q1301" s="75">
        <v>45412.0</v>
      </c>
      <c r="R1301" s="75">
        <v>45408.0</v>
      </c>
      <c r="S1301" s="75">
        <v>45420.0</v>
      </c>
      <c r="T1301" s="49"/>
    </row>
    <row r="1302">
      <c r="A1302" s="82">
        <v>52.0</v>
      </c>
      <c r="B1302" s="69" t="s">
        <v>29</v>
      </c>
      <c r="C1302" s="70" t="s">
        <v>845</v>
      </c>
      <c r="D1302" s="69" t="s">
        <v>804</v>
      </c>
      <c r="E1302" s="41" t="str">
        <f>IFERROR(__xludf.DUMMYFUNCTION("vlookup(D1302,IMPORTRANGE(""https://docs.google.com/spreadsheets/d/1swGwZOEqYlTEUCJLY-eeJM1911Kvaei5oySBIxdgtNo/edit?pli=1#gid=257618397"",""stock untanna!B:C""),2,false)"),"NOTES 156-80")</f>
        <v>NOTES 156-80</v>
      </c>
      <c r="F1302" s="70" t="s">
        <v>804</v>
      </c>
      <c r="G1302" s="71" t="s">
        <v>805</v>
      </c>
      <c r="H1302" s="41"/>
      <c r="I1302" s="42"/>
      <c r="J1302" s="43"/>
      <c r="K1302" s="72">
        <v>1.0</v>
      </c>
      <c r="L1302" s="53" t="s">
        <v>62</v>
      </c>
      <c r="M1302" s="73">
        <v>43000.0</v>
      </c>
      <c r="N1302" s="74"/>
      <c r="O1302" s="73">
        <v>43000.0</v>
      </c>
      <c r="P1302" s="46" t="str">
        <f t="shared" si="2"/>
        <v>Rp43,000-1 LSN-0.00%</v>
      </c>
      <c r="Q1302" s="75">
        <v>45412.0</v>
      </c>
      <c r="R1302" s="75">
        <v>45408.0</v>
      </c>
      <c r="S1302" s="75">
        <v>45420.0</v>
      </c>
      <c r="T1302" s="49"/>
    </row>
    <row r="1303">
      <c r="A1303" s="82">
        <v>52.0</v>
      </c>
      <c r="B1303" s="69" t="s">
        <v>29</v>
      </c>
      <c r="C1303" s="70" t="s">
        <v>845</v>
      </c>
      <c r="D1303" s="69"/>
      <c r="E1303" s="41" t="s">
        <v>1806</v>
      </c>
      <c r="F1303" s="70"/>
      <c r="G1303" s="71" t="s">
        <v>1806</v>
      </c>
      <c r="H1303" s="41"/>
      <c r="I1303" s="42"/>
      <c r="J1303" s="43"/>
      <c r="K1303" s="72">
        <v>1.0</v>
      </c>
      <c r="L1303" s="53" t="s">
        <v>62</v>
      </c>
      <c r="M1303" s="73">
        <v>140000.0</v>
      </c>
      <c r="N1303" s="74"/>
      <c r="O1303" s="73">
        <v>140000.0</v>
      </c>
      <c r="P1303" s="46" t="str">
        <f t="shared" si="2"/>
        <v>Rp140,000-1 LSN-0.00%</v>
      </c>
      <c r="Q1303" s="75">
        <v>45412.0</v>
      </c>
      <c r="R1303" s="75">
        <v>45408.0</v>
      </c>
      <c r="S1303" s="75">
        <v>45420.0</v>
      </c>
      <c r="T1303" s="49"/>
    </row>
    <row r="1304">
      <c r="A1304" s="82">
        <v>52.0</v>
      </c>
      <c r="B1304" s="69" t="s">
        <v>29</v>
      </c>
      <c r="C1304" s="70" t="s">
        <v>845</v>
      </c>
      <c r="D1304" s="50" t="s">
        <v>1807</v>
      </c>
      <c r="E1304" s="41" t="str">
        <f>IFERROR(__xludf.DUMMYFUNCTION("vlookup(D1304,IMPORTRANGE(""https://docs.google.com/spreadsheets/d/1swGwZOEqYlTEUCJLY-eeJM1911Kvaei5oySBIxdgtNo/edit?pli=1#gid=257618397"",""stock untanna!B:C""),2,false)"),"CLIP FILE YUSHINCA 318 HT")</f>
        <v>CLIP FILE YUSHINCA 318 HT</v>
      </c>
      <c r="F1304" s="70" t="s">
        <v>1808</v>
      </c>
      <c r="G1304" s="71" t="s">
        <v>1809</v>
      </c>
      <c r="H1304" s="41"/>
      <c r="I1304" s="42"/>
      <c r="J1304" s="43"/>
      <c r="K1304" s="72">
        <v>1.0</v>
      </c>
      <c r="L1304" s="53" t="s">
        <v>62</v>
      </c>
      <c r="M1304" s="73">
        <v>300000.0</v>
      </c>
      <c r="N1304" s="74"/>
      <c r="O1304" s="73">
        <v>300000.0</v>
      </c>
      <c r="P1304" s="46" t="str">
        <f t="shared" si="2"/>
        <v>Rp300,000-1 LSN-0.00%</v>
      </c>
      <c r="Q1304" s="75">
        <v>45412.0</v>
      </c>
      <c r="R1304" s="75">
        <v>45408.0</v>
      </c>
      <c r="S1304" s="75">
        <v>45420.0</v>
      </c>
      <c r="T1304" s="49"/>
    </row>
    <row r="1305">
      <c r="A1305" s="82">
        <v>52.0</v>
      </c>
      <c r="B1305" s="69" t="s">
        <v>29</v>
      </c>
      <c r="C1305" s="70" t="s">
        <v>845</v>
      </c>
      <c r="D1305" s="69" t="s">
        <v>871</v>
      </c>
      <c r="E1305" s="41" t="str">
        <f>IFERROR(__xludf.DUMMYFUNCTION("vlookup(D1305,IMPORTRANGE(""https://docs.google.com/spreadsheets/d/1swGwZOEqYlTEUCJLY-eeJM1911Kvaei5oySBIxdgtNo/edit?pli=1#gid=257618397"",""stock untanna!B:C""),2,false)"),"CLIPBOARD SQ FANCY HOLO 2 MUKA")</f>
        <v>CLIPBOARD SQ FANCY HOLO 2 MUKA</v>
      </c>
      <c r="F1305" s="70" t="s">
        <v>871</v>
      </c>
      <c r="G1305" s="71" t="s">
        <v>872</v>
      </c>
      <c r="H1305" s="41"/>
      <c r="I1305" s="42"/>
      <c r="J1305" s="43"/>
      <c r="K1305" s="72">
        <v>1.0</v>
      </c>
      <c r="L1305" s="53" t="s">
        <v>62</v>
      </c>
      <c r="M1305" s="73">
        <v>115500.0</v>
      </c>
      <c r="N1305" s="74"/>
      <c r="O1305" s="73">
        <v>115500.0</v>
      </c>
      <c r="P1305" s="46" t="str">
        <f t="shared" si="2"/>
        <v>Rp115,500-1 LSN-0.00%</v>
      </c>
      <c r="Q1305" s="75">
        <v>45412.0</v>
      </c>
      <c r="R1305" s="75">
        <v>45408.0</v>
      </c>
      <c r="S1305" s="75">
        <v>45420.0</v>
      </c>
      <c r="T1305" s="49"/>
    </row>
    <row r="1306">
      <c r="A1306" s="82">
        <v>52.0</v>
      </c>
      <c r="B1306" s="69" t="s">
        <v>29</v>
      </c>
      <c r="C1306" s="70" t="s">
        <v>845</v>
      </c>
      <c r="D1306" s="69"/>
      <c r="E1306" s="41" t="s">
        <v>1810</v>
      </c>
      <c r="F1306" s="70"/>
      <c r="G1306" s="71" t="s">
        <v>1810</v>
      </c>
      <c r="H1306" s="41"/>
      <c r="I1306" s="42"/>
      <c r="J1306" s="43"/>
      <c r="K1306" s="72">
        <v>12.0</v>
      </c>
      <c r="L1306" s="53" t="s">
        <v>69</v>
      </c>
      <c r="M1306" s="73">
        <v>9000.0</v>
      </c>
      <c r="N1306" s="74"/>
      <c r="O1306" s="73">
        <v>108000.0</v>
      </c>
      <c r="P1306" s="46" t="str">
        <f t="shared" si="2"/>
        <v>Rp9,000-12 PCS-0.00%</v>
      </c>
      <c r="Q1306" s="75">
        <v>45412.0</v>
      </c>
      <c r="R1306" s="75">
        <v>45408.0</v>
      </c>
      <c r="S1306" s="75">
        <v>45420.0</v>
      </c>
      <c r="T1306" s="49"/>
    </row>
    <row r="1307">
      <c r="A1307" s="82">
        <v>53.0</v>
      </c>
      <c r="B1307" s="69" t="s">
        <v>29</v>
      </c>
      <c r="C1307" s="70" t="s">
        <v>845</v>
      </c>
      <c r="D1307" s="69"/>
      <c r="E1307" s="41" t="s">
        <v>1811</v>
      </c>
      <c r="F1307" s="70"/>
      <c r="G1307" s="71" t="s">
        <v>1811</v>
      </c>
      <c r="H1307" s="41"/>
      <c r="I1307" s="42"/>
      <c r="J1307" s="43"/>
      <c r="K1307" s="72">
        <v>12.0</v>
      </c>
      <c r="L1307" s="53" t="s">
        <v>69</v>
      </c>
      <c r="M1307" s="73">
        <v>27000.0</v>
      </c>
      <c r="N1307" s="74"/>
      <c r="O1307" s="73">
        <v>324000.0</v>
      </c>
      <c r="P1307" s="46" t="str">
        <f t="shared" si="2"/>
        <v>Rp27,000-12 PCS-0.00%</v>
      </c>
      <c r="Q1307" s="75">
        <v>45412.0</v>
      </c>
      <c r="R1307" s="75">
        <v>45408.0</v>
      </c>
      <c r="S1307" s="75">
        <v>45420.0</v>
      </c>
      <c r="T1307" s="49"/>
    </row>
    <row r="1308">
      <c r="A1308" s="82">
        <v>53.0</v>
      </c>
      <c r="B1308" s="69" t="s">
        <v>29</v>
      </c>
      <c r="C1308" s="70" t="s">
        <v>845</v>
      </c>
      <c r="D1308" s="69"/>
      <c r="E1308" s="41" t="s">
        <v>1812</v>
      </c>
      <c r="F1308" s="70"/>
      <c r="G1308" s="71" t="s">
        <v>1812</v>
      </c>
      <c r="H1308" s="41"/>
      <c r="I1308" s="42"/>
      <c r="J1308" s="43"/>
      <c r="K1308" s="72">
        <v>12.0</v>
      </c>
      <c r="L1308" s="53" t="s">
        <v>69</v>
      </c>
      <c r="M1308" s="73">
        <v>31500.0</v>
      </c>
      <c r="N1308" s="74"/>
      <c r="O1308" s="73">
        <v>378000.0</v>
      </c>
      <c r="P1308" s="46" t="str">
        <f t="shared" si="2"/>
        <v>Rp31,500-12 PCS-0.00%</v>
      </c>
      <c r="Q1308" s="75">
        <v>45412.0</v>
      </c>
      <c r="R1308" s="75">
        <v>45408.0</v>
      </c>
      <c r="S1308" s="75">
        <v>45420.0</v>
      </c>
      <c r="T1308" s="49"/>
    </row>
    <row r="1309">
      <c r="A1309" s="82">
        <v>53.0</v>
      </c>
      <c r="B1309" s="69" t="s">
        <v>29</v>
      </c>
      <c r="C1309" s="70" t="s">
        <v>845</v>
      </c>
      <c r="D1309" s="69" t="s">
        <v>1813</v>
      </c>
      <c r="E1309" s="41" t="str">
        <f>IFERROR(__xludf.DUMMYFUNCTION("vlookup(D1309,IMPORTRANGE(""https://docs.google.com/spreadsheets/d/1swGwZOEqYlTEUCJLY-eeJM1911Kvaei5oySBIxdgtNo/edit?pli=1#gid=257618397"",""stock untanna!B:C""),2,false)"),"AGENDA 7025-25K (BC 333)")</f>
        <v>AGENDA 7025-25K (BC 333)</v>
      </c>
      <c r="F1309" s="70" t="s">
        <v>1813</v>
      </c>
      <c r="G1309" s="71" t="s">
        <v>1814</v>
      </c>
      <c r="H1309" s="41"/>
      <c r="I1309" s="42"/>
      <c r="J1309" s="43"/>
      <c r="K1309" s="72">
        <v>12.0</v>
      </c>
      <c r="L1309" s="53" t="s">
        <v>69</v>
      </c>
      <c r="M1309" s="73">
        <v>25000.0</v>
      </c>
      <c r="N1309" s="74"/>
      <c r="O1309" s="73">
        <v>300000.0</v>
      </c>
      <c r="P1309" s="46" t="str">
        <f t="shared" si="2"/>
        <v>Rp25,000-12 PCS-0.00%</v>
      </c>
      <c r="Q1309" s="75">
        <v>45412.0</v>
      </c>
      <c r="R1309" s="75">
        <v>45408.0</v>
      </c>
      <c r="S1309" s="75">
        <v>45420.0</v>
      </c>
      <c r="T1309" s="49"/>
    </row>
    <row r="1310">
      <c r="A1310" s="82">
        <v>53.0</v>
      </c>
      <c r="B1310" s="69" t="s">
        <v>29</v>
      </c>
      <c r="C1310" s="70" t="s">
        <v>845</v>
      </c>
      <c r="D1310" s="69"/>
      <c r="E1310" s="41" t="s">
        <v>1815</v>
      </c>
      <c r="F1310" s="70"/>
      <c r="G1310" s="71" t="s">
        <v>1815</v>
      </c>
      <c r="H1310" s="41"/>
      <c r="I1310" s="42"/>
      <c r="J1310" s="43"/>
      <c r="K1310" s="72">
        <v>12.0</v>
      </c>
      <c r="L1310" s="53" t="s">
        <v>69</v>
      </c>
      <c r="M1310" s="73">
        <v>27500.0</v>
      </c>
      <c r="N1310" s="74"/>
      <c r="O1310" s="73">
        <v>330000.0</v>
      </c>
      <c r="P1310" s="46" t="str">
        <f t="shared" si="2"/>
        <v>Rp27,500-12 PCS-0.00%</v>
      </c>
      <c r="Q1310" s="75">
        <v>45412.0</v>
      </c>
      <c r="R1310" s="75">
        <v>45408.0</v>
      </c>
      <c r="S1310" s="75">
        <v>45420.0</v>
      </c>
      <c r="T1310" s="49"/>
    </row>
    <row r="1311">
      <c r="A1311" s="82">
        <v>53.0</v>
      </c>
      <c r="B1311" s="69" t="s">
        <v>29</v>
      </c>
      <c r="C1311" s="70" t="s">
        <v>845</v>
      </c>
      <c r="D1311" s="69" t="s">
        <v>1816</v>
      </c>
      <c r="E1311" s="41" t="str">
        <f>IFERROR(__xludf.DUMMYFUNCTION("vlookup(D1311,IMPORTRANGE(""https://docs.google.com/spreadsheets/d/1swGwZOEqYlTEUCJLY-eeJM1911Kvaei5oySBIxdgtNo/edit?pli=1#gid=257618397"",""stock untanna!B:C""),2,false)"),"AGENDA 48K HITAM 513")</f>
        <v>AGENDA 48K HITAM 513</v>
      </c>
      <c r="F1311" s="70" t="s">
        <v>1816</v>
      </c>
      <c r="G1311" s="71" t="s">
        <v>1817</v>
      </c>
      <c r="H1311" s="41"/>
      <c r="I1311" s="42"/>
      <c r="J1311" s="43"/>
      <c r="K1311" s="72">
        <v>12.0</v>
      </c>
      <c r="L1311" s="53" t="s">
        <v>69</v>
      </c>
      <c r="M1311" s="73">
        <v>24000.0</v>
      </c>
      <c r="N1311" s="74"/>
      <c r="O1311" s="73">
        <v>288000.0</v>
      </c>
      <c r="P1311" s="46" t="str">
        <f t="shared" si="2"/>
        <v>Rp24,000-12 PCS-0.00%</v>
      </c>
      <c r="Q1311" s="75">
        <v>45412.0</v>
      </c>
      <c r="R1311" s="75">
        <v>45408.0</v>
      </c>
      <c r="S1311" s="75">
        <v>45420.0</v>
      </c>
      <c r="T1311" s="49"/>
    </row>
    <row r="1312">
      <c r="A1312" s="82">
        <v>53.0</v>
      </c>
      <c r="B1312" s="69" t="s">
        <v>29</v>
      </c>
      <c r="C1312" s="70" t="s">
        <v>845</v>
      </c>
      <c r="D1312" s="69"/>
      <c r="E1312" s="41" t="s">
        <v>1818</v>
      </c>
      <c r="F1312" s="70"/>
      <c r="G1312" s="71" t="s">
        <v>1818</v>
      </c>
      <c r="H1312" s="41"/>
      <c r="I1312" s="42"/>
      <c r="J1312" s="43"/>
      <c r="K1312" s="72">
        <v>12.0</v>
      </c>
      <c r="L1312" s="53" t="s">
        <v>69</v>
      </c>
      <c r="M1312" s="73">
        <v>9000.0</v>
      </c>
      <c r="N1312" s="74"/>
      <c r="O1312" s="73">
        <v>108000.0</v>
      </c>
      <c r="P1312" s="46" t="str">
        <f t="shared" si="2"/>
        <v>Rp9,000-12 PCS-0.00%</v>
      </c>
      <c r="Q1312" s="75">
        <v>45412.0</v>
      </c>
      <c r="R1312" s="75">
        <v>45408.0</v>
      </c>
      <c r="S1312" s="75">
        <v>45420.0</v>
      </c>
      <c r="T1312" s="49"/>
    </row>
    <row r="1313">
      <c r="A1313" s="82">
        <v>53.0</v>
      </c>
      <c r="B1313" s="69" t="s">
        <v>29</v>
      </c>
      <c r="C1313" s="70" t="s">
        <v>845</v>
      </c>
      <c r="D1313" s="69"/>
      <c r="E1313" s="41" t="s">
        <v>1819</v>
      </c>
      <c r="F1313" s="70"/>
      <c r="G1313" s="71" t="s">
        <v>1819</v>
      </c>
      <c r="H1313" s="41"/>
      <c r="I1313" s="42"/>
      <c r="J1313" s="43"/>
      <c r="K1313" s="72">
        <v>12.0</v>
      </c>
      <c r="L1313" s="53" t="s">
        <v>69</v>
      </c>
      <c r="M1313" s="73">
        <v>15000.0</v>
      </c>
      <c r="N1313" s="74"/>
      <c r="O1313" s="73">
        <v>180000.0</v>
      </c>
      <c r="P1313" s="46" t="str">
        <f t="shared" si="2"/>
        <v>Rp15,000-12 PCS-0.00%</v>
      </c>
      <c r="Q1313" s="75">
        <v>45412.0</v>
      </c>
      <c r="R1313" s="75">
        <v>45408.0</v>
      </c>
      <c r="S1313" s="75">
        <v>45420.0</v>
      </c>
      <c r="T1313" s="49"/>
    </row>
    <row r="1314">
      <c r="A1314" s="82">
        <v>53.0</v>
      </c>
      <c r="B1314" s="69" t="s">
        <v>29</v>
      </c>
      <c r="C1314" s="70" t="s">
        <v>845</v>
      </c>
      <c r="D1314" s="69" t="s">
        <v>1820</v>
      </c>
      <c r="E1314" s="41" t="str">
        <f>IFERROR(__xludf.DUMMYFUNCTION("vlookup(D1314,IMPORTRANGE(""https://docs.google.com/spreadsheets/d/1swGwZOEqYlTEUCJLY-eeJM1911Kvaei5oySBIxdgtNo/edit?pli=1#gid=257618397"",""stock untanna!B:C""),2,false)"),"SAMPUL BUKU BOXY SIKA BATIK")</f>
        <v>SAMPUL BUKU BOXY SIKA BATIK</v>
      </c>
      <c r="F1314" s="70" t="s">
        <v>1820</v>
      </c>
      <c r="G1314" s="71" t="s">
        <v>1821</v>
      </c>
      <c r="H1314" s="41"/>
      <c r="I1314" s="42"/>
      <c r="J1314" s="43"/>
      <c r="K1314" s="72">
        <v>100.0</v>
      </c>
      <c r="L1314" s="53" t="s">
        <v>114</v>
      </c>
      <c r="M1314" s="73">
        <v>15000.0</v>
      </c>
      <c r="N1314" s="74"/>
      <c r="O1314" s="73">
        <v>1500000.0</v>
      </c>
      <c r="P1314" s="46" t="str">
        <f t="shared" si="2"/>
        <v>Rp15,000-100 PAK-0.00%</v>
      </c>
      <c r="Q1314" s="75">
        <v>45412.0</v>
      </c>
      <c r="R1314" s="75">
        <v>45408.0</v>
      </c>
      <c r="S1314" s="75">
        <v>45420.0</v>
      </c>
      <c r="T1314" s="49"/>
    </row>
    <row r="1315">
      <c r="A1315" s="82">
        <v>53.0</v>
      </c>
      <c r="B1315" s="69" t="s">
        <v>29</v>
      </c>
      <c r="C1315" s="70" t="s">
        <v>845</v>
      </c>
      <c r="D1315" s="50" t="s">
        <v>1822</v>
      </c>
      <c r="E1315" s="41" t="str">
        <f>IFERROR(__xludf.DUMMYFUNCTION("vlookup(D1315,IMPORTRANGE(""https://docs.google.com/spreadsheets/d/1swGwZOEqYlTEUCJLY-eeJM1911Kvaei5oySBIxdgtNo/edit?pli=1#gid=257618397"",""stock untanna!B:C""),2,false)"),"SAMPUL SAMSON KWARTO BATIK")</f>
        <v>SAMPUL SAMSON KWARTO BATIK</v>
      </c>
      <c r="F1315" s="70" t="s">
        <v>1823</v>
      </c>
      <c r="G1315" s="71" t="s">
        <v>1824</v>
      </c>
      <c r="H1315" s="41"/>
      <c r="I1315" s="42"/>
      <c r="J1315" s="43"/>
      <c r="K1315" s="72">
        <v>30.0</v>
      </c>
      <c r="L1315" s="53" t="s">
        <v>114</v>
      </c>
      <c r="M1315" s="73">
        <v>10000.0</v>
      </c>
      <c r="N1315" s="74"/>
      <c r="O1315" s="73">
        <v>300000.0</v>
      </c>
      <c r="P1315" s="46" t="str">
        <f t="shared" si="2"/>
        <v>Rp10,000-30 PAK-0.00%</v>
      </c>
      <c r="Q1315" s="75">
        <v>45412.0</v>
      </c>
      <c r="R1315" s="75">
        <v>45408.0</v>
      </c>
      <c r="S1315" s="75">
        <v>45420.0</v>
      </c>
      <c r="T1315" s="49" t="s">
        <v>100</v>
      </c>
    </row>
    <row r="1316">
      <c r="A1316" s="82">
        <v>53.0</v>
      </c>
      <c r="B1316" s="69" t="s">
        <v>29</v>
      </c>
      <c r="C1316" s="70" t="s">
        <v>845</v>
      </c>
      <c r="D1316" s="69"/>
      <c r="E1316" s="41" t="s">
        <v>1825</v>
      </c>
      <c r="F1316" s="70"/>
      <c r="G1316" s="71" t="s">
        <v>1825</v>
      </c>
      <c r="H1316" s="41"/>
      <c r="I1316" s="42"/>
      <c r="J1316" s="43"/>
      <c r="K1316" s="72">
        <v>5.0</v>
      </c>
      <c r="L1316" s="53" t="s">
        <v>62</v>
      </c>
      <c r="M1316" s="73">
        <v>55000.0</v>
      </c>
      <c r="N1316" s="74"/>
      <c r="O1316" s="73">
        <v>275000.0</v>
      </c>
      <c r="P1316" s="46" t="str">
        <f t="shared" si="2"/>
        <v>Rp55,000-5 LSN-0.00%</v>
      </c>
      <c r="Q1316" s="75">
        <v>45412.0</v>
      </c>
      <c r="R1316" s="75">
        <v>45408.0</v>
      </c>
      <c r="S1316" s="75">
        <v>45420.0</v>
      </c>
      <c r="T1316" s="49"/>
    </row>
    <row r="1317">
      <c r="A1317" s="82">
        <v>53.0</v>
      </c>
      <c r="B1317" s="69" t="s">
        <v>29</v>
      </c>
      <c r="C1317" s="70" t="s">
        <v>845</v>
      </c>
      <c r="D1317" s="69"/>
      <c r="E1317" s="41" t="s">
        <v>1826</v>
      </c>
      <c r="F1317" s="70"/>
      <c r="G1317" s="71" t="s">
        <v>1826</v>
      </c>
      <c r="H1317" s="41"/>
      <c r="I1317" s="42"/>
      <c r="J1317" s="43"/>
      <c r="K1317" s="72">
        <v>5.0</v>
      </c>
      <c r="L1317" s="53" t="s">
        <v>62</v>
      </c>
      <c r="M1317" s="73">
        <v>185000.0</v>
      </c>
      <c r="N1317" s="74"/>
      <c r="O1317" s="73">
        <v>925000.0</v>
      </c>
      <c r="P1317" s="46" t="str">
        <f t="shared" si="2"/>
        <v>Rp185,000-5 LSN-0.00%</v>
      </c>
      <c r="Q1317" s="75">
        <v>45412.0</v>
      </c>
      <c r="R1317" s="75">
        <v>45408.0</v>
      </c>
      <c r="S1317" s="75">
        <v>45420.0</v>
      </c>
      <c r="T1317" s="80" t="s">
        <v>280</v>
      </c>
    </row>
    <row r="1318">
      <c r="A1318" s="82">
        <v>53.0</v>
      </c>
      <c r="B1318" s="69" t="s">
        <v>29</v>
      </c>
      <c r="C1318" s="70" t="s">
        <v>845</v>
      </c>
      <c r="D1318" s="69"/>
      <c r="E1318" s="41" t="s">
        <v>1232</v>
      </c>
      <c r="F1318" s="70"/>
      <c r="G1318" s="71" t="s">
        <v>1232</v>
      </c>
      <c r="H1318" s="41"/>
      <c r="I1318" s="42"/>
      <c r="J1318" s="43"/>
      <c r="K1318" s="72">
        <v>5.0</v>
      </c>
      <c r="L1318" s="53" t="s">
        <v>62</v>
      </c>
      <c r="M1318" s="73">
        <v>100000.0</v>
      </c>
      <c r="N1318" s="74"/>
      <c r="O1318" s="73">
        <v>500000.0</v>
      </c>
      <c r="P1318" s="46" t="str">
        <f t="shared" si="2"/>
        <v>Rp100,000-5 LSN-0.00%</v>
      </c>
      <c r="Q1318" s="75">
        <v>45412.0</v>
      </c>
      <c r="R1318" s="75">
        <v>45408.0</v>
      </c>
      <c r="S1318" s="75">
        <v>45420.0</v>
      </c>
      <c r="T1318" s="49"/>
    </row>
    <row r="1319">
      <c r="A1319" s="82">
        <v>53.0</v>
      </c>
      <c r="B1319" s="69" t="s">
        <v>29</v>
      </c>
      <c r="C1319" s="70" t="s">
        <v>845</v>
      </c>
      <c r="D1319" s="69"/>
      <c r="E1319" s="41" t="s">
        <v>1827</v>
      </c>
      <c r="F1319" s="70"/>
      <c r="G1319" s="71" t="s">
        <v>1827</v>
      </c>
      <c r="H1319" s="41"/>
      <c r="I1319" s="42"/>
      <c r="J1319" s="43"/>
      <c r="K1319" s="72">
        <v>5.0</v>
      </c>
      <c r="L1319" s="53" t="s">
        <v>62</v>
      </c>
      <c r="M1319" s="73">
        <v>85000.0</v>
      </c>
      <c r="N1319" s="74"/>
      <c r="O1319" s="73">
        <v>425000.0</v>
      </c>
      <c r="P1319" s="46" t="str">
        <f t="shared" si="2"/>
        <v>Rp85,000-5 LSN-0.00%</v>
      </c>
      <c r="Q1319" s="75">
        <v>45412.0</v>
      </c>
      <c r="R1319" s="75">
        <v>45408.0</v>
      </c>
      <c r="S1319" s="75">
        <v>45420.0</v>
      </c>
      <c r="T1319" s="49"/>
    </row>
    <row r="1320">
      <c r="A1320" s="82">
        <v>53.0</v>
      </c>
      <c r="B1320" s="69" t="s">
        <v>29</v>
      </c>
      <c r="C1320" s="70" t="s">
        <v>845</v>
      </c>
      <c r="D1320" s="69"/>
      <c r="E1320" s="41" t="s">
        <v>1828</v>
      </c>
      <c r="F1320" s="70"/>
      <c r="G1320" s="71" t="s">
        <v>1828</v>
      </c>
      <c r="H1320" s="41"/>
      <c r="I1320" s="42"/>
      <c r="J1320" s="43"/>
      <c r="K1320" s="72">
        <v>5.0</v>
      </c>
      <c r="L1320" s="53" t="s">
        <v>62</v>
      </c>
      <c r="M1320" s="73">
        <v>55000.0</v>
      </c>
      <c r="N1320" s="74"/>
      <c r="O1320" s="73">
        <v>275000.0</v>
      </c>
      <c r="P1320" s="46" t="str">
        <f t="shared" si="2"/>
        <v>Rp55,000-5 LSN-0.00%</v>
      </c>
      <c r="Q1320" s="75">
        <v>45412.0</v>
      </c>
      <c r="R1320" s="75">
        <v>45408.0</v>
      </c>
      <c r="S1320" s="75">
        <v>45420.0</v>
      </c>
      <c r="T1320" s="49"/>
    </row>
    <row r="1321">
      <c r="A1321" s="82">
        <v>53.0</v>
      </c>
      <c r="B1321" s="69" t="s">
        <v>29</v>
      </c>
      <c r="C1321" s="70" t="s">
        <v>845</v>
      </c>
      <c r="D1321" s="69"/>
      <c r="E1321" s="41" t="s">
        <v>1829</v>
      </c>
      <c r="F1321" s="70"/>
      <c r="G1321" s="71" t="s">
        <v>1829</v>
      </c>
      <c r="H1321" s="41"/>
      <c r="I1321" s="42"/>
      <c r="J1321" s="43"/>
      <c r="K1321" s="72">
        <v>5.0</v>
      </c>
      <c r="L1321" s="53" t="s">
        <v>62</v>
      </c>
      <c r="M1321" s="73">
        <v>148500.0</v>
      </c>
      <c r="N1321" s="74"/>
      <c r="O1321" s="73">
        <v>742500.0</v>
      </c>
      <c r="P1321" s="46" t="str">
        <f t="shared" si="2"/>
        <v>Rp148,500-5 LSN-0.00%</v>
      </c>
      <c r="Q1321" s="75">
        <v>45412.0</v>
      </c>
      <c r="R1321" s="75">
        <v>45408.0</v>
      </c>
      <c r="S1321" s="75">
        <v>45420.0</v>
      </c>
      <c r="T1321" s="49"/>
    </row>
    <row r="1322">
      <c r="A1322" s="82">
        <v>53.0</v>
      </c>
      <c r="B1322" s="69" t="s">
        <v>29</v>
      </c>
      <c r="C1322" s="70" t="s">
        <v>845</v>
      </c>
      <c r="D1322" s="69" t="s">
        <v>1830</v>
      </c>
      <c r="E1322" s="41" t="str">
        <f>IFERROR(__xludf.DUMMYFUNCTION("vlookup(D1322,IMPORTRANGE(""https://docs.google.com/spreadsheets/d/1swGwZOEqYlTEUCJLY-eeJM1911Kvaei5oySBIxdgtNo/edit?pli=1#gid=257618397"",""stock untanna!B:C""),2,false)"),"BK MEWARNAI SIKA JUMBO")</f>
        <v>BK MEWARNAI SIKA JUMBO</v>
      </c>
      <c r="F1322" s="70" t="s">
        <v>1830</v>
      </c>
      <c r="G1322" s="71" t="s">
        <v>1831</v>
      </c>
      <c r="H1322" s="41"/>
      <c r="I1322" s="42"/>
      <c r="J1322" s="43"/>
      <c r="K1322" s="86">
        <v>60.0</v>
      </c>
      <c r="L1322" s="53" t="s">
        <v>69</v>
      </c>
      <c r="M1322" s="87">
        <v>4583.0</v>
      </c>
      <c r="N1322" s="88"/>
      <c r="O1322" s="87">
        <v>274980.0</v>
      </c>
      <c r="P1322" s="46" t="str">
        <f t="shared" si="2"/>
        <v>Rp4,583-60 PCS-0.00%</v>
      </c>
      <c r="Q1322" s="89">
        <v>45412.0</v>
      </c>
      <c r="R1322" s="89">
        <v>45408.0</v>
      </c>
      <c r="S1322" s="89">
        <v>45420.0</v>
      </c>
      <c r="T1322" s="70"/>
    </row>
    <row r="1323">
      <c r="A1323" s="90">
        <v>54.0</v>
      </c>
      <c r="B1323" s="91" t="s">
        <v>29</v>
      </c>
      <c r="C1323" s="49" t="s">
        <v>845</v>
      </c>
      <c r="D1323" s="91"/>
      <c r="E1323" s="41" t="s">
        <v>1832</v>
      </c>
      <c r="F1323" s="49"/>
      <c r="G1323" s="71" t="s">
        <v>1832</v>
      </c>
      <c r="H1323" s="41"/>
      <c r="I1323" s="42"/>
      <c r="J1323" s="43"/>
      <c r="K1323" s="72">
        <v>5.0</v>
      </c>
      <c r="L1323" s="53" t="s">
        <v>62</v>
      </c>
      <c r="M1323" s="73">
        <v>85000.0</v>
      </c>
      <c r="N1323" s="74"/>
      <c r="O1323" s="73">
        <v>425000.0</v>
      </c>
      <c r="P1323" s="46" t="str">
        <f t="shared" si="2"/>
        <v>Rp85,000-5 LSN-0.00%</v>
      </c>
      <c r="Q1323" s="75">
        <v>45412.0</v>
      </c>
      <c r="R1323" s="75">
        <v>45408.0</v>
      </c>
      <c r="S1323" s="75">
        <v>45422.0</v>
      </c>
      <c r="T1323" s="80" t="s">
        <v>280</v>
      </c>
    </row>
    <row r="1324">
      <c r="A1324" s="90">
        <v>54.0</v>
      </c>
      <c r="B1324" s="91" t="s">
        <v>29</v>
      </c>
      <c r="C1324" s="49" t="s">
        <v>845</v>
      </c>
      <c r="D1324" s="91"/>
      <c r="E1324" s="41" t="s">
        <v>1833</v>
      </c>
      <c r="F1324" s="49"/>
      <c r="G1324" s="71" t="s">
        <v>1833</v>
      </c>
      <c r="H1324" s="41"/>
      <c r="I1324" s="42"/>
      <c r="J1324" s="43"/>
      <c r="K1324" s="72">
        <v>12.0</v>
      </c>
      <c r="L1324" s="53" t="s">
        <v>69</v>
      </c>
      <c r="M1324" s="73">
        <v>30000.0</v>
      </c>
      <c r="N1324" s="74"/>
      <c r="O1324" s="73">
        <v>360000.0</v>
      </c>
      <c r="P1324" s="46" t="str">
        <f t="shared" si="2"/>
        <v>Rp30,000-12 PCS-0.00%</v>
      </c>
      <c r="Q1324" s="75">
        <v>45412.0</v>
      </c>
      <c r="R1324" s="75">
        <v>45408.0</v>
      </c>
      <c r="S1324" s="75">
        <v>45422.0</v>
      </c>
      <c r="T1324" s="49"/>
    </row>
    <row r="1325">
      <c r="A1325" s="90">
        <v>54.0</v>
      </c>
      <c r="B1325" s="91" t="s">
        <v>29</v>
      </c>
      <c r="C1325" s="49" t="s">
        <v>845</v>
      </c>
      <c r="D1325" s="91" t="s">
        <v>1539</v>
      </c>
      <c r="E1325" s="41" t="str">
        <f>IFERROR(__xludf.DUMMYFUNCTION("vlookup(D1325,IMPORTRANGE(""https://docs.google.com/spreadsheets/d/1swGwZOEqYlTEUCJLY-eeJM1911Kvaei5oySBIxdgtNo/edit?pli=1#gid=257618397"",""stock untanna!B:C""),2,false)"),"NOTEBOOK B0200 (A5）")</f>
        <v>NOTEBOOK B0200 (A5）</v>
      </c>
      <c r="F1325" s="49" t="s">
        <v>1539</v>
      </c>
      <c r="G1325" s="71" t="s">
        <v>1834</v>
      </c>
      <c r="H1325" s="41"/>
      <c r="I1325" s="42"/>
      <c r="J1325" s="43"/>
      <c r="K1325" s="72">
        <v>12.0</v>
      </c>
      <c r="L1325" s="53" t="s">
        <v>69</v>
      </c>
      <c r="M1325" s="73">
        <v>27500.0</v>
      </c>
      <c r="N1325" s="74"/>
      <c r="O1325" s="73">
        <v>330000.0</v>
      </c>
      <c r="P1325" s="46" t="str">
        <f t="shared" si="2"/>
        <v>Rp27,500-12 PCS-0.00%</v>
      </c>
      <c r="Q1325" s="75">
        <v>45412.0</v>
      </c>
      <c r="R1325" s="75">
        <v>45408.0</v>
      </c>
      <c r="S1325" s="75">
        <v>45422.0</v>
      </c>
      <c r="T1325" s="49"/>
    </row>
    <row r="1326">
      <c r="A1326" s="90">
        <v>54.0</v>
      </c>
      <c r="B1326" s="91" t="s">
        <v>29</v>
      </c>
      <c r="C1326" s="49" t="s">
        <v>845</v>
      </c>
      <c r="D1326" s="91" t="s">
        <v>1835</v>
      </c>
      <c r="E1326" s="41" t="str">
        <f>IFERROR(__xludf.DUMMYFUNCTION("vlookup(D1326,IMPORTRANGE(""https://docs.google.com/spreadsheets/d/1swGwZOEqYlTEUCJLY-eeJM1911Kvaei5oySBIxdgtNo/edit?pli=1#gid=257618397"",""stock untanna!B:C""),2,false)"),"NOTEBOOK B0196 (A5）")</f>
        <v>NOTEBOOK B0196 (A5）</v>
      </c>
      <c r="F1326" s="49" t="s">
        <v>1835</v>
      </c>
      <c r="G1326" s="71" t="s">
        <v>1836</v>
      </c>
      <c r="H1326" s="41"/>
      <c r="I1326" s="42"/>
      <c r="J1326" s="43"/>
      <c r="K1326" s="72">
        <v>12.0</v>
      </c>
      <c r="L1326" s="53" t="s">
        <v>69</v>
      </c>
      <c r="M1326" s="73">
        <v>27500.0</v>
      </c>
      <c r="N1326" s="74"/>
      <c r="O1326" s="73">
        <v>330000.0</v>
      </c>
      <c r="P1326" s="46" t="str">
        <f t="shared" si="2"/>
        <v>Rp27,500-12 PCS-0.00%</v>
      </c>
      <c r="Q1326" s="75">
        <v>45412.0</v>
      </c>
      <c r="R1326" s="75">
        <v>45408.0</v>
      </c>
      <c r="S1326" s="75">
        <v>45422.0</v>
      </c>
      <c r="T1326" s="49"/>
    </row>
    <row r="1327">
      <c r="A1327" s="90">
        <v>54.0</v>
      </c>
      <c r="B1327" s="91" t="s">
        <v>29</v>
      </c>
      <c r="C1327" s="49" t="s">
        <v>845</v>
      </c>
      <c r="D1327" s="91" t="s">
        <v>1541</v>
      </c>
      <c r="E1327" s="41" t="str">
        <f>IFERROR(__xludf.DUMMYFUNCTION("vlookup(D1327,IMPORTRANGE(""https://docs.google.com/spreadsheets/d/1swGwZOEqYlTEUCJLY-eeJM1911Kvaei5oySBIxdgtNo/edit?pli=1#gid=257618397"",""stock untanna!B:C""),2,false)"),"NOTEBOOK 05204")</f>
        <v>NOTEBOOK 05204</v>
      </c>
      <c r="F1327" s="49" t="s">
        <v>1541</v>
      </c>
      <c r="G1327" s="71" t="s">
        <v>1542</v>
      </c>
      <c r="H1327" s="41"/>
      <c r="I1327" s="42"/>
      <c r="J1327" s="43"/>
      <c r="K1327" s="72">
        <v>12.0</v>
      </c>
      <c r="L1327" s="53" t="s">
        <v>69</v>
      </c>
      <c r="M1327" s="73">
        <v>30000.0</v>
      </c>
      <c r="N1327" s="74"/>
      <c r="O1327" s="73">
        <v>360000.0</v>
      </c>
      <c r="P1327" s="46" t="str">
        <f t="shared" si="2"/>
        <v>Rp30,000-12 PCS-0.00%</v>
      </c>
      <c r="Q1327" s="75">
        <v>45412.0</v>
      </c>
      <c r="R1327" s="75">
        <v>45408.0</v>
      </c>
      <c r="S1327" s="75">
        <v>45422.0</v>
      </c>
      <c r="T1327" s="49"/>
    </row>
    <row r="1328">
      <c r="A1328" s="90">
        <v>54.0</v>
      </c>
      <c r="B1328" s="91" t="s">
        <v>29</v>
      </c>
      <c r="C1328" s="49" t="s">
        <v>845</v>
      </c>
      <c r="D1328" s="77" t="s">
        <v>1837</v>
      </c>
      <c r="E1328" s="41" t="str">
        <f>IFERROR(__xludf.DUMMYFUNCTION("vlookup(D1328,IMPORTRANGE(""https://docs.google.com/spreadsheets/d/1swGwZOEqYlTEUCJLY-eeJM1911Kvaei5oySBIxdgtNo/edit?pli=1#gid=257618397"",""stock untanna!B:C""),2,false)"),"BN A5 GASTA HP 2006 T")</f>
        <v>BN A5 GASTA HP 2006 T</v>
      </c>
      <c r="F1328" s="49" t="s">
        <v>1838</v>
      </c>
      <c r="G1328" s="71" t="s">
        <v>1839</v>
      </c>
      <c r="H1328" s="41"/>
      <c r="I1328" s="42"/>
      <c r="J1328" s="43"/>
      <c r="K1328" s="72">
        <v>12.0</v>
      </c>
      <c r="L1328" s="53" t="s">
        <v>69</v>
      </c>
      <c r="M1328" s="73">
        <v>22500.0</v>
      </c>
      <c r="N1328" s="74"/>
      <c r="O1328" s="73">
        <v>270000.0</v>
      </c>
      <c r="P1328" s="46" t="str">
        <f t="shared" si="2"/>
        <v>Rp22,500-12 PCS-0.00%</v>
      </c>
      <c r="Q1328" s="75">
        <v>45412.0</v>
      </c>
      <c r="R1328" s="75">
        <v>45408.0</v>
      </c>
      <c r="S1328" s="75">
        <v>45422.0</v>
      </c>
      <c r="T1328" s="49"/>
    </row>
    <row r="1329">
      <c r="A1329" s="90">
        <v>54.0</v>
      </c>
      <c r="B1329" s="91" t="s">
        <v>29</v>
      </c>
      <c r="C1329" s="49" t="s">
        <v>845</v>
      </c>
      <c r="D1329" s="91" t="s">
        <v>1840</v>
      </c>
      <c r="E1329" s="41" t="str">
        <f>IFERROR(__xludf.DUMMYFUNCTION("vlookup(D1329,IMPORTRANGE(""https://docs.google.com/spreadsheets/d/1swGwZOEqYlTEUCJLY-eeJM1911Kvaei5oySBIxdgtNo/edit?pli=1#gid=257618397"",""stock untanna!B:C""),2,false)"),"BK MEWARNAI JUMBO SJ")</f>
        <v>BK MEWARNAI JUMBO SJ</v>
      </c>
      <c r="F1329" s="49" t="s">
        <v>1840</v>
      </c>
      <c r="G1329" s="71" t="s">
        <v>1841</v>
      </c>
      <c r="H1329" s="41"/>
      <c r="I1329" s="42"/>
      <c r="J1329" s="43"/>
      <c r="K1329" s="72">
        <v>5.0</v>
      </c>
      <c r="L1329" s="53" t="s">
        <v>62</v>
      </c>
      <c r="M1329" s="73">
        <v>55000.0</v>
      </c>
      <c r="N1329" s="74"/>
      <c r="O1329" s="73">
        <v>275000.0</v>
      </c>
      <c r="P1329" s="46" t="str">
        <f t="shared" si="2"/>
        <v>Rp55,000-5 LSN-0.00%</v>
      </c>
      <c r="Q1329" s="75">
        <v>45412.0</v>
      </c>
      <c r="R1329" s="75">
        <v>45408.0</v>
      </c>
      <c r="S1329" s="75">
        <v>45422.0</v>
      </c>
      <c r="T1329" s="49"/>
    </row>
    <row r="1330">
      <c r="A1330" s="90">
        <v>54.0</v>
      </c>
      <c r="B1330" s="91" t="s">
        <v>29</v>
      </c>
      <c r="C1330" s="49" t="s">
        <v>845</v>
      </c>
      <c r="D1330" s="91"/>
      <c r="E1330" s="41" t="s">
        <v>1841</v>
      </c>
      <c r="F1330" s="49"/>
      <c r="G1330" s="71" t="s">
        <v>1841</v>
      </c>
      <c r="H1330" s="41"/>
      <c r="I1330" s="42"/>
      <c r="J1330" s="43"/>
      <c r="K1330" s="72">
        <v>5.0</v>
      </c>
      <c r="L1330" s="53" t="s">
        <v>62</v>
      </c>
      <c r="M1330" s="73">
        <v>55000.0</v>
      </c>
      <c r="N1330" s="74"/>
      <c r="O1330" s="73">
        <v>275000.0</v>
      </c>
      <c r="P1330" s="46" t="str">
        <f t="shared" si="2"/>
        <v>Rp55,000-5 LSN-0.00%</v>
      </c>
      <c r="Q1330" s="75">
        <v>45412.0</v>
      </c>
      <c r="R1330" s="75">
        <v>45408.0</v>
      </c>
      <c r="S1330" s="75">
        <v>45422.0</v>
      </c>
      <c r="T1330" s="49"/>
    </row>
    <row r="1331">
      <c r="A1331" s="90">
        <v>54.0</v>
      </c>
      <c r="B1331" s="91" t="s">
        <v>29</v>
      </c>
      <c r="C1331" s="49" t="s">
        <v>845</v>
      </c>
      <c r="D1331" s="91" t="s">
        <v>1842</v>
      </c>
      <c r="E1331" s="41" t="str">
        <f>IFERROR(__xludf.DUMMYFUNCTION("vlookup(D1331,IMPORTRANGE(""https://docs.google.com/spreadsheets/d/1swGwZOEqYlTEUCJLY-eeJM1911Kvaei5oySBIxdgtNo/edit?pli=1#gid=257618397"",""stock untanna!B:C""),2,false)"),"LOOSE LEAF BIASA UNTANO BIODATA A5 MIX")</f>
        <v>LOOSE LEAF BIASA UNTANO BIODATA A5 MIX</v>
      </c>
      <c r="F1331" s="49" t="s">
        <v>1842</v>
      </c>
      <c r="G1331" s="78" t="s">
        <v>1843</v>
      </c>
      <c r="H1331" s="41"/>
      <c r="I1331" s="42"/>
      <c r="J1331" s="43"/>
      <c r="K1331" s="72">
        <v>50.0</v>
      </c>
      <c r="L1331" s="53" t="s">
        <v>114</v>
      </c>
      <c r="M1331" s="73">
        <v>3000.0</v>
      </c>
      <c r="N1331" s="74"/>
      <c r="O1331" s="73">
        <v>150000.0</v>
      </c>
      <c r="P1331" s="46" t="str">
        <f t="shared" si="2"/>
        <v>Rp3,000-50 PAK-0.00%</v>
      </c>
      <c r="Q1331" s="75">
        <v>45412.0</v>
      </c>
      <c r="R1331" s="75">
        <v>45408.0</v>
      </c>
      <c r="S1331" s="75">
        <v>45422.0</v>
      </c>
      <c r="T1331" s="49" t="s">
        <v>100</v>
      </c>
    </row>
    <row r="1332">
      <c r="A1332" s="90">
        <v>54.0</v>
      </c>
      <c r="B1332" s="91" t="s">
        <v>29</v>
      </c>
      <c r="C1332" s="49" t="s">
        <v>845</v>
      </c>
      <c r="D1332" s="91"/>
      <c r="E1332" s="41" t="s">
        <v>1505</v>
      </c>
      <c r="F1332" s="49"/>
      <c r="G1332" s="71" t="s">
        <v>1505</v>
      </c>
      <c r="H1332" s="41"/>
      <c r="I1332" s="42"/>
      <c r="J1332" s="43"/>
      <c r="K1332" s="72">
        <v>1.0</v>
      </c>
      <c r="L1332" s="53" t="s">
        <v>62</v>
      </c>
      <c r="M1332" s="73">
        <v>140000.0</v>
      </c>
      <c r="N1332" s="74"/>
      <c r="O1332" s="73">
        <v>140000.0</v>
      </c>
      <c r="P1332" s="46" t="str">
        <f t="shared" si="2"/>
        <v>Rp140,000-1 LSN-0.00%</v>
      </c>
      <c r="Q1332" s="75">
        <v>45412.0</v>
      </c>
      <c r="R1332" s="75">
        <v>45408.0</v>
      </c>
      <c r="S1332" s="75">
        <v>45422.0</v>
      </c>
      <c r="T1332" s="80" t="s">
        <v>280</v>
      </c>
    </row>
    <row r="1333">
      <c r="A1333" s="90">
        <v>54.0</v>
      </c>
      <c r="B1333" s="91" t="s">
        <v>29</v>
      </c>
      <c r="C1333" s="49" t="s">
        <v>845</v>
      </c>
      <c r="D1333" s="91"/>
      <c r="E1333" s="41" t="s">
        <v>910</v>
      </c>
      <c r="F1333" s="49"/>
      <c r="G1333" s="71" t="s">
        <v>910</v>
      </c>
      <c r="H1333" s="41"/>
      <c r="I1333" s="42"/>
      <c r="J1333" s="43"/>
      <c r="K1333" s="72">
        <v>1.0</v>
      </c>
      <c r="L1333" s="53" t="s">
        <v>62</v>
      </c>
      <c r="M1333" s="73">
        <v>150000.0</v>
      </c>
      <c r="N1333" s="74"/>
      <c r="O1333" s="73">
        <v>150000.0</v>
      </c>
      <c r="P1333" s="46" t="str">
        <f t="shared" si="2"/>
        <v>Rp150,000-1 LSN-0.00%</v>
      </c>
      <c r="Q1333" s="75">
        <v>45412.0</v>
      </c>
      <c r="R1333" s="75">
        <v>45408.0</v>
      </c>
      <c r="S1333" s="75">
        <v>45422.0</v>
      </c>
      <c r="T1333" s="80" t="s">
        <v>280</v>
      </c>
    </row>
    <row r="1334">
      <c r="A1334" s="90">
        <v>54.0</v>
      </c>
      <c r="B1334" s="91" t="s">
        <v>29</v>
      </c>
      <c r="C1334" s="49" t="s">
        <v>845</v>
      </c>
      <c r="D1334" s="91" t="s">
        <v>1844</v>
      </c>
      <c r="E1334" s="41" t="str">
        <f>IFERROR(__xludf.DUMMYFUNCTION("vlookup(D1334,IMPORTRANGE(""https://docs.google.com/spreadsheets/d/1swGwZOEqYlTEUCJLY-eeJM1911Kvaei5oySBIxdgtNo/edit?pli=1#gid=257618397"",""stock untanna!B:C""),2,false)"),"BP TIZO TG 30630")</f>
        <v>BP TIZO TG 30630</v>
      </c>
      <c r="F1334" s="49" t="s">
        <v>1844</v>
      </c>
      <c r="G1334" s="71" t="s">
        <v>1845</v>
      </c>
      <c r="H1334" s="41"/>
      <c r="I1334" s="42"/>
      <c r="J1334" s="43"/>
      <c r="K1334" s="72">
        <v>6.0</v>
      </c>
      <c r="L1334" s="53" t="s">
        <v>62</v>
      </c>
      <c r="M1334" s="73">
        <v>37000.0</v>
      </c>
      <c r="N1334" s="74"/>
      <c r="O1334" s="73">
        <v>222000.0</v>
      </c>
      <c r="P1334" s="46" t="str">
        <f t="shared" si="2"/>
        <v>Rp37,000-6 LSN-0.00%</v>
      </c>
      <c r="Q1334" s="75">
        <v>45412.0</v>
      </c>
      <c r="R1334" s="75">
        <v>45404.0</v>
      </c>
      <c r="S1334" s="75">
        <v>45422.0</v>
      </c>
      <c r="T1334" s="49"/>
    </row>
    <row r="1335">
      <c r="A1335" s="90">
        <v>54.0</v>
      </c>
      <c r="B1335" s="91" t="s">
        <v>29</v>
      </c>
      <c r="C1335" s="49" t="s">
        <v>845</v>
      </c>
      <c r="D1335" s="91" t="s">
        <v>207</v>
      </c>
      <c r="E1335" s="41" t="str">
        <f>IFERROR(__xludf.DUMMYFUNCTION("vlookup(D1335,IMPORTRANGE(""https://docs.google.com/spreadsheets/d/1swGwZOEqYlTEUCJLY-eeJM1911Kvaei5oySBIxdgtNo/edit?pli=1#gid=257618397"",""stock untanna!B:C""),2,false)"),"BP GEL KOALA GP-168")</f>
        <v>BP GEL KOALA GP-168</v>
      </c>
      <c r="F1335" s="49" t="s">
        <v>207</v>
      </c>
      <c r="G1335" s="71" t="s">
        <v>208</v>
      </c>
      <c r="H1335" s="41"/>
      <c r="I1335" s="42"/>
      <c r="J1335" s="43"/>
      <c r="K1335" s="72">
        <v>12.0</v>
      </c>
      <c r="L1335" s="53" t="s">
        <v>62</v>
      </c>
      <c r="M1335" s="73">
        <v>45000.0</v>
      </c>
      <c r="N1335" s="74"/>
      <c r="O1335" s="73">
        <v>540000.0</v>
      </c>
      <c r="P1335" s="46" t="str">
        <f t="shared" si="2"/>
        <v>Rp45,000-12 LSN-0.00%</v>
      </c>
      <c r="Q1335" s="75">
        <v>45412.0</v>
      </c>
      <c r="R1335" s="75">
        <v>45404.0</v>
      </c>
      <c r="S1335" s="75">
        <v>45422.0</v>
      </c>
      <c r="T1335" s="49"/>
    </row>
    <row r="1336">
      <c r="A1336" s="90">
        <v>54.0</v>
      </c>
      <c r="B1336" s="91" t="s">
        <v>29</v>
      </c>
      <c r="C1336" s="49" t="s">
        <v>845</v>
      </c>
      <c r="D1336" s="91" t="s">
        <v>203</v>
      </c>
      <c r="E1336" s="41" t="str">
        <f>IFERROR(__xludf.DUMMYFUNCTION("vlookup(D1336,IMPORTRANGE(""https://docs.google.com/spreadsheets/d/1swGwZOEqYlTEUCJLY-eeJM1911Kvaei5oySBIxdgtNo/edit?pli=1#gid=257618397"",""stock untanna!B:C""),2,false)"),"BP HITECH JOSS GP-168 0.28MM")</f>
        <v>BP HITECH JOSS GP-168 0.28MM</v>
      </c>
      <c r="F1336" s="49" t="s">
        <v>203</v>
      </c>
      <c r="G1336" s="71" t="s">
        <v>204</v>
      </c>
      <c r="H1336" s="41"/>
      <c r="I1336" s="42"/>
      <c r="J1336" s="43"/>
      <c r="K1336" s="72">
        <v>12.0</v>
      </c>
      <c r="L1336" s="53" t="s">
        <v>62</v>
      </c>
      <c r="M1336" s="73">
        <v>45000.0</v>
      </c>
      <c r="N1336" s="74"/>
      <c r="O1336" s="73">
        <v>540000.0</v>
      </c>
      <c r="P1336" s="46" t="str">
        <f t="shared" si="2"/>
        <v>Rp45,000-12 LSN-0.00%</v>
      </c>
      <c r="Q1336" s="75">
        <v>45412.0</v>
      </c>
      <c r="R1336" s="75">
        <v>45404.0</v>
      </c>
      <c r="S1336" s="75">
        <v>45422.0</v>
      </c>
      <c r="T1336" s="49"/>
    </row>
    <row r="1337">
      <c r="A1337" s="90">
        <v>54.0</v>
      </c>
      <c r="B1337" s="91" t="s">
        <v>29</v>
      </c>
      <c r="C1337" s="49" t="s">
        <v>845</v>
      </c>
      <c r="D1337" s="91" t="s">
        <v>1846</v>
      </c>
      <c r="E1337" s="41" t="str">
        <f>IFERROR(__xludf.DUMMYFUNCTION("vlookup(D1337,IMPORTRANGE(""https://docs.google.com/spreadsheets/d/1swGwZOEqYlTEUCJLY-eeJM1911Kvaei5oySBIxdgtNo/edit?pli=1#gid=257618397"",""stock untanna!B:C""),2,false)"),"BP DEBOZZ 0.28 DB-GP 800 HI-Q")</f>
        <v>BP DEBOZZ 0.28 DB-GP 800 HI-Q</v>
      </c>
      <c r="F1337" s="49" t="s">
        <v>1846</v>
      </c>
      <c r="G1337" s="71" t="s">
        <v>1847</v>
      </c>
      <c r="H1337" s="41"/>
      <c r="I1337" s="42"/>
      <c r="J1337" s="43"/>
      <c r="K1337" s="72">
        <v>12.0</v>
      </c>
      <c r="L1337" s="53" t="s">
        <v>62</v>
      </c>
      <c r="M1337" s="73">
        <v>40000.0</v>
      </c>
      <c r="N1337" s="74"/>
      <c r="O1337" s="73">
        <v>480000.0</v>
      </c>
      <c r="P1337" s="46" t="str">
        <f t="shared" si="2"/>
        <v>Rp40,000-12 LSN-0.00%</v>
      </c>
      <c r="Q1337" s="75">
        <v>45412.0</v>
      </c>
      <c r="R1337" s="75">
        <v>45404.0</v>
      </c>
      <c r="S1337" s="75">
        <v>45422.0</v>
      </c>
      <c r="T1337" s="49"/>
    </row>
    <row r="1338">
      <c r="A1338" s="90">
        <v>54.0</v>
      </c>
      <c r="B1338" s="91" t="s">
        <v>29</v>
      </c>
      <c r="C1338" s="49" t="s">
        <v>845</v>
      </c>
      <c r="D1338" s="91" t="s">
        <v>312</v>
      </c>
      <c r="E1338" s="41" t="str">
        <f>IFERROR(__xludf.DUMMYFUNCTION("vlookup(D1338,IMPORTRANGE(""https://docs.google.com/spreadsheets/d/1swGwZOEqYlTEUCJLY-eeJM1911Kvaei5oySBIxdgtNo/edit?pli=1#gid=257618397"",""stock untanna!B:C""),2,false)"),"BP HILLTOP HT-1020")</f>
        <v>BP HILLTOP HT-1020</v>
      </c>
      <c r="F1338" s="49" t="s">
        <v>312</v>
      </c>
      <c r="G1338" s="71" t="s">
        <v>313</v>
      </c>
      <c r="H1338" s="41"/>
      <c r="I1338" s="42"/>
      <c r="J1338" s="43"/>
      <c r="K1338" s="72">
        <v>4.0</v>
      </c>
      <c r="L1338" s="53" t="s">
        <v>62</v>
      </c>
      <c r="M1338" s="73">
        <v>21500.0</v>
      </c>
      <c r="N1338" s="74"/>
      <c r="O1338" s="73">
        <v>86000.0</v>
      </c>
      <c r="P1338" s="46" t="str">
        <f t="shared" si="2"/>
        <v>Rp21,500-4 LSN-0.00%</v>
      </c>
      <c r="Q1338" s="75">
        <v>45412.0</v>
      </c>
      <c r="R1338" s="75">
        <v>45404.0</v>
      </c>
      <c r="S1338" s="75">
        <v>45422.0</v>
      </c>
      <c r="T1338" s="49"/>
    </row>
    <row r="1339">
      <c r="A1339" s="90">
        <v>55.0</v>
      </c>
      <c r="B1339" s="91" t="s">
        <v>29</v>
      </c>
      <c r="C1339" s="49" t="s">
        <v>845</v>
      </c>
      <c r="D1339" s="91" t="s">
        <v>1690</v>
      </c>
      <c r="E1339" s="41" t="str">
        <f>IFERROR(__xludf.DUMMYFUNCTION("vlookup(D1339,IMPORTRANGE(""https://docs.google.com/spreadsheets/d/1swGwZOEqYlTEUCJLY-eeJM1911Kvaei5oySBIxdgtNo/edit?pli=1#gid=257618397"",""stock untanna!B:C""),2,false)"),"BP SIKA GP 002 HT")</f>
        <v>BP SIKA GP 002 HT</v>
      </c>
      <c r="F1339" s="49" t="s">
        <v>1690</v>
      </c>
      <c r="G1339" s="71" t="s">
        <v>1691</v>
      </c>
      <c r="H1339" s="41"/>
      <c r="I1339" s="42"/>
      <c r="J1339" s="43"/>
      <c r="K1339" s="72">
        <v>6.0</v>
      </c>
      <c r="L1339" s="53" t="s">
        <v>62</v>
      </c>
      <c r="M1339" s="73">
        <v>30000.0</v>
      </c>
      <c r="N1339" s="74"/>
      <c r="O1339" s="73">
        <v>180000.0</v>
      </c>
      <c r="P1339" s="46" t="str">
        <f t="shared" si="2"/>
        <v>Rp30,000-6 LSN-0.00%</v>
      </c>
      <c r="Q1339" s="75">
        <v>45412.0</v>
      </c>
      <c r="R1339" s="75">
        <v>45407.0</v>
      </c>
      <c r="S1339" s="75">
        <v>45422.0</v>
      </c>
      <c r="T1339" s="49"/>
    </row>
    <row r="1340">
      <c r="A1340" s="90">
        <v>55.0</v>
      </c>
      <c r="B1340" s="91" t="s">
        <v>29</v>
      </c>
      <c r="C1340" s="49" t="s">
        <v>845</v>
      </c>
      <c r="D1340" s="91" t="s">
        <v>1688</v>
      </c>
      <c r="E1340" s="41" t="str">
        <f>IFERROR(__xludf.DUMMYFUNCTION("vlookup(D1340,IMPORTRANGE(""https://docs.google.com/spreadsheets/d/1swGwZOEqYlTEUCJLY-eeJM1911Kvaei5oySBIxdgtNo/edit?pli=1#gid=257618397"",""stock untanna!B:C""),2,false)"),"BP SIKA GP 001 HT")</f>
        <v>BP SIKA GP 001 HT</v>
      </c>
      <c r="F1340" s="49" t="s">
        <v>1688</v>
      </c>
      <c r="G1340" s="71" t="s">
        <v>1689</v>
      </c>
      <c r="H1340" s="41"/>
      <c r="I1340" s="42"/>
      <c r="J1340" s="43"/>
      <c r="K1340" s="72">
        <v>6.0</v>
      </c>
      <c r="L1340" s="53" t="s">
        <v>62</v>
      </c>
      <c r="M1340" s="73">
        <v>35000.0</v>
      </c>
      <c r="N1340" s="74"/>
      <c r="O1340" s="73">
        <v>210000.0</v>
      </c>
      <c r="P1340" s="46" t="str">
        <f t="shared" si="2"/>
        <v>Rp35,000-6 LSN-0.00%</v>
      </c>
      <c r="Q1340" s="75">
        <v>45412.0</v>
      </c>
      <c r="R1340" s="75">
        <v>45407.0</v>
      </c>
      <c r="S1340" s="75">
        <v>45422.0</v>
      </c>
      <c r="T1340" s="49"/>
    </row>
    <row r="1341">
      <c r="A1341" s="90">
        <v>55.0</v>
      </c>
      <c r="B1341" s="91" t="s">
        <v>29</v>
      </c>
      <c r="C1341" s="49" t="s">
        <v>845</v>
      </c>
      <c r="D1341" s="91" t="s">
        <v>1848</v>
      </c>
      <c r="E1341" s="41" t="str">
        <f>IFERROR(__xludf.DUMMYFUNCTION("vlookup(D1341,IMPORTRANGE(""https://docs.google.com/spreadsheets/d/1swGwZOEqYlTEUCJLY-eeJM1911Kvaei5oySBIxdgtNo/edit?pli=1#gid=257618397"",""stock untanna!B:C""),2,false)"),"BP DEBOZZ DB-530")</f>
        <v>BP DEBOZZ DB-530</v>
      </c>
      <c r="F1341" s="49" t="s">
        <v>1848</v>
      </c>
      <c r="G1341" s="71" t="s">
        <v>1849</v>
      </c>
      <c r="H1341" s="41"/>
      <c r="I1341" s="42"/>
      <c r="J1341" s="43"/>
      <c r="K1341" s="72">
        <v>12.0</v>
      </c>
      <c r="L1341" s="53" t="s">
        <v>62</v>
      </c>
      <c r="M1341" s="73">
        <v>30000.0</v>
      </c>
      <c r="N1341" s="74"/>
      <c r="O1341" s="73">
        <v>360000.0</v>
      </c>
      <c r="P1341" s="46" t="str">
        <f t="shared" si="2"/>
        <v>Rp30,000-12 LSN-0.00%</v>
      </c>
      <c r="Q1341" s="75">
        <v>45412.0</v>
      </c>
      <c r="R1341" s="75">
        <v>45407.0</v>
      </c>
      <c r="S1341" s="75">
        <v>45422.0</v>
      </c>
      <c r="T1341" s="49"/>
    </row>
    <row r="1342">
      <c r="A1342" s="90">
        <v>55.0</v>
      </c>
      <c r="B1342" s="91" t="s">
        <v>29</v>
      </c>
      <c r="C1342" s="49" t="s">
        <v>845</v>
      </c>
      <c r="D1342" s="77" t="s">
        <v>1686</v>
      </c>
      <c r="E1342" s="41" t="str">
        <f>IFERROR(__xludf.DUMMYFUNCTION("IFNA(vlookup(D1342,IMPORTRANGE(""https://docs.google.com/spreadsheets/d/1swGwZOEqYlTEUCJLY-eeJM1911Kvaei5oySBIxdgtNo/edit?pli=1#gid=257618397"",""stock untanna!B:C""),2,false),V:V)"),"BP DB 550")</f>
        <v>BP DB 550</v>
      </c>
      <c r="F1342" s="49"/>
      <c r="G1342" s="71" t="s">
        <v>1687</v>
      </c>
      <c r="H1342" s="41"/>
      <c r="I1342" s="42"/>
      <c r="J1342" s="85" t="s">
        <v>1319</v>
      </c>
      <c r="K1342" s="72">
        <v>12.0</v>
      </c>
      <c r="L1342" s="53" t="s">
        <v>62</v>
      </c>
      <c r="M1342" s="73">
        <v>30000.0</v>
      </c>
      <c r="N1342" s="74"/>
      <c r="O1342" s="73">
        <v>360000.0</v>
      </c>
      <c r="P1342" s="46" t="str">
        <f t="shared" si="2"/>
        <v>Rp30,000-12 LSN-0.00%</v>
      </c>
      <c r="Q1342" s="75">
        <v>45412.0</v>
      </c>
      <c r="R1342" s="75">
        <v>45407.0</v>
      </c>
      <c r="S1342" s="75">
        <v>45422.0</v>
      </c>
      <c r="T1342" s="80" t="s">
        <v>280</v>
      </c>
    </row>
    <row r="1343">
      <c r="A1343" s="90">
        <v>55.0</v>
      </c>
      <c r="B1343" s="91" t="s">
        <v>29</v>
      </c>
      <c r="C1343" s="49" t="s">
        <v>845</v>
      </c>
      <c r="D1343" s="91" t="s">
        <v>1850</v>
      </c>
      <c r="E1343" s="41" t="str">
        <f>IFERROR(__xludf.DUMMYFUNCTION("vlookup(D1343,IMPORTRANGE(""https://docs.google.com/spreadsheets/d/1swGwZOEqYlTEUCJLY-eeJM1911Kvaei5oySBIxdgtNo/edit?pli=1#gid=257618397"",""stock untanna!B:C""),2,false)"),"BP TIZO TG 346 C")</f>
        <v>BP TIZO TG 346 C</v>
      </c>
      <c r="F1343" s="49" t="s">
        <v>1850</v>
      </c>
      <c r="G1343" s="71" t="s">
        <v>1851</v>
      </c>
      <c r="H1343" s="41"/>
      <c r="I1343" s="42"/>
      <c r="J1343" s="43"/>
      <c r="K1343" s="72">
        <v>6.0</v>
      </c>
      <c r="L1343" s="53" t="s">
        <v>62</v>
      </c>
      <c r="M1343" s="73">
        <v>42000.0</v>
      </c>
      <c r="N1343" s="74"/>
      <c r="O1343" s="73">
        <v>252000.0</v>
      </c>
      <c r="P1343" s="46" t="str">
        <f t="shared" si="2"/>
        <v>Rp42,000-6 LSN-0.00%</v>
      </c>
      <c r="Q1343" s="75">
        <v>45412.0</v>
      </c>
      <c r="R1343" s="75">
        <v>45407.0</v>
      </c>
      <c r="S1343" s="75">
        <v>45422.0</v>
      </c>
      <c r="T1343" s="49"/>
    </row>
    <row r="1344">
      <c r="A1344" s="90">
        <v>55.0</v>
      </c>
      <c r="B1344" s="91" t="s">
        <v>29</v>
      </c>
      <c r="C1344" s="49" t="s">
        <v>845</v>
      </c>
      <c r="D1344" s="91"/>
      <c r="E1344" s="41" t="s">
        <v>1852</v>
      </c>
      <c r="F1344" s="49"/>
      <c r="G1344" s="71" t="s">
        <v>1852</v>
      </c>
      <c r="H1344" s="41"/>
      <c r="I1344" s="42"/>
      <c r="J1344" s="43"/>
      <c r="K1344" s="72">
        <v>6.0</v>
      </c>
      <c r="L1344" s="53" t="s">
        <v>62</v>
      </c>
      <c r="M1344" s="73">
        <v>42000.0</v>
      </c>
      <c r="N1344" s="74"/>
      <c r="O1344" s="73">
        <v>252000.0</v>
      </c>
      <c r="P1344" s="46" t="str">
        <f t="shared" si="2"/>
        <v>Rp42,000-6 LSN-0.00%</v>
      </c>
      <c r="Q1344" s="75">
        <v>45412.0</v>
      </c>
      <c r="R1344" s="75">
        <v>45407.0</v>
      </c>
      <c r="S1344" s="75">
        <v>45422.0</v>
      </c>
      <c r="T1344" s="49"/>
    </row>
    <row r="1345">
      <c r="A1345" s="90">
        <v>55.0</v>
      </c>
      <c r="B1345" s="91" t="s">
        <v>29</v>
      </c>
      <c r="C1345" s="49" t="s">
        <v>845</v>
      </c>
      <c r="D1345" s="91" t="s">
        <v>1853</v>
      </c>
      <c r="E1345" s="41" t="str">
        <f>IFERROR(__xludf.DUMMYFUNCTION("vlookup(D1345,IMPORTRANGE(""https://docs.google.com/spreadsheets/d/1swGwZOEqYlTEUCJLY-eeJM1911Kvaei5oySBIxdgtNo/edit?pli=1#gid=257618397"",""stock untanna!B:C""),2,false)"),"BP TIZO TG 346 D")</f>
        <v>BP TIZO TG 346 D</v>
      </c>
      <c r="F1345" s="49" t="s">
        <v>1853</v>
      </c>
      <c r="G1345" s="71" t="s">
        <v>1854</v>
      </c>
      <c r="H1345" s="41"/>
      <c r="I1345" s="42"/>
      <c r="J1345" s="43"/>
      <c r="K1345" s="72">
        <v>6.0</v>
      </c>
      <c r="L1345" s="53" t="s">
        <v>62</v>
      </c>
      <c r="M1345" s="73">
        <v>42000.0</v>
      </c>
      <c r="N1345" s="74"/>
      <c r="O1345" s="73">
        <v>252000.0</v>
      </c>
      <c r="P1345" s="46" t="str">
        <f t="shared" si="2"/>
        <v>Rp42,000-6 LSN-0.00%</v>
      </c>
      <c r="Q1345" s="75">
        <v>45412.0</v>
      </c>
      <c r="R1345" s="75">
        <v>45407.0</v>
      </c>
      <c r="S1345" s="75">
        <v>45422.0</v>
      </c>
      <c r="T1345" s="49"/>
    </row>
    <row r="1346">
      <c r="A1346" s="90">
        <v>55.0</v>
      </c>
      <c r="B1346" s="91" t="s">
        <v>29</v>
      </c>
      <c r="C1346" s="49" t="s">
        <v>845</v>
      </c>
      <c r="D1346" s="91" t="s">
        <v>1855</v>
      </c>
      <c r="E1346" s="41" t="str">
        <f>IFERROR(__xludf.DUMMYFUNCTION("vlookup(D1346,IMPORTRANGE(""https://docs.google.com/spreadsheets/d/1swGwZOEqYlTEUCJLY-eeJM1911Kvaei5oySBIxdgtNo/edit?pli=1#gid=257618397"",""stock untanna!B:C""),2,false)"),"BP TIZO TG 395F")</f>
        <v>BP TIZO TG 395F</v>
      </c>
      <c r="F1346" s="49" t="s">
        <v>1855</v>
      </c>
      <c r="G1346" s="71" t="s">
        <v>1856</v>
      </c>
      <c r="H1346" s="41"/>
      <c r="I1346" s="42"/>
      <c r="J1346" s="43"/>
      <c r="K1346" s="72">
        <v>6.0</v>
      </c>
      <c r="L1346" s="53" t="s">
        <v>62</v>
      </c>
      <c r="M1346" s="73">
        <v>40000.0</v>
      </c>
      <c r="N1346" s="74"/>
      <c r="O1346" s="73">
        <v>240000.0</v>
      </c>
      <c r="P1346" s="46" t="str">
        <f t="shared" si="2"/>
        <v>Rp40,000-6 LSN-0.00%</v>
      </c>
      <c r="Q1346" s="75">
        <v>45412.0</v>
      </c>
      <c r="R1346" s="75">
        <v>45407.0</v>
      </c>
      <c r="S1346" s="75">
        <v>45422.0</v>
      </c>
      <c r="T1346" s="49"/>
    </row>
    <row r="1347">
      <c r="A1347" s="90">
        <v>55.0</v>
      </c>
      <c r="B1347" s="91" t="s">
        <v>29</v>
      </c>
      <c r="C1347" s="49" t="s">
        <v>845</v>
      </c>
      <c r="D1347" s="91" t="s">
        <v>780</v>
      </c>
      <c r="E1347" s="41" t="str">
        <f>IFERROR(__xludf.DUMMYFUNCTION("vlookup(D1347,IMPORTRANGE(""https://docs.google.com/spreadsheets/d/1swGwZOEqYlTEUCJLY-eeJM1911Kvaei5oySBIxdgtNo/edit?pli=1#gid=257618397"",""stock untanna!B:C""),2,false)"),"BP GEL TIZO TG690")</f>
        <v>BP GEL TIZO TG690</v>
      </c>
      <c r="F1347" s="49" t="s">
        <v>780</v>
      </c>
      <c r="G1347" s="71" t="s">
        <v>781</v>
      </c>
      <c r="H1347" s="41"/>
      <c r="I1347" s="42"/>
      <c r="J1347" s="43"/>
      <c r="K1347" s="72">
        <v>3.0</v>
      </c>
      <c r="L1347" s="53" t="s">
        <v>62</v>
      </c>
      <c r="M1347" s="73">
        <v>70000.0</v>
      </c>
      <c r="N1347" s="74"/>
      <c r="O1347" s="73">
        <v>210000.0</v>
      </c>
      <c r="P1347" s="46" t="str">
        <f t="shared" si="2"/>
        <v>Rp70,000-3 LSN-0.00%</v>
      </c>
      <c r="Q1347" s="75">
        <v>45412.0</v>
      </c>
      <c r="R1347" s="75">
        <v>45407.0</v>
      </c>
      <c r="S1347" s="75">
        <v>45422.0</v>
      </c>
      <c r="T1347" s="49"/>
    </row>
    <row r="1348">
      <c r="A1348" s="90">
        <v>55.0</v>
      </c>
      <c r="B1348" s="91" t="s">
        <v>29</v>
      </c>
      <c r="C1348" s="49" t="s">
        <v>845</v>
      </c>
      <c r="D1348" s="91" t="s">
        <v>1857</v>
      </c>
      <c r="E1348" s="41" t="str">
        <f>IFERROR(__xludf.DUMMYFUNCTION("vlookup(D1348,IMPORTRANGE(""https://docs.google.com/spreadsheets/d/1swGwZOEqYlTEUCJLY-eeJM1911Kvaei5oySBIxdgtNo/edit?pli=1#gid=257618397"",""stock untanna!B:C""),2,false)"),"BP TIZO TG 3302 KLIK")</f>
        <v>BP TIZO TG 3302 KLIK</v>
      </c>
      <c r="F1348" s="49" t="s">
        <v>1857</v>
      </c>
      <c r="G1348" s="71" t="s">
        <v>1858</v>
      </c>
      <c r="H1348" s="41"/>
      <c r="I1348" s="42"/>
      <c r="J1348" s="43"/>
      <c r="K1348" s="72">
        <v>12.0</v>
      </c>
      <c r="L1348" s="53" t="s">
        <v>62</v>
      </c>
      <c r="M1348" s="73">
        <v>37500.0</v>
      </c>
      <c r="N1348" s="74"/>
      <c r="O1348" s="73">
        <v>450000.0</v>
      </c>
      <c r="P1348" s="46" t="str">
        <f t="shared" si="2"/>
        <v>Rp37,500-12 LSN-0.00%</v>
      </c>
      <c r="Q1348" s="75">
        <v>45412.0</v>
      </c>
      <c r="R1348" s="75">
        <v>45407.0</v>
      </c>
      <c r="S1348" s="75">
        <v>45422.0</v>
      </c>
      <c r="T1348" s="49"/>
    </row>
    <row r="1349">
      <c r="A1349" s="90">
        <v>55.0</v>
      </c>
      <c r="B1349" s="91" t="s">
        <v>29</v>
      </c>
      <c r="C1349" s="49" t="s">
        <v>845</v>
      </c>
      <c r="D1349" s="77" t="s">
        <v>752</v>
      </c>
      <c r="E1349" s="41" t="str">
        <f>IFERROR(__xludf.DUMMYFUNCTION("vlookup(D1349,IMPORTRANGE(""https://docs.google.com/spreadsheets/d/1swGwZOEqYlTEUCJLY-eeJM1911Kvaei5oySBIxdgtNo/edit?pli=1#gid=257618397"",""stock untanna!B:C""),2,false)"),"BP X DATA M2")</f>
        <v>BP X DATA M2</v>
      </c>
      <c r="F1349" s="49" t="s">
        <v>1859</v>
      </c>
      <c r="G1349" s="71" t="s">
        <v>1860</v>
      </c>
      <c r="H1349" s="41"/>
      <c r="I1349" s="42"/>
      <c r="J1349" s="43"/>
      <c r="K1349" s="72">
        <v>1.0</v>
      </c>
      <c r="L1349" s="53" t="s">
        <v>131</v>
      </c>
      <c r="M1349" s="73">
        <v>132000.0</v>
      </c>
      <c r="N1349" s="74"/>
      <c r="O1349" s="73">
        <v>132000.0</v>
      </c>
      <c r="P1349" s="46" t="str">
        <f t="shared" si="2"/>
        <v>Rp132,000-1 GRS-0.00%</v>
      </c>
      <c r="Q1349" s="75">
        <v>45412.0</v>
      </c>
      <c r="R1349" s="75">
        <v>45407.0</v>
      </c>
      <c r="S1349" s="75">
        <v>45422.0</v>
      </c>
      <c r="T1349" s="49"/>
    </row>
    <row r="1350">
      <c r="A1350" s="90">
        <v>55.0</v>
      </c>
      <c r="B1350" s="91" t="s">
        <v>29</v>
      </c>
      <c r="C1350" s="49" t="s">
        <v>845</v>
      </c>
      <c r="D1350" s="91" t="s">
        <v>750</v>
      </c>
      <c r="E1350" s="41" t="str">
        <f>IFERROR(__xludf.DUMMYFUNCTION("vlookup(D1350,IMPORTRANGE(""https://docs.google.com/spreadsheets/d/1swGwZOEqYlTEUCJLY-eeJM1911Kvaei5oySBIxdgtNo/edit?pli=1#gid=257618397"",""stock untanna!B:C""),2,false)"),"BP X DATA M1")</f>
        <v>BP X DATA M1</v>
      </c>
      <c r="F1350" s="49" t="s">
        <v>750</v>
      </c>
      <c r="G1350" s="71" t="s">
        <v>751</v>
      </c>
      <c r="H1350" s="41"/>
      <c r="I1350" s="42"/>
      <c r="J1350" s="43"/>
      <c r="K1350" s="72">
        <v>1.0</v>
      </c>
      <c r="L1350" s="53" t="s">
        <v>131</v>
      </c>
      <c r="M1350" s="73">
        <v>120000.0</v>
      </c>
      <c r="N1350" s="74"/>
      <c r="O1350" s="73">
        <v>120000.0</v>
      </c>
      <c r="P1350" s="46" t="str">
        <f t="shared" si="2"/>
        <v>Rp120,000-1 GRS-0.00%</v>
      </c>
      <c r="Q1350" s="75">
        <v>45412.0</v>
      </c>
      <c r="R1350" s="75">
        <v>45407.0</v>
      </c>
      <c r="S1350" s="75">
        <v>45422.0</v>
      </c>
      <c r="T1350" s="49"/>
    </row>
    <row r="1351">
      <c r="A1351" s="90">
        <v>55.0</v>
      </c>
      <c r="B1351" s="91" t="s">
        <v>29</v>
      </c>
      <c r="C1351" s="49" t="s">
        <v>845</v>
      </c>
      <c r="D1351" s="77" t="s">
        <v>752</v>
      </c>
      <c r="E1351" s="41" t="str">
        <f>IFERROR(__xludf.DUMMYFUNCTION("IFNA(vlookup(D1351,IMPORTRANGE(""https://docs.google.com/spreadsheets/d/1swGwZOEqYlTEUCJLY-eeJM1911Kvaei5oySBIxdgtNo/edit?pli=1#gid=257618397"",""stock untanna!B:C""),2,false),V:V)"),"BP X DATA M2")</f>
        <v>BP X DATA M2</v>
      </c>
      <c r="F1351" s="49"/>
      <c r="G1351" s="71" t="s">
        <v>753</v>
      </c>
      <c r="H1351" s="41"/>
      <c r="I1351" s="42"/>
      <c r="J1351" s="85" t="s">
        <v>1319</v>
      </c>
      <c r="K1351" s="72">
        <v>12.0</v>
      </c>
      <c r="L1351" s="53" t="s">
        <v>62</v>
      </c>
      <c r="M1351" s="73">
        <v>10000.0</v>
      </c>
      <c r="N1351" s="74"/>
      <c r="O1351" s="73">
        <v>120000.0</v>
      </c>
      <c r="P1351" s="46" t="str">
        <f t="shared" si="2"/>
        <v>Rp10,000-12 LSN-0.00%</v>
      </c>
      <c r="Q1351" s="75">
        <v>45412.0</v>
      </c>
      <c r="R1351" s="75">
        <v>45407.0</v>
      </c>
      <c r="S1351" s="75">
        <v>45422.0</v>
      </c>
      <c r="T1351" s="80" t="s">
        <v>280</v>
      </c>
    </row>
    <row r="1352">
      <c r="A1352" s="90">
        <v>55.0</v>
      </c>
      <c r="B1352" s="91" t="s">
        <v>29</v>
      </c>
      <c r="C1352" s="49" t="s">
        <v>845</v>
      </c>
      <c r="D1352" s="77" t="s">
        <v>1861</v>
      </c>
      <c r="E1352" s="41" t="str">
        <f>IFERROR(__xludf.DUMMYFUNCTION("IFNA(vlookup(D1352,IMPORTRANGE(""https://docs.google.com/spreadsheets/d/1swGwZOEqYlTEUCJLY-eeJM1911Kvaei5oySBIxdgtNo/edit?pli=1#gid=257618397"",""stock untanna!B:C""),2,false),V:V)"),"BP ZHIXIN 3568")</f>
        <v>BP ZHIXIN 3568</v>
      </c>
      <c r="F1352" s="49"/>
      <c r="G1352" s="71" t="s">
        <v>1862</v>
      </c>
      <c r="H1352" s="41"/>
      <c r="I1352" s="42"/>
      <c r="J1352" s="85" t="s">
        <v>1319</v>
      </c>
      <c r="K1352" s="72">
        <v>6.0</v>
      </c>
      <c r="L1352" s="53" t="s">
        <v>62</v>
      </c>
      <c r="M1352" s="73">
        <v>30000.0</v>
      </c>
      <c r="N1352" s="74"/>
      <c r="O1352" s="73">
        <v>180000.0</v>
      </c>
      <c r="P1352" s="46" t="str">
        <f t="shared" si="2"/>
        <v>Rp30,000-6 LSN-0.00%</v>
      </c>
      <c r="Q1352" s="75">
        <v>45412.0</v>
      </c>
      <c r="R1352" s="75">
        <v>45407.0</v>
      </c>
      <c r="S1352" s="75">
        <v>45422.0</v>
      </c>
      <c r="T1352" s="80" t="s">
        <v>280</v>
      </c>
    </row>
    <row r="1353">
      <c r="A1353" s="90">
        <v>55.0</v>
      </c>
      <c r="B1353" s="91" t="s">
        <v>29</v>
      </c>
      <c r="C1353" s="49" t="s">
        <v>845</v>
      </c>
      <c r="D1353" s="91"/>
      <c r="E1353" s="41" t="s">
        <v>1863</v>
      </c>
      <c r="F1353" s="49"/>
      <c r="G1353" s="71" t="s">
        <v>1863</v>
      </c>
      <c r="H1353" s="41"/>
      <c r="I1353" s="42"/>
      <c r="J1353" s="43"/>
      <c r="K1353" s="72">
        <v>6.0</v>
      </c>
      <c r="L1353" s="53" t="s">
        <v>62</v>
      </c>
      <c r="M1353" s="73">
        <v>21000.0</v>
      </c>
      <c r="N1353" s="74"/>
      <c r="O1353" s="73">
        <v>126000.0</v>
      </c>
      <c r="P1353" s="46" t="str">
        <f t="shared" si="2"/>
        <v>Rp21,000-6 LSN-0.00%</v>
      </c>
      <c r="Q1353" s="75">
        <v>45412.0</v>
      </c>
      <c r="R1353" s="75">
        <v>45407.0</v>
      </c>
      <c r="S1353" s="75">
        <v>45422.0</v>
      </c>
      <c r="T1353" s="49"/>
    </row>
    <row r="1354">
      <c r="A1354" s="90">
        <v>55.0</v>
      </c>
      <c r="B1354" s="91" t="s">
        <v>29</v>
      </c>
      <c r="C1354" s="49" t="s">
        <v>845</v>
      </c>
      <c r="D1354" s="91"/>
      <c r="E1354" s="41" t="s">
        <v>1864</v>
      </c>
      <c r="F1354" s="49"/>
      <c r="G1354" s="71" t="s">
        <v>1864</v>
      </c>
      <c r="H1354" s="41"/>
      <c r="I1354" s="42"/>
      <c r="J1354" s="43"/>
      <c r="K1354" s="72">
        <v>6.0</v>
      </c>
      <c r="L1354" s="53" t="s">
        <v>62</v>
      </c>
      <c r="M1354" s="73">
        <v>21000.0</v>
      </c>
      <c r="N1354" s="74"/>
      <c r="O1354" s="73">
        <v>126000.0</v>
      </c>
      <c r="P1354" s="46" t="str">
        <f t="shared" si="2"/>
        <v>Rp21,000-6 LSN-0.00%</v>
      </c>
      <c r="Q1354" s="75">
        <v>45412.0</v>
      </c>
      <c r="R1354" s="75">
        <v>45407.0</v>
      </c>
      <c r="S1354" s="75">
        <v>45422.0</v>
      </c>
      <c r="T1354" s="49"/>
    </row>
    <row r="1355">
      <c r="A1355" s="90">
        <v>56.0</v>
      </c>
      <c r="B1355" s="91" t="s">
        <v>29</v>
      </c>
      <c r="C1355" s="49" t="s">
        <v>845</v>
      </c>
      <c r="D1355" s="91"/>
      <c r="E1355" s="41" t="s">
        <v>1865</v>
      </c>
      <c r="F1355" s="49"/>
      <c r="G1355" s="71" t="s">
        <v>1865</v>
      </c>
      <c r="H1355" s="41"/>
      <c r="I1355" s="42"/>
      <c r="J1355" s="43"/>
      <c r="K1355" s="72">
        <v>6.0</v>
      </c>
      <c r="L1355" s="53" t="s">
        <v>62</v>
      </c>
      <c r="M1355" s="73">
        <v>21000.0</v>
      </c>
      <c r="N1355" s="74"/>
      <c r="O1355" s="73">
        <v>126000.0</v>
      </c>
      <c r="P1355" s="46" t="str">
        <f t="shared" si="2"/>
        <v>Rp21,000-6 LSN-0.00%</v>
      </c>
      <c r="Q1355" s="75">
        <v>45412.0</v>
      </c>
      <c r="R1355" s="75">
        <v>45407.0</v>
      </c>
      <c r="S1355" s="75">
        <v>45422.0</v>
      </c>
      <c r="T1355" s="80" t="s">
        <v>280</v>
      </c>
    </row>
    <row r="1356">
      <c r="A1356" s="90">
        <v>56.0</v>
      </c>
      <c r="B1356" s="91" t="s">
        <v>29</v>
      </c>
      <c r="C1356" s="49" t="s">
        <v>845</v>
      </c>
      <c r="D1356" s="91"/>
      <c r="E1356" s="41" t="s">
        <v>1866</v>
      </c>
      <c r="F1356" s="49"/>
      <c r="G1356" s="71" t="s">
        <v>1866</v>
      </c>
      <c r="H1356" s="41"/>
      <c r="I1356" s="42"/>
      <c r="J1356" s="43"/>
      <c r="K1356" s="72">
        <v>6.0</v>
      </c>
      <c r="L1356" s="53" t="s">
        <v>62</v>
      </c>
      <c r="M1356" s="73">
        <v>37500.0</v>
      </c>
      <c r="N1356" s="74"/>
      <c r="O1356" s="73">
        <v>225000.0</v>
      </c>
      <c r="P1356" s="46" t="str">
        <f t="shared" si="2"/>
        <v>Rp37,500-6 LSN-0.00%</v>
      </c>
      <c r="Q1356" s="75">
        <v>45412.0</v>
      </c>
      <c r="R1356" s="75">
        <v>45407.0</v>
      </c>
      <c r="S1356" s="75">
        <v>45422.0</v>
      </c>
      <c r="T1356" s="49"/>
    </row>
    <row r="1357">
      <c r="A1357" s="90">
        <v>56.0</v>
      </c>
      <c r="B1357" s="91" t="s">
        <v>29</v>
      </c>
      <c r="C1357" s="49" t="s">
        <v>845</v>
      </c>
      <c r="D1357" s="91"/>
      <c r="E1357" s="41" t="s">
        <v>1867</v>
      </c>
      <c r="F1357" s="49"/>
      <c r="G1357" s="71" t="s">
        <v>1867</v>
      </c>
      <c r="H1357" s="41"/>
      <c r="I1357" s="42"/>
      <c r="J1357" s="43"/>
      <c r="K1357" s="72">
        <v>6.0</v>
      </c>
      <c r="L1357" s="53" t="s">
        <v>62</v>
      </c>
      <c r="M1357" s="73">
        <v>50000.0</v>
      </c>
      <c r="N1357" s="74"/>
      <c r="O1357" s="73">
        <v>300000.0</v>
      </c>
      <c r="P1357" s="46" t="str">
        <f t="shared" si="2"/>
        <v>Rp50,000-6 LSN-0.00%</v>
      </c>
      <c r="Q1357" s="75">
        <v>45412.0</v>
      </c>
      <c r="R1357" s="75">
        <v>45407.0</v>
      </c>
      <c r="S1357" s="75">
        <v>45422.0</v>
      </c>
      <c r="T1357" s="49"/>
    </row>
    <row r="1358">
      <c r="A1358" s="90">
        <v>56.0</v>
      </c>
      <c r="B1358" s="91" t="s">
        <v>29</v>
      </c>
      <c r="C1358" s="49" t="s">
        <v>845</v>
      </c>
      <c r="D1358" s="91" t="s">
        <v>1868</v>
      </c>
      <c r="E1358" s="41" t="str">
        <f>IFERROR(__xludf.DUMMYFUNCTION("vlookup(D1358,IMPORTRANGE(""https://docs.google.com/spreadsheets/d/1swGwZOEqYlTEUCJLY-eeJM1911Kvaei5oySBIxdgtNo/edit?pli=1#gid=257618397"",""stock untanna!B:C""),2,false)"),"BP 4W TOZCHA 8401")</f>
        <v>BP 4W TOZCHA 8401</v>
      </c>
      <c r="F1358" s="49" t="s">
        <v>1868</v>
      </c>
      <c r="G1358" s="71" t="s">
        <v>1869</v>
      </c>
      <c r="H1358" s="41"/>
      <c r="I1358" s="42"/>
      <c r="J1358" s="43"/>
      <c r="K1358" s="72">
        <v>6.0</v>
      </c>
      <c r="L1358" s="53" t="s">
        <v>62</v>
      </c>
      <c r="M1358" s="73">
        <v>35000.0</v>
      </c>
      <c r="N1358" s="74"/>
      <c r="O1358" s="73">
        <v>210000.0</v>
      </c>
      <c r="P1358" s="46" t="str">
        <f t="shared" si="2"/>
        <v>Rp35,000-6 LSN-0.00%</v>
      </c>
      <c r="Q1358" s="75">
        <v>45412.0</v>
      </c>
      <c r="R1358" s="75">
        <v>45407.0</v>
      </c>
      <c r="S1358" s="75">
        <v>45422.0</v>
      </c>
      <c r="T1358" s="49"/>
    </row>
    <row r="1359">
      <c r="A1359" s="90">
        <v>56.0</v>
      </c>
      <c r="B1359" s="91" t="s">
        <v>29</v>
      </c>
      <c r="C1359" s="49" t="s">
        <v>845</v>
      </c>
      <c r="D1359" s="91" t="s">
        <v>1307</v>
      </c>
      <c r="E1359" s="41" t="str">
        <f>IFERROR(__xludf.DUMMYFUNCTION("vlookup(D1359,IMPORTRANGE(""https://docs.google.com/spreadsheets/d/1swGwZOEqYlTEUCJLY-eeJM1911Kvaei5oySBIxdgtNo/edit?pli=1#gid=257618397"",""stock untanna!B:C""),2,false)"),"BP E 8805 MULTI WARNA (24)")</f>
        <v>BP E 8805 MULTI WARNA (24)</v>
      </c>
      <c r="F1359" s="49" t="s">
        <v>1307</v>
      </c>
      <c r="G1359" s="71" t="s">
        <v>1308</v>
      </c>
      <c r="H1359" s="41"/>
      <c r="I1359" s="42"/>
      <c r="J1359" s="43"/>
      <c r="K1359" s="72">
        <v>2.0</v>
      </c>
      <c r="L1359" s="53" t="s">
        <v>88</v>
      </c>
      <c r="M1359" s="73">
        <v>240000.0</v>
      </c>
      <c r="N1359" s="74"/>
      <c r="O1359" s="73">
        <v>480000.0</v>
      </c>
      <c r="P1359" s="46" t="str">
        <f t="shared" si="2"/>
        <v>Rp240,000-2 BOX-0.00%</v>
      </c>
      <c r="Q1359" s="75">
        <v>45412.0</v>
      </c>
      <c r="R1359" s="75">
        <v>45407.0</v>
      </c>
      <c r="S1359" s="75">
        <v>45422.0</v>
      </c>
      <c r="T1359" s="49"/>
    </row>
    <row r="1360">
      <c r="A1360" s="90">
        <v>56.0</v>
      </c>
      <c r="B1360" s="91" t="s">
        <v>29</v>
      </c>
      <c r="C1360" s="49" t="s">
        <v>845</v>
      </c>
      <c r="D1360" s="77" t="s">
        <v>1870</v>
      </c>
      <c r="E1360" s="41" t="str">
        <f>IFERROR(__xludf.DUMMYFUNCTION("vlookup(D1360,IMPORTRANGE(""https://docs.google.com/spreadsheets/d/1swGwZOEqYlTEUCJLY-eeJM1911Kvaei5oySBIxdgtNo/edit?pli=1#gid=257618397"",""stock untanna!B:C""),2,false)"),"GARISAN 15CM 536-750 CARTOON NETWORK (48)")</f>
        <v>GARISAN 15CM 536-750 CARTOON NETWORK (48)</v>
      </c>
      <c r="F1360" s="49" t="s">
        <v>1871</v>
      </c>
      <c r="G1360" s="78" t="s">
        <v>1872</v>
      </c>
      <c r="H1360" s="41"/>
      <c r="I1360" s="42"/>
      <c r="J1360" s="43"/>
      <c r="K1360" s="72">
        <v>4.0</v>
      </c>
      <c r="L1360" s="53" t="s">
        <v>62</v>
      </c>
      <c r="M1360" s="73">
        <v>15000.0</v>
      </c>
      <c r="N1360" s="74"/>
      <c r="O1360" s="73">
        <v>60000.0</v>
      </c>
      <c r="P1360" s="46" t="str">
        <f t="shared" si="2"/>
        <v>Rp15,000-4 LSN-0.00%</v>
      </c>
      <c r="Q1360" s="75">
        <v>45412.0</v>
      </c>
      <c r="R1360" s="75">
        <v>45407.0</v>
      </c>
      <c r="S1360" s="75">
        <v>45422.0</v>
      </c>
      <c r="T1360" s="49"/>
    </row>
    <row r="1361">
      <c r="A1361" s="90">
        <v>56.0</v>
      </c>
      <c r="B1361" s="91" t="s">
        <v>29</v>
      </c>
      <c r="C1361" s="49" t="s">
        <v>845</v>
      </c>
      <c r="D1361" s="91" t="s">
        <v>383</v>
      </c>
      <c r="E1361" s="41" t="str">
        <f>IFERROR(__xludf.DUMMYFUNCTION("vlookup(D1361,IMPORTRANGE(""https://docs.google.com/spreadsheets/d/1swGwZOEqYlTEUCJLY-eeJM1911Kvaei5oySBIxdgtNo/edit?pli=1#gid=257618397"",""stock untanna!B:C""),2,false)"),"GARISAN BC-6018")</f>
        <v>GARISAN BC-6018</v>
      </c>
      <c r="F1361" s="49" t="s">
        <v>383</v>
      </c>
      <c r="G1361" s="71" t="s">
        <v>384</v>
      </c>
      <c r="H1361" s="41"/>
      <c r="I1361" s="42"/>
      <c r="J1361" s="43"/>
      <c r="K1361" s="72">
        <v>50.0</v>
      </c>
      <c r="L1361" s="53" t="s">
        <v>69</v>
      </c>
      <c r="M1361" s="73">
        <v>6000.0</v>
      </c>
      <c r="N1361" s="74"/>
      <c r="O1361" s="73">
        <v>300000.0</v>
      </c>
      <c r="P1361" s="46" t="str">
        <f t="shared" si="2"/>
        <v>Rp6,000-50 PCS-0.00%</v>
      </c>
      <c r="Q1361" s="75">
        <v>45412.0</v>
      </c>
      <c r="R1361" s="75">
        <v>45407.0</v>
      </c>
      <c r="S1361" s="75">
        <v>45422.0</v>
      </c>
      <c r="T1361" s="49"/>
    </row>
    <row r="1362">
      <c r="A1362" s="90">
        <v>56.0</v>
      </c>
      <c r="B1362" s="91" t="s">
        <v>29</v>
      </c>
      <c r="C1362" s="49" t="s">
        <v>845</v>
      </c>
      <c r="D1362" s="91" t="s">
        <v>389</v>
      </c>
      <c r="E1362" s="41" t="str">
        <f>IFERROR(__xludf.DUMMYFUNCTION("vlookup(D1362,IMPORTRANGE(""https://docs.google.com/spreadsheets/d/1swGwZOEqYlTEUCJLY-eeJM1911Kvaei5oySBIxdgtNo/edit?pli=1#gid=257618397"",""stock untanna!B:C""),2,false)"),"GARISAN ZH-251 20 CM")</f>
        <v>GARISAN ZH-251 20 CM</v>
      </c>
      <c r="F1362" s="49" t="s">
        <v>389</v>
      </c>
      <c r="G1362" s="71" t="s">
        <v>390</v>
      </c>
      <c r="H1362" s="41"/>
      <c r="I1362" s="42"/>
      <c r="J1362" s="43"/>
      <c r="K1362" s="72">
        <v>80.0</v>
      </c>
      <c r="L1362" s="53" t="s">
        <v>69</v>
      </c>
      <c r="M1362" s="73">
        <v>2000.0</v>
      </c>
      <c r="N1362" s="74"/>
      <c r="O1362" s="73">
        <v>160000.0</v>
      </c>
      <c r="P1362" s="46" t="str">
        <f t="shared" si="2"/>
        <v>Rp2,000-80 PCS-0.00%</v>
      </c>
      <c r="Q1362" s="75">
        <v>45412.0</v>
      </c>
      <c r="R1362" s="75">
        <v>45407.0</v>
      </c>
      <c r="S1362" s="75">
        <v>45422.0</v>
      </c>
      <c r="T1362" s="49"/>
    </row>
    <row r="1363">
      <c r="A1363" s="90">
        <v>56.0</v>
      </c>
      <c r="B1363" s="91" t="s">
        <v>29</v>
      </c>
      <c r="C1363" s="49" t="s">
        <v>845</v>
      </c>
      <c r="D1363" s="91" t="s">
        <v>387</v>
      </c>
      <c r="E1363" s="41" t="str">
        <f>IFERROR(__xludf.DUMMYFUNCTION("vlookup(D1363,IMPORTRANGE(""https://docs.google.com/spreadsheets/d/1swGwZOEqYlTEUCJLY-eeJM1911Kvaei5oySBIxdgtNo/edit?pli=1#gid=257618397"",""stock untanna!B:C""),2,false)"),"GARISAN ZH-243")</f>
        <v>GARISAN ZH-243</v>
      </c>
      <c r="F1363" s="49" t="s">
        <v>387</v>
      </c>
      <c r="G1363" s="71" t="s">
        <v>388</v>
      </c>
      <c r="H1363" s="41"/>
      <c r="I1363" s="42"/>
      <c r="J1363" s="43"/>
      <c r="K1363" s="72">
        <v>50.0</v>
      </c>
      <c r="L1363" s="53" t="s">
        <v>69</v>
      </c>
      <c r="M1363" s="73">
        <v>2000.0</v>
      </c>
      <c r="N1363" s="74"/>
      <c r="O1363" s="73">
        <v>100000.0</v>
      </c>
      <c r="P1363" s="46" t="str">
        <f t="shared" si="2"/>
        <v>Rp2,000-50 PCS-0.00%</v>
      </c>
      <c r="Q1363" s="75">
        <v>45412.0</v>
      </c>
      <c r="R1363" s="75">
        <v>45407.0</v>
      </c>
      <c r="S1363" s="75">
        <v>45422.0</v>
      </c>
      <c r="T1363" s="49"/>
    </row>
    <row r="1364">
      <c r="A1364" s="90">
        <v>56.0</v>
      </c>
      <c r="B1364" s="91" t="s">
        <v>29</v>
      </c>
      <c r="C1364" s="49" t="s">
        <v>845</v>
      </c>
      <c r="D1364" s="91"/>
      <c r="E1364" s="41" t="s">
        <v>1873</v>
      </c>
      <c r="F1364" s="49"/>
      <c r="G1364" s="71" t="s">
        <v>1873</v>
      </c>
      <c r="H1364" s="41"/>
      <c r="I1364" s="42"/>
      <c r="J1364" s="43"/>
      <c r="K1364" s="72">
        <v>2.0</v>
      </c>
      <c r="L1364" s="53" t="s">
        <v>1874</v>
      </c>
      <c r="M1364" s="73">
        <v>100000.0</v>
      </c>
      <c r="N1364" s="74"/>
      <c r="O1364" s="73">
        <v>200000.0</v>
      </c>
      <c r="P1364" s="46" t="str">
        <f t="shared" si="2"/>
        <v>Rp100,000-2 BOX (40)-0.00%</v>
      </c>
      <c r="Q1364" s="75">
        <v>45412.0</v>
      </c>
      <c r="R1364" s="75">
        <v>45407.0</v>
      </c>
      <c r="S1364" s="75">
        <v>45422.0</v>
      </c>
      <c r="T1364" s="49"/>
    </row>
    <row r="1365">
      <c r="A1365" s="90">
        <v>56.0</v>
      </c>
      <c r="B1365" s="91" t="s">
        <v>29</v>
      </c>
      <c r="C1365" s="49" t="s">
        <v>845</v>
      </c>
      <c r="D1365" s="91" t="s">
        <v>23</v>
      </c>
      <c r="E1365" s="41" t="str">
        <f>IFERROR(__xludf.DUMMYFUNCTION("vlookup(D1365,IMPORTRANGE(""https://docs.google.com/spreadsheets/d/1swGwZOEqYlTEUCJLY-eeJM1911Kvaei5oySBIxdgtNo/edit?pli=1#gid=257618397"",""stock untanna!B:C""),2,false)"),"KERTAS LIPAT ORIGAMI ALFA FLUORESCENT 12 X 12")</f>
        <v>KERTAS LIPAT ORIGAMI ALFA FLUORESCENT 12 X 12</v>
      </c>
      <c r="F1365" s="49" t="s">
        <v>23</v>
      </c>
      <c r="G1365" s="78" t="s">
        <v>1875</v>
      </c>
      <c r="H1365" s="41"/>
      <c r="I1365" s="42"/>
      <c r="J1365" s="43"/>
      <c r="K1365" s="72">
        <v>25.0</v>
      </c>
      <c r="L1365" s="53" t="s">
        <v>114</v>
      </c>
      <c r="M1365" s="73">
        <v>3500.0</v>
      </c>
      <c r="N1365" s="74"/>
      <c r="O1365" s="73">
        <v>87500.0</v>
      </c>
      <c r="P1365" s="46" t="str">
        <f t="shared" si="2"/>
        <v>Rp3,500-25 PAK-0.00%</v>
      </c>
      <c r="Q1365" s="75">
        <v>45412.0</v>
      </c>
      <c r="R1365" s="75">
        <v>45408.0</v>
      </c>
      <c r="S1365" s="75">
        <v>45422.0</v>
      </c>
      <c r="T1365" s="49" t="s">
        <v>100</v>
      </c>
    </row>
    <row r="1366">
      <c r="A1366" s="90">
        <v>56.0</v>
      </c>
      <c r="B1366" s="91" t="s">
        <v>29</v>
      </c>
      <c r="C1366" s="49" t="s">
        <v>845</v>
      </c>
      <c r="D1366" s="91" t="s">
        <v>1876</v>
      </c>
      <c r="E1366" s="41" t="str">
        <f>IFERROR(__xludf.DUMMYFUNCTION("vlookup(D1366,IMPORTRANGE(""https://docs.google.com/spreadsheets/d/1swGwZOEqYlTEUCJLY-eeJM1911Kvaei5oySBIxdgtNo/edit?pli=1#gid=257618397"",""stock untanna!B:C""),2,false)"),"KERTAS LIPAT ORIGAMI ALFA FLUORESCENT 20 X 20")</f>
        <v>KERTAS LIPAT ORIGAMI ALFA FLUORESCENT 20 X 20</v>
      </c>
      <c r="F1366" s="49" t="s">
        <v>1876</v>
      </c>
      <c r="G1366" s="78" t="s">
        <v>1877</v>
      </c>
      <c r="H1366" s="41"/>
      <c r="I1366" s="42"/>
      <c r="J1366" s="43"/>
      <c r="K1366" s="72">
        <v>25.0</v>
      </c>
      <c r="L1366" s="53" t="s">
        <v>114</v>
      </c>
      <c r="M1366" s="73">
        <v>7000.0</v>
      </c>
      <c r="N1366" s="74"/>
      <c r="O1366" s="73">
        <v>175000.0</v>
      </c>
      <c r="P1366" s="46" t="str">
        <f t="shared" si="2"/>
        <v>Rp7,000-25 PAK-0.00%</v>
      </c>
      <c r="Q1366" s="75">
        <v>45412.0</v>
      </c>
      <c r="R1366" s="75">
        <v>45414.0</v>
      </c>
      <c r="S1366" s="75">
        <v>45422.0</v>
      </c>
      <c r="T1366" s="49" t="s">
        <v>100</v>
      </c>
    </row>
    <row r="1367">
      <c r="A1367" s="90">
        <v>56.0</v>
      </c>
      <c r="B1367" s="91" t="s">
        <v>29</v>
      </c>
      <c r="C1367" s="49" t="s">
        <v>845</v>
      </c>
      <c r="D1367" s="91"/>
      <c r="E1367" s="41" t="s">
        <v>1878</v>
      </c>
      <c r="F1367" s="49"/>
      <c r="G1367" s="71" t="s">
        <v>1878</v>
      </c>
      <c r="H1367" s="41"/>
      <c r="I1367" s="42"/>
      <c r="J1367" s="43"/>
      <c r="K1367" s="72">
        <v>100.0</v>
      </c>
      <c r="L1367" s="53" t="s">
        <v>69</v>
      </c>
      <c r="M1367" s="73">
        <v>2250.0</v>
      </c>
      <c r="N1367" s="74"/>
      <c r="O1367" s="73">
        <v>225000.0</v>
      </c>
      <c r="P1367" s="46" t="str">
        <f t="shared" si="2"/>
        <v>Rp2,250-100 PCS-0.00%</v>
      </c>
      <c r="Q1367" s="75">
        <v>45412.0</v>
      </c>
      <c r="R1367" s="75">
        <v>45414.0</v>
      </c>
      <c r="S1367" s="75">
        <v>45422.0</v>
      </c>
      <c r="T1367" s="49"/>
    </row>
    <row r="1368">
      <c r="A1368" s="90">
        <v>56.0</v>
      </c>
      <c r="B1368" s="91" t="s">
        <v>29</v>
      </c>
      <c r="C1368" s="49" t="s">
        <v>845</v>
      </c>
      <c r="D1368" s="91" t="s">
        <v>573</v>
      </c>
      <c r="E1368" s="41" t="str">
        <f>IFERROR(__xludf.DUMMYFUNCTION("vlookup(D1368,IMPORTRANGE(""https://docs.google.com/spreadsheets/d/1swGwZOEqYlTEUCJLY-eeJM1911Kvaei5oySBIxdgtNo/edit?pli=1#gid=257618397"",""stock untanna!B:C""),2,false)"),"PENSIL CASE 5870")</f>
        <v>PENSIL CASE 5870</v>
      </c>
      <c r="F1368" s="49" t="s">
        <v>573</v>
      </c>
      <c r="G1368" s="71" t="s">
        <v>574</v>
      </c>
      <c r="H1368" s="41"/>
      <c r="I1368" s="42"/>
      <c r="J1368" s="43"/>
      <c r="K1368" s="72">
        <v>24.0</v>
      </c>
      <c r="L1368" s="53" t="s">
        <v>69</v>
      </c>
      <c r="M1368" s="73">
        <v>29167.0</v>
      </c>
      <c r="N1368" s="74"/>
      <c r="O1368" s="73">
        <v>700008.0</v>
      </c>
      <c r="P1368" s="46" t="str">
        <f t="shared" si="2"/>
        <v>Rp29,167-24 PCS-0.00%</v>
      </c>
      <c r="Q1368" s="75">
        <v>45412.0</v>
      </c>
      <c r="R1368" s="75">
        <v>45414.0</v>
      </c>
      <c r="S1368" s="75">
        <v>45422.0</v>
      </c>
      <c r="T1368" s="49"/>
    </row>
    <row r="1369">
      <c r="A1369" s="90">
        <v>57.0</v>
      </c>
      <c r="B1369" s="91" t="s">
        <v>29</v>
      </c>
      <c r="C1369" s="49" t="s">
        <v>1879</v>
      </c>
      <c r="D1369" s="91" t="s">
        <v>902</v>
      </c>
      <c r="E1369" s="41" t="str">
        <f>IFERROR(__xludf.DUMMYFUNCTION("vlookup(D1369,IMPORTRANGE(""https://docs.google.com/spreadsheets/d/1swGwZOEqYlTEUCJLY-eeJM1911Kvaei5oySBIxdgtNo/edit?pli=1#gid=257618397"",""stock untanna!B:C""),2,false)"),"BLOCK NOTE SPIRAL ENTER 403")</f>
        <v>BLOCK NOTE SPIRAL ENTER 403</v>
      </c>
      <c r="F1369" s="49" t="s">
        <v>902</v>
      </c>
      <c r="G1369" s="71" t="s">
        <v>903</v>
      </c>
      <c r="H1369" s="41"/>
      <c r="I1369" s="42"/>
      <c r="J1369" s="43"/>
      <c r="K1369" s="72">
        <v>36.0</v>
      </c>
      <c r="L1369" s="53" t="s">
        <v>69</v>
      </c>
      <c r="M1369" s="73">
        <v>9167.0</v>
      </c>
      <c r="N1369" s="74"/>
      <c r="O1369" s="73">
        <v>330012.0</v>
      </c>
      <c r="P1369" s="46" t="str">
        <f t="shared" si="2"/>
        <v>Rp9,167-36 PCS-0.00%</v>
      </c>
      <c r="Q1369" s="75">
        <v>45412.0</v>
      </c>
      <c r="R1369" s="76"/>
      <c r="S1369" s="75">
        <v>45422.0</v>
      </c>
      <c r="T1369" s="49"/>
    </row>
    <row r="1370">
      <c r="A1370" s="90">
        <v>57.0</v>
      </c>
      <c r="B1370" s="91" t="s">
        <v>29</v>
      </c>
      <c r="C1370" s="49" t="s">
        <v>1879</v>
      </c>
      <c r="D1370" s="91" t="s">
        <v>904</v>
      </c>
      <c r="E1370" s="41" t="str">
        <f>IFERROR(__xludf.DUMMYFUNCTION("vlookup(D1370,IMPORTRANGE(""https://docs.google.com/spreadsheets/d/1swGwZOEqYlTEUCJLY-eeJM1911Kvaei5oySBIxdgtNo/edit?pli=1#gid=257618397"",""stock untanna!B:C""),2,false)"),"BLOCK NOTE SPIRAL ENTER 404")</f>
        <v>BLOCK NOTE SPIRAL ENTER 404</v>
      </c>
      <c r="F1370" s="49" t="s">
        <v>904</v>
      </c>
      <c r="G1370" s="71" t="s">
        <v>905</v>
      </c>
      <c r="H1370" s="41"/>
      <c r="I1370" s="42"/>
      <c r="J1370" s="43"/>
      <c r="K1370" s="72">
        <v>36.0</v>
      </c>
      <c r="L1370" s="53" t="s">
        <v>69</v>
      </c>
      <c r="M1370" s="73">
        <v>6667.0</v>
      </c>
      <c r="N1370" s="74"/>
      <c r="O1370" s="73">
        <v>240012.0</v>
      </c>
      <c r="P1370" s="46" t="str">
        <f t="shared" si="2"/>
        <v>Rp6,667-36 PCS-0.00%</v>
      </c>
      <c r="Q1370" s="75">
        <v>45412.0</v>
      </c>
      <c r="R1370" s="76"/>
      <c r="S1370" s="75">
        <v>45422.0</v>
      </c>
      <c r="T1370" s="49"/>
    </row>
    <row r="1371">
      <c r="A1371" s="90">
        <v>57.0</v>
      </c>
      <c r="B1371" s="91" t="s">
        <v>29</v>
      </c>
      <c r="C1371" s="49" t="s">
        <v>1879</v>
      </c>
      <c r="D1371" s="91" t="s">
        <v>1880</v>
      </c>
      <c r="E1371" s="41" t="str">
        <f>IFERROR(__xludf.DUMMYFUNCTION("vlookup(D1371,IMPORTRANGE(""https://docs.google.com/spreadsheets/d/1swGwZOEqYlTEUCJLY-eeJM1911Kvaei5oySBIxdgtNo/edit?pli=1#gid=257618397"",""stock untanna!B:C""),2,false)"),"BLOCK NOTE SPIRAL ENTER 501")</f>
        <v>BLOCK NOTE SPIRAL ENTER 501</v>
      </c>
      <c r="F1371" s="49" t="s">
        <v>1880</v>
      </c>
      <c r="G1371" s="71" t="s">
        <v>1881</v>
      </c>
      <c r="H1371" s="41"/>
      <c r="I1371" s="42"/>
      <c r="J1371" s="43"/>
      <c r="K1371" s="72">
        <v>24.0</v>
      </c>
      <c r="L1371" s="53" t="s">
        <v>69</v>
      </c>
      <c r="M1371" s="73">
        <v>17083.0</v>
      </c>
      <c r="N1371" s="74"/>
      <c r="O1371" s="73">
        <v>409992.0</v>
      </c>
      <c r="P1371" s="46" t="str">
        <f t="shared" si="2"/>
        <v>Rp17,083-24 PCS-0.00%</v>
      </c>
      <c r="Q1371" s="75">
        <v>45412.0</v>
      </c>
      <c r="R1371" s="76"/>
      <c r="S1371" s="75">
        <v>45422.0</v>
      </c>
      <c r="T1371" s="49"/>
    </row>
    <row r="1372">
      <c r="A1372" s="90">
        <v>57.0</v>
      </c>
      <c r="B1372" s="91" t="s">
        <v>29</v>
      </c>
      <c r="C1372" s="49" t="s">
        <v>1879</v>
      </c>
      <c r="D1372" s="91"/>
      <c r="E1372" s="41" t="s">
        <v>1882</v>
      </c>
      <c r="F1372" s="49"/>
      <c r="G1372" s="71" t="s">
        <v>1882</v>
      </c>
      <c r="H1372" s="41"/>
      <c r="I1372" s="42"/>
      <c r="J1372" s="43"/>
      <c r="K1372" s="72">
        <v>3.0</v>
      </c>
      <c r="L1372" s="53" t="s">
        <v>62</v>
      </c>
      <c r="M1372" s="73">
        <v>60000.0</v>
      </c>
      <c r="N1372" s="74"/>
      <c r="O1372" s="73">
        <v>180000.0</v>
      </c>
      <c r="P1372" s="46" t="str">
        <f t="shared" si="2"/>
        <v>Rp60,000-3 LSN-0.00%</v>
      </c>
      <c r="Q1372" s="75">
        <v>45412.0</v>
      </c>
      <c r="R1372" s="76"/>
      <c r="S1372" s="75">
        <v>45422.0</v>
      </c>
      <c r="T1372" s="80" t="s">
        <v>280</v>
      </c>
    </row>
    <row r="1373">
      <c r="A1373" s="90">
        <v>57.0</v>
      </c>
      <c r="B1373" s="91" t="s">
        <v>29</v>
      </c>
      <c r="C1373" s="49" t="s">
        <v>1879</v>
      </c>
      <c r="D1373" s="91"/>
      <c r="E1373" s="41" t="s">
        <v>1883</v>
      </c>
      <c r="F1373" s="49"/>
      <c r="G1373" s="71" t="s">
        <v>1883</v>
      </c>
      <c r="H1373" s="41"/>
      <c r="I1373" s="42"/>
      <c r="J1373" s="43"/>
      <c r="K1373" s="72">
        <v>3.0</v>
      </c>
      <c r="L1373" s="53" t="s">
        <v>62</v>
      </c>
      <c r="M1373" s="73">
        <v>47500.0</v>
      </c>
      <c r="N1373" s="74"/>
      <c r="O1373" s="73">
        <v>142500.0</v>
      </c>
      <c r="P1373" s="46" t="str">
        <f t="shared" si="2"/>
        <v>Rp47,500-3 LSN-0.00%</v>
      </c>
      <c r="Q1373" s="75">
        <v>45412.0</v>
      </c>
      <c r="R1373" s="76"/>
      <c r="S1373" s="75">
        <v>45422.0</v>
      </c>
      <c r="T1373" s="80" t="s">
        <v>280</v>
      </c>
    </row>
    <row r="1374">
      <c r="A1374" s="90">
        <v>57.0</v>
      </c>
      <c r="B1374" s="91" t="s">
        <v>29</v>
      </c>
      <c r="C1374" s="49" t="s">
        <v>1879</v>
      </c>
      <c r="D1374" s="91"/>
      <c r="E1374" s="41" t="s">
        <v>1884</v>
      </c>
      <c r="F1374" s="49"/>
      <c r="G1374" s="71" t="s">
        <v>1884</v>
      </c>
      <c r="H1374" s="41"/>
      <c r="I1374" s="42"/>
      <c r="J1374" s="43"/>
      <c r="K1374" s="72">
        <v>3.0</v>
      </c>
      <c r="L1374" s="53" t="s">
        <v>62</v>
      </c>
      <c r="M1374" s="73">
        <v>110000.0</v>
      </c>
      <c r="N1374" s="74"/>
      <c r="O1374" s="73">
        <v>330000.0</v>
      </c>
      <c r="P1374" s="46" t="str">
        <f t="shared" si="2"/>
        <v>Rp110,000-3 LSN-0.00%</v>
      </c>
      <c r="Q1374" s="75">
        <v>45412.0</v>
      </c>
      <c r="R1374" s="76"/>
      <c r="S1374" s="75">
        <v>45422.0</v>
      </c>
      <c r="T1374" s="49"/>
    </row>
    <row r="1375">
      <c r="A1375" s="90">
        <v>57.0</v>
      </c>
      <c r="B1375" s="91" t="s">
        <v>29</v>
      </c>
      <c r="C1375" s="49" t="s">
        <v>1879</v>
      </c>
      <c r="D1375" s="91" t="s">
        <v>1885</v>
      </c>
      <c r="E1375" s="41" t="str">
        <f>IFERROR(__xludf.DUMMYFUNCTION("vlookup(D1375,IMPORTRANGE(""https://docs.google.com/spreadsheets/d/1swGwZOEqYlTEUCJLY-eeJM1911Kvaei5oySBIxdgtNo/edit?pli=1#gid=257618397"",""stock untanna!B:C""),2,false)"),"NOTEBOOK  707-24")</f>
        <v>NOTEBOOK  707-24</v>
      </c>
      <c r="F1375" s="49" t="s">
        <v>1885</v>
      </c>
      <c r="G1375" s="71" t="s">
        <v>1886</v>
      </c>
      <c r="H1375" s="41"/>
      <c r="I1375" s="42"/>
      <c r="J1375" s="43"/>
      <c r="K1375" s="72">
        <v>24.0</v>
      </c>
      <c r="L1375" s="53" t="s">
        <v>69</v>
      </c>
      <c r="M1375" s="73">
        <v>22500.0</v>
      </c>
      <c r="N1375" s="74"/>
      <c r="O1375" s="73">
        <v>540000.0</v>
      </c>
      <c r="P1375" s="46" t="str">
        <f t="shared" si="2"/>
        <v>Rp22,500-24 PCS-0.00%</v>
      </c>
      <c r="Q1375" s="75">
        <v>45412.0</v>
      </c>
      <c r="R1375" s="76"/>
      <c r="S1375" s="75">
        <v>45422.0</v>
      </c>
      <c r="T1375" s="49"/>
    </row>
    <row r="1376">
      <c r="A1376" s="90">
        <v>57.0</v>
      </c>
      <c r="B1376" s="91" t="s">
        <v>29</v>
      </c>
      <c r="C1376" s="49" t="s">
        <v>1879</v>
      </c>
      <c r="D1376" s="91" t="s">
        <v>1887</v>
      </c>
      <c r="E1376" s="41" t="str">
        <f>IFERROR(__xludf.DUMMYFUNCTION("vlookup(D1376,IMPORTRANGE(""https://docs.google.com/spreadsheets/d/1swGwZOEqYlTEUCJLY-eeJM1911Kvaei5oySBIxdgtNo/edit?pli=1#gid=257618397"",""stock untanna!B:C""),2,false)"),"NOTEBOOK  707-45")</f>
        <v>NOTEBOOK  707-45</v>
      </c>
      <c r="F1376" s="49" t="s">
        <v>1887</v>
      </c>
      <c r="G1376" s="71" t="s">
        <v>1888</v>
      </c>
      <c r="H1376" s="41"/>
      <c r="I1376" s="42"/>
      <c r="J1376" s="43"/>
      <c r="K1376" s="72">
        <v>2.0</v>
      </c>
      <c r="L1376" s="53" t="s">
        <v>62</v>
      </c>
      <c r="M1376" s="73">
        <v>270000.0</v>
      </c>
      <c r="N1376" s="74"/>
      <c r="O1376" s="73">
        <v>540000.0</v>
      </c>
      <c r="P1376" s="46" t="str">
        <f t="shared" si="2"/>
        <v>Rp270,000-2 LSN-0.00%</v>
      </c>
      <c r="Q1376" s="75">
        <v>45412.0</v>
      </c>
      <c r="R1376" s="76"/>
      <c r="S1376" s="75">
        <v>45422.0</v>
      </c>
      <c r="T1376" s="49"/>
    </row>
    <row r="1377">
      <c r="A1377" s="90">
        <v>57.0</v>
      </c>
      <c r="B1377" s="91" t="s">
        <v>29</v>
      </c>
      <c r="C1377" s="49" t="s">
        <v>1879</v>
      </c>
      <c r="D1377" s="91" t="s">
        <v>1889</v>
      </c>
      <c r="E1377" s="41" t="str">
        <f>IFERROR(__xludf.DUMMYFUNCTION("vlookup(D1377,IMPORTRANGE(""https://docs.google.com/spreadsheets/d/1swGwZOEqYlTEUCJLY-eeJM1911Kvaei5oySBIxdgtNo/edit?pli=1#gid=257618397"",""stock untanna!B:C""),2,false)"),"NOTEBOOK  A5-107")</f>
        <v>NOTEBOOK  A5-107</v>
      </c>
      <c r="F1377" s="49" t="s">
        <v>1889</v>
      </c>
      <c r="G1377" s="71" t="s">
        <v>1890</v>
      </c>
      <c r="H1377" s="41"/>
      <c r="I1377" s="42"/>
      <c r="J1377" s="43"/>
      <c r="K1377" s="72">
        <v>2.0</v>
      </c>
      <c r="L1377" s="53" t="s">
        <v>62</v>
      </c>
      <c r="M1377" s="73">
        <v>270000.0</v>
      </c>
      <c r="N1377" s="74"/>
      <c r="O1377" s="73">
        <v>540000.0</v>
      </c>
      <c r="P1377" s="46" t="str">
        <f t="shared" si="2"/>
        <v>Rp270,000-2 LSN-0.00%</v>
      </c>
      <c r="Q1377" s="75">
        <v>45412.0</v>
      </c>
      <c r="R1377" s="76"/>
      <c r="S1377" s="75">
        <v>45422.0</v>
      </c>
      <c r="T1377" s="49"/>
    </row>
    <row r="1378">
      <c r="A1378" s="90">
        <v>57.0</v>
      </c>
      <c r="B1378" s="91" t="s">
        <v>29</v>
      </c>
      <c r="C1378" s="49" t="s">
        <v>1879</v>
      </c>
      <c r="D1378" s="91" t="s">
        <v>1792</v>
      </c>
      <c r="E1378" s="41" t="str">
        <f>IFERROR(__xludf.DUMMYFUNCTION("vlookup(D1378,IMPORTRANGE(""https://docs.google.com/spreadsheets/d/1swGwZOEqYlTEUCJLY-eeJM1911Kvaei5oySBIxdgtNo/edit?pli=1#gid=257618397"",""stock untanna!B:C""),2,false)"),"NOTEBOOK  A5-105")</f>
        <v>NOTEBOOK  A5-105</v>
      </c>
      <c r="F1378" s="49" t="s">
        <v>1792</v>
      </c>
      <c r="G1378" s="71" t="s">
        <v>1793</v>
      </c>
      <c r="H1378" s="41"/>
      <c r="I1378" s="42"/>
      <c r="J1378" s="43"/>
      <c r="K1378" s="72">
        <v>2.0</v>
      </c>
      <c r="L1378" s="53" t="s">
        <v>62</v>
      </c>
      <c r="M1378" s="73">
        <v>270000.0</v>
      </c>
      <c r="N1378" s="74"/>
      <c r="O1378" s="73">
        <v>540000.0</v>
      </c>
      <c r="P1378" s="46" t="str">
        <f t="shared" si="2"/>
        <v>Rp270,000-2 LSN-0.00%</v>
      </c>
      <c r="Q1378" s="75">
        <v>45412.0</v>
      </c>
      <c r="R1378" s="76"/>
      <c r="S1378" s="75">
        <v>45422.0</v>
      </c>
      <c r="T1378" s="49"/>
    </row>
    <row r="1379">
      <c r="A1379" s="90">
        <v>57.0</v>
      </c>
      <c r="B1379" s="91" t="s">
        <v>29</v>
      </c>
      <c r="C1379" s="49" t="s">
        <v>1879</v>
      </c>
      <c r="D1379" s="91" t="s">
        <v>1370</v>
      </c>
      <c r="E1379" s="41" t="str">
        <f>IFERROR(__xludf.DUMMYFUNCTION("vlookup(D1379,IMPORTRANGE(""https://docs.google.com/spreadsheets/d/1swGwZOEqYlTEUCJLY-eeJM1911Kvaei5oySBIxdgtNo/edit?pli=1#gid=257618397"",""stock untanna!B:C""),2,false)"),"NOTEBOOK  A5-UN")</f>
        <v>NOTEBOOK  A5-UN</v>
      </c>
      <c r="F1379" s="49" t="s">
        <v>1370</v>
      </c>
      <c r="G1379" s="71" t="s">
        <v>1371</v>
      </c>
      <c r="H1379" s="41"/>
      <c r="I1379" s="42"/>
      <c r="J1379" s="43"/>
      <c r="K1379" s="72">
        <v>2.0</v>
      </c>
      <c r="L1379" s="53" t="s">
        <v>62</v>
      </c>
      <c r="M1379" s="73">
        <v>270000.0</v>
      </c>
      <c r="N1379" s="74"/>
      <c r="O1379" s="73">
        <v>540000.0</v>
      </c>
      <c r="P1379" s="46" t="str">
        <f t="shared" si="2"/>
        <v>Rp270,000-2 LSN-0.00%</v>
      </c>
      <c r="Q1379" s="75">
        <v>45412.0</v>
      </c>
      <c r="R1379" s="76"/>
      <c r="S1379" s="75">
        <v>45422.0</v>
      </c>
      <c r="T1379" s="49"/>
    </row>
    <row r="1380">
      <c r="A1380" s="90">
        <v>57.0</v>
      </c>
      <c r="B1380" s="91" t="s">
        <v>29</v>
      </c>
      <c r="C1380" s="49" t="s">
        <v>1879</v>
      </c>
      <c r="D1380" s="91" t="s">
        <v>1891</v>
      </c>
      <c r="E1380" s="41" t="str">
        <f>IFERROR(__xludf.DUMMYFUNCTION("vlookup(D1380,IMPORTRANGE(""https://docs.google.com/spreadsheets/d/1swGwZOEqYlTEUCJLY-eeJM1911Kvaei5oySBIxdgtNo/edit?pli=1#gid=257618397"",""stock untanna!B:C""),2,false)"),"BN TALI AA 0321-16/ 17 A7-80")</f>
        <v>BN TALI AA 0321-16/ 17 A7-80</v>
      </c>
      <c r="F1380" s="49" t="s">
        <v>1891</v>
      </c>
      <c r="G1380" s="71" t="s">
        <v>1892</v>
      </c>
      <c r="H1380" s="41"/>
      <c r="I1380" s="42"/>
      <c r="J1380" s="43"/>
      <c r="K1380" s="72">
        <v>24.0</v>
      </c>
      <c r="L1380" s="53" t="s">
        <v>69</v>
      </c>
      <c r="M1380" s="73">
        <v>12500.0</v>
      </c>
      <c r="N1380" s="74"/>
      <c r="O1380" s="73">
        <v>300000.0</v>
      </c>
      <c r="P1380" s="46" t="str">
        <f t="shared" si="2"/>
        <v>Rp12,500-24 PCS-0.00%</v>
      </c>
      <c r="Q1380" s="75">
        <v>45412.0</v>
      </c>
      <c r="R1380" s="76"/>
      <c r="S1380" s="75">
        <v>45422.0</v>
      </c>
      <c r="T1380" s="49"/>
    </row>
    <row r="1381">
      <c r="A1381" s="90">
        <v>57.0</v>
      </c>
      <c r="B1381" s="91" t="s">
        <v>29</v>
      </c>
      <c r="C1381" s="49" t="s">
        <v>1879</v>
      </c>
      <c r="D1381" s="91" t="s">
        <v>1893</v>
      </c>
      <c r="E1381" s="41" t="str">
        <f>IFERROR(__xludf.DUMMYFUNCTION("vlookup(D1381,IMPORTRANGE(""https://docs.google.com/spreadsheets/d/1swGwZOEqYlTEUCJLY-eeJM1911Kvaei5oySBIxdgtNo/edit?pli=1#gid=257618397"",""stock untanna!B:C""),2,false)"),"AGENDA 60K 2960")</f>
        <v>AGENDA 60K 2960</v>
      </c>
      <c r="F1381" s="49" t="s">
        <v>1893</v>
      </c>
      <c r="G1381" s="71" t="s">
        <v>1894</v>
      </c>
      <c r="H1381" s="41"/>
      <c r="I1381" s="42"/>
      <c r="J1381" s="43"/>
      <c r="K1381" s="72">
        <v>24.0</v>
      </c>
      <c r="L1381" s="53" t="s">
        <v>69</v>
      </c>
      <c r="M1381" s="73">
        <v>11000.0</v>
      </c>
      <c r="N1381" s="74"/>
      <c r="O1381" s="73">
        <v>264000.0</v>
      </c>
      <c r="P1381" s="46" t="str">
        <f t="shared" si="2"/>
        <v>Rp11,000-24 PCS-0.00%</v>
      </c>
      <c r="Q1381" s="75">
        <v>45412.0</v>
      </c>
      <c r="R1381" s="76"/>
      <c r="S1381" s="75">
        <v>45422.0</v>
      </c>
      <c r="T1381" s="49"/>
    </row>
    <row r="1382">
      <c r="A1382" s="90">
        <v>57.0</v>
      </c>
      <c r="B1382" s="91" t="s">
        <v>29</v>
      </c>
      <c r="C1382" s="49" t="s">
        <v>1879</v>
      </c>
      <c r="D1382" s="91"/>
      <c r="E1382" s="41" t="s">
        <v>1895</v>
      </c>
      <c r="F1382" s="49"/>
      <c r="G1382" s="71" t="s">
        <v>1895</v>
      </c>
      <c r="H1382" s="41"/>
      <c r="I1382" s="42"/>
      <c r="J1382" s="43"/>
      <c r="K1382" s="72">
        <v>72.0</v>
      </c>
      <c r="L1382" s="53" t="s">
        <v>69</v>
      </c>
      <c r="M1382" s="73">
        <v>4000.0</v>
      </c>
      <c r="N1382" s="74"/>
      <c r="O1382" s="73">
        <v>288000.0</v>
      </c>
      <c r="P1382" s="46" t="str">
        <f t="shared" si="2"/>
        <v>Rp4,000-72 PCS-0.00%</v>
      </c>
      <c r="Q1382" s="75">
        <v>45412.0</v>
      </c>
      <c r="R1382" s="76"/>
      <c r="S1382" s="75">
        <v>45422.0</v>
      </c>
      <c r="T1382" s="49"/>
    </row>
    <row r="1383">
      <c r="A1383" s="90">
        <v>57.0</v>
      </c>
      <c r="B1383" s="91" t="s">
        <v>29</v>
      </c>
      <c r="C1383" s="49" t="s">
        <v>1879</v>
      </c>
      <c r="D1383" s="91"/>
      <c r="E1383" s="41" t="s">
        <v>1818</v>
      </c>
      <c r="F1383" s="49"/>
      <c r="G1383" s="71" t="s">
        <v>1818</v>
      </c>
      <c r="H1383" s="41"/>
      <c r="I1383" s="42"/>
      <c r="J1383" s="43"/>
      <c r="K1383" s="72">
        <v>72.0</v>
      </c>
      <c r="L1383" s="53" t="s">
        <v>69</v>
      </c>
      <c r="M1383" s="73">
        <v>9000.0</v>
      </c>
      <c r="N1383" s="74"/>
      <c r="O1383" s="73">
        <v>648000.0</v>
      </c>
      <c r="P1383" s="46" t="str">
        <f t="shared" si="2"/>
        <v>Rp9,000-72 PCS-0.00%</v>
      </c>
      <c r="Q1383" s="75">
        <v>45412.0</v>
      </c>
      <c r="R1383" s="76"/>
      <c r="S1383" s="75">
        <v>45422.0</v>
      </c>
      <c r="T1383" s="49"/>
    </row>
    <row r="1384">
      <c r="A1384" s="90">
        <v>57.0</v>
      </c>
      <c r="B1384" s="91" t="s">
        <v>29</v>
      </c>
      <c r="C1384" s="49" t="s">
        <v>1879</v>
      </c>
      <c r="D1384" s="91"/>
      <c r="E1384" s="41" t="s">
        <v>1896</v>
      </c>
      <c r="F1384" s="49"/>
      <c r="G1384" s="71" t="s">
        <v>1896</v>
      </c>
      <c r="H1384" s="41"/>
      <c r="I1384" s="42"/>
      <c r="J1384" s="43"/>
      <c r="K1384" s="72">
        <v>42.0</v>
      </c>
      <c r="L1384" s="53" t="s">
        <v>69</v>
      </c>
      <c r="M1384" s="73">
        <v>10000.0</v>
      </c>
      <c r="N1384" s="74"/>
      <c r="O1384" s="73">
        <v>420000.0</v>
      </c>
      <c r="P1384" s="46" t="str">
        <f t="shared" si="2"/>
        <v>Rp10,000-42 PCS-0.00%</v>
      </c>
      <c r="Q1384" s="75">
        <v>45412.0</v>
      </c>
      <c r="R1384" s="76"/>
      <c r="S1384" s="75">
        <v>45422.0</v>
      </c>
      <c r="T1384" s="49"/>
    </row>
    <row r="1385">
      <c r="A1385" s="90">
        <v>58.0</v>
      </c>
      <c r="B1385" s="91" t="s">
        <v>29</v>
      </c>
      <c r="C1385" s="49" t="s">
        <v>1879</v>
      </c>
      <c r="D1385" s="91" t="s">
        <v>1783</v>
      </c>
      <c r="E1385" s="41" t="str">
        <f>IFERROR(__xludf.DUMMYFUNCTION("vlookup(D1385,IMPORTRANGE(""https://docs.google.com/spreadsheets/d/1swGwZOEqYlTEUCJLY-eeJM1911Kvaei5oySBIxdgtNo/edit?pli=1#gid=257618397"",""stock untanna!B:C""),2,false)"),"NOTEBOOK 7025-28")</f>
        <v>NOTEBOOK 7025-28</v>
      </c>
      <c r="F1385" s="49" t="s">
        <v>1783</v>
      </c>
      <c r="G1385" s="71" t="s">
        <v>1784</v>
      </c>
      <c r="H1385" s="41"/>
      <c r="I1385" s="42"/>
      <c r="J1385" s="43"/>
      <c r="K1385" s="72">
        <v>2.0</v>
      </c>
      <c r="L1385" s="53" t="s">
        <v>62</v>
      </c>
      <c r="M1385" s="73">
        <v>225000.0</v>
      </c>
      <c r="N1385" s="74"/>
      <c r="O1385" s="73">
        <v>450000.0</v>
      </c>
      <c r="P1385" s="46" t="str">
        <f t="shared" si="2"/>
        <v>Rp225,000-2 LSN-0.00%</v>
      </c>
      <c r="Q1385" s="75">
        <v>45412.0</v>
      </c>
      <c r="R1385" s="76"/>
      <c r="S1385" s="75">
        <v>45422.0</v>
      </c>
      <c r="T1385" s="49"/>
    </row>
    <row r="1386">
      <c r="A1386" s="90">
        <v>58.0</v>
      </c>
      <c r="B1386" s="91" t="s">
        <v>29</v>
      </c>
      <c r="C1386" s="49" t="s">
        <v>1879</v>
      </c>
      <c r="D1386" s="91" t="s">
        <v>1785</v>
      </c>
      <c r="E1386" s="41" t="str">
        <f>IFERROR(__xludf.DUMMYFUNCTION("vlookup(D1386,IMPORTRANGE(""https://docs.google.com/spreadsheets/d/1swGwZOEqYlTEUCJLY-eeJM1911Kvaei5oySBIxdgtNo/edit?pli=1#gid=257618397"",""stock untanna!B:C""),2,false)"),"NOTEBOOK 7025-30")</f>
        <v>NOTEBOOK 7025-30</v>
      </c>
      <c r="F1386" s="49" t="s">
        <v>1785</v>
      </c>
      <c r="G1386" s="71" t="s">
        <v>1786</v>
      </c>
      <c r="H1386" s="41"/>
      <c r="I1386" s="42"/>
      <c r="J1386" s="43"/>
      <c r="K1386" s="72">
        <v>24.0</v>
      </c>
      <c r="L1386" s="53" t="s">
        <v>69</v>
      </c>
      <c r="M1386" s="73">
        <v>18750.0</v>
      </c>
      <c r="N1386" s="74"/>
      <c r="O1386" s="73">
        <v>450000.0</v>
      </c>
      <c r="P1386" s="46" t="str">
        <f t="shared" si="2"/>
        <v>Rp18,750-24 PCS-0.00%</v>
      </c>
      <c r="Q1386" s="75">
        <v>45412.0</v>
      </c>
      <c r="R1386" s="76"/>
      <c r="S1386" s="75">
        <v>45422.0</v>
      </c>
      <c r="T1386" s="49"/>
    </row>
    <row r="1387">
      <c r="A1387" s="90">
        <v>58.0</v>
      </c>
      <c r="B1387" s="91" t="s">
        <v>29</v>
      </c>
      <c r="C1387" s="49" t="s">
        <v>1879</v>
      </c>
      <c r="D1387" s="91" t="s">
        <v>804</v>
      </c>
      <c r="E1387" s="41" t="str">
        <f>IFERROR(__xludf.DUMMYFUNCTION("vlookup(D1387,IMPORTRANGE(""https://docs.google.com/spreadsheets/d/1swGwZOEqYlTEUCJLY-eeJM1911Kvaei5oySBIxdgtNo/edit?pli=1#gid=257618397"",""stock untanna!B:C""),2,false)"),"NOTES 156-80")</f>
        <v>NOTES 156-80</v>
      </c>
      <c r="F1387" s="49" t="s">
        <v>804</v>
      </c>
      <c r="G1387" s="71" t="s">
        <v>805</v>
      </c>
      <c r="H1387" s="41"/>
      <c r="I1387" s="42"/>
      <c r="J1387" s="43"/>
      <c r="K1387" s="72">
        <v>6.0</v>
      </c>
      <c r="L1387" s="53" t="s">
        <v>62</v>
      </c>
      <c r="M1387" s="73">
        <v>43000.0</v>
      </c>
      <c r="N1387" s="74"/>
      <c r="O1387" s="73">
        <v>258000.0</v>
      </c>
      <c r="P1387" s="46" t="str">
        <f t="shared" si="2"/>
        <v>Rp43,000-6 LSN-0.00%</v>
      </c>
      <c r="Q1387" s="75">
        <v>45412.0</v>
      </c>
      <c r="R1387" s="76"/>
      <c r="S1387" s="75">
        <v>45422.0</v>
      </c>
      <c r="T1387" s="49"/>
    </row>
    <row r="1388">
      <c r="A1388" s="90">
        <v>58.0</v>
      </c>
      <c r="B1388" s="91" t="s">
        <v>29</v>
      </c>
      <c r="C1388" s="49" t="s">
        <v>1879</v>
      </c>
      <c r="D1388" s="91" t="s">
        <v>1897</v>
      </c>
      <c r="E1388" s="41" t="str">
        <f>IFERROR(__xludf.DUMMYFUNCTION("vlookup(D1388,IMPORTRANGE(""https://docs.google.com/spreadsheets/d/1swGwZOEqYlTEUCJLY-eeJM1911Kvaei5oySBIxdgtNo/edit?pli=1#gid=257618397"",""stock untanna!B:C""),2,false)"),"NOTEBOOK 18100-67")</f>
        <v>NOTEBOOK 18100-67</v>
      </c>
      <c r="F1388" s="49" t="s">
        <v>1897</v>
      </c>
      <c r="G1388" s="71" t="s">
        <v>1898</v>
      </c>
      <c r="H1388" s="41"/>
      <c r="I1388" s="42"/>
      <c r="J1388" s="43"/>
      <c r="K1388" s="72">
        <v>12.0</v>
      </c>
      <c r="L1388" s="53" t="s">
        <v>69</v>
      </c>
      <c r="M1388" s="73">
        <v>20833.0</v>
      </c>
      <c r="N1388" s="74"/>
      <c r="O1388" s="73">
        <v>249996.0</v>
      </c>
      <c r="P1388" s="46" t="str">
        <f t="shared" si="2"/>
        <v>Rp20,833-12 PCS-0.00%</v>
      </c>
      <c r="Q1388" s="75">
        <v>45412.0</v>
      </c>
      <c r="R1388" s="76"/>
      <c r="S1388" s="75">
        <v>45422.0</v>
      </c>
      <c r="T1388" s="49"/>
    </row>
    <row r="1389">
      <c r="A1389" s="90">
        <v>58.0</v>
      </c>
      <c r="B1389" s="91" t="s">
        <v>29</v>
      </c>
      <c r="C1389" s="49" t="s">
        <v>1879</v>
      </c>
      <c r="D1389" s="91" t="s">
        <v>906</v>
      </c>
      <c r="E1389" s="41" t="str">
        <f>IFERROR(__xludf.DUMMYFUNCTION("vlookup(D1389,IMPORTRANGE(""https://docs.google.com/spreadsheets/d/1swGwZOEqYlTEUCJLY-eeJM1911Kvaei5oySBIxdgtNo/edit?pli=1#gid=257618397"",""stock untanna!B:C""),2,false)"),"NOTEBOOK 18100-36")</f>
        <v>NOTEBOOK 18100-36</v>
      </c>
      <c r="F1389" s="49" t="s">
        <v>906</v>
      </c>
      <c r="G1389" s="71" t="s">
        <v>907</v>
      </c>
      <c r="H1389" s="41"/>
      <c r="I1389" s="42"/>
      <c r="J1389" s="43"/>
      <c r="K1389" s="72">
        <v>1.0</v>
      </c>
      <c r="L1389" s="53" t="s">
        <v>62</v>
      </c>
      <c r="M1389" s="73">
        <v>250000.0</v>
      </c>
      <c r="N1389" s="74"/>
      <c r="O1389" s="73">
        <v>250000.0</v>
      </c>
      <c r="P1389" s="46" t="str">
        <f t="shared" si="2"/>
        <v>Rp250,000-1 LSN-0.00%</v>
      </c>
      <c r="Q1389" s="75">
        <v>45412.0</v>
      </c>
      <c r="R1389" s="76"/>
      <c r="S1389" s="75">
        <v>45422.0</v>
      </c>
      <c r="T1389" s="49"/>
    </row>
    <row r="1390">
      <c r="A1390" s="90">
        <v>58.0</v>
      </c>
      <c r="B1390" s="91" t="s">
        <v>29</v>
      </c>
      <c r="C1390" s="49" t="s">
        <v>1879</v>
      </c>
      <c r="D1390" s="91"/>
      <c r="E1390" s="41" t="s">
        <v>1505</v>
      </c>
      <c r="F1390" s="49"/>
      <c r="G1390" s="71" t="s">
        <v>1505</v>
      </c>
      <c r="H1390" s="41"/>
      <c r="I1390" s="42"/>
      <c r="J1390" s="43"/>
      <c r="K1390" s="72">
        <v>2.0</v>
      </c>
      <c r="L1390" s="53" t="s">
        <v>62</v>
      </c>
      <c r="M1390" s="73">
        <v>140000.0</v>
      </c>
      <c r="N1390" s="74"/>
      <c r="O1390" s="73">
        <v>280000.0</v>
      </c>
      <c r="P1390" s="46" t="str">
        <f t="shared" si="2"/>
        <v>Rp140,000-2 LSN-0.00%</v>
      </c>
      <c r="Q1390" s="75">
        <v>45412.0</v>
      </c>
      <c r="R1390" s="76"/>
      <c r="S1390" s="75">
        <v>45422.0</v>
      </c>
      <c r="T1390" s="80" t="s">
        <v>280</v>
      </c>
    </row>
    <row r="1391">
      <c r="A1391" s="90">
        <v>58.0</v>
      </c>
      <c r="B1391" s="91" t="s">
        <v>29</v>
      </c>
      <c r="C1391" s="49" t="s">
        <v>1879</v>
      </c>
      <c r="D1391" s="91" t="s">
        <v>1899</v>
      </c>
      <c r="E1391" s="41" t="str">
        <f>IFERROR(__xludf.DUMMYFUNCTION("vlookup(D1391,IMPORTRANGE(""https://docs.google.com/spreadsheets/d/1swGwZOEqYlTEUCJLY-eeJM1911Kvaei5oySBIxdgtNo/edit?pli=1#gid=257618397"",""stock untanna!B:C""),2,false)"),"NOTEBOOK 28850-62")</f>
        <v>NOTEBOOK 28850-62</v>
      </c>
      <c r="F1391" s="49" t="s">
        <v>1899</v>
      </c>
      <c r="G1391" s="71" t="s">
        <v>1900</v>
      </c>
      <c r="H1391" s="41"/>
      <c r="I1391" s="42"/>
      <c r="J1391" s="43"/>
      <c r="K1391" s="72">
        <v>2.0</v>
      </c>
      <c r="L1391" s="53" t="s">
        <v>62</v>
      </c>
      <c r="M1391" s="73">
        <v>180000.0</v>
      </c>
      <c r="N1391" s="74"/>
      <c r="O1391" s="73">
        <v>360000.0</v>
      </c>
      <c r="P1391" s="46" t="str">
        <f t="shared" si="2"/>
        <v>Rp180,000-2 LSN-0.00%</v>
      </c>
      <c r="Q1391" s="75">
        <v>45412.0</v>
      </c>
      <c r="R1391" s="76"/>
      <c r="S1391" s="75">
        <v>45422.0</v>
      </c>
      <c r="T1391" s="49"/>
    </row>
    <row r="1392">
      <c r="A1392" s="90">
        <v>58.0</v>
      </c>
      <c r="B1392" s="91" t="s">
        <v>29</v>
      </c>
      <c r="C1392" s="49" t="s">
        <v>1879</v>
      </c>
      <c r="D1392" s="91"/>
      <c r="E1392" s="41" t="s">
        <v>1901</v>
      </c>
      <c r="F1392" s="49"/>
      <c r="G1392" s="71" t="s">
        <v>1901</v>
      </c>
      <c r="H1392" s="41"/>
      <c r="I1392" s="42"/>
      <c r="J1392" s="43"/>
      <c r="K1392" s="72">
        <v>2.0</v>
      </c>
      <c r="L1392" s="53" t="s">
        <v>62</v>
      </c>
      <c r="M1392" s="73">
        <v>180000.0</v>
      </c>
      <c r="N1392" s="74"/>
      <c r="O1392" s="73">
        <v>360000.0</v>
      </c>
      <c r="P1392" s="46" t="str">
        <f t="shared" si="2"/>
        <v>Rp180,000-2 LSN-0.00%</v>
      </c>
      <c r="Q1392" s="75">
        <v>45412.0</v>
      </c>
      <c r="R1392" s="76"/>
      <c r="S1392" s="75">
        <v>45422.0</v>
      </c>
      <c r="T1392" s="49"/>
    </row>
    <row r="1393">
      <c r="A1393" s="90">
        <v>58.0</v>
      </c>
      <c r="B1393" s="91" t="s">
        <v>29</v>
      </c>
      <c r="C1393" s="49" t="s">
        <v>1879</v>
      </c>
      <c r="D1393" s="91"/>
      <c r="E1393" s="41" t="s">
        <v>1902</v>
      </c>
      <c r="F1393" s="49"/>
      <c r="G1393" s="71" t="s">
        <v>1902</v>
      </c>
      <c r="H1393" s="41"/>
      <c r="I1393" s="42"/>
      <c r="J1393" s="43"/>
      <c r="K1393" s="72">
        <v>2.0</v>
      </c>
      <c r="L1393" s="53" t="s">
        <v>62</v>
      </c>
      <c r="M1393" s="73">
        <v>135000.0</v>
      </c>
      <c r="N1393" s="74"/>
      <c r="O1393" s="73">
        <v>270000.0</v>
      </c>
      <c r="P1393" s="46" t="str">
        <f t="shared" si="2"/>
        <v>Rp135,000-2 LSN-0.00%</v>
      </c>
      <c r="Q1393" s="75">
        <v>45412.0</v>
      </c>
      <c r="R1393" s="76"/>
      <c r="S1393" s="75">
        <v>45422.0</v>
      </c>
      <c r="T1393" s="49"/>
    </row>
    <row r="1394">
      <c r="A1394" s="90">
        <v>58.0</v>
      </c>
      <c r="B1394" s="91" t="s">
        <v>29</v>
      </c>
      <c r="C1394" s="49" t="s">
        <v>1879</v>
      </c>
      <c r="D1394" s="91"/>
      <c r="E1394" s="41" t="s">
        <v>1903</v>
      </c>
      <c r="F1394" s="49"/>
      <c r="G1394" s="71" t="s">
        <v>1903</v>
      </c>
      <c r="H1394" s="41"/>
      <c r="I1394" s="42"/>
      <c r="J1394" s="43"/>
      <c r="K1394" s="72">
        <v>2.0</v>
      </c>
      <c r="L1394" s="53" t="s">
        <v>62</v>
      </c>
      <c r="M1394" s="73">
        <v>147000.0</v>
      </c>
      <c r="N1394" s="74"/>
      <c r="O1394" s="73">
        <v>294000.0</v>
      </c>
      <c r="P1394" s="46" t="str">
        <f t="shared" si="2"/>
        <v>Rp147,000-2 LSN-0.00%</v>
      </c>
      <c r="Q1394" s="75">
        <v>45412.0</v>
      </c>
      <c r="R1394" s="76"/>
      <c r="S1394" s="75">
        <v>45422.0</v>
      </c>
      <c r="T1394" s="49"/>
    </row>
    <row r="1395">
      <c r="A1395" s="90">
        <v>58.0</v>
      </c>
      <c r="B1395" s="91" t="s">
        <v>29</v>
      </c>
      <c r="C1395" s="49" t="s">
        <v>1879</v>
      </c>
      <c r="D1395" s="91" t="s">
        <v>1502</v>
      </c>
      <c r="E1395" s="41" t="str">
        <f>IFERROR(__xludf.DUMMYFUNCTION("vlookup(D1395,IMPORTRANGE(""https://docs.google.com/spreadsheets/d/1swGwZOEqYlTEUCJLY-eeJM1911Kvaei5oySBIxdgtNo/edit?pli=1#gid=257618397"",""stock untanna!B:C""),2,false)"),"NOTEBOOK SPIRAL 28825-61 A5")</f>
        <v>NOTEBOOK SPIRAL 28825-61 A5</v>
      </c>
      <c r="F1395" s="49" t="s">
        <v>1502</v>
      </c>
      <c r="G1395" s="71" t="s">
        <v>1503</v>
      </c>
      <c r="H1395" s="41"/>
      <c r="I1395" s="42"/>
      <c r="J1395" s="43"/>
      <c r="K1395" s="72">
        <v>24.0</v>
      </c>
      <c r="L1395" s="53" t="s">
        <v>69</v>
      </c>
      <c r="M1395" s="73">
        <v>16667.0</v>
      </c>
      <c r="N1395" s="74"/>
      <c r="O1395" s="73">
        <v>400008.0</v>
      </c>
      <c r="P1395" s="46" t="str">
        <f t="shared" si="2"/>
        <v>Rp16,667-24 PCS-0.00%</v>
      </c>
      <c r="Q1395" s="75">
        <v>45412.0</v>
      </c>
      <c r="R1395" s="76"/>
      <c r="S1395" s="75">
        <v>45422.0</v>
      </c>
      <c r="T1395" s="49"/>
    </row>
    <row r="1396">
      <c r="A1396" s="90">
        <v>58.0</v>
      </c>
      <c r="B1396" s="91" t="s">
        <v>29</v>
      </c>
      <c r="C1396" s="49" t="s">
        <v>1879</v>
      </c>
      <c r="D1396" s="91" t="s">
        <v>1496</v>
      </c>
      <c r="E1396" s="41" t="str">
        <f>IFERROR(__xludf.DUMMYFUNCTION("vlookup(D1396,IMPORTRANGE(""https://docs.google.com/spreadsheets/d/1swGwZOEqYlTEUCJLY-eeJM1911Kvaei5oySBIxdgtNo/edit?pli=1#gid=257618397"",""stock untanna!B:C""),2,false)"),"STICKER JBE-SA")</f>
        <v>STICKER JBE-SA</v>
      </c>
      <c r="F1396" s="49" t="s">
        <v>1496</v>
      </c>
      <c r="G1396" s="71" t="s">
        <v>1497</v>
      </c>
      <c r="H1396" s="41"/>
      <c r="I1396" s="42"/>
      <c r="J1396" s="43"/>
      <c r="K1396" s="72">
        <v>24.0</v>
      </c>
      <c r="L1396" s="53" t="s">
        <v>88</v>
      </c>
      <c r="M1396" s="73">
        <v>25000.0</v>
      </c>
      <c r="N1396" s="74"/>
      <c r="O1396" s="73">
        <v>600000.0</v>
      </c>
      <c r="P1396" s="46" t="str">
        <f t="shared" si="2"/>
        <v>Rp25,000-24 BOX-0.00%</v>
      </c>
      <c r="Q1396" s="75">
        <v>45412.0</v>
      </c>
      <c r="R1396" s="76"/>
      <c r="S1396" s="75">
        <v>45422.0</v>
      </c>
      <c r="T1396" s="49" t="s">
        <v>100</v>
      </c>
    </row>
    <row r="1397">
      <c r="A1397" s="90">
        <v>58.0</v>
      </c>
      <c r="B1397" s="91" t="s">
        <v>29</v>
      </c>
      <c r="C1397" s="49" t="s">
        <v>1879</v>
      </c>
      <c r="D1397" s="91" t="s">
        <v>1498</v>
      </c>
      <c r="E1397" s="41" t="str">
        <f>IFERROR(__xludf.DUMMYFUNCTION("vlookup(D1397,IMPORTRANGE(""https://docs.google.com/spreadsheets/d/1swGwZOEqYlTEUCJLY-eeJM1911Kvaei5oySBIxdgtNo/edit?pli=1#gid=257618397"",""stock untanna!B:C""),2,false)"),"STICKER JBE-24")</f>
        <v>STICKER JBE-24</v>
      </c>
      <c r="F1397" s="49" t="s">
        <v>1498</v>
      </c>
      <c r="G1397" s="71" t="s">
        <v>1499</v>
      </c>
      <c r="H1397" s="41"/>
      <c r="I1397" s="42"/>
      <c r="J1397" s="43"/>
      <c r="K1397" s="72">
        <v>60.0</v>
      </c>
      <c r="L1397" s="53" t="s">
        <v>69</v>
      </c>
      <c r="M1397" s="73">
        <v>14583.0</v>
      </c>
      <c r="N1397" s="74"/>
      <c r="O1397" s="73">
        <v>874980.0</v>
      </c>
      <c r="P1397" s="46" t="str">
        <f t="shared" si="2"/>
        <v>Rp14,583-60 PCS-0.00%</v>
      </c>
      <c r="Q1397" s="75">
        <v>45412.0</v>
      </c>
      <c r="R1397" s="76"/>
      <c r="S1397" s="75">
        <v>45422.0</v>
      </c>
      <c r="T1397" s="49"/>
    </row>
    <row r="1398">
      <c r="A1398" s="90">
        <v>58.0</v>
      </c>
      <c r="B1398" s="91" t="s">
        <v>29</v>
      </c>
      <c r="C1398" s="49" t="s">
        <v>1879</v>
      </c>
      <c r="D1398" s="77" t="s">
        <v>1904</v>
      </c>
      <c r="E1398" s="41" t="str">
        <f>IFERROR(__xludf.DUMMYFUNCTION("vlookup(D1398,IMPORTRANGE(""https://docs.google.com/spreadsheets/d/1swGwZOEqYlTEUCJLY-eeJM1911Kvaei5oySBIxdgtNo/edit?pli=1#gid=257618397"",""stock untanna!B:C""),2,false)"),"CLIP BOARD TRANS FOLIO FANCY TR 2335")</f>
        <v>CLIP BOARD TRANS FOLIO FANCY TR 2335</v>
      </c>
      <c r="F1398" s="49" t="s">
        <v>1905</v>
      </c>
      <c r="G1398" s="78" t="s">
        <v>1906</v>
      </c>
      <c r="H1398" s="41"/>
      <c r="I1398" s="42"/>
      <c r="J1398" s="43"/>
      <c r="K1398" s="72">
        <v>6.0</v>
      </c>
      <c r="L1398" s="53" t="s">
        <v>62</v>
      </c>
      <c r="M1398" s="73">
        <v>200000.0</v>
      </c>
      <c r="N1398" s="74"/>
      <c r="O1398" s="73">
        <v>1200000.0</v>
      </c>
      <c r="P1398" s="46" t="str">
        <f t="shared" si="2"/>
        <v>Rp200,000-6 LSN-0.00%</v>
      </c>
      <c r="Q1398" s="75">
        <v>45412.0</v>
      </c>
      <c r="R1398" s="76"/>
      <c r="S1398" s="75">
        <v>45422.0</v>
      </c>
      <c r="T1398" s="49"/>
    </row>
    <row r="1399">
      <c r="A1399" s="90">
        <v>58.0</v>
      </c>
      <c r="B1399" s="91" t="s">
        <v>29</v>
      </c>
      <c r="C1399" s="49" t="s">
        <v>1879</v>
      </c>
      <c r="D1399" s="91"/>
      <c r="E1399" s="41" t="s">
        <v>1907</v>
      </c>
      <c r="F1399" s="49"/>
      <c r="G1399" s="71" t="s">
        <v>1907</v>
      </c>
      <c r="H1399" s="41"/>
      <c r="I1399" s="42"/>
      <c r="J1399" s="43"/>
      <c r="K1399" s="72">
        <v>6.0</v>
      </c>
      <c r="L1399" s="53" t="s">
        <v>62</v>
      </c>
      <c r="M1399" s="73">
        <v>115500.0</v>
      </c>
      <c r="N1399" s="74"/>
      <c r="O1399" s="73">
        <v>693000.0</v>
      </c>
      <c r="P1399" s="46" t="str">
        <f t="shared" si="2"/>
        <v>Rp115,500-6 LSN-0.00%</v>
      </c>
      <c r="Q1399" s="75">
        <v>45412.0</v>
      </c>
      <c r="R1399" s="76"/>
      <c r="S1399" s="75">
        <v>45422.0</v>
      </c>
      <c r="T1399" s="80" t="s">
        <v>280</v>
      </c>
    </row>
    <row r="1400">
      <c r="A1400" s="90">
        <v>58.0</v>
      </c>
      <c r="B1400" s="91" t="s">
        <v>29</v>
      </c>
      <c r="C1400" s="49" t="s">
        <v>1879</v>
      </c>
      <c r="D1400" s="77" t="s">
        <v>1554</v>
      </c>
      <c r="E1400" s="41" t="str">
        <f>IFERROR(__xludf.DUMMYFUNCTION("vlookup(D1400,IMPORTRANGE(""https://docs.google.com/spreadsheets/d/1swGwZOEqYlTEUCJLY-eeJM1911Kvaei5oySBIxdgtNo/edit?pli=1#gid=257618397"",""stock untanna!B:C""),2,false)"),"CLIP BOARD 303 (CLIP BESAR)")</f>
        <v>CLIP BOARD 303 (CLIP BESAR)</v>
      </c>
      <c r="F1400" s="49" t="s">
        <v>1555</v>
      </c>
      <c r="G1400" s="71" t="s">
        <v>1556</v>
      </c>
      <c r="H1400" s="41"/>
      <c r="I1400" s="42"/>
      <c r="J1400" s="43"/>
      <c r="K1400" s="72">
        <v>6.0</v>
      </c>
      <c r="L1400" s="53" t="s">
        <v>62</v>
      </c>
      <c r="M1400" s="73">
        <v>200000.0</v>
      </c>
      <c r="N1400" s="74"/>
      <c r="O1400" s="73">
        <v>1200000.0</v>
      </c>
      <c r="P1400" s="46" t="str">
        <f t="shared" si="2"/>
        <v>Rp200,000-6 LSN-0.00%</v>
      </c>
      <c r="Q1400" s="75">
        <v>45412.0</v>
      </c>
      <c r="R1400" s="76"/>
      <c r="S1400" s="75">
        <v>45422.0</v>
      </c>
      <c r="T1400" s="49"/>
    </row>
    <row r="1401">
      <c r="A1401" s="90">
        <v>59.0</v>
      </c>
      <c r="B1401" s="91" t="s">
        <v>29</v>
      </c>
      <c r="C1401" s="49" t="s">
        <v>1879</v>
      </c>
      <c r="D1401" s="91" t="s">
        <v>1908</v>
      </c>
      <c r="E1401" s="41" t="str">
        <f>IFERROR(__xludf.DUMMYFUNCTION("vlookup(D1401,IMPORTRANGE(""https://docs.google.com/spreadsheets/d/1swGwZOEqYlTEUCJLY-eeJM1911Kvaei5oySBIxdgtNo/edit?pli=1#gid=257618397"",""stock untanna!B:C""),2,false)"),"BALON BL 10082")</f>
        <v>BALON BL 10082</v>
      </c>
      <c r="F1401" s="49" t="s">
        <v>1908</v>
      </c>
      <c r="G1401" s="71" t="s">
        <v>1909</v>
      </c>
      <c r="H1401" s="41"/>
      <c r="I1401" s="42"/>
      <c r="J1401" s="43"/>
      <c r="K1401" s="72">
        <v>5.0</v>
      </c>
      <c r="L1401" s="53" t="s">
        <v>1521</v>
      </c>
      <c r="M1401" s="73">
        <v>115000.0</v>
      </c>
      <c r="N1401" s="74"/>
      <c r="O1401" s="73">
        <v>575000.0</v>
      </c>
      <c r="P1401" s="46" t="str">
        <f t="shared" si="2"/>
        <v>Rp115,000-5 DISP-0.00%</v>
      </c>
      <c r="Q1401" s="75">
        <v>45412.0</v>
      </c>
      <c r="R1401" s="76"/>
      <c r="S1401" s="75">
        <v>45422.0</v>
      </c>
      <c r="T1401" s="49"/>
    </row>
    <row r="1402">
      <c r="A1402" s="90">
        <v>59.0</v>
      </c>
      <c r="B1402" s="91" t="s">
        <v>29</v>
      </c>
      <c r="C1402" s="49" t="s">
        <v>1879</v>
      </c>
      <c r="D1402" s="91" t="s">
        <v>1535</v>
      </c>
      <c r="E1402" s="41" t="str">
        <f>IFERROR(__xludf.DUMMYFUNCTION("vlookup(D1402,IMPORTRANGE(""https://docs.google.com/spreadsheets/d/1swGwZOEqYlTEUCJLY-eeJM1911Kvaei5oySBIxdgtNo/edit?pli=1#gid=257618397"",""stock untanna!B:C""),2,false)"),"BALON BL 1009")</f>
        <v>BALON BL 1009</v>
      </c>
      <c r="F1402" s="49" t="s">
        <v>1535</v>
      </c>
      <c r="G1402" s="71" t="s">
        <v>1536</v>
      </c>
      <c r="H1402" s="41"/>
      <c r="I1402" s="42"/>
      <c r="J1402" s="43"/>
      <c r="K1402" s="72">
        <v>5.0</v>
      </c>
      <c r="L1402" s="53" t="s">
        <v>1521</v>
      </c>
      <c r="M1402" s="73">
        <v>115000.0</v>
      </c>
      <c r="N1402" s="74"/>
      <c r="O1402" s="73">
        <v>575000.0</v>
      </c>
      <c r="P1402" s="46" t="str">
        <f t="shared" si="2"/>
        <v>Rp115,000-5 DISP-0.00%</v>
      </c>
      <c r="Q1402" s="75">
        <v>45412.0</v>
      </c>
      <c r="R1402" s="76"/>
      <c r="S1402" s="75">
        <v>45422.0</v>
      </c>
      <c r="T1402" s="49"/>
    </row>
    <row r="1403">
      <c r="A1403" s="90">
        <v>59.0</v>
      </c>
      <c r="B1403" s="91" t="s">
        <v>29</v>
      </c>
      <c r="C1403" s="49" t="s">
        <v>1879</v>
      </c>
      <c r="D1403" s="91" t="s">
        <v>1910</v>
      </c>
      <c r="E1403" s="41" t="str">
        <f>IFERROR(__xludf.DUMMYFUNCTION("vlookup(D1403,IMPORTRANGE(""https://docs.google.com/spreadsheets/d/1swGwZOEqYlTEUCJLY-eeJM1911Kvaei5oySBIxdgtNo/edit?pli=1#gid=257618397"",""stock untanna!B:C""),2,false)"),"BALON LKM 2200")</f>
        <v>BALON LKM 2200</v>
      </c>
      <c r="F1403" s="49" t="s">
        <v>1910</v>
      </c>
      <c r="G1403" s="71" t="s">
        <v>1911</v>
      </c>
      <c r="H1403" s="41"/>
      <c r="I1403" s="42"/>
      <c r="J1403" s="43"/>
      <c r="K1403" s="72">
        <v>5.0</v>
      </c>
      <c r="L1403" s="53" t="s">
        <v>1521</v>
      </c>
      <c r="M1403" s="73">
        <v>90000.0</v>
      </c>
      <c r="N1403" s="74"/>
      <c r="O1403" s="73">
        <v>450000.0</v>
      </c>
      <c r="P1403" s="46" t="str">
        <f t="shared" si="2"/>
        <v>Rp90,000-5 DISP-0.00%</v>
      </c>
      <c r="Q1403" s="75">
        <v>45412.0</v>
      </c>
      <c r="R1403" s="76"/>
      <c r="S1403" s="75">
        <v>45422.0</v>
      </c>
      <c r="T1403" s="49"/>
    </row>
    <row r="1404">
      <c r="A1404" s="90">
        <v>59.0</v>
      </c>
      <c r="B1404" s="91" t="s">
        <v>29</v>
      </c>
      <c r="C1404" s="49" t="s">
        <v>1879</v>
      </c>
      <c r="D1404" s="91" t="s">
        <v>1912</v>
      </c>
      <c r="E1404" s="41" t="str">
        <f>IFERROR(__xludf.DUMMYFUNCTION("vlookup(D1404,IMPORTRANGE(""https://docs.google.com/spreadsheets/d/1swGwZOEqYlTEUCJLY-eeJM1911Kvaei5oySBIxdgtNo/edit?pli=1#gid=257618397"",""stock untanna!B:C""),2,false)"),"BALON METALIK LMP 2800")</f>
        <v>BALON METALIK LMP 2800</v>
      </c>
      <c r="F1404" s="49" t="s">
        <v>1912</v>
      </c>
      <c r="G1404" s="71" t="s">
        <v>1913</v>
      </c>
      <c r="H1404" s="41"/>
      <c r="I1404" s="42"/>
      <c r="J1404" s="43"/>
      <c r="K1404" s="72">
        <v>5.0</v>
      </c>
      <c r="L1404" s="53" t="s">
        <v>1521</v>
      </c>
      <c r="M1404" s="73">
        <v>90000.0</v>
      </c>
      <c r="N1404" s="74"/>
      <c r="O1404" s="73">
        <v>450000.0</v>
      </c>
      <c r="P1404" s="46" t="str">
        <f t="shared" si="2"/>
        <v>Rp90,000-5 DISP-0.00%</v>
      </c>
      <c r="Q1404" s="75">
        <v>45412.0</v>
      </c>
      <c r="R1404" s="76"/>
      <c r="S1404" s="75">
        <v>45422.0</v>
      </c>
      <c r="T1404" s="49"/>
    </row>
    <row r="1405">
      <c r="A1405" s="90">
        <v>59.0</v>
      </c>
      <c r="B1405" s="91" t="s">
        <v>29</v>
      </c>
      <c r="C1405" s="49" t="s">
        <v>1879</v>
      </c>
      <c r="D1405" s="91"/>
      <c r="E1405" s="41" t="s">
        <v>1914</v>
      </c>
      <c r="F1405" s="49"/>
      <c r="G1405" s="71" t="s">
        <v>1914</v>
      </c>
      <c r="H1405" s="41"/>
      <c r="I1405" s="42"/>
      <c r="J1405" s="43"/>
      <c r="K1405" s="72">
        <v>10.0</v>
      </c>
      <c r="L1405" s="53" t="s">
        <v>62</v>
      </c>
      <c r="M1405" s="73">
        <v>55000.0</v>
      </c>
      <c r="N1405" s="74"/>
      <c r="O1405" s="73">
        <v>550000.0</v>
      </c>
      <c r="P1405" s="46" t="str">
        <f t="shared" si="2"/>
        <v>Rp55,000-10 LSN-0.00%</v>
      </c>
      <c r="Q1405" s="75">
        <v>45412.0</v>
      </c>
      <c r="R1405" s="76"/>
      <c r="S1405" s="75">
        <v>45422.0</v>
      </c>
      <c r="T1405" s="49"/>
    </row>
    <row r="1406">
      <c r="A1406" s="90">
        <v>59.0</v>
      </c>
      <c r="B1406" s="91" t="s">
        <v>29</v>
      </c>
      <c r="C1406" s="49" t="s">
        <v>1879</v>
      </c>
      <c r="D1406" s="91"/>
      <c r="E1406" s="41" t="s">
        <v>1915</v>
      </c>
      <c r="F1406" s="49"/>
      <c r="G1406" s="71" t="s">
        <v>1915</v>
      </c>
      <c r="H1406" s="41"/>
      <c r="I1406" s="42"/>
      <c r="J1406" s="43"/>
      <c r="K1406" s="72">
        <v>10.0</v>
      </c>
      <c r="L1406" s="53" t="s">
        <v>62</v>
      </c>
      <c r="M1406" s="73">
        <v>85000.0</v>
      </c>
      <c r="N1406" s="74"/>
      <c r="O1406" s="73">
        <v>850000.0</v>
      </c>
      <c r="P1406" s="46" t="str">
        <f t="shared" si="2"/>
        <v>Rp85,000-10 LSN-0.00%</v>
      </c>
      <c r="Q1406" s="75">
        <v>45412.0</v>
      </c>
      <c r="R1406" s="76"/>
      <c r="S1406" s="75">
        <v>45422.0</v>
      </c>
      <c r="T1406" s="49"/>
    </row>
    <row r="1407">
      <c r="A1407" s="90">
        <v>59.0</v>
      </c>
      <c r="B1407" s="91" t="s">
        <v>29</v>
      </c>
      <c r="C1407" s="49" t="s">
        <v>1879</v>
      </c>
      <c r="D1407" s="91"/>
      <c r="E1407" s="41" t="s">
        <v>1916</v>
      </c>
      <c r="F1407" s="49"/>
      <c r="G1407" s="71" t="s">
        <v>1916</v>
      </c>
      <c r="H1407" s="41"/>
      <c r="I1407" s="42"/>
      <c r="J1407" s="43"/>
      <c r="K1407" s="72">
        <v>10.0</v>
      </c>
      <c r="L1407" s="53" t="s">
        <v>62</v>
      </c>
      <c r="M1407" s="73">
        <v>110000.0</v>
      </c>
      <c r="N1407" s="74"/>
      <c r="O1407" s="73">
        <v>1100000.0</v>
      </c>
      <c r="P1407" s="46" t="str">
        <f t="shared" si="2"/>
        <v>Rp110,000-10 LSN-0.00%</v>
      </c>
      <c r="Q1407" s="75">
        <v>45412.0</v>
      </c>
      <c r="R1407" s="76"/>
      <c r="S1407" s="75">
        <v>45422.0</v>
      </c>
      <c r="T1407" s="49"/>
    </row>
    <row r="1408">
      <c r="A1408" s="90">
        <v>59.0</v>
      </c>
      <c r="B1408" s="91" t="s">
        <v>29</v>
      </c>
      <c r="C1408" s="49" t="s">
        <v>1879</v>
      </c>
      <c r="D1408" s="77" t="s">
        <v>79</v>
      </c>
      <c r="E1408" s="41" t="str">
        <f>IFERROR(__xludf.DUMMYFUNCTION("vlookup(D1408,IMPORTRANGE(""https://docs.google.com/spreadsheets/d/1swGwZOEqYlTEUCJLY-eeJM1911Kvaei5oySBIxdgtNo/edit?pli=1#gid=257618397"",""stock untanna!B:C""),2,false)"),"STUDY BOARD (BK MEWARNAI) JQ-1909")</f>
        <v>STUDY BOARD (BK MEWARNAI) JQ-1909</v>
      </c>
      <c r="F1408" s="49" t="s">
        <v>80</v>
      </c>
      <c r="G1408" s="71" t="s">
        <v>81</v>
      </c>
      <c r="H1408" s="41"/>
      <c r="I1408" s="42"/>
      <c r="J1408" s="43"/>
      <c r="K1408" s="72">
        <v>10.0</v>
      </c>
      <c r="L1408" s="53" t="s">
        <v>62</v>
      </c>
      <c r="M1408" s="73">
        <v>157500.0</v>
      </c>
      <c r="N1408" s="74"/>
      <c r="O1408" s="73">
        <v>1575000.0</v>
      </c>
      <c r="P1408" s="46" t="str">
        <f t="shared" si="2"/>
        <v>Rp157,500-10 LSN-0.00%</v>
      </c>
      <c r="Q1408" s="75">
        <v>45412.0</v>
      </c>
      <c r="R1408" s="76"/>
      <c r="S1408" s="75">
        <v>45422.0</v>
      </c>
      <c r="T1408" s="49"/>
    </row>
    <row r="1409">
      <c r="A1409" s="90">
        <v>59.0</v>
      </c>
      <c r="B1409" s="91" t="s">
        <v>29</v>
      </c>
      <c r="C1409" s="49" t="s">
        <v>1879</v>
      </c>
      <c r="D1409" s="91"/>
      <c r="E1409" s="41" t="s">
        <v>1917</v>
      </c>
      <c r="F1409" s="49"/>
      <c r="G1409" s="71" t="s">
        <v>1917</v>
      </c>
      <c r="H1409" s="41"/>
      <c r="I1409" s="42"/>
      <c r="J1409" s="43"/>
      <c r="K1409" s="72">
        <v>10.0</v>
      </c>
      <c r="L1409" s="53" t="s">
        <v>62</v>
      </c>
      <c r="M1409" s="73">
        <v>148500.0</v>
      </c>
      <c r="N1409" s="74"/>
      <c r="O1409" s="73">
        <v>1485000.0</v>
      </c>
      <c r="P1409" s="46" t="str">
        <f t="shared" si="2"/>
        <v>Rp148,500-10 LSN-0.00%</v>
      </c>
      <c r="Q1409" s="75">
        <v>45412.0</v>
      </c>
      <c r="R1409" s="76"/>
      <c r="S1409" s="75">
        <v>45422.0</v>
      </c>
      <c r="T1409" s="80" t="s">
        <v>280</v>
      </c>
    </row>
    <row r="1410">
      <c r="A1410" s="90">
        <v>59.0</v>
      </c>
      <c r="B1410" s="91" t="s">
        <v>29</v>
      </c>
      <c r="C1410" s="49" t="s">
        <v>1879</v>
      </c>
      <c r="D1410" s="91"/>
      <c r="E1410" s="41" t="s">
        <v>1918</v>
      </c>
      <c r="F1410" s="49"/>
      <c r="G1410" s="71" t="s">
        <v>1918</v>
      </c>
      <c r="H1410" s="41"/>
      <c r="I1410" s="42"/>
      <c r="J1410" s="43"/>
      <c r="K1410" s="72">
        <v>10.0</v>
      </c>
      <c r="L1410" s="53" t="s">
        <v>62</v>
      </c>
      <c r="M1410" s="73">
        <v>100000.0</v>
      </c>
      <c r="N1410" s="74"/>
      <c r="O1410" s="73">
        <v>1000000.0</v>
      </c>
      <c r="P1410" s="46" t="str">
        <f t="shared" si="2"/>
        <v>Rp100,000-10 LSN-0.00%</v>
      </c>
      <c r="Q1410" s="75">
        <v>45412.0</v>
      </c>
      <c r="R1410" s="76"/>
      <c r="S1410" s="75">
        <v>45422.0</v>
      </c>
      <c r="T1410" s="49"/>
    </row>
    <row r="1411">
      <c r="A1411" s="90">
        <v>59.0</v>
      </c>
      <c r="B1411" s="91" t="s">
        <v>29</v>
      </c>
      <c r="C1411" s="49" t="s">
        <v>1879</v>
      </c>
      <c r="D1411" s="91" t="s">
        <v>1919</v>
      </c>
      <c r="E1411" s="41" t="str">
        <f>IFERROR(__xludf.DUMMYFUNCTION("vlookup(D1411,IMPORTRANGE(""https://docs.google.com/spreadsheets/d/1swGwZOEqYlTEUCJLY-eeJM1911Kvaei5oySBIxdgtNo/edit?pli=1#gid=257618397"",""stock untanna!B:C""),2,false)"),"KARTU UNDANGAN UTN PANJANG")</f>
        <v>KARTU UNDANGAN UTN PANJANG</v>
      </c>
      <c r="F1411" s="49" t="s">
        <v>1919</v>
      </c>
      <c r="G1411" s="71" t="s">
        <v>1920</v>
      </c>
      <c r="H1411" s="41"/>
      <c r="I1411" s="42"/>
      <c r="J1411" s="43"/>
      <c r="K1411" s="72">
        <v>300.0</v>
      </c>
      <c r="L1411" s="53" t="s">
        <v>114</v>
      </c>
      <c r="M1411" s="73">
        <v>1100.0</v>
      </c>
      <c r="N1411" s="74"/>
      <c r="O1411" s="73">
        <v>330000.0</v>
      </c>
      <c r="P1411" s="46" t="str">
        <f t="shared" si="2"/>
        <v>Rp1,100-300 PAK-0.00%</v>
      </c>
      <c r="Q1411" s="75">
        <v>45412.0</v>
      </c>
      <c r="R1411" s="76"/>
      <c r="S1411" s="75">
        <v>45422.0</v>
      </c>
      <c r="T1411" s="49" t="s">
        <v>100</v>
      </c>
    </row>
    <row r="1412">
      <c r="A1412" s="90">
        <v>59.0</v>
      </c>
      <c r="B1412" s="91" t="s">
        <v>29</v>
      </c>
      <c r="C1412" s="49" t="s">
        <v>1879</v>
      </c>
      <c r="D1412" s="91" t="s">
        <v>878</v>
      </c>
      <c r="E1412" s="41" t="str">
        <f>IFERROR(__xludf.DUMMYFUNCTION("vlookup(D1412,IMPORTRANGE(""https://docs.google.com/spreadsheets/d/1swGwZOEqYlTEUCJLY-eeJM1911Kvaei5oySBIxdgtNo/edit?pli=1#gid=257618397"",""stock untanna!B:C""),2,false)"),"BK TAMU BATIK")</f>
        <v>BK TAMU BATIK</v>
      </c>
      <c r="F1412" s="49" t="s">
        <v>878</v>
      </c>
      <c r="G1412" s="71" t="s">
        <v>879</v>
      </c>
      <c r="H1412" s="41"/>
      <c r="I1412" s="42"/>
      <c r="J1412" s="43"/>
      <c r="K1412" s="72">
        <v>2.0</v>
      </c>
      <c r="L1412" s="53" t="s">
        <v>62</v>
      </c>
      <c r="M1412" s="73">
        <v>240000.0</v>
      </c>
      <c r="N1412" s="74"/>
      <c r="O1412" s="73">
        <v>480000.0</v>
      </c>
      <c r="P1412" s="46" t="str">
        <f t="shared" si="2"/>
        <v>Rp240,000-2 LSN-0.00%</v>
      </c>
      <c r="Q1412" s="75">
        <v>45412.0</v>
      </c>
      <c r="R1412" s="76"/>
      <c r="S1412" s="75">
        <v>45422.0</v>
      </c>
      <c r="T1412" s="49"/>
    </row>
    <row r="1413">
      <c r="A1413" s="90">
        <v>59.0</v>
      </c>
      <c r="B1413" s="91" t="s">
        <v>29</v>
      </c>
      <c r="C1413" s="49" t="s">
        <v>1879</v>
      </c>
      <c r="D1413" s="91" t="s">
        <v>1921</v>
      </c>
      <c r="E1413" s="41" t="str">
        <f>IFERROR(__xludf.DUMMYFUNCTION("vlookup(D1413,IMPORTRANGE(""https://docs.google.com/spreadsheets/d/1swGwZOEqYlTEUCJLY-eeJM1911Kvaei5oySBIxdgtNo/edit?pli=1#gid=257618397"",""stock untanna!B:C""),2,false)"),"TAS 1842-L  (TANGGUNG)")</f>
        <v>TAS 1842-L  (TANGGUNG)</v>
      </c>
      <c r="F1413" s="49" t="s">
        <v>1921</v>
      </c>
      <c r="G1413" s="71" t="s">
        <v>1922</v>
      </c>
      <c r="H1413" s="41"/>
      <c r="I1413" s="42"/>
      <c r="J1413" s="43"/>
      <c r="K1413" s="72">
        <v>6.0</v>
      </c>
      <c r="L1413" s="53" t="s">
        <v>62</v>
      </c>
      <c r="M1413" s="73">
        <v>157500.0</v>
      </c>
      <c r="N1413" s="74"/>
      <c r="O1413" s="73">
        <v>945000.0</v>
      </c>
      <c r="P1413" s="46" t="str">
        <f t="shared" si="2"/>
        <v>Rp157,500-6 LSN-0.00%</v>
      </c>
      <c r="Q1413" s="75">
        <v>45412.0</v>
      </c>
      <c r="R1413" s="76"/>
      <c r="S1413" s="75">
        <v>45422.0</v>
      </c>
      <c r="T1413" s="49"/>
    </row>
    <row r="1414">
      <c r="A1414" s="90">
        <v>59.0</v>
      </c>
      <c r="B1414" s="91" t="s">
        <v>29</v>
      </c>
      <c r="C1414" s="49" t="s">
        <v>1879</v>
      </c>
      <c r="D1414" s="91" t="s">
        <v>896</v>
      </c>
      <c r="E1414" s="41" t="str">
        <f>IFERROR(__xludf.DUMMYFUNCTION("vlookup(D1414,IMPORTRANGE(""https://docs.google.com/spreadsheets/d/1swGwZOEqYlTEUCJLY-eeJM1911Kvaei5oySBIxdgtNo/edit?pli=1#gid=257618397"",""stock untanna!B:C""),2,false)"),"TAS BRANDED TANGGUNG SB-116")</f>
        <v>TAS BRANDED TANGGUNG SB-116</v>
      </c>
      <c r="F1414" s="49" t="s">
        <v>896</v>
      </c>
      <c r="G1414" s="71" t="s">
        <v>897</v>
      </c>
      <c r="H1414" s="41"/>
      <c r="I1414" s="42"/>
      <c r="J1414" s="43"/>
      <c r="K1414" s="72">
        <v>6.0</v>
      </c>
      <c r="L1414" s="53" t="s">
        <v>62</v>
      </c>
      <c r="M1414" s="73">
        <v>52500.0</v>
      </c>
      <c r="N1414" s="74"/>
      <c r="O1414" s="73">
        <v>315000.0</v>
      </c>
      <c r="P1414" s="46" t="str">
        <f t="shared" si="2"/>
        <v>Rp52,500-6 LSN-0.00%</v>
      </c>
      <c r="Q1414" s="75">
        <v>45412.0</v>
      </c>
      <c r="R1414" s="76"/>
      <c r="S1414" s="75">
        <v>45422.0</v>
      </c>
      <c r="T1414" s="49"/>
    </row>
    <row r="1415">
      <c r="A1415" s="90">
        <v>59.0</v>
      </c>
      <c r="B1415" s="91" t="s">
        <v>29</v>
      </c>
      <c r="C1415" s="49" t="s">
        <v>1879</v>
      </c>
      <c r="D1415" s="91" t="s">
        <v>244</v>
      </c>
      <c r="E1415" s="41" t="str">
        <f>IFERROR(__xludf.DUMMYFUNCTION("vlookup(D1415,IMPORTRANGE(""https://docs.google.com/spreadsheets/d/1swGwZOEqYlTEUCJLY-eeJM1911Kvaei5oySBIxdgtNo/edit?pli=1#gid=257618397"",""stock untanna!B:C""),2,false)"),"TAS 203C GLITTER KECIL")</f>
        <v>TAS 203C GLITTER KECIL</v>
      </c>
      <c r="F1415" s="49" t="s">
        <v>244</v>
      </c>
      <c r="G1415" s="71" t="s">
        <v>245</v>
      </c>
      <c r="H1415" s="41"/>
      <c r="I1415" s="42"/>
      <c r="J1415" s="43"/>
      <c r="K1415" s="72">
        <v>6.0</v>
      </c>
      <c r="L1415" s="53" t="s">
        <v>62</v>
      </c>
      <c r="M1415" s="73">
        <v>93500.0</v>
      </c>
      <c r="N1415" s="74"/>
      <c r="O1415" s="73">
        <v>561000.0</v>
      </c>
      <c r="P1415" s="46" t="str">
        <f t="shared" si="2"/>
        <v>Rp93,500-6 LSN-0.00%</v>
      </c>
      <c r="Q1415" s="75">
        <v>45412.0</v>
      </c>
      <c r="R1415" s="76"/>
      <c r="S1415" s="75">
        <v>45422.0</v>
      </c>
      <c r="T1415" s="49"/>
    </row>
    <row r="1416">
      <c r="A1416" s="90">
        <v>59.0</v>
      </c>
      <c r="B1416" s="91" t="s">
        <v>29</v>
      </c>
      <c r="C1416" s="49" t="s">
        <v>1879</v>
      </c>
      <c r="D1416" s="91"/>
      <c r="E1416" s="41" t="s">
        <v>1923</v>
      </c>
      <c r="F1416" s="49"/>
      <c r="G1416" s="71" t="s">
        <v>1923</v>
      </c>
      <c r="H1416" s="41"/>
      <c r="I1416" s="42"/>
      <c r="J1416" s="43"/>
      <c r="K1416" s="72">
        <v>6.0</v>
      </c>
      <c r="L1416" s="53" t="s">
        <v>62</v>
      </c>
      <c r="M1416" s="73">
        <v>85000.0</v>
      </c>
      <c r="N1416" s="74"/>
      <c r="O1416" s="73">
        <v>510000.0</v>
      </c>
      <c r="P1416" s="46" t="str">
        <f t="shared" si="2"/>
        <v>Rp85,000-6 LSN-0.00%</v>
      </c>
      <c r="Q1416" s="75">
        <v>45412.0</v>
      </c>
      <c r="R1416" s="76"/>
      <c r="S1416" s="75">
        <v>45422.0</v>
      </c>
      <c r="T1416" s="49"/>
    </row>
    <row r="1417">
      <c r="A1417" s="90">
        <v>60.0</v>
      </c>
      <c r="B1417" s="91" t="s">
        <v>29</v>
      </c>
      <c r="C1417" s="49" t="s">
        <v>1879</v>
      </c>
      <c r="D1417" s="91"/>
      <c r="E1417" s="41" t="s">
        <v>1924</v>
      </c>
      <c r="F1417" s="49"/>
      <c r="G1417" s="71" t="s">
        <v>1924</v>
      </c>
      <c r="H1417" s="41"/>
      <c r="I1417" s="42"/>
      <c r="J1417" s="43"/>
      <c r="K1417" s="72">
        <v>1.0</v>
      </c>
      <c r="L1417" s="53" t="s">
        <v>62</v>
      </c>
      <c r="M1417" s="73">
        <v>135000.0</v>
      </c>
      <c r="N1417" s="74"/>
      <c r="O1417" s="73">
        <v>135000.0</v>
      </c>
      <c r="P1417" s="46" t="str">
        <f t="shared" si="2"/>
        <v>Rp135,000-1 LSN-0.00%</v>
      </c>
      <c r="Q1417" s="75">
        <v>45412.0</v>
      </c>
      <c r="R1417" s="76"/>
      <c r="S1417" s="75">
        <v>45422.0</v>
      </c>
      <c r="T1417" s="49"/>
    </row>
    <row r="1418">
      <c r="A1418" s="90">
        <v>60.0</v>
      </c>
      <c r="B1418" s="91" t="s">
        <v>29</v>
      </c>
      <c r="C1418" s="49" t="s">
        <v>1879</v>
      </c>
      <c r="D1418" s="91" t="s">
        <v>1925</v>
      </c>
      <c r="E1418" s="41" t="str">
        <f>IFERROR(__xludf.DUMMYFUNCTION("vlookup(D1418,IMPORTRANGE(""https://docs.google.com/spreadsheets/d/1swGwZOEqYlTEUCJLY-eeJM1911Kvaei5oySBIxdgtNo/edit?pli=1#gid=257618397"",""stock untanna!B:C""),2,false)"),"BK TAMU ECO LOVE")</f>
        <v>BK TAMU ECO LOVE</v>
      </c>
      <c r="F1418" s="49" t="s">
        <v>1925</v>
      </c>
      <c r="G1418" s="71" t="s">
        <v>1926</v>
      </c>
      <c r="H1418" s="41"/>
      <c r="I1418" s="42"/>
      <c r="J1418" s="43"/>
      <c r="K1418" s="72">
        <v>2.0</v>
      </c>
      <c r="L1418" s="53" t="s">
        <v>62</v>
      </c>
      <c r="M1418" s="73">
        <v>240000.0</v>
      </c>
      <c r="N1418" s="74"/>
      <c r="O1418" s="73">
        <v>480000.0</v>
      </c>
      <c r="P1418" s="46" t="str">
        <f t="shared" si="2"/>
        <v>Rp240,000-2 LSN-0.00%</v>
      </c>
      <c r="Q1418" s="75">
        <v>45412.0</v>
      </c>
      <c r="R1418" s="76"/>
      <c r="S1418" s="75">
        <v>45422.0</v>
      </c>
      <c r="T1418" s="49"/>
    </row>
    <row r="1419">
      <c r="A1419" s="90">
        <v>60.0</v>
      </c>
      <c r="B1419" s="91" t="s">
        <v>29</v>
      </c>
      <c r="C1419" s="49" t="s">
        <v>1879</v>
      </c>
      <c r="D1419" s="91"/>
      <c r="E1419" s="41" t="s">
        <v>1927</v>
      </c>
      <c r="F1419" s="49"/>
      <c r="G1419" s="71" t="s">
        <v>1927</v>
      </c>
      <c r="H1419" s="41"/>
      <c r="I1419" s="42"/>
      <c r="J1419" s="43"/>
      <c r="K1419" s="72">
        <v>6.0</v>
      </c>
      <c r="L1419" s="53" t="s">
        <v>62</v>
      </c>
      <c r="M1419" s="73">
        <v>195000.0</v>
      </c>
      <c r="N1419" s="74"/>
      <c r="O1419" s="73">
        <v>1170000.0</v>
      </c>
      <c r="P1419" s="46" t="str">
        <f t="shared" si="2"/>
        <v>Rp195,000-6 LSN-0.00%</v>
      </c>
      <c r="Q1419" s="75">
        <v>45412.0</v>
      </c>
      <c r="R1419" s="76"/>
      <c r="S1419" s="75">
        <v>45422.0</v>
      </c>
      <c r="T1419" s="49"/>
    </row>
    <row r="1420">
      <c r="A1420" s="90">
        <v>60.0</v>
      </c>
      <c r="B1420" s="91" t="s">
        <v>29</v>
      </c>
      <c r="C1420" s="49" t="s">
        <v>1879</v>
      </c>
      <c r="D1420" s="91"/>
      <c r="E1420" s="41" t="s">
        <v>1928</v>
      </c>
      <c r="F1420" s="49"/>
      <c r="G1420" s="71" t="s">
        <v>1928</v>
      </c>
      <c r="H1420" s="41"/>
      <c r="I1420" s="42"/>
      <c r="J1420" s="43"/>
      <c r="K1420" s="72">
        <v>6.0</v>
      </c>
      <c r="L1420" s="53" t="s">
        <v>62</v>
      </c>
      <c r="M1420" s="73">
        <v>195000.0</v>
      </c>
      <c r="N1420" s="74"/>
      <c r="O1420" s="73">
        <v>1170000.0</v>
      </c>
      <c r="P1420" s="46" t="str">
        <f t="shared" si="2"/>
        <v>Rp195,000-6 LSN-0.00%</v>
      </c>
      <c r="Q1420" s="75">
        <v>45412.0</v>
      </c>
      <c r="R1420" s="76"/>
      <c r="S1420" s="75">
        <v>45422.0</v>
      </c>
      <c r="T1420" s="49"/>
    </row>
    <row r="1421">
      <c r="A1421" s="90">
        <v>60.0</v>
      </c>
      <c r="B1421" s="91" t="s">
        <v>29</v>
      </c>
      <c r="C1421" s="49" t="s">
        <v>1879</v>
      </c>
      <c r="D1421" s="91"/>
      <c r="E1421" s="41" t="s">
        <v>209</v>
      </c>
      <c r="F1421" s="49"/>
      <c r="G1421" s="71" t="s">
        <v>209</v>
      </c>
      <c r="H1421" s="41"/>
      <c r="I1421" s="42"/>
      <c r="J1421" s="43"/>
      <c r="K1421" s="72">
        <v>6.0</v>
      </c>
      <c r="L1421" s="53" t="s">
        <v>62</v>
      </c>
      <c r="M1421" s="73">
        <v>65000.0</v>
      </c>
      <c r="N1421" s="74"/>
      <c r="O1421" s="73">
        <v>390000.0</v>
      </c>
      <c r="P1421" s="46" t="str">
        <f t="shared" si="2"/>
        <v>Rp65,000-6 LSN-0.00%</v>
      </c>
      <c r="Q1421" s="75">
        <v>45412.0</v>
      </c>
      <c r="R1421" s="76"/>
      <c r="S1421" s="75">
        <v>45422.0</v>
      </c>
      <c r="T1421" s="49"/>
    </row>
    <row r="1422">
      <c r="A1422" s="90">
        <v>60.0</v>
      </c>
      <c r="B1422" s="91" t="s">
        <v>29</v>
      </c>
      <c r="C1422" s="49" t="s">
        <v>1879</v>
      </c>
      <c r="D1422" s="91" t="s">
        <v>247</v>
      </c>
      <c r="E1422" s="41" t="str">
        <f>IFERROR(__xludf.DUMMYFUNCTION("vlookup(D1422,IMPORTRANGE(""https://docs.google.com/spreadsheets/d/1swGwZOEqYlTEUCJLY-eeJM1911Kvaei5oySBIxdgtNo/edit?pli=1#gid=257618397"",""stock untanna!B:C""),2,false)"),"TAS TUTUP PITA KADO FG-201 TANGGUNG")</f>
        <v>TAS TUTUP PITA KADO FG-201 TANGGUNG</v>
      </c>
      <c r="F1422" s="49" t="s">
        <v>247</v>
      </c>
      <c r="G1422" s="78" t="s">
        <v>248</v>
      </c>
      <c r="H1422" s="41"/>
      <c r="I1422" s="42"/>
      <c r="J1422" s="43"/>
      <c r="K1422" s="72">
        <v>6.0</v>
      </c>
      <c r="L1422" s="53" t="s">
        <v>62</v>
      </c>
      <c r="M1422" s="73">
        <v>157500.0</v>
      </c>
      <c r="N1422" s="74"/>
      <c r="O1422" s="73">
        <v>945000.0</v>
      </c>
      <c r="P1422" s="46" t="str">
        <f t="shared" si="2"/>
        <v>Rp157,500-6 LSN-0.00%</v>
      </c>
      <c r="Q1422" s="75">
        <v>45412.0</v>
      </c>
      <c r="R1422" s="76"/>
      <c r="S1422" s="75">
        <v>45422.0</v>
      </c>
      <c r="T1422" s="49"/>
    </row>
    <row r="1423">
      <c r="A1423" s="90">
        <v>60.0</v>
      </c>
      <c r="B1423" s="91" t="s">
        <v>29</v>
      </c>
      <c r="C1423" s="49" t="s">
        <v>1879</v>
      </c>
      <c r="D1423" s="91" t="s">
        <v>251</v>
      </c>
      <c r="E1423" s="41" t="str">
        <f>IFERROR(__xludf.DUMMYFUNCTION("vlookup(D1423,IMPORTRANGE(""https://docs.google.com/spreadsheets/d/1swGwZOEqYlTEUCJLY-eeJM1911Kvaei5oySBIxdgtNo/edit?pli=1#gid=257618397"",""stock untanna!B:C""),2,false)"),"TAS TUTUP PITA KADO FG-401 JUMBO")</f>
        <v>TAS TUTUP PITA KADO FG-401 JUMBO</v>
      </c>
      <c r="F1423" s="49" t="s">
        <v>251</v>
      </c>
      <c r="G1423" s="71" t="s">
        <v>252</v>
      </c>
      <c r="H1423" s="41"/>
      <c r="I1423" s="42"/>
      <c r="J1423" s="43"/>
      <c r="K1423" s="72">
        <v>6.0</v>
      </c>
      <c r="L1423" s="53" t="s">
        <v>62</v>
      </c>
      <c r="M1423" s="73">
        <v>200000.0</v>
      </c>
      <c r="N1423" s="74"/>
      <c r="O1423" s="73">
        <v>1200000.0</v>
      </c>
      <c r="P1423" s="46" t="str">
        <f t="shared" si="2"/>
        <v>Rp200,000-6 LSN-0.00%</v>
      </c>
      <c r="Q1423" s="75">
        <v>45412.0</v>
      </c>
      <c r="R1423" s="76"/>
      <c r="S1423" s="75">
        <v>45422.0</v>
      </c>
      <c r="T1423" s="49"/>
    </row>
    <row r="1424">
      <c r="A1424" s="90">
        <v>60.0</v>
      </c>
      <c r="B1424" s="91" t="s">
        <v>29</v>
      </c>
      <c r="C1424" s="49" t="s">
        <v>1879</v>
      </c>
      <c r="D1424" s="91" t="s">
        <v>251</v>
      </c>
      <c r="E1424" s="41" t="str">
        <f>IFERROR(__xludf.DUMMYFUNCTION("vlookup(D1424,IMPORTRANGE(""https://docs.google.com/spreadsheets/d/1swGwZOEqYlTEUCJLY-eeJM1911Kvaei5oySBIxdgtNo/edit?pli=1#gid=257618397"",""stock untanna!B:C""),2,false)"),"TAS TUTUP PITA KADO FG-401 JUMBO")</f>
        <v>TAS TUTUP PITA KADO FG-401 JUMBO</v>
      </c>
      <c r="F1424" s="49" t="s">
        <v>251</v>
      </c>
      <c r="G1424" s="71" t="s">
        <v>252</v>
      </c>
      <c r="H1424" s="41"/>
      <c r="I1424" s="42"/>
      <c r="J1424" s="43"/>
      <c r="K1424" s="72">
        <v>6.0</v>
      </c>
      <c r="L1424" s="53" t="s">
        <v>62</v>
      </c>
      <c r="M1424" s="73">
        <v>200000.0</v>
      </c>
      <c r="N1424" s="74"/>
      <c r="O1424" s="73">
        <v>1200000.0</v>
      </c>
      <c r="P1424" s="46" t="str">
        <f t="shared" si="2"/>
        <v>Rp200,000-6 LSN-0.00%</v>
      </c>
      <c r="Q1424" s="75">
        <v>45412.0</v>
      </c>
      <c r="R1424" s="76"/>
      <c r="S1424" s="75">
        <v>45422.0</v>
      </c>
      <c r="T1424" s="49"/>
    </row>
    <row r="1425">
      <c r="A1425" s="90">
        <v>60.0</v>
      </c>
      <c r="B1425" s="91" t="s">
        <v>29</v>
      </c>
      <c r="C1425" s="49" t="s">
        <v>1879</v>
      </c>
      <c r="D1425" s="91" t="s">
        <v>251</v>
      </c>
      <c r="E1425" s="41" t="str">
        <f>IFERROR(__xludf.DUMMYFUNCTION("vlookup(D1425,IMPORTRANGE(""https://docs.google.com/spreadsheets/d/1swGwZOEqYlTEUCJLY-eeJM1911Kvaei5oySBIxdgtNo/edit?pli=1#gid=257618397"",""stock untanna!B:C""),2,false)"),"TAS TUTUP PITA KADO FG-401 JUMBO")</f>
        <v>TAS TUTUP PITA KADO FG-401 JUMBO</v>
      </c>
      <c r="F1425" s="49" t="s">
        <v>251</v>
      </c>
      <c r="G1425" s="71" t="s">
        <v>252</v>
      </c>
      <c r="H1425" s="41"/>
      <c r="I1425" s="42"/>
      <c r="J1425" s="43"/>
      <c r="K1425" s="72">
        <v>6.0</v>
      </c>
      <c r="L1425" s="53" t="s">
        <v>62</v>
      </c>
      <c r="M1425" s="73">
        <v>200000.0</v>
      </c>
      <c r="N1425" s="74"/>
      <c r="O1425" s="73">
        <v>1200000.0</v>
      </c>
      <c r="P1425" s="46" t="str">
        <f t="shared" si="2"/>
        <v>Rp200,000-6 LSN-0.00%</v>
      </c>
      <c r="Q1425" s="75">
        <v>45412.0</v>
      </c>
      <c r="R1425" s="76"/>
      <c r="S1425" s="75">
        <v>45422.0</v>
      </c>
      <c r="T1425" s="49"/>
    </row>
    <row r="1426">
      <c r="A1426" s="90">
        <v>60.0</v>
      </c>
      <c r="B1426" s="91" t="s">
        <v>29</v>
      </c>
      <c r="C1426" s="49" t="s">
        <v>1879</v>
      </c>
      <c r="D1426" s="91" t="s">
        <v>251</v>
      </c>
      <c r="E1426" s="41" t="str">
        <f>IFERROR(__xludf.DUMMYFUNCTION("vlookup(D1426,IMPORTRANGE(""https://docs.google.com/spreadsheets/d/1swGwZOEqYlTEUCJLY-eeJM1911Kvaei5oySBIxdgtNo/edit?pli=1#gid=257618397"",""stock untanna!B:C""),2,false)"),"TAS TUTUP PITA KADO FG-401 JUMBO")</f>
        <v>TAS TUTUP PITA KADO FG-401 JUMBO</v>
      </c>
      <c r="F1426" s="49" t="s">
        <v>251</v>
      </c>
      <c r="G1426" s="71" t="s">
        <v>252</v>
      </c>
      <c r="H1426" s="41"/>
      <c r="I1426" s="42"/>
      <c r="J1426" s="43"/>
      <c r="K1426" s="72">
        <v>6.0</v>
      </c>
      <c r="L1426" s="53" t="s">
        <v>62</v>
      </c>
      <c r="M1426" s="73">
        <v>200000.0</v>
      </c>
      <c r="N1426" s="74"/>
      <c r="O1426" s="73">
        <v>1200000.0</v>
      </c>
      <c r="P1426" s="46" t="str">
        <f t="shared" si="2"/>
        <v>Rp200,000-6 LSN-0.00%</v>
      </c>
      <c r="Q1426" s="75">
        <v>45412.0</v>
      </c>
      <c r="R1426" s="76"/>
      <c r="S1426" s="75">
        <v>45422.0</v>
      </c>
      <c r="T1426" s="49"/>
    </row>
    <row r="1427">
      <c r="A1427" s="90">
        <v>60.0</v>
      </c>
      <c r="B1427" s="91" t="s">
        <v>29</v>
      </c>
      <c r="C1427" s="49" t="s">
        <v>1879</v>
      </c>
      <c r="D1427" s="91" t="s">
        <v>251</v>
      </c>
      <c r="E1427" s="41" t="str">
        <f>IFERROR(__xludf.DUMMYFUNCTION("vlookup(D1427,IMPORTRANGE(""https://docs.google.com/spreadsheets/d/1swGwZOEqYlTEUCJLY-eeJM1911Kvaei5oySBIxdgtNo/edit?pli=1#gid=257618397"",""stock untanna!B:C""),2,false)"),"TAS TUTUP PITA KADO FG-401 JUMBO")</f>
        <v>TAS TUTUP PITA KADO FG-401 JUMBO</v>
      </c>
      <c r="F1427" s="49" t="s">
        <v>251</v>
      </c>
      <c r="G1427" s="71" t="s">
        <v>252</v>
      </c>
      <c r="H1427" s="41"/>
      <c r="I1427" s="42"/>
      <c r="J1427" s="43"/>
      <c r="K1427" s="72">
        <v>6.0</v>
      </c>
      <c r="L1427" s="53" t="s">
        <v>62</v>
      </c>
      <c r="M1427" s="73">
        <v>200000.0</v>
      </c>
      <c r="N1427" s="74"/>
      <c r="O1427" s="73">
        <v>1200000.0</v>
      </c>
      <c r="P1427" s="46" t="str">
        <f t="shared" si="2"/>
        <v>Rp200,000-6 LSN-0.00%</v>
      </c>
      <c r="Q1427" s="75">
        <v>45412.0</v>
      </c>
      <c r="R1427" s="76"/>
      <c r="S1427" s="75">
        <v>45422.0</v>
      </c>
      <c r="T1427" s="49"/>
    </row>
    <row r="1428">
      <c r="A1428" s="90">
        <v>60.0</v>
      </c>
      <c r="B1428" s="91" t="s">
        <v>29</v>
      </c>
      <c r="C1428" s="49" t="s">
        <v>1879</v>
      </c>
      <c r="D1428" s="91" t="s">
        <v>249</v>
      </c>
      <c r="E1428" s="41" t="str">
        <f>IFERROR(__xludf.DUMMYFUNCTION("vlookup(D1428,IMPORTRANGE(""https://docs.google.com/spreadsheets/d/1swGwZOEqYlTEUCJLY-eeJM1911Kvaei5oySBIxdgtNo/edit?pli=1#gid=257618397"",""stock untanna!B:C""),2,false)"),"TAS TUTUP PITA KADO FG-101 KECIL")</f>
        <v>TAS TUTUP PITA KADO FG-101 KECIL</v>
      </c>
      <c r="F1428" s="49" t="s">
        <v>249</v>
      </c>
      <c r="G1428" s="71" t="s">
        <v>250</v>
      </c>
      <c r="H1428" s="41"/>
      <c r="I1428" s="42"/>
      <c r="J1428" s="43"/>
      <c r="K1428" s="72">
        <v>6.0</v>
      </c>
      <c r="L1428" s="53" t="s">
        <v>62</v>
      </c>
      <c r="M1428" s="73">
        <v>85000.0</v>
      </c>
      <c r="N1428" s="74"/>
      <c r="O1428" s="73">
        <v>510000.0</v>
      </c>
      <c r="P1428" s="46" t="str">
        <f t="shared" si="2"/>
        <v>Rp85,000-6 LSN-0.00%</v>
      </c>
      <c r="Q1428" s="75">
        <v>45412.0</v>
      </c>
      <c r="R1428" s="76"/>
      <c r="S1428" s="75">
        <v>45422.0</v>
      </c>
      <c r="T1428" s="49"/>
    </row>
    <row r="1429">
      <c r="A1429" s="90">
        <v>60.0</v>
      </c>
      <c r="B1429" s="91" t="s">
        <v>29</v>
      </c>
      <c r="C1429" s="49" t="s">
        <v>1879</v>
      </c>
      <c r="D1429" s="91" t="s">
        <v>247</v>
      </c>
      <c r="E1429" s="41" t="str">
        <f>IFERROR(__xludf.DUMMYFUNCTION("vlookup(D1429,IMPORTRANGE(""https://docs.google.com/spreadsheets/d/1swGwZOEqYlTEUCJLY-eeJM1911Kvaei5oySBIxdgtNo/edit?pli=1#gid=257618397"",""stock untanna!B:C""),2,false)"),"TAS TUTUP PITA KADO FG-201 TANGGUNG")</f>
        <v>TAS TUTUP PITA KADO FG-201 TANGGUNG</v>
      </c>
      <c r="F1429" s="49" t="s">
        <v>247</v>
      </c>
      <c r="G1429" s="78" t="s">
        <v>248</v>
      </c>
      <c r="H1429" s="41"/>
      <c r="I1429" s="42"/>
      <c r="J1429" s="43"/>
      <c r="K1429" s="72">
        <v>6.0</v>
      </c>
      <c r="L1429" s="53" t="s">
        <v>62</v>
      </c>
      <c r="M1429" s="73">
        <v>157500.0</v>
      </c>
      <c r="N1429" s="74"/>
      <c r="O1429" s="73">
        <v>945000.0</v>
      </c>
      <c r="P1429" s="46" t="str">
        <f t="shared" si="2"/>
        <v>Rp157,500-6 LSN-0.00%</v>
      </c>
      <c r="Q1429" s="75">
        <v>45412.0</v>
      </c>
      <c r="R1429" s="76"/>
      <c r="S1429" s="75">
        <v>45422.0</v>
      </c>
      <c r="T1429" s="49"/>
    </row>
    <row r="1430">
      <c r="A1430" s="90">
        <v>60.0</v>
      </c>
      <c r="B1430" s="91" t="s">
        <v>29</v>
      </c>
      <c r="C1430" s="49" t="s">
        <v>1879</v>
      </c>
      <c r="D1430" s="91" t="s">
        <v>247</v>
      </c>
      <c r="E1430" s="41" t="str">
        <f>IFERROR(__xludf.DUMMYFUNCTION("vlookup(D1430,IMPORTRANGE(""https://docs.google.com/spreadsheets/d/1swGwZOEqYlTEUCJLY-eeJM1911Kvaei5oySBIxdgtNo/edit?pli=1#gid=257618397"",""stock untanna!B:C""),2,false)"),"TAS TUTUP PITA KADO FG-201 TANGGUNG")</f>
        <v>TAS TUTUP PITA KADO FG-201 TANGGUNG</v>
      </c>
      <c r="F1430" s="49" t="s">
        <v>247</v>
      </c>
      <c r="G1430" s="78" t="s">
        <v>248</v>
      </c>
      <c r="H1430" s="41"/>
      <c r="I1430" s="42"/>
      <c r="J1430" s="43"/>
      <c r="K1430" s="72">
        <v>6.0</v>
      </c>
      <c r="L1430" s="53" t="s">
        <v>62</v>
      </c>
      <c r="M1430" s="73">
        <v>157500.0</v>
      </c>
      <c r="N1430" s="74"/>
      <c r="O1430" s="73">
        <v>945000.0</v>
      </c>
      <c r="P1430" s="46" t="str">
        <f t="shared" si="2"/>
        <v>Rp157,500-6 LSN-0.00%</v>
      </c>
      <c r="Q1430" s="75">
        <v>45412.0</v>
      </c>
      <c r="R1430" s="76"/>
      <c r="S1430" s="75">
        <v>45422.0</v>
      </c>
      <c r="T1430" s="49"/>
    </row>
    <row r="1431">
      <c r="A1431" s="90">
        <v>60.0</v>
      </c>
      <c r="B1431" s="91" t="s">
        <v>29</v>
      </c>
      <c r="C1431" s="49" t="s">
        <v>1879</v>
      </c>
      <c r="D1431" s="91" t="s">
        <v>1929</v>
      </c>
      <c r="E1431" s="41" t="str">
        <f>IFERROR(__xludf.DUMMYFUNCTION("vlookup(D1431,IMPORTRANGE(""https://docs.google.com/spreadsheets/d/1swGwZOEqYlTEUCJLY-eeJM1911Kvaei5oySBIxdgtNo/edit?pli=1#gid=257618397"",""stock untanna!B:C""),2,false)"),"TAS 1839-L  (TANGGUNG)")</f>
        <v>TAS 1839-L  (TANGGUNG)</v>
      </c>
      <c r="F1431" s="49" t="s">
        <v>1929</v>
      </c>
      <c r="G1431" s="71" t="s">
        <v>1930</v>
      </c>
      <c r="H1431" s="41"/>
      <c r="I1431" s="42"/>
      <c r="J1431" s="43"/>
      <c r="K1431" s="72">
        <v>72.0</v>
      </c>
      <c r="L1431" s="53" t="s">
        <v>69</v>
      </c>
      <c r="M1431" s="73">
        <v>13125.0</v>
      </c>
      <c r="N1431" s="74"/>
      <c r="O1431" s="73">
        <v>945000.0</v>
      </c>
      <c r="P1431" s="46" t="str">
        <f t="shared" si="2"/>
        <v>Rp13,125-72 PCS-0.00%</v>
      </c>
      <c r="Q1431" s="75">
        <v>45412.0</v>
      </c>
      <c r="R1431" s="76"/>
      <c r="S1431" s="75">
        <v>45422.0</v>
      </c>
      <c r="T1431" s="49"/>
    </row>
    <row r="1432">
      <c r="A1432" s="90">
        <v>60.0</v>
      </c>
      <c r="B1432" s="91" t="s">
        <v>29</v>
      </c>
      <c r="C1432" s="49" t="s">
        <v>1879</v>
      </c>
      <c r="D1432" s="91" t="s">
        <v>82</v>
      </c>
      <c r="E1432" s="41" t="str">
        <f>IFERROR(__xludf.DUMMYFUNCTION("vlookup(D1432,IMPORTRANGE(""https://docs.google.com/spreadsheets/d/1swGwZOEqYlTEUCJLY-eeJM1911Kvaei5oySBIxdgtNo/edit?pli=1#gid=257618397"",""stock untanna!B:C""),2,false)"),"STABILLO BRUSH MARKER PEN WB TF-1050 12W")</f>
        <v>STABILLO BRUSH MARKER PEN WB TF-1050 12W</v>
      </c>
      <c r="F1432" s="49" t="s">
        <v>82</v>
      </c>
      <c r="G1432" s="78" t="s">
        <v>83</v>
      </c>
      <c r="H1432" s="41"/>
      <c r="I1432" s="42"/>
      <c r="J1432" s="43"/>
      <c r="K1432" s="72">
        <v>24.0</v>
      </c>
      <c r="L1432" s="53" t="s">
        <v>84</v>
      </c>
      <c r="M1432" s="73">
        <v>25000.0</v>
      </c>
      <c r="N1432" s="74"/>
      <c r="O1432" s="73">
        <v>600000.0</v>
      </c>
      <c r="P1432" s="46" t="str">
        <f t="shared" si="2"/>
        <v>Rp25,000-24 SET-0.00%</v>
      </c>
      <c r="Q1432" s="75">
        <v>45412.0</v>
      </c>
      <c r="R1432" s="76"/>
      <c r="S1432" s="75">
        <v>45422.0</v>
      </c>
      <c r="T1432" s="49"/>
    </row>
    <row r="1433">
      <c r="A1433" s="90">
        <v>61.0</v>
      </c>
      <c r="B1433" s="91" t="s">
        <v>29</v>
      </c>
      <c r="C1433" s="49" t="s">
        <v>1879</v>
      </c>
      <c r="D1433" s="91" t="s">
        <v>757</v>
      </c>
      <c r="E1433" s="41" t="str">
        <f>IFERROR(__xludf.DUMMYFUNCTION("vlookup(D1433,IMPORTRANGE(""https://docs.google.com/spreadsheets/d/1swGwZOEqYlTEUCJLY-eeJM1911Kvaei5oySBIxdgtNo/edit?pli=1#gid=257618397"",""stock untanna!B:C""),2,false)"),"TIPEX MICROTOP MT 737")</f>
        <v>TIPEX MICROTOP MT 737</v>
      </c>
      <c r="F1433" s="49" t="s">
        <v>757</v>
      </c>
      <c r="G1433" s="71" t="s">
        <v>758</v>
      </c>
      <c r="H1433" s="41"/>
      <c r="I1433" s="42"/>
      <c r="J1433" s="43"/>
      <c r="K1433" s="72">
        <v>4.0</v>
      </c>
      <c r="L1433" s="53" t="s">
        <v>62</v>
      </c>
      <c r="M1433" s="73">
        <v>60000.0</v>
      </c>
      <c r="N1433" s="74"/>
      <c r="O1433" s="73">
        <v>240000.0</v>
      </c>
      <c r="P1433" s="46" t="str">
        <f t="shared" si="2"/>
        <v>Rp60,000-4 LSN-0.00%</v>
      </c>
      <c r="Q1433" s="75">
        <v>45412.0</v>
      </c>
      <c r="R1433" s="76"/>
      <c r="S1433" s="75">
        <v>45422.0</v>
      </c>
      <c r="T1433" s="49"/>
    </row>
    <row r="1434">
      <c r="A1434" s="90">
        <v>61.0</v>
      </c>
      <c r="B1434" s="91" t="s">
        <v>29</v>
      </c>
      <c r="C1434" s="49" t="s">
        <v>1879</v>
      </c>
      <c r="D1434" s="91" t="s">
        <v>1605</v>
      </c>
      <c r="E1434" s="41" t="str">
        <f>IFERROR(__xludf.DUMMYFUNCTION("vlookup(D1434,IMPORTRANGE(""https://docs.google.com/spreadsheets/d/1swGwZOEqYlTEUCJLY-eeJM1911Kvaei5oySBIxdgtNo/edit?pli=1#gid=257618397"",""stock untanna!B:C""),2,false)"),"TIPEX MICROTOP MT-767")</f>
        <v>TIPEX MICROTOP MT-767</v>
      </c>
      <c r="F1434" s="49" t="s">
        <v>1605</v>
      </c>
      <c r="G1434" s="71" t="s">
        <v>1606</v>
      </c>
      <c r="H1434" s="41"/>
      <c r="I1434" s="42"/>
      <c r="J1434" s="43"/>
      <c r="K1434" s="72">
        <v>4.0</v>
      </c>
      <c r="L1434" s="53" t="s">
        <v>62</v>
      </c>
      <c r="M1434" s="73">
        <v>105000.0</v>
      </c>
      <c r="N1434" s="74"/>
      <c r="O1434" s="73">
        <v>420000.0</v>
      </c>
      <c r="P1434" s="46" t="str">
        <f t="shared" si="2"/>
        <v>Rp105,000-4 LSN-0.00%</v>
      </c>
      <c r="Q1434" s="75">
        <v>45412.0</v>
      </c>
      <c r="R1434" s="76"/>
      <c r="S1434" s="75">
        <v>45422.0</v>
      </c>
      <c r="T1434" s="49" t="s">
        <v>100</v>
      </c>
    </row>
    <row r="1435">
      <c r="A1435" s="90">
        <v>61.0</v>
      </c>
      <c r="B1435" s="91" t="s">
        <v>29</v>
      </c>
      <c r="C1435" s="49" t="s">
        <v>1879</v>
      </c>
      <c r="D1435" s="91" t="s">
        <v>1931</v>
      </c>
      <c r="E1435" s="41" t="str">
        <f>IFERROR(__xludf.DUMMYFUNCTION("vlookup(D1435,IMPORTRANGE(""https://docs.google.com/spreadsheets/d/1swGwZOEqYlTEUCJLY-eeJM1911Kvaei5oySBIxdgtNo/edit?pli=1#gid=257618397"",""stock untanna!B:C""),2,false)"),"TIPEX KERTAS NO.9458")</f>
        <v>TIPEX KERTAS NO.9458</v>
      </c>
      <c r="F1435" s="49" t="s">
        <v>1931</v>
      </c>
      <c r="G1435" s="71" t="s">
        <v>1932</v>
      </c>
      <c r="H1435" s="41"/>
      <c r="I1435" s="42"/>
      <c r="J1435" s="43"/>
      <c r="K1435" s="72">
        <v>4.0</v>
      </c>
      <c r="L1435" s="53" t="s">
        <v>62</v>
      </c>
      <c r="M1435" s="73">
        <v>60000.0</v>
      </c>
      <c r="N1435" s="74"/>
      <c r="O1435" s="73">
        <v>240000.0</v>
      </c>
      <c r="P1435" s="46" t="str">
        <f t="shared" si="2"/>
        <v>Rp60,000-4 LSN-0.00%</v>
      </c>
      <c r="Q1435" s="75">
        <v>45412.0</v>
      </c>
      <c r="R1435" s="76"/>
      <c r="S1435" s="75">
        <v>45422.0</v>
      </c>
      <c r="T1435" s="49"/>
    </row>
    <row r="1436">
      <c r="A1436" s="90">
        <v>61.0</v>
      </c>
      <c r="B1436" s="91" t="s">
        <v>29</v>
      </c>
      <c r="C1436" s="49" t="s">
        <v>1879</v>
      </c>
      <c r="D1436" s="91" t="s">
        <v>1933</v>
      </c>
      <c r="E1436" s="41" t="str">
        <f>IFERROR(__xludf.DUMMYFUNCTION("vlookup(D1436,IMPORTRANGE(""https://docs.google.com/spreadsheets/d/1swGwZOEqYlTEUCJLY-eeJM1911Kvaei5oySBIxdgtNo/edit?pli=1#gid=257618397"",""stock untanna!B:C""),2,false)"),"TIPEX KERTAS NO.9446")</f>
        <v>TIPEX KERTAS NO.9446</v>
      </c>
      <c r="F1436" s="49" t="s">
        <v>1933</v>
      </c>
      <c r="G1436" s="71" t="s">
        <v>1934</v>
      </c>
      <c r="H1436" s="41"/>
      <c r="I1436" s="42"/>
      <c r="J1436" s="43"/>
      <c r="K1436" s="72">
        <v>4.0</v>
      </c>
      <c r="L1436" s="53" t="s">
        <v>62</v>
      </c>
      <c r="M1436" s="73">
        <v>60000.0</v>
      </c>
      <c r="N1436" s="74"/>
      <c r="O1436" s="73">
        <v>240000.0</v>
      </c>
      <c r="P1436" s="46" t="str">
        <f t="shared" si="2"/>
        <v>Rp60,000-4 LSN-0.00%</v>
      </c>
      <c r="Q1436" s="75">
        <v>45412.0</v>
      </c>
      <c r="R1436" s="76"/>
      <c r="S1436" s="75">
        <v>45422.0</v>
      </c>
      <c r="T1436" s="49"/>
    </row>
    <row r="1437">
      <c r="A1437" s="90">
        <v>61.0</v>
      </c>
      <c r="B1437" s="91" t="s">
        <v>29</v>
      </c>
      <c r="C1437" s="49" t="s">
        <v>1879</v>
      </c>
      <c r="D1437" s="91" t="s">
        <v>1935</v>
      </c>
      <c r="E1437" s="41" t="str">
        <f>IFERROR(__xludf.DUMMYFUNCTION("vlookup(D1437,IMPORTRANGE(""https://docs.google.com/spreadsheets/d/1swGwZOEqYlTEUCJLY-eeJM1911Kvaei5oySBIxdgtNo/edit?pli=1#gid=257618397"",""stock untanna!B:C""),2,false)"),"TIPEX KERTAS NO.8522")</f>
        <v>TIPEX KERTAS NO.8522</v>
      </c>
      <c r="F1437" s="49" t="s">
        <v>1935</v>
      </c>
      <c r="G1437" s="71" t="s">
        <v>1936</v>
      </c>
      <c r="H1437" s="41"/>
      <c r="I1437" s="42"/>
      <c r="J1437" s="43"/>
      <c r="K1437" s="72">
        <v>4.0</v>
      </c>
      <c r="L1437" s="53" t="s">
        <v>62</v>
      </c>
      <c r="M1437" s="73">
        <v>140000.0</v>
      </c>
      <c r="N1437" s="74"/>
      <c r="O1437" s="73">
        <v>560000.0</v>
      </c>
      <c r="P1437" s="46" t="str">
        <f t="shared" si="2"/>
        <v>Rp140,000-4 LSN-0.00%</v>
      </c>
      <c r="Q1437" s="75">
        <v>45412.0</v>
      </c>
      <c r="R1437" s="76"/>
      <c r="S1437" s="75">
        <v>45422.0</v>
      </c>
      <c r="T1437" s="49"/>
    </row>
    <row r="1438">
      <c r="A1438" s="90">
        <v>61.0</v>
      </c>
      <c r="B1438" s="91" t="s">
        <v>29</v>
      </c>
      <c r="C1438" s="49" t="s">
        <v>1879</v>
      </c>
      <c r="D1438" s="91" t="s">
        <v>1021</v>
      </c>
      <c r="E1438" s="41" t="str">
        <f>IFERROR(__xludf.DUMMYFUNCTION("vlookup(D1438,IMPORTRANGE(""https://docs.google.com/spreadsheets/d/1swGwZOEqYlTEUCJLY-eeJM1911Kvaei5oySBIxdgtNo/edit?pli=1#gid=257618397"",""stock untanna!B:C""),2,false)"),"TIPEX KERTAS NO.8528")</f>
        <v>TIPEX KERTAS NO.8528</v>
      </c>
      <c r="F1438" s="49" t="s">
        <v>1021</v>
      </c>
      <c r="G1438" s="71" t="s">
        <v>1022</v>
      </c>
      <c r="H1438" s="41"/>
      <c r="I1438" s="42"/>
      <c r="J1438" s="43"/>
      <c r="K1438" s="72">
        <v>4.0</v>
      </c>
      <c r="L1438" s="53" t="s">
        <v>62</v>
      </c>
      <c r="M1438" s="73">
        <v>140000.0</v>
      </c>
      <c r="N1438" s="74"/>
      <c r="O1438" s="73">
        <v>560000.0</v>
      </c>
      <c r="P1438" s="46" t="str">
        <f t="shared" si="2"/>
        <v>Rp140,000-4 LSN-0.00%</v>
      </c>
      <c r="Q1438" s="75">
        <v>45412.0</v>
      </c>
      <c r="R1438" s="76"/>
      <c r="S1438" s="75">
        <v>45422.0</v>
      </c>
      <c r="T1438" s="49"/>
    </row>
    <row r="1439">
      <c r="A1439" s="90">
        <v>61.0</v>
      </c>
      <c r="B1439" s="91" t="s">
        <v>29</v>
      </c>
      <c r="C1439" s="49" t="s">
        <v>1879</v>
      </c>
      <c r="D1439" s="77" t="s">
        <v>1937</v>
      </c>
      <c r="E1439" s="41" t="s">
        <v>1609</v>
      </c>
      <c r="F1439" s="49"/>
      <c r="G1439" s="71" t="s">
        <v>1609</v>
      </c>
      <c r="H1439" s="41"/>
      <c r="I1439" s="42"/>
      <c r="J1439" s="43" t="str">
        <f t="shared" ref="J1439:J1440" si="5">IF(D1439="","TIDAK ADA","ADA")</f>
        <v>ADA</v>
      </c>
      <c r="K1439" s="72">
        <v>4.0</v>
      </c>
      <c r="L1439" s="53" t="s">
        <v>62</v>
      </c>
      <c r="M1439" s="73">
        <v>100000.0</v>
      </c>
      <c r="N1439" s="74"/>
      <c r="O1439" s="73">
        <v>400000.0</v>
      </c>
      <c r="P1439" s="46" t="str">
        <f t="shared" si="2"/>
        <v>Rp100,000-4 LSN-0.00%</v>
      </c>
      <c r="Q1439" s="75">
        <v>45412.0</v>
      </c>
      <c r="R1439" s="76"/>
      <c r="S1439" s="75">
        <v>45422.0</v>
      </c>
      <c r="T1439" s="80"/>
    </row>
    <row r="1440">
      <c r="A1440" s="90">
        <v>61.0</v>
      </c>
      <c r="B1440" s="91" t="s">
        <v>29</v>
      </c>
      <c r="C1440" s="49" t="s">
        <v>1879</v>
      </c>
      <c r="D1440" s="77" t="s">
        <v>1938</v>
      </c>
      <c r="E1440" s="41" t="s">
        <v>1610</v>
      </c>
      <c r="F1440" s="49"/>
      <c r="G1440" s="71" t="s">
        <v>1610</v>
      </c>
      <c r="H1440" s="41"/>
      <c r="I1440" s="42"/>
      <c r="J1440" s="43" t="str">
        <f t="shared" si="5"/>
        <v>ADA</v>
      </c>
      <c r="K1440" s="72">
        <v>4.0</v>
      </c>
      <c r="L1440" s="53" t="s">
        <v>62</v>
      </c>
      <c r="M1440" s="73">
        <v>100000.0</v>
      </c>
      <c r="N1440" s="74"/>
      <c r="O1440" s="73">
        <v>400000.0</v>
      </c>
      <c r="P1440" s="46" t="str">
        <f t="shared" si="2"/>
        <v>Rp100,000-4 LSN-0.00%</v>
      </c>
      <c r="Q1440" s="75">
        <v>45412.0</v>
      </c>
      <c r="R1440" s="76"/>
      <c r="S1440" s="75">
        <v>45422.0</v>
      </c>
      <c r="T1440" s="80"/>
    </row>
    <row r="1441">
      <c r="A1441" s="90">
        <v>61.0</v>
      </c>
      <c r="B1441" s="91" t="s">
        <v>29</v>
      </c>
      <c r="C1441" s="49" t="s">
        <v>1879</v>
      </c>
      <c r="D1441" s="91" t="s">
        <v>461</v>
      </c>
      <c r="E1441" s="41" t="str">
        <f>IFERROR(__xludf.DUMMYFUNCTION("vlookup(D1441,IMPORTRANGE(""https://docs.google.com/spreadsheets/d/1swGwZOEqYlTEUCJLY-eeJM1911Kvaei5oySBIxdgtNo/edit?pli=1#gid=257618397"",""stock untanna!B:C""),2,false)"),"TIPEX KERTAS NO.8539")</f>
        <v>TIPEX KERTAS NO.8539</v>
      </c>
      <c r="F1441" s="49" t="s">
        <v>461</v>
      </c>
      <c r="G1441" s="71" t="s">
        <v>462</v>
      </c>
      <c r="H1441" s="41"/>
      <c r="I1441" s="42"/>
      <c r="J1441" s="43"/>
      <c r="K1441" s="72">
        <v>4.0</v>
      </c>
      <c r="L1441" s="53" t="s">
        <v>62</v>
      </c>
      <c r="M1441" s="73">
        <v>140000.0</v>
      </c>
      <c r="N1441" s="74"/>
      <c r="O1441" s="73">
        <v>560000.0</v>
      </c>
      <c r="P1441" s="46" t="str">
        <f t="shared" si="2"/>
        <v>Rp140,000-4 LSN-0.00%</v>
      </c>
      <c r="Q1441" s="75">
        <v>45412.0</v>
      </c>
      <c r="R1441" s="76"/>
      <c r="S1441" s="75">
        <v>45422.0</v>
      </c>
      <c r="T1441" s="49"/>
    </row>
    <row r="1442">
      <c r="A1442" s="90">
        <v>61.0</v>
      </c>
      <c r="B1442" s="91" t="s">
        <v>29</v>
      </c>
      <c r="C1442" s="49" t="s">
        <v>1879</v>
      </c>
      <c r="D1442" s="91" t="s">
        <v>1031</v>
      </c>
      <c r="E1442" s="41" t="str">
        <f>IFERROR(__xludf.DUMMYFUNCTION("vlookup(D1442,IMPORTRANGE(""https://docs.google.com/spreadsheets/d/1swGwZOEqYlTEUCJLY-eeJM1911Kvaei5oySBIxdgtNo/edit?pli=1#gid=257618397"",""stock untanna!B:C""),2,false)"),"TIPEX KERTAS NO.8017")</f>
        <v>TIPEX KERTAS NO.8017</v>
      </c>
      <c r="F1442" s="49" t="s">
        <v>1031</v>
      </c>
      <c r="G1442" s="71" t="s">
        <v>1032</v>
      </c>
      <c r="H1442" s="41"/>
      <c r="I1442" s="42"/>
      <c r="J1442" s="43"/>
      <c r="K1442" s="72">
        <v>4.0</v>
      </c>
      <c r="L1442" s="53" t="s">
        <v>62</v>
      </c>
      <c r="M1442" s="73">
        <v>140000.0</v>
      </c>
      <c r="N1442" s="74"/>
      <c r="O1442" s="73">
        <v>560000.0</v>
      </c>
      <c r="P1442" s="46" t="str">
        <f t="shared" si="2"/>
        <v>Rp140,000-4 LSN-0.00%</v>
      </c>
      <c r="Q1442" s="75">
        <v>45412.0</v>
      </c>
      <c r="R1442" s="76"/>
      <c r="S1442" s="75">
        <v>45422.0</v>
      </c>
      <c r="T1442" s="49"/>
    </row>
    <row r="1443">
      <c r="A1443" s="90">
        <v>61.0</v>
      </c>
      <c r="B1443" s="91" t="s">
        <v>29</v>
      </c>
      <c r="C1443" s="49" t="s">
        <v>1879</v>
      </c>
      <c r="D1443" s="77" t="s">
        <v>1939</v>
      </c>
      <c r="E1443" s="41" t="str">
        <f>IFERROR(__xludf.DUMMYFUNCTION("vlookup(D1443,IMPORTRANGE(""https://docs.google.com/spreadsheets/d/1swGwZOEqYlTEUCJLY-eeJM1911Kvaei5oySBIxdgtNo/edit?pli=1#gid=257618397"",""stock untanna!B:C""),2,false)"),"PW KY CF 1224")</f>
        <v>PW KY CF 1224</v>
      </c>
      <c r="F1443" s="49" t="s">
        <v>1940</v>
      </c>
      <c r="G1443" s="71" t="s">
        <v>1941</v>
      </c>
      <c r="H1443" s="41"/>
      <c r="I1443" s="42"/>
      <c r="J1443" s="43"/>
      <c r="K1443" s="72">
        <v>4.0</v>
      </c>
      <c r="L1443" s="53" t="s">
        <v>62</v>
      </c>
      <c r="M1443" s="73">
        <v>240000.0</v>
      </c>
      <c r="N1443" s="74"/>
      <c r="O1443" s="73">
        <v>960000.0</v>
      </c>
      <c r="P1443" s="46" t="str">
        <f t="shared" si="2"/>
        <v>Rp240,000-4 LSN-0.00%</v>
      </c>
      <c r="Q1443" s="75">
        <v>45412.0</v>
      </c>
      <c r="R1443" s="76"/>
      <c r="S1443" s="75">
        <v>45422.0</v>
      </c>
      <c r="T1443" s="49"/>
    </row>
    <row r="1444">
      <c r="A1444" s="90">
        <v>61.0</v>
      </c>
      <c r="B1444" s="91" t="s">
        <v>29</v>
      </c>
      <c r="C1444" s="49" t="s">
        <v>1879</v>
      </c>
      <c r="D1444" s="77" t="s">
        <v>1942</v>
      </c>
      <c r="E1444" s="41" t="str">
        <f>IFERROR(__xludf.DUMMYFUNCTION("vlookup(D1444,IMPORTRANGE(""https://docs.google.com/spreadsheets/d/1swGwZOEqYlTEUCJLY-eeJM1911Kvaei5oySBIxdgtNo/edit?pli=1#gid=257618397"",""stock untanna!B:C""),2,false)"),"PW KIKO 12/12W")</f>
        <v>PW KIKO 12/12W</v>
      </c>
      <c r="F1444" s="49" t="s">
        <v>1943</v>
      </c>
      <c r="G1444" s="71" t="s">
        <v>1944</v>
      </c>
      <c r="H1444" s="41"/>
      <c r="I1444" s="42"/>
      <c r="J1444" s="43"/>
      <c r="K1444" s="72">
        <v>4.0</v>
      </c>
      <c r="L1444" s="53" t="s">
        <v>62</v>
      </c>
      <c r="M1444" s="73">
        <v>202000.0</v>
      </c>
      <c r="N1444" s="74"/>
      <c r="O1444" s="73">
        <v>808000.0</v>
      </c>
      <c r="P1444" s="46" t="str">
        <f t="shared" si="2"/>
        <v>Rp202,000-4 LSN-0.00%</v>
      </c>
      <c r="Q1444" s="75">
        <v>45412.0</v>
      </c>
      <c r="R1444" s="76"/>
      <c r="S1444" s="75">
        <v>45422.0</v>
      </c>
      <c r="T1444" s="49"/>
    </row>
    <row r="1445">
      <c r="A1445" s="90">
        <v>61.0</v>
      </c>
      <c r="B1445" s="91" t="s">
        <v>29</v>
      </c>
      <c r="C1445" s="49" t="s">
        <v>1879</v>
      </c>
      <c r="D1445" s="91" t="s">
        <v>993</v>
      </c>
      <c r="E1445" s="41" t="str">
        <f>IFERROR(__xludf.DUMMYFUNCTION("vlookup(D1445,IMPORTRANGE(""https://docs.google.com/spreadsheets/d/1swGwZOEqYlTEUCJLY-eeJM1911Kvaei5oySBIxdgtNo/edit?pli=1#gid=257618397"",""stock untanna!B:C""),2,false)"),"PW 8880-12")</f>
        <v>PW 8880-12</v>
      </c>
      <c r="F1445" s="49" t="s">
        <v>993</v>
      </c>
      <c r="G1445" s="71" t="s">
        <v>994</v>
      </c>
      <c r="H1445" s="41"/>
      <c r="I1445" s="42"/>
      <c r="J1445" s="43"/>
      <c r="K1445" s="72">
        <v>4.0</v>
      </c>
      <c r="L1445" s="53" t="s">
        <v>62</v>
      </c>
      <c r="M1445" s="73">
        <v>210000.0</v>
      </c>
      <c r="N1445" s="74"/>
      <c r="O1445" s="73">
        <v>840000.0</v>
      </c>
      <c r="P1445" s="46" t="str">
        <f t="shared" si="2"/>
        <v>Rp210,000-4 LSN-0.00%</v>
      </c>
      <c r="Q1445" s="75">
        <v>45412.0</v>
      </c>
      <c r="R1445" s="76"/>
      <c r="S1445" s="75">
        <v>45422.0</v>
      </c>
      <c r="T1445" s="49"/>
    </row>
    <row r="1446">
      <c r="A1446" s="90">
        <v>61.0</v>
      </c>
      <c r="B1446" s="91" t="s">
        <v>29</v>
      </c>
      <c r="C1446" s="49" t="s">
        <v>1879</v>
      </c>
      <c r="D1446" s="91" t="s">
        <v>1764</v>
      </c>
      <c r="E1446" s="41" t="str">
        <f>IFERROR(__xludf.DUMMYFUNCTION("vlookup(D1446,IMPORTRANGE(""https://docs.google.com/spreadsheets/d/1swGwZOEqYlTEUCJLY-eeJM1911Kvaei5oySBIxdgtNo/edit?pli=1#gid=257618397"",""stock untanna!B:C""),2,false)"),"PW VANCO 12W PJG ZOO")</f>
        <v>PW VANCO 12W PJG ZOO</v>
      </c>
      <c r="F1446" s="49" t="s">
        <v>1764</v>
      </c>
      <c r="G1446" s="71" t="s">
        <v>1765</v>
      </c>
      <c r="H1446" s="41"/>
      <c r="I1446" s="42"/>
      <c r="J1446" s="43"/>
      <c r="K1446" s="72">
        <v>48.0</v>
      </c>
      <c r="L1446" s="53" t="s">
        <v>69</v>
      </c>
      <c r="M1446" s="73">
        <v>11375.0</v>
      </c>
      <c r="N1446" s="74"/>
      <c r="O1446" s="73">
        <v>546000.0</v>
      </c>
      <c r="P1446" s="46" t="str">
        <f t="shared" si="2"/>
        <v>Rp11,375-48 PCS-0.00%</v>
      </c>
      <c r="Q1446" s="75">
        <v>45412.0</v>
      </c>
      <c r="R1446" s="76"/>
      <c r="S1446" s="75">
        <v>45422.0</v>
      </c>
      <c r="T1446" s="49"/>
    </row>
    <row r="1447">
      <c r="A1447" s="90">
        <v>61.0</v>
      </c>
      <c r="B1447" s="91" t="s">
        <v>29</v>
      </c>
      <c r="C1447" s="49" t="s">
        <v>1879</v>
      </c>
      <c r="D1447" s="91"/>
      <c r="E1447" s="41" t="s">
        <v>1945</v>
      </c>
      <c r="F1447" s="49"/>
      <c r="G1447" s="71" t="s">
        <v>1945</v>
      </c>
      <c r="H1447" s="41"/>
      <c r="I1447" s="42"/>
      <c r="J1447" s="43"/>
      <c r="K1447" s="72">
        <v>5.0</v>
      </c>
      <c r="L1447" s="53" t="s">
        <v>1946</v>
      </c>
      <c r="M1447" s="73">
        <v>73500.0</v>
      </c>
      <c r="N1447" s="74"/>
      <c r="O1447" s="73">
        <v>367500.0</v>
      </c>
      <c r="P1447" s="46" t="str">
        <f t="shared" si="2"/>
        <v>Rp73,500-5 BOX (100)-0.00%</v>
      </c>
      <c r="Q1447" s="75">
        <v>45412.0</v>
      </c>
      <c r="R1447" s="76"/>
      <c r="S1447" s="75">
        <v>45422.0</v>
      </c>
      <c r="T1447" s="49"/>
    </row>
    <row r="1448">
      <c r="A1448" s="90">
        <v>61.0</v>
      </c>
      <c r="B1448" s="91" t="s">
        <v>29</v>
      </c>
      <c r="C1448" s="49" t="s">
        <v>1879</v>
      </c>
      <c r="D1448" s="91"/>
      <c r="E1448" s="41" t="s">
        <v>1947</v>
      </c>
      <c r="F1448" s="49"/>
      <c r="G1448" s="71" t="s">
        <v>1947</v>
      </c>
      <c r="H1448" s="41"/>
      <c r="I1448" s="42"/>
      <c r="J1448" s="43"/>
      <c r="K1448" s="72">
        <v>5.0</v>
      </c>
      <c r="L1448" s="53" t="s">
        <v>1946</v>
      </c>
      <c r="M1448" s="73">
        <v>73500.0</v>
      </c>
      <c r="N1448" s="74"/>
      <c r="O1448" s="73">
        <v>367500.0</v>
      </c>
      <c r="P1448" s="46" t="str">
        <f t="shared" si="2"/>
        <v>Rp73,500-5 BOX (100)-0.00%</v>
      </c>
      <c r="Q1448" s="75">
        <v>45412.0</v>
      </c>
      <c r="R1448" s="76"/>
      <c r="S1448" s="75">
        <v>45422.0</v>
      </c>
      <c r="T1448" s="49"/>
    </row>
    <row r="1449">
      <c r="A1449" s="90">
        <v>62.0</v>
      </c>
      <c r="B1449" s="91" t="s">
        <v>29</v>
      </c>
      <c r="C1449" s="49" t="s">
        <v>1879</v>
      </c>
      <c r="D1449" s="91" t="s">
        <v>195</v>
      </c>
      <c r="E1449" s="41" t="str">
        <f>IFERROR(__xludf.DUMMYFUNCTION("vlookup(D1449,IMPORTRANGE(""https://docs.google.com/spreadsheets/d/1swGwZOEqYlTEUCJLY-eeJM1911Kvaei5oySBIxdgtNo/edit?pli=1#gid=257618397"",""stock untanna!B:C""),2,false)"),"BP TF-3115 HIGHTECH KNOCK")</f>
        <v>BP TF-3115 HIGHTECH KNOCK</v>
      </c>
      <c r="F1449" s="49" t="s">
        <v>195</v>
      </c>
      <c r="G1449" s="71" t="s">
        <v>196</v>
      </c>
      <c r="H1449" s="41"/>
      <c r="I1449" s="42"/>
      <c r="J1449" s="43"/>
      <c r="K1449" s="72">
        <v>24.0</v>
      </c>
      <c r="L1449" s="53" t="s">
        <v>62</v>
      </c>
      <c r="M1449" s="73">
        <v>52500.0</v>
      </c>
      <c r="N1449" s="74"/>
      <c r="O1449" s="73">
        <v>1260000.0</v>
      </c>
      <c r="P1449" s="46" t="str">
        <f t="shared" si="2"/>
        <v>Rp52,500-24 LSN-0.00%</v>
      </c>
      <c r="Q1449" s="75">
        <v>45412.0</v>
      </c>
      <c r="R1449" s="76"/>
      <c r="S1449" s="75">
        <v>45422.0</v>
      </c>
      <c r="T1449" s="49"/>
    </row>
    <row r="1450">
      <c r="A1450" s="90">
        <v>62.0</v>
      </c>
      <c r="B1450" s="91" t="s">
        <v>29</v>
      </c>
      <c r="C1450" s="49" t="s">
        <v>1879</v>
      </c>
      <c r="D1450" s="91" t="s">
        <v>197</v>
      </c>
      <c r="E1450" s="41" t="str">
        <f>IFERROR(__xludf.DUMMYFUNCTION("vlookup(D1450,IMPORTRANGE(""https://docs.google.com/spreadsheets/d/1swGwZOEqYlTEUCJLY-eeJM1911Kvaei5oySBIxdgtNo/edit?pli=1#gid=257618397"",""stock untanna!B:C""),2,false)"),"BP TF G-3114 0.3MM HIGHTECH KNOCK")</f>
        <v>BP TF G-3114 0.3MM HIGHTECH KNOCK</v>
      </c>
      <c r="F1450" s="49" t="s">
        <v>197</v>
      </c>
      <c r="G1450" s="71" t="s">
        <v>198</v>
      </c>
      <c r="H1450" s="41"/>
      <c r="I1450" s="42"/>
      <c r="J1450" s="43"/>
      <c r="K1450" s="72">
        <v>24.0</v>
      </c>
      <c r="L1450" s="53" t="s">
        <v>62</v>
      </c>
      <c r="M1450" s="73">
        <v>52500.0</v>
      </c>
      <c r="N1450" s="74"/>
      <c r="O1450" s="73">
        <v>1260000.0</v>
      </c>
      <c r="P1450" s="46" t="str">
        <f t="shared" si="2"/>
        <v>Rp52,500-24 LSN-0.00%</v>
      </c>
      <c r="Q1450" s="75">
        <v>45412.0</v>
      </c>
      <c r="R1450" s="76"/>
      <c r="S1450" s="75">
        <v>45422.0</v>
      </c>
      <c r="T1450" s="49"/>
    </row>
    <row r="1451">
      <c r="A1451" s="90">
        <v>62.0</v>
      </c>
      <c r="B1451" s="91" t="s">
        <v>29</v>
      </c>
      <c r="C1451" s="49" t="s">
        <v>1879</v>
      </c>
      <c r="D1451" s="91" t="s">
        <v>623</v>
      </c>
      <c r="E1451" s="41" t="str">
        <f>IFERROR(__xludf.DUMMYFUNCTION("vlookup(D1451,IMPORTRANGE(""https://docs.google.com/spreadsheets/d/1swGwZOEqYlTEUCJLY-eeJM1911Kvaei5oySBIxdgtNo/edit?pli=1#gid=257618397"",""stock untanna!B:C""),2,false)"),"BP GEL TF-1190 0.3MM HIGHTECH (H)")</f>
        <v>BP GEL TF-1190 0.3MM HIGHTECH (H)</v>
      </c>
      <c r="F1451" s="49" t="s">
        <v>623</v>
      </c>
      <c r="G1451" s="71" t="s">
        <v>624</v>
      </c>
      <c r="H1451" s="41"/>
      <c r="I1451" s="42"/>
      <c r="J1451" s="43"/>
      <c r="K1451" s="72">
        <v>24.0</v>
      </c>
      <c r="L1451" s="53" t="s">
        <v>62</v>
      </c>
      <c r="M1451" s="73">
        <v>45000.0</v>
      </c>
      <c r="N1451" s="74"/>
      <c r="O1451" s="73">
        <v>1080000.0</v>
      </c>
      <c r="P1451" s="46" t="str">
        <f t="shared" si="2"/>
        <v>Rp45,000-24 LSN-0.00%</v>
      </c>
      <c r="Q1451" s="75">
        <v>45412.0</v>
      </c>
      <c r="R1451" s="76"/>
      <c r="S1451" s="75">
        <v>45422.0</v>
      </c>
      <c r="T1451" s="49"/>
    </row>
    <row r="1452">
      <c r="A1452" s="90">
        <v>62.0</v>
      </c>
      <c r="B1452" s="91" t="s">
        <v>29</v>
      </c>
      <c r="C1452" s="49" t="s">
        <v>1879</v>
      </c>
      <c r="D1452" s="91" t="s">
        <v>1444</v>
      </c>
      <c r="E1452" s="41" t="str">
        <f>IFERROR(__xludf.DUMMYFUNCTION("vlookup(D1452,IMPORTRANGE(""https://docs.google.com/spreadsheets/d/1swGwZOEqYlTEUCJLY-eeJM1911Kvaei5oySBIxdgtNo/edit?pli=1#gid=257618397"",""stock untanna!B:C""),2,false)"),"BP GEL TF-1191 BODY WR 0.3MM HIGHTECH")</f>
        <v>BP GEL TF-1191 BODY WR 0.3MM HIGHTECH</v>
      </c>
      <c r="F1452" s="49" t="s">
        <v>1444</v>
      </c>
      <c r="G1452" s="78" t="s">
        <v>1445</v>
      </c>
      <c r="H1452" s="41"/>
      <c r="I1452" s="42"/>
      <c r="J1452" s="43"/>
      <c r="K1452" s="72">
        <v>24.0</v>
      </c>
      <c r="L1452" s="53" t="s">
        <v>62</v>
      </c>
      <c r="M1452" s="73">
        <v>45000.0</v>
      </c>
      <c r="N1452" s="74"/>
      <c r="O1452" s="73">
        <v>1080000.0</v>
      </c>
      <c r="P1452" s="46" t="str">
        <f t="shared" si="2"/>
        <v>Rp45,000-24 LSN-0.00%</v>
      </c>
      <c r="Q1452" s="75">
        <v>45412.0</v>
      </c>
      <c r="R1452" s="76"/>
      <c r="S1452" s="75">
        <v>45422.0</v>
      </c>
      <c r="T1452" s="49"/>
    </row>
    <row r="1453">
      <c r="A1453" s="90">
        <v>62.0</v>
      </c>
      <c r="B1453" s="91" t="s">
        <v>29</v>
      </c>
      <c r="C1453" s="49" t="s">
        <v>1879</v>
      </c>
      <c r="D1453" s="91" t="s">
        <v>207</v>
      </c>
      <c r="E1453" s="41" t="str">
        <f>IFERROR(__xludf.DUMMYFUNCTION("vlookup(D1453,IMPORTRANGE(""https://docs.google.com/spreadsheets/d/1swGwZOEqYlTEUCJLY-eeJM1911Kvaei5oySBIxdgtNo/edit?pli=1#gid=257618397"",""stock untanna!B:C""),2,false)"),"BP GEL KOALA GP-168")</f>
        <v>BP GEL KOALA GP-168</v>
      </c>
      <c r="F1453" s="49" t="s">
        <v>207</v>
      </c>
      <c r="G1453" s="71" t="s">
        <v>208</v>
      </c>
      <c r="H1453" s="41"/>
      <c r="I1453" s="42"/>
      <c r="J1453" s="43"/>
      <c r="K1453" s="72">
        <v>24.0</v>
      </c>
      <c r="L1453" s="53" t="s">
        <v>62</v>
      </c>
      <c r="M1453" s="73">
        <v>45000.0</v>
      </c>
      <c r="N1453" s="74"/>
      <c r="O1453" s="73">
        <v>1080000.0</v>
      </c>
      <c r="P1453" s="46" t="str">
        <f t="shared" si="2"/>
        <v>Rp45,000-24 LSN-0.00%</v>
      </c>
      <c r="Q1453" s="75">
        <v>45412.0</v>
      </c>
      <c r="R1453" s="76"/>
      <c r="S1453" s="75">
        <v>45422.0</v>
      </c>
      <c r="T1453" s="49"/>
    </row>
    <row r="1454">
      <c r="A1454" s="90">
        <v>62.0</v>
      </c>
      <c r="B1454" s="91" t="s">
        <v>29</v>
      </c>
      <c r="C1454" s="49" t="s">
        <v>1879</v>
      </c>
      <c r="D1454" s="91" t="s">
        <v>203</v>
      </c>
      <c r="E1454" s="41" t="str">
        <f>IFERROR(__xludf.DUMMYFUNCTION("vlookup(D1454,IMPORTRANGE(""https://docs.google.com/spreadsheets/d/1swGwZOEqYlTEUCJLY-eeJM1911Kvaei5oySBIxdgtNo/edit?pli=1#gid=257618397"",""stock untanna!B:C""),2,false)"),"BP HITECH JOSS GP-168 0.28MM")</f>
        <v>BP HITECH JOSS GP-168 0.28MM</v>
      </c>
      <c r="F1454" s="49" t="s">
        <v>203</v>
      </c>
      <c r="G1454" s="71" t="s">
        <v>204</v>
      </c>
      <c r="H1454" s="41"/>
      <c r="I1454" s="42"/>
      <c r="J1454" s="43"/>
      <c r="K1454" s="72">
        <v>24.0</v>
      </c>
      <c r="L1454" s="53" t="s">
        <v>62</v>
      </c>
      <c r="M1454" s="73">
        <v>45000.0</v>
      </c>
      <c r="N1454" s="74"/>
      <c r="O1454" s="73">
        <v>1080000.0</v>
      </c>
      <c r="P1454" s="46" t="str">
        <f t="shared" si="2"/>
        <v>Rp45,000-24 LSN-0.00%</v>
      </c>
      <c r="Q1454" s="75">
        <v>45412.0</v>
      </c>
      <c r="R1454" s="76"/>
      <c r="S1454" s="75">
        <v>45422.0</v>
      </c>
      <c r="T1454" s="49"/>
    </row>
    <row r="1455">
      <c r="A1455" s="90">
        <v>62.0</v>
      </c>
      <c r="B1455" s="91" t="s">
        <v>29</v>
      </c>
      <c r="C1455" s="49" t="s">
        <v>1879</v>
      </c>
      <c r="D1455" s="91" t="s">
        <v>205</v>
      </c>
      <c r="E1455" s="41" t="str">
        <f>IFERROR(__xludf.DUMMYFUNCTION("vlookup(D1455,IMPORTRANGE(""https://docs.google.com/spreadsheets/d/1swGwZOEqYlTEUCJLY-eeJM1911Kvaei5oySBIxdgtNo/edit?pli=1#gid=257618397"",""stock untanna!B:C""),2,false)"),"BP HITECH JOSS-188 B 0.28MM BIRU")</f>
        <v>BP HITECH JOSS-188 B 0.28MM BIRU</v>
      </c>
      <c r="F1455" s="49" t="s">
        <v>205</v>
      </c>
      <c r="G1455" s="71" t="s">
        <v>206</v>
      </c>
      <c r="H1455" s="41"/>
      <c r="I1455" s="42"/>
      <c r="J1455" s="43"/>
      <c r="K1455" s="72">
        <v>24.0</v>
      </c>
      <c r="L1455" s="53" t="s">
        <v>62</v>
      </c>
      <c r="M1455" s="73">
        <v>45000.0</v>
      </c>
      <c r="N1455" s="74"/>
      <c r="O1455" s="73">
        <v>1080000.0</v>
      </c>
      <c r="P1455" s="46" t="str">
        <f t="shared" si="2"/>
        <v>Rp45,000-24 LSN-0.00%</v>
      </c>
      <c r="Q1455" s="75">
        <v>45412.0</v>
      </c>
      <c r="R1455" s="76"/>
      <c r="S1455" s="75">
        <v>45422.0</v>
      </c>
      <c r="T1455" s="49"/>
    </row>
    <row r="1456">
      <c r="A1456" s="90">
        <v>62.0</v>
      </c>
      <c r="B1456" s="91" t="s">
        <v>29</v>
      </c>
      <c r="C1456" s="49" t="s">
        <v>1879</v>
      </c>
      <c r="D1456" s="91" t="s">
        <v>199</v>
      </c>
      <c r="E1456" s="41" t="str">
        <f>IFERROR(__xludf.DUMMYFUNCTION("vlookup(D1456,IMPORTRANGE(""https://docs.google.com/spreadsheets/d/1swGwZOEqYlTEUCJLY-eeJM1911Kvaei5oySBIxdgtNo/edit?pli=1#gid=257618397"",""stock untanna!B:C""),2,false)"),"BP TF 1022")</f>
        <v>BP TF 1022</v>
      </c>
      <c r="F1456" s="49" t="s">
        <v>199</v>
      </c>
      <c r="G1456" s="71" t="s">
        <v>200</v>
      </c>
      <c r="H1456" s="41"/>
      <c r="I1456" s="42"/>
      <c r="J1456" s="43"/>
      <c r="K1456" s="72">
        <v>24.0</v>
      </c>
      <c r="L1456" s="53" t="s">
        <v>62</v>
      </c>
      <c r="M1456" s="73">
        <v>27500.0</v>
      </c>
      <c r="N1456" s="74"/>
      <c r="O1456" s="73">
        <v>660000.0</v>
      </c>
      <c r="P1456" s="46" t="str">
        <f t="shared" si="2"/>
        <v>Rp27,500-24 LSN-0.00%</v>
      </c>
      <c r="Q1456" s="75">
        <v>45412.0</v>
      </c>
      <c r="R1456" s="76"/>
      <c r="S1456" s="75">
        <v>45422.0</v>
      </c>
      <c r="T1456" s="49"/>
    </row>
    <row r="1457">
      <c r="A1457" s="90">
        <v>62.0</v>
      </c>
      <c r="B1457" s="91" t="s">
        <v>29</v>
      </c>
      <c r="C1457" s="49" t="s">
        <v>1879</v>
      </c>
      <c r="D1457" s="91" t="s">
        <v>1846</v>
      </c>
      <c r="E1457" s="41" t="str">
        <f>IFERROR(__xludf.DUMMYFUNCTION("vlookup(D1457,IMPORTRANGE(""https://docs.google.com/spreadsheets/d/1swGwZOEqYlTEUCJLY-eeJM1911Kvaei5oySBIxdgtNo/edit?pli=1#gid=257618397"",""stock untanna!B:C""),2,false)"),"BP DEBOZZ 0.28 DB-GP 800 HI-Q")</f>
        <v>BP DEBOZZ 0.28 DB-GP 800 HI-Q</v>
      </c>
      <c r="F1457" s="49" t="s">
        <v>1846</v>
      </c>
      <c r="G1457" s="71" t="s">
        <v>1847</v>
      </c>
      <c r="H1457" s="41"/>
      <c r="I1457" s="42"/>
      <c r="J1457" s="43"/>
      <c r="K1457" s="72">
        <v>24.0</v>
      </c>
      <c r="L1457" s="53" t="s">
        <v>62</v>
      </c>
      <c r="M1457" s="73">
        <v>40000.0</v>
      </c>
      <c r="N1457" s="74"/>
      <c r="O1457" s="73">
        <v>960000.0</v>
      </c>
      <c r="P1457" s="46" t="str">
        <f t="shared" si="2"/>
        <v>Rp40,000-24 LSN-0.00%</v>
      </c>
      <c r="Q1457" s="75">
        <v>45412.0</v>
      </c>
      <c r="R1457" s="76"/>
      <c r="S1457" s="75">
        <v>45422.0</v>
      </c>
      <c r="T1457" s="49"/>
    </row>
    <row r="1458">
      <c r="A1458" s="90">
        <v>62.0</v>
      </c>
      <c r="B1458" s="91" t="s">
        <v>29</v>
      </c>
      <c r="C1458" s="49" t="s">
        <v>1879</v>
      </c>
      <c r="D1458" s="77" t="s">
        <v>1948</v>
      </c>
      <c r="E1458" s="41" t="str">
        <f>IFERROR(__xludf.DUMMYFUNCTION("IFNA(vlookup(D1458,IMPORTRANGE(""https://docs.google.com/spreadsheets/d/1swGwZOEqYlTEUCJLY-eeJM1911Kvaei5oySBIxdgtNo/edit?pli=1#gid=257618397"",""stock untanna!B:C""),2,false),V:V)"),"BP DEBOZZ 0.28 DB-GP 800 BIRU")</f>
        <v>BP DEBOZZ 0.28 DB-GP 800 BIRU</v>
      </c>
      <c r="F1458" s="49"/>
      <c r="G1458" s="71" t="s">
        <v>1949</v>
      </c>
      <c r="H1458" s="41"/>
      <c r="I1458" s="42"/>
      <c r="J1458" s="85" t="s">
        <v>1319</v>
      </c>
      <c r="K1458" s="72">
        <v>24.0</v>
      </c>
      <c r="L1458" s="53" t="s">
        <v>62</v>
      </c>
      <c r="M1458" s="73">
        <v>40000.0</v>
      </c>
      <c r="N1458" s="74"/>
      <c r="O1458" s="73">
        <v>960000.0</v>
      </c>
      <c r="P1458" s="46" t="str">
        <f t="shared" si="2"/>
        <v>Rp40,000-24 LSN-0.00%</v>
      </c>
      <c r="Q1458" s="75">
        <v>45412.0</v>
      </c>
      <c r="R1458" s="76"/>
      <c r="S1458" s="75">
        <v>45422.0</v>
      </c>
      <c r="T1458" s="80" t="s">
        <v>280</v>
      </c>
    </row>
    <row r="1459">
      <c r="A1459" s="90">
        <v>62.0</v>
      </c>
      <c r="B1459" s="91" t="s">
        <v>29</v>
      </c>
      <c r="C1459" s="49" t="s">
        <v>1879</v>
      </c>
      <c r="D1459" s="91" t="s">
        <v>383</v>
      </c>
      <c r="E1459" s="41" t="str">
        <f>IFERROR(__xludf.DUMMYFUNCTION("vlookup(D1459,IMPORTRANGE(""https://docs.google.com/spreadsheets/d/1swGwZOEqYlTEUCJLY-eeJM1911Kvaei5oySBIxdgtNo/edit?pli=1#gid=257618397"",""stock untanna!B:C""),2,false)"),"GARISAN BC-6018")</f>
        <v>GARISAN BC-6018</v>
      </c>
      <c r="F1459" s="49" t="s">
        <v>383</v>
      </c>
      <c r="G1459" s="71" t="s">
        <v>384</v>
      </c>
      <c r="H1459" s="41"/>
      <c r="I1459" s="42"/>
      <c r="J1459" s="43"/>
      <c r="K1459" s="72">
        <v>250.0</v>
      </c>
      <c r="L1459" s="53" t="s">
        <v>69</v>
      </c>
      <c r="M1459" s="73">
        <v>6000.0</v>
      </c>
      <c r="N1459" s="74"/>
      <c r="O1459" s="73">
        <v>1500000.0</v>
      </c>
      <c r="P1459" s="46" t="str">
        <f t="shared" si="2"/>
        <v>Rp6,000-250 PCS-0.00%</v>
      </c>
      <c r="Q1459" s="75">
        <v>45412.0</v>
      </c>
      <c r="R1459" s="76"/>
      <c r="S1459" s="75">
        <v>45422.0</v>
      </c>
      <c r="T1459" s="49"/>
    </row>
    <row r="1460">
      <c r="A1460" s="90">
        <v>62.0</v>
      </c>
      <c r="B1460" s="91" t="s">
        <v>29</v>
      </c>
      <c r="C1460" s="49" t="s">
        <v>1879</v>
      </c>
      <c r="D1460" s="77" t="s">
        <v>1950</v>
      </c>
      <c r="E1460" s="41" t="str">
        <f>IFERROR(__xludf.DUMMYFUNCTION("vlookup(D1460,IMPORTRANGE(""https://docs.google.com/spreadsheets/d/1swGwZOEqYlTEUCJLY-eeJM1911Kvaei5oySBIxdgtNo/edit?pli=1#gid=257618397"",""stock untanna!B:C""),2,false)"),"GARISAN 30CM MICROTOP 930")</f>
        <v>GARISAN 30CM MICROTOP 930</v>
      </c>
      <c r="F1460" s="49" t="s">
        <v>1951</v>
      </c>
      <c r="G1460" s="71" t="s">
        <v>1952</v>
      </c>
      <c r="H1460" s="41"/>
      <c r="I1460" s="42"/>
      <c r="J1460" s="43"/>
      <c r="K1460" s="72">
        <v>6.0</v>
      </c>
      <c r="L1460" s="53" t="s">
        <v>62</v>
      </c>
      <c r="M1460" s="73">
        <v>31500.0</v>
      </c>
      <c r="N1460" s="74"/>
      <c r="O1460" s="73">
        <v>189000.0</v>
      </c>
      <c r="P1460" s="46" t="str">
        <f t="shared" si="2"/>
        <v>Rp31,500-6 LSN-0.00%</v>
      </c>
      <c r="Q1460" s="75">
        <v>45412.0</v>
      </c>
      <c r="R1460" s="76"/>
      <c r="S1460" s="75">
        <v>45422.0</v>
      </c>
      <c r="T1460" s="49"/>
    </row>
    <row r="1461">
      <c r="A1461" s="90">
        <v>62.0</v>
      </c>
      <c r="B1461" s="91" t="s">
        <v>29</v>
      </c>
      <c r="C1461" s="49" t="s">
        <v>1879</v>
      </c>
      <c r="D1461" s="91" t="s">
        <v>125</v>
      </c>
      <c r="E1461" s="41" t="str">
        <f>IFERROR(__xludf.DUMMYFUNCTION("vlookup(D1461,IMPORTRANGE(""https://docs.google.com/spreadsheets/d/1swGwZOEqYlTEUCJLY-eeJM1911Kvaei5oySBIxdgtNo/edit?pli=1#gid=257618397"",""stock untanna!B:C""),2,false)"),"GARISAN BESI V-TRO 30CM")</f>
        <v>GARISAN BESI V-TRO 30CM</v>
      </c>
      <c r="F1461" s="49" t="s">
        <v>125</v>
      </c>
      <c r="G1461" s="71" t="s">
        <v>126</v>
      </c>
      <c r="H1461" s="41"/>
      <c r="I1461" s="42"/>
      <c r="J1461" s="43"/>
      <c r="K1461" s="72">
        <v>6.0</v>
      </c>
      <c r="L1461" s="53" t="s">
        <v>62</v>
      </c>
      <c r="M1461" s="73">
        <v>45000.0</v>
      </c>
      <c r="N1461" s="74"/>
      <c r="O1461" s="73">
        <v>270000.0</v>
      </c>
      <c r="P1461" s="46" t="str">
        <f t="shared" si="2"/>
        <v>Rp45,000-6 LSN-0.00%</v>
      </c>
      <c r="Q1461" s="75">
        <v>45412.0</v>
      </c>
      <c r="R1461" s="76"/>
      <c r="S1461" s="75">
        <v>45422.0</v>
      </c>
      <c r="T1461" s="49"/>
    </row>
    <row r="1462">
      <c r="A1462" s="90">
        <v>62.0</v>
      </c>
      <c r="B1462" s="91" t="s">
        <v>29</v>
      </c>
      <c r="C1462" s="49" t="s">
        <v>1879</v>
      </c>
      <c r="D1462" s="91"/>
      <c r="E1462" s="41" t="s">
        <v>1953</v>
      </c>
      <c r="F1462" s="49"/>
      <c r="G1462" s="71" t="s">
        <v>1953</v>
      </c>
      <c r="H1462" s="41"/>
      <c r="I1462" s="42"/>
      <c r="J1462" s="43"/>
      <c r="K1462" s="72">
        <v>240.0</v>
      </c>
      <c r="L1462" s="53" t="s">
        <v>69</v>
      </c>
      <c r="M1462" s="73">
        <v>3250.0</v>
      </c>
      <c r="N1462" s="74"/>
      <c r="O1462" s="73">
        <v>780000.0</v>
      </c>
      <c r="P1462" s="46" t="str">
        <f t="shared" si="2"/>
        <v>Rp3,250-240 PCS-0.00%</v>
      </c>
      <c r="Q1462" s="75">
        <v>45412.0</v>
      </c>
      <c r="R1462" s="76"/>
      <c r="S1462" s="75">
        <v>45422.0</v>
      </c>
      <c r="T1462" s="49"/>
    </row>
    <row r="1463">
      <c r="A1463" s="90">
        <v>62.0</v>
      </c>
      <c r="B1463" s="91" t="s">
        <v>29</v>
      </c>
      <c r="C1463" s="49" t="s">
        <v>1879</v>
      </c>
      <c r="D1463" s="91"/>
      <c r="E1463" s="41" t="s">
        <v>1954</v>
      </c>
      <c r="F1463" s="49"/>
      <c r="G1463" s="71" t="s">
        <v>1954</v>
      </c>
      <c r="H1463" s="41"/>
      <c r="I1463" s="42"/>
      <c r="J1463" s="43"/>
      <c r="K1463" s="72">
        <v>240.0</v>
      </c>
      <c r="L1463" s="53" t="s">
        <v>69</v>
      </c>
      <c r="M1463" s="73">
        <v>3250.0</v>
      </c>
      <c r="N1463" s="74"/>
      <c r="O1463" s="73">
        <v>780000.0</v>
      </c>
      <c r="P1463" s="46" t="str">
        <f t="shared" si="2"/>
        <v>Rp3,250-240 PCS-0.00%</v>
      </c>
      <c r="Q1463" s="75">
        <v>45412.0</v>
      </c>
      <c r="R1463" s="76"/>
      <c r="S1463" s="75">
        <v>45422.0</v>
      </c>
      <c r="T1463" s="49"/>
    </row>
    <row r="1464">
      <c r="A1464" s="90">
        <v>62.0</v>
      </c>
      <c r="B1464" s="91" t="s">
        <v>29</v>
      </c>
      <c r="C1464" s="49" t="s">
        <v>1879</v>
      </c>
      <c r="D1464" s="91"/>
      <c r="E1464" s="41" t="s">
        <v>1955</v>
      </c>
      <c r="F1464" s="49"/>
      <c r="G1464" s="71" t="s">
        <v>1955</v>
      </c>
      <c r="H1464" s="41"/>
      <c r="I1464" s="42"/>
      <c r="J1464" s="43"/>
      <c r="K1464" s="72">
        <v>240.0</v>
      </c>
      <c r="L1464" s="53" t="s">
        <v>69</v>
      </c>
      <c r="M1464" s="73">
        <v>3250.0</v>
      </c>
      <c r="N1464" s="74"/>
      <c r="O1464" s="73">
        <v>780000.0</v>
      </c>
      <c r="P1464" s="46" t="str">
        <f t="shared" si="2"/>
        <v>Rp3,250-240 PCS-0.00%</v>
      </c>
      <c r="Q1464" s="75">
        <v>45412.0</v>
      </c>
      <c r="R1464" s="76"/>
      <c r="S1464" s="75">
        <v>45422.0</v>
      </c>
      <c r="T1464" s="49"/>
    </row>
    <row r="1465">
      <c r="A1465" s="90">
        <v>63.0</v>
      </c>
      <c r="B1465" s="91" t="s">
        <v>29</v>
      </c>
      <c r="C1465" s="49" t="s">
        <v>1879</v>
      </c>
      <c r="D1465" s="91" t="s">
        <v>1956</v>
      </c>
      <c r="E1465" s="41" t="str">
        <f>IFERROR(__xludf.DUMMYFUNCTION("vlookup(D1465,IMPORTRANGE(""https://docs.google.com/spreadsheets/d/1swGwZOEqYlTEUCJLY-eeJM1911Kvaei5oySBIxdgtNo/edit?pli=1#gid=257618397"",""stock untanna!B:C""),2,false)"),"KUAS 21839-W")</f>
        <v>KUAS 21839-W</v>
      </c>
      <c r="F1465" s="49" t="s">
        <v>1956</v>
      </c>
      <c r="G1465" s="71" t="s">
        <v>1957</v>
      </c>
      <c r="H1465" s="41"/>
      <c r="I1465" s="42"/>
      <c r="J1465" s="43"/>
      <c r="K1465" s="72">
        <v>48.0</v>
      </c>
      <c r="L1465" s="53" t="s">
        <v>69</v>
      </c>
      <c r="M1465" s="73">
        <v>16667.0</v>
      </c>
      <c r="N1465" s="74"/>
      <c r="O1465" s="73">
        <v>800016.0</v>
      </c>
      <c r="P1465" s="46" t="str">
        <f t="shared" si="2"/>
        <v>Rp16,667-48 PCS-0.00%</v>
      </c>
      <c r="Q1465" s="75">
        <v>45412.0</v>
      </c>
      <c r="R1465" s="76"/>
      <c r="S1465" s="75">
        <v>45422.0</v>
      </c>
      <c r="T1465" s="49"/>
    </row>
    <row r="1466">
      <c r="A1466" s="90">
        <v>63.0</v>
      </c>
      <c r="B1466" s="91" t="s">
        <v>29</v>
      </c>
      <c r="C1466" s="49" t="s">
        <v>1879</v>
      </c>
      <c r="D1466" s="91" t="s">
        <v>428</v>
      </c>
      <c r="E1466" s="41" t="str">
        <f>IFERROR(__xludf.DUMMYFUNCTION("vlookup(D1466,IMPORTRANGE(""https://docs.google.com/spreadsheets/d/1swGwZOEqYlTEUCJLY-eeJM1911Kvaei5oySBIxdgtNo/edit?pli=1#gid=257618397"",""stock untanna!B:C""),2,false)"),"CAT ACRYLIC TF 001")</f>
        <v>CAT ACRYLIC TF 001</v>
      </c>
      <c r="F1466" s="49" t="s">
        <v>428</v>
      </c>
      <c r="G1466" s="71" t="s">
        <v>429</v>
      </c>
      <c r="H1466" s="41"/>
      <c r="I1466" s="42"/>
      <c r="J1466" s="43"/>
      <c r="K1466" s="72">
        <v>2.0</v>
      </c>
      <c r="L1466" s="53" t="s">
        <v>62</v>
      </c>
      <c r="M1466" s="73">
        <v>300000.0</v>
      </c>
      <c r="N1466" s="74"/>
      <c r="O1466" s="73">
        <v>600000.0</v>
      </c>
      <c r="P1466" s="46" t="str">
        <f t="shared" si="2"/>
        <v>Rp300,000-2 LSN-0.00%</v>
      </c>
      <c r="Q1466" s="75">
        <v>45412.0</v>
      </c>
      <c r="R1466" s="76"/>
      <c r="S1466" s="75">
        <v>45422.0</v>
      </c>
      <c r="T1466" s="49"/>
    </row>
    <row r="1467">
      <c r="A1467" s="90">
        <v>63.0</v>
      </c>
      <c r="B1467" s="91" t="s">
        <v>29</v>
      </c>
      <c r="C1467" s="49" t="s">
        <v>1879</v>
      </c>
      <c r="D1467" s="91" t="s">
        <v>432</v>
      </c>
      <c r="E1467" s="41" t="str">
        <f>IFERROR(__xludf.DUMMYFUNCTION("vlookup(D1467,IMPORTRANGE(""https://docs.google.com/spreadsheets/d/1swGwZOEqYlTEUCJLY-eeJM1911Kvaei5oySBIxdgtNo/edit?pli=1#gid=257618397"",""stock untanna!B:C""),2,false)"),"CAT ACRYLIC COLOUR TF AC-005P PASTEL")</f>
        <v>CAT ACRYLIC COLOUR TF AC-005P PASTEL</v>
      </c>
      <c r="F1467" s="49" t="s">
        <v>432</v>
      </c>
      <c r="G1467" s="78" t="s">
        <v>433</v>
      </c>
      <c r="H1467" s="41"/>
      <c r="I1467" s="42"/>
      <c r="J1467" s="43"/>
      <c r="K1467" s="72">
        <v>2.0</v>
      </c>
      <c r="L1467" s="53" t="s">
        <v>62</v>
      </c>
      <c r="M1467" s="73">
        <v>425000.0</v>
      </c>
      <c r="N1467" s="74"/>
      <c r="O1467" s="73">
        <v>850000.0</v>
      </c>
      <c r="P1467" s="46" t="str">
        <f t="shared" si="2"/>
        <v>Rp425,000-2 LSN-0.00%</v>
      </c>
      <c r="Q1467" s="75">
        <v>45412.0</v>
      </c>
      <c r="R1467" s="76"/>
      <c r="S1467" s="75">
        <v>45422.0</v>
      </c>
      <c r="T1467" s="49"/>
    </row>
    <row r="1468">
      <c r="A1468" s="90">
        <v>63.0</v>
      </c>
      <c r="B1468" s="91" t="s">
        <v>29</v>
      </c>
      <c r="C1468" s="49" t="s">
        <v>1879</v>
      </c>
      <c r="D1468" s="91" t="s">
        <v>1958</v>
      </c>
      <c r="E1468" s="41" t="str">
        <f>IFERROR(__xludf.DUMMYFUNCTION("vlookup(D1468,IMPORTRANGE(""https://docs.google.com/spreadsheets/d/1swGwZOEqYlTEUCJLY-eeJM1911Kvaei5oySBIxdgtNo/edit?pli=1#gid=257618397"",""stock untanna!B:C""),2,false)"),"ACRYLIC MARKER TF-AM 301-12")</f>
        <v>ACRYLIC MARKER TF-AM 301-12</v>
      </c>
      <c r="F1468" s="49" t="s">
        <v>1958</v>
      </c>
      <c r="G1468" s="71" t="s">
        <v>1959</v>
      </c>
      <c r="H1468" s="41"/>
      <c r="I1468" s="42"/>
      <c r="J1468" s="43"/>
      <c r="K1468" s="72">
        <v>24.0</v>
      </c>
      <c r="L1468" s="53" t="s">
        <v>84</v>
      </c>
      <c r="M1468" s="73">
        <v>29167.0</v>
      </c>
      <c r="N1468" s="74"/>
      <c r="O1468" s="73">
        <v>700008.0</v>
      </c>
      <c r="P1468" s="46" t="str">
        <f t="shared" si="2"/>
        <v>Rp29,167-24 SET-0.00%</v>
      </c>
      <c r="Q1468" s="75">
        <v>45412.0</v>
      </c>
      <c r="R1468" s="76"/>
      <c r="S1468" s="75">
        <v>45422.0</v>
      </c>
      <c r="T1468" s="49"/>
    </row>
    <row r="1469">
      <c r="A1469" s="90">
        <v>63.0</v>
      </c>
      <c r="B1469" s="91" t="s">
        <v>29</v>
      </c>
      <c r="C1469" s="49" t="s">
        <v>1879</v>
      </c>
      <c r="D1469" s="91" t="s">
        <v>659</v>
      </c>
      <c r="E1469" s="41" t="str">
        <f>IFERROR(__xludf.DUMMYFUNCTION("vlookup(D1469,IMPORTRANGE(""https://docs.google.com/spreadsheets/d/1swGwZOEqYlTEUCJLY-eeJM1911Kvaei5oySBIxdgtNo/edit?pli=1#gid=257618397"",""stock untanna!B:C""),2,false)"),"CAT ACRYLIC V-TECH")</f>
        <v>CAT ACRYLIC V-TECH</v>
      </c>
      <c r="F1469" s="49" t="s">
        <v>659</v>
      </c>
      <c r="G1469" s="71" t="s">
        <v>660</v>
      </c>
      <c r="H1469" s="41"/>
      <c r="I1469" s="42"/>
      <c r="J1469" s="43"/>
      <c r="K1469" s="72">
        <v>2.0</v>
      </c>
      <c r="L1469" s="53" t="s">
        <v>62</v>
      </c>
      <c r="M1469" s="73">
        <v>275000.0</v>
      </c>
      <c r="N1469" s="74"/>
      <c r="O1469" s="73">
        <v>550000.0</v>
      </c>
      <c r="P1469" s="46" t="str">
        <f t="shared" si="2"/>
        <v>Rp275,000-2 LSN-0.00%</v>
      </c>
      <c r="Q1469" s="75">
        <v>45412.0</v>
      </c>
      <c r="R1469" s="76"/>
      <c r="S1469" s="75">
        <v>45422.0</v>
      </c>
      <c r="T1469" s="49"/>
    </row>
    <row r="1470">
      <c r="A1470" s="90">
        <v>63.0</v>
      </c>
      <c r="B1470" s="91" t="s">
        <v>29</v>
      </c>
      <c r="C1470" s="49" t="s">
        <v>1879</v>
      </c>
      <c r="D1470" s="91" t="s">
        <v>976</v>
      </c>
      <c r="E1470" s="41" t="str">
        <f>IFERROR(__xludf.DUMMYFUNCTION("vlookup(D1470,IMPORTRANGE(""https://docs.google.com/spreadsheets/d/1swGwZOEqYlTEUCJLY-eeJM1911Kvaei5oySBIxdgtNo/edit?pli=1#gid=257618397"",""stock untanna!B:C""),2,false)"),"GUNTING JUNIOR J 100")</f>
        <v>GUNTING JUNIOR J 100</v>
      </c>
      <c r="F1470" s="49" t="s">
        <v>976</v>
      </c>
      <c r="G1470" s="71" t="s">
        <v>977</v>
      </c>
      <c r="H1470" s="41"/>
      <c r="I1470" s="42"/>
      <c r="J1470" s="43"/>
      <c r="K1470" s="72">
        <v>3.0</v>
      </c>
      <c r="L1470" s="53" t="s">
        <v>62</v>
      </c>
      <c r="M1470" s="73">
        <v>57500.0</v>
      </c>
      <c r="N1470" s="74"/>
      <c r="O1470" s="73">
        <v>172500.0</v>
      </c>
      <c r="P1470" s="46" t="str">
        <f t="shared" si="2"/>
        <v>Rp57,500-3 LSN-0.00%</v>
      </c>
      <c r="Q1470" s="75">
        <v>45412.0</v>
      </c>
      <c r="R1470" s="76"/>
      <c r="S1470" s="75">
        <v>45422.0</v>
      </c>
      <c r="T1470" s="49"/>
    </row>
    <row r="1471">
      <c r="A1471" s="90">
        <v>63.0</v>
      </c>
      <c r="B1471" s="91" t="s">
        <v>29</v>
      </c>
      <c r="C1471" s="49" t="s">
        <v>1879</v>
      </c>
      <c r="D1471" s="91" t="s">
        <v>1960</v>
      </c>
      <c r="E1471" s="41" t="str">
        <f>IFERROR(__xludf.DUMMYFUNCTION("vlookup(D1471,IMPORTRANGE(""https://docs.google.com/spreadsheets/d/1swGwZOEqYlTEUCJLY-eeJM1911Kvaei5oySBIxdgtNo/edit?pli=1#gid=257618397"",""stock untanna!B:C""),2,false)"),"GUNTING JUNIOR J 200")</f>
        <v>GUNTING JUNIOR J 200</v>
      </c>
      <c r="F1471" s="49" t="s">
        <v>1960</v>
      </c>
      <c r="G1471" s="71" t="s">
        <v>1961</v>
      </c>
      <c r="H1471" s="41"/>
      <c r="I1471" s="42"/>
      <c r="J1471" s="43"/>
      <c r="K1471" s="72">
        <v>2.0</v>
      </c>
      <c r="L1471" s="53" t="s">
        <v>62</v>
      </c>
      <c r="M1471" s="73">
        <v>80000.0</v>
      </c>
      <c r="N1471" s="74"/>
      <c r="O1471" s="73">
        <v>160000.0</v>
      </c>
      <c r="P1471" s="46" t="str">
        <f t="shared" si="2"/>
        <v>Rp80,000-2 LSN-0.00%</v>
      </c>
      <c r="Q1471" s="75">
        <v>45412.0</v>
      </c>
      <c r="R1471" s="76"/>
      <c r="S1471" s="75">
        <v>45422.0</v>
      </c>
      <c r="T1471" s="49"/>
    </row>
    <row r="1472">
      <c r="A1472" s="90">
        <v>63.0</v>
      </c>
      <c r="B1472" s="91" t="s">
        <v>29</v>
      </c>
      <c r="C1472" s="49" t="s">
        <v>1879</v>
      </c>
      <c r="D1472" s="91" t="s">
        <v>417</v>
      </c>
      <c r="E1472" s="41" t="str">
        <f>IFERROR(__xludf.DUMMYFUNCTION("vlookup(D1472,IMPORTRANGE(""https://docs.google.com/spreadsheets/d/1swGwZOEqYlTEUCJLY-eeJM1911Kvaei5oySBIxdgtNo/edit?pli=1#gid=257618397"",""stock untanna!B:C""),2,false)"),"GUNTING DAVIS DVL 6")</f>
        <v>GUNTING DAVIS DVL 6</v>
      </c>
      <c r="F1472" s="49" t="s">
        <v>417</v>
      </c>
      <c r="G1472" s="71" t="s">
        <v>418</v>
      </c>
      <c r="H1472" s="41"/>
      <c r="I1472" s="42"/>
      <c r="J1472" s="43"/>
      <c r="K1472" s="72">
        <v>3.0</v>
      </c>
      <c r="L1472" s="53" t="s">
        <v>62</v>
      </c>
      <c r="M1472" s="73">
        <v>60000.0</v>
      </c>
      <c r="N1472" s="74"/>
      <c r="O1472" s="73">
        <v>180000.0</v>
      </c>
      <c r="P1472" s="46" t="str">
        <f t="shared" si="2"/>
        <v>Rp60,000-3 LSN-0.00%</v>
      </c>
      <c r="Q1472" s="75">
        <v>45412.0</v>
      </c>
      <c r="R1472" s="76"/>
      <c r="S1472" s="75">
        <v>45422.0</v>
      </c>
      <c r="T1472" s="49"/>
    </row>
    <row r="1473">
      <c r="A1473" s="90">
        <v>63.0</v>
      </c>
      <c r="B1473" s="91" t="s">
        <v>29</v>
      </c>
      <c r="C1473" s="49" t="s">
        <v>1879</v>
      </c>
      <c r="D1473" s="77" t="s">
        <v>405</v>
      </c>
      <c r="E1473" s="41" t="str">
        <f>IFERROR(__xludf.DUMMYFUNCTION("vlookup(D1473,IMPORTRANGE(""https://docs.google.com/spreadsheets/d/1swGwZOEqYlTEUCJLY-eeJM1911Kvaei5oySBIxdgtNo/edit?pli=1#gid=257618397"",""stock untanna!B:C""),2,false)"),"GUNTING STAINLESS SQ 05 B HITAM")</f>
        <v>GUNTING STAINLESS SQ 05 B HITAM</v>
      </c>
      <c r="F1473" s="49" t="s">
        <v>406</v>
      </c>
      <c r="G1473" s="71" t="s">
        <v>407</v>
      </c>
      <c r="H1473" s="41"/>
      <c r="I1473" s="42"/>
      <c r="J1473" s="43"/>
      <c r="K1473" s="72">
        <v>3.0</v>
      </c>
      <c r="L1473" s="53" t="s">
        <v>62</v>
      </c>
      <c r="M1473" s="73">
        <v>50000.0</v>
      </c>
      <c r="N1473" s="74"/>
      <c r="O1473" s="73">
        <v>150000.0</v>
      </c>
      <c r="P1473" s="46" t="str">
        <f t="shared" si="2"/>
        <v>Rp50,000-3 LSN-0.00%</v>
      </c>
      <c r="Q1473" s="75">
        <v>45412.0</v>
      </c>
      <c r="R1473" s="76"/>
      <c r="S1473" s="75">
        <v>45422.0</v>
      </c>
      <c r="T1473" s="49"/>
    </row>
    <row r="1474">
      <c r="A1474" s="90">
        <v>63.0</v>
      </c>
      <c r="B1474" s="91" t="s">
        <v>29</v>
      </c>
      <c r="C1474" s="49" t="s">
        <v>1879</v>
      </c>
      <c r="D1474" s="77" t="s">
        <v>1962</v>
      </c>
      <c r="E1474" s="41" t="str">
        <f>IFERROR(__xludf.DUMMYFUNCTION("vlookup(D1474,IMPORTRANGE(""https://docs.google.com/spreadsheets/d/1swGwZOEqYlTEUCJLY-eeJM1911Kvaei5oySBIxdgtNo/edit?pli=1#gid=257618397"",""stock untanna!B:C""),2,false)"),"GUNTING STAINLESS SQ 08 B HITAM")</f>
        <v>GUNTING STAINLESS SQ 08 B HITAM</v>
      </c>
      <c r="F1474" s="49" t="s">
        <v>1963</v>
      </c>
      <c r="G1474" s="71" t="s">
        <v>1964</v>
      </c>
      <c r="H1474" s="41"/>
      <c r="I1474" s="42"/>
      <c r="J1474" s="43"/>
      <c r="K1474" s="72">
        <v>3.0</v>
      </c>
      <c r="L1474" s="53" t="s">
        <v>62</v>
      </c>
      <c r="M1474" s="73">
        <v>90000.0</v>
      </c>
      <c r="N1474" s="74"/>
      <c r="O1474" s="73">
        <v>270000.0</v>
      </c>
      <c r="P1474" s="46" t="str">
        <f t="shared" si="2"/>
        <v>Rp90,000-3 LSN-0.00%</v>
      </c>
      <c r="Q1474" s="75">
        <v>45412.0</v>
      </c>
      <c r="R1474" s="76"/>
      <c r="S1474" s="75">
        <v>45422.0</v>
      </c>
      <c r="T1474" s="49"/>
    </row>
    <row r="1475">
      <c r="A1475" s="90">
        <v>63.0</v>
      </c>
      <c r="B1475" s="91" t="s">
        <v>29</v>
      </c>
      <c r="C1475" s="49" t="s">
        <v>1879</v>
      </c>
      <c r="D1475" s="91" t="s">
        <v>408</v>
      </c>
      <c r="E1475" s="41" t="str">
        <f>IFERROR(__xludf.DUMMYFUNCTION("vlookup(D1475,IMPORTRANGE(""https://docs.google.com/spreadsheets/d/1swGwZOEqYlTEUCJLY-eeJM1911Kvaei5oySBIxdgtNo/edit?pli=1#gid=257618397"",""stock untanna!B:C""),2,false)"),"GUNTING IDEAL DR 5")</f>
        <v>GUNTING IDEAL DR 5</v>
      </c>
      <c r="F1475" s="49" t="s">
        <v>408</v>
      </c>
      <c r="G1475" s="71" t="s">
        <v>409</v>
      </c>
      <c r="H1475" s="41"/>
      <c r="I1475" s="42"/>
      <c r="J1475" s="43"/>
      <c r="K1475" s="72">
        <v>3.0</v>
      </c>
      <c r="L1475" s="53" t="s">
        <v>62</v>
      </c>
      <c r="M1475" s="73">
        <v>70000.0</v>
      </c>
      <c r="N1475" s="74"/>
      <c r="O1475" s="73">
        <v>210000.0</v>
      </c>
      <c r="P1475" s="46" t="str">
        <f t="shared" si="2"/>
        <v>Rp70,000-3 LSN-0.00%</v>
      </c>
      <c r="Q1475" s="75">
        <v>45412.0</v>
      </c>
      <c r="R1475" s="76"/>
      <c r="S1475" s="75">
        <v>45422.0</v>
      </c>
      <c r="T1475" s="49"/>
    </row>
    <row r="1476">
      <c r="A1476" s="90">
        <v>63.0</v>
      </c>
      <c r="B1476" s="91" t="s">
        <v>29</v>
      </c>
      <c r="C1476" s="49" t="s">
        <v>1879</v>
      </c>
      <c r="D1476" s="77" t="s">
        <v>1965</v>
      </c>
      <c r="E1476" s="41" t="str">
        <f>IFERROR(__xludf.DUMMYFUNCTION("vlookup(D1476,IMPORTRANGE(""https://docs.google.com/spreadsheets/d/1swGwZOEqYlTEUCJLY-eeJM1911Kvaei5oySBIxdgtNo/edit?pli=1#gid=257618397"",""stock untanna!B:C""),2,false)"),"GUNTING STAINLESS SQ 5006 C WARNA")</f>
        <v>GUNTING STAINLESS SQ 5006 C WARNA</v>
      </c>
      <c r="F1476" s="49" t="s">
        <v>1966</v>
      </c>
      <c r="G1476" s="71" t="s">
        <v>1967</v>
      </c>
      <c r="H1476" s="41"/>
      <c r="I1476" s="42"/>
      <c r="J1476" s="43"/>
      <c r="K1476" s="72">
        <v>3.0</v>
      </c>
      <c r="L1476" s="53" t="s">
        <v>62</v>
      </c>
      <c r="M1476" s="73">
        <v>52500.0</v>
      </c>
      <c r="N1476" s="74"/>
      <c r="O1476" s="73">
        <v>157500.0</v>
      </c>
      <c r="P1476" s="46" t="str">
        <f t="shared" si="2"/>
        <v>Rp52,500-3 LSN-0.00%</v>
      </c>
      <c r="Q1476" s="75">
        <v>45412.0</v>
      </c>
      <c r="R1476" s="76"/>
      <c r="S1476" s="75">
        <v>45422.0</v>
      </c>
      <c r="T1476" s="49"/>
    </row>
    <row r="1477">
      <c r="A1477" s="90">
        <v>63.0</v>
      </c>
      <c r="B1477" s="91" t="s">
        <v>29</v>
      </c>
      <c r="C1477" s="49" t="s">
        <v>1879</v>
      </c>
      <c r="D1477" s="91" t="s">
        <v>1968</v>
      </c>
      <c r="E1477" s="41" t="str">
        <f>IFERROR(__xludf.DUMMYFUNCTION("vlookup(D1477,IMPORTRANGE(""https://docs.google.com/spreadsheets/d/1swGwZOEqYlTEUCJLY-eeJM1911Kvaei5oySBIxdgtNo/edit?pli=1#gid=257618397"",""stock untanna!B:C""),2,false)"),"GUNTING KAIBO")</f>
        <v>GUNTING KAIBO</v>
      </c>
      <c r="F1477" s="49" t="s">
        <v>1968</v>
      </c>
      <c r="G1477" s="71" t="s">
        <v>1969</v>
      </c>
      <c r="H1477" s="41"/>
      <c r="I1477" s="42"/>
      <c r="J1477" s="43"/>
      <c r="K1477" s="72">
        <v>36.0</v>
      </c>
      <c r="L1477" s="53" t="s">
        <v>69</v>
      </c>
      <c r="M1477" s="73">
        <v>5833.0</v>
      </c>
      <c r="N1477" s="74"/>
      <c r="O1477" s="73">
        <v>209988.0</v>
      </c>
      <c r="P1477" s="46" t="str">
        <f t="shared" si="2"/>
        <v>Rp5,833-36 PCS-0.00%</v>
      </c>
      <c r="Q1477" s="75">
        <v>45412.0</v>
      </c>
      <c r="R1477" s="76"/>
      <c r="S1477" s="75">
        <v>45422.0</v>
      </c>
      <c r="T1477" s="49"/>
    </row>
    <row r="1478">
      <c r="A1478" s="90">
        <v>63.0</v>
      </c>
      <c r="B1478" s="91" t="s">
        <v>29</v>
      </c>
      <c r="C1478" s="49" t="s">
        <v>1879</v>
      </c>
      <c r="D1478" s="77" t="s">
        <v>1970</v>
      </c>
      <c r="E1478" s="41" t="str">
        <f>IFERROR(__xludf.DUMMYFUNCTION("vlookup(D1478,IMPORTRANGE(""https://docs.google.com/spreadsheets/d/1swGwZOEqYlTEUCJLY-eeJM1911Kvaei5oySBIxdgtNo/edit?pli=1#gid=257618397"",""stock untanna!B:C""),2,false)"),"GARISAN SET ZX 6138")</f>
        <v>GARISAN SET ZX 6138</v>
      </c>
      <c r="F1478" s="49" t="s">
        <v>1971</v>
      </c>
      <c r="G1478" s="71" t="s">
        <v>1972</v>
      </c>
      <c r="H1478" s="41"/>
      <c r="I1478" s="42"/>
      <c r="J1478" s="43"/>
      <c r="K1478" s="72">
        <v>3.0</v>
      </c>
      <c r="L1478" s="53" t="s">
        <v>88</v>
      </c>
      <c r="M1478" s="73">
        <v>240000.0</v>
      </c>
      <c r="N1478" s="74"/>
      <c r="O1478" s="73">
        <v>720000.0</v>
      </c>
      <c r="P1478" s="46" t="str">
        <f t="shared" si="2"/>
        <v>Rp240,000-3 BOX-0.00%</v>
      </c>
      <c r="Q1478" s="75">
        <v>45412.0</v>
      </c>
      <c r="R1478" s="76"/>
      <c r="S1478" s="75">
        <v>45422.0</v>
      </c>
      <c r="T1478" s="49"/>
    </row>
    <row r="1479">
      <c r="A1479" s="90">
        <v>63.0</v>
      </c>
      <c r="B1479" s="91" t="s">
        <v>29</v>
      </c>
      <c r="C1479" s="49" t="s">
        <v>1879</v>
      </c>
      <c r="D1479" s="91"/>
      <c r="E1479" s="41" t="s">
        <v>1760</v>
      </c>
      <c r="F1479" s="49"/>
      <c r="G1479" s="71" t="s">
        <v>1760</v>
      </c>
      <c r="H1479" s="41"/>
      <c r="I1479" s="42"/>
      <c r="J1479" s="43"/>
      <c r="K1479" s="72">
        <v>10.0</v>
      </c>
      <c r="L1479" s="53" t="s">
        <v>114</v>
      </c>
      <c r="M1479" s="73">
        <v>11500.0</v>
      </c>
      <c r="N1479" s="74"/>
      <c r="O1479" s="73">
        <v>115000.0</v>
      </c>
      <c r="P1479" s="46" t="str">
        <f t="shared" si="2"/>
        <v>Rp11,500-10 PAK-0.00%</v>
      </c>
      <c r="Q1479" s="75">
        <v>45412.0</v>
      </c>
      <c r="R1479" s="76"/>
      <c r="S1479" s="75">
        <v>45422.0</v>
      </c>
      <c r="T1479" s="80" t="s">
        <v>280</v>
      </c>
    </row>
    <row r="1480">
      <c r="A1480" s="90">
        <v>63.0</v>
      </c>
      <c r="B1480" s="91" t="s">
        <v>29</v>
      </c>
      <c r="C1480" s="49" t="s">
        <v>1879</v>
      </c>
      <c r="D1480" s="91" t="s">
        <v>511</v>
      </c>
      <c r="E1480" s="41" t="str">
        <f>IFERROR(__xludf.DUMMYFUNCTION("vlookup(D1480,IMPORTRANGE(""https://docs.google.com/spreadsheets/d/1swGwZOEqYlTEUCJLY-eeJM1911Kvaei5oySBIxdgtNo/edit?pli=1#gid=257618397"",""stock untanna!B:C""),2,false)"),"TAPE 1505 FANCY")</f>
        <v>TAPE 1505 FANCY</v>
      </c>
      <c r="F1480" s="49" t="s">
        <v>511</v>
      </c>
      <c r="G1480" s="71" t="s">
        <v>512</v>
      </c>
      <c r="H1480" s="41"/>
      <c r="I1480" s="42"/>
      <c r="J1480" s="43"/>
      <c r="K1480" s="72">
        <v>10.0</v>
      </c>
      <c r="L1480" s="53" t="s">
        <v>114</v>
      </c>
      <c r="M1480" s="73">
        <v>11500.0</v>
      </c>
      <c r="N1480" s="74"/>
      <c r="O1480" s="73">
        <v>115000.0</v>
      </c>
      <c r="P1480" s="46" t="str">
        <f t="shared" si="2"/>
        <v>Rp11,500-10 PAK-0.00%</v>
      </c>
      <c r="Q1480" s="75">
        <v>45412.0</v>
      </c>
      <c r="R1480" s="76"/>
      <c r="S1480" s="75">
        <v>45422.0</v>
      </c>
      <c r="T1480" s="49" t="s">
        <v>100</v>
      </c>
    </row>
    <row r="1481">
      <c r="A1481" s="90">
        <v>64.0</v>
      </c>
      <c r="B1481" s="91" t="s">
        <v>29</v>
      </c>
      <c r="C1481" s="49" t="s">
        <v>1879</v>
      </c>
      <c r="D1481" s="91"/>
      <c r="E1481" s="41" t="s">
        <v>1973</v>
      </c>
      <c r="F1481" s="49"/>
      <c r="G1481" s="71" t="s">
        <v>1973</v>
      </c>
      <c r="H1481" s="41"/>
      <c r="I1481" s="42"/>
      <c r="J1481" s="43"/>
      <c r="K1481" s="72">
        <v>2.0</v>
      </c>
      <c r="L1481" s="53" t="s">
        <v>62</v>
      </c>
      <c r="M1481" s="73">
        <v>140000.0</v>
      </c>
      <c r="N1481" s="74"/>
      <c r="O1481" s="73">
        <v>280000.0</v>
      </c>
      <c r="P1481" s="46" t="str">
        <f t="shared" si="2"/>
        <v>Rp140,000-2 LSN-0.00%</v>
      </c>
      <c r="Q1481" s="75">
        <v>45412.0</v>
      </c>
      <c r="R1481" s="76"/>
      <c r="S1481" s="75">
        <v>45422.0</v>
      </c>
      <c r="T1481" s="49"/>
    </row>
    <row r="1482">
      <c r="A1482" s="90">
        <v>64.0</v>
      </c>
      <c r="B1482" s="91" t="s">
        <v>29</v>
      </c>
      <c r="C1482" s="49" t="s">
        <v>1879</v>
      </c>
      <c r="D1482" s="91"/>
      <c r="E1482" s="41" t="s">
        <v>1974</v>
      </c>
      <c r="F1482" s="49"/>
      <c r="G1482" s="71" t="s">
        <v>1974</v>
      </c>
      <c r="H1482" s="41"/>
      <c r="I1482" s="42"/>
      <c r="J1482" s="43"/>
      <c r="K1482" s="72">
        <v>2.0</v>
      </c>
      <c r="L1482" s="53" t="s">
        <v>62</v>
      </c>
      <c r="M1482" s="73">
        <v>140000.0</v>
      </c>
      <c r="N1482" s="74"/>
      <c r="O1482" s="73">
        <v>280000.0</v>
      </c>
      <c r="P1482" s="46" t="str">
        <f t="shared" si="2"/>
        <v>Rp140,000-2 LSN-0.00%</v>
      </c>
      <c r="Q1482" s="75">
        <v>45412.0</v>
      </c>
      <c r="R1482" s="76"/>
      <c r="S1482" s="75">
        <v>45422.0</v>
      </c>
      <c r="T1482" s="49"/>
    </row>
    <row r="1483">
      <c r="A1483" s="90">
        <v>64.0</v>
      </c>
      <c r="B1483" s="91" t="s">
        <v>29</v>
      </c>
      <c r="C1483" s="49" t="s">
        <v>1879</v>
      </c>
      <c r="D1483" s="77" t="s">
        <v>1975</v>
      </c>
      <c r="E1483" s="41" t="str">
        <f>IFERROR(__xludf.DUMMYFUNCTION("IFNA(vlookup(D1483,IMPORTRANGE(""https://docs.google.com/spreadsheets/d/1swGwZOEqYlTEUCJLY-eeJM1911Kvaei5oySBIxdgtNo/edit?pli=1#gid=257618397"",""stock untanna!B:C""),2,false),V:V)"),"MAGNET 8101")</f>
        <v>MAGNET 8101</v>
      </c>
      <c r="F1483" s="49"/>
      <c r="G1483" s="71" t="s">
        <v>1976</v>
      </c>
      <c r="H1483" s="41"/>
      <c r="I1483" s="42"/>
      <c r="J1483" s="85" t="s">
        <v>1319</v>
      </c>
      <c r="K1483" s="72">
        <v>1.0</v>
      </c>
      <c r="L1483" s="53" t="s">
        <v>62</v>
      </c>
      <c r="M1483" s="73">
        <v>290000.0</v>
      </c>
      <c r="N1483" s="74"/>
      <c r="O1483" s="73">
        <v>290000.0</v>
      </c>
      <c r="P1483" s="46" t="str">
        <f t="shared" si="2"/>
        <v>Rp290,000-1 LSN-0.00%</v>
      </c>
      <c r="Q1483" s="75">
        <v>45412.0</v>
      </c>
      <c r="R1483" s="76"/>
      <c r="S1483" s="75">
        <v>45422.0</v>
      </c>
      <c r="T1483" s="80" t="s">
        <v>280</v>
      </c>
    </row>
    <row r="1484">
      <c r="A1484" s="90">
        <v>64.0</v>
      </c>
      <c r="B1484" s="91" t="s">
        <v>29</v>
      </c>
      <c r="C1484" s="49" t="s">
        <v>1879</v>
      </c>
      <c r="D1484" s="77" t="s">
        <v>1977</v>
      </c>
      <c r="E1484" s="41" t="str">
        <f>IFERROR(__xludf.DUMMYFUNCTION("IFNA(vlookup(D1484,IMPORTRANGE(""https://docs.google.com/spreadsheets/d/1swGwZOEqYlTEUCJLY-eeJM1911Kvaei5oySBIxdgtNo/edit?pli=1#gid=257618397"",""stock untanna!B:C""),2,false),V:V)"),"MAGNET 8102")</f>
        <v>MAGNET 8102</v>
      </c>
      <c r="F1484" s="49"/>
      <c r="G1484" s="71" t="s">
        <v>1978</v>
      </c>
      <c r="H1484" s="41"/>
      <c r="I1484" s="42"/>
      <c r="J1484" s="85" t="s">
        <v>1319</v>
      </c>
      <c r="K1484" s="72">
        <v>1.0</v>
      </c>
      <c r="L1484" s="53" t="s">
        <v>62</v>
      </c>
      <c r="M1484" s="73">
        <v>290000.0</v>
      </c>
      <c r="N1484" s="74"/>
      <c r="O1484" s="73">
        <v>290000.0</v>
      </c>
      <c r="P1484" s="46" t="str">
        <f t="shared" si="2"/>
        <v>Rp290,000-1 LSN-0.00%</v>
      </c>
      <c r="Q1484" s="75">
        <v>45412.0</v>
      </c>
      <c r="R1484" s="76"/>
      <c r="S1484" s="75">
        <v>45422.0</v>
      </c>
      <c r="T1484" s="80" t="s">
        <v>280</v>
      </c>
    </row>
    <row r="1485">
      <c r="A1485" s="90">
        <v>64.0</v>
      </c>
      <c r="B1485" s="91" t="s">
        <v>29</v>
      </c>
      <c r="C1485" s="49" t="s">
        <v>1879</v>
      </c>
      <c r="D1485" s="91"/>
      <c r="E1485" s="41" t="s">
        <v>1979</v>
      </c>
      <c r="F1485" s="49"/>
      <c r="G1485" s="71" t="s">
        <v>1979</v>
      </c>
      <c r="H1485" s="41"/>
      <c r="I1485" s="42"/>
      <c r="J1485" s="43"/>
      <c r="K1485" s="72">
        <v>1.0</v>
      </c>
      <c r="L1485" s="53" t="s">
        <v>62</v>
      </c>
      <c r="M1485" s="73">
        <v>165000.0</v>
      </c>
      <c r="N1485" s="74"/>
      <c r="O1485" s="73">
        <v>165000.0</v>
      </c>
      <c r="P1485" s="46" t="str">
        <f t="shared" si="2"/>
        <v>Rp165,000-1 LSN-0.00%</v>
      </c>
      <c r="Q1485" s="75">
        <v>45412.0</v>
      </c>
      <c r="R1485" s="76"/>
      <c r="S1485" s="75">
        <v>45422.0</v>
      </c>
      <c r="T1485" s="49"/>
    </row>
    <row r="1486">
      <c r="A1486" s="90">
        <v>64.0</v>
      </c>
      <c r="B1486" s="91" t="s">
        <v>29</v>
      </c>
      <c r="C1486" s="49" t="s">
        <v>1879</v>
      </c>
      <c r="D1486" s="91"/>
      <c r="E1486" s="41" t="s">
        <v>1980</v>
      </c>
      <c r="F1486" s="49"/>
      <c r="G1486" s="71" t="s">
        <v>1980</v>
      </c>
      <c r="H1486" s="41"/>
      <c r="I1486" s="42"/>
      <c r="J1486" s="43"/>
      <c r="K1486" s="72">
        <v>1.0</v>
      </c>
      <c r="L1486" s="53" t="s">
        <v>62</v>
      </c>
      <c r="M1486" s="73">
        <v>165000.0</v>
      </c>
      <c r="N1486" s="74"/>
      <c r="O1486" s="73">
        <v>165000.0</v>
      </c>
      <c r="P1486" s="46" t="str">
        <f t="shared" si="2"/>
        <v>Rp165,000-1 LSN-0.00%</v>
      </c>
      <c r="Q1486" s="75">
        <v>45412.0</v>
      </c>
      <c r="R1486" s="76"/>
      <c r="S1486" s="75">
        <v>45422.0</v>
      </c>
      <c r="T1486" s="49"/>
    </row>
    <row r="1487">
      <c r="A1487" s="90">
        <v>64.0</v>
      </c>
      <c r="B1487" s="91" t="s">
        <v>29</v>
      </c>
      <c r="C1487" s="49" t="s">
        <v>1879</v>
      </c>
      <c r="D1487" s="91"/>
      <c r="E1487" s="41" t="s">
        <v>1981</v>
      </c>
      <c r="F1487" s="49"/>
      <c r="G1487" s="71" t="s">
        <v>1981</v>
      </c>
      <c r="H1487" s="41"/>
      <c r="I1487" s="42"/>
      <c r="J1487" s="43"/>
      <c r="K1487" s="72">
        <v>1.0</v>
      </c>
      <c r="L1487" s="53" t="s">
        <v>62</v>
      </c>
      <c r="M1487" s="73">
        <v>165000.0</v>
      </c>
      <c r="N1487" s="74"/>
      <c r="O1487" s="73">
        <v>165000.0</v>
      </c>
      <c r="P1487" s="46" t="str">
        <f t="shared" si="2"/>
        <v>Rp165,000-1 LSN-0.00%</v>
      </c>
      <c r="Q1487" s="75">
        <v>45412.0</v>
      </c>
      <c r="R1487" s="76"/>
      <c r="S1487" s="75">
        <v>45422.0</v>
      </c>
      <c r="T1487" s="80" t="s">
        <v>280</v>
      </c>
    </row>
    <row r="1488">
      <c r="A1488" s="90">
        <v>64.0</v>
      </c>
      <c r="B1488" s="91" t="s">
        <v>29</v>
      </c>
      <c r="C1488" s="49" t="s">
        <v>1879</v>
      </c>
      <c r="D1488" s="91" t="s">
        <v>1982</v>
      </c>
      <c r="E1488" s="41" t="str">
        <f>IFERROR(__xludf.DUMMYFUNCTION("vlookup(D1488,IMPORTRANGE(""https://docs.google.com/spreadsheets/d/1swGwZOEqYlTEUCJLY-eeJM1911Kvaei5oySBIxdgtNo/edit?pli=1#gid=257618397"",""stock untanna!B:C""),2,false)"),"ALPHABET HURUF ABC 8715")</f>
        <v>ALPHABET HURUF ABC 8715</v>
      </c>
      <c r="F1488" s="49" t="s">
        <v>1982</v>
      </c>
      <c r="G1488" s="71" t="s">
        <v>1983</v>
      </c>
      <c r="H1488" s="41"/>
      <c r="I1488" s="42"/>
      <c r="J1488" s="43"/>
      <c r="K1488" s="72">
        <v>12.0</v>
      </c>
      <c r="L1488" s="53" t="s">
        <v>69</v>
      </c>
      <c r="M1488" s="73">
        <v>13750.0</v>
      </c>
      <c r="N1488" s="74"/>
      <c r="O1488" s="73">
        <v>165000.0</v>
      </c>
      <c r="P1488" s="46" t="str">
        <f t="shared" si="2"/>
        <v>Rp13,750-12 PCS-0.00%</v>
      </c>
      <c r="Q1488" s="75">
        <v>45412.0</v>
      </c>
      <c r="R1488" s="76"/>
      <c r="S1488" s="75">
        <v>45422.0</v>
      </c>
      <c r="T1488" s="49"/>
    </row>
    <row r="1489">
      <c r="A1489" s="90">
        <v>64.0</v>
      </c>
      <c r="B1489" s="91" t="s">
        <v>29</v>
      </c>
      <c r="C1489" s="49" t="s">
        <v>1879</v>
      </c>
      <c r="D1489" s="91" t="s">
        <v>1126</v>
      </c>
      <c r="E1489" s="41" t="str">
        <f>IFERROR(__xludf.DUMMYFUNCTION("vlookup(D1489,IMPORTRANGE(""https://docs.google.com/spreadsheets/d/1swGwZOEqYlTEUCJLY-eeJM1911Kvaei5oySBIxdgtNo/edit?pli=1#gid=257618397"",""stock untanna!B:C""),2,false)"),"ASAHAN BOX 166 BEBEK")</f>
        <v>ASAHAN BOX 166 BEBEK</v>
      </c>
      <c r="F1489" s="49" t="s">
        <v>1126</v>
      </c>
      <c r="G1489" s="71" t="s">
        <v>1127</v>
      </c>
      <c r="H1489" s="41"/>
      <c r="I1489" s="42"/>
      <c r="J1489" s="43"/>
      <c r="K1489" s="72">
        <v>5.0</v>
      </c>
      <c r="L1489" s="53" t="s">
        <v>88</v>
      </c>
      <c r="M1489" s="73">
        <v>125000.0</v>
      </c>
      <c r="N1489" s="74"/>
      <c r="O1489" s="73">
        <v>625000.0</v>
      </c>
      <c r="P1489" s="46" t="str">
        <f t="shared" si="2"/>
        <v>Rp125,000-5 BOX-0.00%</v>
      </c>
      <c r="Q1489" s="75">
        <v>45412.0</v>
      </c>
      <c r="R1489" s="76"/>
      <c r="S1489" s="75">
        <v>45422.0</v>
      </c>
      <c r="T1489" s="49"/>
    </row>
    <row r="1490">
      <c r="A1490" s="90">
        <v>64.0</v>
      </c>
      <c r="B1490" s="91" t="s">
        <v>29</v>
      </c>
      <c r="C1490" s="49" t="s">
        <v>1879</v>
      </c>
      <c r="D1490" s="91" t="s">
        <v>1984</v>
      </c>
      <c r="E1490" s="41" t="str">
        <f>IFERROR(__xludf.DUMMYFUNCTION("vlookup(D1490,IMPORTRANGE(""https://docs.google.com/spreadsheets/d/1swGwZOEqYlTEUCJLY-eeJM1911Kvaei5oySBIxdgtNo/edit?pli=1#gid=257618397"",""stock untanna!B:C""),2,false)"),"ASAHAN 8811")</f>
        <v>ASAHAN 8811</v>
      </c>
      <c r="F1490" s="49" t="s">
        <v>1984</v>
      </c>
      <c r="G1490" s="71" t="s">
        <v>1985</v>
      </c>
      <c r="H1490" s="41"/>
      <c r="I1490" s="42"/>
      <c r="J1490" s="43"/>
      <c r="K1490" s="72">
        <v>360.0</v>
      </c>
      <c r="L1490" s="53" t="s">
        <v>69</v>
      </c>
      <c r="M1490" s="73">
        <v>2500.0</v>
      </c>
      <c r="N1490" s="74"/>
      <c r="O1490" s="73">
        <v>900000.0</v>
      </c>
      <c r="P1490" s="46" t="str">
        <f t="shared" si="2"/>
        <v>Rp2,500-360 PCS-0.00%</v>
      </c>
      <c r="Q1490" s="75">
        <v>45412.0</v>
      </c>
      <c r="R1490" s="76"/>
      <c r="S1490" s="75">
        <v>45422.0</v>
      </c>
      <c r="T1490" s="49"/>
    </row>
    <row r="1491">
      <c r="A1491" s="90">
        <v>64.0</v>
      </c>
      <c r="B1491" s="91" t="s">
        <v>29</v>
      </c>
      <c r="C1491" s="49" t="s">
        <v>1879</v>
      </c>
      <c r="D1491" s="91"/>
      <c r="E1491" s="41" t="s">
        <v>1986</v>
      </c>
      <c r="F1491" s="49"/>
      <c r="G1491" s="71" t="s">
        <v>1986</v>
      </c>
      <c r="H1491" s="41"/>
      <c r="I1491" s="42"/>
      <c r="J1491" s="43"/>
      <c r="K1491" s="72">
        <v>5.0</v>
      </c>
      <c r="L1491" s="53" t="s">
        <v>88</v>
      </c>
      <c r="M1491" s="73">
        <v>105000.0</v>
      </c>
      <c r="N1491" s="74"/>
      <c r="O1491" s="73">
        <v>525000.0</v>
      </c>
      <c r="P1491" s="46" t="str">
        <f t="shared" si="2"/>
        <v>Rp105,000-5 BOX-0.00%</v>
      </c>
      <c r="Q1491" s="75">
        <v>45412.0</v>
      </c>
      <c r="R1491" s="76"/>
      <c r="S1491" s="75">
        <v>45422.0</v>
      </c>
      <c r="T1491" s="49"/>
    </row>
    <row r="1492">
      <c r="A1492" s="90">
        <v>64.0</v>
      </c>
      <c r="B1492" s="91" t="s">
        <v>29</v>
      </c>
      <c r="C1492" s="49" t="s">
        <v>1879</v>
      </c>
      <c r="D1492" s="91" t="s">
        <v>531</v>
      </c>
      <c r="E1492" s="41" t="str">
        <f>IFERROR(__xludf.DUMMYFUNCTION("vlookup(D1492,IMPORTRANGE(""https://docs.google.com/spreadsheets/d/1swGwZOEqYlTEUCJLY-eeJM1911Kvaei5oySBIxdgtNo/edit?pli=1#gid=257618397"",""stock untanna!B:C""),2,false)"),"ASAHAN 8095")</f>
        <v>ASAHAN 8095</v>
      </c>
      <c r="F1492" s="49" t="s">
        <v>531</v>
      </c>
      <c r="G1492" s="71" t="s">
        <v>532</v>
      </c>
      <c r="H1492" s="41"/>
      <c r="I1492" s="42"/>
      <c r="J1492" s="43"/>
      <c r="K1492" s="72">
        <v>240.0</v>
      </c>
      <c r="L1492" s="53" t="s">
        <v>69</v>
      </c>
      <c r="M1492" s="73">
        <v>2500.0</v>
      </c>
      <c r="N1492" s="74"/>
      <c r="O1492" s="73">
        <v>600000.0</v>
      </c>
      <c r="P1492" s="46" t="str">
        <f t="shared" si="2"/>
        <v>Rp2,500-240 PCS-0.00%</v>
      </c>
      <c r="Q1492" s="75">
        <v>45412.0</v>
      </c>
      <c r="R1492" s="76"/>
      <c r="S1492" s="75">
        <v>45422.0</v>
      </c>
      <c r="T1492" s="49"/>
    </row>
    <row r="1493">
      <c r="A1493" s="90">
        <v>64.0</v>
      </c>
      <c r="B1493" s="91" t="s">
        <v>29</v>
      </c>
      <c r="C1493" s="49" t="s">
        <v>1879</v>
      </c>
      <c r="D1493" s="91" t="s">
        <v>1987</v>
      </c>
      <c r="E1493" s="41" t="str">
        <f>IFERROR(__xludf.DUMMYFUNCTION("vlookup(D1493,IMPORTRANGE(""https://docs.google.com/spreadsheets/d/1swGwZOEqYlTEUCJLY-eeJM1911Kvaei5oySBIxdgtNo/edit?pli=1#gid=257618397"",""stock untanna!B:C""),2,false)"),"PITA TARIK/KADO 50 LS -1 RENDA")</f>
        <v>PITA TARIK/KADO 50 LS -1 RENDA</v>
      </c>
      <c r="F1493" s="49" t="s">
        <v>1987</v>
      </c>
      <c r="G1493" s="71" t="s">
        <v>1988</v>
      </c>
      <c r="H1493" s="41"/>
      <c r="I1493" s="42"/>
      <c r="J1493" s="43"/>
      <c r="K1493" s="72">
        <v>50.0</v>
      </c>
      <c r="L1493" s="53" t="s">
        <v>114</v>
      </c>
      <c r="M1493" s="73">
        <v>20000.0</v>
      </c>
      <c r="N1493" s="74"/>
      <c r="O1493" s="73">
        <v>1000000.0</v>
      </c>
      <c r="P1493" s="46" t="str">
        <f t="shared" si="2"/>
        <v>Rp20,000-50 PAK-0.00%</v>
      </c>
      <c r="Q1493" s="75">
        <v>45412.0</v>
      </c>
      <c r="R1493" s="76"/>
      <c r="S1493" s="75">
        <v>45422.0</v>
      </c>
      <c r="T1493" s="49"/>
    </row>
    <row r="1494">
      <c r="A1494" s="90">
        <v>64.0</v>
      </c>
      <c r="B1494" s="91" t="s">
        <v>29</v>
      </c>
      <c r="C1494" s="49" t="s">
        <v>1879</v>
      </c>
      <c r="D1494" s="91" t="s">
        <v>1989</v>
      </c>
      <c r="E1494" s="41" t="str">
        <f>IFERROR(__xludf.DUMMYFUNCTION("vlookup(D1494,IMPORTRANGE(""https://docs.google.com/spreadsheets/d/1swGwZOEqYlTEUCJLY-eeJM1911Kvaei5oySBIxdgtNo/edit?pli=1#gid=257618397"",""stock untanna!B:C""),2,false)"),"PITA TARIK/KADO 30 TH -1")</f>
        <v>PITA TARIK/KADO 30 TH -1</v>
      </c>
      <c r="F1494" s="49" t="s">
        <v>1989</v>
      </c>
      <c r="G1494" s="71" t="s">
        <v>1990</v>
      </c>
      <c r="H1494" s="41"/>
      <c r="I1494" s="42"/>
      <c r="J1494" s="43"/>
      <c r="K1494" s="72">
        <v>50.0</v>
      </c>
      <c r="L1494" s="53" t="s">
        <v>114</v>
      </c>
      <c r="M1494" s="73">
        <v>11000.0</v>
      </c>
      <c r="N1494" s="74"/>
      <c r="O1494" s="73">
        <v>550000.0</v>
      </c>
      <c r="P1494" s="46" t="str">
        <f t="shared" si="2"/>
        <v>Rp11,000-50 PAK-0.00%</v>
      </c>
      <c r="Q1494" s="75">
        <v>45412.0</v>
      </c>
      <c r="R1494" s="76"/>
      <c r="S1494" s="75">
        <v>45422.0</v>
      </c>
      <c r="T1494" s="49" t="s">
        <v>100</v>
      </c>
    </row>
    <row r="1495">
      <c r="A1495" s="90">
        <v>64.0</v>
      </c>
      <c r="B1495" s="91" t="s">
        <v>29</v>
      </c>
      <c r="C1495" s="49" t="s">
        <v>1879</v>
      </c>
      <c r="D1495" s="77" t="s">
        <v>1991</v>
      </c>
      <c r="E1495" s="41" t="str">
        <f>IFERROR(__xludf.DUMMYFUNCTION("IFNA(vlookup(D1495,IMPORTRANGE(""https://docs.google.com/spreadsheets/d/1swGwZOEqYlTEUCJLY-eeJM1911Kvaei5oySBIxdgtNo/edit?pli=1#gid=257618397"",""stock untanna!B:C""),2,false),V:V)"),"PITA SJ-50")</f>
        <v>PITA SJ-50</v>
      </c>
      <c r="F1495" s="49"/>
      <c r="G1495" s="71" t="s">
        <v>1992</v>
      </c>
      <c r="H1495" s="41"/>
      <c r="I1495" s="42"/>
      <c r="J1495" s="85" t="s">
        <v>1319</v>
      </c>
      <c r="K1495" s="72">
        <v>50.0</v>
      </c>
      <c r="L1495" s="53" t="s">
        <v>114</v>
      </c>
      <c r="M1495" s="73">
        <v>20000.0</v>
      </c>
      <c r="N1495" s="74"/>
      <c r="O1495" s="73">
        <v>1000000.0</v>
      </c>
      <c r="P1495" s="46" t="str">
        <f t="shared" si="2"/>
        <v>Rp20,000-50 PAK-0.00%</v>
      </c>
      <c r="Q1495" s="75">
        <v>45412.0</v>
      </c>
      <c r="R1495" s="76"/>
      <c r="S1495" s="75">
        <v>45422.0</v>
      </c>
      <c r="T1495" s="80" t="s">
        <v>280</v>
      </c>
    </row>
    <row r="1496">
      <c r="A1496" s="90">
        <v>64.0</v>
      </c>
      <c r="B1496" s="91" t="s">
        <v>29</v>
      </c>
      <c r="C1496" s="49" t="s">
        <v>1879</v>
      </c>
      <c r="D1496" s="91" t="s">
        <v>1993</v>
      </c>
      <c r="E1496" s="41" t="str">
        <f>IFERROR(__xludf.DUMMYFUNCTION("vlookup(D1496,IMPORTRANGE(""https://docs.google.com/spreadsheets/d/1swGwZOEqYlTEUCJLY-eeJM1911Kvaei5oySBIxdgtNo/edit?pli=1#gid=257618397"",""stock untanna!B:C""),2,false)"),"SULING TREND 900")</f>
        <v>SULING TREND 900</v>
      </c>
      <c r="F1496" s="49" t="s">
        <v>1993</v>
      </c>
      <c r="G1496" s="71" t="s">
        <v>1994</v>
      </c>
      <c r="H1496" s="41"/>
      <c r="I1496" s="42"/>
      <c r="J1496" s="43"/>
      <c r="K1496" s="72">
        <v>2.0</v>
      </c>
      <c r="L1496" s="53" t="s">
        <v>62</v>
      </c>
      <c r="M1496" s="73">
        <v>200000.0</v>
      </c>
      <c r="N1496" s="74"/>
      <c r="O1496" s="73">
        <v>400000.0</v>
      </c>
      <c r="P1496" s="46" t="str">
        <f t="shared" si="2"/>
        <v>Rp200,000-2 LSN-0.00%</v>
      </c>
      <c r="Q1496" s="75">
        <v>45412.0</v>
      </c>
      <c r="R1496" s="76"/>
      <c r="S1496" s="75">
        <v>45422.0</v>
      </c>
      <c r="T1496" s="49"/>
    </row>
    <row r="1497">
      <c r="A1497" s="90">
        <v>65.0</v>
      </c>
      <c r="B1497" s="91" t="s">
        <v>29</v>
      </c>
      <c r="C1497" s="49" t="s">
        <v>1995</v>
      </c>
      <c r="D1497" s="91"/>
      <c r="E1497" s="41" t="s">
        <v>1996</v>
      </c>
      <c r="F1497" s="49"/>
      <c r="G1497" s="71" t="s">
        <v>1996</v>
      </c>
      <c r="H1497" s="41"/>
      <c r="I1497" s="42"/>
      <c r="J1497" s="43"/>
      <c r="K1497" s="72">
        <v>100.0</v>
      </c>
      <c r="L1497" s="53" t="s">
        <v>69</v>
      </c>
      <c r="M1497" s="73">
        <v>500.0</v>
      </c>
      <c r="N1497" s="83">
        <v>0.145</v>
      </c>
      <c r="O1497" s="73">
        <v>42750.0</v>
      </c>
      <c r="P1497" s="46" t="str">
        <f t="shared" si="2"/>
        <v>Rp500-100 PCS-14.50%</v>
      </c>
      <c r="Q1497" s="75">
        <v>45412.0</v>
      </c>
      <c r="R1497" s="76"/>
      <c r="S1497" s="75">
        <v>45422.0</v>
      </c>
      <c r="T1497" s="80" t="s">
        <v>280</v>
      </c>
    </row>
    <row r="1498">
      <c r="A1498" s="90">
        <v>65.0</v>
      </c>
      <c r="B1498" s="91" t="s">
        <v>29</v>
      </c>
      <c r="C1498" s="49" t="s">
        <v>1995</v>
      </c>
      <c r="D1498" s="91" t="s">
        <v>1997</v>
      </c>
      <c r="E1498" s="41" t="str">
        <f>IFERROR(__xludf.DUMMYFUNCTION("vlookup(D1498,IMPORTRANGE(""https://docs.google.com/spreadsheets/d/1swGwZOEqYlTEUCJLY-eeJM1911Kvaei5oySBIxdgtNo/edit?pli=1#gid=257618397"",""stock untanna!B:C""),2,false)"),"ID CARD B1 IMPORT")</f>
        <v>ID CARD B1 IMPORT</v>
      </c>
      <c r="F1498" s="49" t="s">
        <v>1997</v>
      </c>
      <c r="G1498" s="71" t="s">
        <v>1998</v>
      </c>
      <c r="H1498" s="41"/>
      <c r="I1498" s="42"/>
      <c r="J1498" s="43"/>
      <c r="K1498" s="72">
        <v>100.0</v>
      </c>
      <c r="L1498" s="53" t="s">
        <v>69</v>
      </c>
      <c r="M1498" s="73">
        <v>500.0</v>
      </c>
      <c r="N1498" s="83">
        <v>0.145</v>
      </c>
      <c r="O1498" s="73">
        <v>42750.0</v>
      </c>
      <c r="P1498" s="46" t="str">
        <f t="shared" si="2"/>
        <v>Rp500-100 PCS-14.50%</v>
      </c>
      <c r="Q1498" s="75">
        <v>45412.0</v>
      </c>
      <c r="R1498" s="76"/>
      <c r="S1498" s="75">
        <v>45422.0</v>
      </c>
      <c r="T1498" s="49"/>
    </row>
    <row r="1499">
      <c r="A1499" s="90">
        <v>65.0</v>
      </c>
      <c r="B1499" s="91" t="s">
        <v>29</v>
      </c>
      <c r="C1499" s="49" t="s">
        <v>1995</v>
      </c>
      <c r="D1499" s="91"/>
      <c r="E1499" s="41" t="s">
        <v>1699</v>
      </c>
      <c r="F1499" s="49"/>
      <c r="G1499" s="71" t="s">
        <v>1699</v>
      </c>
      <c r="H1499" s="41"/>
      <c r="I1499" s="42"/>
      <c r="J1499" s="43"/>
      <c r="K1499" s="72">
        <v>3.0</v>
      </c>
      <c r="L1499" s="53" t="s">
        <v>62</v>
      </c>
      <c r="M1499" s="73">
        <v>27500.0</v>
      </c>
      <c r="N1499" s="83">
        <v>0.145</v>
      </c>
      <c r="O1499" s="73">
        <v>70537.5</v>
      </c>
      <c r="P1499" s="46" t="str">
        <f t="shared" si="2"/>
        <v>Rp27,500-3 LSN-14.50%</v>
      </c>
      <c r="Q1499" s="75">
        <v>45412.0</v>
      </c>
      <c r="R1499" s="76"/>
      <c r="S1499" s="75">
        <v>45422.0</v>
      </c>
      <c r="T1499" s="49"/>
    </row>
    <row r="1500">
      <c r="A1500" s="90">
        <v>65.0</v>
      </c>
      <c r="B1500" s="91" t="s">
        <v>29</v>
      </c>
      <c r="C1500" s="49" t="s">
        <v>1995</v>
      </c>
      <c r="D1500" s="91" t="s">
        <v>1755</v>
      </c>
      <c r="E1500" s="41" t="str">
        <f>IFERROR(__xludf.DUMMYFUNCTION("vlookup(D1500,IMPORTRANGE(""https://docs.google.com/spreadsheets/d/1swGwZOEqYlTEUCJLY-eeJM1911Kvaei5oySBIxdgtNo/edit?pli=1#gid=257618397"",""stock untanna!B:C""),2,false)"),"DISPENSER KENJOY 25")</f>
        <v>DISPENSER KENJOY 25</v>
      </c>
      <c r="F1500" s="49" t="s">
        <v>1755</v>
      </c>
      <c r="G1500" s="71" t="s">
        <v>1756</v>
      </c>
      <c r="H1500" s="41"/>
      <c r="I1500" s="42"/>
      <c r="J1500" s="43"/>
      <c r="K1500" s="72">
        <v>36.0</v>
      </c>
      <c r="L1500" s="53" t="s">
        <v>69</v>
      </c>
      <c r="M1500" s="73">
        <v>9000.0</v>
      </c>
      <c r="N1500" s="83">
        <v>0.145</v>
      </c>
      <c r="O1500" s="73">
        <v>277020.0</v>
      </c>
      <c r="P1500" s="46" t="str">
        <f t="shared" si="2"/>
        <v>Rp9,000-36 PCS-14.50%</v>
      </c>
      <c r="Q1500" s="75">
        <v>45412.0</v>
      </c>
      <c r="R1500" s="76"/>
      <c r="S1500" s="75">
        <v>45422.0</v>
      </c>
      <c r="T1500" s="49"/>
    </row>
    <row r="1501">
      <c r="A1501" s="90">
        <v>65.0</v>
      </c>
      <c r="B1501" s="91" t="s">
        <v>29</v>
      </c>
      <c r="C1501" s="49" t="s">
        <v>1995</v>
      </c>
      <c r="D1501" s="91"/>
      <c r="E1501" s="41" t="s">
        <v>141</v>
      </c>
      <c r="F1501" s="49"/>
      <c r="G1501" s="71" t="s">
        <v>141</v>
      </c>
      <c r="H1501" s="41"/>
      <c r="I1501" s="42"/>
      <c r="J1501" s="43"/>
      <c r="K1501" s="72">
        <v>36.0</v>
      </c>
      <c r="L1501" s="53" t="s">
        <v>69</v>
      </c>
      <c r="M1501" s="73">
        <v>19000.0</v>
      </c>
      <c r="N1501" s="83">
        <v>0.145</v>
      </c>
      <c r="O1501" s="73">
        <v>584820.0</v>
      </c>
      <c r="P1501" s="46" t="str">
        <f t="shared" si="2"/>
        <v>Rp19,000-36 PCS-14.50%</v>
      </c>
      <c r="Q1501" s="75">
        <v>45412.0</v>
      </c>
      <c r="R1501" s="76"/>
      <c r="S1501" s="75">
        <v>45422.0</v>
      </c>
      <c r="T1501" s="80" t="s">
        <v>280</v>
      </c>
    </row>
    <row r="1502">
      <c r="A1502" s="90">
        <v>65.0</v>
      </c>
      <c r="B1502" s="91" t="s">
        <v>29</v>
      </c>
      <c r="C1502" s="49" t="s">
        <v>1995</v>
      </c>
      <c r="D1502" s="91" t="s">
        <v>1718</v>
      </c>
      <c r="E1502" s="41" t="str">
        <f>IFERROR(__xludf.DUMMYFUNCTION("vlookup(D1502,IMPORTRANGE(""https://docs.google.com/spreadsheets/d/1swGwZOEqYlTEUCJLY-eeJM1911Kvaei5oySBIxdgtNo/edit?pli=1#gid=257618397"",""stock untanna!B:C""),2,false)"),"DISPENSER KEONG V-TECH 216")</f>
        <v>DISPENSER KEONG V-TECH 216</v>
      </c>
      <c r="F1502" s="49" t="s">
        <v>1718</v>
      </c>
      <c r="G1502" s="71" t="s">
        <v>1719</v>
      </c>
      <c r="H1502" s="41"/>
      <c r="I1502" s="42"/>
      <c r="J1502" s="43"/>
      <c r="K1502" s="72">
        <v>36.0</v>
      </c>
      <c r="L1502" s="53" t="s">
        <v>69</v>
      </c>
      <c r="M1502" s="73">
        <v>22500.0</v>
      </c>
      <c r="N1502" s="83">
        <v>0.145</v>
      </c>
      <c r="O1502" s="73">
        <v>692550.0</v>
      </c>
      <c r="P1502" s="46" t="str">
        <f t="shared" si="2"/>
        <v>Rp22,500-36 PCS-14.50%</v>
      </c>
      <c r="Q1502" s="75">
        <v>45412.0</v>
      </c>
      <c r="R1502" s="76"/>
      <c r="S1502" s="75">
        <v>45422.0</v>
      </c>
      <c r="T1502" s="49"/>
    </row>
    <row r="1503">
      <c r="A1503" s="90">
        <v>65.0</v>
      </c>
      <c r="B1503" s="91" t="s">
        <v>29</v>
      </c>
      <c r="C1503" s="49" t="s">
        <v>1995</v>
      </c>
      <c r="D1503" s="91"/>
      <c r="E1503" s="41" t="s">
        <v>1999</v>
      </c>
      <c r="F1503" s="49"/>
      <c r="G1503" s="71" t="s">
        <v>1999</v>
      </c>
      <c r="H1503" s="41"/>
      <c r="I1503" s="42"/>
      <c r="J1503" s="43"/>
      <c r="K1503" s="72">
        <v>36.0</v>
      </c>
      <c r="L1503" s="53" t="s">
        <v>69</v>
      </c>
      <c r="M1503" s="73">
        <v>12000.0</v>
      </c>
      <c r="N1503" s="83">
        <v>0.145</v>
      </c>
      <c r="O1503" s="73">
        <v>369360.0</v>
      </c>
      <c r="P1503" s="46" t="str">
        <f t="shared" si="2"/>
        <v>Rp12,000-36 PCS-14.50%</v>
      </c>
      <c r="Q1503" s="75">
        <v>45412.0</v>
      </c>
      <c r="R1503" s="76"/>
      <c r="S1503" s="75">
        <v>45422.0</v>
      </c>
      <c r="T1503" s="80" t="s">
        <v>280</v>
      </c>
    </row>
    <row r="1504">
      <c r="A1504" s="90">
        <v>65.0</v>
      </c>
      <c r="B1504" s="91" t="s">
        <v>29</v>
      </c>
      <c r="C1504" s="49" t="s">
        <v>1995</v>
      </c>
      <c r="D1504" s="91"/>
      <c r="E1504" s="41" t="s">
        <v>2000</v>
      </c>
      <c r="F1504" s="49"/>
      <c r="G1504" s="71" t="s">
        <v>2000</v>
      </c>
      <c r="H1504" s="41"/>
      <c r="I1504" s="42"/>
      <c r="J1504" s="43"/>
      <c r="K1504" s="72">
        <v>240.0</v>
      </c>
      <c r="L1504" s="53" t="s">
        <v>69</v>
      </c>
      <c r="M1504" s="73">
        <v>3250.0</v>
      </c>
      <c r="N1504" s="83">
        <v>0.145</v>
      </c>
      <c r="O1504" s="73">
        <v>666900.0</v>
      </c>
      <c r="P1504" s="46" t="str">
        <f t="shared" si="2"/>
        <v>Rp3,250-240 PCS-14.50%</v>
      </c>
      <c r="Q1504" s="75">
        <v>45412.0</v>
      </c>
      <c r="R1504" s="76"/>
      <c r="S1504" s="75">
        <v>45422.0</v>
      </c>
      <c r="T1504" s="49"/>
    </row>
    <row r="1505">
      <c r="A1505" s="90">
        <v>65.0</v>
      </c>
      <c r="B1505" s="91" t="s">
        <v>29</v>
      </c>
      <c r="C1505" s="49" t="s">
        <v>1995</v>
      </c>
      <c r="D1505" s="91" t="s">
        <v>838</v>
      </c>
      <c r="E1505" s="41" t="str">
        <f>IFERROR(__xludf.DUMMYFUNCTION("vlookup(D1505,IMPORTRANGE(""https://docs.google.com/spreadsheets/d/1swGwZOEqYlTEUCJLY-eeJM1911Kvaei5oySBIxdgtNo/edit?pli=1#gid=257618397"",""stock untanna!B:C""),2,false)"),"CAT ACRYLIC COLOUR TF AC-002")</f>
        <v>CAT ACRYLIC COLOUR TF AC-002</v>
      </c>
      <c r="F1505" s="49" t="s">
        <v>838</v>
      </c>
      <c r="G1505" s="71" t="s">
        <v>839</v>
      </c>
      <c r="H1505" s="41"/>
      <c r="I1505" s="42"/>
      <c r="J1505" s="43"/>
      <c r="K1505" s="72">
        <v>2.0</v>
      </c>
      <c r="L1505" s="53" t="s">
        <v>62</v>
      </c>
      <c r="M1505" s="73">
        <v>385000.0</v>
      </c>
      <c r="N1505" s="83">
        <v>0.145</v>
      </c>
      <c r="O1505" s="73">
        <v>658350.0</v>
      </c>
      <c r="P1505" s="46" t="str">
        <f t="shared" si="2"/>
        <v>Rp385,000-2 LSN-14.50%</v>
      </c>
      <c r="Q1505" s="75">
        <v>45412.0</v>
      </c>
      <c r="R1505" s="76"/>
      <c r="S1505" s="75">
        <v>45422.0</v>
      </c>
      <c r="T1505" s="49"/>
    </row>
    <row r="1506">
      <c r="A1506" s="90">
        <v>4460.0</v>
      </c>
      <c r="B1506" s="91" t="s">
        <v>58</v>
      </c>
      <c r="C1506" s="49" t="s">
        <v>2001</v>
      </c>
      <c r="D1506" s="91" t="s">
        <v>1307</v>
      </c>
      <c r="E1506" s="41" t="str">
        <f>IFERROR(__xludf.DUMMYFUNCTION("vlookup(D1506,IMPORTRANGE(""https://docs.google.com/spreadsheets/d/1swGwZOEqYlTEUCJLY-eeJM1911Kvaei5oySBIxdgtNo/edit?pli=1#gid=257618397"",""stock untanna!B:C""),2,false)"),"BP E 8805 MULTI WARNA (24)")</f>
        <v>BP E 8805 MULTI WARNA (24)</v>
      </c>
      <c r="F1506" s="49" t="s">
        <v>1307</v>
      </c>
      <c r="G1506" s="71" t="s">
        <v>1308</v>
      </c>
      <c r="H1506" s="41"/>
      <c r="I1506" s="42"/>
      <c r="J1506" s="43"/>
      <c r="K1506" s="72">
        <v>1.0</v>
      </c>
      <c r="L1506" s="53" t="s">
        <v>88</v>
      </c>
      <c r="M1506" s="73">
        <v>168000.0</v>
      </c>
      <c r="N1506" s="74"/>
      <c r="O1506" s="73">
        <v>168000.0</v>
      </c>
      <c r="P1506" s="46" t="str">
        <f t="shared" si="2"/>
        <v>Rp168,000-1 BOX-0.00%</v>
      </c>
      <c r="Q1506" s="75">
        <v>45412.0</v>
      </c>
      <c r="R1506" s="76"/>
      <c r="S1506" s="75">
        <v>45422.0</v>
      </c>
      <c r="T1506" s="49"/>
    </row>
    <row r="1507">
      <c r="A1507" s="90">
        <v>4460.0</v>
      </c>
      <c r="B1507" s="91" t="s">
        <v>58</v>
      </c>
      <c r="C1507" s="49" t="s">
        <v>2001</v>
      </c>
      <c r="D1507" s="91" t="s">
        <v>306</v>
      </c>
      <c r="E1507" s="41" t="str">
        <f>IFERROR(__xludf.DUMMYFUNCTION("vlookup(D1507,IMPORTRANGE(""https://docs.google.com/spreadsheets/d/1swGwZOEqYlTEUCJLY-eeJM1911Kvaei5oySBIxdgtNo/edit?pli=1#gid=257618397"",""stock untanna!B:C""),2,false)"),"BP TF-2037 6W")</f>
        <v>BP TF-2037 6W</v>
      </c>
      <c r="F1507" s="49" t="s">
        <v>306</v>
      </c>
      <c r="G1507" s="71" t="s">
        <v>307</v>
      </c>
      <c r="H1507" s="41"/>
      <c r="I1507" s="42"/>
      <c r="J1507" s="43"/>
      <c r="K1507" s="72">
        <v>6.0</v>
      </c>
      <c r="L1507" s="53" t="s">
        <v>62</v>
      </c>
      <c r="M1507" s="73">
        <v>48000.0</v>
      </c>
      <c r="N1507" s="74"/>
      <c r="O1507" s="73">
        <v>288000.0</v>
      </c>
      <c r="P1507" s="46" t="str">
        <f t="shared" si="2"/>
        <v>Rp48,000-6 LSN-0.00%</v>
      </c>
      <c r="Q1507" s="75">
        <v>45412.0</v>
      </c>
      <c r="R1507" s="76"/>
      <c r="S1507" s="75">
        <v>45422.0</v>
      </c>
      <c r="T1507" s="49"/>
    </row>
    <row r="1508">
      <c r="A1508" s="90">
        <v>4460.0</v>
      </c>
      <c r="B1508" s="91" t="s">
        <v>58</v>
      </c>
      <c r="C1508" s="49" t="s">
        <v>2001</v>
      </c>
      <c r="D1508" s="91" t="s">
        <v>2002</v>
      </c>
      <c r="E1508" s="41" t="str">
        <f>IFERROR(__xludf.DUMMYFUNCTION("vlookup(D1508,IMPORTRANGE(""https://docs.google.com/spreadsheets/d/1swGwZOEqYlTEUCJLY-eeJM1911Kvaei5oySBIxdgtNo/edit?pli=1#gid=257618397"",""stock untanna!B:C""),2,false)"),"STABILO DEBOZZ SB 007")</f>
        <v>STABILO DEBOZZ SB 007</v>
      </c>
      <c r="F1508" s="49" t="s">
        <v>2002</v>
      </c>
      <c r="G1508" s="71" t="s">
        <v>2003</v>
      </c>
      <c r="H1508" s="41"/>
      <c r="I1508" s="42"/>
      <c r="J1508" s="43"/>
      <c r="K1508" s="72">
        <v>6.0</v>
      </c>
      <c r="L1508" s="53" t="s">
        <v>62</v>
      </c>
      <c r="M1508" s="73">
        <v>23000.0</v>
      </c>
      <c r="N1508" s="74"/>
      <c r="O1508" s="73">
        <v>138000.0</v>
      </c>
      <c r="P1508" s="46" t="str">
        <f t="shared" si="2"/>
        <v>Rp23,000-6 LSN-0.00%</v>
      </c>
      <c r="Q1508" s="75">
        <v>45412.0</v>
      </c>
      <c r="R1508" s="76"/>
      <c r="S1508" s="75">
        <v>45422.0</v>
      </c>
      <c r="T1508" s="49"/>
    </row>
    <row r="1509">
      <c r="A1509" s="90">
        <v>4460.0</v>
      </c>
      <c r="B1509" s="91" t="s">
        <v>58</v>
      </c>
      <c r="C1509" s="49" t="s">
        <v>2001</v>
      </c>
      <c r="D1509" s="91"/>
      <c r="E1509" s="41" t="s">
        <v>2004</v>
      </c>
      <c r="F1509" s="49"/>
      <c r="G1509" s="71" t="s">
        <v>2004</v>
      </c>
      <c r="H1509" s="41"/>
      <c r="I1509" s="42"/>
      <c r="J1509" s="43"/>
      <c r="K1509" s="72">
        <v>1.0</v>
      </c>
      <c r="L1509" s="53" t="s">
        <v>62</v>
      </c>
      <c r="M1509" s="73">
        <v>243000.0</v>
      </c>
      <c r="N1509" s="74"/>
      <c r="O1509" s="73">
        <v>243000.0</v>
      </c>
      <c r="P1509" s="46" t="str">
        <f t="shared" si="2"/>
        <v>Rp243,000-1 LSN-0.00%</v>
      </c>
      <c r="Q1509" s="75">
        <v>45412.0</v>
      </c>
      <c r="R1509" s="76"/>
      <c r="S1509" s="75">
        <v>45422.0</v>
      </c>
      <c r="T1509" s="49"/>
    </row>
    <row r="1510">
      <c r="A1510" s="90">
        <v>4460.0</v>
      </c>
      <c r="B1510" s="91" t="s">
        <v>58</v>
      </c>
      <c r="C1510" s="49" t="s">
        <v>2001</v>
      </c>
      <c r="D1510" s="77" t="s">
        <v>1970</v>
      </c>
      <c r="E1510" s="41" t="str">
        <f>IFERROR(__xludf.DUMMYFUNCTION("vlookup(D1510,IMPORTRANGE(""https://docs.google.com/spreadsheets/d/1swGwZOEqYlTEUCJLY-eeJM1911Kvaei5oySBIxdgtNo/edit?pli=1#gid=257618397"",""stock untanna!B:C""),2,false)"),"GARISAN SET ZX 6138")</f>
        <v>GARISAN SET ZX 6138</v>
      </c>
      <c r="F1510" s="49" t="s">
        <v>1971</v>
      </c>
      <c r="G1510" s="71" t="s">
        <v>1972</v>
      </c>
      <c r="H1510" s="41"/>
      <c r="I1510" s="42"/>
      <c r="J1510" s="43"/>
      <c r="K1510" s="72">
        <v>1.0</v>
      </c>
      <c r="L1510" s="53" t="s">
        <v>88</v>
      </c>
      <c r="M1510" s="73">
        <v>150000.0</v>
      </c>
      <c r="N1510" s="74"/>
      <c r="O1510" s="73">
        <v>150000.0</v>
      </c>
      <c r="P1510" s="46" t="str">
        <f t="shared" si="2"/>
        <v>Rp150,000-1 BOX-0.00%</v>
      </c>
      <c r="Q1510" s="75">
        <v>45412.0</v>
      </c>
      <c r="R1510" s="76"/>
      <c r="S1510" s="75">
        <v>45422.0</v>
      </c>
      <c r="T1510" s="49"/>
    </row>
    <row r="1511">
      <c r="A1511" s="90">
        <v>4460.0</v>
      </c>
      <c r="B1511" s="91" t="s">
        <v>58</v>
      </c>
      <c r="C1511" s="49" t="s">
        <v>2001</v>
      </c>
      <c r="D1511" s="91"/>
      <c r="E1511" s="41" t="s">
        <v>2005</v>
      </c>
      <c r="F1511" s="49"/>
      <c r="G1511" s="71" t="s">
        <v>2005</v>
      </c>
      <c r="H1511" s="41"/>
      <c r="I1511" s="42"/>
      <c r="J1511" s="43"/>
      <c r="K1511" s="72">
        <v>1.0</v>
      </c>
      <c r="L1511" s="53" t="s">
        <v>88</v>
      </c>
      <c r="M1511" s="73">
        <v>150000.0</v>
      </c>
      <c r="N1511" s="74"/>
      <c r="O1511" s="73">
        <v>150000.0</v>
      </c>
      <c r="P1511" s="46" t="str">
        <f t="shared" si="2"/>
        <v>Rp150,000-1 BOX-0.00%</v>
      </c>
      <c r="Q1511" s="75">
        <v>45412.0</v>
      </c>
      <c r="R1511" s="76"/>
      <c r="S1511" s="75">
        <v>45422.0</v>
      </c>
      <c r="T1511" s="49"/>
    </row>
    <row r="1512">
      <c r="A1512" s="90">
        <v>4460.0</v>
      </c>
      <c r="B1512" s="91" t="s">
        <v>58</v>
      </c>
      <c r="C1512" s="49" t="s">
        <v>2001</v>
      </c>
      <c r="D1512" s="91" t="s">
        <v>1551</v>
      </c>
      <c r="E1512" s="41" t="str">
        <f>IFERROR(__xludf.DUMMYFUNCTION("vlookup(D1512,IMPORTRANGE(""https://docs.google.com/spreadsheets/d/1swGwZOEqYlTEUCJLY-eeJM1911Kvaei5oySBIxdgtNo/edit?pli=1#gid=257618397"",""stock untanna!B:C""),2,false)"),"CLIPBOARD ENTER ANTI PECAH (GAP 03)")</f>
        <v>CLIPBOARD ENTER ANTI PECAH (GAP 03)</v>
      </c>
      <c r="F1512" s="49" t="s">
        <v>1551</v>
      </c>
      <c r="G1512" s="78" t="s">
        <v>1552</v>
      </c>
      <c r="H1512" s="41"/>
      <c r="I1512" s="42"/>
      <c r="J1512" s="43"/>
      <c r="K1512" s="72">
        <v>2.0</v>
      </c>
      <c r="L1512" s="53" t="s">
        <v>62</v>
      </c>
      <c r="M1512" s="73">
        <v>138000.0</v>
      </c>
      <c r="N1512" s="74"/>
      <c r="O1512" s="73">
        <v>276000.0</v>
      </c>
      <c r="P1512" s="46" t="str">
        <f t="shared" si="2"/>
        <v>Rp138,000-2 LSN-0.00%</v>
      </c>
      <c r="Q1512" s="75">
        <v>45412.0</v>
      </c>
      <c r="R1512" s="76"/>
      <c r="S1512" s="75">
        <v>45422.0</v>
      </c>
      <c r="T1512" s="49"/>
    </row>
    <row r="1513">
      <c r="A1513" s="90">
        <v>4460.0</v>
      </c>
      <c r="B1513" s="91" t="s">
        <v>58</v>
      </c>
      <c r="C1513" s="49" t="s">
        <v>2001</v>
      </c>
      <c r="D1513" s="91" t="s">
        <v>871</v>
      </c>
      <c r="E1513" s="41" t="str">
        <f>IFERROR(__xludf.DUMMYFUNCTION("vlookup(D1513,IMPORTRANGE(""https://docs.google.com/spreadsheets/d/1swGwZOEqYlTEUCJLY-eeJM1911Kvaei5oySBIxdgtNo/edit?pli=1#gid=257618397"",""stock untanna!B:C""),2,false)"),"CLIPBOARD SQ FANCY HOLO 2 MUKA")</f>
        <v>CLIPBOARD SQ FANCY HOLO 2 MUKA</v>
      </c>
      <c r="F1513" s="49" t="s">
        <v>871</v>
      </c>
      <c r="G1513" s="71" t="s">
        <v>872</v>
      </c>
      <c r="H1513" s="41"/>
      <c r="I1513" s="42"/>
      <c r="J1513" s="43"/>
      <c r="K1513" s="72">
        <v>2.0</v>
      </c>
      <c r="L1513" s="53" t="s">
        <v>62</v>
      </c>
      <c r="M1513" s="73">
        <v>75000.0</v>
      </c>
      <c r="N1513" s="74"/>
      <c r="O1513" s="73">
        <v>150000.0</v>
      </c>
      <c r="P1513" s="46" t="str">
        <f t="shared" si="2"/>
        <v>Rp75,000-2 LSN-0.00%</v>
      </c>
      <c r="Q1513" s="75">
        <v>45412.0</v>
      </c>
      <c r="R1513" s="76"/>
      <c r="S1513" s="75">
        <v>45422.0</v>
      </c>
      <c r="T1513" s="49"/>
    </row>
    <row r="1514">
      <c r="A1514" s="90">
        <v>4460.0</v>
      </c>
      <c r="B1514" s="91" t="s">
        <v>58</v>
      </c>
      <c r="C1514" s="49" t="s">
        <v>2001</v>
      </c>
      <c r="D1514" s="91" t="s">
        <v>1381</v>
      </c>
      <c r="E1514" s="41" t="str">
        <f>IFERROR(__xludf.DUMMYFUNCTION("vlookup(D1514,IMPORTRANGE(""https://docs.google.com/spreadsheets/d/1swGwZOEqYlTEUCJLY-eeJM1911Kvaei5oySBIxdgtNo/edit?pli=1#gid=257618397"",""stock untanna!B:C""),2,false)"),"PENCIL CASE XLG BD786")</f>
        <v>PENCIL CASE XLG BD786</v>
      </c>
      <c r="F1514" s="49" t="s">
        <v>1381</v>
      </c>
      <c r="G1514" s="71" t="s">
        <v>1382</v>
      </c>
      <c r="H1514" s="41"/>
      <c r="I1514" s="42"/>
      <c r="J1514" s="43"/>
      <c r="K1514" s="72">
        <v>12.0</v>
      </c>
      <c r="L1514" s="53" t="s">
        <v>69</v>
      </c>
      <c r="M1514" s="73">
        <v>25500.0</v>
      </c>
      <c r="N1514" s="74"/>
      <c r="O1514" s="73">
        <v>306000.0</v>
      </c>
      <c r="P1514" s="46" t="str">
        <f t="shared" si="2"/>
        <v>Rp25,500-12 PCS-0.00%</v>
      </c>
      <c r="Q1514" s="75">
        <v>45412.0</v>
      </c>
      <c r="R1514" s="76"/>
      <c r="S1514" s="75">
        <v>45422.0</v>
      </c>
      <c r="T1514" s="49"/>
    </row>
    <row r="1515">
      <c r="A1515" s="90">
        <v>4460.0</v>
      </c>
      <c r="B1515" s="91" t="s">
        <v>58</v>
      </c>
      <c r="C1515" s="49" t="s">
        <v>2001</v>
      </c>
      <c r="D1515" s="91" t="s">
        <v>1102</v>
      </c>
      <c r="E1515" s="41" t="str">
        <f>IFERROR(__xludf.DUMMYFUNCTION("vlookup(D1515,IMPORTRANGE(""https://docs.google.com/spreadsheets/d/1swGwZOEqYlTEUCJLY-eeJM1911Kvaei5oySBIxdgtNo/edit?pli=1#gid=257618397"",""stock untanna!B:C""),2,false)"),"PENCIL CASE XLG BD860")</f>
        <v>PENCIL CASE XLG BD860</v>
      </c>
      <c r="F1515" s="49" t="s">
        <v>1102</v>
      </c>
      <c r="G1515" s="71" t="s">
        <v>1103</v>
      </c>
      <c r="H1515" s="41"/>
      <c r="I1515" s="42"/>
      <c r="J1515" s="43"/>
      <c r="K1515" s="72">
        <v>12.0</v>
      </c>
      <c r="L1515" s="53" t="s">
        <v>69</v>
      </c>
      <c r="M1515" s="73">
        <v>25500.0</v>
      </c>
      <c r="N1515" s="74"/>
      <c r="O1515" s="73">
        <v>306000.0</v>
      </c>
      <c r="P1515" s="46" t="str">
        <f t="shared" si="2"/>
        <v>Rp25,500-12 PCS-0.00%</v>
      </c>
      <c r="Q1515" s="75">
        <v>45412.0</v>
      </c>
      <c r="R1515" s="76"/>
      <c r="S1515" s="75">
        <v>45422.0</v>
      </c>
      <c r="T1515" s="49"/>
    </row>
    <row r="1516">
      <c r="A1516" s="90">
        <v>4460.0</v>
      </c>
      <c r="B1516" s="91" t="s">
        <v>58</v>
      </c>
      <c r="C1516" s="49" t="s">
        <v>2001</v>
      </c>
      <c r="D1516" s="91" t="s">
        <v>2006</v>
      </c>
      <c r="E1516" s="41" t="str">
        <f>IFERROR(__xludf.DUMMYFUNCTION("vlookup(D1516,IMPORTRANGE(""https://docs.google.com/spreadsheets/d/1swGwZOEqYlTEUCJLY-eeJM1911Kvaei5oySBIxdgtNo/edit?pli=1#gid=257618397"",""stock untanna!B:C""),2,false)"),"CRAYON PUTAR FANCY 1012/2012 PANJANG ")</f>
        <v>CRAYON PUTAR FANCY 1012/2012 PANJANG </v>
      </c>
      <c r="F1516" s="49" t="s">
        <v>2006</v>
      </c>
      <c r="G1516" s="78" t="s">
        <v>2007</v>
      </c>
      <c r="H1516" s="41"/>
      <c r="I1516" s="42"/>
      <c r="J1516" s="43"/>
      <c r="K1516" s="72">
        <v>24.0</v>
      </c>
      <c r="L1516" s="53" t="s">
        <v>69</v>
      </c>
      <c r="M1516" s="73">
        <v>16500.0</v>
      </c>
      <c r="N1516" s="74"/>
      <c r="O1516" s="73">
        <v>396000.0</v>
      </c>
      <c r="P1516" s="46" t="str">
        <f t="shared" si="2"/>
        <v>Rp16,500-24 PCS-0.00%</v>
      </c>
      <c r="Q1516" s="75">
        <v>45412.0</v>
      </c>
      <c r="R1516" s="76"/>
      <c r="S1516" s="75">
        <v>45422.0</v>
      </c>
      <c r="T1516" s="49"/>
    </row>
    <row r="1517">
      <c r="A1517" s="90">
        <v>4460.0</v>
      </c>
      <c r="B1517" s="91" t="s">
        <v>58</v>
      </c>
      <c r="C1517" s="49" t="s">
        <v>2001</v>
      </c>
      <c r="D1517" s="91" t="s">
        <v>2008</v>
      </c>
      <c r="E1517" s="41" t="str">
        <f>IFERROR(__xludf.DUMMYFUNCTION("vlookup(D1517,IMPORTRANGE(""https://docs.google.com/spreadsheets/d/1swGwZOEqYlTEUCJLY-eeJM1911Kvaei5oySBIxdgtNo/edit?pli=1#gid=257618397"",""stock untanna!B:C""),2,false)"),"PW 9999-12")</f>
        <v>PW 9999-12</v>
      </c>
      <c r="F1517" s="49" t="s">
        <v>2008</v>
      </c>
      <c r="G1517" s="71" t="s">
        <v>2009</v>
      </c>
      <c r="H1517" s="41"/>
      <c r="I1517" s="42"/>
      <c r="J1517" s="43"/>
      <c r="K1517" s="72">
        <v>1.0</v>
      </c>
      <c r="L1517" s="53" t="s">
        <v>62</v>
      </c>
      <c r="M1517" s="73">
        <v>175000.0</v>
      </c>
      <c r="N1517" s="74"/>
      <c r="O1517" s="73">
        <v>175000.0</v>
      </c>
      <c r="P1517" s="46" t="str">
        <f t="shared" si="2"/>
        <v>Rp175,000-1 LSN-0.00%</v>
      </c>
      <c r="Q1517" s="75">
        <v>45412.0</v>
      </c>
      <c r="R1517" s="76"/>
      <c r="S1517" s="75">
        <v>45422.0</v>
      </c>
      <c r="T1517" s="49"/>
    </row>
    <row r="1518">
      <c r="A1518" s="90">
        <v>4460.0</v>
      </c>
      <c r="B1518" s="91" t="s">
        <v>58</v>
      </c>
      <c r="C1518" s="49" t="s">
        <v>2001</v>
      </c>
      <c r="D1518" s="91" t="s">
        <v>993</v>
      </c>
      <c r="E1518" s="41" t="str">
        <f>IFERROR(__xludf.DUMMYFUNCTION("vlookup(D1518,IMPORTRANGE(""https://docs.google.com/spreadsheets/d/1swGwZOEqYlTEUCJLY-eeJM1911Kvaei5oySBIxdgtNo/edit?pli=1#gid=257618397"",""stock untanna!B:C""),2,false)"),"PW 8880-12")</f>
        <v>PW 8880-12</v>
      </c>
      <c r="F1518" s="49" t="s">
        <v>993</v>
      </c>
      <c r="G1518" s="71" t="s">
        <v>994</v>
      </c>
      <c r="H1518" s="41"/>
      <c r="I1518" s="42"/>
      <c r="J1518" s="43"/>
      <c r="K1518" s="72">
        <v>1.0</v>
      </c>
      <c r="L1518" s="53" t="s">
        <v>62</v>
      </c>
      <c r="M1518" s="73">
        <v>175000.0</v>
      </c>
      <c r="N1518" s="74"/>
      <c r="O1518" s="73">
        <v>175000.0</v>
      </c>
      <c r="P1518" s="46" t="str">
        <f t="shared" si="2"/>
        <v>Rp175,000-1 LSN-0.00%</v>
      </c>
      <c r="Q1518" s="75">
        <v>45412.0</v>
      </c>
      <c r="R1518" s="76"/>
      <c r="S1518" s="75">
        <v>45422.0</v>
      </c>
      <c r="T1518" s="49"/>
    </row>
    <row r="1519">
      <c r="A1519" s="90">
        <v>4460.0</v>
      </c>
      <c r="B1519" s="91" t="s">
        <v>58</v>
      </c>
      <c r="C1519" s="49" t="s">
        <v>2001</v>
      </c>
      <c r="D1519" s="77" t="s">
        <v>2010</v>
      </c>
      <c r="E1519" s="41" t="str">
        <f>IFERROR(__xludf.DUMMYFUNCTION("IFNA(vlookup(D1519,IMPORTRANGE(""https://docs.google.com/spreadsheets/d/1swGwZOEqYlTEUCJLY-eeJM1911Kvaei5oySBIxdgtNo/edit?pli=1#gid=257618397"",""stock untanna!B:C""),2,false),V:V)"),"PENSIL 8009-12")</f>
        <v>PENSIL 8009-12</v>
      </c>
      <c r="F1519" s="49"/>
      <c r="G1519" s="71" t="s">
        <v>2011</v>
      </c>
      <c r="H1519" s="41"/>
      <c r="I1519" s="42"/>
      <c r="J1519" s="43" t="str">
        <f>IF(D1519="","TIDAK ADA","ADA")</f>
        <v>ADA</v>
      </c>
      <c r="K1519" s="72">
        <v>1.0</v>
      </c>
      <c r="L1519" s="53" t="s">
        <v>62</v>
      </c>
      <c r="M1519" s="73">
        <v>120000.0</v>
      </c>
      <c r="N1519" s="74"/>
      <c r="O1519" s="73">
        <v>120000.0</v>
      </c>
      <c r="P1519" s="46" t="str">
        <f t="shared" si="2"/>
        <v>Rp120,000-1 LSN-0.00%</v>
      </c>
      <c r="Q1519" s="75">
        <v>45412.0</v>
      </c>
      <c r="R1519" s="76"/>
      <c r="S1519" s="75">
        <v>45422.0</v>
      </c>
      <c r="T1519" s="80" t="s">
        <v>280</v>
      </c>
    </row>
    <row r="1520">
      <c r="A1520" s="90">
        <v>4461.0</v>
      </c>
      <c r="B1520" s="91" t="s">
        <v>58</v>
      </c>
      <c r="C1520" s="49" t="s">
        <v>2001</v>
      </c>
      <c r="D1520" s="91" t="s">
        <v>251</v>
      </c>
      <c r="E1520" s="41" t="str">
        <f>IFERROR(__xludf.DUMMYFUNCTION("vlookup(D1520,IMPORTRANGE(""https://docs.google.com/spreadsheets/d/1swGwZOEqYlTEUCJLY-eeJM1911Kvaei5oySBIxdgtNo/edit?pli=1#gid=257618397"",""stock untanna!B:C""),2,false)"),"TAS TUTUP PITA KADO FG-401 JUMBO")</f>
        <v>TAS TUTUP PITA KADO FG-401 JUMBO</v>
      </c>
      <c r="F1520" s="49" t="s">
        <v>251</v>
      </c>
      <c r="G1520" s="71" t="s">
        <v>252</v>
      </c>
      <c r="H1520" s="41"/>
      <c r="I1520" s="42"/>
      <c r="J1520" s="43"/>
      <c r="K1520" s="72">
        <v>1.0</v>
      </c>
      <c r="L1520" s="53" t="s">
        <v>62</v>
      </c>
      <c r="M1520" s="73">
        <v>150000.0</v>
      </c>
      <c r="N1520" s="74"/>
      <c r="O1520" s="73">
        <v>150000.0</v>
      </c>
      <c r="P1520" s="46" t="str">
        <f t="shared" si="2"/>
        <v>Rp150,000-1 LSN-0.00%</v>
      </c>
      <c r="Q1520" s="75">
        <v>45412.0</v>
      </c>
      <c r="R1520" s="76"/>
      <c r="S1520" s="75">
        <v>45422.0</v>
      </c>
      <c r="T1520" s="49"/>
    </row>
    <row r="1521">
      <c r="A1521" s="90">
        <v>4461.0</v>
      </c>
      <c r="B1521" s="91" t="s">
        <v>58</v>
      </c>
      <c r="C1521" s="49" t="s">
        <v>2001</v>
      </c>
      <c r="D1521" s="91" t="s">
        <v>734</v>
      </c>
      <c r="E1521" s="41" t="str">
        <f>IFERROR(__xludf.DUMMYFUNCTION("vlookup(D1521,IMPORTRANGE(""https://docs.google.com/spreadsheets/d/1swGwZOEqYlTEUCJLY-eeJM1911Kvaei5oySBIxdgtNo/edit?pli=1#gid=257618397"",""stock untanna!B:C""),2,false)"),"PENSIL 2B KAYAGI 3053")</f>
        <v>PENSIL 2B KAYAGI 3053</v>
      </c>
      <c r="F1521" s="49" t="s">
        <v>734</v>
      </c>
      <c r="G1521" s="71" t="s">
        <v>735</v>
      </c>
      <c r="H1521" s="41"/>
      <c r="I1521" s="42"/>
      <c r="J1521" s="43"/>
      <c r="K1521" s="72">
        <v>1.0</v>
      </c>
      <c r="L1521" s="53" t="s">
        <v>131</v>
      </c>
      <c r="M1521" s="73">
        <v>106000.0</v>
      </c>
      <c r="N1521" s="74"/>
      <c r="O1521" s="73">
        <v>106000.0</v>
      </c>
      <c r="P1521" s="46" t="str">
        <f t="shared" si="2"/>
        <v>Rp106,000-1 GRS-0.00%</v>
      </c>
      <c r="Q1521" s="75">
        <v>45412.0</v>
      </c>
      <c r="R1521" s="76"/>
      <c r="S1521" s="75">
        <v>45422.0</v>
      </c>
      <c r="T1521" s="49"/>
    </row>
    <row r="1522">
      <c r="A1522" s="90">
        <v>4461.0</v>
      </c>
      <c r="B1522" s="91" t="s">
        <v>58</v>
      </c>
      <c r="C1522" s="49" t="s">
        <v>2001</v>
      </c>
      <c r="D1522" s="91" t="s">
        <v>1771</v>
      </c>
      <c r="E1522" s="41" t="str">
        <f>IFERROR(__xludf.DUMMYFUNCTION("vlookup(D1522,IMPORTRANGE(""https://docs.google.com/spreadsheets/d/1swGwZOEqYlTEUCJLY-eeJM1911Kvaei5oySBIxdgtNo/edit?pli=1#gid=257618397"",""stock untanna!B:C""),2,false)"),"PENSIL KAYAGI 2B PF3093")</f>
        <v>PENSIL KAYAGI 2B PF3093</v>
      </c>
      <c r="F1522" s="49" t="s">
        <v>1771</v>
      </c>
      <c r="G1522" s="71" t="s">
        <v>1772</v>
      </c>
      <c r="H1522" s="41"/>
      <c r="I1522" s="42"/>
      <c r="J1522" s="43"/>
      <c r="K1522" s="72">
        <v>1.0</v>
      </c>
      <c r="L1522" s="53" t="s">
        <v>131</v>
      </c>
      <c r="M1522" s="73">
        <v>106000.0</v>
      </c>
      <c r="N1522" s="74"/>
      <c r="O1522" s="73">
        <v>106000.0</v>
      </c>
      <c r="P1522" s="46" t="str">
        <f t="shared" si="2"/>
        <v>Rp106,000-1 GRS-0.00%</v>
      </c>
      <c r="Q1522" s="75">
        <v>45412.0</v>
      </c>
      <c r="R1522" s="76"/>
      <c r="S1522" s="75">
        <v>45422.0</v>
      </c>
      <c r="T1522" s="49"/>
    </row>
    <row r="1523">
      <c r="A1523" s="90">
        <v>4461.0</v>
      </c>
      <c r="B1523" s="91" t="s">
        <v>58</v>
      </c>
      <c r="C1523" s="49" t="s">
        <v>2001</v>
      </c>
      <c r="D1523" s="91"/>
      <c r="E1523" s="41" t="s">
        <v>2012</v>
      </c>
      <c r="F1523" s="49"/>
      <c r="G1523" s="71" t="s">
        <v>2012</v>
      </c>
      <c r="H1523" s="41"/>
      <c r="I1523" s="42"/>
      <c r="J1523" s="43"/>
      <c r="K1523" s="72">
        <v>10.0</v>
      </c>
      <c r="L1523" s="53" t="s">
        <v>114</v>
      </c>
      <c r="M1523" s="73">
        <v>25000.0</v>
      </c>
      <c r="N1523" s="74"/>
      <c r="O1523" s="73">
        <v>250000.0</v>
      </c>
      <c r="P1523" s="46" t="str">
        <f t="shared" si="2"/>
        <v>Rp25,000-10 PAK-0.00%</v>
      </c>
      <c r="Q1523" s="75">
        <v>45412.0</v>
      </c>
      <c r="R1523" s="76"/>
      <c r="S1523" s="75">
        <v>45422.0</v>
      </c>
      <c r="T1523" s="49"/>
    </row>
    <row r="1524">
      <c r="A1524" s="90">
        <v>4461.0</v>
      </c>
      <c r="B1524" s="91" t="s">
        <v>58</v>
      </c>
      <c r="C1524" s="49" t="s">
        <v>2001</v>
      </c>
      <c r="D1524" s="91" t="s">
        <v>31</v>
      </c>
      <c r="E1524" s="41" t="str">
        <f>IFERROR(__xludf.DUMMYFUNCTION("vlookup(D1524,IMPORTRANGE(""https://docs.google.com/spreadsheets/d/1swGwZOEqYlTEUCJLY-eeJM1911Kvaei5oySBIxdgtNo/edit?pli=1#gid=257618397"",""stock untanna!B:C""),2,false)"),"ISI STAPLER 13/8 JOSS")</f>
        <v>ISI STAPLER 13/8 JOSS</v>
      </c>
      <c r="F1524" s="49" t="s">
        <v>31</v>
      </c>
      <c r="G1524" s="71" t="s">
        <v>113</v>
      </c>
      <c r="H1524" s="41"/>
      <c r="I1524" s="42"/>
      <c r="J1524" s="43"/>
      <c r="K1524" s="72">
        <v>12.0</v>
      </c>
      <c r="L1524" s="53" t="s">
        <v>114</v>
      </c>
      <c r="M1524" s="73">
        <v>18500.0</v>
      </c>
      <c r="N1524" s="74"/>
      <c r="O1524" s="73">
        <v>222000.0</v>
      </c>
      <c r="P1524" s="46" t="str">
        <f t="shared" si="2"/>
        <v>Rp18,500-12 PAK-0.00%</v>
      </c>
      <c r="Q1524" s="75">
        <v>45412.0</v>
      </c>
      <c r="R1524" s="76"/>
      <c r="S1524" s="75">
        <v>45422.0</v>
      </c>
      <c r="T1524" s="49"/>
    </row>
    <row r="1525">
      <c r="A1525" s="90">
        <v>4461.0</v>
      </c>
      <c r="B1525" s="91" t="s">
        <v>58</v>
      </c>
      <c r="C1525" s="49" t="s">
        <v>2001</v>
      </c>
      <c r="D1525" s="91"/>
      <c r="E1525" s="41" t="s">
        <v>2013</v>
      </c>
      <c r="F1525" s="49"/>
      <c r="G1525" s="71" t="s">
        <v>2013</v>
      </c>
      <c r="H1525" s="41"/>
      <c r="I1525" s="42"/>
      <c r="J1525" s="43"/>
      <c r="K1525" s="72">
        <v>12.0</v>
      </c>
      <c r="L1525" s="53" t="s">
        <v>114</v>
      </c>
      <c r="M1525" s="73">
        <v>17500.0</v>
      </c>
      <c r="N1525" s="74"/>
      <c r="O1525" s="73">
        <v>210000.0</v>
      </c>
      <c r="P1525" s="46" t="str">
        <f t="shared" si="2"/>
        <v>Rp17,500-12 PAK-0.00%</v>
      </c>
      <c r="Q1525" s="75">
        <v>45412.0</v>
      </c>
      <c r="R1525" s="76"/>
      <c r="S1525" s="75">
        <v>45422.0</v>
      </c>
      <c r="T1525" s="80" t="s">
        <v>280</v>
      </c>
    </row>
    <row r="1526">
      <c r="A1526" s="90">
        <v>4461.0</v>
      </c>
      <c r="B1526" s="91" t="s">
        <v>58</v>
      </c>
      <c r="C1526" s="49" t="s">
        <v>2001</v>
      </c>
      <c r="D1526" s="91" t="s">
        <v>764</v>
      </c>
      <c r="E1526" s="41" t="str">
        <f>IFERROR(__xludf.DUMMYFUNCTION("vlookup(D1526,IMPORTRANGE(""https://docs.google.com/spreadsheets/d/1swGwZOEqYlTEUCJLY-eeJM1911Kvaei5oySBIxdgtNo/edit?pli=1#gid=257618397"",""stock untanna!B:C""),2,false)"),"GARISAN BUSUR ENTER 3.5 MIKA")</f>
        <v>GARISAN BUSUR ENTER 3.5 MIKA</v>
      </c>
      <c r="F1526" s="49" t="s">
        <v>764</v>
      </c>
      <c r="G1526" s="71" t="s">
        <v>765</v>
      </c>
      <c r="H1526" s="41"/>
      <c r="I1526" s="42"/>
      <c r="J1526" s="43"/>
      <c r="K1526" s="72">
        <v>10.0</v>
      </c>
      <c r="L1526" s="53" t="s">
        <v>62</v>
      </c>
      <c r="M1526" s="73">
        <v>14000.0</v>
      </c>
      <c r="N1526" s="74"/>
      <c r="O1526" s="73">
        <v>140000.0</v>
      </c>
      <c r="P1526" s="46" t="str">
        <f t="shared" si="2"/>
        <v>Rp14,000-10 LSN-0.00%</v>
      </c>
      <c r="Q1526" s="75">
        <v>45412.0</v>
      </c>
      <c r="R1526" s="76"/>
      <c r="S1526" s="75">
        <v>45422.0</v>
      </c>
      <c r="T1526" s="49"/>
    </row>
    <row r="1527">
      <c r="A1527" s="90">
        <v>4461.0</v>
      </c>
      <c r="B1527" s="91" t="s">
        <v>58</v>
      </c>
      <c r="C1527" s="49" t="s">
        <v>2001</v>
      </c>
      <c r="D1527" s="91" t="s">
        <v>748</v>
      </c>
      <c r="E1527" s="41" t="str">
        <f>IFERROR(__xludf.DUMMYFUNCTION("vlookup(D1527,IMPORTRANGE(""https://docs.google.com/spreadsheets/d/1swGwZOEqYlTEUCJLY-eeJM1911Kvaei5oySBIxdgtNo/edit?pli=1#gid=257618397"",""stock untanna!B:C""),2,false)"),"GARISAN BT 30 CM")</f>
        <v>GARISAN BT 30 CM</v>
      </c>
      <c r="F1527" s="49" t="s">
        <v>748</v>
      </c>
      <c r="G1527" s="71" t="s">
        <v>749</v>
      </c>
      <c r="H1527" s="41"/>
      <c r="I1527" s="42"/>
      <c r="J1527" s="43"/>
      <c r="K1527" s="72">
        <v>12.0</v>
      </c>
      <c r="L1527" s="53" t="s">
        <v>62</v>
      </c>
      <c r="M1527" s="73">
        <v>26780.0</v>
      </c>
      <c r="N1527" s="74"/>
      <c r="O1527" s="73">
        <v>321360.0</v>
      </c>
      <c r="P1527" s="46" t="str">
        <f t="shared" si="2"/>
        <v>Rp26,780-12 LSN-0.00%</v>
      </c>
      <c r="Q1527" s="75">
        <v>45412.0</v>
      </c>
      <c r="R1527" s="76"/>
      <c r="S1527" s="75">
        <v>45422.0</v>
      </c>
      <c r="T1527" s="49"/>
    </row>
    <row r="1528">
      <c r="A1528" s="90">
        <v>4461.0</v>
      </c>
      <c r="B1528" s="91" t="s">
        <v>58</v>
      </c>
      <c r="C1528" s="49" t="s">
        <v>2001</v>
      </c>
      <c r="D1528" s="91" t="s">
        <v>95</v>
      </c>
      <c r="E1528" s="41" t="str">
        <f>IFERROR(__xludf.DUMMYFUNCTION("vlookup(D1528,IMPORTRANGE(""https://docs.google.com/spreadsheets/d/1swGwZOEqYlTEUCJLY-eeJM1911Kvaei5oySBIxdgtNo/edit?pli=1#gid=257618397"",""stock untanna!B:C""),2,false)"),"PENCIL CASE MAGNET 8631 + CALL")</f>
        <v>PENCIL CASE MAGNET 8631 + CALL</v>
      </c>
      <c r="F1528" s="49" t="s">
        <v>95</v>
      </c>
      <c r="G1528" s="71" t="s">
        <v>96</v>
      </c>
      <c r="H1528" s="41"/>
      <c r="I1528" s="42"/>
      <c r="J1528" s="43"/>
      <c r="K1528" s="72">
        <v>12.0</v>
      </c>
      <c r="L1528" s="53" t="s">
        <v>69</v>
      </c>
      <c r="M1528" s="73">
        <v>14500.0</v>
      </c>
      <c r="N1528" s="74"/>
      <c r="O1528" s="73">
        <v>174000.0</v>
      </c>
      <c r="P1528" s="46" t="str">
        <f t="shared" si="2"/>
        <v>Rp14,500-12 PCS-0.00%</v>
      </c>
      <c r="Q1528" s="75">
        <v>45412.0</v>
      </c>
      <c r="R1528" s="76"/>
      <c r="S1528" s="75">
        <v>45422.0</v>
      </c>
      <c r="T1528" s="49"/>
    </row>
    <row r="1529">
      <c r="A1529" s="90">
        <v>4461.0</v>
      </c>
      <c r="B1529" s="91" t="s">
        <v>58</v>
      </c>
      <c r="C1529" s="49" t="s">
        <v>2001</v>
      </c>
      <c r="D1529" s="91"/>
      <c r="E1529" s="41" t="s">
        <v>825</v>
      </c>
      <c r="F1529" s="49"/>
      <c r="G1529" s="71" t="s">
        <v>825</v>
      </c>
      <c r="H1529" s="41"/>
      <c r="I1529" s="42"/>
      <c r="J1529" s="43"/>
      <c r="K1529" s="72">
        <v>1.0</v>
      </c>
      <c r="L1529" s="53" t="s">
        <v>62</v>
      </c>
      <c r="M1529" s="73">
        <v>230000.0</v>
      </c>
      <c r="N1529" s="74"/>
      <c r="O1529" s="73">
        <v>230000.0</v>
      </c>
      <c r="P1529" s="46" t="str">
        <f t="shared" si="2"/>
        <v>Rp230,000-1 LSN-0.00%</v>
      </c>
      <c r="Q1529" s="75">
        <v>45412.0</v>
      </c>
      <c r="R1529" s="76"/>
      <c r="S1529" s="75">
        <v>45422.0</v>
      </c>
      <c r="T1529" s="80" t="s">
        <v>280</v>
      </c>
    </row>
    <row r="1530">
      <c r="A1530" s="90">
        <v>4461.0</v>
      </c>
      <c r="B1530" s="91" t="s">
        <v>58</v>
      </c>
      <c r="C1530" s="49" t="s">
        <v>2001</v>
      </c>
      <c r="D1530" s="91" t="s">
        <v>1341</v>
      </c>
      <c r="E1530" s="41" t="str">
        <f>IFERROR(__xludf.DUMMYFUNCTION("vlookup(D1530,IMPORTRANGE(""https://docs.google.com/spreadsheets/d/1swGwZOEqYlTEUCJLY-eeJM1911Kvaei5oySBIxdgtNo/edit?pli=1#gid=257618397"",""stock untanna!B:C""),2,false)"),"STABILLO TF-1145 LIVE COLOUR PASTEL")</f>
        <v>STABILLO TF-1145 LIVE COLOUR PASTEL</v>
      </c>
      <c r="F1530" s="49" t="s">
        <v>1341</v>
      </c>
      <c r="G1530" s="71" t="s">
        <v>1342</v>
      </c>
      <c r="H1530" s="41"/>
      <c r="I1530" s="42"/>
      <c r="J1530" s="43"/>
      <c r="K1530" s="72">
        <v>6.0</v>
      </c>
      <c r="L1530" s="53" t="s">
        <v>62</v>
      </c>
      <c r="M1530" s="73">
        <v>25000.0</v>
      </c>
      <c r="N1530" s="74"/>
      <c r="O1530" s="73">
        <v>150000.0</v>
      </c>
      <c r="P1530" s="46" t="str">
        <f t="shared" si="2"/>
        <v>Rp25,000-6 LSN-0.00%</v>
      </c>
      <c r="Q1530" s="75">
        <v>45412.0</v>
      </c>
      <c r="R1530" s="76"/>
      <c r="S1530" s="75">
        <v>45422.0</v>
      </c>
      <c r="T1530" s="49"/>
    </row>
    <row r="1531">
      <c r="A1531" s="90">
        <v>4461.0</v>
      </c>
      <c r="B1531" s="91" t="s">
        <v>58</v>
      </c>
      <c r="C1531" s="49" t="s">
        <v>2001</v>
      </c>
      <c r="D1531" s="91" t="s">
        <v>2014</v>
      </c>
      <c r="E1531" s="41" t="str">
        <f>IFERROR(__xludf.DUMMYFUNCTION("vlookup(D1531,IMPORTRANGE(""https://docs.google.com/spreadsheets/d/1swGwZOEqYlTEUCJLY-eeJM1911Kvaei5oySBIxdgtNo/edit?pli=1#gid=257618397"",""stock untanna!B:C""),2,false)"),"AGENDA PRO DELUXE PC-121 WK KECIL")</f>
        <v>AGENDA PRO DELUXE PC-121 WK KECIL</v>
      </c>
      <c r="F1531" s="49" t="s">
        <v>2014</v>
      </c>
      <c r="G1531" s="71" t="s">
        <v>2015</v>
      </c>
      <c r="H1531" s="41"/>
      <c r="I1531" s="42"/>
      <c r="J1531" s="43"/>
      <c r="K1531" s="72">
        <v>12.0</v>
      </c>
      <c r="L1531" s="53" t="s">
        <v>69</v>
      </c>
      <c r="M1531" s="73">
        <v>22500.0</v>
      </c>
      <c r="N1531" s="74"/>
      <c r="O1531" s="73">
        <v>270000.0</v>
      </c>
      <c r="P1531" s="46" t="str">
        <f t="shared" si="2"/>
        <v>Rp22,500-12 PCS-0.00%</v>
      </c>
      <c r="Q1531" s="75">
        <v>45412.0</v>
      </c>
      <c r="R1531" s="76"/>
      <c r="S1531" s="75">
        <v>45422.0</v>
      </c>
      <c r="T1531" s="49"/>
    </row>
    <row r="1532">
      <c r="A1532" s="90">
        <v>4461.0</v>
      </c>
      <c r="B1532" s="91" t="s">
        <v>58</v>
      </c>
      <c r="C1532" s="49" t="s">
        <v>2001</v>
      </c>
      <c r="D1532" s="21" t="s">
        <v>2016</v>
      </c>
      <c r="E1532" s="41" t="str">
        <f>IFERROR(__xludf.DUMMYFUNCTION("IFNA(vlookup(D1532,IMPORTRANGE(""https://docs.google.com/spreadsheets/d/1swGwZOEqYlTEUCJLY-eeJM1911Kvaei5oySBIxdgtNo/edit?pli=1#gid=257618397"",""stock untanna!B:C""),2,false),V:V)"),"PENSIL CHUNG HWA 6161 2B")</f>
        <v>PENSIL CHUNG HWA 6161 2B</v>
      </c>
      <c r="F1532" s="49"/>
      <c r="G1532" s="71" t="s">
        <v>2017</v>
      </c>
      <c r="H1532" s="41"/>
      <c r="I1532" s="42"/>
      <c r="J1532" s="43" t="str">
        <f>IF(D1532="","TIDAK ADA","ADA")</f>
        <v>ADA</v>
      </c>
      <c r="K1532" s="72">
        <v>1.0</v>
      </c>
      <c r="L1532" s="53" t="s">
        <v>131</v>
      </c>
      <c r="M1532" s="73">
        <v>147000.0</v>
      </c>
      <c r="N1532" s="74"/>
      <c r="O1532" s="73">
        <v>147000.0</v>
      </c>
      <c r="P1532" s="46" t="str">
        <f t="shared" si="2"/>
        <v>Rp147,000-1 GRS-0.00%</v>
      </c>
      <c r="Q1532" s="75">
        <v>45412.0</v>
      </c>
      <c r="R1532" s="76"/>
      <c r="S1532" s="75">
        <v>45422.0</v>
      </c>
      <c r="T1532" s="80" t="s">
        <v>280</v>
      </c>
    </row>
    <row r="1533">
      <c r="A1533" s="90">
        <v>4461.0</v>
      </c>
      <c r="B1533" s="91" t="s">
        <v>58</v>
      </c>
      <c r="C1533" s="49" t="s">
        <v>2001</v>
      </c>
      <c r="D1533" s="91"/>
      <c r="E1533" s="41" t="s">
        <v>279</v>
      </c>
      <c r="F1533" s="49"/>
      <c r="G1533" s="71" t="s">
        <v>279</v>
      </c>
      <c r="H1533" s="41"/>
      <c r="I1533" s="42"/>
      <c r="J1533" s="43"/>
      <c r="K1533" s="72">
        <v>12.0</v>
      </c>
      <c r="L1533" s="53" t="s">
        <v>69</v>
      </c>
      <c r="M1533" s="73">
        <v>25500.0</v>
      </c>
      <c r="N1533" s="74"/>
      <c r="O1533" s="73">
        <v>306000.0</v>
      </c>
      <c r="P1533" s="46" t="str">
        <f t="shared" si="2"/>
        <v>Rp25,500-12 PCS-0.00%</v>
      </c>
      <c r="Q1533" s="75">
        <v>45412.0</v>
      </c>
      <c r="R1533" s="76"/>
      <c r="S1533" s="75">
        <v>45422.0</v>
      </c>
      <c r="T1533" s="80" t="s">
        <v>280</v>
      </c>
    </row>
    <row r="1534">
      <c r="A1534" s="90">
        <v>4461.0</v>
      </c>
      <c r="B1534" s="91" t="s">
        <v>58</v>
      </c>
      <c r="C1534" s="49" t="s">
        <v>2001</v>
      </c>
      <c r="D1534" s="91"/>
      <c r="E1534" s="41" t="s">
        <v>2018</v>
      </c>
      <c r="F1534" s="49"/>
      <c r="G1534" s="71" t="s">
        <v>2018</v>
      </c>
      <c r="H1534" s="41"/>
      <c r="I1534" s="42"/>
      <c r="J1534" s="43"/>
      <c r="K1534" s="72">
        <v>12.0</v>
      </c>
      <c r="L1534" s="53" t="s">
        <v>69</v>
      </c>
      <c r="M1534" s="73">
        <v>22500.0</v>
      </c>
      <c r="N1534" s="74"/>
      <c r="O1534" s="73">
        <v>270000.0</v>
      </c>
      <c r="P1534" s="46" t="str">
        <f t="shared" si="2"/>
        <v>Rp22,500-12 PCS-0.00%</v>
      </c>
      <c r="Q1534" s="75">
        <v>45412.0</v>
      </c>
      <c r="R1534" s="76"/>
      <c r="S1534" s="75">
        <v>45422.0</v>
      </c>
      <c r="T1534" s="49"/>
    </row>
    <row r="1535">
      <c r="A1535" s="90">
        <v>4462.0</v>
      </c>
      <c r="B1535" s="91" t="s">
        <v>58</v>
      </c>
      <c r="C1535" s="49" t="s">
        <v>2001</v>
      </c>
      <c r="D1535" s="91" t="s">
        <v>2019</v>
      </c>
      <c r="E1535" s="41" t="str">
        <f>IFERROR(__xludf.DUMMYFUNCTION("vlookup(D1535,IMPORTRANGE(""https://docs.google.com/spreadsheets/d/1swGwZOEqYlTEUCJLY-eeJM1911Kvaei5oySBIxdgtNo/edit?pli=1#gid=257618397"",""stock untanna!B:C""),2,false)"),"BN RABBIT KOALA A5")</f>
        <v>BN RABBIT KOALA A5</v>
      </c>
      <c r="F1535" s="49" t="s">
        <v>2019</v>
      </c>
      <c r="G1535" s="71" t="s">
        <v>2020</v>
      </c>
      <c r="H1535" s="41"/>
      <c r="I1535" s="42"/>
      <c r="J1535" s="43"/>
      <c r="K1535" s="72">
        <v>12.0</v>
      </c>
      <c r="L1535" s="53" t="s">
        <v>69</v>
      </c>
      <c r="M1535" s="73">
        <v>26000.0</v>
      </c>
      <c r="N1535" s="74"/>
      <c r="O1535" s="73">
        <v>312000.0</v>
      </c>
      <c r="P1535" s="46" t="str">
        <f t="shared" si="2"/>
        <v>Rp26,000-12 PCS-0.00%</v>
      </c>
      <c r="Q1535" s="75">
        <v>45412.0</v>
      </c>
      <c r="R1535" s="76"/>
      <c r="S1535" s="75">
        <v>45422.0</v>
      </c>
      <c r="T1535" s="49"/>
    </row>
    <row r="1536">
      <c r="A1536" s="90">
        <v>4462.0</v>
      </c>
      <c r="B1536" s="91" t="s">
        <v>58</v>
      </c>
      <c r="C1536" s="49" t="s">
        <v>2001</v>
      </c>
      <c r="D1536" s="91"/>
      <c r="E1536" s="41" t="s">
        <v>2021</v>
      </c>
      <c r="F1536" s="49"/>
      <c r="G1536" s="71" t="s">
        <v>2021</v>
      </c>
      <c r="H1536" s="41"/>
      <c r="I1536" s="42"/>
      <c r="J1536" s="43"/>
      <c r="K1536" s="72">
        <v>1.0</v>
      </c>
      <c r="L1536" s="53" t="s">
        <v>62</v>
      </c>
      <c r="M1536" s="73">
        <v>162000.0</v>
      </c>
      <c r="N1536" s="74"/>
      <c r="O1536" s="73">
        <v>162000.0</v>
      </c>
      <c r="P1536" s="46" t="str">
        <f t="shared" si="2"/>
        <v>Rp162,000-1 LSN-0.00%</v>
      </c>
      <c r="Q1536" s="75">
        <v>45412.0</v>
      </c>
      <c r="R1536" s="76"/>
      <c r="S1536" s="75">
        <v>45422.0</v>
      </c>
      <c r="T1536" s="49"/>
    </row>
    <row r="1537">
      <c r="A1537" s="90">
        <v>4462.0</v>
      </c>
      <c r="B1537" s="91" t="s">
        <v>58</v>
      </c>
      <c r="C1537" s="49" t="s">
        <v>2001</v>
      </c>
      <c r="D1537" s="91" t="s">
        <v>2022</v>
      </c>
      <c r="E1537" s="41" t="str">
        <f>IFERROR(__xludf.DUMMYFUNCTION("vlookup(D1537,IMPORTRANGE(""https://docs.google.com/spreadsheets/d/1swGwZOEqYlTEUCJLY-eeJM1911Kvaei5oySBIxdgtNo/edit?pli=1#gid=257618397"",""stock untanna!B:C""),2,false)"),"PENSIL CASE SH-07")</f>
        <v>PENSIL CASE SH-07</v>
      </c>
      <c r="F1537" s="49" t="s">
        <v>2022</v>
      </c>
      <c r="G1537" s="71" t="s">
        <v>2023</v>
      </c>
      <c r="H1537" s="41"/>
      <c r="I1537" s="42"/>
      <c r="J1537" s="43"/>
      <c r="K1537" s="72">
        <v>12.0</v>
      </c>
      <c r="L1537" s="53" t="s">
        <v>69</v>
      </c>
      <c r="M1537" s="73">
        <v>13500.0</v>
      </c>
      <c r="N1537" s="74"/>
      <c r="O1537" s="73">
        <v>162000.0</v>
      </c>
      <c r="P1537" s="46" t="str">
        <f t="shared" si="2"/>
        <v>Rp13,500-12 PCS-0.00%</v>
      </c>
      <c r="Q1537" s="75">
        <v>45412.0</v>
      </c>
      <c r="R1537" s="76"/>
      <c r="S1537" s="75">
        <v>45422.0</v>
      </c>
      <c r="T1537" s="49"/>
    </row>
    <row r="1538">
      <c r="A1538" s="90">
        <v>4462.0</v>
      </c>
      <c r="B1538" s="91" t="s">
        <v>58</v>
      </c>
      <c r="C1538" s="49" t="s">
        <v>2001</v>
      </c>
      <c r="D1538" s="77" t="s">
        <v>1141</v>
      </c>
      <c r="E1538" s="41" t="str">
        <f>IFERROR(__xludf.DUMMYFUNCTION("vlookup(D1538,IMPORTRANGE(""https://docs.google.com/spreadsheets/d/1swGwZOEqYlTEUCJLY-eeJM1911Kvaei5oySBIxdgtNo/edit?pli=1#gid=257618397"",""stock untanna!B:C""),2,false)"),"PENSIL CASE SH-04")</f>
        <v>PENSIL CASE SH-04</v>
      </c>
      <c r="F1538" s="49" t="s">
        <v>1142</v>
      </c>
      <c r="G1538" s="71" t="s">
        <v>1143</v>
      </c>
      <c r="H1538" s="41"/>
      <c r="I1538" s="42"/>
      <c r="J1538" s="43"/>
      <c r="K1538" s="72">
        <v>12.0</v>
      </c>
      <c r="L1538" s="53" t="s">
        <v>69</v>
      </c>
      <c r="M1538" s="73">
        <v>13500.0</v>
      </c>
      <c r="N1538" s="74"/>
      <c r="O1538" s="73">
        <v>162000.0</v>
      </c>
      <c r="P1538" s="46" t="str">
        <f t="shared" si="2"/>
        <v>Rp13,500-12 PCS-0.00%</v>
      </c>
      <c r="Q1538" s="75">
        <v>45412.0</v>
      </c>
      <c r="R1538" s="76"/>
      <c r="S1538" s="75">
        <v>45422.0</v>
      </c>
      <c r="T1538" s="49"/>
    </row>
    <row r="1539">
      <c r="A1539" s="90">
        <v>4462.0</v>
      </c>
      <c r="B1539" s="91" t="s">
        <v>58</v>
      </c>
      <c r="C1539" s="49" t="s">
        <v>2001</v>
      </c>
      <c r="D1539" s="91"/>
      <c r="E1539" s="41" t="s">
        <v>2024</v>
      </c>
      <c r="F1539" s="49"/>
      <c r="G1539" s="71" t="s">
        <v>2024</v>
      </c>
      <c r="H1539" s="41"/>
      <c r="I1539" s="42"/>
      <c r="J1539" s="43"/>
      <c r="K1539" s="72">
        <v>1.0</v>
      </c>
      <c r="L1539" s="53" t="s">
        <v>62</v>
      </c>
      <c r="M1539" s="73">
        <v>162000.0</v>
      </c>
      <c r="N1539" s="74"/>
      <c r="O1539" s="73">
        <v>162000.0</v>
      </c>
      <c r="P1539" s="46" t="str">
        <f t="shared" si="2"/>
        <v>Rp162,000-1 LSN-0.00%</v>
      </c>
      <c r="Q1539" s="75">
        <v>45412.0</v>
      </c>
      <c r="R1539" s="76"/>
      <c r="S1539" s="75">
        <v>45422.0</v>
      </c>
      <c r="T1539" s="49"/>
    </row>
    <row r="1540">
      <c r="A1540" s="90">
        <v>4462.0</v>
      </c>
      <c r="B1540" s="91" t="s">
        <v>58</v>
      </c>
      <c r="C1540" s="49" t="s">
        <v>2001</v>
      </c>
      <c r="D1540" s="91" t="s">
        <v>560</v>
      </c>
      <c r="E1540" s="41" t="str">
        <f>IFERROR(__xludf.DUMMYFUNCTION("vlookup(D1540,IMPORTRANGE(""https://docs.google.com/spreadsheets/d/1swGwZOEqYlTEUCJLY-eeJM1911Kvaei5oySBIxdgtNo/edit?pli=1#gid=257618397"",""stock untanna!B:C""),2,false)"),"PENSIL CASE 5872")</f>
        <v>PENSIL CASE 5872</v>
      </c>
      <c r="F1540" s="49" t="s">
        <v>560</v>
      </c>
      <c r="G1540" s="71" t="s">
        <v>561</v>
      </c>
      <c r="H1540" s="41"/>
      <c r="I1540" s="42"/>
      <c r="J1540" s="43"/>
      <c r="K1540" s="72">
        <v>12.0</v>
      </c>
      <c r="L1540" s="53" t="s">
        <v>69</v>
      </c>
      <c r="M1540" s="73">
        <v>27083.0</v>
      </c>
      <c r="N1540" s="74"/>
      <c r="O1540" s="73">
        <v>324996.0</v>
      </c>
      <c r="P1540" s="46" t="str">
        <f t="shared" si="2"/>
        <v>Rp27,083-12 PCS-0.00%</v>
      </c>
      <c r="Q1540" s="75">
        <v>45412.0</v>
      </c>
      <c r="R1540" s="76"/>
      <c r="S1540" s="75">
        <v>45422.0</v>
      </c>
      <c r="T1540" s="49"/>
    </row>
    <row r="1541">
      <c r="A1541" s="90">
        <v>4462.0</v>
      </c>
      <c r="B1541" s="91" t="s">
        <v>58</v>
      </c>
      <c r="C1541" s="49" t="s">
        <v>2001</v>
      </c>
      <c r="D1541" s="91" t="s">
        <v>1107</v>
      </c>
      <c r="E1541" s="41" t="str">
        <f>IFERROR(__xludf.DUMMYFUNCTION("vlookup(D1541,IMPORTRANGE(""https://docs.google.com/spreadsheets/d/1swGwZOEqYlTEUCJLY-eeJM1911Kvaei5oySBIxdgtNo/edit?pli=1#gid=257618397"",""stock untanna!B:C""),2,false)"),"PENCIL CASE 5866")</f>
        <v>PENCIL CASE 5866</v>
      </c>
      <c r="F1541" s="49" t="s">
        <v>1107</v>
      </c>
      <c r="G1541" s="71" t="s">
        <v>1108</v>
      </c>
      <c r="H1541" s="41"/>
      <c r="I1541" s="42"/>
      <c r="J1541" s="43"/>
      <c r="K1541" s="72">
        <v>12.0</v>
      </c>
      <c r="L1541" s="53" t="s">
        <v>69</v>
      </c>
      <c r="M1541" s="73">
        <v>25000.0</v>
      </c>
      <c r="N1541" s="74"/>
      <c r="O1541" s="73">
        <v>300000.0</v>
      </c>
      <c r="P1541" s="46" t="str">
        <f t="shared" si="2"/>
        <v>Rp25,000-12 PCS-0.00%</v>
      </c>
      <c r="Q1541" s="75">
        <v>45412.0</v>
      </c>
      <c r="R1541" s="76"/>
      <c r="S1541" s="75">
        <v>45422.0</v>
      </c>
      <c r="T1541" s="49"/>
    </row>
    <row r="1542">
      <c r="A1542" s="90">
        <v>4462.0</v>
      </c>
      <c r="B1542" s="91" t="s">
        <v>58</v>
      </c>
      <c r="C1542" s="49" t="s">
        <v>2001</v>
      </c>
      <c r="D1542" s="91" t="s">
        <v>1153</v>
      </c>
      <c r="E1542" s="41" t="str">
        <f>IFERROR(__xludf.DUMMYFUNCTION("vlookup(D1542,IMPORTRANGE(""https://docs.google.com/spreadsheets/d/1swGwZOEqYlTEUCJLY-eeJM1911Kvaei5oySBIxdgtNo/edit?pli=1#gid=257618397"",""stock untanna!B:C""),2,false)"),"PENSIL CASE SH-8601")</f>
        <v>PENSIL CASE SH-8601</v>
      </c>
      <c r="F1542" s="49" t="s">
        <v>1153</v>
      </c>
      <c r="G1542" s="71" t="s">
        <v>1154</v>
      </c>
      <c r="H1542" s="41"/>
      <c r="I1542" s="42"/>
      <c r="J1542" s="43"/>
      <c r="K1542" s="72">
        <v>6.0</v>
      </c>
      <c r="L1542" s="53" t="s">
        <v>69</v>
      </c>
      <c r="M1542" s="73">
        <v>29167.0</v>
      </c>
      <c r="N1542" s="74"/>
      <c r="O1542" s="73">
        <v>175002.0</v>
      </c>
      <c r="P1542" s="46" t="str">
        <f t="shared" si="2"/>
        <v>Rp29,167-6 PCS-0.00%</v>
      </c>
      <c r="Q1542" s="75">
        <v>45412.0</v>
      </c>
      <c r="R1542" s="76"/>
      <c r="S1542" s="75">
        <v>45422.0</v>
      </c>
      <c r="T1542" s="49"/>
    </row>
    <row r="1543">
      <c r="A1543" s="90">
        <v>4462.0</v>
      </c>
      <c r="B1543" s="91" t="s">
        <v>58</v>
      </c>
      <c r="C1543" s="49" t="s">
        <v>2001</v>
      </c>
      <c r="D1543" s="91" t="s">
        <v>1054</v>
      </c>
      <c r="E1543" s="41" t="str">
        <f>IFERROR(__xludf.DUMMYFUNCTION("vlookup(D1543,IMPORTRANGE(""https://docs.google.com/spreadsheets/d/1swGwZOEqYlTEUCJLY-eeJM1911Kvaei5oySBIxdgtNo/edit?pli=1#gid=257618397"",""stock untanna!B:C""),2,false)"),"PENSIL CASE SH-8603")</f>
        <v>PENSIL CASE SH-8603</v>
      </c>
      <c r="F1543" s="49" t="s">
        <v>1054</v>
      </c>
      <c r="G1543" s="71" t="s">
        <v>1055</v>
      </c>
      <c r="H1543" s="41"/>
      <c r="I1543" s="42"/>
      <c r="J1543" s="43"/>
      <c r="K1543" s="72">
        <v>6.0</v>
      </c>
      <c r="L1543" s="53" t="s">
        <v>69</v>
      </c>
      <c r="M1543" s="73">
        <v>29167.0</v>
      </c>
      <c r="N1543" s="74"/>
      <c r="O1543" s="73">
        <v>175002.0</v>
      </c>
      <c r="P1543" s="46" t="str">
        <f t="shared" si="2"/>
        <v>Rp29,167-6 PCS-0.00%</v>
      </c>
      <c r="Q1543" s="75">
        <v>45412.0</v>
      </c>
      <c r="R1543" s="76"/>
      <c r="S1543" s="75">
        <v>45422.0</v>
      </c>
      <c r="T1543" s="49"/>
    </row>
    <row r="1544">
      <c r="A1544" s="90">
        <v>4462.0</v>
      </c>
      <c r="B1544" s="91" t="s">
        <v>58</v>
      </c>
      <c r="C1544" s="49" t="s">
        <v>2001</v>
      </c>
      <c r="D1544" s="91" t="s">
        <v>1050</v>
      </c>
      <c r="E1544" s="41" t="str">
        <f>IFERROR(__xludf.DUMMYFUNCTION("vlookup(D1544,IMPORTRANGE(""https://docs.google.com/spreadsheets/d/1swGwZOEqYlTEUCJLY-eeJM1911Kvaei5oySBIxdgtNo/edit?pli=1#gid=257618397"",""stock untanna!B:C""),2,false)"),"PENSIL CASE SH-8602")</f>
        <v>PENSIL CASE SH-8602</v>
      </c>
      <c r="F1544" s="49" t="s">
        <v>1050</v>
      </c>
      <c r="G1544" s="71" t="s">
        <v>1051</v>
      </c>
      <c r="H1544" s="41"/>
      <c r="I1544" s="42"/>
      <c r="J1544" s="43"/>
      <c r="K1544" s="72">
        <v>6.0</v>
      </c>
      <c r="L1544" s="53" t="s">
        <v>69</v>
      </c>
      <c r="M1544" s="73">
        <v>29167.0</v>
      </c>
      <c r="N1544" s="74"/>
      <c r="O1544" s="73">
        <v>175002.0</v>
      </c>
      <c r="P1544" s="46" t="str">
        <f t="shared" si="2"/>
        <v>Rp29,167-6 PCS-0.00%</v>
      </c>
      <c r="Q1544" s="75">
        <v>45412.0</v>
      </c>
      <c r="R1544" s="76"/>
      <c r="S1544" s="75">
        <v>45422.0</v>
      </c>
      <c r="T1544" s="49"/>
    </row>
    <row r="1545">
      <c r="A1545" s="90">
        <v>4462.0</v>
      </c>
      <c r="B1545" s="91" t="s">
        <v>58</v>
      </c>
      <c r="C1545" s="49" t="s">
        <v>2001</v>
      </c>
      <c r="D1545" s="77" t="s">
        <v>1870</v>
      </c>
      <c r="E1545" s="41" t="str">
        <f>IFERROR(__xludf.DUMMYFUNCTION("vlookup(D1545,IMPORTRANGE(""https://docs.google.com/spreadsheets/d/1swGwZOEqYlTEUCJLY-eeJM1911Kvaei5oySBIxdgtNo/edit?pli=1#gid=257618397"",""stock untanna!B:C""),2,false)"),"GARISAN 15CM 536-750 CARTOON NETWORK (48)")</f>
        <v>GARISAN 15CM 536-750 CARTOON NETWORK (48)</v>
      </c>
      <c r="F1545" s="49" t="s">
        <v>1871</v>
      </c>
      <c r="G1545" s="78" t="s">
        <v>1872</v>
      </c>
      <c r="H1545" s="41"/>
      <c r="I1545" s="42"/>
      <c r="J1545" s="43"/>
      <c r="K1545" s="72">
        <v>4.0</v>
      </c>
      <c r="L1545" s="53" t="s">
        <v>62</v>
      </c>
      <c r="M1545" s="73">
        <v>10000.0</v>
      </c>
      <c r="N1545" s="74"/>
      <c r="O1545" s="73">
        <v>40000.0</v>
      </c>
      <c r="P1545" s="46" t="str">
        <f t="shared" si="2"/>
        <v>Rp10,000-4 LSN-0.00%</v>
      </c>
      <c r="Q1545" s="75">
        <v>45412.0</v>
      </c>
      <c r="R1545" s="76"/>
      <c r="S1545" s="75">
        <v>45422.0</v>
      </c>
      <c r="T1545" s="49"/>
    </row>
    <row r="1546">
      <c r="A1546" s="90">
        <v>4462.0</v>
      </c>
      <c r="B1546" s="91" t="s">
        <v>58</v>
      </c>
      <c r="C1546" s="49" t="s">
        <v>2001</v>
      </c>
      <c r="D1546" s="91" t="s">
        <v>1630</v>
      </c>
      <c r="E1546" s="41" t="str">
        <f>IFERROR(__xludf.DUMMYFUNCTION("vlookup(D1546,IMPORTRANGE(""https://docs.google.com/spreadsheets/d/1swGwZOEqYlTEUCJLY-eeJM1911Kvaei5oySBIxdgtNo/edit?pli=1#gid=257618397"",""stock untanna!B:C""),2,false)"),"TAS BRANDED KECIL SB 115")</f>
        <v>TAS BRANDED KECIL SB 115</v>
      </c>
      <c r="F1546" s="49" t="s">
        <v>1630</v>
      </c>
      <c r="G1546" s="71" t="s">
        <v>1631</v>
      </c>
      <c r="H1546" s="41"/>
      <c r="I1546" s="42"/>
      <c r="J1546" s="43"/>
      <c r="K1546" s="72">
        <v>8.0</v>
      </c>
      <c r="L1546" s="53" t="s">
        <v>62</v>
      </c>
      <c r="M1546" s="73">
        <v>26000.0</v>
      </c>
      <c r="N1546" s="74"/>
      <c r="O1546" s="73">
        <v>208000.0</v>
      </c>
      <c r="P1546" s="46" t="str">
        <f t="shared" si="2"/>
        <v>Rp26,000-8 LSN-0.00%</v>
      </c>
      <c r="Q1546" s="75">
        <v>45412.0</v>
      </c>
      <c r="R1546" s="76"/>
      <c r="S1546" s="75">
        <v>45422.0</v>
      </c>
      <c r="T1546" s="49"/>
    </row>
    <row r="1547">
      <c r="A1547" s="90">
        <v>4463.0</v>
      </c>
      <c r="B1547" s="91" t="s">
        <v>58</v>
      </c>
      <c r="C1547" s="49" t="s">
        <v>2001</v>
      </c>
      <c r="D1547" s="91" t="s">
        <v>2025</v>
      </c>
      <c r="E1547" s="41" t="str">
        <f>IFERROR(__xludf.DUMMYFUNCTION("vlookup(D1547,IMPORTRANGE(""https://docs.google.com/spreadsheets/d/1swGwZOEqYlTEUCJLY-eeJM1911Kvaei5oySBIxdgtNo/edit?pli=1#gid=257618397"",""stock untanna!B:C""),2,false)"),"ID CARD 2 SISI TRANSPARANT MERAH")</f>
        <v>ID CARD 2 SISI TRANSPARANT MERAH</v>
      </c>
      <c r="F1547" s="49" t="s">
        <v>2025</v>
      </c>
      <c r="G1547" s="71" t="s">
        <v>2026</v>
      </c>
      <c r="H1547" s="41"/>
      <c r="I1547" s="42"/>
      <c r="J1547" s="43"/>
      <c r="K1547" s="72">
        <v>50.0</v>
      </c>
      <c r="L1547" s="53" t="s">
        <v>69</v>
      </c>
      <c r="M1547" s="73">
        <v>1250.0</v>
      </c>
      <c r="N1547" s="74"/>
      <c r="O1547" s="73">
        <v>62500.0</v>
      </c>
      <c r="P1547" s="46" t="str">
        <f t="shared" si="2"/>
        <v>Rp1,250-50 PCS-0.00%</v>
      </c>
      <c r="Q1547" s="75">
        <v>45412.0</v>
      </c>
      <c r="R1547" s="76"/>
      <c r="S1547" s="75">
        <v>45422.0</v>
      </c>
      <c r="T1547" s="49"/>
    </row>
    <row r="1548">
      <c r="A1548" s="90">
        <v>4463.0</v>
      </c>
      <c r="B1548" s="91" t="s">
        <v>58</v>
      </c>
      <c r="C1548" s="49" t="s">
        <v>2001</v>
      </c>
      <c r="D1548" s="91" t="s">
        <v>2027</v>
      </c>
      <c r="E1548" s="41" t="str">
        <f>IFERROR(__xludf.DUMMYFUNCTION("vlookup(D1548,IMPORTRANGE(""https://docs.google.com/spreadsheets/d/1swGwZOEqYlTEUCJLY-eeJM1911Kvaei5oySBIxdgtNo/edit?pli=1#gid=257618397"",""stock untanna!B:C""),2,false)"),"ID CARD 2 SISI TRANSPARANT KUNING")</f>
        <v>ID CARD 2 SISI TRANSPARANT KUNING</v>
      </c>
      <c r="F1548" s="49" t="s">
        <v>2027</v>
      </c>
      <c r="G1548" s="71" t="s">
        <v>2028</v>
      </c>
      <c r="H1548" s="41"/>
      <c r="I1548" s="42"/>
      <c r="J1548" s="43"/>
      <c r="K1548" s="72">
        <v>50.0</v>
      </c>
      <c r="L1548" s="53" t="s">
        <v>69</v>
      </c>
      <c r="M1548" s="73">
        <v>1250.0</v>
      </c>
      <c r="N1548" s="74"/>
      <c r="O1548" s="73">
        <v>62500.0</v>
      </c>
      <c r="P1548" s="46" t="str">
        <f t="shared" si="2"/>
        <v>Rp1,250-50 PCS-0.00%</v>
      </c>
      <c r="Q1548" s="75">
        <v>45412.0</v>
      </c>
      <c r="R1548" s="76"/>
      <c r="S1548" s="75">
        <v>45422.0</v>
      </c>
      <c r="T1548" s="49"/>
    </row>
    <row r="1549">
      <c r="A1549" s="90">
        <v>4463.0</v>
      </c>
      <c r="B1549" s="91" t="s">
        <v>58</v>
      </c>
      <c r="C1549" s="49" t="s">
        <v>2001</v>
      </c>
      <c r="D1549" s="91" t="s">
        <v>2029</v>
      </c>
      <c r="E1549" s="41" t="str">
        <f>IFERROR(__xludf.DUMMYFUNCTION("vlookup(D1549,IMPORTRANGE(""https://docs.google.com/spreadsheets/d/1swGwZOEqYlTEUCJLY-eeJM1911Kvaei5oySBIxdgtNo/edit?pli=1#gid=257618397"",""stock untanna!B:C""),2,false)"),"ID CARD 2 SISI TRANSPARANT HIJAU")</f>
        <v>ID CARD 2 SISI TRANSPARANT HIJAU</v>
      </c>
      <c r="F1549" s="49" t="s">
        <v>2029</v>
      </c>
      <c r="G1549" s="71" t="s">
        <v>2030</v>
      </c>
      <c r="H1549" s="41"/>
      <c r="I1549" s="42"/>
      <c r="J1549" s="43"/>
      <c r="K1549" s="72">
        <v>50.0</v>
      </c>
      <c r="L1549" s="53" t="s">
        <v>69</v>
      </c>
      <c r="M1549" s="73">
        <v>1250.0</v>
      </c>
      <c r="N1549" s="74"/>
      <c r="O1549" s="73">
        <v>62500.0</v>
      </c>
      <c r="P1549" s="46" t="str">
        <f t="shared" si="2"/>
        <v>Rp1,250-50 PCS-0.00%</v>
      </c>
      <c r="Q1549" s="75">
        <v>45412.0</v>
      </c>
      <c r="R1549" s="76"/>
      <c r="S1549" s="75">
        <v>45422.0</v>
      </c>
      <c r="T1549" s="49"/>
    </row>
    <row r="1550">
      <c r="A1550" s="90">
        <v>4463.0</v>
      </c>
      <c r="B1550" s="91" t="s">
        <v>58</v>
      </c>
      <c r="C1550" s="49" t="s">
        <v>2001</v>
      </c>
      <c r="D1550" s="91" t="s">
        <v>2031</v>
      </c>
      <c r="E1550" s="41" t="str">
        <f>IFERROR(__xludf.DUMMYFUNCTION("vlookup(D1550,IMPORTRANGE(""https://docs.google.com/spreadsheets/d/1swGwZOEqYlTEUCJLY-eeJM1911Kvaei5oySBIxdgtNo/edit?pli=1#gid=257618397"",""stock untanna!B:C""),2,false)"),"ID CARD 2 SISI TRANSPARANT PUTIH")</f>
        <v>ID CARD 2 SISI TRANSPARANT PUTIH</v>
      </c>
      <c r="F1550" s="49" t="s">
        <v>2031</v>
      </c>
      <c r="G1550" s="71" t="s">
        <v>2032</v>
      </c>
      <c r="H1550" s="41"/>
      <c r="I1550" s="42"/>
      <c r="J1550" s="43"/>
      <c r="K1550" s="72">
        <v>50.0</v>
      </c>
      <c r="L1550" s="53" t="s">
        <v>69</v>
      </c>
      <c r="M1550" s="73">
        <v>1250.0</v>
      </c>
      <c r="N1550" s="74"/>
      <c r="O1550" s="73">
        <v>62500.0</v>
      </c>
      <c r="P1550" s="46" t="str">
        <f t="shared" si="2"/>
        <v>Rp1,250-50 PCS-0.00%</v>
      </c>
      <c r="Q1550" s="75">
        <v>45412.0</v>
      </c>
      <c r="R1550" s="76"/>
      <c r="S1550" s="75">
        <v>45422.0</v>
      </c>
      <c r="T1550" s="49"/>
    </row>
    <row r="1551">
      <c r="A1551" s="90">
        <v>4463.0</v>
      </c>
      <c r="B1551" s="91" t="s">
        <v>58</v>
      </c>
      <c r="C1551" s="49" t="s">
        <v>2001</v>
      </c>
      <c r="D1551" s="91" t="s">
        <v>2033</v>
      </c>
      <c r="E1551" s="41" t="str">
        <f>IFERROR(__xludf.DUMMYFUNCTION("vlookup(D1551,IMPORTRANGE(""https://docs.google.com/spreadsheets/d/1swGwZOEqYlTEUCJLY-eeJM1911Kvaei5oySBIxdgtNo/edit?pli=1#gid=257618397"",""stock untanna!B:C""),2,false)"),"ID CARD 2 SISI TRANSPARANT HITAM")</f>
        <v>ID CARD 2 SISI TRANSPARANT HITAM</v>
      </c>
      <c r="F1551" s="49" t="s">
        <v>2033</v>
      </c>
      <c r="G1551" s="71" t="s">
        <v>2034</v>
      </c>
      <c r="H1551" s="41"/>
      <c r="I1551" s="42"/>
      <c r="J1551" s="43"/>
      <c r="K1551" s="72">
        <v>50.0</v>
      </c>
      <c r="L1551" s="53" t="s">
        <v>69</v>
      </c>
      <c r="M1551" s="73">
        <v>1250.0</v>
      </c>
      <c r="N1551" s="74"/>
      <c r="O1551" s="73">
        <v>62500.0</v>
      </c>
      <c r="P1551" s="46" t="str">
        <f t="shared" si="2"/>
        <v>Rp1,250-50 PCS-0.00%</v>
      </c>
      <c r="Q1551" s="75">
        <v>45412.0</v>
      </c>
      <c r="R1551" s="76"/>
      <c r="S1551" s="75">
        <v>45422.0</v>
      </c>
      <c r="T1551" s="49"/>
    </row>
    <row r="1552">
      <c r="A1552" s="90">
        <v>4463.0</v>
      </c>
      <c r="B1552" s="91" t="s">
        <v>58</v>
      </c>
      <c r="C1552" s="49" t="s">
        <v>2001</v>
      </c>
      <c r="D1552" s="91" t="s">
        <v>2035</v>
      </c>
      <c r="E1552" s="41" t="str">
        <f>IFERROR(__xludf.DUMMYFUNCTION("vlookup(D1552,IMPORTRANGE(""https://docs.google.com/spreadsheets/d/1swGwZOEqYlTEUCJLY-eeJM1911Kvaei5oySBIxdgtNo/edit?pli=1#gid=257618397"",""stock untanna!B:C""),2,false)"),"ID CARD 2 SISI TRANSPARANT BIRU")</f>
        <v>ID CARD 2 SISI TRANSPARANT BIRU</v>
      </c>
      <c r="F1552" s="49" t="s">
        <v>2035</v>
      </c>
      <c r="G1552" s="71" t="s">
        <v>2036</v>
      </c>
      <c r="H1552" s="41"/>
      <c r="I1552" s="42"/>
      <c r="J1552" s="43"/>
      <c r="K1552" s="72">
        <v>50.0</v>
      </c>
      <c r="L1552" s="53" t="s">
        <v>69</v>
      </c>
      <c r="M1552" s="73">
        <v>1250.0</v>
      </c>
      <c r="N1552" s="74"/>
      <c r="O1552" s="73">
        <v>62500.0</v>
      </c>
      <c r="P1552" s="46" t="str">
        <f t="shared" si="2"/>
        <v>Rp1,250-50 PCS-0.00%</v>
      </c>
      <c r="Q1552" s="75">
        <v>45412.0</v>
      </c>
      <c r="R1552" s="76"/>
      <c r="S1552" s="75">
        <v>45422.0</v>
      </c>
      <c r="T1552" s="49"/>
    </row>
    <row r="1553">
      <c r="A1553" s="90">
        <v>4463.0</v>
      </c>
      <c r="B1553" s="91" t="s">
        <v>58</v>
      </c>
      <c r="C1553" s="49" t="s">
        <v>2001</v>
      </c>
      <c r="D1553" s="91"/>
      <c r="E1553" s="41" t="s">
        <v>2037</v>
      </c>
      <c r="F1553" s="49"/>
      <c r="G1553" s="71" t="s">
        <v>2037</v>
      </c>
      <c r="H1553" s="41"/>
      <c r="I1553" s="42"/>
      <c r="J1553" s="43"/>
      <c r="K1553" s="72">
        <v>10.0</v>
      </c>
      <c r="L1553" s="53" t="s">
        <v>114</v>
      </c>
      <c r="M1553" s="73">
        <v>7000.0</v>
      </c>
      <c r="N1553" s="74"/>
      <c r="O1553" s="73">
        <v>70000.0</v>
      </c>
      <c r="P1553" s="46" t="str">
        <f t="shared" si="2"/>
        <v>Rp7,000-10 PAK-0.00%</v>
      </c>
      <c r="Q1553" s="75">
        <v>45412.0</v>
      </c>
      <c r="R1553" s="76"/>
      <c r="S1553" s="75">
        <v>45422.0</v>
      </c>
      <c r="T1553" s="49"/>
    </row>
    <row r="1554">
      <c r="A1554" s="90">
        <v>4463.0</v>
      </c>
      <c r="B1554" s="91" t="s">
        <v>58</v>
      </c>
      <c r="C1554" s="49" t="s">
        <v>2001</v>
      </c>
      <c r="D1554" s="91" t="s">
        <v>2038</v>
      </c>
      <c r="E1554" s="41" t="str">
        <f>IFERROR(__xludf.DUMMYFUNCTION("vlookup(D1554,IMPORTRANGE(""https://docs.google.com/spreadsheets/d/1swGwZOEqYlTEUCJLY-eeJM1911Kvaei5oySBIxdgtNo/edit?pli=1#gid=257618397"",""stock untanna!B:C""),2,false)"),"LEM CAIR B.GLUE 75ML T")</f>
        <v>LEM CAIR B.GLUE 75ML T</v>
      </c>
      <c r="F1554" s="49" t="s">
        <v>2038</v>
      </c>
      <c r="G1554" s="71" t="s">
        <v>2039</v>
      </c>
      <c r="H1554" s="41"/>
      <c r="I1554" s="42"/>
      <c r="J1554" s="43"/>
      <c r="K1554" s="72">
        <v>6.0</v>
      </c>
      <c r="L1554" s="53" t="s">
        <v>88</v>
      </c>
      <c r="M1554" s="73">
        <v>37000.0</v>
      </c>
      <c r="N1554" s="74"/>
      <c r="O1554" s="73">
        <v>222000.0</v>
      </c>
      <c r="P1554" s="46" t="str">
        <f t="shared" si="2"/>
        <v>Rp37,000-6 BOX-0.00%</v>
      </c>
      <c r="Q1554" s="75">
        <v>45412.0</v>
      </c>
      <c r="R1554" s="76"/>
      <c r="S1554" s="75">
        <v>45422.0</v>
      </c>
      <c r="T1554" s="49" t="s">
        <v>100</v>
      </c>
    </row>
    <row r="1555">
      <c r="A1555" s="90">
        <v>4463.0</v>
      </c>
      <c r="B1555" s="91" t="s">
        <v>58</v>
      </c>
      <c r="C1555" s="49" t="s">
        <v>2001</v>
      </c>
      <c r="D1555" s="77" t="s">
        <v>1950</v>
      </c>
      <c r="E1555" s="41" t="str">
        <f>IFERROR(__xludf.DUMMYFUNCTION("vlookup(D1555,IMPORTRANGE(""https://docs.google.com/spreadsheets/d/1swGwZOEqYlTEUCJLY-eeJM1911Kvaei5oySBIxdgtNo/edit?pli=1#gid=257618397"",""stock untanna!B:C""),2,false)"),"GARISAN 30CM MICROTOP 930")</f>
        <v>GARISAN 30CM MICROTOP 930</v>
      </c>
      <c r="F1555" s="49" t="s">
        <v>1951</v>
      </c>
      <c r="G1555" s="71" t="s">
        <v>1952</v>
      </c>
      <c r="H1555" s="41"/>
      <c r="I1555" s="42"/>
      <c r="J1555" s="43"/>
      <c r="K1555" s="72">
        <v>12.0</v>
      </c>
      <c r="L1555" s="53" t="s">
        <v>62</v>
      </c>
      <c r="M1555" s="73">
        <v>21000.0</v>
      </c>
      <c r="N1555" s="74"/>
      <c r="O1555" s="73">
        <v>252000.0</v>
      </c>
      <c r="P1555" s="46" t="str">
        <f t="shared" si="2"/>
        <v>Rp21,000-12 LSN-0.00%</v>
      </c>
      <c r="Q1555" s="75">
        <v>45412.0</v>
      </c>
      <c r="R1555" s="76"/>
      <c r="S1555" s="75">
        <v>45422.0</v>
      </c>
      <c r="T1555" s="49"/>
    </row>
    <row r="1556">
      <c r="A1556" s="90">
        <v>4463.0</v>
      </c>
      <c r="B1556" s="91" t="s">
        <v>58</v>
      </c>
      <c r="C1556" s="49" t="s">
        <v>2001</v>
      </c>
      <c r="D1556" s="91"/>
      <c r="E1556" s="41" t="s">
        <v>2040</v>
      </c>
      <c r="F1556" s="49"/>
      <c r="G1556" s="71" t="s">
        <v>2040</v>
      </c>
      <c r="H1556" s="41"/>
      <c r="I1556" s="42"/>
      <c r="J1556" s="43"/>
      <c r="K1556" s="72">
        <v>2.0</v>
      </c>
      <c r="L1556" s="53" t="s">
        <v>62</v>
      </c>
      <c r="M1556" s="73">
        <v>41000.0</v>
      </c>
      <c r="N1556" s="74"/>
      <c r="O1556" s="73">
        <v>82000.0</v>
      </c>
      <c r="P1556" s="46" t="str">
        <f t="shared" si="2"/>
        <v>Rp41,000-2 LSN-0.00%</v>
      </c>
      <c r="Q1556" s="75">
        <v>45412.0</v>
      </c>
      <c r="R1556" s="76"/>
      <c r="S1556" s="75">
        <v>45422.0</v>
      </c>
      <c r="T1556" s="49"/>
    </row>
    <row r="1557">
      <c r="A1557" s="90">
        <v>4463.0</v>
      </c>
      <c r="B1557" s="91" t="s">
        <v>58</v>
      </c>
      <c r="C1557" s="49" t="s">
        <v>2001</v>
      </c>
      <c r="D1557" s="91"/>
      <c r="E1557" s="41" t="s">
        <v>2041</v>
      </c>
      <c r="F1557" s="49"/>
      <c r="G1557" s="71" t="s">
        <v>2041</v>
      </c>
      <c r="H1557" s="41"/>
      <c r="I1557" s="42"/>
      <c r="J1557" s="43"/>
      <c r="K1557" s="72">
        <v>2.0</v>
      </c>
      <c r="L1557" s="53" t="s">
        <v>62</v>
      </c>
      <c r="M1557" s="73">
        <v>46000.0</v>
      </c>
      <c r="N1557" s="74"/>
      <c r="O1557" s="73">
        <v>92000.0</v>
      </c>
      <c r="P1557" s="46" t="str">
        <f t="shared" si="2"/>
        <v>Rp46,000-2 LSN-0.00%</v>
      </c>
      <c r="Q1557" s="75">
        <v>45412.0</v>
      </c>
      <c r="R1557" s="76"/>
      <c r="S1557" s="75">
        <v>45422.0</v>
      </c>
      <c r="T1557" s="49"/>
    </row>
    <row r="1558">
      <c r="A1558" s="90">
        <v>4463.0</v>
      </c>
      <c r="B1558" s="91" t="s">
        <v>58</v>
      </c>
      <c r="C1558" s="49" t="s">
        <v>2001</v>
      </c>
      <c r="D1558" s="91"/>
      <c r="E1558" s="41" t="s">
        <v>2042</v>
      </c>
      <c r="F1558" s="49"/>
      <c r="G1558" s="71" t="s">
        <v>2042</v>
      </c>
      <c r="H1558" s="41"/>
      <c r="I1558" s="42"/>
      <c r="J1558" s="43"/>
      <c r="K1558" s="72">
        <v>2.0</v>
      </c>
      <c r="L1558" s="53" t="s">
        <v>62</v>
      </c>
      <c r="M1558" s="73">
        <v>48000.0</v>
      </c>
      <c r="N1558" s="74"/>
      <c r="O1558" s="73">
        <v>96000.0</v>
      </c>
      <c r="P1558" s="46" t="str">
        <f t="shared" si="2"/>
        <v>Rp48,000-2 LSN-0.00%</v>
      </c>
      <c r="Q1558" s="75">
        <v>45412.0</v>
      </c>
      <c r="R1558" s="76"/>
      <c r="S1558" s="75">
        <v>45422.0</v>
      </c>
      <c r="T1558" s="49"/>
    </row>
    <row r="1559">
      <c r="A1559" s="90">
        <v>4463.0</v>
      </c>
      <c r="B1559" s="91" t="s">
        <v>58</v>
      </c>
      <c r="C1559" s="49" t="s">
        <v>2001</v>
      </c>
      <c r="D1559" s="77" t="s">
        <v>358</v>
      </c>
      <c r="E1559" s="41" t="str">
        <f>IFERROR(__xludf.DUMMYFUNCTION("vlookup(D1559,IMPORTRANGE(""https://docs.google.com/spreadsheets/d/1swGwZOEqYlTEUCJLY-eeJM1911Kvaei5oySBIxdgtNo/edit?pli=1#gid=257618397"",""stock untanna!B:C""),2,false)"),"GARISAN ROTARY 1020 (JOS) BSR")</f>
        <v>GARISAN ROTARY 1020 (JOS) BSR</v>
      </c>
      <c r="F1559" s="49" t="s">
        <v>359</v>
      </c>
      <c r="G1559" s="71" t="s">
        <v>360</v>
      </c>
      <c r="H1559" s="41"/>
      <c r="I1559" s="42"/>
      <c r="J1559" s="43"/>
      <c r="K1559" s="72">
        <v>24.0</v>
      </c>
      <c r="L1559" s="53" t="s">
        <v>69</v>
      </c>
      <c r="M1559" s="73">
        <v>2500.0</v>
      </c>
      <c r="N1559" s="74"/>
      <c r="O1559" s="73">
        <v>60000.0</v>
      </c>
      <c r="P1559" s="46" t="str">
        <f t="shared" si="2"/>
        <v>Rp2,500-24 PCS-0.00%</v>
      </c>
      <c r="Q1559" s="75">
        <v>45412.0</v>
      </c>
      <c r="R1559" s="76"/>
      <c r="S1559" s="75">
        <v>45422.0</v>
      </c>
      <c r="T1559" s="49"/>
    </row>
    <row r="1560">
      <c r="A1560" s="90">
        <v>4463.0</v>
      </c>
      <c r="B1560" s="91" t="s">
        <v>58</v>
      </c>
      <c r="C1560" s="49" t="s">
        <v>2001</v>
      </c>
      <c r="D1560" s="91"/>
      <c r="E1560" s="41" t="s">
        <v>2043</v>
      </c>
      <c r="F1560" s="49"/>
      <c r="G1560" s="71" t="s">
        <v>2043</v>
      </c>
      <c r="H1560" s="41"/>
      <c r="I1560" s="42"/>
      <c r="J1560" s="43"/>
      <c r="K1560" s="72">
        <v>12.0</v>
      </c>
      <c r="L1560" s="53" t="s">
        <v>69</v>
      </c>
      <c r="M1560" s="73">
        <v>5500.0</v>
      </c>
      <c r="N1560" s="74"/>
      <c r="O1560" s="73">
        <v>66000.0</v>
      </c>
      <c r="P1560" s="46" t="str">
        <f t="shared" si="2"/>
        <v>Rp5,500-12 PCS-0.00%</v>
      </c>
      <c r="Q1560" s="75">
        <v>45412.0</v>
      </c>
      <c r="R1560" s="76"/>
      <c r="S1560" s="75">
        <v>45422.0</v>
      </c>
      <c r="T1560" s="49"/>
    </row>
    <row r="1561">
      <c r="A1561" s="90">
        <v>4464.0</v>
      </c>
      <c r="B1561" s="91" t="s">
        <v>58</v>
      </c>
      <c r="C1561" s="49" t="s">
        <v>2001</v>
      </c>
      <c r="D1561" s="91" t="s">
        <v>251</v>
      </c>
      <c r="E1561" s="41" t="str">
        <f>IFERROR(__xludf.DUMMYFUNCTION("vlookup(D1561,IMPORTRANGE(""https://docs.google.com/spreadsheets/d/1swGwZOEqYlTEUCJLY-eeJM1911Kvaei5oySBIxdgtNo/edit?pli=1#gid=257618397"",""stock untanna!B:C""),2,false)"),"TAS TUTUP PITA KADO FG-401 JUMBO")</f>
        <v>TAS TUTUP PITA KADO FG-401 JUMBO</v>
      </c>
      <c r="F1561" s="49" t="s">
        <v>251</v>
      </c>
      <c r="G1561" s="71" t="s">
        <v>252</v>
      </c>
      <c r="H1561" s="41"/>
      <c r="I1561" s="42"/>
      <c r="J1561" s="43"/>
      <c r="K1561" s="72">
        <v>1.0</v>
      </c>
      <c r="L1561" s="53" t="s">
        <v>62</v>
      </c>
      <c r="M1561" s="73">
        <v>150000.0</v>
      </c>
      <c r="N1561" s="74"/>
      <c r="O1561" s="73">
        <v>150000.0</v>
      </c>
      <c r="P1561" s="46" t="str">
        <f t="shared" si="2"/>
        <v>Rp150,000-1 LSN-0.00%</v>
      </c>
      <c r="Q1561" s="75">
        <v>45412.0</v>
      </c>
      <c r="R1561" s="76"/>
      <c r="S1561" s="75">
        <v>45422.0</v>
      </c>
      <c r="T1561" s="49"/>
    </row>
    <row r="1562">
      <c r="A1562" s="90">
        <v>4464.0</v>
      </c>
      <c r="B1562" s="91" t="s">
        <v>58</v>
      </c>
      <c r="C1562" s="49" t="s">
        <v>2001</v>
      </c>
      <c r="D1562" s="91" t="s">
        <v>251</v>
      </c>
      <c r="E1562" s="41" t="str">
        <f>IFERROR(__xludf.DUMMYFUNCTION("vlookup(D1562,IMPORTRANGE(""https://docs.google.com/spreadsheets/d/1swGwZOEqYlTEUCJLY-eeJM1911Kvaei5oySBIxdgtNo/edit?pli=1#gid=257618397"",""stock untanna!B:C""),2,false)"),"TAS TUTUP PITA KADO FG-401 JUMBO")</f>
        <v>TAS TUTUP PITA KADO FG-401 JUMBO</v>
      </c>
      <c r="F1562" s="49" t="s">
        <v>251</v>
      </c>
      <c r="G1562" s="71" t="s">
        <v>252</v>
      </c>
      <c r="H1562" s="41"/>
      <c r="I1562" s="42"/>
      <c r="J1562" s="43"/>
      <c r="K1562" s="72">
        <v>1.0</v>
      </c>
      <c r="L1562" s="53" t="s">
        <v>62</v>
      </c>
      <c r="M1562" s="73">
        <v>150000.0</v>
      </c>
      <c r="N1562" s="74"/>
      <c r="O1562" s="73">
        <v>150000.0</v>
      </c>
      <c r="P1562" s="46" t="str">
        <f t="shared" si="2"/>
        <v>Rp150,000-1 LSN-0.00%</v>
      </c>
      <c r="Q1562" s="75">
        <v>45412.0</v>
      </c>
      <c r="R1562" s="76"/>
      <c r="S1562" s="75">
        <v>45422.0</v>
      </c>
      <c r="T1562" s="49"/>
    </row>
    <row r="1563">
      <c r="A1563" s="90">
        <v>4464.0</v>
      </c>
      <c r="B1563" s="91" t="s">
        <v>58</v>
      </c>
      <c r="C1563" s="49" t="s">
        <v>2001</v>
      </c>
      <c r="D1563" s="91" t="s">
        <v>251</v>
      </c>
      <c r="E1563" s="41" t="str">
        <f>IFERROR(__xludf.DUMMYFUNCTION("vlookup(D1563,IMPORTRANGE(""https://docs.google.com/spreadsheets/d/1swGwZOEqYlTEUCJLY-eeJM1911Kvaei5oySBIxdgtNo/edit?pli=1#gid=257618397"",""stock untanna!B:C""),2,false)"),"TAS TUTUP PITA KADO FG-401 JUMBO")</f>
        <v>TAS TUTUP PITA KADO FG-401 JUMBO</v>
      </c>
      <c r="F1563" s="49" t="s">
        <v>251</v>
      </c>
      <c r="G1563" s="71" t="s">
        <v>252</v>
      </c>
      <c r="H1563" s="41"/>
      <c r="I1563" s="42"/>
      <c r="J1563" s="43"/>
      <c r="K1563" s="72">
        <v>1.0</v>
      </c>
      <c r="L1563" s="53" t="s">
        <v>62</v>
      </c>
      <c r="M1563" s="73">
        <v>150000.0</v>
      </c>
      <c r="N1563" s="74"/>
      <c r="O1563" s="73">
        <v>150000.0</v>
      </c>
      <c r="P1563" s="46" t="str">
        <f t="shared" si="2"/>
        <v>Rp150,000-1 LSN-0.00%</v>
      </c>
      <c r="Q1563" s="75">
        <v>45412.0</v>
      </c>
      <c r="R1563" s="76"/>
      <c r="S1563" s="75">
        <v>45422.0</v>
      </c>
      <c r="T1563" s="49"/>
    </row>
    <row r="1564">
      <c r="A1564" s="90">
        <v>4464.0</v>
      </c>
      <c r="B1564" s="91" t="s">
        <v>58</v>
      </c>
      <c r="C1564" s="49" t="s">
        <v>2001</v>
      </c>
      <c r="D1564" s="91" t="s">
        <v>251</v>
      </c>
      <c r="E1564" s="41" t="str">
        <f>IFERROR(__xludf.DUMMYFUNCTION("vlookup(D1564,IMPORTRANGE(""https://docs.google.com/spreadsheets/d/1swGwZOEqYlTEUCJLY-eeJM1911Kvaei5oySBIxdgtNo/edit?pli=1#gid=257618397"",""stock untanna!B:C""),2,false)"),"TAS TUTUP PITA KADO FG-401 JUMBO")</f>
        <v>TAS TUTUP PITA KADO FG-401 JUMBO</v>
      </c>
      <c r="F1564" s="49" t="s">
        <v>251</v>
      </c>
      <c r="G1564" s="71" t="s">
        <v>252</v>
      </c>
      <c r="H1564" s="41"/>
      <c r="I1564" s="42"/>
      <c r="J1564" s="43"/>
      <c r="K1564" s="72">
        <v>1.0</v>
      </c>
      <c r="L1564" s="53" t="s">
        <v>62</v>
      </c>
      <c r="M1564" s="73">
        <v>150000.0</v>
      </c>
      <c r="N1564" s="74"/>
      <c r="O1564" s="73">
        <v>150000.0</v>
      </c>
      <c r="P1564" s="46" t="str">
        <f t="shared" si="2"/>
        <v>Rp150,000-1 LSN-0.00%</v>
      </c>
      <c r="Q1564" s="75">
        <v>45412.0</v>
      </c>
      <c r="R1564" s="76"/>
      <c r="S1564" s="75">
        <v>45422.0</v>
      </c>
      <c r="T1564" s="49"/>
    </row>
    <row r="1565">
      <c r="A1565" s="90">
        <v>4464.0</v>
      </c>
      <c r="B1565" s="91" t="s">
        <v>58</v>
      </c>
      <c r="C1565" s="49" t="s">
        <v>2001</v>
      </c>
      <c r="D1565" s="91" t="s">
        <v>251</v>
      </c>
      <c r="E1565" s="41" t="str">
        <f>IFERROR(__xludf.DUMMYFUNCTION("vlookup(D1565,IMPORTRANGE(""https://docs.google.com/spreadsheets/d/1swGwZOEqYlTEUCJLY-eeJM1911Kvaei5oySBIxdgtNo/edit?pli=1#gid=257618397"",""stock untanna!B:C""),2,false)"),"TAS TUTUP PITA KADO FG-401 JUMBO")</f>
        <v>TAS TUTUP PITA KADO FG-401 JUMBO</v>
      </c>
      <c r="F1565" s="49" t="s">
        <v>251</v>
      </c>
      <c r="G1565" s="71" t="s">
        <v>252</v>
      </c>
      <c r="H1565" s="41"/>
      <c r="I1565" s="42"/>
      <c r="J1565" s="43"/>
      <c r="K1565" s="72">
        <v>1.0</v>
      </c>
      <c r="L1565" s="53" t="s">
        <v>62</v>
      </c>
      <c r="M1565" s="73">
        <v>150000.0</v>
      </c>
      <c r="N1565" s="74"/>
      <c r="O1565" s="73">
        <v>150000.0</v>
      </c>
      <c r="P1565" s="46" t="str">
        <f t="shared" si="2"/>
        <v>Rp150,000-1 LSN-0.00%</v>
      </c>
      <c r="Q1565" s="75">
        <v>45412.0</v>
      </c>
      <c r="R1565" s="76"/>
      <c r="S1565" s="75">
        <v>45422.0</v>
      </c>
      <c r="T1565" s="49"/>
    </row>
    <row r="1566">
      <c r="A1566" s="90">
        <v>4464.0</v>
      </c>
      <c r="B1566" s="91" t="s">
        <v>58</v>
      </c>
      <c r="C1566" s="49" t="s">
        <v>2001</v>
      </c>
      <c r="D1566" s="91" t="s">
        <v>251</v>
      </c>
      <c r="E1566" s="41" t="str">
        <f>IFERROR(__xludf.DUMMYFUNCTION("vlookup(D1566,IMPORTRANGE(""https://docs.google.com/spreadsheets/d/1swGwZOEqYlTEUCJLY-eeJM1911Kvaei5oySBIxdgtNo/edit?pli=1#gid=257618397"",""stock untanna!B:C""),2,false)"),"TAS TUTUP PITA KADO FG-401 JUMBO")</f>
        <v>TAS TUTUP PITA KADO FG-401 JUMBO</v>
      </c>
      <c r="F1566" s="49" t="s">
        <v>251</v>
      </c>
      <c r="G1566" s="71" t="s">
        <v>252</v>
      </c>
      <c r="H1566" s="41"/>
      <c r="I1566" s="42"/>
      <c r="J1566" s="43"/>
      <c r="K1566" s="72">
        <v>1.0</v>
      </c>
      <c r="L1566" s="53" t="s">
        <v>62</v>
      </c>
      <c r="M1566" s="73">
        <v>150000.0</v>
      </c>
      <c r="N1566" s="74"/>
      <c r="O1566" s="73">
        <v>150000.0</v>
      </c>
      <c r="P1566" s="46" t="str">
        <f t="shared" si="2"/>
        <v>Rp150,000-1 LSN-0.00%</v>
      </c>
      <c r="Q1566" s="75">
        <v>45412.0</v>
      </c>
      <c r="R1566" s="76"/>
      <c r="S1566" s="75">
        <v>45422.0</v>
      </c>
      <c r="T1566" s="49"/>
    </row>
    <row r="1567">
      <c r="A1567" s="90">
        <v>4464.0</v>
      </c>
      <c r="B1567" s="91" t="s">
        <v>58</v>
      </c>
      <c r="C1567" s="49" t="s">
        <v>2001</v>
      </c>
      <c r="D1567" s="91" t="s">
        <v>251</v>
      </c>
      <c r="E1567" s="41" t="str">
        <f>IFERROR(__xludf.DUMMYFUNCTION("vlookup(D1567,IMPORTRANGE(""https://docs.google.com/spreadsheets/d/1swGwZOEqYlTEUCJLY-eeJM1911Kvaei5oySBIxdgtNo/edit?pli=1#gid=257618397"",""stock untanna!B:C""),2,false)"),"TAS TUTUP PITA KADO FG-401 JUMBO")</f>
        <v>TAS TUTUP PITA KADO FG-401 JUMBO</v>
      </c>
      <c r="F1567" s="49" t="s">
        <v>251</v>
      </c>
      <c r="G1567" s="71" t="s">
        <v>252</v>
      </c>
      <c r="H1567" s="41"/>
      <c r="I1567" s="42"/>
      <c r="J1567" s="43"/>
      <c r="K1567" s="72">
        <v>1.0</v>
      </c>
      <c r="L1567" s="53" t="s">
        <v>62</v>
      </c>
      <c r="M1567" s="73">
        <v>150000.0</v>
      </c>
      <c r="N1567" s="74"/>
      <c r="O1567" s="73">
        <v>150000.0</v>
      </c>
      <c r="P1567" s="46" t="str">
        <f t="shared" si="2"/>
        <v>Rp150,000-1 LSN-0.00%</v>
      </c>
      <c r="Q1567" s="75">
        <v>45412.0</v>
      </c>
      <c r="R1567" s="76"/>
      <c r="S1567" s="75">
        <v>45422.0</v>
      </c>
      <c r="T1567" s="49"/>
    </row>
    <row r="1568">
      <c r="A1568" s="90">
        <v>4464.0</v>
      </c>
      <c r="B1568" s="91" t="s">
        <v>58</v>
      </c>
      <c r="C1568" s="49" t="s">
        <v>2001</v>
      </c>
      <c r="D1568" s="91" t="s">
        <v>2044</v>
      </c>
      <c r="E1568" s="41" t="str">
        <f>IFERROR(__xludf.DUMMYFUNCTION("vlookup(D1568,IMPORTRANGE(""https://docs.google.com/spreadsheets/d/1swGwZOEqYlTEUCJLY-eeJM1911Kvaei5oySBIxdgtNo/edit?pli=1#gid=257618397"",""stock untanna!B:C""),2,false)"),"BUSINESS FILE SIKA AC-106 BIRU")</f>
        <v>BUSINESS FILE SIKA AC-106 BIRU</v>
      </c>
      <c r="F1568" s="49" t="s">
        <v>2044</v>
      </c>
      <c r="G1568" s="71" t="s">
        <v>2045</v>
      </c>
      <c r="H1568" s="41"/>
      <c r="I1568" s="42"/>
      <c r="J1568" s="43"/>
      <c r="K1568" s="72">
        <v>15.0</v>
      </c>
      <c r="L1568" s="53" t="s">
        <v>62</v>
      </c>
      <c r="M1568" s="73">
        <v>18000.0</v>
      </c>
      <c r="N1568" s="74"/>
      <c r="O1568" s="73">
        <v>270000.0</v>
      </c>
      <c r="P1568" s="46" t="str">
        <f t="shared" si="2"/>
        <v>Rp18,000-15 LSN-0.00%</v>
      </c>
      <c r="Q1568" s="75">
        <v>45412.0</v>
      </c>
      <c r="R1568" s="76"/>
      <c r="S1568" s="75">
        <v>45422.0</v>
      </c>
      <c r="T1568" s="49"/>
    </row>
    <row r="1569">
      <c r="A1569" s="90">
        <v>4464.0</v>
      </c>
      <c r="B1569" s="91" t="s">
        <v>58</v>
      </c>
      <c r="C1569" s="49" t="s">
        <v>2001</v>
      </c>
      <c r="D1569" s="91" t="s">
        <v>2046</v>
      </c>
      <c r="E1569" s="41" t="str">
        <f>IFERROR(__xludf.DUMMYFUNCTION("vlookup(D1569,IMPORTRANGE(""https://docs.google.com/spreadsheets/d/1swGwZOEqYlTEUCJLY-eeJM1911Kvaei5oySBIxdgtNo/edit?pli=1#gid=257618397"",""stock untanna!B:C""),2,false)"),"BUSINESS FILE SIKA AC-106 KUNING")</f>
        <v>BUSINESS FILE SIKA AC-106 KUNING</v>
      </c>
      <c r="F1569" s="49" t="s">
        <v>2046</v>
      </c>
      <c r="G1569" s="71" t="s">
        <v>2047</v>
      </c>
      <c r="H1569" s="41"/>
      <c r="I1569" s="42"/>
      <c r="J1569" s="43"/>
      <c r="K1569" s="72">
        <v>15.0</v>
      </c>
      <c r="L1569" s="53" t="s">
        <v>62</v>
      </c>
      <c r="M1569" s="73">
        <v>18000.0</v>
      </c>
      <c r="N1569" s="74"/>
      <c r="O1569" s="73">
        <v>270000.0</v>
      </c>
      <c r="P1569" s="46" t="str">
        <f t="shared" si="2"/>
        <v>Rp18,000-15 LSN-0.00%</v>
      </c>
      <c r="Q1569" s="75">
        <v>45412.0</v>
      </c>
      <c r="R1569" s="76"/>
      <c r="S1569" s="75">
        <v>45422.0</v>
      </c>
      <c r="T1569" s="49"/>
    </row>
    <row r="1570">
      <c r="A1570" s="90">
        <v>4464.0</v>
      </c>
      <c r="B1570" s="91" t="s">
        <v>58</v>
      </c>
      <c r="C1570" s="49" t="s">
        <v>2001</v>
      </c>
      <c r="D1570" s="91" t="s">
        <v>2048</v>
      </c>
      <c r="E1570" s="41" t="str">
        <f>IFERROR(__xludf.DUMMYFUNCTION("vlookup(D1570,IMPORTRANGE(""https://docs.google.com/spreadsheets/d/1swGwZOEqYlTEUCJLY-eeJM1911Kvaei5oySBIxdgtNo/edit?pli=1#gid=257618397"",""stock untanna!B:C""),2,false)"),"BUSINESS FILE SIKA AC-106 MERAH")</f>
        <v>BUSINESS FILE SIKA AC-106 MERAH</v>
      </c>
      <c r="F1570" s="49" t="s">
        <v>2048</v>
      </c>
      <c r="G1570" s="71" t="s">
        <v>2049</v>
      </c>
      <c r="H1570" s="41"/>
      <c r="I1570" s="42"/>
      <c r="J1570" s="43"/>
      <c r="K1570" s="72">
        <v>10.0</v>
      </c>
      <c r="L1570" s="53" t="s">
        <v>62</v>
      </c>
      <c r="M1570" s="73">
        <v>18000.0</v>
      </c>
      <c r="N1570" s="74"/>
      <c r="O1570" s="73">
        <v>180000.0</v>
      </c>
      <c r="P1570" s="46" t="str">
        <f t="shared" si="2"/>
        <v>Rp18,000-10 LSN-0.00%</v>
      </c>
      <c r="Q1570" s="75">
        <v>45412.0</v>
      </c>
      <c r="R1570" s="76"/>
      <c r="S1570" s="75">
        <v>45422.0</v>
      </c>
      <c r="T1570" s="49"/>
    </row>
    <row r="1571">
      <c r="A1571" s="90">
        <v>4464.0</v>
      </c>
      <c r="B1571" s="91" t="s">
        <v>58</v>
      </c>
      <c r="C1571" s="49" t="s">
        <v>2001</v>
      </c>
      <c r="D1571" s="91" t="s">
        <v>2050</v>
      </c>
      <c r="E1571" s="41" t="str">
        <f>IFERROR(__xludf.DUMMYFUNCTION("vlookup(D1571,IMPORTRANGE(""https://docs.google.com/spreadsheets/d/1swGwZOEqYlTEUCJLY-eeJM1911Kvaei5oySBIxdgtNo/edit?pli=1#gid=257618397"",""stock untanna!B:C""),2,false)"),"BUSINESS FILE SIKA AC-106 HIJAU")</f>
        <v>BUSINESS FILE SIKA AC-106 HIJAU</v>
      </c>
      <c r="F1571" s="49" t="s">
        <v>2050</v>
      </c>
      <c r="G1571" s="71" t="s">
        <v>2051</v>
      </c>
      <c r="H1571" s="41"/>
      <c r="I1571" s="42"/>
      <c r="J1571" s="43"/>
      <c r="K1571" s="72">
        <v>10.0</v>
      </c>
      <c r="L1571" s="53" t="s">
        <v>62</v>
      </c>
      <c r="M1571" s="73">
        <v>18000.0</v>
      </c>
      <c r="N1571" s="74"/>
      <c r="O1571" s="73">
        <v>180000.0</v>
      </c>
      <c r="P1571" s="46" t="str">
        <f t="shared" si="2"/>
        <v>Rp18,000-10 LSN-0.00%</v>
      </c>
      <c r="Q1571" s="75">
        <v>45412.0</v>
      </c>
      <c r="R1571" s="76"/>
      <c r="S1571" s="75">
        <v>45422.0</v>
      </c>
      <c r="T1571" s="49"/>
    </row>
    <row r="1572">
      <c r="A1572" s="90">
        <v>4464.0</v>
      </c>
      <c r="B1572" s="91" t="s">
        <v>58</v>
      </c>
      <c r="C1572" s="49" t="s">
        <v>2001</v>
      </c>
      <c r="D1572" s="91" t="s">
        <v>801</v>
      </c>
      <c r="E1572" s="41" t="str">
        <f>IFERROR(__xludf.DUMMYFUNCTION("vlookup(D1572,IMPORTRANGE(""https://docs.google.com/spreadsheets/d/1swGwZOEqYlTEUCJLY-eeJM1911Kvaei5oySBIxdgtNo/edit?pli=1#gid=257618397"",""stock untanna!B:C""),2,false)"),"MAP KANCING SIKA AC-05 MERAH")</f>
        <v>MAP KANCING SIKA AC-05 MERAH</v>
      </c>
      <c r="F1572" s="49" t="s">
        <v>801</v>
      </c>
      <c r="G1572" s="71" t="s">
        <v>802</v>
      </c>
      <c r="H1572" s="41"/>
      <c r="I1572" s="42"/>
      <c r="J1572" s="43"/>
      <c r="K1572" s="72">
        <v>20.0</v>
      </c>
      <c r="L1572" s="53" t="s">
        <v>62</v>
      </c>
      <c r="M1572" s="73">
        <v>19000.0</v>
      </c>
      <c r="N1572" s="74"/>
      <c r="O1572" s="73">
        <v>380000.0</v>
      </c>
      <c r="P1572" s="46" t="str">
        <f t="shared" si="2"/>
        <v>Rp19,000-20 LSN-0.00%</v>
      </c>
      <c r="Q1572" s="75">
        <v>45412.0</v>
      </c>
      <c r="R1572" s="76"/>
      <c r="S1572" s="75">
        <v>45422.0</v>
      </c>
      <c r="T1572" s="49"/>
    </row>
    <row r="1573">
      <c r="A1573" s="90">
        <v>4464.0</v>
      </c>
      <c r="B1573" s="91" t="s">
        <v>58</v>
      </c>
      <c r="C1573" s="49" t="s">
        <v>2001</v>
      </c>
      <c r="D1573" s="91" t="s">
        <v>799</v>
      </c>
      <c r="E1573" s="41" t="str">
        <f>IFERROR(__xludf.DUMMYFUNCTION("vlookup(D1573,IMPORTRANGE(""https://docs.google.com/spreadsheets/d/1swGwZOEqYlTEUCJLY-eeJM1911Kvaei5oySBIxdgtNo/edit?pli=1#gid=257618397"",""stock untanna!B:C""),2,false)"),"MAP KANCING SIKA AC-05 HIJAU")</f>
        <v>MAP KANCING SIKA AC-05 HIJAU</v>
      </c>
      <c r="F1573" s="49" t="s">
        <v>799</v>
      </c>
      <c r="G1573" s="71" t="s">
        <v>800</v>
      </c>
      <c r="H1573" s="41"/>
      <c r="I1573" s="42"/>
      <c r="J1573" s="43"/>
      <c r="K1573" s="72">
        <v>10.0</v>
      </c>
      <c r="L1573" s="53" t="s">
        <v>62</v>
      </c>
      <c r="M1573" s="73">
        <v>19000.0</v>
      </c>
      <c r="N1573" s="74"/>
      <c r="O1573" s="73">
        <v>190000.0</v>
      </c>
      <c r="P1573" s="46" t="str">
        <f t="shared" si="2"/>
        <v>Rp19,000-10 LSN-0.00%</v>
      </c>
      <c r="Q1573" s="75">
        <v>45412.0</v>
      </c>
      <c r="R1573" s="76"/>
      <c r="S1573" s="75">
        <v>45422.0</v>
      </c>
      <c r="T1573" s="49"/>
    </row>
    <row r="1574">
      <c r="A1574" s="90">
        <v>4464.0</v>
      </c>
      <c r="B1574" s="91" t="s">
        <v>58</v>
      </c>
      <c r="C1574" s="49" t="s">
        <v>2001</v>
      </c>
      <c r="D1574" s="91" t="s">
        <v>2052</v>
      </c>
      <c r="E1574" s="41" t="str">
        <f>IFERROR(__xludf.DUMMYFUNCTION("vlookup(D1574,IMPORTRANGE(""https://docs.google.com/spreadsheets/d/1swGwZOEqYlTEUCJLY-eeJM1911Kvaei5oySBIxdgtNo/edit?pli=1#gid=257618397"",""stock untanna!B:C""),2,false)"),"MAP KANCING SIKA AC-05 KUNING")</f>
        <v>MAP KANCING SIKA AC-05 KUNING</v>
      </c>
      <c r="F1574" s="49" t="s">
        <v>2052</v>
      </c>
      <c r="G1574" s="71" t="s">
        <v>2053</v>
      </c>
      <c r="H1574" s="41"/>
      <c r="I1574" s="42"/>
      <c r="J1574" s="43"/>
      <c r="K1574" s="72">
        <v>10.0</v>
      </c>
      <c r="L1574" s="53" t="s">
        <v>62</v>
      </c>
      <c r="M1574" s="73">
        <v>19000.0</v>
      </c>
      <c r="N1574" s="74"/>
      <c r="O1574" s="73">
        <v>190000.0</v>
      </c>
      <c r="P1574" s="46" t="str">
        <f t="shared" si="2"/>
        <v>Rp19,000-10 LSN-0.00%</v>
      </c>
      <c r="Q1574" s="75">
        <v>45412.0</v>
      </c>
      <c r="R1574" s="76"/>
      <c r="S1574" s="75">
        <v>45422.0</v>
      </c>
      <c r="T1574" s="49"/>
    </row>
    <row r="1575">
      <c r="A1575" s="90">
        <v>4464.0</v>
      </c>
      <c r="B1575" s="91" t="s">
        <v>58</v>
      </c>
      <c r="C1575" s="49" t="s">
        <v>2001</v>
      </c>
      <c r="D1575" s="91" t="s">
        <v>705</v>
      </c>
      <c r="E1575" s="41" t="str">
        <f>IFERROR(__xludf.DUMMYFUNCTION("vlookup(D1575,IMPORTRANGE(""https://docs.google.com/spreadsheets/d/1swGwZOEqYlTEUCJLY-eeJM1911Kvaei5oySBIxdgtNo/edit?pli=1#gid=257618397"",""stock untanna!B:C""),2,false)"),"MAP KANCING SIKA AC-05 PUTIH")</f>
        <v>MAP KANCING SIKA AC-05 PUTIH</v>
      </c>
      <c r="F1575" s="49" t="s">
        <v>705</v>
      </c>
      <c r="G1575" s="71" t="s">
        <v>706</v>
      </c>
      <c r="H1575" s="41"/>
      <c r="I1575" s="42"/>
      <c r="J1575" s="43"/>
      <c r="K1575" s="72">
        <v>10.0</v>
      </c>
      <c r="L1575" s="53" t="s">
        <v>62</v>
      </c>
      <c r="M1575" s="73">
        <v>19000.0</v>
      </c>
      <c r="N1575" s="74"/>
      <c r="O1575" s="73">
        <v>190000.0</v>
      </c>
      <c r="P1575" s="46" t="str">
        <f t="shared" si="2"/>
        <v>Rp19,000-10 LSN-0.00%</v>
      </c>
      <c r="Q1575" s="75">
        <v>45412.0</v>
      </c>
      <c r="R1575" s="76"/>
      <c r="S1575" s="75">
        <v>45422.0</v>
      </c>
      <c r="T1575" s="49"/>
    </row>
    <row r="1576">
      <c r="A1576" s="90">
        <v>4464.0</v>
      </c>
      <c r="B1576" s="91" t="s">
        <v>58</v>
      </c>
      <c r="C1576" s="49" t="s">
        <v>2001</v>
      </c>
      <c r="D1576" s="77" t="s">
        <v>1904</v>
      </c>
      <c r="E1576" s="41" t="str">
        <f>IFERROR(__xludf.DUMMYFUNCTION("vlookup(D1576,IMPORTRANGE(""https://docs.google.com/spreadsheets/d/1swGwZOEqYlTEUCJLY-eeJM1911Kvaei5oySBIxdgtNo/edit?pli=1#gid=257618397"",""stock untanna!B:C""),2,false)"),"CLIP BOARD TRANS FOLIO FANCY TR 2335")</f>
        <v>CLIP BOARD TRANS FOLIO FANCY TR 2335</v>
      </c>
      <c r="F1576" s="49" t="s">
        <v>1905</v>
      </c>
      <c r="G1576" s="78" t="s">
        <v>1906</v>
      </c>
      <c r="H1576" s="41"/>
      <c r="I1576" s="42"/>
      <c r="J1576" s="43"/>
      <c r="K1576" s="72">
        <v>2.0</v>
      </c>
      <c r="L1576" s="53" t="s">
        <v>62</v>
      </c>
      <c r="M1576" s="73">
        <v>165000.0</v>
      </c>
      <c r="N1576" s="74"/>
      <c r="O1576" s="73">
        <v>330000.0</v>
      </c>
      <c r="P1576" s="46" t="str">
        <f t="shared" si="2"/>
        <v>Rp165,000-2 LSN-0.00%</v>
      </c>
      <c r="Q1576" s="75">
        <v>45412.0</v>
      </c>
      <c r="R1576" s="76"/>
      <c r="S1576" s="75">
        <v>45422.0</v>
      </c>
      <c r="T1576" s="49"/>
    </row>
    <row r="1577">
      <c r="A1577" s="90">
        <v>4465.0</v>
      </c>
      <c r="B1577" s="91" t="s">
        <v>58</v>
      </c>
      <c r="C1577" s="49" t="s">
        <v>2001</v>
      </c>
      <c r="D1577" s="91"/>
      <c r="E1577" s="41" t="s">
        <v>2054</v>
      </c>
      <c r="F1577" s="49"/>
      <c r="G1577" s="71" t="s">
        <v>2054</v>
      </c>
      <c r="H1577" s="41"/>
      <c r="I1577" s="42"/>
      <c r="J1577" s="43"/>
      <c r="K1577" s="72">
        <v>0.5</v>
      </c>
      <c r="L1577" s="53" t="s">
        <v>62</v>
      </c>
      <c r="M1577" s="73">
        <v>121500.0</v>
      </c>
      <c r="N1577" s="74"/>
      <c r="O1577" s="73">
        <v>60750.0</v>
      </c>
      <c r="P1577" s="46" t="str">
        <f t="shared" si="2"/>
        <v>Rp121,500-0.5 LSN-0.00%</v>
      </c>
      <c r="Q1577" s="75">
        <v>45412.0</v>
      </c>
      <c r="R1577" s="76"/>
      <c r="S1577" s="75">
        <v>45422.0</v>
      </c>
      <c r="T1577" s="49"/>
    </row>
    <row r="1578">
      <c r="A1578" s="90">
        <v>4465.0</v>
      </c>
      <c r="B1578" s="91" t="s">
        <v>58</v>
      </c>
      <c r="C1578" s="49" t="s">
        <v>2001</v>
      </c>
      <c r="D1578" s="91"/>
      <c r="E1578" s="41" t="s">
        <v>2055</v>
      </c>
      <c r="F1578" s="49"/>
      <c r="G1578" s="71" t="s">
        <v>2055</v>
      </c>
      <c r="H1578" s="41"/>
      <c r="I1578" s="42"/>
      <c r="J1578" s="43"/>
      <c r="K1578" s="72">
        <v>1.0</v>
      </c>
      <c r="L1578" s="53" t="s">
        <v>2056</v>
      </c>
      <c r="M1578" s="73">
        <v>22500.0</v>
      </c>
      <c r="N1578" s="74"/>
      <c r="O1578" s="73">
        <v>22500.0</v>
      </c>
      <c r="P1578" s="46" t="str">
        <f t="shared" si="2"/>
        <v>Rp22,500-1 DISP (36)-0.00%</v>
      </c>
      <c r="Q1578" s="75">
        <v>45412.0</v>
      </c>
      <c r="R1578" s="76"/>
      <c r="S1578" s="75">
        <v>45422.0</v>
      </c>
      <c r="T1578" s="49"/>
    </row>
    <row r="1579">
      <c r="A1579" s="90">
        <v>4465.0</v>
      </c>
      <c r="B1579" s="91" t="s">
        <v>58</v>
      </c>
      <c r="C1579" s="49" t="s">
        <v>2001</v>
      </c>
      <c r="D1579" s="91"/>
      <c r="E1579" s="41" t="s">
        <v>2057</v>
      </c>
      <c r="F1579" s="49"/>
      <c r="G1579" s="78" t="s">
        <v>2057</v>
      </c>
      <c r="H1579" s="41"/>
      <c r="I1579" s="42"/>
      <c r="J1579" s="43"/>
      <c r="K1579" s="72">
        <v>1.0</v>
      </c>
      <c r="L1579" s="53" t="s">
        <v>2056</v>
      </c>
      <c r="M1579" s="73">
        <v>22500.0</v>
      </c>
      <c r="N1579" s="74"/>
      <c r="O1579" s="73">
        <v>22500.0</v>
      </c>
      <c r="P1579" s="46" t="str">
        <f t="shared" si="2"/>
        <v>Rp22,500-1 DISP (36)-0.00%</v>
      </c>
      <c r="Q1579" s="75">
        <v>45412.0</v>
      </c>
      <c r="R1579" s="76"/>
      <c r="S1579" s="75">
        <v>45422.0</v>
      </c>
      <c r="T1579" s="49"/>
    </row>
    <row r="1580">
      <c r="A1580" s="90">
        <v>4465.0</v>
      </c>
      <c r="B1580" s="91" t="s">
        <v>58</v>
      </c>
      <c r="C1580" s="49" t="s">
        <v>2001</v>
      </c>
      <c r="D1580" s="91"/>
      <c r="E1580" s="41" t="s">
        <v>2058</v>
      </c>
      <c r="F1580" s="49"/>
      <c r="G1580" s="71" t="s">
        <v>2058</v>
      </c>
      <c r="H1580" s="41"/>
      <c r="I1580" s="42"/>
      <c r="J1580" s="43"/>
      <c r="K1580" s="72">
        <v>1.0</v>
      </c>
      <c r="L1580" s="53" t="s">
        <v>2056</v>
      </c>
      <c r="M1580" s="73">
        <v>22500.0</v>
      </c>
      <c r="N1580" s="74"/>
      <c r="O1580" s="73">
        <v>22500.0</v>
      </c>
      <c r="P1580" s="46" t="str">
        <f t="shared" si="2"/>
        <v>Rp22,500-1 DISP (36)-0.00%</v>
      </c>
      <c r="Q1580" s="75">
        <v>45412.0</v>
      </c>
      <c r="R1580" s="76"/>
      <c r="S1580" s="75">
        <v>45422.0</v>
      </c>
      <c r="T1580" s="49"/>
    </row>
    <row r="1581">
      <c r="A1581" s="90">
        <v>4465.0</v>
      </c>
      <c r="B1581" s="91" t="s">
        <v>58</v>
      </c>
      <c r="C1581" s="49" t="s">
        <v>2001</v>
      </c>
      <c r="D1581" s="91"/>
      <c r="E1581" s="41" t="s">
        <v>2059</v>
      </c>
      <c r="F1581" s="49"/>
      <c r="G1581" s="71" t="s">
        <v>2059</v>
      </c>
      <c r="H1581" s="41"/>
      <c r="I1581" s="42"/>
      <c r="J1581" s="43"/>
      <c r="K1581" s="72">
        <v>1.0</v>
      </c>
      <c r="L1581" s="53" t="s">
        <v>2056</v>
      </c>
      <c r="M1581" s="73">
        <v>22500.0</v>
      </c>
      <c r="N1581" s="74"/>
      <c r="O1581" s="73">
        <v>22500.0</v>
      </c>
      <c r="P1581" s="46" t="str">
        <f t="shared" si="2"/>
        <v>Rp22,500-1 DISP (36)-0.00%</v>
      </c>
      <c r="Q1581" s="75">
        <v>45412.0</v>
      </c>
      <c r="R1581" s="76"/>
      <c r="S1581" s="75">
        <v>45422.0</v>
      </c>
      <c r="T1581" s="49"/>
    </row>
    <row r="1582">
      <c r="A1582" s="90">
        <v>4465.0</v>
      </c>
      <c r="B1582" s="91" t="s">
        <v>58</v>
      </c>
      <c r="C1582" s="49" t="s">
        <v>2001</v>
      </c>
      <c r="D1582" s="91"/>
      <c r="E1582" s="41" t="s">
        <v>2060</v>
      </c>
      <c r="F1582" s="49"/>
      <c r="G1582" s="78" t="s">
        <v>2060</v>
      </c>
      <c r="H1582" s="41"/>
      <c r="I1582" s="42"/>
      <c r="J1582" s="43"/>
      <c r="K1582" s="72">
        <v>1.0</v>
      </c>
      <c r="L1582" s="53" t="s">
        <v>2056</v>
      </c>
      <c r="M1582" s="73">
        <v>22500.0</v>
      </c>
      <c r="N1582" s="74"/>
      <c r="O1582" s="73">
        <v>22500.0</v>
      </c>
      <c r="P1582" s="46" t="str">
        <f t="shared" si="2"/>
        <v>Rp22,500-1 DISP (36)-0.00%</v>
      </c>
      <c r="Q1582" s="75">
        <v>45412.0</v>
      </c>
      <c r="R1582" s="76"/>
      <c r="S1582" s="75">
        <v>45422.0</v>
      </c>
      <c r="T1582" s="49"/>
    </row>
    <row r="1583">
      <c r="A1583" s="90">
        <v>4465.0</v>
      </c>
      <c r="B1583" s="91" t="s">
        <v>58</v>
      </c>
      <c r="C1583" s="49" t="s">
        <v>2001</v>
      </c>
      <c r="D1583" s="77" t="s">
        <v>1201</v>
      </c>
      <c r="E1583" s="41" t="str">
        <f>IFERROR(__xludf.DUMMYFUNCTION("vlookup(D1583,IMPORTRANGE(""https://docs.google.com/spreadsheets/d/1swGwZOEqYlTEUCJLY-eeJM1911Kvaei5oySBIxdgtNo/edit?pli=1#gid=257618397"",""stock untanna!B:C""),2,false)"),"ISI GEL V-TRO VRG-2022 TRANSFORMER")</f>
        <v>ISI GEL V-TRO VRG-2022 TRANSFORMER</v>
      </c>
      <c r="F1583" s="49" t="s">
        <v>1202</v>
      </c>
      <c r="G1583" s="71" t="s">
        <v>1203</v>
      </c>
      <c r="H1583" s="41"/>
      <c r="I1583" s="42"/>
      <c r="J1583" s="43"/>
      <c r="K1583" s="72">
        <v>12.0</v>
      </c>
      <c r="L1583" s="53" t="s">
        <v>88</v>
      </c>
      <c r="M1583" s="73">
        <v>7000.0</v>
      </c>
      <c r="N1583" s="74"/>
      <c r="O1583" s="73">
        <v>84000.0</v>
      </c>
      <c r="P1583" s="46" t="str">
        <f t="shared" si="2"/>
        <v>Rp7,000-12 BOX-0.00%</v>
      </c>
      <c r="Q1583" s="75">
        <v>45412.0</v>
      </c>
      <c r="R1583" s="76"/>
      <c r="S1583" s="75">
        <v>45422.0</v>
      </c>
      <c r="T1583" s="49"/>
    </row>
    <row r="1584">
      <c r="A1584" s="90">
        <v>4465.0</v>
      </c>
      <c r="B1584" s="91" t="s">
        <v>58</v>
      </c>
      <c r="C1584" s="49" t="s">
        <v>2001</v>
      </c>
      <c r="D1584" s="77" t="s">
        <v>1204</v>
      </c>
      <c r="E1584" s="41" t="str">
        <f>IFERROR(__xludf.DUMMYFUNCTION("IFNA(vlookup(D1584,IMPORTRANGE(""https://docs.google.com/spreadsheets/d/1swGwZOEqYlTEUCJLY-eeJM1911Kvaei5oySBIxdgtNo/edit?pli=1#gid=257618397"",""stock untanna!B:C""),2,false),V:V)"),"ISI GEL V-TRO 2020 HIJAB")</f>
        <v>ISI GEL V-TRO 2020 HIJAB</v>
      </c>
      <c r="F1584" s="49"/>
      <c r="G1584" s="71" t="s">
        <v>1205</v>
      </c>
      <c r="H1584" s="41"/>
      <c r="I1584" s="42"/>
      <c r="J1584" s="43" t="str">
        <f>IF(D1584="","TIDAK ADA","ADA")</f>
        <v>ADA</v>
      </c>
      <c r="K1584" s="72">
        <v>12.0</v>
      </c>
      <c r="L1584" s="53" t="s">
        <v>88</v>
      </c>
      <c r="M1584" s="73">
        <v>7000.0</v>
      </c>
      <c r="N1584" s="74"/>
      <c r="O1584" s="73">
        <v>84000.0</v>
      </c>
      <c r="P1584" s="46" t="str">
        <f t="shared" si="2"/>
        <v>Rp7,000-12 BOX-0.00%</v>
      </c>
      <c r="Q1584" s="75">
        <v>45412.0</v>
      </c>
      <c r="R1584" s="76"/>
      <c r="S1584" s="75">
        <v>45422.0</v>
      </c>
      <c r="T1584" s="80" t="s">
        <v>280</v>
      </c>
    </row>
    <row r="1585">
      <c r="A1585" s="90">
        <v>9.0</v>
      </c>
      <c r="B1585" s="91" t="s">
        <v>58</v>
      </c>
      <c r="C1585" s="49" t="s">
        <v>2061</v>
      </c>
      <c r="D1585" s="91" t="s">
        <v>2062</v>
      </c>
      <c r="E1585" s="41" t="str">
        <f>IFERROR(__xludf.DUMMYFUNCTION("vlookup(D1585,IMPORTRANGE(""https://docs.google.com/spreadsheets/d/1swGwZOEqYlTEUCJLY-eeJM1911Kvaei5oySBIxdgtNo/edit?pli=1#gid=257618397"",""stock untanna!B:C""),2,false)"),"COIN BANK S")</f>
        <v>COIN BANK S</v>
      </c>
      <c r="F1585" s="49" t="s">
        <v>2062</v>
      </c>
      <c r="G1585" s="71" t="s">
        <v>2063</v>
      </c>
      <c r="H1585" s="41"/>
      <c r="I1585" s="42"/>
      <c r="J1585" s="43"/>
      <c r="K1585" s="72">
        <v>2.0</v>
      </c>
      <c r="L1585" s="53" t="s">
        <v>62</v>
      </c>
      <c r="M1585" s="73">
        <v>66000.0</v>
      </c>
      <c r="N1585" s="74"/>
      <c r="O1585" s="73">
        <v>132000.0</v>
      </c>
      <c r="P1585" s="46" t="str">
        <f t="shared" si="2"/>
        <v>Rp66,000-2 LSN-0.00%</v>
      </c>
      <c r="Q1585" s="75">
        <v>45412.0</v>
      </c>
      <c r="R1585" s="76"/>
      <c r="S1585" s="75">
        <v>45422.0</v>
      </c>
      <c r="T1585" s="49"/>
    </row>
    <row r="1586">
      <c r="A1586" s="90">
        <v>9.0</v>
      </c>
      <c r="B1586" s="91" t="s">
        <v>58</v>
      </c>
      <c r="C1586" s="49" t="s">
        <v>2061</v>
      </c>
      <c r="D1586" s="91" t="s">
        <v>2064</v>
      </c>
      <c r="E1586" s="41" t="str">
        <f>IFERROR(__xludf.DUMMYFUNCTION("vlookup(D1586,IMPORTRANGE(""https://docs.google.com/spreadsheets/d/1swGwZOEqYlTEUCJLY-eeJM1911Kvaei5oySBIxdgtNo/edit?pli=1#gid=257618397"",""stock untanna!B:C""),2,false)"),"COIN BANK M")</f>
        <v>COIN BANK M</v>
      </c>
      <c r="F1586" s="49" t="s">
        <v>2064</v>
      </c>
      <c r="G1586" s="71" t="s">
        <v>2065</v>
      </c>
      <c r="H1586" s="41"/>
      <c r="I1586" s="42"/>
      <c r="J1586" s="43"/>
      <c r="K1586" s="72">
        <v>2.0</v>
      </c>
      <c r="L1586" s="53" t="s">
        <v>62</v>
      </c>
      <c r="M1586" s="73">
        <v>81000.0</v>
      </c>
      <c r="N1586" s="74"/>
      <c r="O1586" s="73">
        <v>162000.0</v>
      </c>
      <c r="P1586" s="46" t="str">
        <f t="shared" si="2"/>
        <v>Rp81,000-2 LSN-0.00%</v>
      </c>
      <c r="Q1586" s="75">
        <v>45412.0</v>
      </c>
      <c r="R1586" s="76"/>
      <c r="S1586" s="75">
        <v>45422.0</v>
      </c>
      <c r="T1586" s="49"/>
    </row>
    <row r="1587">
      <c r="A1587" s="90">
        <v>9.0</v>
      </c>
      <c r="B1587" s="91" t="s">
        <v>58</v>
      </c>
      <c r="C1587" s="49" t="s">
        <v>2061</v>
      </c>
      <c r="D1587" s="91" t="s">
        <v>2066</v>
      </c>
      <c r="E1587" s="41" t="str">
        <f>IFERROR(__xludf.DUMMYFUNCTION("vlookup(D1587,IMPORTRANGE(""https://docs.google.com/spreadsheets/d/1swGwZOEqYlTEUCJLY-eeJM1911Kvaei5oySBIxdgtNo/edit?pli=1#gid=257618397"",""stock untanna!B:C""),2,false)"),"COIN BANK L")</f>
        <v>COIN BANK L</v>
      </c>
      <c r="F1587" s="49" t="s">
        <v>2066</v>
      </c>
      <c r="G1587" s="71" t="s">
        <v>2067</v>
      </c>
      <c r="H1587" s="41"/>
      <c r="I1587" s="42"/>
      <c r="J1587" s="43"/>
      <c r="K1587" s="72">
        <v>2.0</v>
      </c>
      <c r="L1587" s="53" t="s">
        <v>62</v>
      </c>
      <c r="M1587" s="73">
        <v>90000.0</v>
      </c>
      <c r="N1587" s="74"/>
      <c r="O1587" s="73">
        <v>180000.0</v>
      </c>
      <c r="P1587" s="46" t="str">
        <f t="shared" si="2"/>
        <v>Rp90,000-2 LSN-0.00%</v>
      </c>
      <c r="Q1587" s="75">
        <v>45412.0</v>
      </c>
      <c r="R1587" s="76"/>
      <c r="S1587" s="75">
        <v>45422.0</v>
      </c>
      <c r="T1587" s="49"/>
    </row>
    <row r="1588">
      <c r="A1588" s="90">
        <v>9.0</v>
      </c>
      <c r="B1588" s="91" t="s">
        <v>58</v>
      </c>
      <c r="C1588" s="49" t="s">
        <v>2061</v>
      </c>
      <c r="D1588" s="91" t="s">
        <v>2068</v>
      </c>
      <c r="E1588" s="41" t="str">
        <f>IFERROR(__xludf.DUMMYFUNCTION("vlookup(D1588,IMPORTRANGE(""https://docs.google.com/spreadsheets/d/1swGwZOEqYlTEUCJLY-eeJM1911Kvaei5oySBIxdgtNo/edit?pli=1#gid=257618397"",""stock untanna!B:C""),2,false)"),"COIN BANK XL")</f>
        <v>COIN BANK XL</v>
      </c>
      <c r="F1588" s="49" t="s">
        <v>2068</v>
      </c>
      <c r="G1588" s="71" t="s">
        <v>2069</v>
      </c>
      <c r="H1588" s="41"/>
      <c r="I1588" s="42"/>
      <c r="J1588" s="43"/>
      <c r="K1588" s="72">
        <v>0.91667</v>
      </c>
      <c r="L1588" s="53" t="s">
        <v>62</v>
      </c>
      <c r="M1588" s="73">
        <v>114000.0</v>
      </c>
      <c r="N1588" s="74"/>
      <c r="O1588" s="73">
        <v>104500.38</v>
      </c>
      <c r="P1588" s="46" t="str">
        <f t="shared" si="2"/>
        <v>Rp114,000-0.91667 LSN-0.00%</v>
      </c>
      <c r="Q1588" s="75">
        <v>45412.0</v>
      </c>
      <c r="R1588" s="76"/>
      <c r="S1588" s="75">
        <v>45422.0</v>
      </c>
      <c r="T1588" s="49"/>
    </row>
    <row r="1589">
      <c r="A1589" s="90">
        <v>9.0</v>
      </c>
      <c r="B1589" s="91" t="s">
        <v>58</v>
      </c>
      <c r="C1589" s="49" t="s">
        <v>2061</v>
      </c>
      <c r="D1589" s="91"/>
      <c r="E1589" s="41" t="s">
        <v>2070</v>
      </c>
      <c r="F1589" s="49"/>
      <c r="G1589" s="71" t="s">
        <v>2070</v>
      </c>
      <c r="H1589" s="41"/>
      <c r="I1589" s="42"/>
      <c r="J1589" s="43"/>
      <c r="K1589" s="72">
        <v>10.0</v>
      </c>
      <c r="L1589" s="53" t="s">
        <v>88</v>
      </c>
      <c r="M1589" s="73">
        <v>40000.0</v>
      </c>
      <c r="N1589" s="74"/>
      <c r="O1589" s="73">
        <v>400000.0</v>
      </c>
      <c r="P1589" s="46" t="str">
        <f t="shared" si="2"/>
        <v>Rp40,000-10 BOX-0.00%</v>
      </c>
      <c r="Q1589" s="75">
        <v>45412.0</v>
      </c>
      <c r="R1589" s="76"/>
      <c r="S1589" s="75">
        <v>45422.0</v>
      </c>
      <c r="T1589" s="49"/>
    </row>
    <row r="1590">
      <c r="A1590" s="90">
        <v>9.0</v>
      </c>
      <c r="B1590" s="91" t="s">
        <v>58</v>
      </c>
      <c r="C1590" s="49" t="s">
        <v>2061</v>
      </c>
      <c r="D1590" s="91"/>
      <c r="E1590" s="41" t="s">
        <v>2071</v>
      </c>
      <c r="F1590" s="49"/>
      <c r="G1590" s="71" t="s">
        <v>2071</v>
      </c>
      <c r="H1590" s="41"/>
      <c r="I1590" s="42"/>
      <c r="J1590" s="43"/>
      <c r="K1590" s="72">
        <v>200.0</v>
      </c>
      <c r="L1590" s="53" t="s">
        <v>2072</v>
      </c>
      <c r="M1590" s="73">
        <v>1250.0</v>
      </c>
      <c r="N1590" s="74"/>
      <c r="O1590" s="73">
        <v>250000.0</v>
      </c>
      <c r="P1590" s="46" t="str">
        <f t="shared" si="2"/>
        <v>Rp1,250-200 LBR-0.00%</v>
      </c>
      <c r="Q1590" s="75">
        <v>45412.0</v>
      </c>
      <c r="R1590" s="76"/>
      <c r="S1590" s="75">
        <v>45422.0</v>
      </c>
      <c r="T1590" s="49"/>
    </row>
    <row r="1591">
      <c r="A1591" s="90">
        <v>9.0</v>
      </c>
      <c r="B1591" s="91" t="s">
        <v>58</v>
      </c>
      <c r="C1591" s="49" t="s">
        <v>2061</v>
      </c>
      <c r="D1591" s="91" t="s">
        <v>1448</v>
      </c>
      <c r="E1591" s="41" t="str">
        <f>IFERROR(__xludf.DUMMYFUNCTION("vlookup(D1591,IMPORTRANGE(""https://docs.google.com/spreadsheets/d/1swGwZOEqYlTEUCJLY-eeJM1911Kvaei5oySBIxdgtNo/edit?pli=1#gid=257618397"",""stock untanna!B:C""),2,false)"),"PALET ANGGUR")</f>
        <v>PALET ANGGUR</v>
      </c>
      <c r="F1591" s="49" t="s">
        <v>1448</v>
      </c>
      <c r="G1591" s="71" t="s">
        <v>1449</v>
      </c>
      <c r="H1591" s="41"/>
      <c r="I1591" s="42"/>
      <c r="J1591" s="43"/>
      <c r="K1591" s="72">
        <v>10.0</v>
      </c>
      <c r="L1591" s="53" t="s">
        <v>62</v>
      </c>
      <c r="M1591" s="73">
        <v>10000.0</v>
      </c>
      <c r="N1591" s="74"/>
      <c r="O1591" s="73">
        <v>100000.0</v>
      </c>
      <c r="P1591" s="46" t="str">
        <f t="shared" si="2"/>
        <v>Rp10,000-10 LSN-0.00%</v>
      </c>
      <c r="Q1591" s="75">
        <v>45412.0</v>
      </c>
      <c r="R1591" s="76"/>
      <c r="S1591" s="75">
        <v>45422.0</v>
      </c>
      <c r="T1591" s="49"/>
    </row>
    <row r="1592">
      <c r="A1592" s="90">
        <v>9.0</v>
      </c>
      <c r="B1592" s="91" t="s">
        <v>58</v>
      </c>
      <c r="C1592" s="49" t="s">
        <v>2061</v>
      </c>
      <c r="D1592" s="91" t="s">
        <v>1450</v>
      </c>
      <c r="E1592" s="41" t="str">
        <f>IFERROR(__xludf.DUMMYFUNCTION("vlookup(D1592,IMPORTRANGE(""https://docs.google.com/spreadsheets/d/1swGwZOEqYlTEUCJLY-eeJM1911Kvaei5oySBIxdgtNo/edit?pli=1#gid=257618397"",""stock untanna!B:C""),2,false)"),"PALET APEL")</f>
        <v>PALET APEL</v>
      </c>
      <c r="F1592" s="49" t="s">
        <v>1450</v>
      </c>
      <c r="G1592" s="71" t="s">
        <v>1451</v>
      </c>
      <c r="H1592" s="41"/>
      <c r="I1592" s="42"/>
      <c r="J1592" s="43"/>
      <c r="K1592" s="72">
        <v>10.0</v>
      </c>
      <c r="L1592" s="53" t="s">
        <v>62</v>
      </c>
      <c r="M1592" s="73">
        <v>10000.0</v>
      </c>
      <c r="N1592" s="74"/>
      <c r="O1592" s="73">
        <v>100000.0</v>
      </c>
      <c r="P1592" s="46" t="str">
        <f t="shared" si="2"/>
        <v>Rp10,000-10 LSN-0.00%</v>
      </c>
      <c r="Q1592" s="75">
        <v>45412.0</v>
      </c>
      <c r="R1592" s="76"/>
      <c r="S1592" s="75">
        <v>45422.0</v>
      </c>
      <c r="T1592" s="49"/>
    </row>
    <row r="1593">
      <c r="A1593" s="90">
        <v>9.0</v>
      </c>
      <c r="B1593" s="91" t="s">
        <v>58</v>
      </c>
      <c r="C1593" s="49" t="s">
        <v>2061</v>
      </c>
      <c r="D1593" s="91" t="s">
        <v>2073</v>
      </c>
      <c r="E1593" s="41" t="str">
        <f>IFERROR(__xludf.DUMMYFUNCTION("vlookup(D1593,IMPORTRANGE(""https://docs.google.com/spreadsheets/d/1swGwZOEqYlTEUCJLY-eeJM1911Kvaei5oySBIxdgtNo/edit?pli=1#gid=257618397"",""stock untanna!B:C""),2,false)"),"PALET CAT AIR SAKURA BIASA DOF")</f>
        <v>PALET CAT AIR SAKURA BIASA DOF</v>
      </c>
      <c r="F1593" s="49" t="s">
        <v>2073</v>
      </c>
      <c r="G1593" s="71" t="s">
        <v>2074</v>
      </c>
      <c r="H1593" s="41"/>
      <c r="I1593" s="42"/>
      <c r="J1593" s="43"/>
      <c r="K1593" s="72">
        <v>10.0</v>
      </c>
      <c r="L1593" s="53" t="s">
        <v>62</v>
      </c>
      <c r="M1593" s="73">
        <v>9000.0</v>
      </c>
      <c r="N1593" s="74"/>
      <c r="O1593" s="73">
        <v>90000.0</v>
      </c>
      <c r="P1593" s="46" t="str">
        <f t="shared" si="2"/>
        <v>Rp9,000-10 LSN-0.00%</v>
      </c>
      <c r="Q1593" s="75">
        <v>45412.0</v>
      </c>
      <c r="R1593" s="76"/>
      <c r="S1593" s="75">
        <v>45422.0</v>
      </c>
      <c r="T1593" s="49"/>
    </row>
    <row r="1594">
      <c r="A1594" s="90">
        <v>9.0</v>
      </c>
      <c r="B1594" s="91" t="s">
        <v>58</v>
      </c>
      <c r="C1594" s="49" t="s">
        <v>2061</v>
      </c>
      <c r="D1594" s="91" t="s">
        <v>1052</v>
      </c>
      <c r="E1594" s="41" t="str">
        <f>IFERROR(__xludf.DUMMYFUNCTION("vlookup(D1594,IMPORTRANGE(""https://docs.google.com/spreadsheets/d/1swGwZOEqYlTEUCJLY-eeJM1911Kvaei5oySBIxdgtNo/edit?pli=1#gid=257618397"",""stock untanna!B:C""),2,false)"),"PENSIL CASE SH-8604")</f>
        <v>PENSIL CASE SH-8604</v>
      </c>
      <c r="F1594" s="49" t="s">
        <v>1052</v>
      </c>
      <c r="G1594" s="71" t="s">
        <v>1053</v>
      </c>
      <c r="H1594" s="41"/>
      <c r="I1594" s="42"/>
      <c r="J1594" s="43"/>
      <c r="K1594" s="72">
        <v>24.0</v>
      </c>
      <c r="L1594" s="53" t="s">
        <v>69</v>
      </c>
      <c r="M1594" s="73">
        <v>29167.0</v>
      </c>
      <c r="N1594" s="74"/>
      <c r="O1594" s="73">
        <v>700008.0</v>
      </c>
      <c r="P1594" s="46" t="str">
        <f t="shared" si="2"/>
        <v>Rp29,167-24 PCS-0.00%</v>
      </c>
      <c r="Q1594" s="75">
        <v>45412.0</v>
      </c>
      <c r="R1594" s="76"/>
      <c r="S1594" s="75">
        <v>45422.0</v>
      </c>
      <c r="T1594" s="49"/>
    </row>
    <row r="1595">
      <c r="A1595" s="90">
        <v>9.0</v>
      </c>
      <c r="B1595" s="91" t="s">
        <v>58</v>
      </c>
      <c r="C1595" s="49" t="s">
        <v>2061</v>
      </c>
      <c r="D1595" s="91" t="s">
        <v>1107</v>
      </c>
      <c r="E1595" s="41" t="str">
        <f>IFERROR(__xludf.DUMMYFUNCTION("vlookup(D1595,IMPORTRANGE(""https://docs.google.com/spreadsheets/d/1swGwZOEqYlTEUCJLY-eeJM1911Kvaei5oySBIxdgtNo/edit?pli=1#gid=257618397"",""stock untanna!B:C""),2,false)"),"PENCIL CASE 5866")</f>
        <v>PENCIL CASE 5866</v>
      </c>
      <c r="F1595" s="49" t="s">
        <v>1107</v>
      </c>
      <c r="G1595" s="71" t="s">
        <v>1108</v>
      </c>
      <c r="H1595" s="41"/>
      <c r="I1595" s="42"/>
      <c r="J1595" s="43"/>
      <c r="K1595" s="72">
        <v>24.0</v>
      </c>
      <c r="L1595" s="53" t="s">
        <v>69</v>
      </c>
      <c r="M1595" s="73">
        <v>25000.0</v>
      </c>
      <c r="N1595" s="74"/>
      <c r="O1595" s="73">
        <v>600000.0</v>
      </c>
      <c r="P1595" s="46" t="str">
        <f t="shared" si="2"/>
        <v>Rp25,000-24 PCS-0.00%</v>
      </c>
      <c r="Q1595" s="75">
        <v>45412.0</v>
      </c>
      <c r="R1595" s="76"/>
      <c r="S1595" s="75">
        <v>45422.0</v>
      </c>
      <c r="T1595" s="49"/>
    </row>
    <row r="1596">
      <c r="A1596" s="90">
        <v>9.0</v>
      </c>
      <c r="B1596" s="91" t="s">
        <v>58</v>
      </c>
      <c r="C1596" s="49" t="s">
        <v>2061</v>
      </c>
      <c r="D1596" s="91" t="s">
        <v>573</v>
      </c>
      <c r="E1596" s="41" t="str">
        <f>IFERROR(__xludf.DUMMYFUNCTION("vlookup(D1596,IMPORTRANGE(""https://docs.google.com/spreadsheets/d/1swGwZOEqYlTEUCJLY-eeJM1911Kvaei5oySBIxdgtNo/edit?pli=1#gid=257618397"",""stock untanna!B:C""),2,false)"),"PENSIL CASE 5870")</f>
        <v>PENSIL CASE 5870</v>
      </c>
      <c r="F1596" s="49" t="s">
        <v>573</v>
      </c>
      <c r="G1596" s="71" t="s">
        <v>574</v>
      </c>
      <c r="H1596" s="41"/>
      <c r="I1596" s="42"/>
      <c r="J1596" s="43"/>
      <c r="K1596" s="72">
        <v>24.0</v>
      </c>
      <c r="L1596" s="53" t="s">
        <v>69</v>
      </c>
      <c r="M1596" s="73">
        <v>25000.0</v>
      </c>
      <c r="N1596" s="74"/>
      <c r="O1596" s="73">
        <v>600000.0</v>
      </c>
      <c r="P1596" s="46" t="str">
        <f t="shared" si="2"/>
        <v>Rp25,000-24 PCS-0.00%</v>
      </c>
      <c r="Q1596" s="75">
        <v>45412.0</v>
      </c>
      <c r="R1596" s="76"/>
      <c r="S1596" s="75">
        <v>45422.0</v>
      </c>
      <c r="T1596" s="49"/>
    </row>
    <row r="1597">
      <c r="A1597" s="90">
        <v>9.0</v>
      </c>
      <c r="B1597" s="91" t="s">
        <v>58</v>
      </c>
      <c r="C1597" s="49" t="s">
        <v>2061</v>
      </c>
      <c r="D1597" s="91" t="s">
        <v>560</v>
      </c>
      <c r="E1597" s="41" t="str">
        <f>IFERROR(__xludf.DUMMYFUNCTION("vlookup(D1597,IMPORTRANGE(""https://docs.google.com/spreadsheets/d/1swGwZOEqYlTEUCJLY-eeJM1911Kvaei5oySBIxdgtNo/edit?pli=1#gid=257618397"",""stock untanna!B:C""),2,false)"),"PENSIL CASE 5872")</f>
        <v>PENSIL CASE 5872</v>
      </c>
      <c r="F1597" s="49" t="s">
        <v>560</v>
      </c>
      <c r="G1597" s="71" t="s">
        <v>561</v>
      </c>
      <c r="H1597" s="41"/>
      <c r="I1597" s="42"/>
      <c r="J1597" s="43"/>
      <c r="K1597" s="72">
        <v>24.0</v>
      </c>
      <c r="L1597" s="53" t="s">
        <v>69</v>
      </c>
      <c r="M1597" s="73">
        <v>27083.0</v>
      </c>
      <c r="N1597" s="74"/>
      <c r="O1597" s="73">
        <v>649992.0</v>
      </c>
      <c r="P1597" s="46" t="str">
        <f t="shared" si="2"/>
        <v>Rp27,083-24 PCS-0.00%</v>
      </c>
      <c r="Q1597" s="75">
        <v>45412.0</v>
      </c>
      <c r="R1597" s="76"/>
      <c r="S1597" s="75">
        <v>45422.0</v>
      </c>
      <c r="T1597" s="49"/>
    </row>
    <row r="1598">
      <c r="A1598" s="90">
        <v>9.0</v>
      </c>
      <c r="B1598" s="91" t="s">
        <v>58</v>
      </c>
      <c r="C1598" s="49" t="s">
        <v>2061</v>
      </c>
      <c r="D1598" s="91" t="s">
        <v>1136</v>
      </c>
      <c r="E1598" s="41" t="str">
        <f>IFERROR(__xludf.DUMMYFUNCTION("vlookup(D1598,IMPORTRANGE(""https://docs.google.com/spreadsheets/d/1swGwZOEqYlTEUCJLY-eeJM1911Kvaei5oySBIxdgtNo/edit?pli=1#gid=257618397"",""stock untanna!B:C""),2,false)"),"PENSIL CASE SH-8703")</f>
        <v>PENSIL CASE SH-8703</v>
      </c>
      <c r="F1598" s="49" t="s">
        <v>1136</v>
      </c>
      <c r="G1598" s="71" t="s">
        <v>1137</v>
      </c>
      <c r="H1598" s="41"/>
      <c r="I1598" s="42"/>
      <c r="J1598" s="43"/>
      <c r="K1598" s="72">
        <v>24.0</v>
      </c>
      <c r="L1598" s="53" t="s">
        <v>69</v>
      </c>
      <c r="M1598" s="73">
        <v>25000.0</v>
      </c>
      <c r="N1598" s="74"/>
      <c r="O1598" s="73">
        <v>600000.0</v>
      </c>
      <c r="P1598" s="46" t="str">
        <f t="shared" si="2"/>
        <v>Rp25,000-24 PCS-0.00%</v>
      </c>
      <c r="Q1598" s="75">
        <v>45412.0</v>
      </c>
      <c r="R1598" s="76"/>
      <c r="S1598" s="75">
        <v>45422.0</v>
      </c>
      <c r="T1598" s="49"/>
    </row>
    <row r="1599">
      <c r="A1599" s="90">
        <v>9.0</v>
      </c>
      <c r="B1599" s="91" t="s">
        <v>58</v>
      </c>
      <c r="C1599" s="49" t="s">
        <v>2061</v>
      </c>
      <c r="D1599" s="91" t="s">
        <v>1113</v>
      </c>
      <c r="E1599" s="41" t="str">
        <f>IFERROR(__xludf.DUMMYFUNCTION("vlookup(D1599,IMPORTRANGE(""https://docs.google.com/spreadsheets/d/1swGwZOEqYlTEUCJLY-eeJM1911Kvaei5oySBIxdgtNo/edit?pli=1#gid=257618397"",""stock untanna!B:C""),2,false)"),"PENCIL CASE 5864")</f>
        <v>PENCIL CASE 5864</v>
      </c>
      <c r="F1599" s="49" t="s">
        <v>1113</v>
      </c>
      <c r="G1599" s="71" t="s">
        <v>1114</v>
      </c>
      <c r="H1599" s="41"/>
      <c r="I1599" s="42"/>
      <c r="J1599" s="43"/>
      <c r="K1599" s="72">
        <v>24.0</v>
      </c>
      <c r="L1599" s="53" t="s">
        <v>69</v>
      </c>
      <c r="M1599" s="73">
        <v>25000.0</v>
      </c>
      <c r="N1599" s="74"/>
      <c r="O1599" s="73">
        <v>600000.0</v>
      </c>
      <c r="P1599" s="46" t="str">
        <f t="shared" si="2"/>
        <v>Rp25,000-24 PCS-0.00%</v>
      </c>
      <c r="Q1599" s="75">
        <v>45412.0</v>
      </c>
      <c r="R1599" s="76"/>
      <c r="S1599" s="75">
        <v>45422.0</v>
      </c>
      <c r="T1599" s="49"/>
    </row>
    <row r="1600">
      <c r="A1600" s="90">
        <v>9.0</v>
      </c>
      <c r="B1600" s="91" t="s">
        <v>58</v>
      </c>
      <c r="C1600" s="49" t="s">
        <v>2061</v>
      </c>
      <c r="D1600" s="91"/>
      <c r="E1600" s="41" t="s">
        <v>825</v>
      </c>
      <c r="F1600" s="49"/>
      <c r="G1600" s="71" t="s">
        <v>825</v>
      </c>
      <c r="H1600" s="41"/>
      <c r="I1600" s="42"/>
      <c r="J1600" s="43"/>
      <c r="K1600" s="72">
        <v>3.0</v>
      </c>
      <c r="L1600" s="53" t="s">
        <v>62</v>
      </c>
      <c r="M1600" s="73">
        <v>225000.0</v>
      </c>
      <c r="N1600" s="74"/>
      <c r="O1600" s="73">
        <v>675000.0</v>
      </c>
      <c r="P1600" s="46" t="str">
        <f t="shared" si="2"/>
        <v>Rp225,000-3 LSN-0.00%</v>
      </c>
      <c r="Q1600" s="75">
        <v>45412.0</v>
      </c>
      <c r="R1600" s="76"/>
      <c r="S1600" s="75">
        <v>45422.0</v>
      </c>
      <c r="T1600" s="80" t="s">
        <v>280</v>
      </c>
    </row>
    <row r="1601">
      <c r="A1601" s="90">
        <v>10.0</v>
      </c>
      <c r="B1601" s="91" t="s">
        <v>58</v>
      </c>
      <c r="C1601" s="49" t="s">
        <v>2061</v>
      </c>
      <c r="D1601" s="91" t="s">
        <v>584</v>
      </c>
      <c r="E1601" s="41" t="str">
        <f>IFERROR(__xludf.DUMMYFUNCTION("vlookup(D1601,IMPORTRANGE(""https://docs.google.com/spreadsheets/d/1swGwZOEqYlTEUCJLY-eeJM1911Kvaei5oySBIxdgtNo/edit?pli=1#gid=257618397"",""stock untanna!B:C""),2,false)"),"PENSIL CASE 8300AV TIMBUL")</f>
        <v>PENSIL CASE 8300AV TIMBUL</v>
      </c>
      <c r="F1601" s="49" t="s">
        <v>584</v>
      </c>
      <c r="G1601" s="71" t="s">
        <v>585</v>
      </c>
      <c r="H1601" s="41"/>
      <c r="I1601" s="42"/>
      <c r="J1601" s="43"/>
      <c r="K1601" s="72">
        <v>24.0</v>
      </c>
      <c r="L1601" s="53" t="s">
        <v>69</v>
      </c>
      <c r="M1601" s="73">
        <v>33333.0</v>
      </c>
      <c r="N1601" s="74"/>
      <c r="O1601" s="73">
        <v>799992.0</v>
      </c>
      <c r="P1601" s="46" t="str">
        <f t="shared" si="2"/>
        <v>Rp33,333-24 PCS-0.00%</v>
      </c>
      <c r="Q1601" s="75">
        <v>45412.0</v>
      </c>
      <c r="R1601" s="76"/>
      <c r="S1601" s="75">
        <v>45422.0</v>
      </c>
      <c r="T1601" s="49"/>
    </row>
    <row r="1602">
      <c r="A1602" s="90">
        <v>10.0</v>
      </c>
      <c r="B1602" s="91" t="s">
        <v>58</v>
      </c>
      <c r="C1602" s="49" t="s">
        <v>2061</v>
      </c>
      <c r="D1602" s="91" t="s">
        <v>95</v>
      </c>
      <c r="E1602" s="41" t="str">
        <f>IFERROR(__xludf.DUMMYFUNCTION("vlookup(D1602,IMPORTRANGE(""https://docs.google.com/spreadsheets/d/1swGwZOEqYlTEUCJLY-eeJM1911Kvaei5oySBIxdgtNo/edit?pli=1#gid=257618397"",""stock untanna!B:C""),2,false)"),"PENCIL CASE MAGNET 8631 + CALL")</f>
        <v>PENCIL CASE MAGNET 8631 + CALL</v>
      </c>
      <c r="F1602" s="49" t="s">
        <v>95</v>
      </c>
      <c r="G1602" s="71" t="s">
        <v>96</v>
      </c>
      <c r="H1602" s="41"/>
      <c r="I1602" s="42"/>
      <c r="J1602" s="43"/>
      <c r="K1602" s="72">
        <v>36.0</v>
      </c>
      <c r="L1602" s="53" t="s">
        <v>69</v>
      </c>
      <c r="M1602" s="73">
        <v>13750.0</v>
      </c>
      <c r="N1602" s="74"/>
      <c r="O1602" s="73">
        <v>495000.0</v>
      </c>
      <c r="P1602" s="46" t="str">
        <f t="shared" si="2"/>
        <v>Rp13,750-36 PCS-0.00%</v>
      </c>
      <c r="Q1602" s="75">
        <v>45412.0</v>
      </c>
      <c r="R1602" s="76"/>
      <c r="S1602" s="75">
        <v>45422.0</v>
      </c>
      <c r="T1602" s="49"/>
    </row>
    <row r="1603">
      <c r="A1603" s="90">
        <v>10.0</v>
      </c>
      <c r="B1603" s="91" t="s">
        <v>58</v>
      </c>
      <c r="C1603" s="49" t="s">
        <v>2061</v>
      </c>
      <c r="D1603" s="77" t="s">
        <v>2075</v>
      </c>
      <c r="E1603" s="41" t="str">
        <f>IFERROR(__xludf.DUMMYFUNCTION("IFNA(vlookup(D1603,IMPORTRANGE(""https://docs.google.com/spreadsheets/d/1swGwZOEqYlTEUCJLY-eeJM1911Kvaei5oySBIxdgtNo/edit?pli=1#gid=257618397"",""stock untanna!B:C""),2,false),V:V)"),"PC MAGNIT JUMBO 3575-19")</f>
        <v>PC MAGNIT JUMBO 3575-19</v>
      </c>
      <c r="F1603" s="49"/>
      <c r="G1603" s="71" t="s">
        <v>2076</v>
      </c>
      <c r="H1603" s="41"/>
      <c r="I1603" s="42"/>
      <c r="J1603" s="85" t="s">
        <v>1319</v>
      </c>
      <c r="K1603" s="72">
        <v>1.0</v>
      </c>
      <c r="L1603" s="53" t="s">
        <v>62</v>
      </c>
      <c r="M1603" s="73">
        <v>625000.0</v>
      </c>
      <c r="N1603" s="74"/>
      <c r="O1603" s="73">
        <v>625000.0</v>
      </c>
      <c r="P1603" s="46" t="str">
        <f t="shared" si="2"/>
        <v>Rp625,000-1 LSN-0.00%</v>
      </c>
      <c r="Q1603" s="75">
        <v>45412.0</v>
      </c>
      <c r="R1603" s="76"/>
      <c r="S1603" s="75">
        <v>45422.0</v>
      </c>
      <c r="T1603" s="80" t="s">
        <v>280</v>
      </c>
    </row>
    <row r="1604">
      <c r="A1604" s="90">
        <v>10.0</v>
      </c>
      <c r="B1604" s="91" t="s">
        <v>58</v>
      </c>
      <c r="C1604" s="49" t="s">
        <v>2061</v>
      </c>
      <c r="D1604" s="77" t="s">
        <v>2077</v>
      </c>
      <c r="E1604" s="41" t="str">
        <f>IFERROR(__xludf.DUMMYFUNCTION("IFNA(vlookup(D1604,IMPORTRANGE(""https://docs.google.com/spreadsheets/d/1swGwZOEqYlTEUCJLY-eeJM1911Kvaei5oySBIxdgtNo/edit?pli=1#gid=257618397"",""stock untanna!B:C""),2,false),V:V)"),"PC MAGNIT 9363")</f>
        <v>PC MAGNIT 9363</v>
      </c>
      <c r="F1604" s="49"/>
      <c r="G1604" s="71" t="s">
        <v>2078</v>
      </c>
      <c r="H1604" s="41"/>
      <c r="I1604" s="42"/>
      <c r="J1604" s="85" t="s">
        <v>1319</v>
      </c>
      <c r="K1604" s="72">
        <v>3.0</v>
      </c>
      <c r="L1604" s="53" t="s">
        <v>62</v>
      </c>
      <c r="M1604" s="73">
        <v>138000.0</v>
      </c>
      <c r="N1604" s="74"/>
      <c r="O1604" s="73">
        <v>414000.0</v>
      </c>
      <c r="P1604" s="46" t="str">
        <f t="shared" si="2"/>
        <v>Rp138,000-3 LSN-0.00%</v>
      </c>
      <c r="Q1604" s="75">
        <v>45412.0</v>
      </c>
      <c r="R1604" s="76"/>
      <c r="S1604" s="75">
        <v>45422.0</v>
      </c>
      <c r="T1604" s="80" t="s">
        <v>280</v>
      </c>
    </row>
    <row r="1605">
      <c r="A1605" s="90">
        <v>10.0</v>
      </c>
      <c r="B1605" s="91" t="s">
        <v>58</v>
      </c>
      <c r="C1605" s="49" t="s">
        <v>2061</v>
      </c>
      <c r="D1605" s="77" t="s">
        <v>2079</v>
      </c>
      <c r="E1605" s="41" t="str">
        <f>IFERROR(__xludf.DUMMYFUNCTION("IFNA(vlookup(D1605,IMPORTRANGE(""https://docs.google.com/spreadsheets/d/1swGwZOEqYlTEUCJLY-eeJM1911Kvaei5oySBIxdgtNo/edit?pli=1#gid=257618397"",""stock untanna!B:C""),2,false),V:V)"),"PC MAGNIT MC 8088 TIMBUL")</f>
        <v>PC MAGNIT MC 8088 TIMBUL</v>
      </c>
      <c r="F1605" s="49"/>
      <c r="G1605" s="71" t="s">
        <v>2080</v>
      </c>
      <c r="H1605" s="41"/>
      <c r="I1605" s="42"/>
      <c r="J1605" s="85" t="s">
        <v>1319</v>
      </c>
      <c r="K1605" s="72">
        <v>3.0</v>
      </c>
      <c r="L1605" s="53" t="s">
        <v>62</v>
      </c>
      <c r="M1605" s="73">
        <v>140000.0</v>
      </c>
      <c r="N1605" s="74"/>
      <c r="O1605" s="73">
        <v>420000.0</v>
      </c>
      <c r="P1605" s="46" t="str">
        <f t="shared" si="2"/>
        <v>Rp140,000-3 LSN-0.00%</v>
      </c>
      <c r="Q1605" s="75">
        <v>45412.0</v>
      </c>
      <c r="R1605" s="76"/>
      <c r="S1605" s="75">
        <v>45422.0</v>
      </c>
      <c r="T1605" s="80" t="s">
        <v>280</v>
      </c>
    </row>
    <row r="1606">
      <c r="A1606" s="90">
        <v>10.0</v>
      </c>
      <c r="B1606" s="91" t="s">
        <v>58</v>
      </c>
      <c r="C1606" s="49" t="s">
        <v>2061</v>
      </c>
      <c r="D1606" s="77" t="s">
        <v>2081</v>
      </c>
      <c r="E1606" s="41" t="str">
        <f>IFERROR(__xludf.DUMMYFUNCTION("IFNA(vlookup(D1606,IMPORTRANGE(""https://docs.google.com/spreadsheets/d/1swGwZOEqYlTEUCJLY-eeJM1911Kvaei5oySBIxdgtNo/edit?pli=1#gid=257618397"",""stock untanna!B:C""),2,false),V:V)"),"PC MAGNIT XU 0084")</f>
        <v>PC MAGNIT XU 0084</v>
      </c>
      <c r="F1606" s="49"/>
      <c r="G1606" s="71" t="s">
        <v>2082</v>
      </c>
      <c r="H1606" s="41"/>
      <c r="I1606" s="42"/>
      <c r="J1606" s="85" t="s">
        <v>1319</v>
      </c>
      <c r="K1606" s="72">
        <v>3.0</v>
      </c>
      <c r="L1606" s="53" t="s">
        <v>62</v>
      </c>
      <c r="M1606" s="73">
        <v>270000.0</v>
      </c>
      <c r="N1606" s="74"/>
      <c r="O1606" s="73">
        <v>810000.0</v>
      </c>
      <c r="P1606" s="46" t="str">
        <f t="shared" si="2"/>
        <v>Rp270,000-3 LSN-0.00%</v>
      </c>
      <c r="Q1606" s="75">
        <v>45412.0</v>
      </c>
      <c r="R1606" s="76"/>
      <c r="S1606" s="75">
        <v>45422.0</v>
      </c>
      <c r="T1606" s="80" t="s">
        <v>280</v>
      </c>
    </row>
    <row r="1607">
      <c r="A1607" s="90">
        <v>10.0</v>
      </c>
      <c r="B1607" s="91" t="s">
        <v>58</v>
      </c>
      <c r="C1607" s="49" t="s">
        <v>2061</v>
      </c>
      <c r="D1607" s="91"/>
      <c r="E1607" s="41" t="s">
        <v>2083</v>
      </c>
      <c r="F1607" s="49"/>
      <c r="G1607" s="71" t="s">
        <v>2083</v>
      </c>
      <c r="H1607" s="41"/>
      <c r="I1607" s="42"/>
      <c r="J1607" s="43"/>
      <c r="K1607" s="72">
        <v>3.0</v>
      </c>
      <c r="L1607" s="53" t="s">
        <v>62</v>
      </c>
      <c r="M1607" s="73">
        <v>350000.0</v>
      </c>
      <c r="N1607" s="74"/>
      <c r="O1607" s="73">
        <v>1050000.0</v>
      </c>
      <c r="P1607" s="46" t="str">
        <f t="shared" si="2"/>
        <v>Rp350,000-3 LSN-0.00%</v>
      </c>
      <c r="Q1607" s="75">
        <v>45412.0</v>
      </c>
      <c r="R1607" s="76"/>
      <c r="S1607" s="75">
        <v>45422.0</v>
      </c>
      <c r="T1607" s="80" t="s">
        <v>280</v>
      </c>
    </row>
    <row r="1608">
      <c r="A1608" s="90">
        <v>10.0</v>
      </c>
      <c r="B1608" s="91" t="s">
        <v>58</v>
      </c>
      <c r="C1608" s="49" t="s">
        <v>2061</v>
      </c>
      <c r="D1608" s="91" t="s">
        <v>2084</v>
      </c>
      <c r="E1608" s="41" t="str">
        <f>IFERROR(__xludf.DUMMYFUNCTION("vlookup(D1608,IMPORTRANGE(""https://docs.google.com/spreadsheets/d/1swGwZOEqYlTEUCJLY-eeJM1911Kvaei5oySBIxdgtNo/edit?pli=1#gid=257618397"",""stock untanna!B:C""),2,false)"),"PENSIL CASE 168-35")</f>
        <v>PENSIL CASE 168-35</v>
      </c>
      <c r="F1608" s="49" t="s">
        <v>2084</v>
      </c>
      <c r="G1608" s="71" t="s">
        <v>2085</v>
      </c>
      <c r="H1608" s="41"/>
      <c r="I1608" s="42"/>
      <c r="J1608" s="43"/>
      <c r="K1608" s="72">
        <v>36.0</v>
      </c>
      <c r="L1608" s="53" t="s">
        <v>69</v>
      </c>
      <c r="M1608" s="73">
        <v>12500.0</v>
      </c>
      <c r="N1608" s="74"/>
      <c r="O1608" s="73">
        <v>450000.0</v>
      </c>
      <c r="P1608" s="46" t="str">
        <f t="shared" si="2"/>
        <v>Rp12,500-36 PCS-0.00%</v>
      </c>
      <c r="Q1608" s="75">
        <v>45412.0</v>
      </c>
      <c r="R1608" s="76"/>
      <c r="S1608" s="75">
        <v>45422.0</v>
      </c>
      <c r="T1608" s="49"/>
    </row>
    <row r="1609">
      <c r="A1609" s="90">
        <v>10.0</v>
      </c>
      <c r="B1609" s="91" t="s">
        <v>58</v>
      </c>
      <c r="C1609" s="49" t="s">
        <v>2061</v>
      </c>
      <c r="D1609" s="77" t="s">
        <v>2086</v>
      </c>
      <c r="E1609" s="41" t="str">
        <f>IFERROR(__xludf.DUMMYFUNCTION("IFNA(vlookup(D1609,IMPORTRANGE(""https://docs.google.com/spreadsheets/d/1swGwZOEqYlTEUCJLY-eeJM1911Kvaei5oySBIxdgtNo/edit?pli=1#gid=257618397"",""stock untanna!B:C""),2,false),V:V)"),"PC MAGNIT CC 7806 + CALL")</f>
        <v>PC MAGNIT CC 7806 + CALL</v>
      </c>
      <c r="F1609" s="49"/>
      <c r="G1609" s="71" t="s">
        <v>2087</v>
      </c>
      <c r="H1609" s="41"/>
      <c r="I1609" s="42"/>
      <c r="J1609" s="85" t="s">
        <v>1319</v>
      </c>
      <c r="K1609" s="72">
        <v>3.0</v>
      </c>
      <c r="L1609" s="53" t="s">
        <v>62</v>
      </c>
      <c r="M1609" s="73">
        <v>186000.0</v>
      </c>
      <c r="N1609" s="74"/>
      <c r="O1609" s="73">
        <v>558000.0</v>
      </c>
      <c r="P1609" s="46" t="str">
        <f t="shared" si="2"/>
        <v>Rp186,000-3 LSN-0.00%</v>
      </c>
      <c r="Q1609" s="75">
        <v>45412.0</v>
      </c>
      <c r="R1609" s="76"/>
      <c r="S1609" s="75">
        <v>45422.0</v>
      </c>
      <c r="T1609" s="80" t="s">
        <v>280</v>
      </c>
    </row>
    <row r="1610">
      <c r="A1610" s="90">
        <v>10.0</v>
      </c>
      <c r="B1610" s="91" t="s">
        <v>58</v>
      </c>
      <c r="C1610" s="49" t="s">
        <v>2061</v>
      </c>
      <c r="D1610" s="91" t="s">
        <v>2088</v>
      </c>
      <c r="E1610" s="41" t="str">
        <f>IFERROR(__xludf.DUMMYFUNCTION("vlookup(D1610,IMPORTRANGE(""https://docs.google.com/spreadsheets/d/1swGwZOEqYlTEUCJLY-eeJM1911Kvaei5oySBIxdgtNo/edit?pli=1#gid=257618397"",""stock untanna!B:C""),2,false)"),"PENCIL CASE MAGNIT AC 2829-5")</f>
        <v>PENCIL CASE MAGNIT AC 2829-5</v>
      </c>
      <c r="F1610" s="49" t="s">
        <v>2088</v>
      </c>
      <c r="G1610" s="71" t="s">
        <v>2089</v>
      </c>
      <c r="H1610" s="41"/>
      <c r="I1610" s="42"/>
      <c r="J1610" s="43"/>
      <c r="K1610" s="72">
        <v>36.0</v>
      </c>
      <c r="L1610" s="53" t="s">
        <v>69</v>
      </c>
      <c r="M1610" s="73">
        <v>12000.0</v>
      </c>
      <c r="N1610" s="74"/>
      <c r="O1610" s="73">
        <v>432000.0</v>
      </c>
      <c r="P1610" s="46" t="str">
        <f t="shared" si="2"/>
        <v>Rp12,000-36 PCS-0.00%</v>
      </c>
      <c r="Q1610" s="75">
        <v>45412.0</v>
      </c>
      <c r="R1610" s="76"/>
      <c r="S1610" s="75">
        <v>45422.0</v>
      </c>
      <c r="T1610" s="49"/>
    </row>
    <row r="1611">
      <c r="A1611" s="90">
        <v>10.0</v>
      </c>
      <c r="B1611" s="91" t="s">
        <v>58</v>
      </c>
      <c r="C1611" s="49" t="s">
        <v>2061</v>
      </c>
      <c r="D1611" s="91" t="s">
        <v>592</v>
      </c>
      <c r="E1611" s="41" t="str">
        <f>IFERROR(__xludf.DUMMYFUNCTION("vlookup(D1611,IMPORTRANGE(""https://docs.google.com/spreadsheets/d/1swGwZOEqYlTEUCJLY-eeJM1911Kvaei5oySBIxdgtNo/edit?pli=1#gid=257618397"",""stock untanna!B:C""),2,false)"),"PENSIL CASE A-1037 + CAL")</f>
        <v>PENSIL CASE A-1037 + CAL</v>
      </c>
      <c r="F1611" s="49" t="s">
        <v>592</v>
      </c>
      <c r="G1611" s="71" t="s">
        <v>593</v>
      </c>
      <c r="H1611" s="41"/>
      <c r="I1611" s="42"/>
      <c r="J1611" s="43"/>
      <c r="K1611" s="72">
        <v>36.0</v>
      </c>
      <c r="L1611" s="53" t="s">
        <v>69</v>
      </c>
      <c r="M1611" s="73">
        <v>15000.0</v>
      </c>
      <c r="N1611" s="74"/>
      <c r="O1611" s="73">
        <v>540000.0</v>
      </c>
      <c r="P1611" s="46" t="str">
        <f t="shared" si="2"/>
        <v>Rp15,000-36 PCS-0.00%</v>
      </c>
      <c r="Q1611" s="75">
        <v>45412.0</v>
      </c>
      <c r="R1611" s="76"/>
      <c r="S1611" s="75">
        <v>45422.0</v>
      </c>
      <c r="T1611" s="49"/>
    </row>
    <row r="1612">
      <c r="A1612" s="90">
        <v>10.0</v>
      </c>
      <c r="B1612" s="91" t="s">
        <v>58</v>
      </c>
      <c r="C1612" s="49" t="s">
        <v>2061</v>
      </c>
      <c r="D1612" s="91" t="s">
        <v>1315</v>
      </c>
      <c r="E1612" s="41" t="str">
        <f>IFERROR(__xludf.DUMMYFUNCTION("vlookup(D1612,IMPORTRANGE(""https://docs.google.com/spreadsheets/d/1swGwZOEqYlTEUCJLY-eeJM1911Kvaei5oySBIxdgtNo/edit?pli=1#gid=257618397"",""stock untanna!B:C""),2,false)"),"PENSIL CASE 168-18")</f>
        <v>PENSIL CASE 168-18</v>
      </c>
      <c r="F1612" s="49" t="s">
        <v>1315</v>
      </c>
      <c r="G1612" s="71" t="s">
        <v>1316</v>
      </c>
      <c r="H1612" s="41"/>
      <c r="I1612" s="42"/>
      <c r="J1612" s="43"/>
      <c r="K1612" s="72">
        <v>36.0</v>
      </c>
      <c r="L1612" s="53" t="s">
        <v>69</v>
      </c>
      <c r="M1612" s="73">
        <v>20833.0</v>
      </c>
      <c r="N1612" s="74"/>
      <c r="O1612" s="73">
        <v>749988.0</v>
      </c>
      <c r="P1612" s="46" t="str">
        <f t="shared" si="2"/>
        <v>Rp20,833-36 PCS-0.00%</v>
      </c>
      <c r="Q1612" s="75">
        <v>45412.0</v>
      </c>
      <c r="R1612" s="76"/>
      <c r="S1612" s="75">
        <v>45422.0</v>
      </c>
      <c r="T1612" s="49"/>
    </row>
    <row r="1613">
      <c r="A1613" s="90">
        <v>10.0</v>
      </c>
      <c r="B1613" s="91" t="s">
        <v>58</v>
      </c>
      <c r="C1613" s="49" t="s">
        <v>2061</v>
      </c>
      <c r="D1613" s="91" t="s">
        <v>2090</v>
      </c>
      <c r="E1613" s="41" t="str">
        <f>IFERROR(__xludf.DUMMYFUNCTION("vlookup(D1613,IMPORTRANGE(""https://docs.google.com/spreadsheets/d/1swGwZOEqYlTEUCJLY-eeJM1911Kvaei5oySBIxdgtNo/edit?pli=1#gid=257618397"",""stock untanna!B:C""),2,false)"),"PENSIL CASE 168-27")</f>
        <v>PENSIL CASE 168-27</v>
      </c>
      <c r="F1613" s="49" t="s">
        <v>2090</v>
      </c>
      <c r="G1613" s="71" t="s">
        <v>2091</v>
      </c>
      <c r="H1613" s="41"/>
      <c r="I1613" s="42"/>
      <c r="J1613" s="43"/>
      <c r="K1613" s="72">
        <v>36.0</v>
      </c>
      <c r="L1613" s="53" t="s">
        <v>69</v>
      </c>
      <c r="M1613" s="73">
        <v>18750.0</v>
      </c>
      <c r="N1613" s="74"/>
      <c r="O1613" s="73">
        <v>675000.0</v>
      </c>
      <c r="P1613" s="46" t="str">
        <f t="shared" si="2"/>
        <v>Rp18,750-36 PCS-0.00%</v>
      </c>
      <c r="Q1613" s="75">
        <v>45412.0</v>
      </c>
      <c r="R1613" s="76"/>
      <c r="S1613" s="75">
        <v>45422.0</v>
      </c>
      <c r="T1613" s="49"/>
    </row>
    <row r="1614">
      <c r="A1614" s="90">
        <v>10.0</v>
      </c>
      <c r="B1614" s="91" t="s">
        <v>58</v>
      </c>
      <c r="C1614" s="49" t="s">
        <v>2061</v>
      </c>
      <c r="D1614" s="91" t="s">
        <v>2092</v>
      </c>
      <c r="E1614" s="41" t="str">
        <f>IFERROR(__xludf.DUMMYFUNCTION("vlookup(D1614,IMPORTRANGE(""https://docs.google.com/spreadsheets/d/1swGwZOEqYlTEUCJLY-eeJM1911Kvaei5oySBIxdgtNo/edit?pli=1#gid=257618397"",""stock untanna!B:C""),2,false)"),"PENSIL CASE 168-26")</f>
        <v>PENSIL CASE 168-26</v>
      </c>
      <c r="F1614" s="49" t="s">
        <v>2092</v>
      </c>
      <c r="G1614" s="71" t="s">
        <v>2093</v>
      </c>
      <c r="H1614" s="41"/>
      <c r="I1614" s="42"/>
      <c r="J1614" s="43"/>
      <c r="K1614" s="72">
        <v>36.0</v>
      </c>
      <c r="L1614" s="53" t="s">
        <v>69</v>
      </c>
      <c r="M1614" s="73">
        <v>18750.0</v>
      </c>
      <c r="N1614" s="74"/>
      <c r="O1614" s="73">
        <v>675000.0</v>
      </c>
      <c r="P1614" s="46" t="str">
        <f t="shared" si="2"/>
        <v>Rp18,750-36 PCS-0.00%</v>
      </c>
      <c r="Q1614" s="75">
        <v>45412.0</v>
      </c>
      <c r="R1614" s="76"/>
      <c r="S1614" s="75">
        <v>45422.0</v>
      </c>
      <c r="T1614" s="49"/>
    </row>
    <row r="1615">
      <c r="A1615" s="90">
        <v>10.0</v>
      </c>
      <c r="B1615" s="91" t="s">
        <v>58</v>
      </c>
      <c r="C1615" s="49" t="s">
        <v>2061</v>
      </c>
      <c r="D1615" s="91" t="s">
        <v>598</v>
      </c>
      <c r="E1615" s="41" t="str">
        <f>IFERROR(__xludf.DUMMYFUNCTION("vlookup(D1615,IMPORTRANGE(""https://docs.google.com/spreadsheets/d/1swGwZOEqYlTEUCJLY-eeJM1911Kvaei5oySBIxdgtNo/edit?pli=1#gid=257618397"",""stock untanna!B:C""),2,false)"),"PENSIL CASE AC-2893-3")</f>
        <v>PENSIL CASE AC-2893-3</v>
      </c>
      <c r="F1615" s="49" t="s">
        <v>598</v>
      </c>
      <c r="G1615" s="71" t="s">
        <v>599</v>
      </c>
      <c r="H1615" s="41"/>
      <c r="I1615" s="42"/>
      <c r="J1615" s="43"/>
      <c r="K1615" s="72">
        <v>36.0</v>
      </c>
      <c r="L1615" s="53" t="s">
        <v>69</v>
      </c>
      <c r="M1615" s="73">
        <v>12500.0</v>
      </c>
      <c r="N1615" s="74"/>
      <c r="O1615" s="73">
        <v>450000.0</v>
      </c>
      <c r="P1615" s="46" t="str">
        <f t="shared" si="2"/>
        <v>Rp12,500-36 PCS-0.00%</v>
      </c>
      <c r="Q1615" s="75">
        <v>45412.0</v>
      </c>
      <c r="R1615" s="76"/>
      <c r="S1615" s="75">
        <v>45422.0</v>
      </c>
      <c r="T1615" s="49"/>
    </row>
    <row r="1616">
      <c r="A1616" s="90">
        <v>10.0</v>
      </c>
      <c r="B1616" s="91" t="s">
        <v>58</v>
      </c>
      <c r="C1616" s="49" t="s">
        <v>2061</v>
      </c>
      <c r="D1616" s="91" t="s">
        <v>2094</v>
      </c>
      <c r="E1616" s="41" t="str">
        <f>IFERROR(__xludf.DUMMYFUNCTION("vlookup(D1616,IMPORTRANGE(""https://docs.google.com/spreadsheets/d/1swGwZOEqYlTEUCJLY-eeJM1911Kvaei5oySBIxdgtNo/edit?pli=1#gid=257618397"",""stock untanna!B:C""),2,false)"),"PENSIL CASE 168-25")</f>
        <v>PENSIL CASE 168-25</v>
      </c>
      <c r="F1616" s="49" t="s">
        <v>2094</v>
      </c>
      <c r="G1616" s="71" t="s">
        <v>2095</v>
      </c>
      <c r="H1616" s="41"/>
      <c r="I1616" s="42"/>
      <c r="J1616" s="43"/>
      <c r="K1616" s="72">
        <v>36.0</v>
      </c>
      <c r="L1616" s="53" t="s">
        <v>69</v>
      </c>
      <c r="M1616" s="73">
        <v>18750.0</v>
      </c>
      <c r="N1616" s="74"/>
      <c r="O1616" s="73">
        <v>675000.0</v>
      </c>
      <c r="P1616" s="46" t="str">
        <f t="shared" si="2"/>
        <v>Rp18,750-36 PCS-0.00%</v>
      </c>
      <c r="Q1616" s="75">
        <v>45412.0</v>
      </c>
      <c r="R1616" s="76"/>
      <c r="S1616" s="75">
        <v>45422.0</v>
      </c>
      <c r="T1616" s="49"/>
    </row>
    <row r="1617">
      <c r="A1617" s="90">
        <v>11.0</v>
      </c>
      <c r="B1617" s="91" t="s">
        <v>58</v>
      </c>
      <c r="C1617" s="49" t="s">
        <v>2061</v>
      </c>
      <c r="D1617" s="91" t="s">
        <v>2096</v>
      </c>
      <c r="E1617" s="41" t="str">
        <f>IFERROR(__xludf.DUMMYFUNCTION("vlookup(D1617,IMPORTRANGE(""https://docs.google.com/spreadsheets/d/1swGwZOEqYlTEUCJLY-eeJM1911Kvaei5oySBIxdgtNo/edit?pli=1#gid=257618397"",""stock untanna!B:C""),2,false)"),"PENSIL CASE AC-2860-3")</f>
        <v>PENSIL CASE AC-2860-3</v>
      </c>
      <c r="F1617" s="49" t="s">
        <v>2096</v>
      </c>
      <c r="G1617" s="71" t="s">
        <v>2097</v>
      </c>
      <c r="H1617" s="41"/>
      <c r="I1617" s="42"/>
      <c r="J1617" s="43"/>
      <c r="K1617" s="72">
        <v>36.0</v>
      </c>
      <c r="L1617" s="53" t="s">
        <v>69</v>
      </c>
      <c r="M1617" s="73">
        <v>14583.0</v>
      </c>
      <c r="N1617" s="74"/>
      <c r="O1617" s="73">
        <v>524988.0</v>
      </c>
      <c r="P1617" s="46" t="str">
        <f t="shared" si="2"/>
        <v>Rp14,583-36 PCS-0.00%</v>
      </c>
      <c r="Q1617" s="75">
        <v>45412.0</v>
      </c>
      <c r="R1617" s="76"/>
      <c r="S1617" s="75">
        <v>45422.0</v>
      </c>
      <c r="T1617" s="49"/>
    </row>
    <row r="1618">
      <c r="A1618" s="90">
        <v>11.0</v>
      </c>
      <c r="B1618" s="91" t="s">
        <v>58</v>
      </c>
      <c r="C1618" s="49" t="s">
        <v>2061</v>
      </c>
      <c r="D1618" s="91" t="s">
        <v>2098</v>
      </c>
      <c r="E1618" s="41" t="str">
        <f>IFERROR(__xludf.DUMMYFUNCTION("vlookup(D1618,IMPORTRANGE(""https://docs.google.com/spreadsheets/d/1swGwZOEqYlTEUCJLY-eeJM1911Kvaei5oySBIxdgtNo/edit?pli=1#gid=257618397"",""stock untanna!B:C""),2,false)"),"PENSIL CASE BH-278")</f>
        <v>PENSIL CASE BH-278</v>
      </c>
      <c r="F1618" s="49" t="s">
        <v>2098</v>
      </c>
      <c r="G1618" s="71" t="s">
        <v>2099</v>
      </c>
      <c r="H1618" s="41"/>
      <c r="I1618" s="42"/>
      <c r="J1618" s="43"/>
      <c r="K1618" s="72">
        <v>24.0</v>
      </c>
      <c r="L1618" s="53" t="s">
        <v>69</v>
      </c>
      <c r="M1618" s="73">
        <v>37500.0</v>
      </c>
      <c r="N1618" s="74"/>
      <c r="O1618" s="73">
        <v>900000.0</v>
      </c>
      <c r="P1618" s="46" t="str">
        <f t="shared" si="2"/>
        <v>Rp37,500-24 PCS-0.00%</v>
      </c>
      <c r="Q1618" s="75">
        <v>45412.0</v>
      </c>
      <c r="R1618" s="76"/>
      <c r="S1618" s="75">
        <v>45422.0</v>
      </c>
      <c r="T1618" s="49"/>
    </row>
    <row r="1619">
      <c r="A1619" s="90">
        <v>11.0</v>
      </c>
      <c r="B1619" s="91" t="s">
        <v>58</v>
      </c>
      <c r="C1619" s="49" t="s">
        <v>2061</v>
      </c>
      <c r="D1619" s="91" t="s">
        <v>588</v>
      </c>
      <c r="E1619" s="41" t="str">
        <f>IFERROR(__xludf.DUMMYFUNCTION("vlookup(D1619,IMPORTRANGE(""https://docs.google.com/spreadsheets/d/1swGwZOEqYlTEUCJLY-eeJM1911Kvaei5oySBIxdgtNo/edit?pli=1#gid=257618397"",""stock untanna!B:C""),2,false)"),"PENSIL CASE 8300D TIMBUL")</f>
        <v>PENSIL CASE 8300D TIMBUL</v>
      </c>
      <c r="F1619" s="49" t="s">
        <v>588</v>
      </c>
      <c r="G1619" s="71" t="s">
        <v>589</v>
      </c>
      <c r="H1619" s="41"/>
      <c r="I1619" s="42"/>
      <c r="J1619" s="43"/>
      <c r="K1619" s="72">
        <v>24.0</v>
      </c>
      <c r="L1619" s="53" t="s">
        <v>69</v>
      </c>
      <c r="M1619" s="73">
        <v>33333.0</v>
      </c>
      <c r="N1619" s="74"/>
      <c r="O1619" s="73">
        <v>799992.0</v>
      </c>
      <c r="P1619" s="46" t="str">
        <f t="shared" si="2"/>
        <v>Rp33,333-24 PCS-0.00%</v>
      </c>
      <c r="Q1619" s="75">
        <v>45412.0</v>
      </c>
      <c r="R1619" s="76"/>
      <c r="S1619" s="75">
        <v>45422.0</v>
      </c>
      <c r="T1619" s="49"/>
    </row>
    <row r="1620">
      <c r="A1620" s="90">
        <v>11.0</v>
      </c>
      <c r="B1620" s="91" t="s">
        <v>58</v>
      </c>
      <c r="C1620" s="49" t="s">
        <v>2061</v>
      </c>
      <c r="D1620" s="91" t="s">
        <v>649</v>
      </c>
      <c r="E1620" s="41" t="str">
        <f>IFERROR(__xludf.DUMMYFUNCTION("vlookup(D1620,IMPORTRANGE(""https://docs.google.com/spreadsheets/d/1swGwZOEqYlTEUCJLY-eeJM1911Kvaei5oySBIxdgtNo/edit?pli=1#gid=257618397"",""stock untanna!B:C""),2,false)"),"KUAS TF ART TF-2023")</f>
        <v>KUAS TF ART TF-2023</v>
      </c>
      <c r="F1620" s="49" t="s">
        <v>649</v>
      </c>
      <c r="G1620" s="71" t="s">
        <v>650</v>
      </c>
      <c r="H1620" s="41"/>
      <c r="I1620" s="42"/>
      <c r="J1620" s="43"/>
      <c r="K1620" s="72">
        <v>24.0</v>
      </c>
      <c r="L1620" s="53" t="s">
        <v>84</v>
      </c>
      <c r="M1620" s="73">
        <v>7500.0</v>
      </c>
      <c r="N1620" s="74"/>
      <c r="O1620" s="73">
        <v>180000.0</v>
      </c>
      <c r="P1620" s="46" t="str">
        <f t="shared" si="2"/>
        <v>Rp7,500-24 SET-0.00%</v>
      </c>
      <c r="Q1620" s="75">
        <v>45412.0</v>
      </c>
      <c r="R1620" s="76"/>
      <c r="S1620" s="75">
        <v>45422.0</v>
      </c>
      <c r="T1620" s="49"/>
    </row>
    <row r="1621">
      <c r="A1621" s="90">
        <v>11.0</v>
      </c>
      <c r="B1621" s="91" t="s">
        <v>58</v>
      </c>
      <c r="C1621" s="49" t="s">
        <v>2061</v>
      </c>
      <c r="D1621" s="91" t="s">
        <v>945</v>
      </c>
      <c r="E1621" s="41" t="str">
        <f>IFERROR(__xludf.DUMMYFUNCTION("vlookup(D1621,IMPORTRANGE(""https://docs.google.com/spreadsheets/d/1swGwZOEqYlTEUCJLY-eeJM1911Kvaei5oySBIxdgtNo/edit?pli=1#gid=257618397"",""stock untanna!B:C""),2,false)"),"STICKER XTQ-E")</f>
        <v>STICKER XTQ-E</v>
      </c>
      <c r="F1621" s="49" t="s">
        <v>945</v>
      </c>
      <c r="G1621" s="71" t="s">
        <v>946</v>
      </c>
      <c r="H1621" s="41"/>
      <c r="I1621" s="42"/>
      <c r="J1621" s="43"/>
      <c r="K1621" s="72">
        <v>36.0</v>
      </c>
      <c r="L1621" s="53" t="s">
        <v>69</v>
      </c>
      <c r="M1621" s="73">
        <v>5000.0</v>
      </c>
      <c r="N1621" s="74"/>
      <c r="O1621" s="73">
        <v>180000.0</v>
      </c>
      <c r="P1621" s="46" t="str">
        <f t="shared" si="2"/>
        <v>Rp5,000-36 PCS-0.00%</v>
      </c>
      <c r="Q1621" s="75">
        <v>45412.0</v>
      </c>
      <c r="R1621" s="76"/>
      <c r="S1621" s="75">
        <v>45422.0</v>
      </c>
      <c r="T1621" s="49"/>
    </row>
    <row r="1622">
      <c r="A1622" s="90">
        <v>11.0</v>
      </c>
      <c r="B1622" s="91" t="s">
        <v>58</v>
      </c>
      <c r="C1622" s="49" t="s">
        <v>2061</v>
      </c>
      <c r="D1622" s="91" t="s">
        <v>943</v>
      </c>
      <c r="E1622" s="41" t="str">
        <f>IFERROR(__xludf.DUMMYFUNCTION("vlookup(D1622,IMPORTRANGE(""https://docs.google.com/spreadsheets/d/1swGwZOEqYlTEUCJLY-eeJM1911Kvaei5oySBIxdgtNo/edit?pli=1#gid=257618397"",""stock untanna!B:C""),2,false)"),"STICKER XTQ-F")</f>
        <v>STICKER XTQ-F</v>
      </c>
      <c r="F1622" s="49" t="s">
        <v>943</v>
      </c>
      <c r="G1622" s="71" t="s">
        <v>944</v>
      </c>
      <c r="H1622" s="41"/>
      <c r="I1622" s="42"/>
      <c r="J1622" s="43"/>
      <c r="K1622" s="72">
        <v>48.0</v>
      </c>
      <c r="L1622" s="53" t="s">
        <v>69</v>
      </c>
      <c r="M1622" s="73">
        <v>5000.0</v>
      </c>
      <c r="N1622" s="74"/>
      <c r="O1622" s="73">
        <v>240000.0</v>
      </c>
      <c r="P1622" s="46" t="str">
        <f t="shared" si="2"/>
        <v>Rp5,000-48 PCS-0.00%</v>
      </c>
      <c r="Q1622" s="75">
        <v>45412.0</v>
      </c>
      <c r="R1622" s="76"/>
      <c r="S1622" s="75">
        <v>45422.0</v>
      </c>
      <c r="T1622" s="49"/>
    </row>
    <row r="1623">
      <c r="A1623" s="90">
        <v>11.0</v>
      </c>
      <c r="B1623" s="91" t="s">
        <v>58</v>
      </c>
      <c r="C1623" s="49" t="s">
        <v>2061</v>
      </c>
      <c r="D1623" s="91" t="s">
        <v>1488</v>
      </c>
      <c r="E1623" s="41" t="str">
        <f>IFERROR(__xludf.DUMMYFUNCTION("vlookup(D1623,IMPORTRANGE(""https://docs.google.com/spreadsheets/d/1swGwZOEqYlTEUCJLY-eeJM1911Kvaei5oySBIxdgtNo/edit?pli=1#gid=257618397"",""stock untanna!B:C""),2,false)"),"STICKER JBE-30")</f>
        <v>STICKER JBE-30</v>
      </c>
      <c r="F1623" s="49" t="s">
        <v>1488</v>
      </c>
      <c r="G1623" s="71" t="s">
        <v>1489</v>
      </c>
      <c r="H1623" s="41"/>
      <c r="I1623" s="42"/>
      <c r="J1623" s="43"/>
      <c r="K1623" s="72">
        <v>48.0</v>
      </c>
      <c r="L1623" s="53" t="s">
        <v>69</v>
      </c>
      <c r="M1623" s="73">
        <v>10000.0</v>
      </c>
      <c r="N1623" s="74"/>
      <c r="O1623" s="73">
        <v>480000.0</v>
      </c>
      <c r="P1623" s="46" t="str">
        <f t="shared" si="2"/>
        <v>Rp10,000-48 PCS-0.00%</v>
      </c>
      <c r="Q1623" s="75">
        <v>45412.0</v>
      </c>
      <c r="R1623" s="76"/>
      <c r="S1623" s="75">
        <v>45422.0</v>
      </c>
      <c r="T1623" s="49"/>
    </row>
    <row r="1624">
      <c r="A1624" s="90">
        <v>11.0</v>
      </c>
      <c r="B1624" s="91" t="s">
        <v>58</v>
      </c>
      <c r="C1624" s="49" t="s">
        <v>2061</v>
      </c>
      <c r="D1624" s="91" t="s">
        <v>1494</v>
      </c>
      <c r="E1624" s="41" t="str">
        <f>IFERROR(__xludf.DUMMYFUNCTION("vlookup(D1624,IMPORTRANGE(""https://docs.google.com/spreadsheets/d/1swGwZOEqYlTEUCJLY-eeJM1911Kvaei5oySBIxdgtNo/edit?pli=1#gid=257618397"",""stock untanna!B:C""),2,false)"),"STICKER JBE-35")</f>
        <v>STICKER JBE-35</v>
      </c>
      <c r="F1624" s="49" t="s">
        <v>1494</v>
      </c>
      <c r="G1624" s="71" t="s">
        <v>1495</v>
      </c>
      <c r="H1624" s="41"/>
      <c r="I1624" s="42"/>
      <c r="J1624" s="43"/>
      <c r="K1624" s="72">
        <v>48.0</v>
      </c>
      <c r="L1624" s="53" t="s">
        <v>69</v>
      </c>
      <c r="M1624" s="73">
        <v>4000.0</v>
      </c>
      <c r="N1624" s="74"/>
      <c r="O1624" s="73">
        <v>192000.0</v>
      </c>
      <c r="P1624" s="46" t="str">
        <f t="shared" si="2"/>
        <v>Rp4,000-48 PCS-0.00%</v>
      </c>
      <c r="Q1624" s="75">
        <v>45412.0</v>
      </c>
      <c r="R1624" s="76"/>
      <c r="S1624" s="75">
        <v>45422.0</v>
      </c>
      <c r="T1624" s="49"/>
    </row>
    <row r="1625">
      <c r="A1625" s="90">
        <v>11.0</v>
      </c>
      <c r="B1625" s="91" t="s">
        <v>58</v>
      </c>
      <c r="C1625" s="49" t="s">
        <v>2061</v>
      </c>
      <c r="D1625" s="77" t="s">
        <v>1807</v>
      </c>
      <c r="E1625" s="41" t="str">
        <f>IFERROR(__xludf.DUMMYFUNCTION("vlookup(D1625,IMPORTRANGE(""https://docs.google.com/spreadsheets/d/1swGwZOEqYlTEUCJLY-eeJM1911Kvaei5oySBIxdgtNo/edit?pli=1#gid=257618397"",""stock untanna!B:C""),2,false)"),"CLIP FILE YUSHINCA 318 HT")</f>
        <v>CLIP FILE YUSHINCA 318 HT</v>
      </c>
      <c r="F1625" s="49" t="s">
        <v>1808</v>
      </c>
      <c r="G1625" s="71" t="s">
        <v>1809</v>
      </c>
      <c r="H1625" s="41"/>
      <c r="I1625" s="42"/>
      <c r="J1625" s="43"/>
      <c r="K1625" s="72">
        <v>3.0</v>
      </c>
      <c r="L1625" s="53" t="s">
        <v>62</v>
      </c>
      <c r="M1625" s="73">
        <v>225000.0</v>
      </c>
      <c r="N1625" s="74"/>
      <c r="O1625" s="73">
        <v>675000.0</v>
      </c>
      <c r="P1625" s="46" t="str">
        <f t="shared" si="2"/>
        <v>Rp225,000-3 LSN-0.00%</v>
      </c>
      <c r="Q1625" s="75">
        <v>45412.0</v>
      </c>
      <c r="R1625" s="76"/>
      <c r="S1625" s="75">
        <v>45422.0</v>
      </c>
      <c r="T1625" s="49"/>
    </row>
    <row r="1626">
      <c r="A1626" s="90">
        <v>11.0</v>
      </c>
      <c r="B1626" s="91" t="s">
        <v>58</v>
      </c>
      <c r="C1626" s="49" t="s">
        <v>2061</v>
      </c>
      <c r="D1626" s="91" t="s">
        <v>165</v>
      </c>
      <c r="E1626" s="41" t="str">
        <f>IFERROR(__xludf.DUMMYFUNCTION("vlookup(D1626,IMPORTRANGE(""https://docs.google.com/spreadsheets/d/1swGwZOEqYlTEUCJLY-eeJM1911Kvaei5oySBIxdgtNo/edit?pli=1#gid=257618397"",""stock untanna!B:C""),2,false)"),"BOX FILE MICROTOP A.618/ 3 SUSUN")</f>
        <v>BOX FILE MICROTOP A.618/ 3 SUSUN</v>
      </c>
      <c r="F1626" s="49" t="s">
        <v>165</v>
      </c>
      <c r="G1626" s="71" t="s">
        <v>166</v>
      </c>
      <c r="H1626" s="41"/>
      <c r="I1626" s="42"/>
      <c r="J1626" s="43"/>
      <c r="K1626" s="72">
        <v>12.0</v>
      </c>
      <c r="L1626" s="53" t="s">
        <v>69</v>
      </c>
      <c r="M1626" s="73">
        <v>27500.0</v>
      </c>
      <c r="N1626" s="74"/>
      <c r="O1626" s="73">
        <v>330000.0</v>
      </c>
      <c r="P1626" s="46" t="str">
        <f t="shared" si="2"/>
        <v>Rp27,500-12 PCS-0.00%</v>
      </c>
      <c r="Q1626" s="75">
        <v>45412.0</v>
      </c>
      <c r="R1626" s="76"/>
      <c r="S1626" s="75">
        <v>45422.0</v>
      </c>
      <c r="T1626" s="49"/>
    </row>
    <row r="1627">
      <c r="A1627" s="90">
        <v>11.0</v>
      </c>
      <c r="B1627" s="91" t="s">
        <v>58</v>
      </c>
      <c r="C1627" s="49" t="s">
        <v>2061</v>
      </c>
      <c r="D1627" s="91" t="s">
        <v>2019</v>
      </c>
      <c r="E1627" s="41" t="str">
        <f>IFERROR(__xludf.DUMMYFUNCTION("vlookup(D1627,IMPORTRANGE(""https://docs.google.com/spreadsheets/d/1swGwZOEqYlTEUCJLY-eeJM1911Kvaei5oySBIxdgtNo/edit?pli=1#gid=257618397"",""stock untanna!B:C""),2,false)"),"BN RABBIT KOALA A5")</f>
        <v>BN RABBIT KOALA A5</v>
      </c>
      <c r="F1627" s="49" t="s">
        <v>2019</v>
      </c>
      <c r="G1627" s="71" t="s">
        <v>2020</v>
      </c>
      <c r="H1627" s="41"/>
      <c r="I1627" s="42"/>
      <c r="J1627" s="43"/>
      <c r="K1627" s="72">
        <v>12.0</v>
      </c>
      <c r="L1627" s="53" t="s">
        <v>69</v>
      </c>
      <c r="M1627" s="73">
        <v>25000.0</v>
      </c>
      <c r="N1627" s="74"/>
      <c r="O1627" s="73">
        <v>300000.0</v>
      </c>
      <c r="P1627" s="46" t="str">
        <f t="shared" si="2"/>
        <v>Rp25,000-12 PCS-0.00%</v>
      </c>
      <c r="Q1627" s="75">
        <v>45412.0</v>
      </c>
      <c r="R1627" s="76"/>
      <c r="S1627" s="75">
        <v>45422.0</v>
      </c>
      <c r="T1627" s="49"/>
    </row>
    <row r="1628">
      <c r="A1628" s="90">
        <v>11.0</v>
      </c>
      <c r="B1628" s="91" t="s">
        <v>58</v>
      </c>
      <c r="C1628" s="49" t="s">
        <v>2061</v>
      </c>
      <c r="D1628" s="91" t="s">
        <v>1766</v>
      </c>
      <c r="E1628" s="41" t="str">
        <f>IFERROR(__xludf.DUMMYFUNCTION("vlookup(D1628,IMPORTRANGE(""https://docs.google.com/spreadsheets/d/1swGwZOEqYlTEUCJLY-eeJM1911Kvaei5oySBIxdgtNo/edit?pli=1#gid=257618397"",""stock untanna!B:C""),2,false)"),"CAT ACRYLIC PACMAN")</f>
        <v>CAT ACRYLIC PACMAN</v>
      </c>
      <c r="F1628" s="49" t="s">
        <v>1766</v>
      </c>
      <c r="G1628" s="71" t="s">
        <v>1767</v>
      </c>
      <c r="H1628" s="41"/>
      <c r="I1628" s="42"/>
      <c r="J1628" s="43"/>
      <c r="K1628" s="72">
        <v>36.0</v>
      </c>
      <c r="L1628" s="53" t="s">
        <v>69</v>
      </c>
      <c r="M1628" s="73">
        <v>15500.0</v>
      </c>
      <c r="N1628" s="74"/>
      <c r="O1628" s="73">
        <v>558000.0</v>
      </c>
      <c r="P1628" s="46" t="str">
        <f t="shared" si="2"/>
        <v>Rp15,500-36 PCS-0.00%</v>
      </c>
      <c r="Q1628" s="75">
        <v>45412.0</v>
      </c>
      <c r="R1628" s="76"/>
      <c r="S1628" s="75">
        <v>45422.0</v>
      </c>
      <c r="T1628" s="49"/>
    </row>
    <row r="1629">
      <c r="A1629" s="90">
        <v>11.0</v>
      </c>
      <c r="B1629" s="91" t="s">
        <v>58</v>
      </c>
      <c r="C1629" s="49" t="s">
        <v>2061</v>
      </c>
      <c r="D1629" s="91" t="s">
        <v>2100</v>
      </c>
      <c r="E1629" s="41" t="str">
        <f>IFERROR(__xludf.DUMMYFUNCTION("vlookup(D1629,IMPORTRANGE(""https://docs.google.com/spreadsheets/d/1swGwZOEqYlTEUCJLY-eeJM1911Kvaei5oySBIxdgtNo/edit?pli=1#gid=257618397"",""stock untanna!B:C""),2,false)"),"CAT ACRYLIC ENTER A 912")</f>
        <v>CAT ACRYLIC ENTER A 912</v>
      </c>
      <c r="F1629" s="49" t="s">
        <v>2100</v>
      </c>
      <c r="G1629" s="71" t="s">
        <v>2101</v>
      </c>
      <c r="H1629" s="41"/>
      <c r="I1629" s="42"/>
      <c r="J1629" s="43"/>
      <c r="K1629" s="72">
        <v>36.0</v>
      </c>
      <c r="L1629" s="53" t="s">
        <v>69</v>
      </c>
      <c r="M1629" s="73">
        <v>16000.0</v>
      </c>
      <c r="N1629" s="74"/>
      <c r="O1629" s="73">
        <v>576000.0</v>
      </c>
      <c r="P1629" s="46" t="str">
        <f t="shared" si="2"/>
        <v>Rp16,000-36 PCS-0.00%</v>
      </c>
      <c r="Q1629" s="75">
        <v>45412.0</v>
      </c>
      <c r="R1629" s="76"/>
      <c r="S1629" s="75">
        <v>45422.0</v>
      </c>
      <c r="T1629" s="49"/>
    </row>
    <row r="1630">
      <c r="A1630" s="90">
        <v>11.0</v>
      </c>
      <c r="B1630" s="91" t="s">
        <v>58</v>
      </c>
      <c r="C1630" s="49" t="s">
        <v>2061</v>
      </c>
      <c r="D1630" s="91" t="s">
        <v>2102</v>
      </c>
      <c r="E1630" s="41" t="str">
        <f>IFERROR(__xludf.DUMMYFUNCTION("vlookup(D1630,IMPORTRANGE(""https://docs.google.com/spreadsheets/d/1swGwZOEqYlTEUCJLY-eeJM1911Kvaei5oySBIxdgtNo/edit?pli=1#gid=257618397"",""stock untanna!B:C""),2,false)"),"CAT ACRYLIC A12 - 9 12W")</f>
        <v>CAT ACRYLIC A12 - 9 12W</v>
      </c>
      <c r="F1630" s="49" t="s">
        <v>2102</v>
      </c>
      <c r="G1630" s="71" t="s">
        <v>2103</v>
      </c>
      <c r="H1630" s="41"/>
      <c r="I1630" s="42"/>
      <c r="J1630" s="43"/>
      <c r="K1630" s="72">
        <v>36.0</v>
      </c>
      <c r="L1630" s="53" t="s">
        <v>69</v>
      </c>
      <c r="M1630" s="73">
        <v>14583.0</v>
      </c>
      <c r="N1630" s="74"/>
      <c r="O1630" s="73">
        <v>524988.0</v>
      </c>
      <c r="P1630" s="46" t="str">
        <f t="shared" si="2"/>
        <v>Rp14,583-36 PCS-0.00%</v>
      </c>
      <c r="Q1630" s="75">
        <v>45412.0</v>
      </c>
      <c r="R1630" s="76"/>
      <c r="S1630" s="75">
        <v>45422.0</v>
      </c>
      <c r="T1630" s="49"/>
    </row>
    <row r="1631">
      <c r="A1631" s="90">
        <v>11.0</v>
      </c>
      <c r="B1631" s="91" t="s">
        <v>58</v>
      </c>
      <c r="C1631" s="49" t="s">
        <v>2061</v>
      </c>
      <c r="D1631" s="91" t="s">
        <v>960</v>
      </c>
      <c r="E1631" s="41" t="str">
        <f>IFERROR(__xludf.DUMMYFUNCTION("vlookup(D1631,IMPORTRANGE(""https://docs.google.com/spreadsheets/d/1swGwZOEqYlTEUCJLY-eeJM1911Kvaei5oySBIxdgtNo/edit?pli=1#gid=257618397"",""stock untanna!B:C""),2,false)"),"WATER COLOR + KUAS PACMAN")</f>
        <v>WATER COLOR + KUAS PACMAN</v>
      </c>
      <c r="F1631" s="49" t="s">
        <v>960</v>
      </c>
      <c r="G1631" s="71" t="s">
        <v>961</v>
      </c>
      <c r="H1631" s="41"/>
      <c r="I1631" s="42"/>
      <c r="J1631" s="43"/>
      <c r="K1631" s="72">
        <v>36.0</v>
      </c>
      <c r="L1631" s="53" t="s">
        <v>69</v>
      </c>
      <c r="M1631" s="73">
        <v>13000.0</v>
      </c>
      <c r="N1631" s="74"/>
      <c r="O1631" s="73">
        <v>468000.0</v>
      </c>
      <c r="P1631" s="46" t="str">
        <f t="shared" si="2"/>
        <v>Rp13,000-36 PCS-0.00%</v>
      </c>
      <c r="Q1631" s="75">
        <v>45412.0</v>
      </c>
      <c r="R1631" s="76"/>
      <c r="S1631" s="75">
        <v>45422.0</v>
      </c>
      <c r="T1631" s="49"/>
    </row>
    <row r="1632">
      <c r="A1632" s="90">
        <v>11.0</v>
      </c>
      <c r="B1632" s="91" t="s">
        <v>58</v>
      </c>
      <c r="C1632" s="49" t="s">
        <v>2061</v>
      </c>
      <c r="D1632" s="91" t="s">
        <v>623</v>
      </c>
      <c r="E1632" s="41" t="str">
        <f>IFERROR(__xludf.DUMMYFUNCTION("vlookup(D1632,IMPORTRANGE(""https://docs.google.com/spreadsheets/d/1swGwZOEqYlTEUCJLY-eeJM1911Kvaei5oySBIxdgtNo/edit?pli=1#gid=257618397"",""stock untanna!B:C""),2,false)"),"BP GEL TF-1190 0.3MM HIGHTECH (H)")</f>
        <v>BP GEL TF-1190 0.3MM HIGHTECH (H)</v>
      </c>
      <c r="F1632" s="49" t="s">
        <v>623</v>
      </c>
      <c r="G1632" s="71" t="s">
        <v>624</v>
      </c>
      <c r="H1632" s="41"/>
      <c r="I1632" s="42"/>
      <c r="J1632" s="43"/>
      <c r="K1632" s="72">
        <v>36.0</v>
      </c>
      <c r="L1632" s="53" t="s">
        <v>62</v>
      </c>
      <c r="M1632" s="73">
        <v>30500.0</v>
      </c>
      <c r="N1632" s="74"/>
      <c r="O1632" s="73">
        <v>1098000.0</v>
      </c>
      <c r="P1632" s="46" t="str">
        <f t="shared" si="2"/>
        <v>Rp30,500-36 LSN-0.00%</v>
      </c>
      <c r="Q1632" s="75">
        <v>45412.0</v>
      </c>
      <c r="R1632" s="76"/>
      <c r="S1632" s="75">
        <v>45422.0</v>
      </c>
      <c r="T1632" s="49"/>
    </row>
    <row r="1633">
      <c r="A1633" s="90">
        <v>12.0</v>
      </c>
      <c r="B1633" s="91" t="s">
        <v>58</v>
      </c>
      <c r="C1633" s="49" t="s">
        <v>2061</v>
      </c>
      <c r="D1633" s="91" t="s">
        <v>458</v>
      </c>
      <c r="E1633" s="41" t="str">
        <f>IFERROR(__xludf.DUMMYFUNCTION("vlookup(D1633,IMPORTRANGE(""https://docs.google.com/spreadsheets/d/1swGwZOEqYlTEUCJLY-eeJM1911Kvaei5oySBIxdgtNo/edit?pli=1#gid=257618397"",""stock untanna!B:C""),2,false)"),"BP GEL + GANTUNGAN A931")</f>
        <v>BP GEL + GANTUNGAN A931</v>
      </c>
      <c r="F1633" s="49" t="s">
        <v>458</v>
      </c>
      <c r="G1633" s="71" t="s">
        <v>459</v>
      </c>
      <c r="H1633" s="41"/>
      <c r="I1633" s="42"/>
      <c r="J1633" s="43"/>
      <c r="K1633" s="72">
        <v>24.0</v>
      </c>
      <c r="L1633" s="53" t="s">
        <v>62</v>
      </c>
      <c r="M1633" s="73">
        <v>23000.0</v>
      </c>
      <c r="N1633" s="74"/>
      <c r="O1633" s="73">
        <v>552000.0</v>
      </c>
      <c r="P1633" s="46" t="str">
        <f t="shared" si="2"/>
        <v>Rp23,000-24 LSN-0.00%</v>
      </c>
      <c r="Q1633" s="75">
        <v>45412.0</v>
      </c>
      <c r="R1633" s="76"/>
      <c r="S1633" s="75">
        <v>45422.0</v>
      </c>
      <c r="T1633" s="49"/>
    </row>
    <row r="1634">
      <c r="A1634" s="90">
        <v>12.0</v>
      </c>
      <c r="B1634" s="91" t="s">
        <v>58</v>
      </c>
      <c r="C1634" s="49" t="s">
        <v>2061</v>
      </c>
      <c r="D1634" s="91" t="s">
        <v>1665</v>
      </c>
      <c r="E1634" s="41" t="str">
        <f>IFERROR(__xludf.DUMMYFUNCTION("vlookup(D1634,IMPORTRANGE(""https://docs.google.com/spreadsheets/d/1swGwZOEqYlTEUCJLY-eeJM1911Kvaei5oySBIxdgtNo/edit?pli=1#gid=257618397"",""stock untanna!B:C""),2,false)"),"BP GEL 9165")</f>
        <v>BP GEL 9165</v>
      </c>
      <c r="F1634" s="49" t="s">
        <v>1665</v>
      </c>
      <c r="G1634" s="71" t="s">
        <v>1666</v>
      </c>
      <c r="H1634" s="41"/>
      <c r="I1634" s="42"/>
      <c r="J1634" s="43"/>
      <c r="K1634" s="72">
        <v>288.0</v>
      </c>
      <c r="L1634" s="53" t="s">
        <v>69</v>
      </c>
      <c r="M1634" s="73">
        <v>1917.0</v>
      </c>
      <c r="N1634" s="74"/>
      <c r="O1634" s="73">
        <v>552096.0</v>
      </c>
      <c r="P1634" s="46" t="str">
        <f t="shared" si="2"/>
        <v>Rp1,917-288 PCS-0.00%</v>
      </c>
      <c r="Q1634" s="75">
        <v>45412.0</v>
      </c>
      <c r="R1634" s="76"/>
      <c r="S1634" s="75">
        <v>45422.0</v>
      </c>
      <c r="T1634" s="49"/>
    </row>
    <row r="1635">
      <c r="A1635" s="90">
        <v>12.0</v>
      </c>
      <c r="B1635" s="91" t="s">
        <v>58</v>
      </c>
      <c r="C1635" s="49" t="s">
        <v>2061</v>
      </c>
      <c r="D1635" s="91" t="s">
        <v>2104</v>
      </c>
      <c r="E1635" s="41" t="str">
        <f>IFERROR(__xludf.DUMMYFUNCTION("vlookup(D1635,IMPORTRANGE(""https://docs.google.com/spreadsheets/d/1swGwZOEqYlTEUCJLY-eeJM1911Kvaei5oySBIxdgtNo/edit?pli=1#gid=257618397"",""stock untanna!B:C""),2,false)"),"BP GEL + GANTUNGAN 9166")</f>
        <v>BP GEL + GANTUNGAN 9166</v>
      </c>
      <c r="F1635" s="49" t="s">
        <v>2104</v>
      </c>
      <c r="G1635" s="71" t="s">
        <v>2105</v>
      </c>
      <c r="H1635" s="41"/>
      <c r="I1635" s="42"/>
      <c r="J1635" s="43"/>
      <c r="K1635" s="72">
        <v>24.0</v>
      </c>
      <c r="L1635" s="53" t="s">
        <v>62</v>
      </c>
      <c r="M1635" s="73">
        <v>23000.0</v>
      </c>
      <c r="N1635" s="74"/>
      <c r="O1635" s="73">
        <v>552000.0</v>
      </c>
      <c r="P1635" s="46" t="str">
        <f t="shared" si="2"/>
        <v>Rp23,000-24 LSN-0.00%</v>
      </c>
      <c r="Q1635" s="75">
        <v>45412.0</v>
      </c>
      <c r="R1635" s="76"/>
      <c r="S1635" s="75">
        <v>45422.0</v>
      </c>
      <c r="T1635" s="49"/>
    </row>
    <row r="1636">
      <c r="A1636" s="90">
        <v>12.0</v>
      </c>
      <c r="B1636" s="91" t="s">
        <v>58</v>
      </c>
      <c r="C1636" s="49" t="s">
        <v>2061</v>
      </c>
      <c r="D1636" s="91" t="s">
        <v>2106</v>
      </c>
      <c r="E1636" s="41" t="str">
        <f>IFERROR(__xludf.DUMMYFUNCTION("vlookup(D1636,IMPORTRANGE(""https://docs.google.com/spreadsheets/d/1swGwZOEqYlTEUCJLY-eeJM1911Kvaei5oySBIxdgtNo/edit?pli=1#gid=257618397"",""stock untanna!B:C""),2,false)"),"BP GEL + GANTUNGAN 9170")</f>
        <v>BP GEL + GANTUNGAN 9170</v>
      </c>
      <c r="F1636" s="49" t="s">
        <v>2106</v>
      </c>
      <c r="G1636" s="71" t="s">
        <v>2107</v>
      </c>
      <c r="H1636" s="41"/>
      <c r="I1636" s="42"/>
      <c r="J1636" s="43"/>
      <c r="K1636" s="72">
        <v>24.0</v>
      </c>
      <c r="L1636" s="53" t="s">
        <v>62</v>
      </c>
      <c r="M1636" s="73">
        <v>23000.0</v>
      </c>
      <c r="N1636" s="74"/>
      <c r="O1636" s="73">
        <v>552000.0</v>
      </c>
      <c r="P1636" s="46" t="str">
        <f t="shared" si="2"/>
        <v>Rp23,000-24 LSN-0.00%</v>
      </c>
      <c r="Q1636" s="75">
        <v>45412.0</v>
      </c>
      <c r="R1636" s="76"/>
      <c r="S1636" s="75">
        <v>45422.0</v>
      </c>
      <c r="T1636" s="49"/>
    </row>
    <row r="1637">
      <c r="A1637" s="90">
        <v>12.0</v>
      </c>
      <c r="B1637" s="91" t="s">
        <v>58</v>
      </c>
      <c r="C1637" s="49" t="s">
        <v>2061</v>
      </c>
      <c r="D1637" s="91" t="s">
        <v>966</v>
      </c>
      <c r="E1637" s="41" t="str">
        <f>IFERROR(__xludf.DUMMYFUNCTION("vlookup(D1637,IMPORTRANGE(""https://docs.google.com/spreadsheets/d/1swGwZOEqYlTEUCJLY-eeJM1911Kvaei5oySBIxdgtNo/edit?pli=1#gid=257618397"",""stock untanna!B:C""),2,false)"),"BP GEL DT-238")</f>
        <v>BP GEL DT-238</v>
      </c>
      <c r="F1637" s="49" t="s">
        <v>966</v>
      </c>
      <c r="G1637" s="71" t="s">
        <v>967</v>
      </c>
      <c r="H1637" s="41"/>
      <c r="I1637" s="42"/>
      <c r="J1637" s="43"/>
      <c r="K1637" s="72">
        <v>144.0</v>
      </c>
      <c r="L1637" s="53" t="s">
        <v>69</v>
      </c>
      <c r="M1637" s="73">
        <v>1667.0</v>
      </c>
      <c r="N1637" s="74"/>
      <c r="O1637" s="73">
        <v>240048.0</v>
      </c>
      <c r="P1637" s="46" t="str">
        <f t="shared" si="2"/>
        <v>Rp1,667-144 PCS-0.00%</v>
      </c>
      <c r="Q1637" s="75">
        <v>45412.0</v>
      </c>
      <c r="R1637" s="76"/>
      <c r="S1637" s="75">
        <v>45422.0</v>
      </c>
      <c r="T1637" s="49"/>
    </row>
    <row r="1638">
      <c r="A1638" s="90">
        <v>12.0</v>
      </c>
      <c r="B1638" s="91" t="s">
        <v>58</v>
      </c>
      <c r="C1638" s="49" t="s">
        <v>2061</v>
      </c>
      <c r="D1638" s="91" t="s">
        <v>2108</v>
      </c>
      <c r="E1638" s="41" t="str">
        <f>IFERROR(__xludf.DUMMYFUNCTION("vlookup(D1638,IMPORTRANGE(""https://docs.google.com/spreadsheets/d/1swGwZOEqYlTEUCJLY-eeJM1911Kvaei5oySBIxdgtNo/edit?pli=1#gid=257618397"",""stock untanna!B:C""),2,false)"),"BP GEL DTIAN DT-221")</f>
        <v>BP GEL DTIAN DT-221</v>
      </c>
      <c r="F1638" s="49" t="s">
        <v>2108</v>
      </c>
      <c r="G1638" s="71" t="s">
        <v>2109</v>
      </c>
      <c r="H1638" s="41"/>
      <c r="I1638" s="42"/>
      <c r="J1638" s="43"/>
      <c r="K1638" s="72">
        <v>12.0</v>
      </c>
      <c r="L1638" s="53" t="s">
        <v>62</v>
      </c>
      <c r="M1638" s="73">
        <v>20000.0</v>
      </c>
      <c r="N1638" s="74"/>
      <c r="O1638" s="73">
        <v>240000.0</v>
      </c>
      <c r="P1638" s="46" t="str">
        <f t="shared" si="2"/>
        <v>Rp20,000-12 LSN-0.00%</v>
      </c>
      <c r="Q1638" s="75">
        <v>45412.0</v>
      </c>
      <c r="R1638" s="76"/>
      <c r="S1638" s="75">
        <v>45422.0</v>
      </c>
      <c r="T1638" s="49"/>
    </row>
    <row r="1639">
      <c r="A1639" s="90">
        <v>12.0</v>
      </c>
      <c r="B1639" s="91" t="s">
        <v>58</v>
      </c>
      <c r="C1639" s="49" t="s">
        <v>2061</v>
      </c>
      <c r="D1639" s="91" t="s">
        <v>949</v>
      </c>
      <c r="E1639" s="41" t="str">
        <f>IFERROR(__xludf.DUMMYFUNCTION("vlookup(D1639,IMPORTRANGE(""https://docs.google.com/spreadsheets/d/1swGwZOEqYlTEUCJLY-eeJM1911Kvaei5oySBIxdgtNo/edit?pli=1#gid=257618397"",""stock untanna!B:C""),2,false)"),"BP GEL DT-236")</f>
        <v>BP GEL DT-236</v>
      </c>
      <c r="F1639" s="49" t="s">
        <v>949</v>
      </c>
      <c r="G1639" s="71" t="s">
        <v>950</v>
      </c>
      <c r="H1639" s="41"/>
      <c r="I1639" s="42"/>
      <c r="J1639" s="43"/>
      <c r="K1639" s="72">
        <v>144.0</v>
      </c>
      <c r="L1639" s="53" t="s">
        <v>69</v>
      </c>
      <c r="M1639" s="73">
        <v>1667.0</v>
      </c>
      <c r="N1639" s="74"/>
      <c r="O1639" s="73">
        <v>240048.0</v>
      </c>
      <c r="P1639" s="46" t="str">
        <f t="shared" si="2"/>
        <v>Rp1,667-144 PCS-0.00%</v>
      </c>
      <c r="Q1639" s="75">
        <v>45412.0</v>
      </c>
      <c r="R1639" s="76"/>
      <c r="S1639" s="75">
        <v>45422.0</v>
      </c>
      <c r="T1639" s="49"/>
    </row>
    <row r="1640">
      <c r="A1640" s="90">
        <v>12.0</v>
      </c>
      <c r="B1640" s="91" t="s">
        <v>58</v>
      </c>
      <c r="C1640" s="49" t="s">
        <v>2061</v>
      </c>
      <c r="D1640" s="91" t="s">
        <v>2110</v>
      </c>
      <c r="E1640" s="41" t="str">
        <f>IFERROR(__xludf.DUMMYFUNCTION("vlookup(D1640,IMPORTRANGE(""https://docs.google.com/spreadsheets/d/1swGwZOEqYlTEUCJLY-eeJM1911Kvaei5oySBIxdgtNo/edit?pli=1#gid=257618397"",""stock untanna!B:C""),2,false)"),"BP GEL DTIAN DT-225")</f>
        <v>BP GEL DTIAN DT-225</v>
      </c>
      <c r="F1640" s="49" t="s">
        <v>2110</v>
      </c>
      <c r="G1640" s="71" t="s">
        <v>2111</v>
      </c>
      <c r="H1640" s="41"/>
      <c r="I1640" s="42"/>
      <c r="J1640" s="43"/>
      <c r="K1640" s="72">
        <v>12.0</v>
      </c>
      <c r="L1640" s="53" t="s">
        <v>62</v>
      </c>
      <c r="M1640" s="73">
        <v>20000.0</v>
      </c>
      <c r="N1640" s="74"/>
      <c r="O1640" s="73">
        <v>240000.0</v>
      </c>
      <c r="P1640" s="46" t="str">
        <f t="shared" si="2"/>
        <v>Rp20,000-12 LSN-0.00%</v>
      </c>
      <c r="Q1640" s="75">
        <v>45412.0</v>
      </c>
      <c r="R1640" s="76"/>
      <c r="S1640" s="75">
        <v>45422.0</v>
      </c>
      <c r="T1640" s="49"/>
    </row>
    <row r="1641">
      <c r="A1641" s="90">
        <v>12.0</v>
      </c>
      <c r="B1641" s="91" t="s">
        <v>58</v>
      </c>
      <c r="C1641" s="49" t="s">
        <v>2061</v>
      </c>
      <c r="D1641" s="91" t="s">
        <v>962</v>
      </c>
      <c r="E1641" s="41" t="str">
        <f>IFERROR(__xludf.DUMMYFUNCTION("vlookup(D1641,IMPORTRANGE(""https://docs.google.com/spreadsheets/d/1swGwZOEqYlTEUCJLY-eeJM1911Kvaei5oySBIxdgtNo/edit?pli=1#gid=257618397"",""stock untanna!B:C""),2,false)"),"BP GEL DT-239")</f>
        <v>BP GEL DT-239</v>
      </c>
      <c r="F1641" s="49" t="s">
        <v>962</v>
      </c>
      <c r="G1641" s="71" t="s">
        <v>963</v>
      </c>
      <c r="H1641" s="41"/>
      <c r="I1641" s="42"/>
      <c r="J1641" s="43"/>
      <c r="K1641" s="72">
        <v>144.0</v>
      </c>
      <c r="L1641" s="53" t="s">
        <v>69</v>
      </c>
      <c r="M1641" s="73">
        <v>1667.0</v>
      </c>
      <c r="N1641" s="74"/>
      <c r="O1641" s="73">
        <v>240048.0</v>
      </c>
      <c r="P1641" s="46" t="str">
        <f t="shared" si="2"/>
        <v>Rp1,667-144 PCS-0.00%</v>
      </c>
      <c r="Q1641" s="75">
        <v>45412.0</v>
      </c>
      <c r="R1641" s="76"/>
      <c r="S1641" s="75">
        <v>45422.0</v>
      </c>
      <c r="T1641" s="49"/>
    </row>
    <row r="1642">
      <c r="A1642" s="90">
        <v>12.0</v>
      </c>
      <c r="B1642" s="91" t="s">
        <v>58</v>
      </c>
      <c r="C1642" s="49" t="s">
        <v>2061</v>
      </c>
      <c r="D1642" s="91" t="s">
        <v>491</v>
      </c>
      <c r="E1642" s="41" t="str">
        <f>IFERROR(__xludf.DUMMYFUNCTION("vlookup(D1642,IMPORTRANGE(""https://docs.google.com/spreadsheets/d/1swGwZOEqYlTEUCJLY-eeJM1911Kvaei5oySBIxdgtNo/edit?pli=1#gid=257618397"",""stock untanna!B:C""),2,false)"),"BP GEL 8801 + STIP")</f>
        <v>BP GEL 8801 + STIP</v>
      </c>
      <c r="F1642" s="49" t="s">
        <v>491</v>
      </c>
      <c r="G1642" s="71" t="s">
        <v>492</v>
      </c>
      <c r="H1642" s="41"/>
      <c r="I1642" s="42"/>
      <c r="J1642" s="43"/>
      <c r="K1642" s="72">
        <v>144.0</v>
      </c>
      <c r="L1642" s="53" t="s">
        <v>69</v>
      </c>
      <c r="M1642" s="73">
        <v>1500.0</v>
      </c>
      <c r="N1642" s="74"/>
      <c r="O1642" s="73">
        <v>216000.0</v>
      </c>
      <c r="P1642" s="46" t="str">
        <f t="shared" si="2"/>
        <v>Rp1,500-144 PCS-0.00%</v>
      </c>
      <c r="Q1642" s="75">
        <v>45412.0</v>
      </c>
      <c r="R1642" s="76"/>
      <c r="S1642" s="75">
        <v>45422.0</v>
      </c>
      <c r="T1642" s="49"/>
    </row>
    <row r="1643">
      <c r="A1643" s="90">
        <v>12.0</v>
      </c>
      <c r="B1643" s="91" t="s">
        <v>58</v>
      </c>
      <c r="C1643" s="49" t="s">
        <v>2061</v>
      </c>
      <c r="D1643" s="91" t="s">
        <v>495</v>
      </c>
      <c r="E1643" s="41" t="str">
        <f>IFERROR(__xludf.DUMMYFUNCTION("vlookup(D1643,IMPORTRANGE(""https://docs.google.com/spreadsheets/d/1swGwZOEqYlTEUCJLY-eeJM1911Kvaei5oySBIxdgtNo/edit?pli=1#gid=257618397"",""stock untanna!B:C""),2,false)"),"BP GEL 8805 + STIP")</f>
        <v>BP GEL 8805 + STIP</v>
      </c>
      <c r="F1643" s="49" t="s">
        <v>495</v>
      </c>
      <c r="G1643" s="71" t="s">
        <v>496</v>
      </c>
      <c r="H1643" s="41"/>
      <c r="I1643" s="42"/>
      <c r="J1643" s="43"/>
      <c r="K1643" s="72">
        <v>144.0</v>
      </c>
      <c r="L1643" s="53" t="s">
        <v>69</v>
      </c>
      <c r="M1643" s="73">
        <v>1500.0</v>
      </c>
      <c r="N1643" s="74"/>
      <c r="O1643" s="73">
        <v>216000.0</v>
      </c>
      <c r="P1643" s="46" t="str">
        <f t="shared" si="2"/>
        <v>Rp1,500-144 PCS-0.00%</v>
      </c>
      <c r="Q1643" s="75">
        <v>45412.0</v>
      </c>
      <c r="R1643" s="76"/>
      <c r="S1643" s="75">
        <v>45422.0</v>
      </c>
      <c r="T1643" s="49"/>
    </row>
    <row r="1644">
      <c r="A1644" s="90">
        <v>12.0</v>
      </c>
      <c r="B1644" s="91" t="s">
        <v>58</v>
      </c>
      <c r="C1644" s="49" t="s">
        <v>2061</v>
      </c>
      <c r="D1644" s="77" t="s">
        <v>2112</v>
      </c>
      <c r="E1644" s="41" t="str">
        <f>IFERROR(__xludf.DUMMYFUNCTION("vlookup(D1644,IMPORTRANGE(""https://docs.google.com/spreadsheets/d/1swGwZOEqYlTEUCJLY-eeJM1911Kvaei5oySBIxdgtNo/edit?pli=1#gid=257618397"",""stock untanna!B:C""),2,false)"),"BP V-TRO 235")</f>
        <v>BP V-TRO 235</v>
      </c>
      <c r="F1644" s="49" t="s">
        <v>2113</v>
      </c>
      <c r="G1644" s="71" t="s">
        <v>2114</v>
      </c>
      <c r="H1644" s="41"/>
      <c r="I1644" s="42"/>
      <c r="J1644" s="43"/>
      <c r="K1644" s="72">
        <v>24.0</v>
      </c>
      <c r="L1644" s="53" t="s">
        <v>62</v>
      </c>
      <c r="M1644" s="73">
        <v>10500.0</v>
      </c>
      <c r="N1644" s="74"/>
      <c r="O1644" s="73">
        <v>252000.0</v>
      </c>
      <c r="P1644" s="46" t="str">
        <f t="shared" si="2"/>
        <v>Rp10,500-24 LSN-0.00%</v>
      </c>
      <c r="Q1644" s="75">
        <v>45412.0</v>
      </c>
      <c r="R1644" s="76"/>
      <c r="S1644" s="75">
        <v>45422.0</v>
      </c>
      <c r="T1644" s="49"/>
    </row>
    <row r="1645">
      <c r="A1645" s="90">
        <v>12.0</v>
      </c>
      <c r="B1645" s="91" t="s">
        <v>58</v>
      </c>
      <c r="C1645" s="49" t="s">
        <v>2061</v>
      </c>
      <c r="D1645" s="91" t="s">
        <v>2115</v>
      </c>
      <c r="E1645" s="41" t="str">
        <f>IFERROR(__xludf.DUMMYFUNCTION("vlookup(D1645,IMPORTRANGE(""https://docs.google.com/spreadsheets/d/1swGwZOEqYlTEUCJLY-eeJM1911Kvaei5oySBIxdgtNo/edit?pli=1#gid=257618397"",""stock untanna!B:C""),2,false)"),"GUNTING IDEAL K 100")</f>
        <v>GUNTING IDEAL K 100</v>
      </c>
      <c r="F1645" s="49" t="s">
        <v>2115</v>
      </c>
      <c r="G1645" s="71" t="s">
        <v>2116</v>
      </c>
      <c r="H1645" s="41"/>
      <c r="I1645" s="42"/>
      <c r="J1645" s="43"/>
      <c r="K1645" s="72">
        <v>3.0</v>
      </c>
      <c r="L1645" s="53" t="s">
        <v>62</v>
      </c>
      <c r="M1645" s="73">
        <v>62000.0</v>
      </c>
      <c r="N1645" s="83">
        <v>0.05</v>
      </c>
      <c r="O1645" s="73">
        <v>176700.0</v>
      </c>
      <c r="P1645" s="46" t="str">
        <f t="shared" si="2"/>
        <v>Rp62,000-3 LSN-5.00%</v>
      </c>
      <c r="Q1645" s="75">
        <v>45412.0</v>
      </c>
      <c r="R1645" s="76"/>
      <c r="S1645" s="75">
        <v>45422.0</v>
      </c>
      <c r="T1645" s="49"/>
    </row>
    <row r="1646">
      <c r="A1646" s="90">
        <v>12.0</v>
      </c>
      <c r="B1646" s="91" t="s">
        <v>58</v>
      </c>
      <c r="C1646" s="49" t="s">
        <v>2061</v>
      </c>
      <c r="D1646" s="91" t="s">
        <v>2117</v>
      </c>
      <c r="E1646" s="41" t="str">
        <f>IFERROR(__xludf.DUMMYFUNCTION("vlookup(D1646,IMPORTRANGE(""https://docs.google.com/spreadsheets/d/1swGwZOEqYlTEUCJLY-eeJM1911Kvaei5oySBIxdgtNo/edit?pli=1#gid=257618397"",""stock untanna!B:C""),2,false)"),"GUNTING IDEAL K-300")</f>
        <v>GUNTING IDEAL K-300</v>
      </c>
      <c r="F1646" s="49" t="s">
        <v>2117</v>
      </c>
      <c r="G1646" s="71" t="s">
        <v>2118</v>
      </c>
      <c r="H1646" s="41"/>
      <c r="I1646" s="42"/>
      <c r="J1646" s="43"/>
      <c r="K1646" s="72">
        <v>3.0</v>
      </c>
      <c r="L1646" s="53" t="s">
        <v>62</v>
      </c>
      <c r="M1646" s="73">
        <v>87000.0</v>
      </c>
      <c r="N1646" s="83">
        <v>0.05</v>
      </c>
      <c r="O1646" s="73">
        <v>247950.0</v>
      </c>
      <c r="P1646" s="46" t="str">
        <f t="shared" si="2"/>
        <v>Rp87,000-3 LSN-5.00%</v>
      </c>
      <c r="Q1646" s="75">
        <v>45412.0</v>
      </c>
      <c r="R1646" s="76"/>
      <c r="S1646" s="75">
        <v>45422.0</v>
      </c>
      <c r="T1646" s="49"/>
    </row>
    <row r="1647">
      <c r="A1647" s="90">
        <v>12.0</v>
      </c>
      <c r="B1647" s="91" t="s">
        <v>58</v>
      </c>
      <c r="C1647" s="49" t="s">
        <v>2061</v>
      </c>
      <c r="D1647" s="91" t="s">
        <v>2119</v>
      </c>
      <c r="E1647" s="41" t="str">
        <f>IFERROR(__xludf.DUMMYFUNCTION("vlookup(D1647,IMPORTRANGE(""https://docs.google.com/spreadsheets/d/1swGwZOEqYlTEUCJLY-eeJM1911Kvaei5oySBIxdgtNo/edit?pli=1#gid=257618397"",""stock untanna!B:C""),2,false)"),"GUNTING IDEAL K-500")</f>
        <v>GUNTING IDEAL K-500</v>
      </c>
      <c r="F1647" s="49" t="s">
        <v>2119</v>
      </c>
      <c r="G1647" s="71" t="s">
        <v>2120</v>
      </c>
      <c r="H1647" s="41"/>
      <c r="I1647" s="42"/>
      <c r="J1647" s="43"/>
      <c r="K1647" s="72">
        <v>3.0</v>
      </c>
      <c r="L1647" s="53" t="s">
        <v>62</v>
      </c>
      <c r="M1647" s="73">
        <v>133000.0</v>
      </c>
      <c r="N1647" s="83">
        <v>0.05</v>
      </c>
      <c r="O1647" s="73">
        <v>379050.0</v>
      </c>
      <c r="P1647" s="46" t="str">
        <f t="shared" si="2"/>
        <v>Rp133,000-3 LSN-5.00%</v>
      </c>
      <c r="Q1647" s="75">
        <v>45412.0</v>
      </c>
      <c r="R1647" s="76"/>
      <c r="S1647" s="75">
        <v>45422.0</v>
      </c>
      <c r="T1647" s="49"/>
    </row>
    <row r="1648">
      <c r="A1648" s="90">
        <v>12.0</v>
      </c>
      <c r="B1648" s="91" t="s">
        <v>58</v>
      </c>
      <c r="C1648" s="49" t="s">
        <v>2061</v>
      </c>
      <c r="D1648" s="77" t="s">
        <v>2121</v>
      </c>
      <c r="E1648" s="41" t="str">
        <f>IFERROR(__xludf.DUMMYFUNCTION("vlookup(D1648,IMPORTRANGE(""https://docs.google.com/spreadsheets/d/1swGwZOEqYlTEUCJLY-eeJM1911Kvaei5oySBIxdgtNo/edit?pli=1#gid=257618397"",""stock untanna!B:C""),2,false)"),"GUNTING LIPAT HT KECIL")</f>
        <v>GUNTING LIPAT HT KECIL</v>
      </c>
      <c r="F1648" s="49" t="s">
        <v>2122</v>
      </c>
      <c r="G1648" s="71" t="s">
        <v>2123</v>
      </c>
      <c r="H1648" s="41"/>
      <c r="I1648" s="42"/>
      <c r="J1648" s="43"/>
      <c r="K1648" s="72">
        <v>3.0</v>
      </c>
      <c r="L1648" s="53" t="s">
        <v>62</v>
      </c>
      <c r="M1648" s="73">
        <v>27500.0</v>
      </c>
      <c r="N1648" s="74"/>
      <c r="O1648" s="73">
        <v>82500.0</v>
      </c>
      <c r="P1648" s="46" t="str">
        <f t="shared" si="2"/>
        <v>Rp27,500-3 LSN-0.00%</v>
      </c>
      <c r="Q1648" s="75">
        <v>45412.0</v>
      </c>
      <c r="R1648" s="76"/>
      <c r="S1648" s="75">
        <v>45422.0</v>
      </c>
      <c r="T1648" s="49"/>
    </row>
    <row r="1649">
      <c r="A1649" s="90">
        <v>13.0</v>
      </c>
      <c r="B1649" s="91" t="s">
        <v>58</v>
      </c>
      <c r="C1649" s="49" t="s">
        <v>2061</v>
      </c>
      <c r="D1649" s="91" t="s">
        <v>2124</v>
      </c>
      <c r="E1649" s="41" t="str">
        <f>IFERROR(__xludf.DUMMYFUNCTION("vlookup(D1649,IMPORTRANGE(""https://docs.google.com/spreadsheets/d/1swGwZOEqYlTEUCJLY-eeJM1911Kvaei5oySBIxdgtNo/edit?pli=1#gid=257618397"",""stock untanna!B:C""),2,false)"),"GUNTING LIPAT BESAR")</f>
        <v>GUNTING LIPAT BESAR</v>
      </c>
      <c r="F1649" s="49" t="s">
        <v>2124</v>
      </c>
      <c r="G1649" s="71" t="s">
        <v>2125</v>
      </c>
      <c r="H1649" s="41"/>
      <c r="I1649" s="42"/>
      <c r="J1649" s="43"/>
      <c r="K1649" s="72">
        <v>3.0</v>
      </c>
      <c r="L1649" s="53" t="s">
        <v>62</v>
      </c>
      <c r="M1649" s="73">
        <v>45000.0</v>
      </c>
      <c r="N1649" s="74"/>
      <c r="O1649" s="73">
        <v>135000.0</v>
      </c>
      <c r="P1649" s="46" t="str">
        <f t="shared" si="2"/>
        <v>Rp45,000-3 LSN-0.00%</v>
      </c>
      <c r="Q1649" s="75">
        <v>45412.0</v>
      </c>
      <c r="R1649" s="76"/>
      <c r="S1649" s="75">
        <v>45422.0</v>
      </c>
      <c r="T1649" s="49"/>
    </row>
    <row r="1650">
      <c r="A1650" s="90">
        <v>13.0</v>
      </c>
      <c r="B1650" s="91" t="s">
        <v>58</v>
      </c>
      <c r="C1650" s="49" t="s">
        <v>2061</v>
      </c>
      <c r="D1650" s="91" t="s">
        <v>976</v>
      </c>
      <c r="E1650" s="41" t="str">
        <f>IFERROR(__xludf.DUMMYFUNCTION("vlookup(D1650,IMPORTRANGE(""https://docs.google.com/spreadsheets/d/1swGwZOEqYlTEUCJLY-eeJM1911Kvaei5oySBIxdgtNo/edit?pli=1#gid=257618397"",""stock untanna!B:C""),2,false)"),"GUNTING JUNIOR J 100")</f>
        <v>GUNTING JUNIOR J 100</v>
      </c>
      <c r="F1650" s="49" t="s">
        <v>976</v>
      </c>
      <c r="G1650" s="71" t="s">
        <v>977</v>
      </c>
      <c r="H1650" s="41"/>
      <c r="I1650" s="42"/>
      <c r="J1650" s="43"/>
      <c r="K1650" s="72">
        <v>3.0</v>
      </c>
      <c r="L1650" s="53" t="s">
        <v>62</v>
      </c>
      <c r="M1650" s="73">
        <v>42000.0</v>
      </c>
      <c r="N1650" s="74"/>
      <c r="O1650" s="73">
        <v>126000.0</v>
      </c>
      <c r="P1650" s="46" t="str">
        <f t="shared" si="2"/>
        <v>Rp42,000-3 LSN-0.00%</v>
      </c>
      <c r="Q1650" s="75">
        <v>45412.0</v>
      </c>
      <c r="R1650" s="76"/>
      <c r="S1650" s="75">
        <v>45422.0</v>
      </c>
      <c r="T1650" s="49"/>
    </row>
    <row r="1651">
      <c r="A1651" s="90">
        <v>13.0</v>
      </c>
      <c r="B1651" s="91" t="s">
        <v>58</v>
      </c>
      <c r="C1651" s="49" t="s">
        <v>2061</v>
      </c>
      <c r="D1651" s="91" t="s">
        <v>978</v>
      </c>
      <c r="E1651" s="41" t="str">
        <f>IFERROR(__xludf.DUMMYFUNCTION("vlookup(D1651,IMPORTRANGE(""https://docs.google.com/spreadsheets/d/1swGwZOEqYlTEUCJLY-eeJM1911Kvaei5oySBIxdgtNo/edit?pli=1#gid=257618397"",""stock untanna!B:C""),2,false)"),"GUNTING JUNIOR J-300")</f>
        <v>GUNTING JUNIOR J-300</v>
      </c>
      <c r="F1651" s="49" t="s">
        <v>978</v>
      </c>
      <c r="G1651" s="71" t="s">
        <v>979</v>
      </c>
      <c r="H1651" s="41"/>
      <c r="I1651" s="42"/>
      <c r="J1651" s="43"/>
      <c r="K1651" s="72">
        <v>3.0</v>
      </c>
      <c r="L1651" s="53" t="s">
        <v>62</v>
      </c>
      <c r="M1651" s="73">
        <v>53000.0</v>
      </c>
      <c r="N1651" s="74"/>
      <c r="O1651" s="73">
        <v>159000.0</v>
      </c>
      <c r="P1651" s="46" t="str">
        <f t="shared" si="2"/>
        <v>Rp53,000-3 LSN-0.00%</v>
      </c>
      <c r="Q1651" s="75">
        <v>45412.0</v>
      </c>
      <c r="R1651" s="76"/>
      <c r="S1651" s="75">
        <v>45422.0</v>
      </c>
      <c r="T1651" s="49"/>
    </row>
    <row r="1652">
      <c r="A1652" s="90">
        <v>13.0</v>
      </c>
      <c r="B1652" s="91" t="s">
        <v>58</v>
      </c>
      <c r="C1652" s="49" t="s">
        <v>2061</v>
      </c>
      <c r="D1652" s="91" t="s">
        <v>2126</v>
      </c>
      <c r="E1652" s="41" t="str">
        <f>IFERROR(__xludf.DUMMYFUNCTION("vlookup(D1652,IMPORTRANGE(""https://docs.google.com/spreadsheets/d/1swGwZOEqYlTEUCJLY-eeJM1911Kvaei5oySBIxdgtNo/edit?pli=1#gid=257618397"",""stock untanna!B:C""),2,false)"),"GUNTING JUNIOR J-500")</f>
        <v>GUNTING JUNIOR J-500</v>
      </c>
      <c r="F1652" s="49" t="s">
        <v>2126</v>
      </c>
      <c r="G1652" s="71" t="s">
        <v>2127</v>
      </c>
      <c r="H1652" s="41"/>
      <c r="I1652" s="42"/>
      <c r="J1652" s="43"/>
      <c r="K1652" s="72">
        <v>3.0</v>
      </c>
      <c r="L1652" s="53" t="s">
        <v>62</v>
      </c>
      <c r="M1652" s="73">
        <v>82000.0</v>
      </c>
      <c r="N1652" s="74"/>
      <c r="O1652" s="73">
        <v>246000.0</v>
      </c>
      <c r="P1652" s="46" t="str">
        <f t="shared" si="2"/>
        <v>Rp82,000-3 LSN-0.00%</v>
      </c>
      <c r="Q1652" s="75">
        <v>45412.0</v>
      </c>
      <c r="R1652" s="76"/>
      <c r="S1652" s="75">
        <v>45422.0</v>
      </c>
      <c r="T1652" s="49"/>
    </row>
    <row r="1653">
      <c r="A1653" s="90">
        <v>13.0</v>
      </c>
      <c r="B1653" s="91" t="s">
        <v>58</v>
      </c>
      <c r="C1653" s="49" t="s">
        <v>2061</v>
      </c>
      <c r="D1653" s="91"/>
      <c r="E1653" s="41" t="s">
        <v>2128</v>
      </c>
      <c r="F1653" s="49"/>
      <c r="G1653" s="71" t="s">
        <v>2128</v>
      </c>
      <c r="H1653" s="41"/>
      <c r="I1653" s="42"/>
      <c r="J1653" s="43"/>
      <c r="K1653" s="72">
        <v>12.0</v>
      </c>
      <c r="L1653" s="53" t="s">
        <v>62</v>
      </c>
      <c r="M1653" s="73">
        <v>15500.0</v>
      </c>
      <c r="N1653" s="74"/>
      <c r="O1653" s="73">
        <v>186000.0</v>
      </c>
      <c r="P1653" s="46" t="str">
        <f t="shared" si="2"/>
        <v>Rp15,500-12 LSN-0.00%</v>
      </c>
      <c r="Q1653" s="75">
        <v>45412.0</v>
      </c>
      <c r="R1653" s="76"/>
      <c r="S1653" s="75">
        <v>45422.0</v>
      </c>
      <c r="T1653" s="49"/>
    </row>
    <row r="1654">
      <c r="A1654" s="90">
        <v>13.0</v>
      </c>
      <c r="B1654" s="91" t="s">
        <v>58</v>
      </c>
      <c r="C1654" s="49" t="s">
        <v>2061</v>
      </c>
      <c r="D1654" s="91"/>
      <c r="E1654" s="41" t="s">
        <v>2129</v>
      </c>
      <c r="F1654" s="49"/>
      <c r="G1654" s="71" t="s">
        <v>2129</v>
      </c>
      <c r="H1654" s="41"/>
      <c r="I1654" s="42"/>
      <c r="J1654" s="43"/>
      <c r="K1654" s="72">
        <v>12.0</v>
      </c>
      <c r="L1654" s="53" t="s">
        <v>62</v>
      </c>
      <c r="M1654" s="73">
        <v>15500.0</v>
      </c>
      <c r="N1654" s="74"/>
      <c r="O1654" s="73">
        <v>186000.0</v>
      </c>
      <c r="P1654" s="46" t="str">
        <f t="shared" si="2"/>
        <v>Rp15,500-12 LSN-0.00%</v>
      </c>
      <c r="Q1654" s="75">
        <v>45412.0</v>
      </c>
      <c r="R1654" s="76"/>
      <c r="S1654" s="75">
        <v>45422.0</v>
      </c>
      <c r="T1654" s="49"/>
    </row>
    <row r="1655">
      <c r="A1655" s="90">
        <v>13.0</v>
      </c>
      <c r="B1655" s="91" t="s">
        <v>58</v>
      </c>
      <c r="C1655" s="49" t="s">
        <v>2061</v>
      </c>
      <c r="D1655" s="91"/>
      <c r="E1655" s="41" t="s">
        <v>2130</v>
      </c>
      <c r="F1655" s="49"/>
      <c r="G1655" s="71" t="s">
        <v>2130</v>
      </c>
      <c r="H1655" s="41"/>
      <c r="I1655" s="42"/>
      <c r="J1655" s="43"/>
      <c r="K1655" s="72">
        <v>12.0</v>
      </c>
      <c r="L1655" s="53" t="s">
        <v>62</v>
      </c>
      <c r="M1655" s="73">
        <v>15500.0</v>
      </c>
      <c r="N1655" s="74"/>
      <c r="O1655" s="73">
        <v>186000.0</v>
      </c>
      <c r="P1655" s="46" t="str">
        <f t="shared" si="2"/>
        <v>Rp15,500-12 LSN-0.00%</v>
      </c>
      <c r="Q1655" s="75">
        <v>45412.0</v>
      </c>
      <c r="R1655" s="76"/>
      <c r="S1655" s="75">
        <v>45422.0</v>
      </c>
      <c r="T1655" s="49"/>
    </row>
    <row r="1656">
      <c r="A1656" s="90">
        <v>13.0</v>
      </c>
      <c r="B1656" s="91" t="s">
        <v>58</v>
      </c>
      <c r="C1656" s="49" t="s">
        <v>2061</v>
      </c>
      <c r="D1656" s="91"/>
      <c r="E1656" s="41" t="s">
        <v>2131</v>
      </c>
      <c r="F1656" s="49"/>
      <c r="G1656" s="71" t="s">
        <v>2131</v>
      </c>
      <c r="H1656" s="41"/>
      <c r="I1656" s="42"/>
      <c r="J1656" s="43"/>
      <c r="K1656" s="72">
        <v>12.0</v>
      </c>
      <c r="L1656" s="53" t="s">
        <v>62</v>
      </c>
      <c r="M1656" s="73">
        <v>15500.0</v>
      </c>
      <c r="N1656" s="74"/>
      <c r="O1656" s="73">
        <v>186000.0</v>
      </c>
      <c r="P1656" s="46" t="str">
        <f t="shared" si="2"/>
        <v>Rp15,500-12 LSN-0.00%</v>
      </c>
      <c r="Q1656" s="75">
        <v>45412.0</v>
      </c>
      <c r="R1656" s="76"/>
      <c r="S1656" s="75">
        <v>45422.0</v>
      </c>
      <c r="T1656" s="80" t="s">
        <v>280</v>
      </c>
    </row>
    <row r="1657">
      <c r="A1657" s="90">
        <v>13.0</v>
      </c>
      <c r="B1657" s="91" t="s">
        <v>58</v>
      </c>
      <c r="C1657" s="49" t="s">
        <v>2061</v>
      </c>
      <c r="D1657" s="91"/>
      <c r="E1657" s="41" t="s">
        <v>2132</v>
      </c>
      <c r="F1657" s="49"/>
      <c r="G1657" s="71" t="s">
        <v>2132</v>
      </c>
      <c r="H1657" s="41"/>
      <c r="I1657" s="42"/>
      <c r="J1657" s="43"/>
      <c r="K1657" s="72">
        <v>12.0</v>
      </c>
      <c r="L1657" s="53" t="s">
        <v>62</v>
      </c>
      <c r="M1657" s="73">
        <v>15500.0</v>
      </c>
      <c r="N1657" s="74"/>
      <c r="O1657" s="73">
        <v>186000.0</v>
      </c>
      <c r="P1657" s="46" t="str">
        <f t="shared" si="2"/>
        <v>Rp15,500-12 LSN-0.00%</v>
      </c>
      <c r="Q1657" s="75">
        <v>45412.0</v>
      </c>
      <c r="R1657" s="76"/>
      <c r="S1657" s="75">
        <v>45422.0</v>
      </c>
      <c r="T1657" s="49"/>
    </row>
    <row r="1658">
      <c r="A1658" s="90">
        <v>13.0</v>
      </c>
      <c r="B1658" s="91" t="s">
        <v>58</v>
      </c>
      <c r="C1658" s="49" t="s">
        <v>2061</v>
      </c>
      <c r="D1658" s="91"/>
      <c r="E1658" s="41" t="s">
        <v>2133</v>
      </c>
      <c r="F1658" s="49"/>
      <c r="G1658" s="71" t="s">
        <v>2133</v>
      </c>
      <c r="H1658" s="41"/>
      <c r="I1658" s="42"/>
      <c r="J1658" s="43"/>
      <c r="K1658" s="72">
        <v>12.0</v>
      </c>
      <c r="L1658" s="53" t="s">
        <v>62</v>
      </c>
      <c r="M1658" s="73">
        <v>15500.0</v>
      </c>
      <c r="N1658" s="74"/>
      <c r="O1658" s="73">
        <v>186000.0</v>
      </c>
      <c r="P1658" s="46" t="str">
        <f t="shared" si="2"/>
        <v>Rp15,500-12 LSN-0.00%</v>
      </c>
      <c r="Q1658" s="75">
        <v>45412.0</v>
      </c>
      <c r="R1658" s="76"/>
      <c r="S1658" s="75">
        <v>45422.0</v>
      </c>
      <c r="T1658" s="49"/>
    </row>
    <row r="1659">
      <c r="A1659" s="90">
        <v>13.0</v>
      </c>
      <c r="B1659" s="91" t="s">
        <v>58</v>
      </c>
      <c r="C1659" s="49" t="s">
        <v>2061</v>
      </c>
      <c r="D1659" s="91" t="s">
        <v>659</v>
      </c>
      <c r="E1659" s="41" t="str">
        <f>IFERROR(__xludf.DUMMYFUNCTION("vlookup(D1659,IMPORTRANGE(""https://docs.google.com/spreadsheets/d/1swGwZOEqYlTEUCJLY-eeJM1911Kvaei5oySBIxdgtNo/edit?pli=1#gid=257618397"",""stock untanna!B:C""),2,false)"),"CAT ACRYLIC V-TECH")</f>
        <v>CAT ACRYLIC V-TECH</v>
      </c>
      <c r="F1659" s="49" t="s">
        <v>659</v>
      </c>
      <c r="G1659" s="71" t="s">
        <v>660</v>
      </c>
      <c r="H1659" s="41"/>
      <c r="I1659" s="42"/>
      <c r="J1659" s="43"/>
      <c r="K1659" s="72">
        <v>6.0</v>
      </c>
      <c r="L1659" s="53" t="s">
        <v>62</v>
      </c>
      <c r="M1659" s="73">
        <v>198000.0</v>
      </c>
      <c r="N1659" s="74"/>
      <c r="O1659" s="73">
        <v>1188000.0</v>
      </c>
      <c r="P1659" s="46" t="str">
        <f t="shared" si="2"/>
        <v>Rp198,000-6 LSN-0.00%</v>
      </c>
      <c r="Q1659" s="75">
        <v>45412.0</v>
      </c>
      <c r="R1659" s="76"/>
      <c r="S1659" s="75">
        <v>45422.0</v>
      </c>
      <c r="T1659" s="49"/>
    </row>
    <row r="1660">
      <c r="A1660" s="90">
        <v>13.0</v>
      </c>
      <c r="B1660" s="91" t="s">
        <v>58</v>
      </c>
      <c r="C1660" s="49" t="s">
        <v>2061</v>
      </c>
      <c r="D1660" s="91" t="s">
        <v>419</v>
      </c>
      <c r="E1660" s="41" t="str">
        <f>IFERROR(__xludf.DUMMYFUNCTION("vlookup(D1660,IMPORTRANGE(""https://docs.google.com/spreadsheets/d/1swGwZOEqYlTEUCJLY-eeJM1911Kvaei5oySBIxdgtNo/edit?pli=1#gid=257618397"",""stock untanna!B:C""),2,false)"),"BP GEL ZUI XUA HY-1020 HITAM")</f>
        <v>BP GEL ZUI XUA HY-1020 HITAM</v>
      </c>
      <c r="F1660" s="49" t="s">
        <v>419</v>
      </c>
      <c r="G1660" s="71" t="s">
        <v>420</v>
      </c>
      <c r="H1660" s="41"/>
      <c r="I1660" s="42"/>
      <c r="J1660" s="43"/>
      <c r="K1660" s="72">
        <v>192.0</v>
      </c>
      <c r="L1660" s="53" t="s">
        <v>62</v>
      </c>
      <c r="M1660" s="73">
        <v>11500.0</v>
      </c>
      <c r="N1660" s="74"/>
      <c r="O1660" s="73">
        <v>2208000.0</v>
      </c>
      <c r="P1660" s="46" t="str">
        <f t="shared" si="2"/>
        <v>Rp11,500-192 LSN-0.00%</v>
      </c>
      <c r="Q1660" s="75">
        <v>45412.0</v>
      </c>
      <c r="R1660" s="76"/>
      <c r="S1660" s="75">
        <v>45422.0</v>
      </c>
      <c r="T1660" s="49"/>
    </row>
    <row r="1661">
      <c r="A1661" s="90">
        <v>1877.0</v>
      </c>
      <c r="B1661" s="91" t="s">
        <v>29</v>
      </c>
      <c r="C1661" s="49" t="s">
        <v>2134</v>
      </c>
      <c r="D1661" s="91" t="s">
        <v>2135</v>
      </c>
      <c r="E1661" s="41" t="str">
        <f>IFERROR(__xludf.DUMMYFUNCTION("vlookup(D1661,IMPORTRANGE(""https://docs.google.com/spreadsheets/d/1swGwZOEqYlTEUCJLY-eeJM1911Kvaei5oySBIxdgtNo/edit?pli=1#gid=257618397"",""stock untanna!B:C""),2,false)"),"KUAS 929-1 ETERNA YIJIAYI")</f>
        <v>KUAS 929-1 ETERNA YIJIAYI</v>
      </c>
      <c r="F1661" s="49" t="s">
        <v>2135</v>
      </c>
      <c r="G1661" s="71" t="s">
        <v>2136</v>
      </c>
      <c r="H1661" s="41"/>
      <c r="I1661" s="42"/>
      <c r="J1661" s="43"/>
      <c r="K1661" s="72">
        <v>6.0</v>
      </c>
      <c r="L1661" s="53" t="s">
        <v>62</v>
      </c>
      <c r="M1661" s="73">
        <v>14000.0</v>
      </c>
      <c r="N1661" s="74"/>
      <c r="O1661" s="73">
        <v>84000.0</v>
      </c>
      <c r="P1661" s="46" t="str">
        <f t="shared" si="2"/>
        <v>Rp14,000-6 LSN-0.00%</v>
      </c>
      <c r="Q1661" s="75">
        <v>45412.0</v>
      </c>
      <c r="R1661" s="76"/>
      <c r="S1661" s="75">
        <v>45422.0</v>
      </c>
      <c r="T1661" s="49"/>
    </row>
    <row r="1662">
      <c r="A1662" s="90">
        <v>1877.0</v>
      </c>
      <c r="B1662" s="91" t="s">
        <v>29</v>
      </c>
      <c r="C1662" s="49" t="s">
        <v>2134</v>
      </c>
      <c r="D1662" s="91" t="s">
        <v>2137</v>
      </c>
      <c r="E1662" s="41" t="str">
        <f>IFERROR(__xludf.DUMMYFUNCTION("vlookup(D1662,IMPORTRANGE(""https://docs.google.com/spreadsheets/d/1swGwZOEqYlTEUCJLY-eeJM1911Kvaei5oySBIxdgtNo/edit?pli=1#gid=257618397"",""stock untanna!B:C""),2,false)"),"KUAS 929-2 ETERNA YIJIAYI")</f>
        <v>KUAS 929-2 ETERNA YIJIAYI</v>
      </c>
      <c r="F1662" s="49" t="s">
        <v>2137</v>
      </c>
      <c r="G1662" s="71" t="s">
        <v>2138</v>
      </c>
      <c r="H1662" s="41"/>
      <c r="I1662" s="42"/>
      <c r="J1662" s="43"/>
      <c r="K1662" s="72">
        <v>6.0</v>
      </c>
      <c r="L1662" s="53" t="s">
        <v>62</v>
      </c>
      <c r="M1662" s="73">
        <v>17500.0</v>
      </c>
      <c r="N1662" s="74"/>
      <c r="O1662" s="73">
        <v>105000.0</v>
      </c>
      <c r="P1662" s="46" t="str">
        <f t="shared" si="2"/>
        <v>Rp17,500-6 LSN-0.00%</v>
      </c>
      <c r="Q1662" s="75">
        <v>45412.0</v>
      </c>
      <c r="R1662" s="76"/>
      <c r="S1662" s="75">
        <v>45422.0</v>
      </c>
      <c r="T1662" s="49"/>
    </row>
    <row r="1663">
      <c r="A1663" s="90">
        <v>1877.0</v>
      </c>
      <c r="B1663" s="91" t="s">
        <v>29</v>
      </c>
      <c r="C1663" s="49" t="s">
        <v>2134</v>
      </c>
      <c r="D1663" s="91" t="s">
        <v>2139</v>
      </c>
      <c r="E1663" s="41" t="str">
        <f>IFERROR(__xludf.DUMMYFUNCTION("vlookup(D1663,IMPORTRANGE(""https://docs.google.com/spreadsheets/d/1swGwZOEqYlTEUCJLY-eeJM1911Kvaei5oySBIxdgtNo/edit?pli=1#gid=257618397"",""stock untanna!B:C""),2,false)"),"KUAS 929-4 ETERNA YIJIAYI")</f>
        <v>KUAS 929-4 ETERNA YIJIAYI</v>
      </c>
      <c r="F1663" s="49" t="s">
        <v>2139</v>
      </c>
      <c r="G1663" s="71" t="s">
        <v>2140</v>
      </c>
      <c r="H1663" s="41"/>
      <c r="I1663" s="42"/>
      <c r="J1663" s="43"/>
      <c r="K1663" s="72">
        <v>6.0</v>
      </c>
      <c r="L1663" s="53" t="s">
        <v>62</v>
      </c>
      <c r="M1663" s="73">
        <v>21000.0</v>
      </c>
      <c r="N1663" s="74"/>
      <c r="O1663" s="73">
        <v>126000.0</v>
      </c>
      <c r="P1663" s="46" t="str">
        <f t="shared" si="2"/>
        <v>Rp21,000-6 LSN-0.00%</v>
      </c>
      <c r="Q1663" s="75">
        <v>45412.0</v>
      </c>
      <c r="R1663" s="76"/>
      <c r="S1663" s="75">
        <v>45422.0</v>
      </c>
      <c r="T1663" s="49"/>
    </row>
    <row r="1664">
      <c r="A1664" s="90">
        <v>1877.0</v>
      </c>
      <c r="B1664" s="91" t="s">
        <v>29</v>
      </c>
      <c r="C1664" s="49" t="s">
        <v>2134</v>
      </c>
      <c r="D1664" s="91" t="s">
        <v>2141</v>
      </c>
      <c r="E1664" s="41" t="str">
        <f>IFERROR(__xludf.DUMMYFUNCTION("vlookup(D1664,IMPORTRANGE(""https://docs.google.com/spreadsheets/d/1swGwZOEqYlTEUCJLY-eeJM1911Kvaei5oySBIxdgtNo/edit?pli=1#gid=257618397"",""stock untanna!B:C""),2,false)"),"KUAS 929-6 ETERNA YIJIAYI")</f>
        <v>KUAS 929-6 ETERNA YIJIAYI</v>
      </c>
      <c r="F1664" s="49" t="s">
        <v>2141</v>
      </c>
      <c r="G1664" s="71" t="s">
        <v>2142</v>
      </c>
      <c r="H1664" s="41"/>
      <c r="I1664" s="42"/>
      <c r="J1664" s="43"/>
      <c r="K1664" s="72">
        <v>6.0</v>
      </c>
      <c r="L1664" s="53" t="s">
        <v>62</v>
      </c>
      <c r="M1664" s="73">
        <v>27000.0</v>
      </c>
      <c r="N1664" s="74"/>
      <c r="O1664" s="73">
        <v>162000.0</v>
      </c>
      <c r="P1664" s="46" t="str">
        <f t="shared" si="2"/>
        <v>Rp27,000-6 LSN-0.00%</v>
      </c>
      <c r="Q1664" s="75">
        <v>45412.0</v>
      </c>
      <c r="R1664" s="76"/>
      <c r="S1664" s="75">
        <v>45422.0</v>
      </c>
      <c r="T1664" s="49"/>
    </row>
    <row r="1665">
      <c r="A1665" s="90">
        <v>1877.0</v>
      </c>
      <c r="B1665" s="91" t="s">
        <v>29</v>
      </c>
      <c r="C1665" s="49" t="s">
        <v>2134</v>
      </c>
      <c r="D1665" s="91" t="s">
        <v>2143</v>
      </c>
      <c r="E1665" s="41" t="str">
        <f>IFERROR(__xludf.DUMMYFUNCTION("vlookup(D1665,IMPORTRANGE(""https://docs.google.com/spreadsheets/d/1swGwZOEqYlTEUCJLY-eeJM1911Kvaei5oySBIxdgtNo/edit?pli=1#gid=257618397"",""stock untanna!B:C""),2,false)"),"KUAS 929-7 ETERNA YIJIAYI")</f>
        <v>KUAS 929-7 ETERNA YIJIAYI</v>
      </c>
      <c r="F1665" s="49" t="s">
        <v>2143</v>
      </c>
      <c r="G1665" s="71" t="s">
        <v>2144</v>
      </c>
      <c r="H1665" s="41"/>
      <c r="I1665" s="42"/>
      <c r="J1665" s="43"/>
      <c r="K1665" s="72">
        <v>6.0</v>
      </c>
      <c r="L1665" s="53" t="s">
        <v>62</v>
      </c>
      <c r="M1665" s="73">
        <v>31000.0</v>
      </c>
      <c r="N1665" s="74"/>
      <c r="O1665" s="73">
        <v>186000.0</v>
      </c>
      <c r="P1665" s="46" t="str">
        <f t="shared" si="2"/>
        <v>Rp31,000-6 LSN-0.00%</v>
      </c>
      <c r="Q1665" s="75">
        <v>45412.0</v>
      </c>
      <c r="R1665" s="76"/>
      <c r="S1665" s="75">
        <v>45422.0</v>
      </c>
      <c r="T1665" s="49"/>
    </row>
    <row r="1666">
      <c r="A1666" s="90">
        <v>1877.0</v>
      </c>
      <c r="B1666" s="91" t="s">
        <v>29</v>
      </c>
      <c r="C1666" s="49" t="s">
        <v>2134</v>
      </c>
      <c r="D1666" s="91" t="s">
        <v>2145</v>
      </c>
      <c r="E1666" s="41" t="str">
        <f>IFERROR(__xludf.DUMMYFUNCTION("vlookup(D1666,IMPORTRANGE(""https://docs.google.com/spreadsheets/d/1swGwZOEqYlTEUCJLY-eeJM1911Kvaei5oySBIxdgtNo/edit?pli=1#gid=257618397"",""stock untanna!B:C""),2,false)"),"KUAS 929-8 ETERNA YIJIAYI")</f>
        <v>KUAS 929-8 ETERNA YIJIAYI</v>
      </c>
      <c r="F1666" s="49" t="s">
        <v>2145</v>
      </c>
      <c r="G1666" s="71" t="s">
        <v>2146</v>
      </c>
      <c r="H1666" s="41"/>
      <c r="I1666" s="42"/>
      <c r="J1666" s="43"/>
      <c r="K1666" s="72">
        <v>6.0</v>
      </c>
      <c r="L1666" s="53" t="s">
        <v>62</v>
      </c>
      <c r="M1666" s="73">
        <v>34000.0</v>
      </c>
      <c r="N1666" s="74"/>
      <c r="O1666" s="73">
        <v>204000.0</v>
      </c>
      <c r="P1666" s="46" t="str">
        <f t="shared" si="2"/>
        <v>Rp34,000-6 LSN-0.00%</v>
      </c>
      <c r="Q1666" s="75">
        <v>45412.0</v>
      </c>
      <c r="R1666" s="76"/>
      <c r="S1666" s="75">
        <v>45422.0</v>
      </c>
      <c r="T1666" s="49"/>
    </row>
    <row r="1667">
      <c r="A1667" s="90">
        <v>1877.0</v>
      </c>
      <c r="B1667" s="91" t="s">
        <v>29</v>
      </c>
      <c r="C1667" s="49" t="s">
        <v>2134</v>
      </c>
      <c r="D1667" s="91" t="s">
        <v>2147</v>
      </c>
      <c r="E1667" s="41" t="str">
        <f>IFERROR(__xludf.DUMMYFUNCTION("vlookup(D1667,IMPORTRANGE(""https://docs.google.com/spreadsheets/d/1swGwZOEqYlTEUCJLY-eeJM1911Kvaei5oySBIxdgtNo/edit?pli=1#gid=257618397"",""stock untanna!B:C""),2,false)"),"KUAS 929-10 ETERNA YIJIAYI")</f>
        <v>KUAS 929-10 ETERNA YIJIAYI</v>
      </c>
      <c r="F1667" s="49" t="s">
        <v>2147</v>
      </c>
      <c r="G1667" s="71" t="s">
        <v>2148</v>
      </c>
      <c r="H1667" s="41"/>
      <c r="I1667" s="42"/>
      <c r="J1667" s="43"/>
      <c r="K1667" s="72">
        <v>6.0</v>
      </c>
      <c r="L1667" s="53" t="s">
        <v>62</v>
      </c>
      <c r="M1667" s="73">
        <v>41000.0</v>
      </c>
      <c r="N1667" s="74"/>
      <c r="O1667" s="73">
        <v>246000.0</v>
      </c>
      <c r="P1667" s="46" t="str">
        <f t="shared" si="2"/>
        <v>Rp41,000-6 LSN-0.00%</v>
      </c>
      <c r="Q1667" s="75">
        <v>45412.0</v>
      </c>
      <c r="R1667" s="76"/>
      <c r="S1667" s="75">
        <v>45422.0</v>
      </c>
      <c r="T1667" s="49"/>
    </row>
    <row r="1668">
      <c r="A1668" s="90">
        <v>1877.0</v>
      </c>
      <c r="B1668" s="91" t="s">
        <v>29</v>
      </c>
      <c r="C1668" s="49" t="s">
        <v>2134</v>
      </c>
      <c r="D1668" s="91" t="s">
        <v>705</v>
      </c>
      <c r="E1668" s="41" t="str">
        <f>IFERROR(__xludf.DUMMYFUNCTION("vlookup(D1668,IMPORTRANGE(""https://docs.google.com/spreadsheets/d/1swGwZOEqYlTEUCJLY-eeJM1911Kvaei5oySBIxdgtNo/edit?pli=1#gid=257618397"",""stock untanna!B:C""),2,false)"),"MAP KANCING SIKA AC-05 PUTIH")</f>
        <v>MAP KANCING SIKA AC-05 PUTIH</v>
      </c>
      <c r="F1668" s="49" t="s">
        <v>705</v>
      </c>
      <c r="G1668" s="71" t="s">
        <v>706</v>
      </c>
      <c r="H1668" s="41"/>
      <c r="I1668" s="42"/>
      <c r="J1668" s="43"/>
      <c r="K1668" s="72">
        <v>25.0</v>
      </c>
      <c r="L1668" s="53" t="s">
        <v>62</v>
      </c>
      <c r="M1668" s="73">
        <v>24000.0</v>
      </c>
      <c r="N1668" s="74"/>
      <c r="O1668" s="73">
        <v>600000.0</v>
      </c>
      <c r="P1668" s="46" t="str">
        <f t="shared" si="2"/>
        <v>Rp24,000-25 LSN-0.00%</v>
      </c>
      <c r="Q1668" s="75">
        <v>45412.0</v>
      </c>
      <c r="R1668" s="76"/>
      <c r="S1668" s="75">
        <v>45422.0</v>
      </c>
      <c r="T1668" s="49"/>
    </row>
    <row r="1669">
      <c r="A1669" s="90">
        <v>1877.0</v>
      </c>
      <c r="B1669" s="91" t="s">
        <v>29</v>
      </c>
      <c r="C1669" s="49" t="s">
        <v>2134</v>
      </c>
      <c r="D1669" s="91" t="s">
        <v>801</v>
      </c>
      <c r="E1669" s="41" t="str">
        <f>IFERROR(__xludf.DUMMYFUNCTION("vlookup(D1669,IMPORTRANGE(""https://docs.google.com/spreadsheets/d/1swGwZOEqYlTEUCJLY-eeJM1911Kvaei5oySBIxdgtNo/edit?pli=1#gid=257618397"",""stock untanna!B:C""),2,false)"),"MAP KANCING SIKA AC-05 MERAH")</f>
        <v>MAP KANCING SIKA AC-05 MERAH</v>
      </c>
      <c r="F1669" s="49" t="s">
        <v>801</v>
      </c>
      <c r="G1669" s="71" t="s">
        <v>802</v>
      </c>
      <c r="H1669" s="41"/>
      <c r="I1669" s="42"/>
      <c r="J1669" s="43"/>
      <c r="K1669" s="72">
        <v>15.0</v>
      </c>
      <c r="L1669" s="53" t="s">
        <v>62</v>
      </c>
      <c r="M1669" s="73">
        <v>24000.0</v>
      </c>
      <c r="N1669" s="74"/>
      <c r="O1669" s="73">
        <v>360000.0</v>
      </c>
      <c r="P1669" s="46" t="str">
        <f t="shared" si="2"/>
        <v>Rp24,000-15 LSN-0.00%</v>
      </c>
      <c r="Q1669" s="75">
        <v>45412.0</v>
      </c>
      <c r="R1669" s="76"/>
      <c r="S1669" s="75">
        <v>45422.0</v>
      </c>
      <c r="T1669" s="49"/>
    </row>
    <row r="1670">
      <c r="A1670" s="90">
        <v>1877.0</v>
      </c>
      <c r="B1670" s="91" t="s">
        <v>29</v>
      </c>
      <c r="C1670" s="49" t="s">
        <v>2134</v>
      </c>
      <c r="D1670" s="91" t="s">
        <v>2052</v>
      </c>
      <c r="E1670" s="41" t="str">
        <f>IFERROR(__xludf.DUMMYFUNCTION("vlookup(D1670,IMPORTRANGE(""https://docs.google.com/spreadsheets/d/1swGwZOEqYlTEUCJLY-eeJM1911Kvaei5oySBIxdgtNo/edit?pli=1#gid=257618397"",""stock untanna!B:C""),2,false)"),"MAP KANCING SIKA AC-05 KUNING")</f>
        <v>MAP KANCING SIKA AC-05 KUNING</v>
      </c>
      <c r="F1670" s="49" t="s">
        <v>2052</v>
      </c>
      <c r="G1670" s="71" t="s">
        <v>2053</v>
      </c>
      <c r="H1670" s="41"/>
      <c r="I1670" s="42"/>
      <c r="J1670" s="43"/>
      <c r="K1670" s="72">
        <v>15.0</v>
      </c>
      <c r="L1670" s="53" t="s">
        <v>62</v>
      </c>
      <c r="M1670" s="73">
        <v>24000.0</v>
      </c>
      <c r="N1670" s="74"/>
      <c r="O1670" s="73">
        <v>360000.0</v>
      </c>
      <c r="P1670" s="46" t="str">
        <f t="shared" si="2"/>
        <v>Rp24,000-15 LSN-0.00%</v>
      </c>
      <c r="Q1670" s="75">
        <v>45412.0</v>
      </c>
      <c r="R1670" s="76"/>
      <c r="S1670" s="75">
        <v>45422.0</v>
      </c>
      <c r="T1670" s="49"/>
    </row>
    <row r="1671">
      <c r="A1671" s="90">
        <v>1877.0</v>
      </c>
      <c r="B1671" s="91" t="s">
        <v>29</v>
      </c>
      <c r="C1671" s="49" t="s">
        <v>2134</v>
      </c>
      <c r="D1671" s="91" t="s">
        <v>799</v>
      </c>
      <c r="E1671" s="41" t="str">
        <f>IFERROR(__xludf.DUMMYFUNCTION("vlookup(D1671,IMPORTRANGE(""https://docs.google.com/spreadsheets/d/1swGwZOEqYlTEUCJLY-eeJM1911Kvaei5oySBIxdgtNo/edit?pli=1#gid=257618397"",""stock untanna!B:C""),2,false)"),"MAP KANCING SIKA AC-05 HIJAU")</f>
        <v>MAP KANCING SIKA AC-05 HIJAU</v>
      </c>
      <c r="F1671" s="49" t="s">
        <v>799</v>
      </c>
      <c r="G1671" s="71" t="s">
        <v>800</v>
      </c>
      <c r="H1671" s="41"/>
      <c r="I1671" s="42"/>
      <c r="J1671" s="43"/>
      <c r="K1671" s="72">
        <v>15.0</v>
      </c>
      <c r="L1671" s="53" t="s">
        <v>62</v>
      </c>
      <c r="M1671" s="73">
        <v>24000.0</v>
      </c>
      <c r="N1671" s="74"/>
      <c r="O1671" s="73">
        <v>360000.0</v>
      </c>
      <c r="P1671" s="46" t="str">
        <f t="shared" si="2"/>
        <v>Rp24,000-15 LSN-0.00%</v>
      </c>
      <c r="Q1671" s="75">
        <v>45412.0</v>
      </c>
      <c r="R1671" s="76"/>
      <c r="S1671" s="75">
        <v>45422.0</v>
      </c>
      <c r="T1671" s="49"/>
    </row>
    <row r="1672">
      <c r="A1672" s="90">
        <v>1877.0</v>
      </c>
      <c r="B1672" s="91" t="s">
        <v>29</v>
      </c>
      <c r="C1672" s="49" t="s">
        <v>2134</v>
      </c>
      <c r="D1672" s="91" t="s">
        <v>797</v>
      </c>
      <c r="E1672" s="41" t="str">
        <f>IFERROR(__xludf.DUMMYFUNCTION("vlookup(D1672,IMPORTRANGE(""https://docs.google.com/spreadsheets/d/1swGwZOEqYlTEUCJLY-eeJM1911Kvaei5oySBIxdgtNo/edit?pli=1#gid=257618397"",""stock untanna!B:C""),2,false)"),"MAP KANCING SIKA AC-05 BIRU")</f>
        <v>MAP KANCING SIKA AC-05 BIRU</v>
      </c>
      <c r="F1672" s="49" t="s">
        <v>797</v>
      </c>
      <c r="G1672" s="71" t="s">
        <v>798</v>
      </c>
      <c r="H1672" s="41"/>
      <c r="I1672" s="42"/>
      <c r="J1672" s="43"/>
      <c r="K1672" s="72">
        <v>15.0</v>
      </c>
      <c r="L1672" s="53" t="s">
        <v>62</v>
      </c>
      <c r="M1672" s="73">
        <v>24000.0</v>
      </c>
      <c r="N1672" s="74"/>
      <c r="O1672" s="73">
        <v>360000.0</v>
      </c>
      <c r="P1672" s="46" t="str">
        <f t="shared" si="2"/>
        <v>Rp24,000-15 LSN-0.00%</v>
      </c>
      <c r="Q1672" s="75">
        <v>45412.0</v>
      </c>
      <c r="R1672" s="76"/>
      <c r="S1672" s="75">
        <v>45422.0</v>
      </c>
      <c r="T1672" s="49"/>
    </row>
    <row r="1673">
      <c r="A1673" s="90">
        <v>1877.0</v>
      </c>
      <c r="B1673" s="91" t="s">
        <v>29</v>
      </c>
      <c r="C1673" s="49" t="s">
        <v>2134</v>
      </c>
      <c r="D1673" s="91" t="s">
        <v>2048</v>
      </c>
      <c r="E1673" s="41" t="str">
        <f>IFERROR(__xludf.DUMMYFUNCTION("vlookup(D1673,IMPORTRANGE(""https://docs.google.com/spreadsheets/d/1swGwZOEqYlTEUCJLY-eeJM1911Kvaei5oySBIxdgtNo/edit?pli=1#gid=257618397"",""stock untanna!B:C""),2,false)"),"BUSINESS FILE SIKA AC-106 MERAH")</f>
        <v>BUSINESS FILE SIKA AC-106 MERAH</v>
      </c>
      <c r="F1673" s="49" t="s">
        <v>2048</v>
      </c>
      <c r="G1673" s="71" t="s">
        <v>2049</v>
      </c>
      <c r="H1673" s="41"/>
      <c r="I1673" s="42"/>
      <c r="J1673" s="43"/>
      <c r="K1673" s="72">
        <v>10.0</v>
      </c>
      <c r="L1673" s="53" t="s">
        <v>62</v>
      </c>
      <c r="M1673" s="73">
        <v>27000.0</v>
      </c>
      <c r="N1673" s="74"/>
      <c r="O1673" s="73">
        <v>270000.0</v>
      </c>
      <c r="P1673" s="46" t="str">
        <f t="shared" si="2"/>
        <v>Rp27,000-10 LSN-0.00%</v>
      </c>
      <c r="Q1673" s="75">
        <v>45412.0</v>
      </c>
      <c r="R1673" s="76"/>
      <c r="S1673" s="75">
        <v>45422.0</v>
      </c>
      <c r="T1673" s="49"/>
    </row>
    <row r="1674">
      <c r="A1674" s="90">
        <v>1877.0</v>
      </c>
      <c r="B1674" s="91" t="s">
        <v>29</v>
      </c>
      <c r="C1674" s="49" t="s">
        <v>2134</v>
      </c>
      <c r="D1674" s="91" t="s">
        <v>2046</v>
      </c>
      <c r="E1674" s="41" t="str">
        <f>IFERROR(__xludf.DUMMYFUNCTION("vlookup(D1674,IMPORTRANGE(""https://docs.google.com/spreadsheets/d/1swGwZOEqYlTEUCJLY-eeJM1911Kvaei5oySBIxdgtNo/edit?pli=1#gid=257618397"",""stock untanna!B:C""),2,false)"),"BUSINESS FILE SIKA AC-106 KUNING")</f>
        <v>BUSINESS FILE SIKA AC-106 KUNING</v>
      </c>
      <c r="F1674" s="49" t="s">
        <v>2046</v>
      </c>
      <c r="G1674" s="71" t="s">
        <v>2047</v>
      </c>
      <c r="H1674" s="41"/>
      <c r="I1674" s="42"/>
      <c r="J1674" s="43"/>
      <c r="K1674" s="72">
        <v>10.0</v>
      </c>
      <c r="L1674" s="53" t="s">
        <v>62</v>
      </c>
      <c r="M1674" s="73">
        <v>27000.0</v>
      </c>
      <c r="N1674" s="74"/>
      <c r="O1674" s="73">
        <v>270000.0</v>
      </c>
      <c r="P1674" s="46" t="str">
        <f t="shared" si="2"/>
        <v>Rp27,000-10 LSN-0.00%</v>
      </c>
      <c r="Q1674" s="75">
        <v>45412.0</v>
      </c>
      <c r="R1674" s="76"/>
      <c r="S1674" s="75">
        <v>45422.0</v>
      </c>
      <c r="T1674" s="49"/>
    </row>
    <row r="1675">
      <c r="A1675" s="90">
        <v>1877.0</v>
      </c>
      <c r="B1675" s="91" t="s">
        <v>29</v>
      </c>
      <c r="C1675" s="49" t="s">
        <v>2134</v>
      </c>
      <c r="D1675" s="91" t="s">
        <v>2050</v>
      </c>
      <c r="E1675" s="41" t="str">
        <f>IFERROR(__xludf.DUMMYFUNCTION("vlookup(D1675,IMPORTRANGE(""https://docs.google.com/spreadsheets/d/1swGwZOEqYlTEUCJLY-eeJM1911Kvaei5oySBIxdgtNo/edit?pli=1#gid=257618397"",""stock untanna!B:C""),2,false)"),"BUSINESS FILE SIKA AC-106 HIJAU")</f>
        <v>BUSINESS FILE SIKA AC-106 HIJAU</v>
      </c>
      <c r="F1675" s="49" t="s">
        <v>2050</v>
      </c>
      <c r="G1675" s="71" t="s">
        <v>2051</v>
      </c>
      <c r="H1675" s="41"/>
      <c r="I1675" s="42"/>
      <c r="J1675" s="43"/>
      <c r="K1675" s="72">
        <v>10.0</v>
      </c>
      <c r="L1675" s="53" t="s">
        <v>62</v>
      </c>
      <c r="M1675" s="73">
        <v>27000.0</v>
      </c>
      <c r="N1675" s="74"/>
      <c r="O1675" s="73">
        <v>270000.0</v>
      </c>
      <c r="P1675" s="46" t="str">
        <f t="shared" si="2"/>
        <v>Rp27,000-10 LSN-0.00%</v>
      </c>
      <c r="Q1675" s="75">
        <v>45412.0</v>
      </c>
      <c r="R1675" s="76"/>
      <c r="S1675" s="75">
        <v>45422.0</v>
      </c>
      <c r="T1675" s="49"/>
    </row>
    <row r="1676">
      <c r="A1676" s="90">
        <v>1877.0</v>
      </c>
      <c r="B1676" s="91" t="s">
        <v>29</v>
      </c>
      <c r="C1676" s="49" t="s">
        <v>2134</v>
      </c>
      <c r="D1676" s="91" t="s">
        <v>2044</v>
      </c>
      <c r="E1676" s="41" t="str">
        <f>IFERROR(__xludf.DUMMYFUNCTION("vlookup(D1676,IMPORTRANGE(""https://docs.google.com/spreadsheets/d/1swGwZOEqYlTEUCJLY-eeJM1911Kvaei5oySBIxdgtNo/edit?pli=1#gid=257618397"",""stock untanna!B:C""),2,false)"),"BUSINESS FILE SIKA AC-106 BIRU")</f>
        <v>BUSINESS FILE SIKA AC-106 BIRU</v>
      </c>
      <c r="F1676" s="49" t="s">
        <v>2044</v>
      </c>
      <c r="G1676" s="71" t="s">
        <v>2045</v>
      </c>
      <c r="H1676" s="41"/>
      <c r="I1676" s="42"/>
      <c r="J1676" s="43"/>
      <c r="K1676" s="72">
        <v>10.0</v>
      </c>
      <c r="L1676" s="53" t="s">
        <v>62</v>
      </c>
      <c r="M1676" s="73">
        <v>27000.0</v>
      </c>
      <c r="N1676" s="74"/>
      <c r="O1676" s="73">
        <v>270000.0</v>
      </c>
      <c r="P1676" s="46" t="str">
        <f t="shared" si="2"/>
        <v>Rp27,000-10 LSN-0.00%</v>
      </c>
      <c r="Q1676" s="75">
        <v>45412.0</v>
      </c>
      <c r="R1676" s="76"/>
      <c r="S1676" s="75">
        <v>45422.0</v>
      </c>
      <c r="T1676" s="49"/>
    </row>
    <row r="1677">
      <c r="A1677" s="90">
        <v>1878.0</v>
      </c>
      <c r="B1677" s="91" t="s">
        <v>29</v>
      </c>
      <c r="C1677" s="49" t="s">
        <v>2134</v>
      </c>
      <c r="D1677" s="91" t="s">
        <v>2149</v>
      </c>
      <c r="E1677" s="41" t="str">
        <f>IFERROR(__xludf.DUMMYFUNCTION("vlookup(D1677,IMPORTRANGE(""https://docs.google.com/spreadsheets/d/1swGwZOEqYlTEUCJLY-eeJM1911Kvaei5oySBIxdgtNo/edit?pli=1#gid=257618397"",""stock untanna!B:C""),2,false)"),"MAP TALI SIKA PUTIH")</f>
        <v>MAP TALI SIKA PUTIH</v>
      </c>
      <c r="F1677" s="49" t="s">
        <v>2149</v>
      </c>
      <c r="G1677" s="71" t="s">
        <v>2150</v>
      </c>
      <c r="H1677" s="41"/>
      <c r="I1677" s="42"/>
      <c r="J1677" s="43"/>
      <c r="K1677" s="72">
        <v>6.0</v>
      </c>
      <c r="L1677" s="53" t="s">
        <v>62</v>
      </c>
      <c r="M1677" s="73">
        <v>24000.0</v>
      </c>
      <c r="N1677" s="74"/>
      <c r="O1677" s="73">
        <v>144000.0</v>
      </c>
      <c r="P1677" s="46" t="str">
        <f t="shared" si="2"/>
        <v>Rp24,000-6 LSN-0.00%</v>
      </c>
      <c r="Q1677" s="75">
        <v>45412.0</v>
      </c>
      <c r="R1677" s="76"/>
      <c r="S1677" s="75">
        <v>45422.0</v>
      </c>
      <c r="T1677" s="49"/>
    </row>
    <row r="1678">
      <c r="A1678" s="90">
        <v>1878.0</v>
      </c>
      <c r="B1678" s="91" t="s">
        <v>29</v>
      </c>
      <c r="C1678" s="49" t="s">
        <v>2134</v>
      </c>
      <c r="D1678" s="77" t="s">
        <v>2151</v>
      </c>
      <c r="E1678" s="41" t="str">
        <f>IFERROR(__xludf.DUMMYFUNCTION("vlookup(D1678,IMPORTRANGE(""https://docs.google.com/spreadsheets/d/1swGwZOEqYlTEUCJLY-eeJM1911Kvaei5oySBIxdgtNo/edit?pli=1#gid=257618397"",""stock untanna!B:C""),2,false)"),"MAP TALI SIKA MERAH")</f>
        <v>MAP TALI SIKA MERAH</v>
      </c>
      <c r="F1678" s="49" t="s">
        <v>2152</v>
      </c>
      <c r="G1678" s="71" t="s">
        <v>2153</v>
      </c>
      <c r="H1678" s="41"/>
      <c r="I1678" s="42"/>
      <c r="J1678" s="43"/>
      <c r="K1678" s="72">
        <v>6.0</v>
      </c>
      <c r="L1678" s="53" t="s">
        <v>62</v>
      </c>
      <c r="M1678" s="73">
        <v>24000.0</v>
      </c>
      <c r="N1678" s="74"/>
      <c r="O1678" s="73">
        <v>144000.0</v>
      </c>
      <c r="P1678" s="46" t="str">
        <f t="shared" si="2"/>
        <v>Rp24,000-6 LSN-0.00%</v>
      </c>
      <c r="Q1678" s="75">
        <v>45412.0</v>
      </c>
      <c r="R1678" s="76"/>
      <c r="S1678" s="75">
        <v>45422.0</v>
      </c>
      <c r="T1678" s="49"/>
    </row>
    <row r="1679">
      <c r="A1679" s="90">
        <v>1878.0</v>
      </c>
      <c r="B1679" s="91" t="s">
        <v>29</v>
      </c>
      <c r="C1679" s="49" t="s">
        <v>2134</v>
      </c>
      <c r="D1679" s="77" t="s">
        <v>2154</v>
      </c>
      <c r="E1679" s="41" t="str">
        <f>IFERROR(__xludf.DUMMYFUNCTION("vlookup(D1679,IMPORTRANGE(""https://docs.google.com/spreadsheets/d/1swGwZOEqYlTEUCJLY-eeJM1911Kvaei5oySBIxdgtNo/edit?pli=1#gid=257618397"",""stock untanna!B:C""),2,false)"),"MAP TALI SIKA KUNING")</f>
        <v>MAP TALI SIKA KUNING</v>
      </c>
      <c r="F1679" s="49" t="s">
        <v>2155</v>
      </c>
      <c r="G1679" s="71" t="s">
        <v>2156</v>
      </c>
      <c r="H1679" s="41"/>
      <c r="I1679" s="42"/>
      <c r="J1679" s="43"/>
      <c r="K1679" s="72">
        <v>6.0</v>
      </c>
      <c r="L1679" s="53" t="s">
        <v>62</v>
      </c>
      <c r="M1679" s="73">
        <v>24000.0</v>
      </c>
      <c r="N1679" s="74"/>
      <c r="O1679" s="73">
        <v>144000.0</v>
      </c>
      <c r="P1679" s="46" t="str">
        <f t="shared" si="2"/>
        <v>Rp24,000-6 LSN-0.00%</v>
      </c>
      <c r="Q1679" s="75">
        <v>45412.0</v>
      </c>
      <c r="R1679" s="76"/>
      <c r="S1679" s="75">
        <v>45422.0</v>
      </c>
      <c r="T1679" s="49"/>
    </row>
    <row r="1680">
      <c r="A1680" s="90">
        <v>1878.0</v>
      </c>
      <c r="B1680" s="91" t="s">
        <v>29</v>
      </c>
      <c r="C1680" s="49" t="s">
        <v>2134</v>
      </c>
      <c r="D1680" s="21" t="s">
        <v>809</v>
      </c>
      <c r="E1680" s="41" t="str">
        <f>IFERROR(__xludf.DUMMYFUNCTION("vlookup(D1680,IMPORTRANGE(""https://docs.google.com/spreadsheets/d/1swGwZOEqYlTEUCJLY-eeJM1911Kvaei5oySBIxdgtNo/edit?pli=1#gid=257618397"",""stock untanna!B:C""),2,false)"),"MAP TALI SIKA HIJAU")</f>
        <v>MAP TALI SIKA HIJAU</v>
      </c>
      <c r="F1680" s="49" t="s">
        <v>810</v>
      </c>
      <c r="G1680" s="71" t="s">
        <v>811</v>
      </c>
      <c r="H1680" s="41"/>
      <c r="I1680" s="42"/>
      <c r="J1680" s="43"/>
      <c r="K1680" s="72">
        <v>6.0</v>
      </c>
      <c r="L1680" s="53" t="s">
        <v>62</v>
      </c>
      <c r="M1680" s="73">
        <v>24000.0</v>
      </c>
      <c r="N1680" s="74"/>
      <c r="O1680" s="73">
        <v>144000.0</v>
      </c>
      <c r="P1680" s="46" t="str">
        <f t="shared" si="2"/>
        <v>Rp24,000-6 LSN-0.00%</v>
      </c>
      <c r="Q1680" s="75">
        <v>45412.0</v>
      </c>
      <c r="R1680" s="76"/>
      <c r="S1680" s="75">
        <v>45422.0</v>
      </c>
      <c r="T1680" s="49"/>
    </row>
    <row r="1681">
      <c r="A1681" s="90">
        <v>1878.0</v>
      </c>
      <c r="B1681" s="91" t="s">
        <v>29</v>
      </c>
      <c r="C1681" s="49" t="s">
        <v>2134</v>
      </c>
      <c r="D1681" s="77" t="s">
        <v>806</v>
      </c>
      <c r="E1681" s="41" t="str">
        <f>IFERROR(__xludf.DUMMYFUNCTION("vlookup(D1681,IMPORTRANGE(""https://docs.google.com/spreadsheets/d/1swGwZOEqYlTEUCJLY-eeJM1911Kvaei5oySBIxdgtNo/edit?pli=1#gid=257618397"",""stock untanna!B:C""),2,false)"),"MAP TALI SIKA BIRU")</f>
        <v>MAP TALI SIKA BIRU</v>
      </c>
      <c r="F1681" s="49" t="s">
        <v>807</v>
      </c>
      <c r="G1681" s="71" t="s">
        <v>808</v>
      </c>
      <c r="H1681" s="41"/>
      <c r="I1681" s="42"/>
      <c r="J1681" s="43"/>
      <c r="K1681" s="72">
        <v>6.0</v>
      </c>
      <c r="L1681" s="53" t="s">
        <v>62</v>
      </c>
      <c r="M1681" s="73">
        <v>24000.0</v>
      </c>
      <c r="N1681" s="74"/>
      <c r="O1681" s="73">
        <v>144000.0</v>
      </c>
      <c r="P1681" s="46" t="str">
        <f t="shared" si="2"/>
        <v>Rp24,000-6 LSN-0.00%</v>
      </c>
      <c r="Q1681" s="75">
        <v>45412.0</v>
      </c>
      <c r="R1681" s="76"/>
      <c r="S1681" s="75">
        <v>45422.0</v>
      </c>
      <c r="T1681" s="49"/>
    </row>
    <row r="1682">
      <c r="A1682" s="90">
        <v>1878.0</v>
      </c>
      <c r="B1682" s="91" t="s">
        <v>29</v>
      </c>
      <c r="C1682" s="49" t="s">
        <v>2134</v>
      </c>
      <c r="D1682" s="91" t="s">
        <v>163</v>
      </c>
      <c r="E1682" s="41" t="str">
        <f>IFERROR(__xludf.DUMMYFUNCTION("vlookup(D1682,IMPORTRANGE(""https://docs.google.com/spreadsheets/d/1swGwZOEqYlTEUCJLY-eeJM1911Kvaei5oySBIxdgtNo/edit?pli=1#gid=257618397"",""stock untanna!B:C""),2,false)"),"KARTU ABSENSI KOJIKO DUS MERAH")</f>
        <v>KARTU ABSENSI KOJIKO DUS MERAH</v>
      </c>
      <c r="F1682" s="49" t="s">
        <v>163</v>
      </c>
      <c r="G1682" s="71" t="s">
        <v>164</v>
      </c>
      <c r="H1682" s="41"/>
      <c r="I1682" s="42"/>
      <c r="J1682" s="43"/>
      <c r="K1682" s="72">
        <v>10.0</v>
      </c>
      <c r="L1682" s="53" t="s">
        <v>114</v>
      </c>
      <c r="M1682" s="73">
        <v>20000.0</v>
      </c>
      <c r="N1682" s="74"/>
      <c r="O1682" s="73">
        <v>200000.0</v>
      </c>
      <c r="P1682" s="46" t="str">
        <f t="shared" si="2"/>
        <v>Rp20,000-10 PAK-0.00%</v>
      </c>
      <c r="Q1682" s="75">
        <v>45412.0</v>
      </c>
      <c r="R1682" s="76"/>
      <c r="S1682" s="75">
        <v>45422.0</v>
      </c>
      <c r="T1682" s="49"/>
    </row>
    <row r="1683">
      <c r="A1683" s="90">
        <v>1878.0</v>
      </c>
      <c r="B1683" s="91" t="s">
        <v>29</v>
      </c>
      <c r="C1683" s="49" t="s">
        <v>2134</v>
      </c>
      <c r="D1683" s="91" t="s">
        <v>2157</v>
      </c>
      <c r="E1683" s="41" t="str">
        <f>IFERROR(__xludf.DUMMYFUNCTION("vlookup(D1683,IMPORTRANGE(""https://docs.google.com/spreadsheets/d/1swGwZOEqYlTEUCJLY-eeJM1911Kvaei5oySBIxdgtNo/edit?pli=1#gid=257618397"",""stock untanna!B:C""),2,false)"),"STIP W/B GUNINDO 803")</f>
        <v>STIP W/B GUNINDO 803</v>
      </c>
      <c r="F1683" s="49" t="s">
        <v>2157</v>
      </c>
      <c r="G1683" s="71" t="s">
        <v>2158</v>
      </c>
      <c r="H1683" s="41"/>
      <c r="I1683" s="42"/>
      <c r="J1683" s="43"/>
      <c r="K1683" s="72">
        <v>2.0</v>
      </c>
      <c r="L1683" s="53" t="s">
        <v>62</v>
      </c>
      <c r="M1683" s="73">
        <v>61000.0</v>
      </c>
      <c r="N1683" s="74"/>
      <c r="O1683" s="73">
        <v>122000.0</v>
      </c>
      <c r="P1683" s="46" t="str">
        <f t="shared" si="2"/>
        <v>Rp61,000-2 LSN-0.00%</v>
      </c>
      <c r="Q1683" s="75">
        <v>45412.0</v>
      </c>
      <c r="R1683" s="76"/>
      <c r="S1683" s="75">
        <v>45422.0</v>
      </c>
      <c r="T1683" s="49"/>
    </row>
    <row r="1684">
      <c r="A1684" s="90">
        <v>1878.0</v>
      </c>
      <c r="B1684" s="91" t="s">
        <v>29</v>
      </c>
      <c r="C1684" s="49" t="s">
        <v>2134</v>
      </c>
      <c r="D1684" s="91" t="s">
        <v>748</v>
      </c>
      <c r="E1684" s="41" t="str">
        <f>IFERROR(__xludf.DUMMYFUNCTION("vlookup(D1684,IMPORTRANGE(""https://docs.google.com/spreadsheets/d/1swGwZOEqYlTEUCJLY-eeJM1911Kvaei5oySBIxdgtNo/edit?pli=1#gid=257618397"",""stock untanna!B:C""),2,false)"),"GARISAN BT 30 CM")</f>
        <v>GARISAN BT 30 CM</v>
      </c>
      <c r="F1684" s="49" t="s">
        <v>748</v>
      </c>
      <c r="G1684" s="71" t="s">
        <v>749</v>
      </c>
      <c r="H1684" s="41"/>
      <c r="I1684" s="42"/>
      <c r="J1684" s="43"/>
      <c r="K1684" s="72">
        <v>25.0</v>
      </c>
      <c r="L1684" s="53" t="s">
        <v>62</v>
      </c>
      <c r="M1684" s="73">
        <v>27000.0</v>
      </c>
      <c r="N1684" s="74"/>
      <c r="O1684" s="73">
        <v>675000.0</v>
      </c>
      <c r="P1684" s="46" t="str">
        <f t="shared" si="2"/>
        <v>Rp27,000-25 LSN-0.00%</v>
      </c>
      <c r="Q1684" s="75">
        <v>45412.0</v>
      </c>
      <c r="R1684" s="76"/>
      <c r="S1684" s="75">
        <v>45422.0</v>
      </c>
      <c r="T1684" s="49"/>
    </row>
    <row r="1685">
      <c r="A1685" s="90">
        <v>1878.0</v>
      </c>
      <c r="B1685" s="91" t="s">
        <v>29</v>
      </c>
      <c r="C1685" s="49" t="s">
        <v>2134</v>
      </c>
      <c r="D1685" s="91" t="s">
        <v>1455</v>
      </c>
      <c r="E1685" s="41" t="str">
        <f>IFERROR(__xludf.DUMMYFUNCTION("vlookup(D1685,IMPORTRANGE(""https://docs.google.com/spreadsheets/d/1swGwZOEqYlTEUCJLY-eeJM1911Kvaei5oySBIxdgtNo/edit?pli=1#gid=257618397"",""stock untanna!B:C""),2,false)"),"GARISAN BT 20 CM")</f>
        <v>GARISAN BT 20 CM</v>
      </c>
      <c r="F1685" s="49" t="s">
        <v>1455</v>
      </c>
      <c r="G1685" s="71" t="s">
        <v>1456</v>
      </c>
      <c r="H1685" s="41"/>
      <c r="I1685" s="42"/>
      <c r="J1685" s="43"/>
      <c r="K1685" s="72">
        <v>20.0</v>
      </c>
      <c r="L1685" s="53" t="s">
        <v>62</v>
      </c>
      <c r="M1685" s="73">
        <v>21500.0</v>
      </c>
      <c r="N1685" s="74"/>
      <c r="O1685" s="73">
        <v>430000.0</v>
      </c>
      <c r="P1685" s="46" t="str">
        <f t="shared" si="2"/>
        <v>Rp21,500-20 LSN-0.00%</v>
      </c>
      <c r="Q1685" s="75">
        <v>45412.0</v>
      </c>
      <c r="R1685" s="76"/>
      <c r="S1685" s="75">
        <v>45422.0</v>
      </c>
      <c r="T1685" s="49"/>
    </row>
    <row r="1686">
      <c r="A1686" s="90">
        <v>1878.0</v>
      </c>
      <c r="B1686" s="91" t="s">
        <v>29</v>
      </c>
      <c r="C1686" s="49" t="s">
        <v>2134</v>
      </c>
      <c r="D1686" s="91" t="s">
        <v>2159</v>
      </c>
      <c r="E1686" s="41" t="str">
        <f>IFERROR(__xludf.DUMMYFUNCTION("vlookup(D1686,IMPORTRANGE(""https://docs.google.com/spreadsheets/d/1swGwZOEqYlTEUCJLY-eeJM1911Kvaei5oySBIxdgtNo/edit?pli=1#gid=257618397"",""stock untanna!B:C""),2,false)"),"GARISAN BT 15CM")</f>
        <v>GARISAN BT 15CM</v>
      </c>
      <c r="F1686" s="49" t="s">
        <v>2159</v>
      </c>
      <c r="G1686" s="71" t="s">
        <v>2160</v>
      </c>
      <c r="H1686" s="41"/>
      <c r="I1686" s="42"/>
      <c r="J1686" s="43"/>
      <c r="K1686" s="72">
        <v>10.0</v>
      </c>
      <c r="L1686" s="53" t="s">
        <v>62</v>
      </c>
      <c r="M1686" s="73">
        <v>19000.0</v>
      </c>
      <c r="N1686" s="74"/>
      <c r="O1686" s="73">
        <v>190000.0</v>
      </c>
      <c r="P1686" s="46" t="str">
        <f t="shared" si="2"/>
        <v>Rp19,000-10 LSN-0.00%</v>
      </c>
      <c r="Q1686" s="75">
        <v>45412.0</v>
      </c>
      <c r="R1686" s="76"/>
      <c r="S1686" s="75">
        <v>45422.0</v>
      </c>
      <c r="T1686" s="49"/>
    </row>
    <row r="1687">
      <c r="A1687" s="90">
        <v>1878.0</v>
      </c>
      <c r="B1687" s="91" t="s">
        <v>29</v>
      </c>
      <c r="C1687" s="49" t="s">
        <v>2134</v>
      </c>
      <c r="D1687" s="91" t="s">
        <v>762</v>
      </c>
      <c r="E1687" s="41" t="str">
        <f>IFERROR(__xludf.DUMMYFUNCTION("vlookup(D1687,IMPORTRANGE(""https://docs.google.com/spreadsheets/d/1swGwZOEqYlTEUCJLY-eeJM1911Kvaei5oySBIxdgtNo/edit?pli=1#gid=257618397"",""stock untanna!B:C""),2,false)"),"BP TIZO TG340 BIRU")</f>
        <v>BP TIZO TG340 BIRU</v>
      </c>
      <c r="F1687" s="49" t="s">
        <v>762</v>
      </c>
      <c r="G1687" s="71" t="s">
        <v>763</v>
      </c>
      <c r="H1687" s="41"/>
      <c r="I1687" s="42"/>
      <c r="J1687" s="43"/>
      <c r="K1687" s="72">
        <v>12.0</v>
      </c>
      <c r="L1687" s="53" t="s">
        <v>62</v>
      </c>
      <c r="M1687" s="73">
        <v>36000.0</v>
      </c>
      <c r="N1687" s="74"/>
      <c r="O1687" s="73">
        <v>432000.0</v>
      </c>
      <c r="P1687" s="46" t="str">
        <f t="shared" si="2"/>
        <v>Rp36,000-12 LSN-0.00%</v>
      </c>
      <c r="Q1687" s="75">
        <v>45412.0</v>
      </c>
      <c r="R1687" s="76"/>
      <c r="S1687" s="75">
        <v>45422.0</v>
      </c>
      <c r="T1687" s="49"/>
    </row>
    <row r="1688">
      <c r="A1688" s="90">
        <v>1878.0</v>
      </c>
      <c r="B1688" s="91" t="s">
        <v>29</v>
      </c>
      <c r="C1688" s="49" t="s">
        <v>2134</v>
      </c>
      <c r="D1688" s="91" t="s">
        <v>419</v>
      </c>
      <c r="E1688" s="41" t="str">
        <f>IFERROR(__xludf.DUMMYFUNCTION("vlookup(D1688,IMPORTRANGE(""https://docs.google.com/spreadsheets/d/1swGwZOEqYlTEUCJLY-eeJM1911Kvaei5oySBIxdgtNo/edit?pli=1#gid=257618397"",""stock untanna!B:C""),2,false)"),"BP GEL ZUI XUA HY-1020 HITAM")</f>
        <v>BP GEL ZUI XUA HY-1020 HITAM</v>
      </c>
      <c r="F1688" s="49" t="s">
        <v>419</v>
      </c>
      <c r="G1688" s="71" t="s">
        <v>420</v>
      </c>
      <c r="H1688" s="41"/>
      <c r="I1688" s="42"/>
      <c r="J1688" s="43"/>
      <c r="K1688" s="72">
        <v>24.0</v>
      </c>
      <c r="L1688" s="53" t="s">
        <v>62</v>
      </c>
      <c r="M1688" s="73">
        <v>13500.0</v>
      </c>
      <c r="N1688" s="74"/>
      <c r="O1688" s="73">
        <v>324000.0</v>
      </c>
      <c r="P1688" s="46" t="str">
        <f t="shared" si="2"/>
        <v>Rp13,500-24 LSN-0.00%</v>
      </c>
      <c r="Q1688" s="75">
        <v>45412.0</v>
      </c>
      <c r="R1688" s="76"/>
      <c r="S1688" s="75">
        <v>45422.0</v>
      </c>
      <c r="T1688" s="49"/>
    </row>
    <row r="1689">
      <c r="A1689" s="90">
        <v>1878.0</v>
      </c>
      <c r="B1689" s="91" t="s">
        <v>29</v>
      </c>
      <c r="C1689" s="49" t="s">
        <v>2134</v>
      </c>
      <c r="D1689" s="91" t="s">
        <v>953</v>
      </c>
      <c r="E1689" s="41" t="str">
        <f>IFERROR(__xludf.DUMMYFUNCTION("vlookup(D1689,IMPORTRANGE(""https://docs.google.com/spreadsheets/d/1swGwZOEqYlTEUCJLY-eeJM1911Kvaei5oySBIxdgtNo/edit?pli=1#gid=257618397"",""stock untanna!B:C""),2,false)"),"BP GEL DTIAN DT-612")</f>
        <v>BP GEL DTIAN DT-612</v>
      </c>
      <c r="F1689" s="49" t="s">
        <v>953</v>
      </c>
      <c r="G1689" s="71" t="s">
        <v>954</v>
      </c>
      <c r="H1689" s="41"/>
      <c r="I1689" s="42"/>
      <c r="J1689" s="43"/>
      <c r="K1689" s="72">
        <v>24.0</v>
      </c>
      <c r="L1689" s="53" t="s">
        <v>62</v>
      </c>
      <c r="M1689" s="73">
        <v>12500.0</v>
      </c>
      <c r="N1689" s="74"/>
      <c r="O1689" s="73">
        <v>300000.0</v>
      </c>
      <c r="P1689" s="46" t="str">
        <f t="shared" si="2"/>
        <v>Rp12,500-24 LSN-0.00%</v>
      </c>
      <c r="Q1689" s="75">
        <v>45412.0</v>
      </c>
      <c r="R1689" s="76"/>
      <c r="S1689" s="75">
        <v>45422.0</v>
      </c>
      <c r="T1689" s="49"/>
    </row>
    <row r="1690">
      <c r="A1690" s="90">
        <v>1878.0</v>
      </c>
      <c r="B1690" s="91" t="s">
        <v>29</v>
      </c>
      <c r="C1690" s="49" t="s">
        <v>2134</v>
      </c>
      <c r="D1690" s="91" t="s">
        <v>623</v>
      </c>
      <c r="E1690" s="41" t="str">
        <f>IFERROR(__xludf.DUMMYFUNCTION("vlookup(D1690,IMPORTRANGE(""https://docs.google.com/spreadsheets/d/1swGwZOEqYlTEUCJLY-eeJM1911Kvaei5oySBIxdgtNo/edit?pli=1#gid=257618397"",""stock untanna!B:C""),2,false)"),"BP GEL TF-1190 0.3MM HIGHTECH (H)")</f>
        <v>BP GEL TF-1190 0.3MM HIGHTECH (H)</v>
      </c>
      <c r="F1690" s="49" t="s">
        <v>623</v>
      </c>
      <c r="G1690" s="71" t="s">
        <v>624</v>
      </c>
      <c r="H1690" s="41"/>
      <c r="I1690" s="42"/>
      <c r="J1690" s="43"/>
      <c r="K1690" s="72">
        <v>12.0</v>
      </c>
      <c r="L1690" s="53" t="s">
        <v>62</v>
      </c>
      <c r="M1690" s="73">
        <v>30000.0</v>
      </c>
      <c r="N1690" s="74"/>
      <c r="O1690" s="73">
        <v>360000.0</v>
      </c>
      <c r="P1690" s="46" t="str">
        <f t="shared" si="2"/>
        <v>Rp30,000-12 LSN-0.00%</v>
      </c>
      <c r="Q1690" s="75">
        <v>45412.0</v>
      </c>
      <c r="R1690" s="76"/>
      <c r="S1690" s="75">
        <v>45422.0</v>
      </c>
      <c r="T1690" s="49"/>
    </row>
    <row r="1691">
      <c r="A1691" s="90">
        <v>1878.0</v>
      </c>
      <c r="B1691" s="91" t="s">
        <v>29</v>
      </c>
      <c r="C1691" s="49" t="s">
        <v>2134</v>
      </c>
      <c r="D1691" s="91" t="s">
        <v>2161</v>
      </c>
      <c r="E1691" s="41" t="str">
        <f>IFERROR(__xludf.DUMMYFUNCTION("vlookup(D1691,IMPORTRANGE(""https://docs.google.com/spreadsheets/d/1swGwZOEqYlTEUCJLY-eeJM1911Kvaei5oySBIxdgtNo/edit?pli=1#gid=257618397"",""stock untanna!B:C""),2,false)"),"TIPEX KERTAS DP-902")</f>
        <v>TIPEX KERTAS DP-902</v>
      </c>
      <c r="F1691" s="49" t="s">
        <v>2161</v>
      </c>
      <c r="G1691" s="71" t="s">
        <v>2162</v>
      </c>
      <c r="H1691" s="41"/>
      <c r="I1691" s="42"/>
      <c r="J1691" s="43"/>
      <c r="K1691" s="72">
        <v>6.0</v>
      </c>
      <c r="L1691" s="53" t="s">
        <v>62</v>
      </c>
      <c r="M1691" s="73">
        <v>65000.0</v>
      </c>
      <c r="N1691" s="74"/>
      <c r="O1691" s="73">
        <v>390000.0</v>
      </c>
      <c r="P1691" s="46" t="str">
        <f t="shared" si="2"/>
        <v>Rp65,000-6 LSN-0.00%</v>
      </c>
      <c r="Q1691" s="75">
        <v>45412.0</v>
      </c>
      <c r="R1691" s="76"/>
      <c r="S1691" s="75">
        <v>45422.0</v>
      </c>
      <c r="T1691" s="49"/>
    </row>
    <row r="1692">
      <c r="A1692" s="90">
        <v>1878.0</v>
      </c>
      <c r="B1692" s="91" t="s">
        <v>29</v>
      </c>
      <c r="C1692" s="49" t="s">
        <v>2134</v>
      </c>
      <c r="D1692" s="91" t="s">
        <v>2163</v>
      </c>
      <c r="E1692" s="41" t="str">
        <f>IFERROR(__xludf.DUMMYFUNCTION("vlookup(D1692,IMPORTRANGE(""https://docs.google.com/spreadsheets/d/1swGwZOEqYlTEUCJLY-eeJM1911Kvaei5oySBIxdgtNo/edit?pli=1#gid=257618397"",""stock untanna!B:C""),2,false)"),"TIPEX KERTAS DP-912")</f>
        <v>TIPEX KERTAS DP-912</v>
      </c>
      <c r="F1692" s="49" t="s">
        <v>2163</v>
      </c>
      <c r="G1692" s="71" t="s">
        <v>2164</v>
      </c>
      <c r="H1692" s="41"/>
      <c r="I1692" s="42"/>
      <c r="J1692" s="43"/>
      <c r="K1692" s="72">
        <v>6.0</v>
      </c>
      <c r="L1692" s="53" t="s">
        <v>62</v>
      </c>
      <c r="M1692" s="73">
        <v>65000.0</v>
      </c>
      <c r="N1692" s="74"/>
      <c r="O1692" s="73">
        <v>390000.0</v>
      </c>
      <c r="P1692" s="46" t="str">
        <f t="shared" si="2"/>
        <v>Rp65,000-6 LSN-0.00%</v>
      </c>
      <c r="Q1692" s="75">
        <v>45412.0</v>
      </c>
      <c r="R1692" s="76"/>
      <c r="S1692" s="75">
        <v>45422.0</v>
      </c>
      <c r="T1692" s="49"/>
    </row>
    <row r="1693">
      <c r="A1693" s="90">
        <v>1879.0</v>
      </c>
      <c r="B1693" s="91" t="s">
        <v>29</v>
      </c>
      <c r="C1693" s="49" t="s">
        <v>2134</v>
      </c>
      <c r="D1693" s="91" t="s">
        <v>774</v>
      </c>
      <c r="E1693" s="41" t="str">
        <f>IFERROR(__xludf.DUMMYFUNCTION("vlookup(D1693,IMPORTRANGE(""https://docs.google.com/spreadsheets/d/1swGwZOEqYlTEUCJLY-eeJM1911Kvaei5oySBIxdgtNo/edit?pli=1#gid=257618397"",""stock untanna!B:C""),2,false)"),"MECHPEN TIZO G 9001 A")</f>
        <v>MECHPEN TIZO G 9001 A</v>
      </c>
      <c r="F1693" s="49" t="s">
        <v>774</v>
      </c>
      <c r="G1693" s="71" t="s">
        <v>775</v>
      </c>
      <c r="H1693" s="41"/>
      <c r="I1693" s="42"/>
      <c r="J1693" s="43"/>
      <c r="K1693" s="72">
        <v>12.0</v>
      </c>
      <c r="L1693" s="53" t="s">
        <v>62</v>
      </c>
      <c r="M1693" s="73">
        <v>16500.0</v>
      </c>
      <c r="N1693" s="74"/>
      <c r="O1693" s="73">
        <v>198000.0</v>
      </c>
      <c r="P1693" s="46" t="str">
        <f t="shared" si="2"/>
        <v>Rp16,500-12 LSN-0.00%</v>
      </c>
      <c r="Q1693" s="75">
        <v>45412.0</v>
      </c>
      <c r="R1693" s="76"/>
      <c r="S1693" s="75">
        <v>45422.0</v>
      </c>
      <c r="T1693" s="49"/>
    </row>
    <row r="1694">
      <c r="A1694" s="90">
        <v>1879.0</v>
      </c>
      <c r="B1694" s="91" t="s">
        <v>29</v>
      </c>
      <c r="C1694" s="49" t="s">
        <v>2134</v>
      </c>
      <c r="D1694" s="91"/>
      <c r="E1694" s="41" t="s">
        <v>2132</v>
      </c>
      <c r="F1694" s="49"/>
      <c r="G1694" s="71" t="s">
        <v>2132</v>
      </c>
      <c r="H1694" s="41"/>
      <c r="I1694" s="42"/>
      <c r="J1694" s="43"/>
      <c r="K1694" s="72">
        <v>12.0</v>
      </c>
      <c r="L1694" s="53" t="s">
        <v>62</v>
      </c>
      <c r="M1694" s="73">
        <v>16500.0</v>
      </c>
      <c r="N1694" s="74"/>
      <c r="O1694" s="73">
        <v>198000.0</v>
      </c>
      <c r="P1694" s="46" t="str">
        <f t="shared" si="2"/>
        <v>Rp16,500-12 LSN-0.00%</v>
      </c>
      <c r="Q1694" s="75">
        <v>45412.0</v>
      </c>
      <c r="R1694" s="76"/>
      <c r="S1694" s="75">
        <v>45422.0</v>
      </c>
      <c r="T1694" s="49"/>
    </row>
    <row r="1695">
      <c r="A1695" s="90">
        <v>1879.0</v>
      </c>
      <c r="B1695" s="91" t="s">
        <v>29</v>
      </c>
      <c r="C1695" s="49" t="s">
        <v>2134</v>
      </c>
      <c r="D1695" s="91"/>
      <c r="E1695" s="41" t="s">
        <v>2129</v>
      </c>
      <c r="F1695" s="49"/>
      <c r="G1695" s="71" t="s">
        <v>2129</v>
      </c>
      <c r="H1695" s="41"/>
      <c r="I1695" s="42"/>
      <c r="J1695" s="43"/>
      <c r="K1695" s="72">
        <v>12.0</v>
      </c>
      <c r="L1695" s="53" t="s">
        <v>62</v>
      </c>
      <c r="M1695" s="73">
        <v>16500.0</v>
      </c>
      <c r="N1695" s="74"/>
      <c r="O1695" s="73">
        <v>198000.0</v>
      </c>
      <c r="P1695" s="46" t="str">
        <f t="shared" si="2"/>
        <v>Rp16,500-12 LSN-0.00%</v>
      </c>
      <c r="Q1695" s="75">
        <v>45412.0</v>
      </c>
      <c r="R1695" s="76"/>
      <c r="S1695" s="75">
        <v>45422.0</v>
      </c>
      <c r="T1695" s="49"/>
    </row>
    <row r="1696">
      <c r="A1696" s="90">
        <v>1879.0</v>
      </c>
      <c r="B1696" s="91" t="s">
        <v>29</v>
      </c>
      <c r="C1696" s="49" t="s">
        <v>2134</v>
      </c>
      <c r="D1696" s="91"/>
      <c r="E1696" s="41" t="s">
        <v>2130</v>
      </c>
      <c r="F1696" s="49"/>
      <c r="G1696" s="71" t="s">
        <v>2130</v>
      </c>
      <c r="H1696" s="41"/>
      <c r="I1696" s="42"/>
      <c r="J1696" s="43"/>
      <c r="K1696" s="72">
        <v>12.0</v>
      </c>
      <c r="L1696" s="53" t="s">
        <v>62</v>
      </c>
      <c r="M1696" s="73">
        <v>16500.0</v>
      </c>
      <c r="N1696" s="74"/>
      <c r="O1696" s="73">
        <v>198000.0</v>
      </c>
      <c r="P1696" s="46" t="str">
        <f t="shared" si="2"/>
        <v>Rp16,500-12 LSN-0.00%</v>
      </c>
      <c r="Q1696" s="75">
        <v>45412.0</v>
      </c>
      <c r="R1696" s="76"/>
      <c r="S1696" s="75">
        <v>45422.0</v>
      </c>
      <c r="T1696" s="49"/>
    </row>
    <row r="1697">
      <c r="A1697" s="90">
        <v>1879.0</v>
      </c>
      <c r="B1697" s="91" t="s">
        <v>29</v>
      </c>
      <c r="C1697" s="49" t="s">
        <v>2134</v>
      </c>
      <c r="D1697" s="91"/>
      <c r="E1697" s="41" t="s">
        <v>2133</v>
      </c>
      <c r="F1697" s="49"/>
      <c r="G1697" s="71" t="s">
        <v>2133</v>
      </c>
      <c r="H1697" s="41"/>
      <c r="I1697" s="42"/>
      <c r="J1697" s="43"/>
      <c r="K1697" s="72">
        <v>12.0</v>
      </c>
      <c r="L1697" s="53" t="s">
        <v>62</v>
      </c>
      <c r="M1697" s="73">
        <v>16500.0</v>
      </c>
      <c r="N1697" s="74"/>
      <c r="O1697" s="73">
        <v>198000.0</v>
      </c>
      <c r="P1697" s="46" t="str">
        <f t="shared" si="2"/>
        <v>Rp16,500-12 LSN-0.00%</v>
      </c>
      <c r="Q1697" s="75">
        <v>45412.0</v>
      </c>
      <c r="R1697" s="76"/>
      <c r="S1697" s="75">
        <v>45422.0</v>
      </c>
      <c r="T1697" s="49"/>
    </row>
    <row r="1698">
      <c r="A1698" s="90">
        <v>1879.0</v>
      </c>
      <c r="B1698" s="91" t="s">
        <v>29</v>
      </c>
      <c r="C1698" s="49" t="s">
        <v>2134</v>
      </c>
      <c r="D1698" s="91" t="s">
        <v>2165</v>
      </c>
      <c r="E1698" s="41" t="str">
        <f>IFERROR(__xludf.DUMMYFUNCTION("vlookup(D1698,IMPORTRANGE(""https://docs.google.com/spreadsheets/d/1swGwZOEqYlTEUCJLY-eeJM1911Kvaei5oySBIxdgtNo/edit?pli=1#gid=257618397"",""stock untanna!B:C""),2,false)"),"CAT AIR OPINI 110")</f>
        <v>CAT AIR OPINI 110</v>
      </c>
      <c r="F1698" s="49" t="s">
        <v>2165</v>
      </c>
      <c r="G1698" s="71" t="s">
        <v>2166</v>
      </c>
      <c r="H1698" s="41"/>
      <c r="I1698" s="42"/>
      <c r="J1698" s="43"/>
      <c r="K1698" s="72">
        <v>4.0</v>
      </c>
      <c r="L1698" s="53" t="s">
        <v>62</v>
      </c>
      <c r="M1698" s="73">
        <v>110000.0</v>
      </c>
      <c r="N1698" s="74"/>
      <c r="O1698" s="73">
        <v>440000.0</v>
      </c>
      <c r="P1698" s="46" t="str">
        <f t="shared" si="2"/>
        <v>Rp110,000-4 LSN-0.00%</v>
      </c>
      <c r="Q1698" s="75">
        <v>45412.0</v>
      </c>
      <c r="R1698" s="76"/>
      <c r="S1698" s="75">
        <v>45422.0</v>
      </c>
      <c r="T1698" s="49"/>
    </row>
    <row r="1699">
      <c r="A1699" s="90">
        <v>1879.0</v>
      </c>
      <c r="B1699" s="91" t="s">
        <v>29</v>
      </c>
      <c r="C1699" s="49" t="s">
        <v>2134</v>
      </c>
      <c r="D1699" s="91" t="s">
        <v>2167</v>
      </c>
      <c r="E1699" s="41" t="str">
        <f>IFERROR(__xludf.DUMMYFUNCTION("vlookup(D1699,IMPORTRANGE(""https://docs.google.com/spreadsheets/d/1swGwZOEqYlTEUCJLY-eeJM1911Kvaei5oySBIxdgtNo/edit?pli=1#gid=257618397"",""stock untanna!B:C""),2,false)"),"CAT AIR OPINI 120")</f>
        <v>CAT AIR OPINI 120</v>
      </c>
      <c r="F1699" s="49" t="s">
        <v>2167</v>
      </c>
      <c r="G1699" s="71" t="s">
        <v>2168</v>
      </c>
      <c r="H1699" s="41"/>
      <c r="I1699" s="42"/>
      <c r="J1699" s="43"/>
      <c r="K1699" s="72">
        <v>4.0</v>
      </c>
      <c r="L1699" s="53" t="s">
        <v>62</v>
      </c>
      <c r="M1699" s="73">
        <v>120000.0</v>
      </c>
      <c r="N1699" s="74"/>
      <c r="O1699" s="73">
        <v>480000.0</v>
      </c>
      <c r="P1699" s="46" t="str">
        <f t="shared" si="2"/>
        <v>Rp120,000-4 LSN-0.00%</v>
      </c>
      <c r="Q1699" s="75">
        <v>45412.0</v>
      </c>
      <c r="R1699" s="76"/>
      <c r="S1699" s="75">
        <v>45422.0</v>
      </c>
      <c r="T1699" s="49"/>
    </row>
    <row r="1700">
      <c r="A1700" s="90">
        <v>1879.0</v>
      </c>
      <c r="B1700" s="91" t="s">
        <v>29</v>
      </c>
      <c r="C1700" s="49" t="s">
        <v>2134</v>
      </c>
      <c r="D1700" s="91" t="s">
        <v>31</v>
      </c>
      <c r="E1700" s="41" t="str">
        <f>IFERROR(__xludf.DUMMYFUNCTION("vlookup(D1700,IMPORTRANGE(""https://docs.google.com/spreadsheets/d/1swGwZOEqYlTEUCJLY-eeJM1911Kvaei5oySBIxdgtNo/edit?pli=1#gid=257618397"",""stock untanna!B:C""),2,false)"),"ISI STAPLER 13/8 JOSS")</f>
        <v>ISI STAPLER 13/8 JOSS</v>
      </c>
      <c r="F1700" s="49" t="s">
        <v>31</v>
      </c>
      <c r="G1700" s="71" t="s">
        <v>113</v>
      </c>
      <c r="H1700" s="41"/>
      <c r="I1700" s="42"/>
      <c r="J1700" s="43"/>
      <c r="K1700" s="72">
        <v>30.0</v>
      </c>
      <c r="L1700" s="53" t="s">
        <v>114</v>
      </c>
      <c r="M1700" s="73">
        <v>18500.0</v>
      </c>
      <c r="N1700" s="74"/>
      <c r="O1700" s="73">
        <v>555000.0</v>
      </c>
      <c r="P1700" s="46" t="str">
        <f t="shared" si="2"/>
        <v>Rp18,500-30 PAK-0.00%</v>
      </c>
      <c r="Q1700" s="75">
        <v>45412.0</v>
      </c>
      <c r="R1700" s="76"/>
      <c r="S1700" s="75">
        <v>45422.0</v>
      </c>
      <c r="T1700" s="49"/>
    </row>
    <row r="1701">
      <c r="A1701" s="90">
        <v>1879.0</v>
      </c>
      <c r="B1701" s="91" t="s">
        <v>29</v>
      </c>
      <c r="C1701" s="49" t="s">
        <v>2134</v>
      </c>
      <c r="D1701" s="91"/>
      <c r="E1701" s="41" t="s">
        <v>2169</v>
      </c>
      <c r="F1701" s="49"/>
      <c r="G1701" s="71" t="s">
        <v>2169</v>
      </c>
      <c r="H1701" s="41"/>
      <c r="I1701" s="42"/>
      <c r="J1701" s="43"/>
      <c r="K1701" s="72">
        <v>6.0</v>
      </c>
      <c r="L1701" s="53" t="s">
        <v>69</v>
      </c>
      <c r="M1701" s="73">
        <v>75000.0</v>
      </c>
      <c r="N1701" s="74"/>
      <c r="O1701" s="73">
        <v>450000.0</v>
      </c>
      <c r="P1701" s="46" t="str">
        <f t="shared" si="2"/>
        <v>Rp75,000-6 PCS-0.00%</v>
      </c>
      <c r="Q1701" s="75">
        <v>45412.0</v>
      </c>
      <c r="R1701" s="76"/>
      <c r="S1701" s="75">
        <v>45422.0</v>
      </c>
      <c r="T1701" s="49"/>
    </row>
    <row r="1702">
      <c r="A1702" s="90">
        <v>1879.0</v>
      </c>
      <c r="B1702" s="91" t="s">
        <v>29</v>
      </c>
      <c r="C1702" s="49" t="s">
        <v>2134</v>
      </c>
      <c r="D1702" s="91" t="s">
        <v>2170</v>
      </c>
      <c r="E1702" s="41" t="str">
        <f>IFERROR(__xludf.DUMMYFUNCTION("vlookup(D1702,IMPORTRANGE(""https://docs.google.com/spreadsheets/d/1swGwZOEqYlTEUCJLY-eeJM1911Kvaei5oySBIxdgtNo/edit?pli=1#gid=257618397"",""stock untanna!B:C""),2,false)"),"ID CARD B2 IMPORT")</f>
        <v>ID CARD B2 IMPORT</v>
      </c>
      <c r="F1702" s="49" t="s">
        <v>2170</v>
      </c>
      <c r="G1702" s="71" t="s">
        <v>2171</v>
      </c>
      <c r="H1702" s="41"/>
      <c r="I1702" s="42"/>
      <c r="J1702" s="43"/>
      <c r="K1702" s="72">
        <v>800.0</v>
      </c>
      <c r="L1702" s="53" t="s">
        <v>69</v>
      </c>
      <c r="M1702" s="73">
        <v>550.0</v>
      </c>
      <c r="N1702" s="74"/>
      <c r="O1702" s="73">
        <v>440000.0</v>
      </c>
      <c r="P1702" s="46" t="str">
        <f t="shared" si="2"/>
        <v>Rp550-800 PCS-0.00%</v>
      </c>
      <c r="Q1702" s="75">
        <v>45412.0</v>
      </c>
      <c r="R1702" s="76"/>
      <c r="S1702" s="75">
        <v>45422.0</v>
      </c>
      <c r="T1702" s="49"/>
    </row>
    <row r="1703">
      <c r="A1703" s="90">
        <v>1879.0</v>
      </c>
      <c r="B1703" s="91" t="s">
        <v>29</v>
      </c>
      <c r="C1703" s="49" t="s">
        <v>2134</v>
      </c>
      <c r="D1703" s="91" t="s">
        <v>77</v>
      </c>
      <c r="E1703" s="41" t="str">
        <f>IFERROR(__xludf.DUMMYFUNCTION("vlookup(D1703,IMPORTRANGE(""https://docs.google.com/spreadsheets/d/1swGwZOEqYlTEUCJLY-eeJM1911Kvaei5oySBIxdgtNo/edit?pli=1#gid=257618397"",""stock untanna!B:C""),2,false)"),"ID CARD B4 IMPORT")</f>
        <v>ID CARD B4 IMPORT</v>
      </c>
      <c r="F1703" s="49" t="s">
        <v>77</v>
      </c>
      <c r="G1703" s="71" t="s">
        <v>78</v>
      </c>
      <c r="H1703" s="41"/>
      <c r="I1703" s="42"/>
      <c r="J1703" s="43"/>
      <c r="K1703" s="72">
        <v>800.0</v>
      </c>
      <c r="L1703" s="53" t="s">
        <v>69</v>
      </c>
      <c r="M1703" s="73">
        <v>800.0</v>
      </c>
      <c r="N1703" s="74"/>
      <c r="O1703" s="73">
        <v>640000.0</v>
      </c>
      <c r="P1703" s="46" t="str">
        <f t="shared" si="2"/>
        <v>Rp800-800 PCS-0.00%</v>
      </c>
      <c r="Q1703" s="75">
        <v>45412.0</v>
      </c>
      <c r="R1703" s="76"/>
      <c r="S1703" s="75">
        <v>45422.0</v>
      </c>
      <c r="T1703" s="49"/>
    </row>
    <row r="1704">
      <c r="A1704" s="90">
        <v>1879.0</v>
      </c>
      <c r="B1704" s="91" t="s">
        <v>29</v>
      </c>
      <c r="C1704" s="49" t="s">
        <v>2134</v>
      </c>
      <c r="D1704" s="91" t="s">
        <v>2172</v>
      </c>
      <c r="E1704" s="41" t="str">
        <f>IFERROR(__xludf.DUMMYFUNCTION("vlookup(D1704,IMPORTRANGE(""https://docs.google.com/spreadsheets/d/1swGwZOEqYlTEUCJLY-eeJM1911Kvaei5oySBIxdgtNo/edit?pli=1#gid=257618397"",""stock untanna!B:C""),2,false)"),"TALI ID CARD PEONY KUNING")</f>
        <v>TALI ID CARD PEONY KUNING</v>
      </c>
      <c r="F1704" s="49" t="s">
        <v>2172</v>
      </c>
      <c r="G1704" s="71" t="s">
        <v>2173</v>
      </c>
      <c r="H1704" s="41"/>
      <c r="I1704" s="42"/>
      <c r="J1704" s="43"/>
      <c r="K1704" s="72">
        <v>300.0</v>
      </c>
      <c r="L1704" s="53" t="s">
        <v>69</v>
      </c>
      <c r="M1704" s="73">
        <v>650.0</v>
      </c>
      <c r="N1704" s="74"/>
      <c r="O1704" s="73">
        <v>195000.0</v>
      </c>
      <c r="P1704" s="46" t="str">
        <f t="shared" si="2"/>
        <v>Rp650-300 PCS-0.00%</v>
      </c>
      <c r="Q1704" s="75">
        <v>45412.0</v>
      </c>
      <c r="R1704" s="76"/>
      <c r="S1704" s="75">
        <v>45422.0</v>
      </c>
      <c r="T1704" s="49"/>
    </row>
    <row r="1705">
      <c r="A1705" s="90">
        <v>1879.0</v>
      </c>
      <c r="B1705" s="91" t="s">
        <v>29</v>
      </c>
      <c r="C1705" s="49" t="s">
        <v>2134</v>
      </c>
      <c r="D1705" s="91" t="s">
        <v>2174</v>
      </c>
      <c r="E1705" s="41" t="str">
        <f>IFERROR(__xludf.DUMMYFUNCTION("vlookup(D1705,IMPORTRANGE(""https://docs.google.com/spreadsheets/d/1swGwZOEqYlTEUCJLY-eeJM1911Kvaei5oySBIxdgtNo/edit?pli=1#gid=257618397"",""stock untanna!B:C""),2,false)"),"TALI ID CARD PEONY HITAM")</f>
        <v>TALI ID CARD PEONY HITAM</v>
      </c>
      <c r="F1705" s="49" t="s">
        <v>2174</v>
      </c>
      <c r="G1705" s="71" t="s">
        <v>2175</v>
      </c>
      <c r="H1705" s="41"/>
      <c r="I1705" s="42"/>
      <c r="J1705" s="43"/>
      <c r="K1705" s="72">
        <v>600.0</v>
      </c>
      <c r="L1705" s="53" t="s">
        <v>69</v>
      </c>
      <c r="M1705" s="73">
        <v>650.0</v>
      </c>
      <c r="N1705" s="74"/>
      <c r="O1705" s="73">
        <v>390000.0</v>
      </c>
      <c r="P1705" s="46" t="str">
        <f t="shared" si="2"/>
        <v>Rp650-600 PCS-0.00%</v>
      </c>
      <c r="Q1705" s="75">
        <v>45412.0</v>
      </c>
      <c r="R1705" s="76"/>
      <c r="S1705" s="75">
        <v>45422.0</v>
      </c>
      <c r="T1705" s="49"/>
    </row>
    <row r="1706">
      <c r="A1706" s="90">
        <v>1879.0</v>
      </c>
      <c r="B1706" s="91" t="s">
        <v>29</v>
      </c>
      <c r="C1706" s="49" t="s">
        <v>2134</v>
      </c>
      <c r="D1706" s="91" t="s">
        <v>505</v>
      </c>
      <c r="E1706" s="41" t="str">
        <f>IFERROR(__xludf.DUMMYFUNCTION("vlookup(D1706,IMPORTRANGE(""https://docs.google.com/spreadsheets/d/1swGwZOEqYlTEUCJLY-eeJM1911Kvaei5oySBIxdgtNo/edit?pli=1#gid=257618397"",""stock untanna!B:C""),2,false)"),"CUTTER TACO 88 BESAR")</f>
        <v>CUTTER TACO 88 BESAR</v>
      </c>
      <c r="F1706" s="49" t="s">
        <v>505</v>
      </c>
      <c r="G1706" s="71" t="s">
        <v>506</v>
      </c>
      <c r="H1706" s="41"/>
      <c r="I1706" s="42"/>
      <c r="J1706" s="43"/>
      <c r="K1706" s="72">
        <v>10.0</v>
      </c>
      <c r="L1706" s="53" t="s">
        <v>62</v>
      </c>
      <c r="M1706" s="73">
        <v>33000.0</v>
      </c>
      <c r="N1706" s="74"/>
      <c r="O1706" s="73">
        <v>330000.0</v>
      </c>
      <c r="P1706" s="46" t="str">
        <f t="shared" si="2"/>
        <v>Rp33,000-10 LSN-0.00%</v>
      </c>
      <c r="Q1706" s="75">
        <v>45412.0</v>
      </c>
      <c r="R1706" s="76"/>
      <c r="S1706" s="75">
        <v>45422.0</v>
      </c>
      <c r="T1706" s="49"/>
    </row>
    <row r="1707">
      <c r="A1707" s="90">
        <v>1879.0</v>
      </c>
      <c r="B1707" s="91" t="s">
        <v>29</v>
      </c>
      <c r="C1707" s="49" t="s">
        <v>2134</v>
      </c>
      <c r="D1707" s="91" t="s">
        <v>503</v>
      </c>
      <c r="E1707" s="41" t="str">
        <f>IFERROR(__xludf.DUMMYFUNCTION("vlookup(D1707,IMPORTRANGE(""https://docs.google.com/spreadsheets/d/1swGwZOEqYlTEUCJLY-eeJM1911Kvaei5oySBIxdgtNo/edit?pli=1#gid=257618397"",""stock untanna!B:C""),2,false)"),"CUTTER TACO 78 KECIL TRANSPARAN")</f>
        <v>CUTTER TACO 78 KECIL TRANSPARAN</v>
      </c>
      <c r="F1707" s="49" t="s">
        <v>503</v>
      </c>
      <c r="G1707" s="71" t="s">
        <v>504</v>
      </c>
      <c r="H1707" s="41"/>
      <c r="I1707" s="42"/>
      <c r="J1707" s="43"/>
      <c r="K1707" s="72">
        <v>10.0</v>
      </c>
      <c r="L1707" s="53" t="s">
        <v>62</v>
      </c>
      <c r="M1707" s="73">
        <v>23000.0</v>
      </c>
      <c r="N1707" s="74"/>
      <c r="O1707" s="73">
        <v>230000.0</v>
      </c>
      <c r="P1707" s="46" t="str">
        <f t="shared" si="2"/>
        <v>Rp23,000-10 LSN-0.00%</v>
      </c>
      <c r="Q1707" s="75">
        <v>45412.0</v>
      </c>
      <c r="R1707" s="76"/>
      <c r="S1707" s="75">
        <v>45422.0</v>
      </c>
      <c r="T1707" s="49"/>
    </row>
    <row r="1708">
      <c r="A1708" s="90">
        <v>1879.0</v>
      </c>
      <c r="B1708" s="91" t="s">
        <v>29</v>
      </c>
      <c r="C1708" s="49" t="s">
        <v>2134</v>
      </c>
      <c r="D1708" s="91" t="s">
        <v>2176</v>
      </c>
      <c r="E1708" s="41" t="str">
        <f>IFERROR(__xludf.DUMMYFUNCTION("vlookup(D1708,IMPORTRANGE(""https://docs.google.com/spreadsheets/d/1swGwZOEqYlTEUCJLY-eeJM1911Kvaei5oySBIxdgtNo/edit?pli=1#gid=257618397"",""stock untanna!B:C""),2,false)"),"LEM TEMBAK K PUTIH MS")</f>
        <v>LEM TEMBAK K PUTIH MS</v>
      </c>
      <c r="F1708" s="49" t="s">
        <v>2176</v>
      </c>
      <c r="G1708" s="71" t="s">
        <v>2177</v>
      </c>
      <c r="H1708" s="41"/>
      <c r="I1708" s="42"/>
      <c r="J1708" s="43"/>
      <c r="K1708" s="72">
        <v>10.0</v>
      </c>
      <c r="L1708" s="53" t="s">
        <v>114</v>
      </c>
      <c r="M1708" s="73">
        <v>70000.0</v>
      </c>
      <c r="N1708" s="74"/>
      <c r="O1708" s="73">
        <v>700000.0</v>
      </c>
      <c r="P1708" s="46" t="str">
        <f t="shared" si="2"/>
        <v>Rp70,000-10 PAK-0.00%</v>
      </c>
      <c r="Q1708" s="75">
        <v>45412.0</v>
      </c>
      <c r="R1708" s="76"/>
      <c r="S1708" s="75">
        <v>45422.0</v>
      </c>
      <c r="T1708" s="49"/>
    </row>
    <row r="1709">
      <c r="A1709" s="90">
        <v>1880.0</v>
      </c>
      <c r="B1709" s="91" t="s">
        <v>29</v>
      </c>
      <c r="C1709" s="49" t="s">
        <v>2134</v>
      </c>
      <c r="D1709" s="91" t="s">
        <v>2178</v>
      </c>
      <c r="E1709" s="41" t="str">
        <f>IFERROR(__xludf.DUMMYFUNCTION("vlookup(D1709,IMPORTRANGE(""https://docs.google.com/spreadsheets/d/1swGwZOEqYlTEUCJLY-eeJM1911Kvaei5oySBIxdgtNo/edit?pli=1#gid=257618397"",""stock untanna!B:C""),2,false)"),"MESIN LEM TEMBAK BOSCO 5538")</f>
        <v>MESIN LEM TEMBAK BOSCO 5538</v>
      </c>
      <c r="F1709" s="49" t="s">
        <v>2178</v>
      </c>
      <c r="G1709" s="71" t="s">
        <v>2179</v>
      </c>
      <c r="H1709" s="41"/>
      <c r="I1709" s="42"/>
      <c r="J1709" s="43"/>
      <c r="K1709" s="72">
        <v>12.0</v>
      </c>
      <c r="L1709" s="53" t="s">
        <v>69</v>
      </c>
      <c r="M1709" s="73">
        <v>10000.0</v>
      </c>
      <c r="N1709" s="74"/>
      <c r="O1709" s="73">
        <v>120000.0</v>
      </c>
      <c r="P1709" s="46" t="str">
        <f t="shared" si="2"/>
        <v>Rp10,000-12 PCS-0.00%</v>
      </c>
      <c r="Q1709" s="75">
        <v>45412.0</v>
      </c>
      <c r="R1709" s="76"/>
      <c r="S1709" s="75">
        <v>45422.0</v>
      </c>
      <c r="T1709" s="49"/>
    </row>
    <row r="1710">
      <c r="A1710" s="90">
        <v>1880.0</v>
      </c>
      <c r="B1710" s="91" t="s">
        <v>29</v>
      </c>
      <c r="C1710" s="49" t="s">
        <v>2134</v>
      </c>
      <c r="D1710" s="91" t="s">
        <v>1755</v>
      </c>
      <c r="E1710" s="41" t="str">
        <f>IFERROR(__xludf.DUMMYFUNCTION("vlookup(D1710,IMPORTRANGE(""https://docs.google.com/spreadsheets/d/1swGwZOEqYlTEUCJLY-eeJM1911Kvaei5oySBIxdgtNo/edit?pli=1#gid=257618397"",""stock untanna!B:C""),2,false)"),"DISPENSER KENJOY 25")</f>
        <v>DISPENSER KENJOY 25</v>
      </c>
      <c r="F1710" s="49" t="s">
        <v>1755</v>
      </c>
      <c r="G1710" s="71" t="s">
        <v>1756</v>
      </c>
      <c r="H1710" s="41"/>
      <c r="I1710" s="42"/>
      <c r="J1710" s="43"/>
      <c r="K1710" s="72">
        <v>24.0</v>
      </c>
      <c r="L1710" s="53" t="s">
        <v>69</v>
      </c>
      <c r="M1710" s="73">
        <v>7500.0</v>
      </c>
      <c r="N1710" s="74"/>
      <c r="O1710" s="73">
        <v>180000.0</v>
      </c>
      <c r="P1710" s="46" t="str">
        <f t="shared" si="2"/>
        <v>Rp7,500-24 PCS-0.00%</v>
      </c>
      <c r="Q1710" s="75">
        <v>45412.0</v>
      </c>
      <c r="R1710" s="76"/>
      <c r="S1710" s="75">
        <v>45422.0</v>
      </c>
      <c r="T1710" s="49"/>
    </row>
    <row r="1711">
      <c r="A1711" s="90">
        <v>1880.0</v>
      </c>
      <c r="B1711" s="91" t="s">
        <v>29</v>
      </c>
      <c r="C1711" s="49" t="s">
        <v>2134</v>
      </c>
      <c r="D1711" s="77" t="s">
        <v>2180</v>
      </c>
      <c r="E1711" s="41" t="str">
        <f>IFERROR(__xludf.DUMMYFUNCTION("vlookup(D1711,IMPORTRANGE(""https://docs.google.com/spreadsheets/d/1swGwZOEqYlTEUCJLY-eeJM1911Kvaei5oySBIxdgtNo/edit?pli=1#gid=257618397"",""stock untanna!B:C""),2,false)"),"MAP ZIPPER JALA A5 SIKA MR")</f>
        <v>MAP ZIPPER JALA A5 SIKA MR</v>
      </c>
      <c r="F1711" s="49" t="s">
        <v>2181</v>
      </c>
      <c r="G1711" s="71" t="s">
        <v>2182</v>
      </c>
      <c r="H1711" s="41"/>
      <c r="I1711" s="42"/>
      <c r="J1711" s="43"/>
      <c r="K1711" s="72">
        <v>96.0</v>
      </c>
      <c r="L1711" s="53" t="s">
        <v>69</v>
      </c>
      <c r="M1711" s="73">
        <v>9167.0</v>
      </c>
      <c r="N1711" s="74"/>
      <c r="O1711" s="73">
        <v>880032.0</v>
      </c>
      <c r="P1711" s="46" t="str">
        <f t="shared" si="2"/>
        <v>Rp9,167-96 PCS-0.00%</v>
      </c>
      <c r="Q1711" s="75">
        <v>45412.0</v>
      </c>
      <c r="R1711" s="76"/>
      <c r="S1711" s="75">
        <v>45422.0</v>
      </c>
      <c r="T1711" s="49"/>
    </row>
    <row r="1712">
      <c r="A1712" s="90">
        <v>1880.0</v>
      </c>
      <c r="B1712" s="91" t="s">
        <v>29</v>
      </c>
      <c r="C1712" s="49" t="s">
        <v>2134</v>
      </c>
      <c r="D1712" s="77" t="s">
        <v>2183</v>
      </c>
      <c r="E1712" s="41" t="str">
        <f>IFERROR(__xludf.DUMMYFUNCTION("vlookup(D1712,IMPORTRANGE(""https://docs.google.com/spreadsheets/d/1swGwZOEqYlTEUCJLY-eeJM1911Kvaei5oySBIxdgtNo/edit?pli=1#gid=257618397"",""stock untanna!B:C""),2,false)"),"MAP ZIPPER JALA A5 SIKA KN")</f>
        <v>MAP ZIPPER JALA A5 SIKA KN</v>
      </c>
      <c r="F1712" s="49" t="s">
        <v>2184</v>
      </c>
      <c r="G1712" s="71" t="s">
        <v>2185</v>
      </c>
      <c r="H1712" s="41"/>
      <c r="I1712" s="42"/>
      <c r="J1712" s="43"/>
      <c r="K1712" s="72">
        <v>96.0</v>
      </c>
      <c r="L1712" s="53" t="s">
        <v>69</v>
      </c>
      <c r="M1712" s="73">
        <v>9167.0</v>
      </c>
      <c r="N1712" s="74"/>
      <c r="O1712" s="73">
        <v>880032.0</v>
      </c>
      <c r="P1712" s="46" t="str">
        <f t="shared" si="2"/>
        <v>Rp9,167-96 PCS-0.00%</v>
      </c>
      <c r="Q1712" s="75">
        <v>45412.0</v>
      </c>
      <c r="R1712" s="76"/>
      <c r="S1712" s="75">
        <v>45422.0</v>
      </c>
      <c r="T1712" s="49"/>
    </row>
    <row r="1713">
      <c r="A1713" s="90">
        <v>1880.0</v>
      </c>
      <c r="B1713" s="91" t="s">
        <v>29</v>
      </c>
      <c r="C1713" s="49" t="s">
        <v>2134</v>
      </c>
      <c r="D1713" s="77" t="s">
        <v>2186</v>
      </c>
      <c r="E1713" s="41" t="str">
        <f>IFERROR(__xludf.DUMMYFUNCTION("vlookup(D1713,IMPORTRANGE(""https://docs.google.com/spreadsheets/d/1swGwZOEqYlTEUCJLY-eeJM1911Kvaei5oySBIxdgtNo/edit?pli=1#gid=257618397"",""stock untanna!B:C""),2,false)"),"MAP ZIPPER JALA A5 SIKA HJ")</f>
        <v>MAP ZIPPER JALA A5 SIKA HJ</v>
      </c>
      <c r="F1713" s="49" t="s">
        <v>2187</v>
      </c>
      <c r="G1713" s="71" t="s">
        <v>2188</v>
      </c>
      <c r="H1713" s="41"/>
      <c r="I1713" s="42"/>
      <c r="J1713" s="43"/>
      <c r="K1713" s="72">
        <v>96.0</v>
      </c>
      <c r="L1713" s="53" t="s">
        <v>69</v>
      </c>
      <c r="M1713" s="73">
        <v>9167.0</v>
      </c>
      <c r="N1713" s="74"/>
      <c r="O1713" s="73">
        <v>880032.0</v>
      </c>
      <c r="P1713" s="46" t="str">
        <f t="shared" si="2"/>
        <v>Rp9,167-96 PCS-0.00%</v>
      </c>
      <c r="Q1713" s="75">
        <v>45412.0</v>
      </c>
      <c r="R1713" s="76"/>
      <c r="S1713" s="75">
        <v>45422.0</v>
      </c>
      <c r="T1713" s="49"/>
    </row>
    <row r="1714">
      <c r="A1714" s="90">
        <v>1880.0</v>
      </c>
      <c r="B1714" s="91" t="s">
        <v>29</v>
      </c>
      <c r="C1714" s="49" t="s">
        <v>2134</v>
      </c>
      <c r="D1714" s="77" t="s">
        <v>2189</v>
      </c>
      <c r="E1714" s="41" t="str">
        <f>IFERROR(__xludf.DUMMYFUNCTION("vlookup(D1714,IMPORTRANGE(""https://docs.google.com/spreadsheets/d/1swGwZOEqYlTEUCJLY-eeJM1911Kvaei5oySBIxdgtNo/edit?pli=1#gid=257618397"",""stock untanna!B:C""),2,false)"),"MAP ZIPPER JALA A5 SIKA HT")</f>
        <v>MAP ZIPPER JALA A5 SIKA HT</v>
      </c>
      <c r="F1714" s="49" t="s">
        <v>2190</v>
      </c>
      <c r="G1714" s="71" t="s">
        <v>2191</v>
      </c>
      <c r="H1714" s="41"/>
      <c r="I1714" s="42"/>
      <c r="J1714" s="43"/>
      <c r="K1714" s="72">
        <v>96.0</v>
      </c>
      <c r="L1714" s="53" t="s">
        <v>69</v>
      </c>
      <c r="M1714" s="73">
        <v>9167.0</v>
      </c>
      <c r="N1714" s="74"/>
      <c r="O1714" s="73">
        <v>880032.0</v>
      </c>
      <c r="P1714" s="46" t="str">
        <f t="shared" si="2"/>
        <v>Rp9,167-96 PCS-0.00%</v>
      </c>
      <c r="Q1714" s="75">
        <v>45412.0</v>
      </c>
      <c r="R1714" s="76"/>
      <c r="S1714" s="75">
        <v>45422.0</v>
      </c>
      <c r="T1714" s="49"/>
    </row>
    <row r="1715">
      <c r="A1715" s="90">
        <v>1880.0</v>
      </c>
      <c r="B1715" s="91" t="s">
        <v>29</v>
      </c>
      <c r="C1715" s="49" t="s">
        <v>2134</v>
      </c>
      <c r="D1715" s="77" t="s">
        <v>2192</v>
      </c>
      <c r="E1715" s="41" t="str">
        <f>IFERROR(__xludf.DUMMYFUNCTION("vlookup(D1715,IMPORTRANGE(""https://docs.google.com/spreadsheets/d/1swGwZOEqYlTEUCJLY-eeJM1911Kvaei5oySBIxdgtNo/edit?pli=1#gid=257618397"",""stock untanna!B:C""),2,false)"),"MAP ZIPPER JALA A5 SIKA BR")</f>
        <v>MAP ZIPPER JALA A5 SIKA BR</v>
      </c>
      <c r="F1715" s="49" t="s">
        <v>2193</v>
      </c>
      <c r="G1715" s="71" t="s">
        <v>2194</v>
      </c>
      <c r="H1715" s="41"/>
      <c r="I1715" s="42"/>
      <c r="J1715" s="43"/>
      <c r="K1715" s="72">
        <v>96.0</v>
      </c>
      <c r="L1715" s="53" t="s">
        <v>69</v>
      </c>
      <c r="M1715" s="73">
        <v>9167.0</v>
      </c>
      <c r="N1715" s="74"/>
      <c r="O1715" s="73">
        <v>880032.0</v>
      </c>
      <c r="P1715" s="46" t="str">
        <f t="shared" si="2"/>
        <v>Rp9,167-96 PCS-0.00%</v>
      </c>
      <c r="Q1715" s="75">
        <v>45412.0</v>
      </c>
      <c r="R1715" s="76"/>
      <c r="S1715" s="75">
        <v>45422.0</v>
      </c>
      <c r="T1715" s="49"/>
    </row>
    <row r="1716">
      <c r="A1716" s="90">
        <v>1880.0</v>
      </c>
      <c r="B1716" s="91" t="s">
        <v>29</v>
      </c>
      <c r="C1716" s="49" t="s">
        <v>2134</v>
      </c>
      <c r="D1716" s="91"/>
      <c r="E1716" s="41" t="s">
        <v>141</v>
      </c>
      <c r="F1716" s="49"/>
      <c r="G1716" s="71" t="s">
        <v>141</v>
      </c>
      <c r="H1716" s="41"/>
      <c r="I1716" s="42"/>
      <c r="J1716" s="43"/>
      <c r="K1716" s="72">
        <v>40.0</v>
      </c>
      <c r="L1716" s="53" t="s">
        <v>69</v>
      </c>
      <c r="M1716" s="73">
        <v>18500.0</v>
      </c>
      <c r="N1716" s="74"/>
      <c r="O1716" s="73">
        <v>740000.0</v>
      </c>
      <c r="P1716" s="46" t="str">
        <f t="shared" si="2"/>
        <v>Rp18,500-40 PCS-0.00%</v>
      </c>
      <c r="Q1716" s="75">
        <v>45412.0</v>
      </c>
      <c r="R1716" s="76"/>
      <c r="S1716" s="75">
        <v>45422.0</v>
      </c>
      <c r="T1716" s="80" t="s">
        <v>280</v>
      </c>
    </row>
    <row r="1717">
      <c r="A1717" s="90">
        <v>1880.0</v>
      </c>
      <c r="B1717" s="91" t="s">
        <v>29</v>
      </c>
      <c r="C1717" s="49" t="s">
        <v>2134</v>
      </c>
      <c r="D1717" s="91" t="s">
        <v>2195</v>
      </c>
      <c r="E1717" s="41" t="str">
        <f>IFERROR(__xludf.DUMMYFUNCTION("vlookup(D1717,IMPORTRANGE(""https://docs.google.com/spreadsheets/d/1swGwZOEqYlTEUCJLY-eeJM1911Kvaei5oySBIxdgtNo/edit?pli=1#gid=257618397"",""stock untanna!B:C""),2,false)"),"DOUBLE TAPE FOAM 24MM")</f>
        <v>DOUBLE TAPE FOAM 24MM</v>
      </c>
      <c r="F1717" s="49" t="s">
        <v>2195</v>
      </c>
      <c r="G1717" s="71" t="s">
        <v>2196</v>
      </c>
      <c r="H1717" s="41"/>
      <c r="I1717" s="42"/>
      <c r="J1717" s="43"/>
      <c r="K1717" s="72">
        <v>24.0</v>
      </c>
      <c r="L1717" s="53" t="s">
        <v>69</v>
      </c>
      <c r="M1717" s="73">
        <v>11000.0</v>
      </c>
      <c r="N1717" s="74"/>
      <c r="O1717" s="73">
        <v>264000.0</v>
      </c>
      <c r="P1717" s="46" t="str">
        <f t="shared" si="2"/>
        <v>Rp11,000-24 PCS-0.00%</v>
      </c>
      <c r="Q1717" s="75">
        <v>45412.0</v>
      </c>
      <c r="R1717" s="76"/>
      <c r="S1717" s="75">
        <v>45422.0</v>
      </c>
      <c r="T1717" s="49"/>
    </row>
    <row r="1718">
      <c r="A1718" s="90">
        <v>4412.0</v>
      </c>
      <c r="B1718" s="91" t="s">
        <v>29</v>
      </c>
      <c r="C1718" s="49" t="s">
        <v>1768</v>
      </c>
      <c r="D1718" s="91" t="s">
        <v>734</v>
      </c>
      <c r="E1718" s="41" t="str">
        <f>IFERROR(__xludf.DUMMYFUNCTION("vlookup(D1718,IMPORTRANGE(""https://docs.google.com/spreadsheets/d/1swGwZOEqYlTEUCJLY-eeJM1911Kvaei5oySBIxdgtNo/edit?pli=1#gid=257618397"",""stock untanna!B:C""),2,false)"),"PENSIL 2B KAYAGI 3053")</f>
        <v>PENSIL 2B KAYAGI 3053</v>
      </c>
      <c r="F1718" s="49" t="s">
        <v>734</v>
      </c>
      <c r="G1718" s="71" t="s">
        <v>735</v>
      </c>
      <c r="H1718" s="41"/>
      <c r="I1718" s="42"/>
      <c r="J1718" s="43"/>
      <c r="K1718" s="72">
        <v>1.0</v>
      </c>
      <c r="L1718" s="53" t="s">
        <v>131</v>
      </c>
      <c r="M1718" s="73">
        <v>96000.0</v>
      </c>
      <c r="N1718" s="74"/>
      <c r="O1718" s="73">
        <v>96000.0</v>
      </c>
      <c r="P1718" s="46" t="str">
        <f t="shared" si="2"/>
        <v>Rp96,000-1 GRS-0.00%</v>
      </c>
      <c r="Q1718" s="75">
        <v>45412.0</v>
      </c>
      <c r="R1718" s="76"/>
      <c r="S1718" s="75">
        <v>45422.0</v>
      </c>
      <c r="T1718" s="49"/>
    </row>
    <row r="1719">
      <c r="A1719" s="90">
        <v>4412.0</v>
      </c>
      <c r="B1719" s="91" t="s">
        <v>29</v>
      </c>
      <c r="C1719" s="49" t="s">
        <v>1768</v>
      </c>
      <c r="D1719" s="91"/>
      <c r="E1719" s="41" t="s">
        <v>2197</v>
      </c>
      <c r="F1719" s="49"/>
      <c r="G1719" s="71" t="s">
        <v>2197</v>
      </c>
      <c r="H1719" s="41"/>
      <c r="I1719" s="42"/>
      <c r="J1719" s="43"/>
      <c r="K1719" s="72">
        <v>1.0</v>
      </c>
      <c r="L1719" s="53" t="s">
        <v>131</v>
      </c>
      <c r="M1719" s="73">
        <v>96000.0</v>
      </c>
      <c r="N1719" s="74"/>
      <c r="O1719" s="73">
        <v>96000.0</v>
      </c>
      <c r="P1719" s="46" t="str">
        <f t="shared" si="2"/>
        <v>Rp96,000-1 GRS-0.00%</v>
      </c>
      <c r="Q1719" s="75">
        <v>45412.0</v>
      </c>
      <c r="R1719" s="76"/>
      <c r="S1719" s="75">
        <v>45422.0</v>
      </c>
      <c r="T1719" s="49"/>
    </row>
    <row r="1720">
      <c r="A1720" s="90">
        <v>4412.0</v>
      </c>
      <c r="B1720" s="91" t="s">
        <v>29</v>
      </c>
      <c r="C1720" s="49" t="s">
        <v>1768</v>
      </c>
      <c r="D1720" s="91"/>
      <c r="E1720" s="41" t="s">
        <v>2198</v>
      </c>
      <c r="F1720" s="49"/>
      <c r="G1720" s="71" t="s">
        <v>2198</v>
      </c>
      <c r="H1720" s="41"/>
      <c r="I1720" s="42"/>
      <c r="J1720" s="43"/>
      <c r="K1720" s="72">
        <v>1.0</v>
      </c>
      <c r="L1720" s="53" t="s">
        <v>131</v>
      </c>
      <c r="M1720" s="73">
        <v>96000.0</v>
      </c>
      <c r="N1720" s="74"/>
      <c r="O1720" s="73">
        <v>96000.0</v>
      </c>
      <c r="P1720" s="46" t="str">
        <f t="shared" si="2"/>
        <v>Rp96,000-1 GRS-0.00%</v>
      </c>
      <c r="Q1720" s="75">
        <v>45412.0</v>
      </c>
      <c r="R1720" s="76"/>
      <c r="S1720" s="75">
        <v>45422.0</v>
      </c>
      <c r="T1720" s="49"/>
    </row>
    <row r="1721">
      <c r="A1721" s="90">
        <v>4412.0</v>
      </c>
      <c r="B1721" s="91" t="s">
        <v>29</v>
      </c>
      <c r="C1721" s="49" t="s">
        <v>1768</v>
      </c>
      <c r="D1721" s="91" t="s">
        <v>740</v>
      </c>
      <c r="E1721" s="41" t="str">
        <f>IFERROR(__xludf.DUMMYFUNCTION("vlookup(D1721,IMPORTRANGE(""https://docs.google.com/spreadsheets/d/1swGwZOEqYlTEUCJLY-eeJM1911Kvaei5oySBIxdgtNo/edit?pli=1#gid=257618397"",""stock untanna!B:C""),2,false)"),"PENSIL KAYAGI 3062")</f>
        <v>PENSIL KAYAGI 3062</v>
      </c>
      <c r="F1721" s="49" t="s">
        <v>740</v>
      </c>
      <c r="G1721" s="71" t="s">
        <v>741</v>
      </c>
      <c r="H1721" s="41"/>
      <c r="I1721" s="42"/>
      <c r="J1721" s="43"/>
      <c r="K1721" s="72">
        <v>1.0</v>
      </c>
      <c r="L1721" s="53" t="s">
        <v>131</v>
      </c>
      <c r="M1721" s="73">
        <v>96000.0</v>
      </c>
      <c r="N1721" s="74"/>
      <c r="O1721" s="73">
        <v>96000.0</v>
      </c>
      <c r="P1721" s="46" t="str">
        <f t="shared" si="2"/>
        <v>Rp96,000-1 GRS-0.00%</v>
      </c>
      <c r="Q1721" s="75">
        <v>45412.0</v>
      </c>
      <c r="R1721" s="76"/>
      <c r="S1721" s="75">
        <v>45422.0</v>
      </c>
      <c r="T1721" s="49"/>
    </row>
    <row r="1722">
      <c r="A1722" s="90">
        <v>4412.0</v>
      </c>
      <c r="B1722" s="91" t="s">
        <v>29</v>
      </c>
      <c r="C1722" s="49" t="s">
        <v>1768</v>
      </c>
      <c r="D1722" s="91" t="s">
        <v>1656</v>
      </c>
      <c r="E1722" s="41" t="str">
        <f>IFERROR(__xludf.DUMMYFUNCTION("vlookup(D1722,IMPORTRANGE(""https://docs.google.com/spreadsheets/d/1swGwZOEqYlTEUCJLY-eeJM1911Kvaei5oySBIxdgtNo/edit?pli=1#gid=257618397"",""stock untanna!B:C""),2,false)"),"PENSIL 2B KAYAGI 3041")</f>
        <v>PENSIL 2B KAYAGI 3041</v>
      </c>
      <c r="F1722" s="49" t="s">
        <v>1656</v>
      </c>
      <c r="G1722" s="71" t="s">
        <v>1657</v>
      </c>
      <c r="H1722" s="41"/>
      <c r="I1722" s="42"/>
      <c r="J1722" s="43"/>
      <c r="K1722" s="72">
        <v>1.0</v>
      </c>
      <c r="L1722" s="53" t="s">
        <v>131</v>
      </c>
      <c r="M1722" s="73">
        <v>96000.0</v>
      </c>
      <c r="N1722" s="74"/>
      <c r="O1722" s="73">
        <v>96000.0</v>
      </c>
      <c r="P1722" s="46" t="str">
        <f t="shared" si="2"/>
        <v>Rp96,000-1 GRS-0.00%</v>
      </c>
      <c r="Q1722" s="75">
        <v>45412.0</v>
      </c>
      <c r="R1722" s="76"/>
      <c r="S1722" s="75">
        <v>45422.0</v>
      </c>
      <c r="T1722" s="49"/>
    </row>
    <row r="1723">
      <c r="A1723" s="90">
        <v>4412.0</v>
      </c>
      <c r="B1723" s="91" t="s">
        <v>29</v>
      </c>
      <c r="C1723" s="49" t="s">
        <v>1768</v>
      </c>
      <c r="D1723" s="91"/>
      <c r="E1723" s="41" t="s">
        <v>2199</v>
      </c>
      <c r="F1723" s="49"/>
      <c r="G1723" s="71" t="s">
        <v>2199</v>
      </c>
      <c r="H1723" s="41"/>
      <c r="I1723" s="42"/>
      <c r="J1723" s="43"/>
      <c r="K1723" s="72">
        <v>1.0</v>
      </c>
      <c r="L1723" s="53" t="s">
        <v>131</v>
      </c>
      <c r="M1723" s="73">
        <v>90000.0</v>
      </c>
      <c r="N1723" s="74"/>
      <c r="O1723" s="73">
        <v>90000.0</v>
      </c>
      <c r="P1723" s="46" t="str">
        <f t="shared" si="2"/>
        <v>Rp90,000-1 GRS-0.00%</v>
      </c>
      <c r="Q1723" s="75">
        <v>45412.0</v>
      </c>
      <c r="R1723" s="76"/>
      <c r="S1723" s="75">
        <v>45422.0</v>
      </c>
      <c r="T1723" s="49"/>
    </row>
    <row r="1724">
      <c r="A1724" s="90">
        <v>4412.0</v>
      </c>
      <c r="B1724" s="91" t="s">
        <v>29</v>
      </c>
      <c r="C1724" s="49" t="s">
        <v>1768</v>
      </c>
      <c r="D1724" s="77" t="s">
        <v>2200</v>
      </c>
      <c r="E1724" s="41" t="str">
        <f>IFERROR(__xludf.DUMMYFUNCTION("IFNA(vlookup(D1724,IMPORTRANGE(""https://docs.google.com/spreadsheets/d/1swGwZOEqYlTEUCJLY-eeJM1911Kvaei5oySBIxdgtNo/edit?pli=1#gid=257618397"",""stock untanna!B:C""),2,false),V:V)"),"PENSIL TF 99 S")</f>
        <v>PENSIL TF 99 S</v>
      </c>
      <c r="F1724" s="49"/>
      <c r="G1724" s="71" t="s">
        <v>2201</v>
      </c>
      <c r="H1724" s="41"/>
      <c r="I1724" s="42"/>
      <c r="J1724" s="43" t="str">
        <f t="shared" ref="J1724:J1725" si="6">IF(D1724="","TIDAK ADA","ADA")</f>
        <v>ADA</v>
      </c>
      <c r="K1724" s="72">
        <v>1.0</v>
      </c>
      <c r="L1724" s="53" t="s">
        <v>131</v>
      </c>
      <c r="M1724" s="73">
        <v>90000.0</v>
      </c>
      <c r="N1724" s="74"/>
      <c r="O1724" s="73">
        <v>90000.0</v>
      </c>
      <c r="P1724" s="46" t="str">
        <f t="shared" si="2"/>
        <v>Rp90,000-1 GRS-0.00%</v>
      </c>
      <c r="Q1724" s="75">
        <v>45412.0</v>
      </c>
      <c r="R1724" s="76"/>
      <c r="S1724" s="75">
        <v>45422.0</v>
      </c>
      <c r="T1724" s="80" t="s">
        <v>280</v>
      </c>
    </row>
    <row r="1725">
      <c r="A1725" s="90">
        <v>4412.0</v>
      </c>
      <c r="B1725" s="91" t="s">
        <v>29</v>
      </c>
      <c r="C1725" s="49" t="s">
        <v>1768</v>
      </c>
      <c r="D1725" s="77" t="s">
        <v>136</v>
      </c>
      <c r="E1725" s="41" t="str">
        <f>IFERROR(__xludf.DUMMYFUNCTION("IFNA(vlookup(D1725,IMPORTRANGE(""https://docs.google.com/spreadsheets/d/1swGwZOEqYlTEUCJLY-eeJM1911Kvaei5oySBIxdgtNo/edit?pli=1#gid=257618397"",""stock untanna!B:C""),2,false),V:V)"),"PENSIL TF 168")</f>
        <v>PENSIL TF 168</v>
      </c>
      <c r="F1725" s="49"/>
      <c r="G1725" s="71" t="s">
        <v>137</v>
      </c>
      <c r="H1725" s="41"/>
      <c r="I1725" s="42"/>
      <c r="J1725" s="43" t="str">
        <f t="shared" si="6"/>
        <v>ADA</v>
      </c>
      <c r="K1725" s="72">
        <v>1.0</v>
      </c>
      <c r="L1725" s="53" t="s">
        <v>131</v>
      </c>
      <c r="M1725" s="73">
        <v>90000.0</v>
      </c>
      <c r="N1725" s="74"/>
      <c r="O1725" s="73">
        <v>90000.0</v>
      </c>
      <c r="P1725" s="46" t="str">
        <f t="shared" si="2"/>
        <v>Rp90,000-1 GRS-0.00%</v>
      </c>
      <c r="Q1725" s="75">
        <v>45412.0</v>
      </c>
      <c r="R1725" s="76"/>
      <c r="S1725" s="75">
        <v>45422.0</v>
      </c>
      <c r="T1725" s="80" t="s">
        <v>280</v>
      </c>
    </row>
    <row r="1726">
      <c r="A1726" s="90">
        <v>4412.0</v>
      </c>
      <c r="B1726" s="91" t="s">
        <v>29</v>
      </c>
      <c r="C1726" s="49" t="s">
        <v>1768</v>
      </c>
      <c r="D1726" s="91" t="s">
        <v>129</v>
      </c>
      <c r="E1726" s="41" t="str">
        <f>IFERROR(__xludf.DUMMYFUNCTION("vlookup(D1726,IMPORTRANGE(""https://docs.google.com/spreadsheets/d/1swGwZOEqYlTEUCJLY-eeJM1911Kvaei5oySBIxdgtNo/edit?pli=1#gid=257618397"",""stock untanna!B:C""),2,false)"),"PENSIL TF 688")</f>
        <v>PENSIL TF 688</v>
      </c>
      <c r="F1726" s="49" t="s">
        <v>129</v>
      </c>
      <c r="G1726" s="71" t="s">
        <v>130</v>
      </c>
      <c r="H1726" s="41"/>
      <c r="I1726" s="42"/>
      <c r="J1726" s="43"/>
      <c r="K1726" s="72">
        <v>1.0</v>
      </c>
      <c r="L1726" s="53" t="s">
        <v>131</v>
      </c>
      <c r="M1726" s="73">
        <v>90000.0</v>
      </c>
      <c r="N1726" s="74"/>
      <c r="O1726" s="73">
        <v>90000.0</v>
      </c>
      <c r="P1726" s="46" t="str">
        <f t="shared" si="2"/>
        <v>Rp90,000-1 GRS-0.00%</v>
      </c>
      <c r="Q1726" s="75">
        <v>45412.0</v>
      </c>
      <c r="R1726" s="76"/>
      <c r="S1726" s="75">
        <v>45422.0</v>
      </c>
      <c r="T1726" s="49"/>
    </row>
    <row r="1727">
      <c r="A1727" s="90">
        <v>4412.0</v>
      </c>
      <c r="B1727" s="91" t="s">
        <v>29</v>
      </c>
      <c r="C1727" s="49" t="s">
        <v>1768</v>
      </c>
      <c r="D1727" s="21" t="s">
        <v>134</v>
      </c>
      <c r="E1727" s="41" t="str">
        <f>IFERROR(__xludf.DUMMYFUNCTION("IFNA(vlookup(D1727,IMPORTRANGE(""https://docs.google.com/spreadsheets/d/1swGwZOEqYlTEUCJLY-eeJM1911Kvaei5oySBIxdgtNo/edit?pli=1#gid=257618397"",""stock untanna!B:C""),2,false),V:V)"),"PENSIL TF 888")</f>
        <v>PENSIL TF 888</v>
      </c>
      <c r="F1727" s="49"/>
      <c r="G1727" s="71" t="s">
        <v>135</v>
      </c>
      <c r="H1727" s="41"/>
      <c r="I1727" s="42"/>
      <c r="J1727" s="43" t="str">
        <f>IF(D1727="","TIDAK ADA","ADA")</f>
        <v>ADA</v>
      </c>
      <c r="K1727" s="72">
        <v>1.0</v>
      </c>
      <c r="L1727" s="53" t="s">
        <v>131</v>
      </c>
      <c r="M1727" s="73">
        <v>90000.0</v>
      </c>
      <c r="N1727" s="74"/>
      <c r="O1727" s="73">
        <v>90000.0</v>
      </c>
      <c r="P1727" s="46" t="str">
        <f t="shared" si="2"/>
        <v>Rp90,000-1 GRS-0.00%</v>
      </c>
      <c r="Q1727" s="75">
        <v>45412.0</v>
      </c>
      <c r="R1727" s="76"/>
      <c r="S1727" s="75">
        <v>45422.0</v>
      </c>
      <c r="T1727" s="80" t="s">
        <v>280</v>
      </c>
    </row>
    <row r="1728">
      <c r="A1728" s="90">
        <v>4412.0</v>
      </c>
      <c r="B1728" s="91" t="s">
        <v>29</v>
      </c>
      <c r="C1728" s="49" t="s">
        <v>1768</v>
      </c>
      <c r="D1728" s="91" t="s">
        <v>2202</v>
      </c>
      <c r="E1728" s="41" t="str">
        <f>IFERROR(__xludf.DUMMYFUNCTION("vlookup(D1728,IMPORTRANGE(""https://docs.google.com/spreadsheets/d/1swGwZOEqYlTEUCJLY-eeJM1911Kvaei5oySBIxdgtNo/edit?pli=1#gid=257618397"",""stock untanna!B:C""),2,false)"),"ASAHAN 9022")</f>
        <v>ASAHAN 9022</v>
      </c>
      <c r="F1728" s="49" t="s">
        <v>2202</v>
      </c>
      <c r="G1728" s="71" t="s">
        <v>2203</v>
      </c>
      <c r="H1728" s="41"/>
      <c r="I1728" s="42"/>
      <c r="J1728" s="43"/>
      <c r="K1728" s="72">
        <v>6.0</v>
      </c>
      <c r="L1728" s="53" t="s">
        <v>69</v>
      </c>
      <c r="M1728" s="73">
        <v>20000.0</v>
      </c>
      <c r="N1728" s="74"/>
      <c r="O1728" s="73">
        <v>120000.0</v>
      </c>
      <c r="P1728" s="46" t="str">
        <f t="shared" si="2"/>
        <v>Rp20,000-6 PCS-0.00%</v>
      </c>
      <c r="Q1728" s="75">
        <v>45412.0</v>
      </c>
      <c r="R1728" s="76"/>
      <c r="S1728" s="75">
        <v>45422.0</v>
      </c>
      <c r="T1728" s="49"/>
    </row>
    <row r="1729">
      <c r="A1729" s="90">
        <v>4412.0</v>
      </c>
      <c r="B1729" s="91" t="s">
        <v>29</v>
      </c>
      <c r="C1729" s="49" t="s">
        <v>1768</v>
      </c>
      <c r="D1729" s="91" t="s">
        <v>2204</v>
      </c>
      <c r="E1729" s="41" t="str">
        <f>IFERROR(__xludf.DUMMYFUNCTION("vlookup(D1729,IMPORTRANGE(""https://docs.google.com/spreadsheets/d/1swGwZOEqYlTEUCJLY-eeJM1911Kvaei5oySBIxdgtNo/edit?pli=1#gid=257618397"",""stock untanna!B:C""),2,false)"),"ASAHAN TG3695")</f>
        <v>ASAHAN TG3695</v>
      </c>
      <c r="F1729" s="49" t="s">
        <v>2204</v>
      </c>
      <c r="G1729" s="71" t="s">
        <v>2205</v>
      </c>
      <c r="H1729" s="41"/>
      <c r="I1729" s="42"/>
      <c r="J1729" s="43"/>
      <c r="K1729" s="72">
        <v>6.0</v>
      </c>
      <c r="L1729" s="53" t="s">
        <v>69</v>
      </c>
      <c r="M1729" s="73">
        <v>16000.0</v>
      </c>
      <c r="N1729" s="74"/>
      <c r="O1729" s="73">
        <v>96000.0</v>
      </c>
      <c r="P1729" s="46" t="str">
        <f t="shared" si="2"/>
        <v>Rp16,000-6 PCS-0.00%</v>
      </c>
      <c r="Q1729" s="75">
        <v>45412.0</v>
      </c>
      <c r="R1729" s="76"/>
      <c r="S1729" s="75">
        <v>45422.0</v>
      </c>
      <c r="T1729" s="49"/>
    </row>
    <row r="1730">
      <c r="A1730" s="90">
        <v>4412.0</v>
      </c>
      <c r="B1730" s="91" t="s">
        <v>29</v>
      </c>
      <c r="C1730" s="49" t="s">
        <v>1768</v>
      </c>
      <c r="D1730" s="91"/>
      <c r="E1730" s="41" t="s">
        <v>2206</v>
      </c>
      <c r="F1730" s="49"/>
      <c r="G1730" s="71" t="s">
        <v>2206</v>
      </c>
      <c r="H1730" s="41"/>
      <c r="I1730" s="42"/>
      <c r="J1730" s="43"/>
      <c r="K1730" s="72">
        <v>2000.0</v>
      </c>
      <c r="L1730" s="53" t="s">
        <v>69</v>
      </c>
      <c r="M1730" s="73">
        <v>750.0</v>
      </c>
      <c r="N1730" s="74"/>
      <c r="O1730" s="73">
        <v>1500000.0</v>
      </c>
      <c r="P1730" s="46" t="str">
        <f t="shared" si="2"/>
        <v>Rp750-2000 PCS-0.00%</v>
      </c>
      <c r="Q1730" s="75">
        <v>45412.0</v>
      </c>
      <c r="R1730" s="76"/>
      <c r="S1730" s="75">
        <v>45422.0</v>
      </c>
      <c r="T1730" s="80" t="s">
        <v>280</v>
      </c>
    </row>
    <row r="1731">
      <c r="A1731" s="90">
        <v>4412.0</v>
      </c>
      <c r="B1731" s="91" t="s">
        <v>29</v>
      </c>
      <c r="C1731" s="49" t="s">
        <v>1768</v>
      </c>
      <c r="D1731" s="91"/>
      <c r="E1731" s="41" t="s">
        <v>2207</v>
      </c>
      <c r="F1731" s="49"/>
      <c r="G1731" s="71" t="s">
        <v>2207</v>
      </c>
      <c r="H1731" s="41"/>
      <c r="I1731" s="42"/>
      <c r="J1731" s="43"/>
      <c r="K1731" s="72">
        <v>3.0</v>
      </c>
      <c r="L1731" s="53" t="s">
        <v>88</v>
      </c>
      <c r="M1731" s="73">
        <v>70000.0</v>
      </c>
      <c r="N1731" s="74"/>
      <c r="O1731" s="73">
        <v>210000.0</v>
      </c>
      <c r="P1731" s="46" t="str">
        <f t="shared" si="2"/>
        <v>Rp70,000-3 BOX-0.00%</v>
      </c>
      <c r="Q1731" s="75">
        <v>45412.0</v>
      </c>
      <c r="R1731" s="76"/>
      <c r="S1731" s="75">
        <v>45422.0</v>
      </c>
      <c r="T1731" s="49"/>
    </row>
    <row r="1732">
      <c r="A1732" s="90">
        <v>4412.0</v>
      </c>
      <c r="B1732" s="91" t="s">
        <v>29</v>
      </c>
      <c r="C1732" s="49" t="s">
        <v>1768</v>
      </c>
      <c r="D1732" s="91" t="s">
        <v>31</v>
      </c>
      <c r="E1732" s="41" t="str">
        <f>IFERROR(__xludf.DUMMYFUNCTION("vlookup(D1732,IMPORTRANGE(""https://docs.google.com/spreadsheets/d/1swGwZOEqYlTEUCJLY-eeJM1911Kvaei5oySBIxdgtNo/edit?pli=1#gid=257618397"",""stock untanna!B:C""),2,false)"),"ISI STAPLER 13/8 JOSS")</f>
        <v>ISI STAPLER 13/8 JOSS</v>
      </c>
      <c r="F1732" s="49" t="s">
        <v>31</v>
      </c>
      <c r="G1732" s="71" t="s">
        <v>113</v>
      </c>
      <c r="H1732" s="41"/>
      <c r="I1732" s="42"/>
      <c r="J1732" s="43"/>
      <c r="K1732" s="72">
        <v>20.0</v>
      </c>
      <c r="L1732" s="53" t="s">
        <v>114</v>
      </c>
      <c r="M1732" s="73">
        <v>18500.0</v>
      </c>
      <c r="N1732" s="74"/>
      <c r="O1732" s="73">
        <v>370000.0</v>
      </c>
      <c r="P1732" s="46" t="str">
        <f t="shared" si="2"/>
        <v>Rp18,500-20 PAK-0.00%</v>
      </c>
      <c r="Q1732" s="75">
        <v>45412.0</v>
      </c>
      <c r="R1732" s="76"/>
      <c r="S1732" s="75">
        <v>45422.0</v>
      </c>
      <c r="T1732" s="49"/>
    </row>
    <row r="1733">
      <c r="A1733" s="90">
        <v>4412.0</v>
      </c>
      <c r="B1733" s="91" t="s">
        <v>29</v>
      </c>
      <c r="C1733" s="49" t="s">
        <v>1768</v>
      </c>
      <c r="D1733" s="91" t="s">
        <v>104</v>
      </c>
      <c r="E1733" s="41" t="str">
        <f>IFERROR(__xludf.DUMMYFUNCTION("vlookup(D1733,IMPORTRANGE(""https://docs.google.com/spreadsheets/d/1swGwZOEqYlTEUCJLY-eeJM1911Kvaei5oySBIxdgtNo/edit?pli=1#gid=257618397"",""stock untanna!B:C""),2,false)"),"PENCIL CASE 588-157 MAGNET")</f>
        <v>PENCIL CASE 588-157 MAGNET</v>
      </c>
      <c r="F1733" s="49" t="s">
        <v>104</v>
      </c>
      <c r="G1733" s="71" t="s">
        <v>105</v>
      </c>
      <c r="H1733" s="41"/>
      <c r="I1733" s="42"/>
      <c r="J1733" s="43"/>
      <c r="K1733" s="72">
        <v>24.0</v>
      </c>
      <c r="L1733" s="53" t="s">
        <v>69</v>
      </c>
      <c r="M1733" s="73">
        <v>16667.0</v>
      </c>
      <c r="N1733" s="74"/>
      <c r="O1733" s="73">
        <v>400008.0</v>
      </c>
      <c r="P1733" s="46" t="str">
        <f t="shared" si="2"/>
        <v>Rp16,667-24 PCS-0.00%</v>
      </c>
      <c r="Q1733" s="75">
        <v>45412.0</v>
      </c>
      <c r="R1733" s="76"/>
      <c r="S1733" s="75">
        <v>45422.0</v>
      </c>
      <c r="T1733" s="49"/>
    </row>
    <row r="1734">
      <c r="A1734" s="90">
        <v>4413.0</v>
      </c>
      <c r="B1734" s="91" t="s">
        <v>29</v>
      </c>
      <c r="C1734" s="49" t="s">
        <v>1768</v>
      </c>
      <c r="D1734" s="91" t="s">
        <v>1402</v>
      </c>
      <c r="E1734" s="41" t="str">
        <f>IFERROR(__xludf.DUMMYFUNCTION("vlookup(D1734,IMPORTRANGE(""https://docs.google.com/spreadsheets/d/1swGwZOEqYlTEUCJLY-eeJM1911Kvaei5oySBIxdgtNo/edit?pli=1#gid=257618397"",""stock untanna!B:C""),2,false)"),"PENCIL CASE DZ-8057 MAGNET")</f>
        <v>PENCIL CASE DZ-8057 MAGNET</v>
      </c>
      <c r="F1734" s="49" t="s">
        <v>1402</v>
      </c>
      <c r="G1734" s="71" t="s">
        <v>1403</v>
      </c>
      <c r="H1734" s="41"/>
      <c r="I1734" s="42"/>
      <c r="J1734" s="43"/>
      <c r="K1734" s="72">
        <v>2.0</v>
      </c>
      <c r="L1734" s="53" t="s">
        <v>62</v>
      </c>
      <c r="M1734" s="73">
        <v>200000.0</v>
      </c>
      <c r="N1734" s="74"/>
      <c r="O1734" s="73">
        <v>400000.0</v>
      </c>
      <c r="P1734" s="46" t="str">
        <f t="shared" si="2"/>
        <v>Rp200,000-2 LSN-0.00%</v>
      </c>
      <c r="Q1734" s="75">
        <v>45412.0</v>
      </c>
      <c r="R1734" s="76"/>
      <c r="S1734" s="75">
        <v>45422.0</v>
      </c>
      <c r="T1734" s="49"/>
    </row>
    <row r="1735">
      <c r="A1735" s="90">
        <v>4413.0</v>
      </c>
      <c r="B1735" s="91" t="s">
        <v>29</v>
      </c>
      <c r="C1735" s="49" t="s">
        <v>1768</v>
      </c>
      <c r="D1735" s="91" t="s">
        <v>582</v>
      </c>
      <c r="E1735" s="41" t="str">
        <f>IFERROR(__xludf.DUMMYFUNCTION("vlookup(D1735,IMPORTRANGE(""https://docs.google.com/spreadsheets/d/1swGwZOEqYlTEUCJLY-eeJM1911Kvaei5oySBIxdgtNo/edit?pli=1#gid=257618397"",""stock untanna!B:C""),2,false)"),"PENCIL CASE DZ-0065 MAGNET")</f>
        <v>PENCIL CASE DZ-0065 MAGNET</v>
      </c>
      <c r="F1735" s="49" t="s">
        <v>582</v>
      </c>
      <c r="G1735" s="71" t="s">
        <v>583</v>
      </c>
      <c r="H1735" s="41"/>
      <c r="I1735" s="42"/>
      <c r="J1735" s="43"/>
      <c r="K1735" s="72">
        <v>24.0</v>
      </c>
      <c r="L1735" s="53" t="s">
        <v>69</v>
      </c>
      <c r="M1735" s="73">
        <v>12500.0</v>
      </c>
      <c r="N1735" s="74"/>
      <c r="O1735" s="73">
        <v>300000.0</v>
      </c>
      <c r="P1735" s="46" t="str">
        <f t="shared" si="2"/>
        <v>Rp12,500-24 PCS-0.00%</v>
      </c>
      <c r="Q1735" s="75">
        <v>45412.0</v>
      </c>
      <c r="R1735" s="76"/>
      <c r="S1735" s="75">
        <v>45422.0</v>
      </c>
      <c r="T1735" s="49"/>
    </row>
    <row r="1736">
      <c r="A1736" s="90">
        <v>4413.0</v>
      </c>
      <c r="B1736" s="91" t="s">
        <v>29</v>
      </c>
      <c r="C1736" s="49" t="s">
        <v>1768</v>
      </c>
      <c r="D1736" s="91" t="s">
        <v>1400</v>
      </c>
      <c r="E1736" s="41" t="str">
        <f>IFERROR(__xludf.DUMMYFUNCTION("vlookup(D1736,IMPORTRANGE(""https://docs.google.com/spreadsheets/d/1swGwZOEqYlTEUCJLY-eeJM1911Kvaei5oySBIxdgtNo/edit?pli=1#gid=257618397"",""stock untanna!B:C""),2,false)"),"PENSIL CASE A-207")</f>
        <v>PENSIL CASE A-207</v>
      </c>
      <c r="F1736" s="49" t="s">
        <v>1400</v>
      </c>
      <c r="G1736" s="71" t="s">
        <v>1401</v>
      </c>
      <c r="H1736" s="41"/>
      <c r="I1736" s="42"/>
      <c r="J1736" s="43"/>
      <c r="K1736" s="72">
        <v>24.0</v>
      </c>
      <c r="L1736" s="53" t="s">
        <v>69</v>
      </c>
      <c r="M1736" s="73">
        <v>12500.0</v>
      </c>
      <c r="N1736" s="74"/>
      <c r="O1736" s="73">
        <v>300000.0</v>
      </c>
      <c r="P1736" s="46" t="str">
        <f t="shared" si="2"/>
        <v>Rp12,500-24 PCS-0.00%</v>
      </c>
      <c r="Q1736" s="75">
        <v>45412.0</v>
      </c>
      <c r="R1736" s="76"/>
      <c r="S1736" s="75">
        <v>45422.0</v>
      </c>
      <c r="T1736" s="49"/>
    </row>
    <row r="1737">
      <c r="A1737" s="90">
        <v>4413.0</v>
      </c>
      <c r="B1737" s="91" t="s">
        <v>29</v>
      </c>
      <c r="C1737" s="49" t="s">
        <v>1768</v>
      </c>
      <c r="D1737" s="91" t="s">
        <v>2208</v>
      </c>
      <c r="E1737" s="41" t="str">
        <f>IFERROR(__xludf.DUMMYFUNCTION("vlookup(D1737,IMPORTRANGE(""https://docs.google.com/spreadsheets/d/1swGwZOEqYlTEUCJLY-eeJM1911Kvaei5oySBIxdgtNo/edit?pli=1#gid=257618397"",""stock untanna!B:C""),2,false)"),"PENSIL CASE 168-22 KALENG")</f>
        <v>PENSIL CASE 168-22 KALENG</v>
      </c>
      <c r="F1737" s="49" t="s">
        <v>2208</v>
      </c>
      <c r="G1737" s="71" t="s">
        <v>2209</v>
      </c>
      <c r="H1737" s="41"/>
      <c r="I1737" s="42"/>
      <c r="J1737" s="43"/>
      <c r="K1737" s="72">
        <v>24.0</v>
      </c>
      <c r="L1737" s="53" t="s">
        <v>69</v>
      </c>
      <c r="M1737" s="73">
        <v>12500.0</v>
      </c>
      <c r="N1737" s="74"/>
      <c r="O1737" s="73">
        <v>300000.0</v>
      </c>
      <c r="P1737" s="46" t="str">
        <f t="shared" si="2"/>
        <v>Rp12,500-24 PCS-0.00%</v>
      </c>
      <c r="Q1737" s="75">
        <v>45412.0</v>
      </c>
      <c r="R1737" s="76"/>
      <c r="S1737" s="75">
        <v>45422.0</v>
      </c>
      <c r="T1737" s="49"/>
    </row>
    <row r="1738">
      <c r="A1738" s="90">
        <v>4413.0</v>
      </c>
      <c r="B1738" s="91" t="s">
        <v>29</v>
      </c>
      <c r="C1738" s="49" t="s">
        <v>1768</v>
      </c>
      <c r="D1738" s="91" t="s">
        <v>2210</v>
      </c>
      <c r="E1738" s="41" t="str">
        <f>IFERROR(__xludf.DUMMYFUNCTION("vlookup(D1738,IMPORTRANGE(""https://docs.google.com/spreadsheets/d/1swGwZOEqYlTEUCJLY-eeJM1911Kvaei5oySBIxdgtNo/edit?pli=1#gid=257618397"",""stock untanna!B:C""),2,false)"),"PENSIL CASE DZ-32 KALENG")</f>
        <v>PENSIL CASE DZ-32 KALENG</v>
      </c>
      <c r="F1738" s="49" t="s">
        <v>2210</v>
      </c>
      <c r="G1738" s="71" t="s">
        <v>2211</v>
      </c>
      <c r="H1738" s="41"/>
      <c r="I1738" s="42"/>
      <c r="J1738" s="43"/>
      <c r="K1738" s="72">
        <v>24.0</v>
      </c>
      <c r="L1738" s="53" t="s">
        <v>69</v>
      </c>
      <c r="M1738" s="73">
        <v>12500.0</v>
      </c>
      <c r="N1738" s="74"/>
      <c r="O1738" s="73">
        <v>300000.0</v>
      </c>
      <c r="P1738" s="46" t="str">
        <f t="shared" si="2"/>
        <v>Rp12,500-24 PCS-0.00%</v>
      </c>
      <c r="Q1738" s="75">
        <v>45412.0</v>
      </c>
      <c r="R1738" s="76"/>
      <c r="S1738" s="75">
        <v>45422.0</v>
      </c>
      <c r="T1738" s="49"/>
    </row>
    <row r="1739">
      <c r="A1739" s="90">
        <v>4413.0</v>
      </c>
      <c r="B1739" s="91" t="s">
        <v>29</v>
      </c>
      <c r="C1739" s="49" t="s">
        <v>1768</v>
      </c>
      <c r="D1739" s="91" t="s">
        <v>1104</v>
      </c>
      <c r="E1739" s="41" t="str">
        <f>IFERROR(__xludf.DUMMYFUNCTION("vlookup(D1739,IMPORTRANGE(""https://docs.google.com/spreadsheets/d/1swGwZOEqYlTEUCJLY-eeJM1911Kvaei5oySBIxdgtNo/edit?pli=1#gid=257618397"",""stock untanna!B:C""),2,false)"),"PENCIL CASE XLG BD954")</f>
        <v>PENCIL CASE XLG BD954</v>
      </c>
      <c r="F1739" s="49" t="s">
        <v>1104</v>
      </c>
      <c r="G1739" s="71" t="s">
        <v>1105</v>
      </c>
      <c r="H1739" s="41"/>
      <c r="I1739" s="42"/>
      <c r="J1739" s="43"/>
      <c r="K1739" s="72">
        <v>12.0</v>
      </c>
      <c r="L1739" s="53" t="s">
        <v>69</v>
      </c>
      <c r="M1739" s="73">
        <v>26250.0</v>
      </c>
      <c r="N1739" s="74"/>
      <c r="O1739" s="73">
        <v>315000.0</v>
      </c>
      <c r="P1739" s="46" t="str">
        <f t="shared" si="2"/>
        <v>Rp26,250-12 PCS-0.00%</v>
      </c>
      <c r="Q1739" s="75">
        <v>45412.0</v>
      </c>
      <c r="R1739" s="76"/>
      <c r="S1739" s="75">
        <v>45422.0</v>
      </c>
      <c r="T1739" s="49"/>
    </row>
    <row r="1740">
      <c r="A1740" s="90">
        <v>4413.0</v>
      </c>
      <c r="B1740" s="91" t="s">
        <v>29</v>
      </c>
      <c r="C1740" s="49" t="s">
        <v>1768</v>
      </c>
      <c r="D1740" s="91" t="s">
        <v>2212</v>
      </c>
      <c r="E1740" s="41" t="str">
        <f>IFERROR(__xludf.DUMMYFUNCTION("vlookup(D1740,IMPORTRANGE(""https://docs.google.com/spreadsheets/d/1swGwZOEqYlTEUCJLY-eeJM1911Kvaei5oySBIxdgtNo/edit?pli=1#gid=257618397"",""stock untanna!B:C""),2,false)"),"PENCIL CASE XLG BD861")</f>
        <v>PENCIL CASE XLG BD861</v>
      </c>
      <c r="F1740" s="49" t="s">
        <v>2212</v>
      </c>
      <c r="G1740" s="71" t="s">
        <v>2213</v>
      </c>
      <c r="H1740" s="41"/>
      <c r="I1740" s="42"/>
      <c r="J1740" s="43"/>
      <c r="K1740" s="72">
        <v>12.0</v>
      </c>
      <c r="L1740" s="53" t="s">
        <v>69</v>
      </c>
      <c r="M1740" s="73">
        <v>24167.0</v>
      </c>
      <c r="N1740" s="74"/>
      <c r="O1740" s="73">
        <v>290004.0</v>
      </c>
      <c r="P1740" s="46" t="str">
        <f t="shared" si="2"/>
        <v>Rp24,167-12 PCS-0.00%</v>
      </c>
      <c r="Q1740" s="75">
        <v>45412.0</v>
      </c>
      <c r="R1740" s="76"/>
      <c r="S1740" s="75">
        <v>45422.0</v>
      </c>
      <c r="T1740" s="49"/>
    </row>
    <row r="1741">
      <c r="A1741" s="90">
        <v>4413.0</v>
      </c>
      <c r="B1741" s="91" t="s">
        <v>29</v>
      </c>
      <c r="C1741" s="49" t="s">
        <v>1768</v>
      </c>
      <c r="D1741" s="91" t="s">
        <v>566</v>
      </c>
      <c r="E1741" s="41" t="str">
        <f>IFERROR(__xludf.DUMMYFUNCTION("vlookup(D1741,IMPORTRANGE(""https://docs.google.com/spreadsheets/d/1swGwZOEqYlTEUCJLY-eeJM1911Kvaei5oySBIxdgtNo/edit?pli=1#gid=257618397"",""stock untanna!B:C""),2,false)"),"PENCIL CASE XLG BD194-B")</f>
        <v>PENCIL CASE XLG BD194-B</v>
      </c>
      <c r="F1741" s="49" t="s">
        <v>566</v>
      </c>
      <c r="G1741" s="71" t="s">
        <v>567</v>
      </c>
      <c r="H1741" s="41"/>
      <c r="I1741" s="42"/>
      <c r="J1741" s="43"/>
      <c r="K1741" s="72">
        <v>12.0</v>
      </c>
      <c r="L1741" s="53" t="s">
        <v>69</v>
      </c>
      <c r="M1741" s="73">
        <v>17500.0</v>
      </c>
      <c r="N1741" s="74"/>
      <c r="O1741" s="73">
        <v>210000.0</v>
      </c>
      <c r="P1741" s="46" t="str">
        <f t="shared" si="2"/>
        <v>Rp17,500-12 PCS-0.00%</v>
      </c>
      <c r="Q1741" s="75">
        <v>45412.0</v>
      </c>
      <c r="R1741" s="76"/>
      <c r="S1741" s="75">
        <v>45422.0</v>
      </c>
      <c r="T1741" s="49"/>
    </row>
    <row r="1742">
      <c r="A1742" s="90">
        <v>4413.0</v>
      </c>
      <c r="B1742" s="91" t="s">
        <v>29</v>
      </c>
      <c r="C1742" s="49" t="s">
        <v>1768</v>
      </c>
      <c r="D1742" s="91" t="s">
        <v>1102</v>
      </c>
      <c r="E1742" s="41" t="str">
        <f>IFERROR(__xludf.DUMMYFUNCTION("vlookup(D1742,IMPORTRANGE(""https://docs.google.com/spreadsheets/d/1swGwZOEqYlTEUCJLY-eeJM1911Kvaei5oySBIxdgtNo/edit?pli=1#gid=257618397"",""stock untanna!B:C""),2,false)"),"PENCIL CASE XLG BD860")</f>
        <v>PENCIL CASE XLG BD860</v>
      </c>
      <c r="F1742" s="49" t="s">
        <v>1102</v>
      </c>
      <c r="G1742" s="71" t="s">
        <v>1103</v>
      </c>
      <c r="H1742" s="41"/>
      <c r="I1742" s="42"/>
      <c r="J1742" s="43"/>
      <c r="K1742" s="72">
        <v>12.0</v>
      </c>
      <c r="L1742" s="53" t="s">
        <v>69</v>
      </c>
      <c r="M1742" s="73">
        <v>24167.0</v>
      </c>
      <c r="N1742" s="74"/>
      <c r="O1742" s="73">
        <v>290004.0</v>
      </c>
      <c r="P1742" s="46" t="str">
        <f t="shared" si="2"/>
        <v>Rp24,167-12 PCS-0.00%</v>
      </c>
      <c r="Q1742" s="75">
        <v>45412.0</v>
      </c>
      <c r="R1742" s="76"/>
      <c r="S1742" s="75">
        <v>45422.0</v>
      </c>
      <c r="T1742" s="49"/>
    </row>
    <row r="1743">
      <c r="A1743" s="90">
        <v>4413.0</v>
      </c>
      <c r="B1743" s="91" t="s">
        <v>29</v>
      </c>
      <c r="C1743" s="49" t="s">
        <v>1768</v>
      </c>
      <c r="D1743" s="91" t="s">
        <v>1100</v>
      </c>
      <c r="E1743" s="41" t="str">
        <f>IFERROR(__xludf.DUMMYFUNCTION("vlookup(D1743,IMPORTRANGE(""https://docs.google.com/spreadsheets/d/1swGwZOEqYlTEUCJLY-eeJM1911Kvaei5oySBIxdgtNo/edit?pli=1#gid=257618397"",""stock untanna!B:C""),2,false)"),"PENCIL CASE XLG BD838")</f>
        <v>PENCIL CASE XLG BD838</v>
      </c>
      <c r="F1743" s="49" t="s">
        <v>1100</v>
      </c>
      <c r="G1743" s="71" t="s">
        <v>1101</v>
      </c>
      <c r="H1743" s="41"/>
      <c r="I1743" s="42"/>
      <c r="J1743" s="43"/>
      <c r="K1743" s="72">
        <v>12.0</v>
      </c>
      <c r="L1743" s="53" t="s">
        <v>69</v>
      </c>
      <c r="M1743" s="73">
        <v>25000.0</v>
      </c>
      <c r="N1743" s="74"/>
      <c r="O1743" s="73">
        <v>300000.0</v>
      </c>
      <c r="P1743" s="46" t="str">
        <f t="shared" si="2"/>
        <v>Rp25,000-12 PCS-0.00%</v>
      </c>
      <c r="Q1743" s="75">
        <v>45412.0</v>
      </c>
      <c r="R1743" s="76"/>
      <c r="S1743" s="75">
        <v>45422.0</v>
      </c>
      <c r="T1743" s="49"/>
    </row>
    <row r="1744">
      <c r="A1744" s="90">
        <v>4413.0</v>
      </c>
      <c r="B1744" s="91" t="s">
        <v>29</v>
      </c>
      <c r="C1744" s="49" t="s">
        <v>1768</v>
      </c>
      <c r="D1744" s="91" t="s">
        <v>521</v>
      </c>
      <c r="E1744" s="41" t="str">
        <f>IFERROR(__xludf.DUMMYFUNCTION("vlookup(D1744,IMPORTRANGE(""https://docs.google.com/spreadsheets/d/1swGwZOEqYlTEUCJLY-eeJM1911Kvaei5oySBIxdgtNo/edit?pli=1#gid=257618397"",""stock untanna!B:C""),2,false)"),"ASAHAN PAYU 831 IKAN")</f>
        <v>ASAHAN PAYU 831 IKAN</v>
      </c>
      <c r="F1744" s="49" t="s">
        <v>521</v>
      </c>
      <c r="G1744" s="71" t="s">
        <v>522</v>
      </c>
      <c r="H1744" s="41"/>
      <c r="I1744" s="42"/>
      <c r="J1744" s="43"/>
      <c r="K1744" s="72">
        <v>4.0</v>
      </c>
      <c r="L1744" s="53" t="s">
        <v>88</v>
      </c>
      <c r="M1744" s="73">
        <v>12000.0</v>
      </c>
      <c r="N1744" s="74"/>
      <c r="O1744" s="73">
        <v>48000.0</v>
      </c>
      <c r="P1744" s="46" t="str">
        <f t="shared" si="2"/>
        <v>Rp12,000-4 BOX-0.00%</v>
      </c>
      <c r="Q1744" s="75">
        <v>45412.0</v>
      </c>
      <c r="R1744" s="76"/>
      <c r="S1744" s="75">
        <v>45422.0</v>
      </c>
      <c r="T1744" s="49"/>
    </row>
    <row r="1745">
      <c r="A1745" s="90">
        <v>4413.0</v>
      </c>
      <c r="B1745" s="91" t="s">
        <v>29</v>
      </c>
      <c r="C1745" s="49" t="s">
        <v>1768</v>
      </c>
      <c r="D1745" s="91" t="s">
        <v>1118</v>
      </c>
      <c r="E1745" s="41" t="str">
        <f>IFERROR(__xludf.DUMMYFUNCTION("vlookup(D1745,IMPORTRANGE(""https://docs.google.com/spreadsheets/d/1swGwZOEqYlTEUCJLY-eeJM1911Kvaei5oySBIxdgtNo/edit?pli=1#gid=257618397"",""stock untanna!B:C""),2,false)"),"ASAHAN PAYU 827 ANGSA")</f>
        <v>ASAHAN PAYU 827 ANGSA</v>
      </c>
      <c r="F1745" s="49" t="s">
        <v>1118</v>
      </c>
      <c r="G1745" s="71" t="s">
        <v>1119</v>
      </c>
      <c r="H1745" s="41"/>
      <c r="I1745" s="42"/>
      <c r="J1745" s="43"/>
      <c r="K1745" s="72">
        <v>4.0</v>
      </c>
      <c r="L1745" s="53" t="s">
        <v>88</v>
      </c>
      <c r="M1745" s="73">
        <v>12000.0</v>
      </c>
      <c r="N1745" s="74"/>
      <c r="O1745" s="73">
        <v>48000.0</v>
      </c>
      <c r="P1745" s="46" t="str">
        <f t="shared" si="2"/>
        <v>Rp12,000-4 BOX-0.00%</v>
      </c>
      <c r="Q1745" s="75">
        <v>45412.0</v>
      </c>
      <c r="R1745" s="76"/>
      <c r="S1745" s="75">
        <v>45422.0</v>
      </c>
      <c r="T1745" s="49"/>
    </row>
    <row r="1746">
      <c r="A1746" s="90">
        <v>4413.0</v>
      </c>
      <c r="B1746" s="91" t="s">
        <v>29</v>
      </c>
      <c r="C1746" s="49" t="s">
        <v>1768</v>
      </c>
      <c r="D1746" s="91" t="s">
        <v>519</v>
      </c>
      <c r="E1746" s="41" t="str">
        <f>IFERROR(__xludf.DUMMYFUNCTION("vlookup(D1746,IMPORTRANGE(""https://docs.google.com/spreadsheets/d/1swGwZOEqYlTEUCJLY-eeJM1911Kvaei5oySBIxdgtNo/edit?pli=1#gid=257618397"",""stock untanna!B:C""),2,false)"),"ASAHAN PAYU 856 ANJING")</f>
        <v>ASAHAN PAYU 856 ANJING</v>
      </c>
      <c r="F1746" s="49" t="s">
        <v>519</v>
      </c>
      <c r="G1746" s="71" t="s">
        <v>520</v>
      </c>
      <c r="H1746" s="41"/>
      <c r="I1746" s="42"/>
      <c r="J1746" s="43"/>
      <c r="K1746" s="72">
        <v>4.0</v>
      </c>
      <c r="L1746" s="53" t="s">
        <v>88</v>
      </c>
      <c r="M1746" s="73">
        <v>12000.0</v>
      </c>
      <c r="N1746" s="74"/>
      <c r="O1746" s="73">
        <v>48000.0</v>
      </c>
      <c r="P1746" s="46" t="str">
        <f t="shared" si="2"/>
        <v>Rp12,000-4 BOX-0.00%</v>
      </c>
      <c r="Q1746" s="75">
        <v>45412.0</v>
      </c>
      <c r="R1746" s="76"/>
      <c r="S1746" s="75">
        <v>45422.0</v>
      </c>
      <c r="T1746" s="49"/>
    </row>
    <row r="1747">
      <c r="A1747" s="90">
        <v>4413.0</v>
      </c>
      <c r="B1747" s="91" t="s">
        <v>29</v>
      </c>
      <c r="C1747" s="49" t="s">
        <v>1768</v>
      </c>
      <c r="D1747" s="91" t="s">
        <v>517</v>
      </c>
      <c r="E1747" s="41" t="str">
        <f>IFERROR(__xludf.DUMMYFUNCTION("vlookup(D1747,IMPORTRANGE(""https://docs.google.com/spreadsheets/d/1swGwZOEqYlTEUCJLY-eeJM1911Kvaei5oySBIxdgtNo/edit?pli=1#gid=257618397"",""stock untanna!B:C""),2,false)"),"ASAHAN PAYU 846 KUDA GOYANG")</f>
        <v>ASAHAN PAYU 846 KUDA GOYANG</v>
      </c>
      <c r="F1747" s="49" t="s">
        <v>517</v>
      </c>
      <c r="G1747" s="71" t="s">
        <v>518</v>
      </c>
      <c r="H1747" s="41"/>
      <c r="I1747" s="42"/>
      <c r="J1747" s="43"/>
      <c r="K1747" s="72">
        <v>4.0</v>
      </c>
      <c r="L1747" s="53" t="s">
        <v>88</v>
      </c>
      <c r="M1747" s="73">
        <v>12000.0</v>
      </c>
      <c r="N1747" s="74"/>
      <c r="O1747" s="73">
        <v>48000.0</v>
      </c>
      <c r="P1747" s="46" t="str">
        <f t="shared" si="2"/>
        <v>Rp12,000-4 BOX-0.00%</v>
      </c>
      <c r="Q1747" s="75">
        <v>45412.0</v>
      </c>
      <c r="R1747" s="76"/>
      <c r="S1747" s="75">
        <v>45422.0</v>
      </c>
      <c r="T1747" s="49"/>
    </row>
    <row r="1748">
      <c r="A1748" s="90">
        <v>4413.0</v>
      </c>
      <c r="B1748" s="91" t="s">
        <v>29</v>
      </c>
      <c r="C1748" s="49" t="s">
        <v>1768</v>
      </c>
      <c r="D1748" s="91" t="s">
        <v>1120</v>
      </c>
      <c r="E1748" s="41" t="str">
        <f>IFERROR(__xludf.DUMMYFUNCTION("vlookup(D1748,IMPORTRANGE(""https://docs.google.com/spreadsheets/d/1swGwZOEqYlTEUCJLY-eeJM1911Kvaei5oySBIxdgtNo/edit?pli=1#gid=257618397"",""stock untanna!B:C""),2,false)"),"ASAHAN PAYU 849 STROBERI")</f>
        <v>ASAHAN PAYU 849 STROBERI</v>
      </c>
      <c r="F1748" s="49" t="s">
        <v>1120</v>
      </c>
      <c r="G1748" s="71" t="s">
        <v>1121</v>
      </c>
      <c r="H1748" s="41"/>
      <c r="I1748" s="42"/>
      <c r="J1748" s="43"/>
      <c r="K1748" s="72">
        <v>4.0</v>
      </c>
      <c r="L1748" s="53" t="s">
        <v>88</v>
      </c>
      <c r="M1748" s="73">
        <v>12000.0</v>
      </c>
      <c r="N1748" s="74"/>
      <c r="O1748" s="73">
        <v>48000.0</v>
      </c>
      <c r="P1748" s="46" t="str">
        <f t="shared" si="2"/>
        <v>Rp12,000-4 BOX-0.00%</v>
      </c>
      <c r="Q1748" s="75">
        <v>45412.0</v>
      </c>
      <c r="R1748" s="76"/>
      <c r="S1748" s="75">
        <v>45422.0</v>
      </c>
      <c r="T1748" s="49"/>
    </row>
    <row r="1749">
      <c r="A1749" s="90">
        <v>4413.0</v>
      </c>
      <c r="B1749" s="91" t="s">
        <v>29</v>
      </c>
      <c r="C1749" s="49" t="s">
        <v>1768</v>
      </c>
      <c r="D1749" s="91" t="s">
        <v>878</v>
      </c>
      <c r="E1749" s="41" t="str">
        <f>IFERROR(__xludf.DUMMYFUNCTION("vlookup(D1749,IMPORTRANGE(""https://docs.google.com/spreadsheets/d/1swGwZOEqYlTEUCJLY-eeJM1911Kvaei5oySBIxdgtNo/edit?pli=1#gid=257618397"",""stock untanna!B:C""),2,false)"),"BK TAMU BATIK")</f>
        <v>BK TAMU BATIK</v>
      </c>
      <c r="F1749" s="49" t="s">
        <v>878</v>
      </c>
      <c r="G1749" s="71" t="s">
        <v>879</v>
      </c>
      <c r="H1749" s="41"/>
      <c r="I1749" s="42"/>
      <c r="J1749" s="43"/>
      <c r="K1749" s="72">
        <v>1.0</v>
      </c>
      <c r="L1749" s="53" t="s">
        <v>62</v>
      </c>
      <c r="M1749" s="73">
        <v>180000.0</v>
      </c>
      <c r="N1749" s="74"/>
      <c r="O1749" s="73">
        <v>180000.0</v>
      </c>
      <c r="P1749" s="46" t="str">
        <f t="shared" si="2"/>
        <v>Rp180,000-1 LSN-0.00%</v>
      </c>
      <c r="Q1749" s="75">
        <v>45412.0</v>
      </c>
      <c r="R1749" s="76"/>
      <c r="S1749" s="75">
        <v>45422.0</v>
      </c>
      <c r="T1749" s="49"/>
    </row>
    <row r="1750">
      <c r="A1750" s="90">
        <v>4414.0</v>
      </c>
      <c r="B1750" s="91" t="s">
        <v>29</v>
      </c>
      <c r="C1750" s="49" t="s">
        <v>1768</v>
      </c>
      <c r="D1750" s="91" t="s">
        <v>2214</v>
      </c>
      <c r="E1750" s="41" t="str">
        <f>IFERROR(__xludf.DUMMYFUNCTION("vlookup(D1750,IMPORTRANGE(""https://docs.google.com/spreadsheets/d/1swGwZOEqYlTEUCJLY-eeJM1911Kvaei5oySBIxdgtNo/edit?pli=1#gid=257618397"",""stock untanna!B:C""),2,false)"),"LEM BAKAR K 7X29 H 538 A POLOS")</f>
        <v>LEM BAKAR K 7X29 H 538 A POLOS</v>
      </c>
      <c r="F1750" s="49" t="s">
        <v>2214</v>
      </c>
      <c r="G1750" s="71" t="s">
        <v>2215</v>
      </c>
      <c r="H1750" s="41"/>
      <c r="I1750" s="42"/>
      <c r="J1750" s="43"/>
      <c r="K1750" s="72">
        <v>25.0</v>
      </c>
      <c r="L1750" s="53" t="s">
        <v>114</v>
      </c>
      <c r="M1750" s="73">
        <v>47500.0</v>
      </c>
      <c r="N1750" s="74"/>
      <c r="O1750" s="73">
        <v>1187500.0</v>
      </c>
      <c r="P1750" s="46" t="str">
        <f t="shared" si="2"/>
        <v>Rp47,500-25 PAK-0.00%</v>
      </c>
      <c r="Q1750" s="75">
        <v>45412.0</v>
      </c>
      <c r="R1750" s="76"/>
      <c r="S1750" s="75">
        <v>45422.0</v>
      </c>
      <c r="T1750" s="49"/>
    </row>
    <row r="1751">
      <c r="A1751" s="90">
        <v>4414.0</v>
      </c>
      <c r="B1751" s="91" t="s">
        <v>29</v>
      </c>
      <c r="C1751" s="49" t="s">
        <v>1768</v>
      </c>
      <c r="D1751" s="91" t="s">
        <v>705</v>
      </c>
      <c r="E1751" s="41" t="str">
        <f>IFERROR(__xludf.DUMMYFUNCTION("vlookup(D1751,IMPORTRANGE(""https://docs.google.com/spreadsheets/d/1swGwZOEqYlTEUCJLY-eeJM1911Kvaei5oySBIxdgtNo/edit?pli=1#gid=257618397"",""stock untanna!B:C""),2,false)"),"MAP KANCING SIKA AC-05 PUTIH")</f>
        <v>MAP KANCING SIKA AC-05 PUTIH</v>
      </c>
      <c r="F1751" s="49" t="s">
        <v>705</v>
      </c>
      <c r="G1751" s="71" t="s">
        <v>706</v>
      </c>
      <c r="H1751" s="41"/>
      <c r="I1751" s="42"/>
      <c r="J1751" s="43"/>
      <c r="K1751" s="72">
        <v>50.0</v>
      </c>
      <c r="L1751" s="53" t="s">
        <v>62</v>
      </c>
      <c r="M1751" s="73">
        <v>21000.0</v>
      </c>
      <c r="N1751" s="74"/>
      <c r="O1751" s="73">
        <v>1050000.0</v>
      </c>
      <c r="P1751" s="46" t="str">
        <f t="shared" si="2"/>
        <v>Rp21,000-50 LSN-0.00%</v>
      </c>
      <c r="Q1751" s="75">
        <v>45412.0</v>
      </c>
      <c r="R1751" s="76"/>
      <c r="S1751" s="75">
        <v>45422.0</v>
      </c>
      <c r="T1751" s="49"/>
    </row>
    <row r="1752">
      <c r="A1752" s="90">
        <v>4414.0</v>
      </c>
      <c r="B1752" s="91" t="s">
        <v>29</v>
      </c>
      <c r="C1752" s="49" t="s">
        <v>1768</v>
      </c>
      <c r="D1752" s="91" t="s">
        <v>703</v>
      </c>
      <c r="E1752" s="41" t="str">
        <f>IFERROR(__xludf.DUMMYFUNCTION("vlookup(D1752,IMPORTRANGE(""https://docs.google.com/spreadsheets/d/1swGwZOEqYlTEUCJLY-eeJM1911Kvaei5oySBIxdgtNo/edit?pli=1#gid=257618397"",""stock untanna!B:C""),2,false)"),"MAP L SIKA AC-105 PUTIH")</f>
        <v>MAP L SIKA AC-105 PUTIH</v>
      </c>
      <c r="F1752" s="49" t="s">
        <v>703</v>
      </c>
      <c r="G1752" s="71" t="s">
        <v>704</v>
      </c>
      <c r="H1752" s="41"/>
      <c r="I1752" s="42"/>
      <c r="J1752" s="43"/>
      <c r="K1752" s="72">
        <v>100.0</v>
      </c>
      <c r="L1752" s="53" t="s">
        <v>62</v>
      </c>
      <c r="M1752" s="73">
        <v>10500.0</v>
      </c>
      <c r="N1752" s="74"/>
      <c r="O1752" s="73">
        <v>1050000.0</v>
      </c>
      <c r="P1752" s="46" t="str">
        <f t="shared" si="2"/>
        <v>Rp10,500-100 LSN-0.00%</v>
      </c>
      <c r="Q1752" s="75">
        <v>45412.0</v>
      </c>
      <c r="R1752" s="76"/>
      <c r="S1752" s="75">
        <v>45422.0</v>
      </c>
      <c r="T1752" s="49"/>
    </row>
    <row r="1753">
      <c r="A1753" s="90">
        <v>4414.0</v>
      </c>
      <c r="B1753" s="91" t="s">
        <v>29</v>
      </c>
      <c r="C1753" s="49" t="s">
        <v>1768</v>
      </c>
      <c r="D1753" s="91" t="s">
        <v>2216</v>
      </c>
      <c r="E1753" s="41" t="str">
        <f>IFERROR(__xludf.DUMMYFUNCTION("vlookup(D1753,IMPORTRANGE(""https://docs.google.com/spreadsheets/d/1swGwZOEqYlTEUCJLY-eeJM1911Kvaei5oySBIxdgtNo/edit?pli=1#gid=257618397"",""stock untanna!B:C""),2,false)"),"ISI GEL TIZO TG 308-AR")</f>
        <v>ISI GEL TIZO TG 308-AR</v>
      </c>
      <c r="F1753" s="49" t="s">
        <v>2216</v>
      </c>
      <c r="G1753" s="71" t="s">
        <v>2217</v>
      </c>
      <c r="H1753" s="41"/>
      <c r="I1753" s="42"/>
      <c r="J1753" s="43"/>
      <c r="K1753" s="72">
        <v>3.0</v>
      </c>
      <c r="L1753" s="53" t="s">
        <v>114</v>
      </c>
      <c r="M1753" s="73">
        <v>25000.0</v>
      </c>
      <c r="N1753" s="74"/>
      <c r="O1753" s="73">
        <v>75000.0</v>
      </c>
      <c r="P1753" s="46" t="str">
        <f t="shared" si="2"/>
        <v>Rp25,000-3 PAK-0.00%</v>
      </c>
      <c r="Q1753" s="75">
        <v>45412.0</v>
      </c>
      <c r="R1753" s="76"/>
      <c r="S1753" s="75">
        <v>45422.0</v>
      </c>
      <c r="T1753" s="49"/>
    </row>
    <row r="1754">
      <c r="A1754" s="90">
        <v>4262.0</v>
      </c>
      <c r="B1754" s="91" t="s">
        <v>65</v>
      </c>
      <c r="C1754" s="49" t="s">
        <v>729</v>
      </c>
      <c r="D1754" s="77" t="s">
        <v>754</v>
      </c>
      <c r="E1754" s="41" t="str">
        <f>IFERROR(__xludf.DUMMYFUNCTION("vlookup(D1754,IMPORTRANGE(""https://docs.google.com/spreadsheets/d/1swGwZOEqYlTEUCJLY-eeJM1911Kvaei5oySBIxdgtNo/edit?pli=1#gid=257618397"",""stock untanna!B:C""),2,false)"),"GARISAN 30 CM ENTER 675")</f>
        <v>GARISAN 30 CM ENTER 675</v>
      </c>
      <c r="F1754" s="49" t="s">
        <v>755</v>
      </c>
      <c r="G1754" s="71" t="s">
        <v>756</v>
      </c>
      <c r="H1754" s="41"/>
      <c r="I1754" s="42"/>
      <c r="J1754" s="43"/>
      <c r="K1754" s="72">
        <v>200.0</v>
      </c>
      <c r="L1754" s="53" t="s">
        <v>62</v>
      </c>
      <c r="M1754" s="73">
        <v>9000.0</v>
      </c>
      <c r="N1754" s="74"/>
      <c r="O1754" s="73">
        <v>1800000.0</v>
      </c>
      <c r="P1754" s="46" t="str">
        <f t="shared" si="2"/>
        <v>Rp9,000-200 LSN-0.00%</v>
      </c>
      <c r="Q1754" s="75">
        <v>45412.0</v>
      </c>
      <c r="R1754" s="76"/>
      <c r="S1754" s="75">
        <v>45422.0</v>
      </c>
      <c r="T1754" s="49"/>
    </row>
    <row r="1755">
      <c r="A1755" s="90">
        <v>4262.0</v>
      </c>
      <c r="B1755" s="91" t="s">
        <v>65</v>
      </c>
      <c r="C1755" s="49" t="s">
        <v>729</v>
      </c>
      <c r="D1755" s="91" t="s">
        <v>2218</v>
      </c>
      <c r="E1755" s="41" t="str">
        <f>IFERROR(__xludf.DUMMYFUNCTION("vlookup(D1755,IMPORTRANGE(""https://docs.google.com/spreadsheets/d/1swGwZOEqYlTEUCJLY-eeJM1911Kvaei5oySBIxdgtNo/edit?pli=1#gid=257618397"",""stock untanna!B:C""),2,false)"),"HIGHLIGHTER Q1313 STAR-STAMP ISI 5")</f>
        <v>HIGHLIGHTER Q1313 STAR-STAMP ISI 5</v>
      </c>
      <c r="F1755" s="49" t="s">
        <v>2218</v>
      </c>
      <c r="G1755" s="71" t="s">
        <v>2219</v>
      </c>
      <c r="H1755" s="41"/>
      <c r="I1755" s="42"/>
      <c r="J1755" s="43"/>
      <c r="K1755" s="72">
        <v>12.0</v>
      </c>
      <c r="L1755" s="53" t="s">
        <v>84</v>
      </c>
      <c r="M1755" s="73">
        <v>16500.0</v>
      </c>
      <c r="N1755" s="74"/>
      <c r="O1755" s="73">
        <v>198000.0</v>
      </c>
      <c r="P1755" s="46" t="str">
        <f t="shared" si="2"/>
        <v>Rp16,500-12 SET-0.00%</v>
      </c>
      <c r="Q1755" s="75">
        <v>45412.0</v>
      </c>
      <c r="R1755" s="76"/>
      <c r="S1755" s="75">
        <v>45422.0</v>
      </c>
      <c r="T1755" s="49"/>
    </row>
    <row r="1756">
      <c r="A1756" s="90">
        <v>4262.0</v>
      </c>
      <c r="B1756" s="91" t="s">
        <v>65</v>
      </c>
      <c r="C1756" s="49" t="s">
        <v>729</v>
      </c>
      <c r="D1756" s="91"/>
      <c r="E1756" s="41" t="s">
        <v>2220</v>
      </c>
      <c r="F1756" s="49"/>
      <c r="G1756" s="71" t="s">
        <v>2220</v>
      </c>
      <c r="H1756" s="41"/>
      <c r="I1756" s="42"/>
      <c r="J1756" s="43"/>
      <c r="K1756" s="72">
        <v>2.0</v>
      </c>
      <c r="L1756" s="53" t="s">
        <v>62</v>
      </c>
      <c r="M1756" s="73">
        <v>27000.0</v>
      </c>
      <c r="N1756" s="74"/>
      <c r="O1756" s="73">
        <v>54000.0</v>
      </c>
      <c r="P1756" s="46" t="str">
        <f t="shared" si="2"/>
        <v>Rp27,000-2 LSN-0.00%</v>
      </c>
      <c r="Q1756" s="75">
        <v>45412.0</v>
      </c>
      <c r="R1756" s="76"/>
      <c r="S1756" s="75">
        <v>45422.0</v>
      </c>
      <c r="T1756" s="49"/>
    </row>
    <row r="1757">
      <c r="A1757" s="90">
        <v>4262.0</v>
      </c>
      <c r="B1757" s="91" t="s">
        <v>65</v>
      </c>
      <c r="C1757" s="49" t="s">
        <v>729</v>
      </c>
      <c r="D1757" s="91"/>
      <c r="E1757" s="41" t="s">
        <v>2221</v>
      </c>
      <c r="F1757" s="49"/>
      <c r="G1757" s="71" t="s">
        <v>2221</v>
      </c>
      <c r="H1757" s="41"/>
      <c r="I1757" s="42"/>
      <c r="J1757" s="43"/>
      <c r="K1757" s="72">
        <v>2.0</v>
      </c>
      <c r="L1757" s="53" t="s">
        <v>62</v>
      </c>
      <c r="M1757" s="73">
        <v>30000.0</v>
      </c>
      <c r="N1757" s="74"/>
      <c r="O1757" s="73">
        <v>60000.0</v>
      </c>
      <c r="P1757" s="46" t="str">
        <f t="shared" si="2"/>
        <v>Rp30,000-2 LSN-0.00%</v>
      </c>
      <c r="Q1757" s="75">
        <v>45412.0</v>
      </c>
      <c r="R1757" s="76"/>
      <c r="S1757" s="75">
        <v>45422.0</v>
      </c>
      <c r="T1757" s="49"/>
    </row>
    <row r="1758">
      <c r="A1758" s="90">
        <v>4262.0</v>
      </c>
      <c r="B1758" s="91" t="s">
        <v>65</v>
      </c>
      <c r="C1758" s="49" t="s">
        <v>729</v>
      </c>
      <c r="D1758" s="91" t="s">
        <v>2222</v>
      </c>
      <c r="E1758" s="41" t="str">
        <f>IFERROR(__xludf.DUMMYFUNCTION("vlookup(D1758,IMPORTRANGE(""https://docs.google.com/spreadsheets/d/1swGwZOEqYlTEUCJLY-eeJM1911Kvaei5oySBIxdgtNo/edit?pli=1#gid=257618397"",""stock untanna!B:C""),2,false)"),"GARISAN TW-8068")</f>
        <v>GARISAN TW-8068</v>
      </c>
      <c r="F1758" s="49" t="s">
        <v>2222</v>
      </c>
      <c r="G1758" s="71" t="s">
        <v>2223</v>
      </c>
      <c r="H1758" s="41"/>
      <c r="I1758" s="42"/>
      <c r="J1758" s="43"/>
      <c r="K1758" s="72">
        <v>60.0</v>
      </c>
      <c r="L1758" s="53" t="s">
        <v>69</v>
      </c>
      <c r="M1758" s="73">
        <v>4167.0</v>
      </c>
      <c r="N1758" s="74"/>
      <c r="O1758" s="73">
        <v>250020.0</v>
      </c>
      <c r="P1758" s="46" t="str">
        <f t="shared" si="2"/>
        <v>Rp4,167-60 PCS-0.00%</v>
      </c>
      <c r="Q1758" s="75">
        <v>45412.0</v>
      </c>
      <c r="R1758" s="76"/>
      <c r="S1758" s="75">
        <v>45422.0</v>
      </c>
      <c r="T1758" s="49"/>
    </row>
    <row r="1759">
      <c r="A1759" s="90">
        <v>4262.0</v>
      </c>
      <c r="B1759" s="91" t="s">
        <v>65</v>
      </c>
      <c r="C1759" s="49" t="s">
        <v>729</v>
      </c>
      <c r="D1759" s="91" t="s">
        <v>1341</v>
      </c>
      <c r="E1759" s="41" t="str">
        <f>IFERROR(__xludf.DUMMYFUNCTION("vlookup(D1759,IMPORTRANGE(""https://docs.google.com/spreadsheets/d/1swGwZOEqYlTEUCJLY-eeJM1911Kvaei5oySBIxdgtNo/edit?pli=1#gid=257618397"",""stock untanna!B:C""),2,false)"),"STABILLO TF-1145 LIVE COLOUR PASTEL")</f>
        <v>STABILLO TF-1145 LIVE COLOUR PASTEL</v>
      </c>
      <c r="F1759" s="49" t="s">
        <v>1341</v>
      </c>
      <c r="G1759" s="71" t="s">
        <v>1342</v>
      </c>
      <c r="H1759" s="41"/>
      <c r="I1759" s="42"/>
      <c r="J1759" s="43"/>
      <c r="K1759" s="72">
        <v>12.0</v>
      </c>
      <c r="L1759" s="53" t="s">
        <v>62</v>
      </c>
      <c r="M1759" s="73">
        <v>25000.0</v>
      </c>
      <c r="N1759" s="74"/>
      <c r="O1759" s="73">
        <v>300000.0</v>
      </c>
      <c r="P1759" s="46" t="str">
        <f t="shared" si="2"/>
        <v>Rp25,000-12 LSN-0.00%</v>
      </c>
      <c r="Q1759" s="75">
        <v>45412.0</v>
      </c>
      <c r="R1759" s="76"/>
      <c r="S1759" s="75">
        <v>45422.0</v>
      </c>
      <c r="T1759" s="49"/>
    </row>
    <row r="1760">
      <c r="A1760" s="90">
        <v>4262.0</v>
      </c>
      <c r="B1760" s="91" t="s">
        <v>65</v>
      </c>
      <c r="C1760" s="49" t="s">
        <v>729</v>
      </c>
      <c r="D1760" s="91"/>
      <c r="E1760" s="41" t="s">
        <v>2224</v>
      </c>
      <c r="F1760" s="49"/>
      <c r="G1760" s="71" t="s">
        <v>2224</v>
      </c>
      <c r="H1760" s="41"/>
      <c r="I1760" s="42"/>
      <c r="J1760" s="43"/>
      <c r="K1760" s="72">
        <v>2.0</v>
      </c>
      <c r="L1760" s="53" t="s">
        <v>88</v>
      </c>
      <c r="M1760" s="73">
        <v>62000.0</v>
      </c>
      <c r="N1760" s="74"/>
      <c r="O1760" s="73">
        <v>124000.0</v>
      </c>
      <c r="P1760" s="46" t="str">
        <f t="shared" si="2"/>
        <v>Rp62,000-2 BOX-0.00%</v>
      </c>
      <c r="Q1760" s="75">
        <v>45412.0</v>
      </c>
      <c r="R1760" s="76"/>
      <c r="S1760" s="75">
        <v>45422.0</v>
      </c>
      <c r="T1760" s="49"/>
    </row>
    <row r="1761">
      <c r="A1761" s="90">
        <v>4262.0</v>
      </c>
      <c r="B1761" s="91" t="s">
        <v>65</v>
      </c>
      <c r="C1761" s="49" t="s">
        <v>729</v>
      </c>
      <c r="D1761" s="77" t="s">
        <v>2225</v>
      </c>
      <c r="E1761" s="41" t="str">
        <f>IFERROR(__xludf.DUMMYFUNCTION("IFNA(vlookup(D1761,IMPORTRANGE(""https://docs.google.com/spreadsheets/d/1swGwZOEqYlTEUCJLY-eeJM1911Kvaei5oySBIxdgtNo/edit?pli=1#gid=257618397"",""stock untanna!B:C""),2,false),V:V)"),"PENSIL 951")</f>
        <v>PENSIL 951</v>
      </c>
      <c r="F1761" s="49"/>
      <c r="G1761" s="71" t="s">
        <v>2226</v>
      </c>
      <c r="H1761" s="41"/>
      <c r="I1761" s="42"/>
      <c r="J1761" s="43" t="str">
        <f t="shared" ref="J1761:J1767" si="7">IF(D1761="","TIDAK ADA","ADA")</f>
        <v>ADA</v>
      </c>
      <c r="K1761" s="72">
        <v>2.0</v>
      </c>
      <c r="L1761" s="53" t="s">
        <v>88</v>
      </c>
      <c r="M1761" s="73">
        <v>108000.0</v>
      </c>
      <c r="N1761" s="74"/>
      <c r="O1761" s="73">
        <v>216000.0</v>
      </c>
      <c r="P1761" s="46" t="str">
        <f t="shared" si="2"/>
        <v>Rp108,000-2 BOX-0.00%</v>
      </c>
      <c r="Q1761" s="75">
        <v>45412.0</v>
      </c>
      <c r="R1761" s="76"/>
      <c r="S1761" s="75">
        <v>45422.0</v>
      </c>
      <c r="T1761" s="80" t="s">
        <v>280</v>
      </c>
    </row>
    <row r="1762">
      <c r="A1762" s="90">
        <v>4262.0</v>
      </c>
      <c r="B1762" s="91" t="s">
        <v>65</v>
      </c>
      <c r="C1762" s="49" t="s">
        <v>729</v>
      </c>
      <c r="D1762" s="77" t="s">
        <v>2227</v>
      </c>
      <c r="E1762" s="41" t="str">
        <f>IFERROR(__xludf.DUMMYFUNCTION("IFNA(vlookup(D1762,IMPORTRANGE(""https://docs.google.com/spreadsheets/d/1swGwZOEqYlTEUCJLY-eeJM1911Kvaei5oySBIxdgtNo/edit?pli=1#gid=257618397"",""stock untanna!B:C""),2,false),V:V)"),"PENSIL 7027")</f>
        <v>PENSIL 7027</v>
      </c>
      <c r="F1762" s="49"/>
      <c r="G1762" s="71" t="s">
        <v>2228</v>
      </c>
      <c r="H1762" s="41"/>
      <c r="I1762" s="42"/>
      <c r="J1762" s="43" t="str">
        <f t="shared" si="7"/>
        <v>ADA</v>
      </c>
      <c r="K1762" s="72">
        <v>2.0</v>
      </c>
      <c r="L1762" s="53" t="s">
        <v>88</v>
      </c>
      <c r="M1762" s="73">
        <v>108000.0</v>
      </c>
      <c r="N1762" s="74"/>
      <c r="O1762" s="73">
        <v>216000.0</v>
      </c>
      <c r="P1762" s="46" t="str">
        <f t="shared" si="2"/>
        <v>Rp108,000-2 BOX-0.00%</v>
      </c>
      <c r="Q1762" s="75">
        <v>45412.0</v>
      </c>
      <c r="R1762" s="76"/>
      <c r="S1762" s="75">
        <v>45422.0</v>
      </c>
      <c r="T1762" s="80" t="s">
        <v>280</v>
      </c>
    </row>
    <row r="1763">
      <c r="A1763" s="90">
        <v>4262.0</v>
      </c>
      <c r="B1763" s="91" t="s">
        <v>65</v>
      </c>
      <c r="C1763" s="49" t="s">
        <v>729</v>
      </c>
      <c r="D1763" s="21" t="s">
        <v>2229</v>
      </c>
      <c r="E1763" s="41" t="str">
        <f>IFERROR(__xludf.DUMMYFUNCTION("IFNA(vlookup(D1763,IMPORTRANGE(""https://docs.google.com/spreadsheets/d/1swGwZOEqYlTEUCJLY-eeJM1911Kvaei5oySBIxdgtNo/edit?pli=1#gid=257618397"",""stock untanna!B:C""),2,false),V:V)"),"PENSIL 938")</f>
        <v>PENSIL 938</v>
      </c>
      <c r="F1763" s="49"/>
      <c r="G1763" s="71" t="s">
        <v>2230</v>
      </c>
      <c r="H1763" s="41"/>
      <c r="I1763" s="42"/>
      <c r="J1763" s="43" t="str">
        <f t="shared" si="7"/>
        <v>ADA</v>
      </c>
      <c r="K1763" s="72">
        <v>1.0</v>
      </c>
      <c r="L1763" s="53" t="s">
        <v>88</v>
      </c>
      <c r="M1763" s="73">
        <v>108000.0</v>
      </c>
      <c r="N1763" s="74"/>
      <c r="O1763" s="73">
        <v>108000.0</v>
      </c>
      <c r="P1763" s="46" t="str">
        <f t="shared" si="2"/>
        <v>Rp108,000-1 BOX-0.00%</v>
      </c>
      <c r="Q1763" s="75">
        <v>45412.0</v>
      </c>
      <c r="R1763" s="76"/>
      <c r="S1763" s="75">
        <v>45422.0</v>
      </c>
      <c r="T1763" s="80" t="s">
        <v>280</v>
      </c>
    </row>
    <row r="1764">
      <c r="A1764" s="90">
        <v>4262.0</v>
      </c>
      <c r="B1764" s="91" t="s">
        <v>65</v>
      </c>
      <c r="C1764" s="49" t="s">
        <v>729</v>
      </c>
      <c r="D1764" s="77" t="s">
        <v>2231</v>
      </c>
      <c r="E1764" s="41" t="str">
        <f>IFERROR(__xludf.DUMMYFUNCTION("IFNA(vlookup(D1764,IMPORTRANGE(""https://docs.google.com/spreadsheets/d/1swGwZOEqYlTEUCJLY-eeJM1911Kvaei5oySBIxdgtNo/edit?pli=1#gid=257618397"",""stock untanna!B:C""),2,false),V:V)"),"PENSIL 950")</f>
        <v>PENSIL 950</v>
      </c>
      <c r="F1764" s="49"/>
      <c r="G1764" s="71" t="s">
        <v>1955</v>
      </c>
      <c r="H1764" s="41"/>
      <c r="I1764" s="42"/>
      <c r="J1764" s="43" t="str">
        <f t="shared" si="7"/>
        <v>ADA</v>
      </c>
      <c r="K1764" s="72">
        <v>1.0</v>
      </c>
      <c r="L1764" s="53" t="s">
        <v>88</v>
      </c>
      <c r="M1764" s="73">
        <v>108000.0</v>
      </c>
      <c r="N1764" s="74"/>
      <c r="O1764" s="73">
        <v>108000.0</v>
      </c>
      <c r="P1764" s="46" t="str">
        <f t="shared" si="2"/>
        <v>Rp108,000-1 BOX-0.00%</v>
      </c>
      <c r="Q1764" s="75">
        <v>45412.0</v>
      </c>
      <c r="R1764" s="76"/>
      <c r="S1764" s="75">
        <v>45422.0</v>
      </c>
      <c r="T1764" s="80" t="s">
        <v>280</v>
      </c>
    </row>
    <row r="1765">
      <c r="A1765" s="90">
        <v>4262.0</v>
      </c>
      <c r="B1765" s="91" t="s">
        <v>65</v>
      </c>
      <c r="C1765" s="49" t="s">
        <v>729</v>
      </c>
      <c r="D1765" s="77" t="s">
        <v>2232</v>
      </c>
      <c r="E1765" s="41" t="str">
        <f>IFERROR(__xludf.DUMMYFUNCTION("IFNA(vlookup(D1765,IMPORTRANGE(""https://docs.google.com/spreadsheets/d/1swGwZOEqYlTEUCJLY-eeJM1911Kvaei5oySBIxdgtNo/edit?pli=1#gid=257618397"",""stock untanna!B:C""),2,false),V:V)"),"PENSIL 947")</f>
        <v>PENSIL 947</v>
      </c>
      <c r="F1765" s="49"/>
      <c r="G1765" s="71" t="s">
        <v>1953</v>
      </c>
      <c r="H1765" s="41"/>
      <c r="I1765" s="42"/>
      <c r="J1765" s="43" t="str">
        <f t="shared" si="7"/>
        <v>ADA</v>
      </c>
      <c r="K1765" s="72">
        <v>1.0</v>
      </c>
      <c r="L1765" s="53" t="s">
        <v>88</v>
      </c>
      <c r="M1765" s="73">
        <v>108000.0</v>
      </c>
      <c r="N1765" s="74"/>
      <c r="O1765" s="73">
        <v>108000.0</v>
      </c>
      <c r="P1765" s="46" t="str">
        <f t="shared" si="2"/>
        <v>Rp108,000-1 BOX-0.00%</v>
      </c>
      <c r="Q1765" s="75">
        <v>45412.0</v>
      </c>
      <c r="R1765" s="76"/>
      <c r="S1765" s="75">
        <v>45422.0</v>
      </c>
      <c r="T1765" s="80" t="s">
        <v>280</v>
      </c>
    </row>
    <row r="1766">
      <c r="A1766" s="90">
        <v>4262.0</v>
      </c>
      <c r="B1766" s="91" t="s">
        <v>65</v>
      </c>
      <c r="C1766" s="49" t="s">
        <v>729</v>
      </c>
      <c r="D1766" s="77" t="s">
        <v>2233</v>
      </c>
      <c r="E1766" s="41" t="str">
        <f>IFERROR(__xludf.DUMMYFUNCTION("IFNA(vlookup(D1766,IMPORTRANGE(""https://docs.google.com/spreadsheets/d/1swGwZOEqYlTEUCJLY-eeJM1911Kvaei5oySBIxdgtNo/edit?pli=1#gid=257618397"",""stock untanna!B:C""),2,false),V:V)"),"PENSIL 917")</f>
        <v>PENSIL 917</v>
      </c>
      <c r="F1766" s="49"/>
      <c r="G1766" s="71" t="s">
        <v>1954</v>
      </c>
      <c r="H1766" s="41"/>
      <c r="I1766" s="42"/>
      <c r="J1766" s="43" t="str">
        <f t="shared" si="7"/>
        <v>ADA</v>
      </c>
      <c r="K1766" s="72">
        <v>1.0</v>
      </c>
      <c r="L1766" s="53" t="s">
        <v>88</v>
      </c>
      <c r="M1766" s="73">
        <v>108000.0</v>
      </c>
      <c r="N1766" s="74"/>
      <c r="O1766" s="73">
        <v>108000.0</v>
      </c>
      <c r="P1766" s="46" t="str">
        <f t="shared" si="2"/>
        <v>Rp108,000-1 BOX-0.00%</v>
      </c>
      <c r="Q1766" s="75">
        <v>45412.0</v>
      </c>
      <c r="R1766" s="76"/>
      <c r="S1766" s="75">
        <v>45422.0</v>
      </c>
      <c r="T1766" s="80" t="s">
        <v>280</v>
      </c>
    </row>
    <row r="1767">
      <c r="A1767" s="90">
        <v>4262.0</v>
      </c>
      <c r="B1767" s="91" t="s">
        <v>65</v>
      </c>
      <c r="C1767" s="49" t="s">
        <v>729</v>
      </c>
      <c r="D1767" s="77" t="s">
        <v>2234</v>
      </c>
      <c r="E1767" s="41" t="str">
        <f>IFERROR(__xludf.DUMMYFUNCTION("IFNA(vlookup(D1767,IMPORTRANGE(""https://docs.google.com/spreadsheets/d/1swGwZOEqYlTEUCJLY-eeJM1911Kvaei5oySBIxdgtNo/edit?pli=1#gid=257618397"",""stock untanna!B:C""),2,false),V:V)"),"PENSIL 903")</f>
        <v>PENSIL 903</v>
      </c>
      <c r="F1767" s="49"/>
      <c r="G1767" s="71" t="s">
        <v>2235</v>
      </c>
      <c r="H1767" s="41"/>
      <c r="I1767" s="42"/>
      <c r="J1767" s="43" t="str">
        <f t="shared" si="7"/>
        <v>ADA</v>
      </c>
      <c r="K1767" s="72">
        <v>1.0</v>
      </c>
      <c r="L1767" s="53" t="s">
        <v>88</v>
      </c>
      <c r="M1767" s="73">
        <v>108000.0</v>
      </c>
      <c r="N1767" s="74"/>
      <c r="O1767" s="73">
        <v>108000.0</v>
      </c>
      <c r="P1767" s="46" t="str">
        <f t="shared" si="2"/>
        <v>Rp108,000-1 BOX-0.00%</v>
      </c>
      <c r="Q1767" s="75">
        <v>45412.0</v>
      </c>
      <c r="R1767" s="76"/>
      <c r="S1767" s="75">
        <v>45422.0</v>
      </c>
      <c r="T1767" s="80" t="s">
        <v>280</v>
      </c>
    </row>
    <row r="1768">
      <c r="A1768" s="90">
        <v>4262.0</v>
      </c>
      <c r="B1768" s="91" t="s">
        <v>65</v>
      </c>
      <c r="C1768" s="49" t="s">
        <v>729</v>
      </c>
      <c r="D1768" s="91" t="s">
        <v>2236</v>
      </c>
      <c r="E1768" s="41" t="str">
        <f>IFERROR(__xludf.DUMMYFUNCTION("vlookup(D1768,IMPORTRANGE(""https://docs.google.com/spreadsheets/d/1swGwZOEqYlTEUCJLY-eeJM1911Kvaei5oySBIxdgtNo/edit?pli=1#gid=257618397"",""stock untanna!B:C""),2,false)"),"BALON DOF 12'' RI MERAH")</f>
        <v>BALON DOF 12'' RI MERAH</v>
      </c>
      <c r="F1768" s="49" t="s">
        <v>2236</v>
      </c>
      <c r="G1768" s="71" t="s">
        <v>2237</v>
      </c>
      <c r="H1768" s="41"/>
      <c r="I1768" s="42"/>
      <c r="J1768" s="43"/>
      <c r="K1768" s="72">
        <v>5.0</v>
      </c>
      <c r="L1768" s="53" t="s">
        <v>1521</v>
      </c>
      <c r="M1768" s="73">
        <v>45000.0</v>
      </c>
      <c r="N1768" s="74"/>
      <c r="O1768" s="73">
        <v>225000.0</v>
      </c>
      <c r="P1768" s="46" t="str">
        <f t="shared" si="2"/>
        <v>Rp45,000-5 DISP-0.00%</v>
      </c>
      <c r="Q1768" s="75">
        <v>45412.0</v>
      </c>
      <c r="R1768" s="76"/>
      <c r="S1768" s="75">
        <v>45422.0</v>
      </c>
      <c r="T1768" s="49"/>
    </row>
    <row r="1769">
      <c r="A1769" s="90">
        <v>4262.0</v>
      </c>
      <c r="B1769" s="91" t="s">
        <v>65</v>
      </c>
      <c r="C1769" s="49" t="s">
        <v>729</v>
      </c>
      <c r="D1769" s="91" t="s">
        <v>2238</v>
      </c>
      <c r="E1769" s="41" t="str">
        <f>IFERROR(__xludf.DUMMYFUNCTION("vlookup(D1769,IMPORTRANGE(""https://docs.google.com/spreadsheets/d/1swGwZOEqYlTEUCJLY-eeJM1911Kvaei5oySBIxdgtNo/edit?pli=1#gid=257618397"",""stock untanna!B:C""),2,false)"),"BALON DOF 12"" RI PUTIH")</f>
        <v>BALON DOF 12" RI PUTIH</v>
      </c>
      <c r="F1769" s="49" t="s">
        <v>2238</v>
      </c>
      <c r="G1769" s="71" t="s">
        <v>2239</v>
      </c>
      <c r="H1769" s="41"/>
      <c r="I1769" s="42"/>
      <c r="J1769" s="43"/>
      <c r="K1769" s="72">
        <v>5.0</v>
      </c>
      <c r="L1769" s="53" t="s">
        <v>1521</v>
      </c>
      <c r="M1769" s="73">
        <v>45000.0</v>
      </c>
      <c r="N1769" s="74"/>
      <c r="O1769" s="73">
        <v>225000.0</v>
      </c>
      <c r="P1769" s="46" t="str">
        <f t="shared" si="2"/>
        <v>Rp45,000-5 DISP-0.00%</v>
      </c>
      <c r="Q1769" s="75">
        <v>45412.0</v>
      </c>
      <c r="R1769" s="76"/>
      <c r="S1769" s="75">
        <v>45422.0</v>
      </c>
      <c r="T1769" s="49"/>
    </row>
    <row r="1770">
      <c r="A1770" s="90">
        <v>4263.0</v>
      </c>
      <c r="B1770" s="91" t="s">
        <v>65</v>
      </c>
      <c r="C1770" s="49" t="s">
        <v>729</v>
      </c>
      <c r="D1770" s="91"/>
      <c r="E1770" s="41" t="s">
        <v>2240</v>
      </c>
      <c r="F1770" s="49"/>
      <c r="G1770" s="71" t="s">
        <v>2240</v>
      </c>
      <c r="H1770" s="41"/>
      <c r="I1770" s="42"/>
      <c r="J1770" s="43"/>
      <c r="K1770" s="72">
        <v>12.0</v>
      </c>
      <c r="L1770" s="53" t="s">
        <v>69</v>
      </c>
      <c r="M1770" s="73">
        <v>17500.0</v>
      </c>
      <c r="N1770" s="74"/>
      <c r="O1770" s="73">
        <v>210000.0</v>
      </c>
      <c r="P1770" s="46" t="str">
        <f t="shared" si="2"/>
        <v>Rp17,500-12 PCS-0.00%</v>
      </c>
      <c r="Q1770" s="75">
        <v>45412.0</v>
      </c>
      <c r="R1770" s="76"/>
      <c r="S1770" s="75">
        <v>45422.0</v>
      </c>
      <c r="T1770" s="49"/>
    </row>
    <row r="1771">
      <c r="A1771" s="90">
        <v>4263.0</v>
      </c>
      <c r="B1771" s="91" t="s">
        <v>65</v>
      </c>
      <c r="C1771" s="49" t="s">
        <v>729</v>
      </c>
      <c r="D1771" s="91" t="s">
        <v>2241</v>
      </c>
      <c r="E1771" s="41" t="str">
        <f>IFERROR(__xludf.DUMMYFUNCTION("vlookup(D1771,IMPORTRANGE(""https://docs.google.com/spreadsheets/d/1swGwZOEqYlTEUCJLY-eeJM1911Kvaei5oySBIxdgtNo/edit?pli=1#gid=257618397"",""stock untanna!B:C""),2,false)"),"DIARY CK64-6031 HAHA (112LBR)")</f>
        <v>DIARY CK64-6031 HAHA (112LBR)</v>
      </c>
      <c r="F1771" s="49" t="s">
        <v>2241</v>
      </c>
      <c r="G1771" s="71" t="s">
        <v>2242</v>
      </c>
      <c r="H1771" s="41"/>
      <c r="I1771" s="42"/>
      <c r="J1771" s="43"/>
      <c r="K1771" s="72">
        <v>12.0</v>
      </c>
      <c r="L1771" s="53" t="s">
        <v>69</v>
      </c>
      <c r="M1771" s="73">
        <v>15000.0</v>
      </c>
      <c r="N1771" s="74"/>
      <c r="O1771" s="73">
        <v>180000.0</v>
      </c>
      <c r="P1771" s="46" t="str">
        <f t="shared" si="2"/>
        <v>Rp15,000-12 PCS-0.00%</v>
      </c>
      <c r="Q1771" s="75">
        <v>45412.0</v>
      </c>
      <c r="R1771" s="76"/>
      <c r="S1771" s="75">
        <v>45422.0</v>
      </c>
      <c r="T1771" s="49"/>
    </row>
    <row r="1772">
      <c r="A1772" s="90">
        <v>4205.0</v>
      </c>
      <c r="B1772" s="91" t="s">
        <v>29</v>
      </c>
      <c r="C1772" s="80" t="s">
        <v>2243</v>
      </c>
      <c r="D1772" s="91" t="s">
        <v>748</v>
      </c>
      <c r="E1772" s="41" t="str">
        <f>IFERROR(__xludf.DUMMYFUNCTION("vlookup(D1772,IMPORTRANGE(""https://docs.google.com/spreadsheets/d/1swGwZOEqYlTEUCJLY-eeJM1911Kvaei5oySBIxdgtNo/edit?pli=1#gid=257618397"",""stock untanna!B:C""),2,false)"),"GARISAN BT 30 CM")</f>
        <v>GARISAN BT 30 CM</v>
      </c>
      <c r="F1772" s="49" t="s">
        <v>748</v>
      </c>
      <c r="G1772" s="71" t="s">
        <v>749</v>
      </c>
      <c r="H1772" s="41"/>
      <c r="I1772" s="42"/>
      <c r="J1772" s="43"/>
      <c r="K1772" s="72">
        <v>300.0</v>
      </c>
      <c r="L1772" s="53" t="s">
        <v>62</v>
      </c>
      <c r="M1772" s="73">
        <v>26780.0</v>
      </c>
      <c r="N1772" s="83">
        <v>0.175</v>
      </c>
      <c r="O1772" s="73">
        <v>6628050.0</v>
      </c>
      <c r="P1772" s="46" t="str">
        <f t="shared" si="2"/>
        <v>Rp26,780-300 LSN-17.50%</v>
      </c>
      <c r="Q1772" s="75">
        <v>45412.0</v>
      </c>
      <c r="R1772" s="76"/>
      <c r="S1772" s="75">
        <v>45422.0</v>
      </c>
      <c r="T1772" s="49"/>
    </row>
    <row r="1773">
      <c r="A1773" s="90">
        <v>4205.0</v>
      </c>
      <c r="B1773" s="91" t="s">
        <v>29</v>
      </c>
      <c r="C1773" s="80" t="s">
        <v>2243</v>
      </c>
      <c r="D1773" s="91" t="s">
        <v>1315</v>
      </c>
      <c r="E1773" s="41" t="str">
        <f>IFERROR(__xludf.DUMMYFUNCTION("vlookup(D1773,IMPORTRANGE(""https://docs.google.com/spreadsheets/d/1swGwZOEqYlTEUCJLY-eeJM1911Kvaei5oySBIxdgtNo/edit?pli=1#gid=257618397"",""stock untanna!B:C""),2,false)"),"PENSIL CASE 168-18")</f>
        <v>PENSIL CASE 168-18</v>
      </c>
      <c r="F1773" s="49" t="s">
        <v>1315</v>
      </c>
      <c r="G1773" s="71" t="s">
        <v>1316</v>
      </c>
      <c r="H1773" s="41"/>
      <c r="I1773" s="42"/>
      <c r="J1773" s="43"/>
      <c r="K1773" s="72">
        <v>144.0</v>
      </c>
      <c r="L1773" s="53" t="s">
        <v>69</v>
      </c>
      <c r="M1773" s="73">
        <v>16667.0</v>
      </c>
      <c r="N1773" s="74"/>
      <c r="O1773" s="73">
        <v>2400048.0</v>
      </c>
      <c r="P1773" s="46" t="str">
        <f t="shared" si="2"/>
        <v>Rp16,667-144 PCS-0.00%</v>
      </c>
      <c r="Q1773" s="75">
        <v>45412.0</v>
      </c>
      <c r="R1773" s="76"/>
      <c r="S1773" s="75">
        <v>45422.0</v>
      </c>
      <c r="T1773" s="49"/>
    </row>
    <row r="1774">
      <c r="A1774" s="90">
        <v>4205.0</v>
      </c>
      <c r="B1774" s="91" t="s">
        <v>29</v>
      </c>
      <c r="C1774" s="80" t="s">
        <v>2243</v>
      </c>
      <c r="D1774" s="77" t="s">
        <v>2244</v>
      </c>
      <c r="E1774" s="41" t="str">
        <f>IFERROR(__xludf.DUMMYFUNCTION("IFNA(vlookup(D1774,IMPORTRANGE(""https://docs.google.com/spreadsheets/d/1swGwZOEqYlTEUCJLY-eeJM1911Kvaei5oySBIxdgtNo/edit?pli=1#gid=257618397"",""stock untanna!B:C""),2,false),V:V)"),"BP GP 1016 GOLD")</f>
        <v>BP GP 1016 GOLD</v>
      </c>
      <c r="F1774" s="49"/>
      <c r="G1774" s="71" t="s">
        <v>2245</v>
      </c>
      <c r="H1774" s="41"/>
      <c r="I1774" s="42"/>
      <c r="J1774" s="85" t="s">
        <v>1319</v>
      </c>
      <c r="K1774" s="72">
        <v>144.0</v>
      </c>
      <c r="L1774" s="53" t="s">
        <v>62</v>
      </c>
      <c r="M1774" s="73">
        <v>10000.0</v>
      </c>
      <c r="N1774" s="74"/>
      <c r="O1774" s="73">
        <v>1440000.0</v>
      </c>
      <c r="P1774" s="46" t="str">
        <f t="shared" si="2"/>
        <v>Rp10,000-144 LSN-0.00%</v>
      </c>
      <c r="Q1774" s="75">
        <v>45412.0</v>
      </c>
      <c r="R1774" s="76"/>
      <c r="S1774" s="75">
        <v>45422.0</v>
      </c>
      <c r="T1774" s="80" t="s">
        <v>280</v>
      </c>
    </row>
    <row r="1775">
      <c r="A1775" s="90">
        <v>4205.0</v>
      </c>
      <c r="B1775" s="91" t="s">
        <v>29</v>
      </c>
      <c r="C1775" s="80" t="s">
        <v>2243</v>
      </c>
      <c r="D1775" s="77" t="s">
        <v>2246</v>
      </c>
      <c r="E1775" s="41" t="str">
        <f>IFERROR(__xludf.DUMMYFUNCTION("IFNA(vlookup(D1775,IMPORTRANGE(""https://docs.google.com/spreadsheets/d/1swGwZOEqYlTEUCJLY-eeJM1911Kvaei5oySBIxdgtNo/edit?pli=1#gid=257618397"",""stock untanna!B:C""),2,false),V:V)"),"BP GP 1016 SILVER")</f>
        <v>BP GP 1016 SILVER</v>
      </c>
      <c r="F1775" s="49"/>
      <c r="G1775" s="71" t="s">
        <v>2247</v>
      </c>
      <c r="H1775" s="41"/>
      <c r="I1775" s="42"/>
      <c r="J1775" s="85" t="s">
        <v>1319</v>
      </c>
      <c r="K1775" s="72">
        <v>144.0</v>
      </c>
      <c r="L1775" s="53" t="s">
        <v>62</v>
      </c>
      <c r="M1775" s="73">
        <v>10000.0</v>
      </c>
      <c r="N1775" s="74"/>
      <c r="O1775" s="73">
        <v>1440000.0</v>
      </c>
      <c r="P1775" s="46" t="str">
        <f t="shared" si="2"/>
        <v>Rp10,000-144 LSN-0.00%</v>
      </c>
      <c r="Q1775" s="75">
        <v>45412.0</v>
      </c>
      <c r="R1775" s="76"/>
      <c r="S1775" s="75">
        <v>45422.0</v>
      </c>
      <c r="T1775" s="80" t="s">
        <v>280</v>
      </c>
    </row>
    <row r="1776">
      <c r="A1776" s="90">
        <v>4205.0</v>
      </c>
      <c r="B1776" s="91" t="s">
        <v>29</v>
      </c>
      <c r="C1776" s="80" t="s">
        <v>2243</v>
      </c>
      <c r="D1776" s="91"/>
      <c r="E1776" s="41" t="s">
        <v>2248</v>
      </c>
      <c r="F1776" s="49"/>
      <c r="G1776" s="71" t="s">
        <v>2248</v>
      </c>
      <c r="H1776" s="41"/>
      <c r="I1776" s="42"/>
      <c r="J1776" s="43"/>
      <c r="K1776" s="72">
        <v>20.0</v>
      </c>
      <c r="L1776" s="53" t="s">
        <v>62</v>
      </c>
      <c r="M1776" s="73">
        <v>60000.0</v>
      </c>
      <c r="N1776" s="74"/>
      <c r="O1776" s="73">
        <v>1200000.0</v>
      </c>
      <c r="P1776" s="46" t="str">
        <f t="shared" si="2"/>
        <v>Rp60,000-20 LSN-0.00%</v>
      </c>
      <c r="Q1776" s="75">
        <v>45412.0</v>
      </c>
      <c r="R1776" s="76"/>
      <c r="S1776" s="75">
        <v>45422.0</v>
      </c>
      <c r="T1776" s="80" t="s">
        <v>280</v>
      </c>
    </row>
    <row r="1777">
      <c r="A1777" s="90">
        <v>4205.0</v>
      </c>
      <c r="B1777" s="91" t="s">
        <v>29</v>
      </c>
      <c r="C1777" s="80" t="s">
        <v>2243</v>
      </c>
      <c r="D1777" s="91" t="s">
        <v>2249</v>
      </c>
      <c r="E1777" s="41" t="str">
        <f>IFERROR(__xludf.DUMMYFUNCTION("vlookup(D1777,IMPORTRANGE(""https://docs.google.com/spreadsheets/d/1swGwZOEqYlTEUCJLY-eeJM1911Kvaei5oySBIxdgtNo/edit?pli=1#gid=257618397"",""stock untanna!B:C""),2,false)"),"BALON BL 1006")</f>
        <v>BALON BL 1006</v>
      </c>
      <c r="F1777" s="49" t="s">
        <v>2249</v>
      </c>
      <c r="G1777" s="71" t="s">
        <v>2250</v>
      </c>
      <c r="H1777" s="41"/>
      <c r="I1777" s="42"/>
      <c r="J1777" s="43"/>
      <c r="K1777" s="72">
        <v>100.0</v>
      </c>
      <c r="L1777" s="53" t="s">
        <v>1521</v>
      </c>
      <c r="M1777" s="73">
        <v>87500.0</v>
      </c>
      <c r="N1777" s="83">
        <v>0.125</v>
      </c>
      <c r="O1777" s="73">
        <v>7656250.0</v>
      </c>
      <c r="P1777" s="46" t="str">
        <f t="shared" si="2"/>
        <v>Rp87,500-100 DISP-12.50%</v>
      </c>
      <c r="Q1777" s="75">
        <v>45412.0</v>
      </c>
      <c r="R1777" s="76"/>
      <c r="S1777" s="75">
        <v>45422.0</v>
      </c>
      <c r="T1777" s="49"/>
    </row>
    <row r="1778">
      <c r="A1778" s="90">
        <v>4205.0</v>
      </c>
      <c r="B1778" s="91" t="s">
        <v>29</v>
      </c>
      <c r="C1778" s="80" t="s">
        <v>2243</v>
      </c>
      <c r="D1778" s="91" t="s">
        <v>2251</v>
      </c>
      <c r="E1778" s="41" t="str">
        <f>IFERROR(__xludf.DUMMYFUNCTION("vlookup(D1778,IMPORTRANGE(""https://docs.google.com/spreadsheets/d/1swGwZOEqYlTEUCJLY-eeJM1911Kvaei5oySBIxdgtNo/edit?pli=1#gid=257618397"",""stock untanna!B:C""),2,false)"),"BP TIZO TG 30802F S3 FANCY")</f>
        <v>BP TIZO TG 30802F S3 FANCY</v>
      </c>
      <c r="F1778" s="49" t="s">
        <v>2251</v>
      </c>
      <c r="G1778" s="71" t="s">
        <v>2252</v>
      </c>
      <c r="H1778" s="41"/>
      <c r="I1778" s="42"/>
      <c r="J1778" s="43"/>
      <c r="K1778" s="72">
        <v>48.0</v>
      </c>
      <c r="L1778" s="53" t="s">
        <v>62</v>
      </c>
      <c r="M1778" s="73">
        <v>17750.0</v>
      </c>
      <c r="N1778" s="74"/>
      <c r="O1778" s="73">
        <v>852000.0</v>
      </c>
      <c r="P1778" s="46" t="str">
        <f t="shared" si="2"/>
        <v>Rp17,750-48 LSN-0.00%</v>
      </c>
      <c r="Q1778" s="75">
        <v>45412.0</v>
      </c>
      <c r="R1778" s="76"/>
      <c r="S1778" s="75">
        <v>45422.0</v>
      </c>
      <c r="T1778" s="49"/>
    </row>
    <row r="1779">
      <c r="A1779" s="90">
        <v>4205.0</v>
      </c>
      <c r="B1779" s="91" t="s">
        <v>29</v>
      </c>
      <c r="C1779" s="80" t="s">
        <v>2243</v>
      </c>
      <c r="D1779" s="91" t="s">
        <v>637</v>
      </c>
      <c r="E1779" s="41" t="str">
        <f>IFERROR(__xludf.DUMMYFUNCTION("vlookup(D1779,IMPORTRANGE(""https://docs.google.com/spreadsheets/d/1swGwZOEqYlTEUCJLY-eeJM1911Kvaei5oySBIxdgtNo/edit?pli=1#gid=257618397"",""stock untanna!B:C""),2,false)"),"BP GEL TIZO 31762F FANCY")</f>
        <v>BP GEL TIZO 31762F FANCY</v>
      </c>
      <c r="F1779" s="49" t="s">
        <v>637</v>
      </c>
      <c r="G1779" s="71" t="s">
        <v>638</v>
      </c>
      <c r="H1779" s="41"/>
      <c r="I1779" s="42"/>
      <c r="J1779" s="43"/>
      <c r="K1779" s="72">
        <v>48.0</v>
      </c>
      <c r="L1779" s="53" t="s">
        <v>62</v>
      </c>
      <c r="M1779" s="73">
        <v>17750.0</v>
      </c>
      <c r="N1779" s="74"/>
      <c r="O1779" s="73">
        <v>852000.0</v>
      </c>
      <c r="P1779" s="46" t="str">
        <f t="shared" si="2"/>
        <v>Rp17,750-48 LSN-0.00%</v>
      </c>
      <c r="Q1779" s="75">
        <v>45412.0</v>
      </c>
      <c r="R1779" s="76"/>
      <c r="S1779" s="75">
        <v>45422.0</v>
      </c>
      <c r="T1779" s="49"/>
    </row>
    <row r="1780">
      <c r="A1780" s="90">
        <v>4205.0</v>
      </c>
      <c r="B1780" s="91" t="s">
        <v>29</v>
      </c>
      <c r="C1780" s="80" t="s">
        <v>2243</v>
      </c>
      <c r="D1780" s="91" t="s">
        <v>631</v>
      </c>
      <c r="E1780" s="41" t="str">
        <f>IFERROR(__xludf.DUMMYFUNCTION("vlookup(D1780,IMPORTRANGE(""https://docs.google.com/spreadsheets/d/1swGwZOEqYlTEUCJLY-eeJM1911Kvaei5oySBIxdgtNo/edit?pli=1#gid=257618397"",""stock untanna!B:C""),2,false)"),"BP TIZO 31810F FANCY")</f>
        <v>BP TIZO 31810F FANCY</v>
      </c>
      <c r="F1780" s="49" t="s">
        <v>631</v>
      </c>
      <c r="G1780" s="71" t="s">
        <v>632</v>
      </c>
      <c r="H1780" s="41"/>
      <c r="I1780" s="42"/>
      <c r="J1780" s="43"/>
      <c r="K1780" s="72">
        <v>48.0</v>
      </c>
      <c r="L1780" s="53" t="s">
        <v>62</v>
      </c>
      <c r="M1780" s="73">
        <v>17750.0</v>
      </c>
      <c r="N1780" s="74"/>
      <c r="O1780" s="73">
        <v>852000.0</v>
      </c>
      <c r="P1780" s="46" t="str">
        <f t="shared" si="2"/>
        <v>Rp17,750-48 LSN-0.00%</v>
      </c>
      <c r="Q1780" s="75">
        <v>45412.0</v>
      </c>
      <c r="R1780" s="76"/>
      <c r="S1780" s="75">
        <v>45422.0</v>
      </c>
      <c r="T1780" s="49"/>
    </row>
    <row r="1781">
      <c r="A1781" s="90">
        <v>4205.0</v>
      </c>
      <c r="B1781" s="91" t="s">
        <v>29</v>
      </c>
      <c r="C1781" s="80" t="s">
        <v>2243</v>
      </c>
      <c r="D1781" s="91" t="s">
        <v>633</v>
      </c>
      <c r="E1781" s="41" t="str">
        <f>IFERROR(__xludf.DUMMYFUNCTION("vlookup(D1781,IMPORTRANGE(""https://docs.google.com/spreadsheets/d/1swGwZOEqYlTEUCJLY-eeJM1911Kvaei5oySBIxdgtNo/edit?pli=1#gid=257618397"",""stock untanna!B:C""),2,false)"),"BP GEL TIZO 30734F FANCY")</f>
        <v>BP GEL TIZO 30734F FANCY</v>
      </c>
      <c r="F1781" s="49" t="s">
        <v>633</v>
      </c>
      <c r="G1781" s="71" t="s">
        <v>634</v>
      </c>
      <c r="H1781" s="41"/>
      <c r="I1781" s="42"/>
      <c r="J1781" s="43"/>
      <c r="K1781" s="72">
        <v>48.0</v>
      </c>
      <c r="L1781" s="53" t="s">
        <v>62</v>
      </c>
      <c r="M1781" s="73">
        <v>17750.0</v>
      </c>
      <c r="N1781" s="74"/>
      <c r="O1781" s="73">
        <v>852000.0</v>
      </c>
      <c r="P1781" s="46" t="str">
        <f t="shared" si="2"/>
        <v>Rp17,750-48 LSN-0.00%</v>
      </c>
      <c r="Q1781" s="75">
        <v>45412.0</v>
      </c>
      <c r="R1781" s="76"/>
      <c r="S1781" s="75">
        <v>45422.0</v>
      </c>
      <c r="T1781" s="49"/>
    </row>
    <row r="1782">
      <c r="A1782" s="90">
        <v>4205.0</v>
      </c>
      <c r="B1782" s="91" t="s">
        <v>29</v>
      </c>
      <c r="C1782" s="80" t="s">
        <v>2243</v>
      </c>
      <c r="D1782" s="91" t="s">
        <v>627</v>
      </c>
      <c r="E1782" s="41" t="str">
        <f>IFERROR(__xludf.DUMMYFUNCTION("vlookup(D1782,IMPORTRANGE(""https://docs.google.com/spreadsheets/d/1swGwZOEqYlTEUCJLY-eeJM1911Kvaei5oySBIxdgtNo/edit?pli=1#gid=257618397"",""stock untanna!B:C""),2,false)"),"BP TIZO TG 30541F FANCY")</f>
        <v>BP TIZO TG 30541F FANCY</v>
      </c>
      <c r="F1782" s="49" t="s">
        <v>627</v>
      </c>
      <c r="G1782" s="71" t="s">
        <v>628</v>
      </c>
      <c r="H1782" s="41"/>
      <c r="I1782" s="42"/>
      <c r="J1782" s="43"/>
      <c r="K1782" s="72">
        <v>48.0</v>
      </c>
      <c r="L1782" s="53" t="s">
        <v>62</v>
      </c>
      <c r="M1782" s="73">
        <v>17750.0</v>
      </c>
      <c r="N1782" s="74"/>
      <c r="O1782" s="73">
        <v>852000.0</v>
      </c>
      <c r="P1782" s="46" t="str">
        <f t="shared" si="2"/>
        <v>Rp17,750-48 LSN-0.00%</v>
      </c>
      <c r="Q1782" s="75">
        <v>45412.0</v>
      </c>
      <c r="R1782" s="76"/>
      <c r="S1782" s="75">
        <v>45422.0</v>
      </c>
      <c r="T1782" s="49"/>
    </row>
    <row r="1783">
      <c r="A1783" s="90">
        <v>4205.0</v>
      </c>
      <c r="B1783" s="91" t="s">
        <v>29</v>
      </c>
      <c r="C1783" s="80" t="s">
        <v>2243</v>
      </c>
      <c r="D1783" s="91" t="s">
        <v>629</v>
      </c>
      <c r="E1783" s="41" t="str">
        <f>IFERROR(__xludf.DUMMYFUNCTION("vlookup(D1783,IMPORTRANGE(""https://docs.google.com/spreadsheets/d/1swGwZOEqYlTEUCJLY-eeJM1911Kvaei5oySBIxdgtNo/edit?pli=1#gid=257618397"",""stock untanna!B:C""),2,false)"),"BP GEL TIZO 30801F S3 FANCY")</f>
        <v>BP GEL TIZO 30801F S3 FANCY</v>
      </c>
      <c r="F1783" s="49" t="s">
        <v>629</v>
      </c>
      <c r="G1783" s="71" t="s">
        <v>630</v>
      </c>
      <c r="H1783" s="41"/>
      <c r="I1783" s="42"/>
      <c r="J1783" s="43"/>
      <c r="K1783" s="72">
        <v>48.0</v>
      </c>
      <c r="L1783" s="53" t="s">
        <v>62</v>
      </c>
      <c r="M1783" s="73">
        <v>17750.0</v>
      </c>
      <c r="N1783" s="74"/>
      <c r="O1783" s="73">
        <v>852000.0</v>
      </c>
      <c r="P1783" s="46" t="str">
        <f t="shared" si="2"/>
        <v>Rp17,750-48 LSN-0.00%</v>
      </c>
      <c r="Q1783" s="75">
        <v>45412.0</v>
      </c>
      <c r="R1783" s="76"/>
      <c r="S1783" s="75">
        <v>45422.0</v>
      </c>
      <c r="T1783" s="49"/>
    </row>
    <row r="1784">
      <c r="A1784" s="90">
        <v>4205.0</v>
      </c>
      <c r="B1784" s="91" t="s">
        <v>29</v>
      </c>
      <c r="C1784" s="80" t="s">
        <v>2243</v>
      </c>
      <c r="D1784" s="91" t="s">
        <v>2253</v>
      </c>
      <c r="E1784" s="41" t="str">
        <f>IFERROR(__xludf.DUMMYFUNCTION("vlookup(D1784,IMPORTRANGE(""https://docs.google.com/spreadsheets/d/1swGwZOEqYlTEUCJLY-eeJM1911Kvaei5oySBIxdgtNo/edit?pli=1#gid=257618397"",""stock untanna!B:C""),2,false)"),"BP TIZO TG 31475F FANCY")</f>
        <v>BP TIZO TG 31475F FANCY</v>
      </c>
      <c r="F1784" s="49" t="s">
        <v>2253</v>
      </c>
      <c r="G1784" s="71" t="s">
        <v>2254</v>
      </c>
      <c r="H1784" s="41"/>
      <c r="I1784" s="42"/>
      <c r="J1784" s="43"/>
      <c r="K1784" s="72">
        <v>24.0</v>
      </c>
      <c r="L1784" s="53" t="s">
        <v>62</v>
      </c>
      <c r="M1784" s="73">
        <v>17750.0</v>
      </c>
      <c r="N1784" s="74"/>
      <c r="O1784" s="73">
        <v>426000.0</v>
      </c>
      <c r="P1784" s="46" t="str">
        <f t="shared" si="2"/>
        <v>Rp17,750-24 LSN-0.00%</v>
      </c>
      <c r="Q1784" s="75">
        <v>45412.0</v>
      </c>
      <c r="R1784" s="76"/>
      <c r="S1784" s="75">
        <v>45422.0</v>
      </c>
      <c r="T1784" s="49"/>
    </row>
    <row r="1785">
      <c r="A1785" s="90">
        <v>4205.0</v>
      </c>
      <c r="B1785" s="91" t="s">
        <v>29</v>
      </c>
      <c r="C1785" s="80" t="s">
        <v>2243</v>
      </c>
      <c r="D1785" s="91" t="s">
        <v>641</v>
      </c>
      <c r="E1785" s="41" t="str">
        <f>IFERROR(__xludf.DUMMYFUNCTION("vlookup(D1785,IMPORTRANGE(""https://docs.google.com/spreadsheets/d/1swGwZOEqYlTEUCJLY-eeJM1911Kvaei5oySBIxdgtNo/edit?pli=1#gid=257618397"",""stock untanna!B:C""),2,false)"),"BP GEL TIZO TG 348F FANCY")</f>
        <v>BP GEL TIZO TG 348F FANCY</v>
      </c>
      <c r="F1785" s="49" t="s">
        <v>641</v>
      </c>
      <c r="G1785" s="71" t="s">
        <v>2255</v>
      </c>
      <c r="H1785" s="41"/>
      <c r="I1785" s="42"/>
      <c r="J1785" s="43"/>
      <c r="K1785" s="72">
        <v>24.0</v>
      </c>
      <c r="L1785" s="53" t="s">
        <v>62</v>
      </c>
      <c r="M1785" s="73">
        <v>17750.0</v>
      </c>
      <c r="N1785" s="74"/>
      <c r="O1785" s="73">
        <v>426000.0</v>
      </c>
      <c r="P1785" s="46" t="str">
        <f t="shared" si="2"/>
        <v>Rp17,750-24 LSN-0.00%</v>
      </c>
      <c r="Q1785" s="75">
        <v>45412.0</v>
      </c>
      <c r="R1785" s="76"/>
      <c r="S1785" s="75">
        <v>45422.0</v>
      </c>
      <c r="T1785" s="49"/>
    </row>
    <row r="1786">
      <c r="A1786" s="90">
        <v>4205.0</v>
      </c>
      <c r="B1786" s="91" t="s">
        <v>29</v>
      </c>
      <c r="C1786" s="80" t="s">
        <v>2243</v>
      </c>
      <c r="D1786" s="91" t="s">
        <v>637</v>
      </c>
      <c r="E1786" s="41" t="str">
        <f>IFERROR(__xludf.DUMMYFUNCTION("vlookup(D1786,IMPORTRANGE(""https://docs.google.com/spreadsheets/d/1swGwZOEqYlTEUCJLY-eeJM1911Kvaei5oySBIxdgtNo/edit?pli=1#gid=257618397"",""stock untanna!B:C""),2,false)"),"BP GEL TIZO 31762F FANCY")</f>
        <v>BP GEL TIZO 31762F FANCY</v>
      </c>
      <c r="F1786" s="49" t="s">
        <v>637</v>
      </c>
      <c r="G1786" s="71" t="s">
        <v>638</v>
      </c>
      <c r="H1786" s="41"/>
      <c r="I1786" s="42"/>
      <c r="J1786" s="43"/>
      <c r="K1786" s="72">
        <v>24.0</v>
      </c>
      <c r="L1786" s="53" t="s">
        <v>62</v>
      </c>
      <c r="M1786" s="73">
        <v>17750.0</v>
      </c>
      <c r="N1786" s="74"/>
      <c r="O1786" s="73">
        <v>426000.0</v>
      </c>
      <c r="P1786" s="46" t="str">
        <f t="shared" si="2"/>
        <v>Rp17,750-24 LSN-0.00%</v>
      </c>
      <c r="Q1786" s="75">
        <v>45412.0</v>
      </c>
      <c r="R1786" s="76"/>
      <c r="S1786" s="75">
        <v>45422.0</v>
      </c>
      <c r="T1786" s="49"/>
    </row>
    <row r="1787">
      <c r="A1787" s="90">
        <v>4206.0</v>
      </c>
      <c r="B1787" s="91" t="s">
        <v>29</v>
      </c>
      <c r="C1787" s="80" t="s">
        <v>2243</v>
      </c>
      <c r="D1787" s="91" t="s">
        <v>639</v>
      </c>
      <c r="E1787" s="41" t="str">
        <f>IFERROR(__xludf.DUMMYFUNCTION("vlookup(D1787,IMPORTRANGE(""https://docs.google.com/spreadsheets/d/1swGwZOEqYlTEUCJLY-eeJM1911Kvaei5oySBIxdgtNo/edit?pli=1#gid=257618397"",""stock untanna!B:C""),2,false)"),"BP GEL TIZO 31035F FANCY")</f>
        <v>BP GEL TIZO 31035F FANCY</v>
      </c>
      <c r="F1787" s="49" t="s">
        <v>639</v>
      </c>
      <c r="G1787" s="71" t="s">
        <v>640</v>
      </c>
      <c r="H1787" s="41"/>
      <c r="I1787" s="42"/>
      <c r="J1787" s="43"/>
      <c r="K1787" s="72">
        <v>36.0</v>
      </c>
      <c r="L1787" s="53" t="s">
        <v>62</v>
      </c>
      <c r="M1787" s="73">
        <v>17750.0</v>
      </c>
      <c r="N1787" s="74"/>
      <c r="O1787" s="73">
        <v>639000.0</v>
      </c>
      <c r="P1787" s="46" t="str">
        <f t="shared" si="2"/>
        <v>Rp17,750-36 LSN-0.00%</v>
      </c>
      <c r="Q1787" s="75">
        <v>45412.0</v>
      </c>
      <c r="R1787" s="76"/>
      <c r="S1787" s="75">
        <v>45422.0</v>
      </c>
      <c r="T1787" s="49"/>
    </row>
    <row r="1788">
      <c r="A1788" s="90">
        <v>4206.0</v>
      </c>
      <c r="B1788" s="91" t="s">
        <v>29</v>
      </c>
      <c r="C1788" s="80" t="s">
        <v>2243</v>
      </c>
      <c r="D1788" s="91" t="s">
        <v>2256</v>
      </c>
      <c r="E1788" s="41" t="str">
        <f>IFERROR(__xludf.DUMMYFUNCTION("vlookup(D1788,IMPORTRANGE(""https://docs.google.com/spreadsheets/d/1swGwZOEqYlTEUCJLY-eeJM1911Kvaei5oySBIxdgtNo/edit?pli=1#gid=257618397"",""stock untanna!B:C""),2,false)"),"BP GEL TIZO 30900F FANCY")</f>
        <v>BP GEL TIZO 30900F FANCY</v>
      </c>
      <c r="F1788" s="49" t="s">
        <v>2256</v>
      </c>
      <c r="G1788" s="71" t="s">
        <v>2257</v>
      </c>
      <c r="H1788" s="41"/>
      <c r="I1788" s="42"/>
      <c r="J1788" s="43"/>
      <c r="K1788" s="72">
        <v>36.0</v>
      </c>
      <c r="L1788" s="53" t="s">
        <v>62</v>
      </c>
      <c r="M1788" s="73">
        <v>17750.0</v>
      </c>
      <c r="N1788" s="74"/>
      <c r="O1788" s="73">
        <v>639000.0</v>
      </c>
      <c r="P1788" s="46" t="str">
        <f t="shared" si="2"/>
        <v>Rp17,750-36 LSN-0.00%</v>
      </c>
      <c r="Q1788" s="75">
        <v>45412.0</v>
      </c>
      <c r="R1788" s="76"/>
      <c r="S1788" s="75">
        <v>45422.0</v>
      </c>
      <c r="T1788" s="49"/>
    </row>
    <row r="1789">
      <c r="A1789" s="90">
        <v>4454.0</v>
      </c>
      <c r="B1789" s="91" t="s">
        <v>58</v>
      </c>
      <c r="C1789" s="49" t="s">
        <v>2258</v>
      </c>
      <c r="D1789" s="91"/>
      <c r="E1789" s="41" t="s">
        <v>2259</v>
      </c>
      <c r="F1789" s="49"/>
      <c r="G1789" s="71" t="s">
        <v>2259</v>
      </c>
      <c r="H1789" s="41"/>
      <c r="I1789" s="42"/>
      <c r="J1789" s="43"/>
      <c r="K1789" s="72">
        <v>24.0</v>
      </c>
      <c r="L1789" s="53" t="s">
        <v>88</v>
      </c>
      <c r="M1789" s="73">
        <v>25000.0</v>
      </c>
      <c r="N1789" s="74"/>
      <c r="O1789" s="73">
        <v>600000.0</v>
      </c>
      <c r="P1789" s="46" t="str">
        <f t="shared" si="2"/>
        <v>Rp25,000-24 BOX-0.00%</v>
      </c>
      <c r="Q1789" s="75">
        <v>45412.0</v>
      </c>
      <c r="R1789" s="76"/>
      <c r="S1789" s="75">
        <v>45422.0</v>
      </c>
      <c r="T1789" s="49"/>
    </row>
    <row r="1790">
      <c r="A1790" s="90">
        <v>4454.0</v>
      </c>
      <c r="B1790" s="91" t="s">
        <v>58</v>
      </c>
      <c r="C1790" s="49" t="s">
        <v>2258</v>
      </c>
      <c r="D1790" s="91"/>
      <c r="E1790" s="41" t="s">
        <v>2260</v>
      </c>
      <c r="F1790" s="49"/>
      <c r="G1790" s="71" t="s">
        <v>2260</v>
      </c>
      <c r="H1790" s="41"/>
      <c r="I1790" s="42"/>
      <c r="J1790" s="43"/>
      <c r="K1790" s="72">
        <v>24.0</v>
      </c>
      <c r="L1790" s="53" t="s">
        <v>62</v>
      </c>
      <c r="M1790" s="73">
        <v>15000.0</v>
      </c>
      <c r="N1790" s="74"/>
      <c r="O1790" s="73">
        <v>360000.0</v>
      </c>
      <c r="P1790" s="46" t="str">
        <f t="shared" si="2"/>
        <v>Rp15,000-24 LSN-0.00%</v>
      </c>
      <c r="Q1790" s="75">
        <v>45412.0</v>
      </c>
      <c r="R1790" s="76"/>
      <c r="S1790" s="75">
        <v>45422.0</v>
      </c>
      <c r="T1790" s="80" t="s">
        <v>280</v>
      </c>
    </row>
    <row r="1791">
      <c r="A1791" s="90">
        <v>4454.0</v>
      </c>
      <c r="B1791" s="91" t="s">
        <v>58</v>
      </c>
      <c r="C1791" s="49" t="s">
        <v>2258</v>
      </c>
      <c r="D1791" s="91"/>
      <c r="E1791" s="41" t="s">
        <v>2261</v>
      </c>
      <c r="F1791" s="49"/>
      <c r="G1791" s="71" t="s">
        <v>2261</v>
      </c>
      <c r="H1791" s="41"/>
      <c r="I1791" s="42"/>
      <c r="J1791" s="43"/>
      <c r="K1791" s="72">
        <v>24.0</v>
      </c>
      <c r="L1791" s="53" t="s">
        <v>62</v>
      </c>
      <c r="M1791" s="73">
        <v>15000.0</v>
      </c>
      <c r="N1791" s="74"/>
      <c r="O1791" s="73">
        <v>360000.0</v>
      </c>
      <c r="P1791" s="46" t="str">
        <f t="shared" si="2"/>
        <v>Rp15,000-24 LSN-0.00%</v>
      </c>
      <c r="Q1791" s="75">
        <v>45412.0</v>
      </c>
      <c r="R1791" s="76"/>
      <c r="S1791" s="75">
        <v>45422.0</v>
      </c>
      <c r="T1791" s="80" t="s">
        <v>280</v>
      </c>
    </row>
    <row r="1792">
      <c r="A1792" s="90">
        <v>4454.0</v>
      </c>
      <c r="B1792" s="91" t="s">
        <v>58</v>
      </c>
      <c r="C1792" s="49" t="s">
        <v>2258</v>
      </c>
      <c r="D1792" s="91"/>
      <c r="E1792" s="41" t="s">
        <v>2262</v>
      </c>
      <c r="F1792" s="49"/>
      <c r="G1792" s="71" t="s">
        <v>2262</v>
      </c>
      <c r="H1792" s="41"/>
      <c r="I1792" s="42"/>
      <c r="J1792" s="43"/>
      <c r="K1792" s="72">
        <v>24.0</v>
      </c>
      <c r="L1792" s="53" t="s">
        <v>62</v>
      </c>
      <c r="M1792" s="73">
        <v>15000.0</v>
      </c>
      <c r="N1792" s="74"/>
      <c r="O1792" s="73">
        <v>360000.0</v>
      </c>
      <c r="P1792" s="46" t="str">
        <f t="shared" si="2"/>
        <v>Rp15,000-24 LSN-0.00%</v>
      </c>
      <c r="Q1792" s="75">
        <v>45412.0</v>
      </c>
      <c r="R1792" s="76"/>
      <c r="S1792" s="75">
        <v>45422.0</v>
      </c>
      <c r="T1792" s="80" t="s">
        <v>280</v>
      </c>
    </row>
    <row r="1793">
      <c r="A1793" s="90">
        <v>4454.0</v>
      </c>
      <c r="B1793" s="91" t="s">
        <v>58</v>
      </c>
      <c r="C1793" s="49" t="s">
        <v>2258</v>
      </c>
      <c r="D1793" s="91" t="s">
        <v>1868</v>
      </c>
      <c r="E1793" s="41" t="str">
        <f>IFERROR(__xludf.DUMMYFUNCTION("vlookup(D1793,IMPORTRANGE(""https://docs.google.com/spreadsheets/d/1swGwZOEqYlTEUCJLY-eeJM1911Kvaei5oySBIxdgtNo/edit?pli=1#gid=257618397"",""stock untanna!B:C""),2,false)"),"BP 4W TOZCHA 8401")</f>
        <v>BP 4W TOZCHA 8401</v>
      </c>
      <c r="F1793" s="49" t="s">
        <v>1868</v>
      </c>
      <c r="G1793" s="71" t="s">
        <v>1869</v>
      </c>
      <c r="H1793" s="41"/>
      <c r="I1793" s="42"/>
      <c r="J1793" s="43"/>
      <c r="K1793" s="72">
        <v>72.0</v>
      </c>
      <c r="L1793" s="53" t="s">
        <v>62</v>
      </c>
      <c r="M1793" s="73">
        <v>27500.0</v>
      </c>
      <c r="N1793" s="74"/>
      <c r="O1793" s="73">
        <v>1980000.0</v>
      </c>
      <c r="P1793" s="46" t="str">
        <f t="shared" si="2"/>
        <v>Rp27,500-72 LSN-0.00%</v>
      </c>
      <c r="Q1793" s="75">
        <v>45412.0</v>
      </c>
      <c r="R1793" s="76"/>
      <c r="S1793" s="75">
        <v>45422.0</v>
      </c>
      <c r="T1793" s="49"/>
    </row>
    <row r="1794">
      <c r="A1794" s="90">
        <v>4454.0</v>
      </c>
      <c r="B1794" s="91" t="s">
        <v>58</v>
      </c>
      <c r="C1794" s="49" t="s">
        <v>2258</v>
      </c>
      <c r="D1794" s="91" t="s">
        <v>419</v>
      </c>
      <c r="E1794" s="41" t="str">
        <f>IFERROR(__xludf.DUMMYFUNCTION("vlookup(D1794,IMPORTRANGE(""https://docs.google.com/spreadsheets/d/1swGwZOEqYlTEUCJLY-eeJM1911Kvaei5oySBIxdgtNo/edit?pli=1#gid=257618397"",""stock untanna!B:C""),2,false)"),"BP GEL ZUI XUA HY-1020 HITAM")</f>
        <v>BP GEL ZUI XUA HY-1020 HITAM</v>
      </c>
      <c r="F1794" s="49" t="s">
        <v>419</v>
      </c>
      <c r="G1794" s="71" t="s">
        <v>420</v>
      </c>
      <c r="H1794" s="41"/>
      <c r="I1794" s="42"/>
      <c r="J1794" s="43"/>
      <c r="K1794" s="72">
        <v>192.0</v>
      </c>
      <c r="L1794" s="53" t="s">
        <v>62</v>
      </c>
      <c r="M1794" s="73">
        <v>11000.0</v>
      </c>
      <c r="N1794" s="74"/>
      <c r="O1794" s="73">
        <v>2112000.0</v>
      </c>
      <c r="P1794" s="46" t="str">
        <f t="shared" si="2"/>
        <v>Rp11,000-192 LSN-0.00%</v>
      </c>
      <c r="Q1794" s="75">
        <v>45412.0</v>
      </c>
      <c r="R1794" s="76"/>
      <c r="S1794" s="75">
        <v>45422.0</v>
      </c>
      <c r="T1794" s="49"/>
    </row>
    <row r="1795">
      <c r="A1795" s="90">
        <v>4454.0</v>
      </c>
      <c r="B1795" s="91" t="s">
        <v>58</v>
      </c>
      <c r="C1795" s="49" t="s">
        <v>2258</v>
      </c>
      <c r="D1795" s="91"/>
      <c r="E1795" s="41" t="s">
        <v>2263</v>
      </c>
      <c r="F1795" s="49"/>
      <c r="G1795" s="71" t="s">
        <v>2263</v>
      </c>
      <c r="H1795" s="41"/>
      <c r="I1795" s="42"/>
      <c r="J1795" s="43"/>
      <c r="K1795" s="72">
        <v>120.0</v>
      </c>
      <c r="L1795" s="53" t="s">
        <v>62</v>
      </c>
      <c r="M1795" s="73">
        <v>8300.0</v>
      </c>
      <c r="N1795" s="83">
        <v>0.125</v>
      </c>
      <c r="O1795" s="73">
        <v>871500.0</v>
      </c>
      <c r="P1795" s="46" t="str">
        <f t="shared" si="2"/>
        <v>Rp8,300-120 LSN-12.50%</v>
      </c>
      <c r="Q1795" s="75">
        <v>45412.0</v>
      </c>
      <c r="R1795" s="76"/>
      <c r="S1795" s="75">
        <v>45422.0</v>
      </c>
      <c r="T1795" s="49"/>
    </row>
    <row r="1796">
      <c r="A1796" s="90">
        <v>4454.0</v>
      </c>
      <c r="B1796" s="91" t="s">
        <v>58</v>
      </c>
      <c r="C1796" s="49" t="s">
        <v>2258</v>
      </c>
      <c r="D1796" s="91" t="s">
        <v>505</v>
      </c>
      <c r="E1796" s="41" t="str">
        <f>IFERROR(__xludf.DUMMYFUNCTION("vlookup(D1796,IMPORTRANGE(""https://docs.google.com/spreadsheets/d/1swGwZOEqYlTEUCJLY-eeJM1911Kvaei5oySBIxdgtNo/edit?pli=1#gid=257618397"",""stock untanna!B:C""),2,false)"),"CUTTER TACO 88 BESAR")</f>
        <v>CUTTER TACO 88 BESAR</v>
      </c>
      <c r="F1796" s="49" t="s">
        <v>505</v>
      </c>
      <c r="G1796" s="71" t="s">
        <v>506</v>
      </c>
      <c r="H1796" s="41"/>
      <c r="I1796" s="42"/>
      <c r="J1796" s="43"/>
      <c r="K1796" s="72">
        <v>15.0</v>
      </c>
      <c r="L1796" s="53" t="s">
        <v>62</v>
      </c>
      <c r="M1796" s="73">
        <v>33000.0</v>
      </c>
      <c r="N1796" s="83">
        <v>0.1</v>
      </c>
      <c r="O1796" s="73">
        <v>445500.0</v>
      </c>
      <c r="P1796" s="46" t="str">
        <f t="shared" si="2"/>
        <v>Rp33,000-15 LSN-10.00%</v>
      </c>
      <c r="Q1796" s="75">
        <v>45412.0</v>
      </c>
      <c r="R1796" s="76"/>
      <c r="S1796" s="75">
        <v>45422.0</v>
      </c>
      <c r="T1796" s="49"/>
    </row>
    <row r="1797">
      <c r="A1797" s="90">
        <v>4454.0</v>
      </c>
      <c r="B1797" s="91" t="s">
        <v>58</v>
      </c>
      <c r="C1797" s="49" t="s">
        <v>2258</v>
      </c>
      <c r="D1797" s="91" t="s">
        <v>2264</v>
      </c>
      <c r="E1797" s="41" t="str">
        <f>IFERROR(__xludf.DUMMYFUNCTION("vlookup(D1797,IMPORTRANGE(""https://docs.google.com/spreadsheets/d/1swGwZOEqYlTEUCJLY-eeJM1911Kvaei5oySBIxdgtNo/edit?pli=1#gid=257618397"",""stock untanna!B:C""),2,false)"),"ISI GEL ELSON ES-227 TAYO")</f>
        <v>ISI GEL ELSON ES-227 TAYO</v>
      </c>
      <c r="F1797" s="49" t="s">
        <v>2264</v>
      </c>
      <c r="G1797" s="71" t="s">
        <v>2265</v>
      </c>
      <c r="H1797" s="41"/>
      <c r="I1797" s="42"/>
      <c r="J1797" s="43"/>
      <c r="K1797" s="72">
        <v>48.0</v>
      </c>
      <c r="L1797" s="53" t="s">
        <v>88</v>
      </c>
      <c r="M1797" s="73">
        <v>6500.0</v>
      </c>
      <c r="N1797" s="74"/>
      <c r="O1797" s="73">
        <v>312000.0</v>
      </c>
      <c r="P1797" s="46" t="str">
        <f t="shared" si="2"/>
        <v>Rp6,500-48 BOX-0.00%</v>
      </c>
      <c r="Q1797" s="75">
        <v>45412.0</v>
      </c>
      <c r="R1797" s="76"/>
      <c r="S1797" s="75">
        <v>45422.0</v>
      </c>
      <c r="T1797" s="49"/>
    </row>
    <row r="1798">
      <c r="A1798" s="90">
        <v>4454.0</v>
      </c>
      <c r="B1798" s="91" t="s">
        <v>58</v>
      </c>
      <c r="C1798" s="49" t="s">
        <v>2258</v>
      </c>
      <c r="D1798" s="91" t="s">
        <v>2266</v>
      </c>
      <c r="E1798" s="41" t="str">
        <f>IFERROR(__xludf.DUMMYFUNCTION("vlookup(D1798,IMPORTRANGE(""https://docs.google.com/spreadsheets/d/1swGwZOEqYlTEUCJLY-eeJM1911Kvaei5oySBIxdgtNo/edit?pli=1#gid=257618397"",""stock untanna!B:C""),2,false)"),"ISI GEL ELSON ES-220 BTS")</f>
        <v>ISI GEL ELSON ES-220 BTS</v>
      </c>
      <c r="F1798" s="49" t="s">
        <v>2266</v>
      </c>
      <c r="G1798" s="71" t="s">
        <v>2267</v>
      </c>
      <c r="H1798" s="41"/>
      <c r="I1798" s="42"/>
      <c r="J1798" s="43"/>
      <c r="K1798" s="72">
        <v>48.0</v>
      </c>
      <c r="L1798" s="53" t="s">
        <v>88</v>
      </c>
      <c r="M1798" s="73">
        <v>6500.0</v>
      </c>
      <c r="N1798" s="74"/>
      <c r="O1798" s="73">
        <v>312000.0</v>
      </c>
      <c r="P1798" s="46" t="str">
        <f t="shared" si="2"/>
        <v>Rp6,500-48 BOX-0.00%</v>
      </c>
      <c r="Q1798" s="75">
        <v>45412.0</v>
      </c>
      <c r="R1798" s="76"/>
      <c r="S1798" s="75">
        <v>45422.0</v>
      </c>
      <c r="T1798" s="49"/>
    </row>
    <row r="1799">
      <c r="A1799" s="90">
        <v>4454.0</v>
      </c>
      <c r="B1799" s="91" t="s">
        <v>58</v>
      </c>
      <c r="C1799" s="49" t="s">
        <v>2258</v>
      </c>
      <c r="D1799" s="91" t="s">
        <v>2268</v>
      </c>
      <c r="E1799" s="41" t="str">
        <f>IFERROR(__xludf.DUMMYFUNCTION("vlookup(D1799,IMPORTRANGE(""https://docs.google.com/spreadsheets/d/1swGwZOEqYlTEUCJLY-eeJM1911Kvaei5oySBIxdgtNo/edit?pli=1#gid=257618397"",""stock untanna!B:C""),2,false)"),"ISI GEL ELSON ES-222 DORAEMON")</f>
        <v>ISI GEL ELSON ES-222 DORAEMON</v>
      </c>
      <c r="F1799" s="49" t="s">
        <v>2268</v>
      </c>
      <c r="G1799" s="71" t="s">
        <v>2269</v>
      </c>
      <c r="H1799" s="41"/>
      <c r="I1799" s="42"/>
      <c r="J1799" s="43"/>
      <c r="K1799" s="72">
        <v>48.0</v>
      </c>
      <c r="L1799" s="53" t="s">
        <v>88</v>
      </c>
      <c r="M1799" s="73">
        <v>6500.0</v>
      </c>
      <c r="N1799" s="74"/>
      <c r="O1799" s="73">
        <v>312000.0</v>
      </c>
      <c r="P1799" s="46" t="str">
        <f t="shared" si="2"/>
        <v>Rp6,500-48 BOX-0.00%</v>
      </c>
      <c r="Q1799" s="75">
        <v>45412.0</v>
      </c>
      <c r="R1799" s="76"/>
      <c r="S1799" s="75">
        <v>45422.0</v>
      </c>
      <c r="T1799" s="49"/>
    </row>
    <row r="1800">
      <c r="A1800" s="90">
        <v>4454.0</v>
      </c>
      <c r="B1800" s="91" t="s">
        <v>58</v>
      </c>
      <c r="C1800" s="49" t="s">
        <v>2258</v>
      </c>
      <c r="D1800" s="91" t="s">
        <v>2270</v>
      </c>
      <c r="E1800" s="41" t="str">
        <f>IFERROR(__xludf.DUMMYFUNCTION("vlookup(D1800,IMPORTRANGE(""https://docs.google.com/spreadsheets/d/1swGwZOEqYlTEUCJLY-eeJM1911Kvaei5oySBIxdgtNo/edit?pli=1#gid=257618397"",""stock untanna!B:C""),2,false)"),"ISI GEL ELSON ES-223")</f>
        <v>ISI GEL ELSON ES-223</v>
      </c>
      <c r="F1800" s="49" t="s">
        <v>2270</v>
      </c>
      <c r="G1800" s="71" t="s">
        <v>2271</v>
      </c>
      <c r="H1800" s="41"/>
      <c r="I1800" s="42"/>
      <c r="J1800" s="43"/>
      <c r="K1800" s="72">
        <v>48.0</v>
      </c>
      <c r="L1800" s="53" t="s">
        <v>88</v>
      </c>
      <c r="M1800" s="73">
        <v>6500.0</v>
      </c>
      <c r="N1800" s="74"/>
      <c r="O1800" s="73">
        <v>312000.0</v>
      </c>
      <c r="P1800" s="46" t="str">
        <f t="shared" si="2"/>
        <v>Rp6,500-48 BOX-0.00%</v>
      </c>
      <c r="Q1800" s="75">
        <v>45412.0</v>
      </c>
      <c r="R1800" s="76"/>
      <c r="S1800" s="75">
        <v>45422.0</v>
      </c>
      <c r="T1800" s="49"/>
    </row>
    <row r="1801">
      <c r="A1801" s="90">
        <v>4454.0</v>
      </c>
      <c r="B1801" s="91" t="s">
        <v>58</v>
      </c>
      <c r="C1801" s="49" t="s">
        <v>2258</v>
      </c>
      <c r="D1801" s="91" t="s">
        <v>2272</v>
      </c>
      <c r="E1801" s="41" t="str">
        <f>IFERROR(__xludf.DUMMYFUNCTION("vlookup(D1801,IMPORTRANGE(""https://docs.google.com/spreadsheets/d/1swGwZOEqYlTEUCJLY-eeJM1911Kvaei5oySBIxdgtNo/edit?pli=1#gid=257618397"",""stock untanna!B:C""),2,false)"),"ISI GEL ELSON ES-228 SUPER HEROES")</f>
        <v>ISI GEL ELSON ES-228 SUPER HEROES</v>
      </c>
      <c r="F1801" s="49" t="s">
        <v>2272</v>
      </c>
      <c r="G1801" s="71" t="s">
        <v>2273</v>
      </c>
      <c r="H1801" s="41"/>
      <c r="I1801" s="42"/>
      <c r="J1801" s="43"/>
      <c r="K1801" s="72">
        <v>48.0</v>
      </c>
      <c r="L1801" s="53" t="s">
        <v>88</v>
      </c>
      <c r="M1801" s="73">
        <v>6500.0</v>
      </c>
      <c r="N1801" s="74"/>
      <c r="O1801" s="73">
        <v>312000.0</v>
      </c>
      <c r="P1801" s="46" t="str">
        <f t="shared" si="2"/>
        <v>Rp6,500-48 BOX-0.00%</v>
      </c>
      <c r="Q1801" s="75">
        <v>45412.0</v>
      </c>
      <c r="R1801" s="76"/>
      <c r="S1801" s="75">
        <v>45422.0</v>
      </c>
      <c r="T1801" s="49"/>
    </row>
    <row r="1802">
      <c r="A1802" s="90">
        <v>4454.0</v>
      </c>
      <c r="B1802" s="91" t="s">
        <v>58</v>
      </c>
      <c r="C1802" s="49" t="s">
        <v>2258</v>
      </c>
      <c r="D1802" s="91" t="s">
        <v>2274</v>
      </c>
      <c r="E1802" s="41" t="str">
        <f>IFERROR(__xludf.DUMMYFUNCTION("vlookup(D1802,IMPORTRANGE(""https://docs.google.com/spreadsheets/d/1swGwZOEqYlTEUCJLY-eeJM1911Kvaei5oySBIxdgtNo/edit?pli=1#gid=257618397"",""stock untanna!B:C""),2,false)"),"BP V-TRO 238")</f>
        <v>BP V-TRO 238</v>
      </c>
      <c r="F1802" s="49" t="s">
        <v>2274</v>
      </c>
      <c r="G1802" s="71" t="s">
        <v>2275</v>
      </c>
      <c r="H1802" s="41"/>
      <c r="I1802" s="42"/>
      <c r="J1802" s="43"/>
      <c r="K1802" s="72">
        <v>24.0</v>
      </c>
      <c r="L1802" s="53" t="s">
        <v>62</v>
      </c>
      <c r="M1802" s="73">
        <v>10000.0</v>
      </c>
      <c r="N1802" s="74"/>
      <c r="O1802" s="73">
        <v>240000.0</v>
      </c>
      <c r="P1802" s="46" t="str">
        <f t="shared" si="2"/>
        <v>Rp10,000-24 LSN-0.00%</v>
      </c>
      <c r="Q1802" s="75">
        <v>45412.0</v>
      </c>
      <c r="R1802" s="76"/>
      <c r="S1802" s="75">
        <v>45422.0</v>
      </c>
      <c r="T1802" s="49"/>
    </row>
    <row r="1803">
      <c r="A1803" s="90">
        <v>4455.0</v>
      </c>
      <c r="B1803" s="91" t="s">
        <v>58</v>
      </c>
      <c r="C1803" s="49" t="s">
        <v>2258</v>
      </c>
      <c r="D1803" s="91" t="s">
        <v>318</v>
      </c>
      <c r="E1803" s="41" t="str">
        <f>IFERROR(__xludf.DUMMYFUNCTION("vlookup(D1803,IMPORTRANGE(""https://docs.google.com/spreadsheets/d/1swGwZOEqYlTEUCJLY-eeJM1911Kvaei5oySBIxdgtNo/edit?pli=1#gid=257618397"",""stock untanna!B:C""),2,false)"),"BP V-TRO 222")</f>
        <v>BP V-TRO 222</v>
      </c>
      <c r="F1803" s="49" t="s">
        <v>318</v>
      </c>
      <c r="G1803" s="71" t="s">
        <v>319</v>
      </c>
      <c r="H1803" s="41"/>
      <c r="I1803" s="42"/>
      <c r="J1803" s="43"/>
      <c r="K1803" s="72">
        <v>24.0</v>
      </c>
      <c r="L1803" s="53" t="s">
        <v>62</v>
      </c>
      <c r="M1803" s="73">
        <v>10000.0</v>
      </c>
      <c r="N1803" s="74"/>
      <c r="O1803" s="73">
        <v>240000.0</v>
      </c>
      <c r="P1803" s="46" t="str">
        <f t="shared" si="2"/>
        <v>Rp10,000-24 LSN-0.00%</v>
      </c>
      <c r="Q1803" s="75">
        <v>45412.0</v>
      </c>
      <c r="R1803" s="76"/>
      <c r="S1803" s="75">
        <v>45422.0</v>
      </c>
      <c r="T1803" s="49"/>
    </row>
    <row r="1804">
      <c r="A1804" s="90">
        <v>4455.0</v>
      </c>
      <c r="B1804" s="91" t="s">
        <v>58</v>
      </c>
      <c r="C1804" s="49" t="s">
        <v>2258</v>
      </c>
      <c r="D1804" s="91" t="s">
        <v>1360</v>
      </c>
      <c r="E1804" s="41" t="str">
        <f>IFERROR(__xludf.DUMMYFUNCTION("vlookup(D1804,IMPORTRANGE(""https://docs.google.com/spreadsheets/d/1swGwZOEqYlTEUCJLY-eeJM1911Kvaei5oySBIxdgtNo/edit?pli=1#gid=257618397"",""stock untanna!B:C""),2,false)"),"BP V-TRO 231")</f>
        <v>BP V-TRO 231</v>
      </c>
      <c r="F1804" s="49" t="s">
        <v>1360</v>
      </c>
      <c r="G1804" s="71" t="s">
        <v>1361</v>
      </c>
      <c r="H1804" s="41"/>
      <c r="I1804" s="42"/>
      <c r="J1804" s="43"/>
      <c r="K1804" s="72">
        <v>24.0</v>
      </c>
      <c r="L1804" s="53" t="s">
        <v>62</v>
      </c>
      <c r="M1804" s="73">
        <v>10000.0</v>
      </c>
      <c r="N1804" s="74"/>
      <c r="O1804" s="73">
        <v>240000.0</v>
      </c>
      <c r="P1804" s="46" t="str">
        <f t="shared" si="2"/>
        <v>Rp10,000-24 LSN-0.00%</v>
      </c>
      <c r="Q1804" s="75">
        <v>45412.0</v>
      </c>
      <c r="R1804" s="76"/>
      <c r="S1804" s="75">
        <v>45422.0</v>
      </c>
      <c r="T1804" s="49"/>
    </row>
    <row r="1805">
      <c r="A1805" s="90">
        <v>4455.0</v>
      </c>
      <c r="B1805" s="91" t="s">
        <v>58</v>
      </c>
      <c r="C1805" s="49" t="s">
        <v>2258</v>
      </c>
      <c r="D1805" s="91" t="s">
        <v>308</v>
      </c>
      <c r="E1805" s="41" t="str">
        <f>IFERROR(__xludf.DUMMYFUNCTION("vlookup(D1805,IMPORTRANGE(""https://docs.google.com/spreadsheets/d/1swGwZOEqYlTEUCJLY-eeJM1911Kvaei5oySBIxdgtNo/edit?pli=1#gid=257618397"",""stock untanna!B:C""),2,false)"),"BP V-TRO 217")</f>
        <v>BP V-TRO 217</v>
      </c>
      <c r="F1805" s="49" t="s">
        <v>308</v>
      </c>
      <c r="G1805" s="71" t="s">
        <v>309</v>
      </c>
      <c r="H1805" s="41"/>
      <c r="I1805" s="42"/>
      <c r="J1805" s="43"/>
      <c r="K1805" s="72">
        <v>24.0</v>
      </c>
      <c r="L1805" s="53" t="s">
        <v>62</v>
      </c>
      <c r="M1805" s="73">
        <v>10000.0</v>
      </c>
      <c r="N1805" s="74"/>
      <c r="O1805" s="73">
        <v>240000.0</v>
      </c>
      <c r="P1805" s="46" t="str">
        <f t="shared" si="2"/>
        <v>Rp10,000-24 LSN-0.00%</v>
      </c>
      <c r="Q1805" s="75">
        <v>45412.0</v>
      </c>
      <c r="R1805" s="76"/>
      <c r="S1805" s="75">
        <v>45422.0</v>
      </c>
      <c r="T1805" s="49"/>
    </row>
    <row r="1806">
      <c r="A1806" s="90">
        <v>4455.0</v>
      </c>
      <c r="B1806" s="91" t="s">
        <v>58</v>
      </c>
      <c r="C1806" s="49" t="s">
        <v>2258</v>
      </c>
      <c r="D1806" s="77" t="s">
        <v>1362</v>
      </c>
      <c r="E1806" s="41" t="str">
        <f>IFERROR(__xludf.DUMMYFUNCTION("vlookup(D1806,IMPORTRANGE(""https://docs.google.com/spreadsheets/d/1swGwZOEqYlTEUCJLY-eeJM1911Kvaei5oySBIxdgtNo/edit?pli=1#gid=257618397"",""stock untanna!B:C""),2,false)"),"BP V-TRO 225")</f>
        <v>BP V-TRO 225</v>
      </c>
      <c r="F1806" s="49" t="s">
        <v>2276</v>
      </c>
      <c r="G1806" s="71" t="s">
        <v>1363</v>
      </c>
      <c r="H1806" s="41"/>
      <c r="I1806" s="42"/>
      <c r="J1806" s="43"/>
      <c r="K1806" s="72">
        <v>24.0</v>
      </c>
      <c r="L1806" s="53" t="s">
        <v>62</v>
      </c>
      <c r="M1806" s="73">
        <v>10000.0</v>
      </c>
      <c r="N1806" s="74"/>
      <c r="O1806" s="73">
        <v>240000.0</v>
      </c>
      <c r="P1806" s="46" t="str">
        <f t="shared" si="2"/>
        <v>Rp10,000-24 LSN-0.00%</v>
      </c>
      <c r="Q1806" s="75">
        <v>45412.0</v>
      </c>
      <c r="R1806" s="76"/>
      <c r="S1806" s="75">
        <v>45422.0</v>
      </c>
      <c r="T1806" s="49"/>
    </row>
    <row r="1807">
      <c r="A1807" s="90">
        <v>4455.0</v>
      </c>
      <c r="B1807" s="91" t="s">
        <v>58</v>
      </c>
      <c r="C1807" s="49" t="s">
        <v>2258</v>
      </c>
      <c r="D1807" s="77" t="s">
        <v>2277</v>
      </c>
      <c r="E1807" s="41" t="str">
        <f>IFERROR(__xludf.DUMMYFUNCTION("vlookup(D1807,IMPORTRANGE(""https://docs.google.com/spreadsheets/d/1swGwZOEqYlTEUCJLY-eeJM1911Kvaei5oySBIxdgtNo/edit?pli=1#gid=257618397"",""stock untanna!B:C""),2,false)"),"BP V-TRO 237")</f>
        <v>BP V-TRO 237</v>
      </c>
      <c r="F1807" s="49" t="s">
        <v>2278</v>
      </c>
      <c r="G1807" s="71" t="s">
        <v>2279</v>
      </c>
      <c r="H1807" s="41"/>
      <c r="I1807" s="42"/>
      <c r="J1807" s="43"/>
      <c r="K1807" s="72">
        <v>24.0</v>
      </c>
      <c r="L1807" s="53" t="s">
        <v>62</v>
      </c>
      <c r="M1807" s="73">
        <v>10000.0</v>
      </c>
      <c r="N1807" s="74"/>
      <c r="O1807" s="73">
        <v>240000.0</v>
      </c>
      <c r="P1807" s="46" t="str">
        <f t="shared" si="2"/>
        <v>Rp10,000-24 LSN-0.00%</v>
      </c>
      <c r="Q1807" s="75">
        <v>45412.0</v>
      </c>
      <c r="R1807" s="76"/>
      <c r="S1807" s="75">
        <v>45422.0</v>
      </c>
      <c r="T1807" s="49"/>
    </row>
    <row r="1808">
      <c r="A1808" s="90">
        <v>4455.0</v>
      </c>
      <c r="B1808" s="91" t="s">
        <v>58</v>
      </c>
      <c r="C1808" s="49" t="s">
        <v>2258</v>
      </c>
      <c r="D1808" s="77" t="s">
        <v>2280</v>
      </c>
      <c r="E1808" s="41" t="str">
        <f>IFERROR(__xludf.DUMMYFUNCTION("IFNA(vlookup(D1808,IMPORTRANGE(""https://docs.google.com/spreadsheets/d/1swGwZOEqYlTEUCJLY-eeJM1911Kvaei5oySBIxdgtNo/edit?pli=1#gid=257618397"",""stock untanna!B:C""),2,false),V:V)"),"BP GEL ZHIXIN G 3139")</f>
        <v>BP GEL ZHIXIN G 3139</v>
      </c>
      <c r="F1808" s="49"/>
      <c r="G1808" s="71" t="s">
        <v>2281</v>
      </c>
      <c r="H1808" s="41"/>
      <c r="I1808" s="42"/>
      <c r="J1808" s="85" t="s">
        <v>1319</v>
      </c>
      <c r="K1808" s="72">
        <v>20.0</v>
      </c>
      <c r="L1808" s="53" t="s">
        <v>62</v>
      </c>
      <c r="M1808" s="73">
        <v>18500.0</v>
      </c>
      <c r="N1808" s="74"/>
      <c r="O1808" s="73">
        <v>370000.0</v>
      </c>
      <c r="P1808" s="46" t="str">
        <f t="shared" si="2"/>
        <v>Rp18,500-20 LSN-0.00%</v>
      </c>
      <c r="Q1808" s="75">
        <v>45412.0</v>
      </c>
      <c r="R1808" s="76"/>
      <c r="S1808" s="75">
        <v>45422.0</v>
      </c>
      <c r="T1808" s="80" t="s">
        <v>280</v>
      </c>
    </row>
    <row r="1809">
      <c r="A1809" s="90">
        <v>4455.0</v>
      </c>
      <c r="B1809" s="91" t="s">
        <v>58</v>
      </c>
      <c r="C1809" s="49" t="s">
        <v>2258</v>
      </c>
      <c r="D1809" s="91"/>
      <c r="E1809" s="41" t="s">
        <v>2282</v>
      </c>
      <c r="F1809" s="49"/>
      <c r="G1809" s="71" t="s">
        <v>2282</v>
      </c>
      <c r="H1809" s="41"/>
      <c r="I1809" s="42"/>
      <c r="J1809" s="43"/>
      <c r="K1809" s="72">
        <v>20.0</v>
      </c>
      <c r="L1809" s="53" t="s">
        <v>62</v>
      </c>
      <c r="M1809" s="73">
        <v>18500.0</v>
      </c>
      <c r="N1809" s="74"/>
      <c r="O1809" s="73">
        <v>370000.0</v>
      </c>
      <c r="P1809" s="46" t="str">
        <f t="shared" si="2"/>
        <v>Rp18,500-20 LSN-0.00%</v>
      </c>
      <c r="Q1809" s="75">
        <v>45412.0</v>
      </c>
      <c r="R1809" s="76"/>
      <c r="S1809" s="75">
        <v>45422.0</v>
      </c>
      <c r="T1809" s="49"/>
    </row>
    <row r="1810">
      <c r="A1810" s="90">
        <v>4455.0</v>
      </c>
      <c r="B1810" s="91" t="s">
        <v>58</v>
      </c>
      <c r="C1810" s="49" t="s">
        <v>2258</v>
      </c>
      <c r="D1810" s="91"/>
      <c r="E1810" s="41" t="s">
        <v>2283</v>
      </c>
      <c r="F1810" s="49"/>
      <c r="G1810" s="71" t="s">
        <v>2283</v>
      </c>
      <c r="H1810" s="41"/>
      <c r="I1810" s="42"/>
      <c r="J1810" s="43"/>
      <c r="K1810" s="72">
        <v>20.0</v>
      </c>
      <c r="L1810" s="53" t="s">
        <v>62</v>
      </c>
      <c r="M1810" s="73">
        <v>18500.0</v>
      </c>
      <c r="N1810" s="74"/>
      <c r="O1810" s="73">
        <v>370000.0</v>
      </c>
      <c r="P1810" s="46" t="str">
        <f t="shared" si="2"/>
        <v>Rp18,500-20 LSN-0.00%</v>
      </c>
      <c r="Q1810" s="75">
        <v>45412.0</v>
      </c>
      <c r="R1810" s="76"/>
      <c r="S1810" s="75">
        <v>45422.0</v>
      </c>
      <c r="T1810" s="49"/>
    </row>
    <row r="1811">
      <c r="A1811" s="90">
        <v>4455.0</v>
      </c>
      <c r="B1811" s="91" t="s">
        <v>58</v>
      </c>
      <c r="C1811" s="49" t="s">
        <v>2258</v>
      </c>
      <c r="D1811" s="77" t="s">
        <v>2284</v>
      </c>
      <c r="E1811" s="41" t="str">
        <f>IFERROR(__xludf.DUMMYFUNCTION("IFNA(vlookup(D1811,IMPORTRANGE(""https://docs.google.com/spreadsheets/d/1swGwZOEqYlTEUCJLY-eeJM1911Kvaei5oySBIxdgtNo/edit?pli=1#gid=257618397"",""stock untanna!B:C""),2,false),V:V)"),"BP ZHIXIN 5014")</f>
        <v>BP ZHIXIN 5014</v>
      </c>
      <c r="F1811" s="49"/>
      <c r="G1811" s="71" t="s">
        <v>2285</v>
      </c>
      <c r="H1811" s="41"/>
      <c r="I1811" s="42"/>
      <c r="J1811" s="85" t="s">
        <v>1319</v>
      </c>
      <c r="K1811" s="72">
        <v>10.0</v>
      </c>
      <c r="L1811" s="53" t="s">
        <v>62</v>
      </c>
      <c r="M1811" s="73">
        <v>18500.0</v>
      </c>
      <c r="N1811" s="74"/>
      <c r="O1811" s="73">
        <v>185000.0</v>
      </c>
      <c r="P1811" s="46" t="str">
        <f t="shared" si="2"/>
        <v>Rp18,500-10 LSN-0.00%</v>
      </c>
      <c r="Q1811" s="75">
        <v>45412.0</v>
      </c>
      <c r="R1811" s="76"/>
      <c r="S1811" s="75">
        <v>45422.0</v>
      </c>
      <c r="T1811" s="80" t="s">
        <v>280</v>
      </c>
    </row>
    <row r="1812">
      <c r="A1812" s="90">
        <v>4455.0</v>
      </c>
      <c r="B1812" s="91" t="s">
        <v>58</v>
      </c>
      <c r="C1812" s="49" t="s">
        <v>2258</v>
      </c>
      <c r="D1812" s="91"/>
      <c r="E1812" s="41" t="s">
        <v>2286</v>
      </c>
      <c r="F1812" s="49"/>
      <c r="G1812" s="71" t="s">
        <v>2286</v>
      </c>
      <c r="H1812" s="41"/>
      <c r="I1812" s="42"/>
      <c r="J1812" s="43"/>
      <c r="K1812" s="72">
        <v>10.0</v>
      </c>
      <c r="L1812" s="53" t="s">
        <v>62</v>
      </c>
      <c r="M1812" s="73">
        <v>18500.0</v>
      </c>
      <c r="N1812" s="74"/>
      <c r="O1812" s="73">
        <v>185000.0</v>
      </c>
      <c r="P1812" s="46" t="str">
        <f t="shared" si="2"/>
        <v>Rp18,500-10 LSN-0.00%</v>
      </c>
      <c r="Q1812" s="75">
        <v>45412.0</v>
      </c>
      <c r="R1812" s="76"/>
      <c r="S1812" s="75">
        <v>45422.0</v>
      </c>
      <c r="T1812" s="49"/>
    </row>
    <row r="1813">
      <c r="A1813" s="90">
        <v>4455.0</v>
      </c>
      <c r="B1813" s="91" t="s">
        <v>58</v>
      </c>
      <c r="C1813" s="49" t="s">
        <v>2258</v>
      </c>
      <c r="D1813" s="77" t="s">
        <v>2287</v>
      </c>
      <c r="E1813" s="41" t="s">
        <v>2288</v>
      </c>
      <c r="F1813" s="49"/>
      <c r="G1813" s="71" t="s">
        <v>2288</v>
      </c>
      <c r="H1813" s="41"/>
      <c r="I1813" s="42"/>
      <c r="J1813" s="85" t="s">
        <v>1319</v>
      </c>
      <c r="K1813" s="72">
        <v>10.0</v>
      </c>
      <c r="L1813" s="53" t="s">
        <v>62</v>
      </c>
      <c r="M1813" s="73">
        <v>18500.0</v>
      </c>
      <c r="N1813" s="74"/>
      <c r="O1813" s="73">
        <v>185000.0</v>
      </c>
      <c r="P1813" s="46" t="str">
        <f t="shared" si="2"/>
        <v>Rp18,500-10 LSN-0.00%</v>
      </c>
      <c r="Q1813" s="75">
        <v>45412.0</v>
      </c>
      <c r="R1813" s="76"/>
      <c r="S1813" s="75">
        <v>45422.0</v>
      </c>
      <c r="T1813" s="80" t="s">
        <v>280</v>
      </c>
    </row>
    <row r="1814">
      <c r="A1814" s="90">
        <v>4455.0</v>
      </c>
      <c r="B1814" s="91" t="s">
        <v>58</v>
      </c>
      <c r="C1814" s="49" t="s">
        <v>2258</v>
      </c>
      <c r="D1814" s="91"/>
      <c r="E1814" s="41" t="s">
        <v>2289</v>
      </c>
      <c r="F1814" s="49"/>
      <c r="G1814" s="71" t="s">
        <v>2289</v>
      </c>
      <c r="H1814" s="41"/>
      <c r="I1814" s="42"/>
      <c r="J1814" s="43"/>
      <c r="K1814" s="72">
        <v>10.0</v>
      </c>
      <c r="L1814" s="53" t="s">
        <v>62</v>
      </c>
      <c r="M1814" s="73">
        <v>18500.0</v>
      </c>
      <c r="N1814" s="74"/>
      <c r="O1814" s="73">
        <v>185000.0</v>
      </c>
      <c r="P1814" s="46" t="str">
        <f t="shared" si="2"/>
        <v>Rp18,500-10 LSN-0.00%</v>
      </c>
      <c r="Q1814" s="75">
        <v>45412.0</v>
      </c>
      <c r="R1814" s="76"/>
      <c r="S1814" s="75">
        <v>45422.0</v>
      </c>
      <c r="T1814" s="49"/>
    </row>
    <row r="1815">
      <c r="A1815" s="90">
        <v>4455.0</v>
      </c>
      <c r="B1815" s="91" t="s">
        <v>58</v>
      </c>
      <c r="C1815" s="49" t="s">
        <v>2258</v>
      </c>
      <c r="D1815" s="91"/>
      <c r="E1815" s="41" t="s">
        <v>2290</v>
      </c>
      <c r="F1815" s="49"/>
      <c r="G1815" s="71" t="s">
        <v>2290</v>
      </c>
      <c r="H1815" s="41"/>
      <c r="I1815" s="42"/>
      <c r="J1815" s="43"/>
      <c r="K1815" s="72">
        <v>10.0</v>
      </c>
      <c r="L1815" s="53" t="s">
        <v>62</v>
      </c>
      <c r="M1815" s="73">
        <v>18500.0</v>
      </c>
      <c r="N1815" s="74"/>
      <c r="O1815" s="73">
        <v>185000.0</v>
      </c>
      <c r="P1815" s="46" t="str">
        <f t="shared" si="2"/>
        <v>Rp18,500-10 LSN-0.00%</v>
      </c>
      <c r="Q1815" s="75">
        <v>45412.0</v>
      </c>
      <c r="R1815" s="76"/>
      <c r="S1815" s="75">
        <v>45422.0</v>
      </c>
      <c r="T1815" s="49"/>
    </row>
    <row r="1816">
      <c r="A1816" s="90">
        <v>4455.0</v>
      </c>
      <c r="B1816" s="91" t="s">
        <v>58</v>
      </c>
      <c r="C1816" s="49" t="s">
        <v>2258</v>
      </c>
      <c r="D1816" s="91"/>
      <c r="E1816" s="41" t="s">
        <v>2291</v>
      </c>
      <c r="F1816" s="49"/>
      <c r="G1816" s="71" t="s">
        <v>2291</v>
      </c>
      <c r="H1816" s="41"/>
      <c r="I1816" s="42"/>
      <c r="J1816" s="43"/>
      <c r="K1816" s="72">
        <v>10.0</v>
      </c>
      <c r="L1816" s="53" t="s">
        <v>62</v>
      </c>
      <c r="M1816" s="73">
        <v>18500.0</v>
      </c>
      <c r="N1816" s="74"/>
      <c r="O1816" s="73">
        <v>185000.0</v>
      </c>
      <c r="P1816" s="46" t="str">
        <f t="shared" si="2"/>
        <v>Rp18,500-10 LSN-0.00%</v>
      </c>
      <c r="Q1816" s="75">
        <v>45412.0</v>
      </c>
      <c r="R1816" s="76"/>
      <c r="S1816" s="75">
        <v>45422.0</v>
      </c>
      <c r="T1816" s="49"/>
    </row>
    <row r="1817">
      <c r="A1817" s="90">
        <v>5.0</v>
      </c>
      <c r="B1817" s="91" t="s">
        <v>58</v>
      </c>
      <c r="C1817" s="49" t="s">
        <v>2292</v>
      </c>
      <c r="D1817" s="91" t="s">
        <v>505</v>
      </c>
      <c r="E1817" s="41" t="str">
        <f>IFERROR(__xludf.DUMMYFUNCTION("vlookup(D1817,IMPORTRANGE(""https://docs.google.com/spreadsheets/d/1swGwZOEqYlTEUCJLY-eeJM1911Kvaei5oySBIxdgtNo/edit?pli=1#gid=257618397"",""stock untanna!B:C""),2,false)"),"CUTTER TACO 88 BESAR")</f>
        <v>CUTTER TACO 88 BESAR</v>
      </c>
      <c r="F1817" s="49" t="s">
        <v>505</v>
      </c>
      <c r="G1817" s="71" t="s">
        <v>506</v>
      </c>
      <c r="H1817" s="41"/>
      <c r="I1817" s="42"/>
      <c r="J1817" s="43"/>
      <c r="K1817" s="72">
        <v>30.0</v>
      </c>
      <c r="L1817" s="53" t="s">
        <v>62</v>
      </c>
      <c r="M1817" s="73">
        <v>33000.0</v>
      </c>
      <c r="N1817" s="83">
        <v>0.1</v>
      </c>
      <c r="O1817" s="73">
        <v>891000.0</v>
      </c>
      <c r="P1817" s="46" t="str">
        <f t="shared" si="2"/>
        <v>Rp33,000-30 LSN-10.00%</v>
      </c>
      <c r="Q1817" s="75">
        <v>45412.0</v>
      </c>
      <c r="R1817" s="76"/>
      <c r="S1817" s="75">
        <v>45422.0</v>
      </c>
      <c r="T1817" s="49"/>
    </row>
    <row r="1818">
      <c r="A1818" s="90">
        <v>5.0</v>
      </c>
      <c r="B1818" s="91" t="s">
        <v>58</v>
      </c>
      <c r="C1818" s="49" t="s">
        <v>2292</v>
      </c>
      <c r="D1818" s="91" t="s">
        <v>623</v>
      </c>
      <c r="E1818" s="41" t="str">
        <f>IFERROR(__xludf.DUMMYFUNCTION("vlookup(D1818,IMPORTRANGE(""https://docs.google.com/spreadsheets/d/1swGwZOEqYlTEUCJLY-eeJM1911Kvaei5oySBIxdgtNo/edit?pli=1#gid=257618397"",""stock untanna!B:C""),2,false)"),"BP GEL TF-1190 0.3MM HIGHTECH (H)")</f>
        <v>BP GEL TF-1190 0.3MM HIGHTECH (H)</v>
      </c>
      <c r="F1818" s="49" t="s">
        <v>623</v>
      </c>
      <c r="G1818" s="71" t="s">
        <v>624</v>
      </c>
      <c r="H1818" s="41"/>
      <c r="I1818" s="42"/>
      <c r="J1818" s="43"/>
      <c r="K1818" s="72">
        <v>96.0</v>
      </c>
      <c r="L1818" s="53" t="s">
        <v>62</v>
      </c>
      <c r="M1818" s="73">
        <v>29000.0</v>
      </c>
      <c r="N1818" s="74"/>
      <c r="O1818" s="73">
        <v>2784000.0</v>
      </c>
      <c r="P1818" s="46" t="str">
        <f t="shared" si="2"/>
        <v>Rp29,000-96 LSN-0.00%</v>
      </c>
      <c r="Q1818" s="75">
        <v>45412.0</v>
      </c>
      <c r="R1818" s="76"/>
      <c r="S1818" s="75">
        <v>45422.0</v>
      </c>
      <c r="T1818" s="49"/>
    </row>
    <row r="1819">
      <c r="A1819" s="90">
        <v>5.0</v>
      </c>
      <c r="B1819" s="91" t="s">
        <v>58</v>
      </c>
      <c r="C1819" s="49" t="s">
        <v>2292</v>
      </c>
      <c r="D1819" s="91" t="s">
        <v>201</v>
      </c>
      <c r="E1819" s="41" t="str">
        <f>IFERROR(__xludf.DUMMYFUNCTION("vlookup(D1819,IMPORTRANGE(""https://docs.google.com/spreadsheets/d/1swGwZOEqYlTEUCJLY-eeJM1911Kvaei5oySBIxdgtNo/edit?pli=1#gid=257618397"",""stock untanna!B:C""),2,false)"),"BP GEL TF-1190 0.3MM HIGHTECH (B)")</f>
        <v>BP GEL TF-1190 0.3MM HIGHTECH (B)</v>
      </c>
      <c r="F1819" s="49" t="s">
        <v>201</v>
      </c>
      <c r="G1819" s="71" t="s">
        <v>202</v>
      </c>
      <c r="H1819" s="41"/>
      <c r="I1819" s="42"/>
      <c r="J1819" s="43"/>
      <c r="K1819" s="72">
        <v>48.0</v>
      </c>
      <c r="L1819" s="53" t="s">
        <v>62</v>
      </c>
      <c r="M1819" s="73">
        <v>29000.0</v>
      </c>
      <c r="N1819" s="74"/>
      <c r="O1819" s="73">
        <v>1392000.0</v>
      </c>
      <c r="P1819" s="46" t="str">
        <f t="shared" si="2"/>
        <v>Rp29,000-48 LSN-0.00%</v>
      </c>
      <c r="Q1819" s="75">
        <v>45412.0</v>
      </c>
      <c r="R1819" s="76"/>
      <c r="S1819" s="75">
        <v>45422.0</v>
      </c>
      <c r="T1819" s="49"/>
    </row>
    <row r="1820">
      <c r="A1820" s="90">
        <v>5.0</v>
      </c>
      <c r="B1820" s="91" t="s">
        <v>58</v>
      </c>
      <c r="C1820" s="49" t="s">
        <v>2292</v>
      </c>
      <c r="D1820" s="91" t="s">
        <v>381</v>
      </c>
      <c r="E1820" s="41" t="str">
        <f>IFERROR(__xludf.DUMMYFUNCTION("vlookup(D1820,IMPORTRANGE(""https://docs.google.com/spreadsheets/d/1swGwZOEqYlTEUCJLY-eeJM1911Kvaei5oySBIxdgtNo/edit?pli=1#gid=257618397"",""stock untanna!B:C""),2,false)"),"GARISAN BUSUR TF 1988-180")</f>
        <v>GARISAN BUSUR TF 1988-180</v>
      </c>
      <c r="F1820" s="49" t="s">
        <v>381</v>
      </c>
      <c r="G1820" s="71" t="s">
        <v>382</v>
      </c>
      <c r="H1820" s="41"/>
      <c r="I1820" s="42"/>
      <c r="J1820" s="43"/>
      <c r="K1820" s="72">
        <v>25.0</v>
      </c>
      <c r="L1820" s="53" t="s">
        <v>62</v>
      </c>
      <c r="M1820" s="73">
        <v>11500.0</v>
      </c>
      <c r="N1820" s="74"/>
      <c r="O1820" s="73">
        <v>287500.0</v>
      </c>
      <c r="P1820" s="46" t="str">
        <f t="shared" si="2"/>
        <v>Rp11,500-25 LSN-0.00%</v>
      </c>
      <c r="Q1820" s="75">
        <v>45412.0</v>
      </c>
      <c r="R1820" s="76"/>
      <c r="S1820" s="75">
        <v>45422.0</v>
      </c>
      <c r="T1820" s="49"/>
    </row>
    <row r="1821">
      <c r="A1821" s="90">
        <v>5.0</v>
      </c>
      <c r="B1821" s="91" t="s">
        <v>58</v>
      </c>
      <c r="C1821" s="49" t="s">
        <v>2292</v>
      </c>
      <c r="D1821" s="91"/>
      <c r="E1821" s="41" t="s">
        <v>2293</v>
      </c>
      <c r="F1821" s="49"/>
      <c r="G1821" s="71" t="s">
        <v>2293</v>
      </c>
      <c r="H1821" s="41"/>
      <c r="I1821" s="42"/>
      <c r="J1821" s="43"/>
      <c r="K1821" s="72">
        <v>1.0</v>
      </c>
      <c r="L1821" s="53" t="s">
        <v>88</v>
      </c>
      <c r="M1821" s="73">
        <v>132000.0</v>
      </c>
      <c r="N1821" s="74"/>
      <c r="O1821" s="73">
        <v>132000.0</v>
      </c>
      <c r="P1821" s="46" t="str">
        <f t="shared" si="2"/>
        <v>Rp132,000-1 BOX-0.00%</v>
      </c>
      <c r="Q1821" s="75">
        <v>45412.0</v>
      </c>
      <c r="R1821" s="76"/>
      <c r="S1821" s="75">
        <v>45422.0</v>
      </c>
      <c r="T1821" s="49"/>
    </row>
    <row r="1822">
      <c r="A1822" s="90">
        <v>5.0</v>
      </c>
      <c r="B1822" s="91" t="s">
        <v>58</v>
      </c>
      <c r="C1822" s="49" t="s">
        <v>2292</v>
      </c>
      <c r="D1822" s="77" t="s">
        <v>2294</v>
      </c>
      <c r="E1822" s="41" t="str">
        <f>IFERROR(__xludf.DUMMYFUNCTION("vlookup(D1822,IMPORTRANGE(""https://docs.google.com/spreadsheets/d/1swGwZOEqYlTEUCJLY-eeJM1911Kvaei5oySBIxdgtNo/edit?pli=1#gid=257618397"",""stock untanna!B:C""),2,false)"),"GARISAN SET LM 0190 HERO")</f>
        <v>GARISAN SET LM 0190 HERO</v>
      </c>
      <c r="F1822" s="49" t="s">
        <v>2295</v>
      </c>
      <c r="G1822" s="71" t="s">
        <v>2296</v>
      </c>
      <c r="H1822" s="41"/>
      <c r="I1822" s="42"/>
      <c r="J1822" s="43"/>
      <c r="K1822" s="72">
        <v>1.0</v>
      </c>
      <c r="L1822" s="53" t="s">
        <v>88</v>
      </c>
      <c r="M1822" s="73">
        <v>132000.0</v>
      </c>
      <c r="N1822" s="74"/>
      <c r="O1822" s="73">
        <v>132000.0</v>
      </c>
      <c r="P1822" s="46" t="str">
        <f t="shared" si="2"/>
        <v>Rp132,000-1 BOX-0.00%</v>
      </c>
      <c r="Q1822" s="75">
        <v>45412.0</v>
      </c>
      <c r="R1822" s="76"/>
      <c r="S1822" s="75">
        <v>45422.0</v>
      </c>
      <c r="T1822" s="49"/>
    </row>
    <row r="1823">
      <c r="A1823" s="90">
        <v>5.0</v>
      </c>
      <c r="B1823" s="91" t="s">
        <v>58</v>
      </c>
      <c r="C1823" s="49" t="s">
        <v>2292</v>
      </c>
      <c r="D1823" s="21" t="s">
        <v>1970</v>
      </c>
      <c r="E1823" s="41" t="str">
        <f>IFERROR(__xludf.DUMMYFUNCTION("vlookup(D1823,IMPORTRANGE(""https://docs.google.com/spreadsheets/d/1swGwZOEqYlTEUCJLY-eeJM1911Kvaei5oySBIxdgtNo/edit?pli=1#gid=257618397"",""stock untanna!B:C""),2,false)"),"GARISAN SET ZX 6138")</f>
        <v>GARISAN SET ZX 6138</v>
      </c>
      <c r="F1823" s="49" t="s">
        <v>1971</v>
      </c>
      <c r="G1823" s="71" t="s">
        <v>1972</v>
      </c>
      <c r="H1823" s="41"/>
      <c r="I1823" s="42"/>
      <c r="J1823" s="43"/>
      <c r="K1823" s="72">
        <v>1.0</v>
      </c>
      <c r="L1823" s="53" t="s">
        <v>88</v>
      </c>
      <c r="M1823" s="73">
        <v>132000.0</v>
      </c>
      <c r="N1823" s="74"/>
      <c r="O1823" s="73">
        <v>132000.0</v>
      </c>
      <c r="P1823" s="46" t="str">
        <f t="shared" si="2"/>
        <v>Rp132,000-1 BOX-0.00%</v>
      </c>
      <c r="Q1823" s="75">
        <v>45412.0</v>
      </c>
      <c r="R1823" s="76"/>
      <c r="S1823" s="75">
        <v>45422.0</v>
      </c>
      <c r="T1823" s="49"/>
    </row>
    <row r="1824">
      <c r="A1824" s="90">
        <v>5.0</v>
      </c>
      <c r="B1824" s="91" t="s">
        <v>58</v>
      </c>
      <c r="C1824" s="49" t="s">
        <v>2292</v>
      </c>
      <c r="D1824" s="77" t="s">
        <v>2297</v>
      </c>
      <c r="E1824" s="41" t="str">
        <f>IFERROR(__xludf.DUMMYFUNCTION("vlookup(D1824,IMPORTRANGE(""https://docs.google.com/spreadsheets/d/1swGwZOEqYlTEUCJLY-eeJM1911Kvaei5oySBIxdgtNo/edit?pli=1#gid=257618397"",""stock untanna!B:C""),2,false)"),"GARISAN SET ZX 6110/ 20CM PPK")</f>
        <v>GARISAN SET ZX 6110/ 20CM PPK</v>
      </c>
      <c r="F1824" s="49" t="s">
        <v>2298</v>
      </c>
      <c r="G1824" s="71" t="s">
        <v>2299</v>
      </c>
      <c r="H1824" s="41"/>
      <c r="I1824" s="42"/>
      <c r="J1824" s="43"/>
      <c r="K1824" s="72">
        <v>1.0</v>
      </c>
      <c r="L1824" s="53" t="s">
        <v>88</v>
      </c>
      <c r="M1824" s="73">
        <v>132000.0</v>
      </c>
      <c r="N1824" s="74"/>
      <c r="O1824" s="73">
        <v>132000.0</v>
      </c>
      <c r="P1824" s="46" t="str">
        <f t="shared" si="2"/>
        <v>Rp132,000-1 BOX-0.00%</v>
      </c>
      <c r="Q1824" s="75">
        <v>45412.0</v>
      </c>
      <c r="R1824" s="76"/>
      <c r="S1824" s="75">
        <v>45422.0</v>
      </c>
      <c r="T1824" s="49"/>
    </row>
    <row r="1825">
      <c r="A1825" s="90">
        <v>5.0</v>
      </c>
      <c r="B1825" s="91" t="s">
        <v>58</v>
      </c>
      <c r="C1825" s="49" t="s">
        <v>2292</v>
      </c>
      <c r="D1825" s="77" t="s">
        <v>2300</v>
      </c>
      <c r="E1825" s="41" t="str">
        <f>IFERROR(__xludf.DUMMYFUNCTION("vlookup(D1825,IMPORTRANGE(""https://docs.google.com/spreadsheets/d/1swGwZOEqYlTEUCJLY-eeJM1911Kvaei5oySBIxdgtNo/edit?pli=1#gid=257618397"",""stock untanna!B:C""),2,false)"),"GARISAN SET FS 9810 UNICORN")</f>
        <v>GARISAN SET FS 9810 UNICORN</v>
      </c>
      <c r="F1825" s="49" t="s">
        <v>2301</v>
      </c>
      <c r="G1825" s="71" t="s">
        <v>2302</v>
      </c>
      <c r="H1825" s="41"/>
      <c r="I1825" s="42"/>
      <c r="J1825" s="43"/>
      <c r="K1825" s="72">
        <v>1.0</v>
      </c>
      <c r="L1825" s="53" t="s">
        <v>88</v>
      </c>
      <c r="M1825" s="73">
        <v>132000.0</v>
      </c>
      <c r="N1825" s="74"/>
      <c r="O1825" s="73">
        <v>132000.0</v>
      </c>
      <c r="P1825" s="46" t="str">
        <f t="shared" si="2"/>
        <v>Rp132,000-1 BOX-0.00%</v>
      </c>
      <c r="Q1825" s="75">
        <v>45412.0</v>
      </c>
      <c r="R1825" s="76"/>
      <c r="S1825" s="75">
        <v>45422.0</v>
      </c>
      <c r="T1825" s="49"/>
    </row>
    <row r="1826">
      <c r="A1826" s="90">
        <v>5.0</v>
      </c>
      <c r="B1826" s="91" t="s">
        <v>58</v>
      </c>
      <c r="C1826" s="49" t="s">
        <v>2292</v>
      </c>
      <c r="D1826" s="91"/>
      <c r="E1826" s="41" t="s">
        <v>2303</v>
      </c>
      <c r="F1826" s="49"/>
      <c r="G1826" s="71" t="s">
        <v>2303</v>
      </c>
      <c r="H1826" s="41"/>
      <c r="I1826" s="42"/>
      <c r="J1826" s="43"/>
      <c r="K1826" s="72">
        <v>1.0</v>
      </c>
      <c r="L1826" s="53" t="s">
        <v>88</v>
      </c>
      <c r="M1826" s="73">
        <v>100000.0</v>
      </c>
      <c r="N1826" s="74"/>
      <c r="O1826" s="73">
        <v>100000.0</v>
      </c>
      <c r="P1826" s="46" t="str">
        <f t="shared" si="2"/>
        <v>Rp100,000-1 BOX-0.00%</v>
      </c>
      <c r="Q1826" s="75">
        <v>45412.0</v>
      </c>
      <c r="R1826" s="76"/>
      <c r="S1826" s="75">
        <v>45422.0</v>
      </c>
      <c r="T1826" s="49"/>
    </row>
    <row r="1827">
      <c r="A1827" s="90">
        <v>5.0</v>
      </c>
      <c r="B1827" s="91" t="s">
        <v>58</v>
      </c>
      <c r="C1827" s="49" t="s">
        <v>2292</v>
      </c>
      <c r="D1827" s="91" t="s">
        <v>2304</v>
      </c>
      <c r="E1827" s="41" t="str">
        <f>IFERROR(__xludf.DUMMYFUNCTION("vlookup(D1827,IMPORTRANGE(""https://docs.google.com/spreadsheets/d/1swGwZOEqYlTEUCJLY-eeJM1911Kvaei5oySBIxdgtNo/edit?pli=1#gid=257618397"",""stock untanna!B:C""),2,false)"),"GARISAN SET ZX-022 20 CM")</f>
        <v>GARISAN SET ZX-022 20 CM</v>
      </c>
      <c r="F1827" s="49" t="s">
        <v>2304</v>
      </c>
      <c r="G1827" s="71" t="s">
        <v>2305</v>
      </c>
      <c r="H1827" s="41"/>
      <c r="I1827" s="42"/>
      <c r="J1827" s="43"/>
      <c r="K1827" s="72">
        <v>50.0</v>
      </c>
      <c r="L1827" s="53" t="s">
        <v>69</v>
      </c>
      <c r="M1827" s="73">
        <v>2000.0</v>
      </c>
      <c r="N1827" s="74"/>
      <c r="O1827" s="73">
        <v>100000.0</v>
      </c>
      <c r="P1827" s="46" t="str">
        <f t="shared" si="2"/>
        <v>Rp2,000-50 PCS-0.00%</v>
      </c>
      <c r="Q1827" s="75">
        <v>45412.0</v>
      </c>
      <c r="R1827" s="76"/>
      <c r="S1827" s="75">
        <v>45422.0</v>
      </c>
      <c r="T1827" s="49"/>
    </row>
    <row r="1828">
      <c r="A1828" s="90">
        <v>5.0</v>
      </c>
      <c r="B1828" s="91" t="s">
        <v>58</v>
      </c>
      <c r="C1828" s="49" t="s">
        <v>2292</v>
      </c>
      <c r="D1828" s="91" t="s">
        <v>2306</v>
      </c>
      <c r="E1828" s="41" t="str">
        <f>IFERROR(__xludf.DUMMYFUNCTION("vlookup(D1828,IMPORTRANGE(""https://docs.google.com/spreadsheets/d/1swGwZOEqYlTEUCJLY-eeJM1911Kvaei5oySBIxdgtNo/edit?pli=1#gid=257618397"",""stock untanna!B:C""),2,false)"),"GARISAN SET ZX-018 20 CM")</f>
        <v>GARISAN SET ZX-018 20 CM</v>
      </c>
      <c r="F1828" s="49" t="s">
        <v>2306</v>
      </c>
      <c r="G1828" s="71" t="s">
        <v>2307</v>
      </c>
      <c r="H1828" s="41"/>
      <c r="I1828" s="42"/>
      <c r="J1828" s="43"/>
      <c r="K1828" s="72">
        <v>50.0</v>
      </c>
      <c r="L1828" s="53" t="s">
        <v>69</v>
      </c>
      <c r="M1828" s="73">
        <v>2000.0</v>
      </c>
      <c r="N1828" s="74"/>
      <c r="O1828" s="73">
        <v>100000.0</v>
      </c>
      <c r="P1828" s="46" t="str">
        <f t="shared" si="2"/>
        <v>Rp2,000-50 PCS-0.00%</v>
      </c>
      <c r="Q1828" s="75">
        <v>45412.0</v>
      </c>
      <c r="R1828" s="76"/>
      <c r="S1828" s="75">
        <v>45422.0</v>
      </c>
      <c r="T1828" s="49"/>
    </row>
    <row r="1829">
      <c r="A1829" s="90">
        <v>5.0</v>
      </c>
      <c r="B1829" s="91" t="s">
        <v>58</v>
      </c>
      <c r="C1829" s="49" t="s">
        <v>2292</v>
      </c>
      <c r="D1829" s="91" t="s">
        <v>2308</v>
      </c>
      <c r="E1829" s="41" t="str">
        <f>IFERROR(__xludf.DUMMYFUNCTION("vlookup(D1829,IMPORTRANGE(""https://docs.google.com/spreadsheets/d/1swGwZOEqYlTEUCJLY-eeJM1911Kvaei5oySBIxdgtNo/edit?pli=1#gid=257618397"",""stock untanna!B:C""),2,false)"),"GARISAN SET ZX-021 20 CM")</f>
        <v>GARISAN SET ZX-021 20 CM</v>
      </c>
      <c r="F1829" s="49" t="s">
        <v>2308</v>
      </c>
      <c r="G1829" s="71" t="s">
        <v>2309</v>
      </c>
      <c r="H1829" s="41"/>
      <c r="I1829" s="42"/>
      <c r="J1829" s="43"/>
      <c r="K1829" s="72">
        <v>50.0</v>
      </c>
      <c r="L1829" s="53" t="s">
        <v>69</v>
      </c>
      <c r="M1829" s="73">
        <v>2000.0</v>
      </c>
      <c r="N1829" s="74"/>
      <c r="O1829" s="73">
        <v>100000.0</v>
      </c>
      <c r="P1829" s="46" t="str">
        <f t="shared" si="2"/>
        <v>Rp2,000-50 PCS-0.00%</v>
      </c>
      <c r="Q1829" s="75">
        <v>45412.0</v>
      </c>
      <c r="R1829" s="76"/>
      <c r="S1829" s="75">
        <v>45422.0</v>
      </c>
      <c r="T1829" s="49"/>
    </row>
    <row r="1830">
      <c r="A1830" s="90">
        <v>5.0</v>
      </c>
      <c r="B1830" s="91" t="s">
        <v>58</v>
      </c>
      <c r="C1830" s="49" t="s">
        <v>2292</v>
      </c>
      <c r="D1830" s="91" t="s">
        <v>776</v>
      </c>
      <c r="E1830" s="41" t="str">
        <f>IFERROR(__xludf.DUMMYFUNCTION("vlookup(D1830,IMPORTRANGE(""https://docs.google.com/spreadsheets/d/1swGwZOEqYlTEUCJLY-eeJM1911Kvaei5oySBIxdgtNo/edit?pli=1#gid=257618397"",""stock untanna!B:C""),2,false)"),"STABILLO TOZCHA TZ 8001")</f>
        <v>STABILLO TOZCHA TZ 8001</v>
      </c>
      <c r="F1830" s="49" t="s">
        <v>776</v>
      </c>
      <c r="G1830" s="71" t="s">
        <v>777</v>
      </c>
      <c r="H1830" s="41"/>
      <c r="I1830" s="42"/>
      <c r="J1830" s="43"/>
      <c r="K1830" s="72">
        <v>24.0</v>
      </c>
      <c r="L1830" s="53" t="s">
        <v>62</v>
      </c>
      <c r="M1830" s="73">
        <v>26000.0</v>
      </c>
      <c r="N1830" s="74"/>
      <c r="O1830" s="73">
        <v>624000.0</v>
      </c>
      <c r="P1830" s="46" t="str">
        <f t="shared" si="2"/>
        <v>Rp26,000-24 LSN-0.00%</v>
      </c>
      <c r="Q1830" s="75">
        <v>45412.0</v>
      </c>
      <c r="R1830" s="76"/>
      <c r="S1830" s="75">
        <v>45422.0</v>
      </c>
      <c r="T1830" s="49"/>
    </row>
    <row r="1831">
      <c r="A1831" s="90">
        <v>5.0</v>
      </c>
      <c r="B1831" s="91" t="s">
        <v>58</v>
      </c>
      <c r="C1831" s="49" t="s">
        <v>2292</v>
      </c>
      <c r="D1831" s="91"/>
      <c r="E1831" s="41" t="s">
        <v>2310</v>
      </c>
      <c r="F1831" s="49"/>
      <c r="G1831" s="71" t="s">
        <v>2310</v>
      </c>
      <c r="H1831" s="41"/>
      <c r="I1831" s="42"/>
      <c r="J1831" s="43"/>
      <c r="K1831" s="72">
        <v>30.0</v>
      </c>
      <c r="L1831" s="53" t="s">
        <v>62</v>
      </c>
      <c r="M1831" s="73">
        <v>22500.0</v>
      </c>
      <c r="N1831" s="74"/>
      <c r="O1831" s="73">
        <v>675000.0</v>
      </c>
      <c r="P1831" s="46" t="str">
        <f t="shared" si="2"/>
        <v>Rp22,500-30 LSN-0.00%</v>
      </c>
      <c r="Q1831" s="75">
        <v>45412.0</v>
      </c>
      <c r="R1831" s="76"/>
      <c r="S1831" s="75">
        <v>45422.0</v>
      </c>
      <c r="T1831" s="49"/>
    </row>
    <row r="1832">
      <c r="A1832" s="90">
        <v>5.0</v>
      </c>
      <c r="B1832" s="91" t="s">
        <v>58</v>
      </c>
      <c r="C1832" s="49" t="s">
        <v>2292</v>
      </c>
      <c r="D1832" s="91" t="s">
        <v>1256</v>
      </c>
      <c r="E1832" s="41" t="str">
        <f>IFERROR(__xludf.DUMMYFUNCTION("vlookup(D1832,IMPORTRANGE(""https://docs.google.com/spreadsheets/d/1swGwZOEqYlTEUCJLY-eeJM1911Kvaei5oySBIxdgtNo/edit?pli=1#gid=257618397"",""stock untanna!B:C""),2,false)"),"TAS KARUNG TIDUR 40X30")</f>
        <v>TAS KARUNG TIDUR 40X30</v>
      </c>
      <c r="F1832" s="49" t="s">
        <v>1256</v>
      </c>
      <c r="G1832" s="71" t="s">
        <v>1257</v>
      </c>
      <c r="H1832" s="41"/>
      <c r="I1832" s="42"/>
      <c r="J1832" s="43"/>
      <c r="K1832" s="72">
        <v>4.0</v>
      </c>
      <c r="L1832" s="53" t="s">
        <v>62</v>
      </c>
      <c r="M1832" s="73">
        <v>126000.0</v>
      </c>
      <c r="N1832" s="74"/>
      <c r="O1832" s="73">
        <v>504000.0</v>
      </c>
      <c r="P1832" s="46" t="str">
        <f t="shared" si="2"/>
        <v>Rp126,000-4 LSN-0.00%</v>
      </c>
      <c r="Q1832" s="75">
        <v>45412.0</v>
      </c>
      <c r="R1832" s="76"/>
      <c r="S1832" s="75">
        <v>45422.0</v>
      </c>
      <c r="T1832" s="49"/>
    </row>
    <row r="1833">
      <c r="A1833" s="90">
        <v>6.0</v>
      </c>
      <c r="B1833" s="91" t="s">
        <v>58</v>
      </c>
      <c r="C1833" s="49" t="s">
        <v>2292</v>
      </c>
      <c r="D1833" s="91" t="s">
        <v>804</v>
      </c>
      <c r="E1833" s="41" t="str">
        <f>IFERROR(__xludf.DUMMYFUNCTION("vlookup(D1833,IMPORTRANGE(""https://docs.google.com/spreadsheets/d/1swGwZOEqYlTEUCJLY-eeJM1911Kvaei5oySBIxdgtNo/edit?pli=1#gid=257618397"",""stock untanna!B:C""),2,false)"),"NOTES 156-80")</f>
        <v>NOTES 156-80</v>
      </c>
      <c r="F1833" s="49" t="s">
        <v>804</v>
      </c>
      <c r="G1833" s="71" t="s">
        <v>805</v>
      </c>
      <c r="H1833" s="41"/>
      <c r="I1833" s="42"/>
      <c r="J1833" s="43"/>
      <c r="K1833" s="72">
        <v>20.0</v>
      </c>
      <c r="L1833" s="53" t="s">
        <v>62</v>
      </c>
      <c r="M1833" s="73">
        <v>33000.0</v>
      </c>
      <c r="N1833" s="74"/>
      <c r="O1833" s="73">
        <v>660000.0</v>
      </c>
      <c r="P1833" s="46" t="str">
        <f t="shared" si="2"/>
        <v>Rp33,000-20 LSN-0.00%</v>
      </c>
      <c r="Q1833" s="75">
        <v>45412.0</v>
      </c>
      <c r="R1833" s="76"/>
      <c r="S1833" s="75">
        <v>45422.0</v>
      </c>
      <c r="T1833" s="49"/>
    </row>
    <row r="1834">
      <c r="A1834" s="90">
        <v>6.0</v>
      </c>
      <c r="B1834" s="91" t="s">
        <v>58</v>
      </c>
      <c r="C1834" s="49" t="s">
        <v>2292</v>
      </c>
      <c r="D1834" s="91"/>
      <c r="E1834" s="41" t="s">
        <v>2311</v>
      </c>
      <c r="F1834" s="49"/>
      <c r="G1834" s="71" t="s">
        <v>2311</v>
      </c>
      <c r="H1834" s="41"/>
      <c r="I1834" s="42"/>
      <c r="J1834" s="43"/>
      <c r="K1834" s="72">
        <v>2.0</v>
      </c>
      <c r="L1834" s="53" t="s">
        <v>131</v>
      </c>
      <c r="M1834" s="73">
        <v>225000.0</v>
      </c>
      <c r="N1834" s="74"/>
      <c r="O1834" s="73">
        <v>450000.0</v>
      </c>
      <c r="P1834" s="46" t="str">
        <f t="shared" si="2"/>
        <v>Rp225,000-2 GRS-0.00%</v>
      </c>
      <c r="Q1834" s="75">
        <v>45412.0</v>
      </c>
      <c r="R1834" s="76"/>
      <c r="S1834" s="75">
        <v>45422.0</v>
      </c>
      <c r="T1834" s="49"/>
    </row>
    <row r="1835">
      <c r="A1835" s="90">
        <v>6.0</v>
      </c>
      <c r="B1835" s="91" t="s">
        <v>58</v>
      </c>
      <c r="C1835" s="49" t="s">
        <v>2292</v>
      </c>
      <c r="D1835" s="91" t="s">
        <v>1868</v>
      </c>
      <c r="E1835" s="41" t="str">
        <f>IFERROR(__xludf.DUMMYFUNCTION("vlookup(D1835,IMPORTRANGE(""https://docs.google.com/spreadsheets/d/1swGwZOEqYlTEUCJLY-eeJM1911Kvaei5oySBIxdgtNo/edit?pli=1#gid=257618397"",""stock untanna!B:C""),2,false)"),"BP 4W TOZCHA 8401")</f>
        <v>BP 4W TOZCHA 8401</v>
      </c>
      <c r="F1835" s="49" t="s">
        <v>1868</v>
      </c>
      <c r="G1835" s="71" t="s">
        <v>1869</v>
      </c>
      <c r="H1835" s="41"/>
      <c r="I1835" s="42"/>
      <c r="J1835" s="43"/>
      <c r="K1835" s="72">
        <v>24.0</v>
      </c>
      <c r="L1835" s="53" t="s">
        <v>62</v>
      </c>
      <c r="M1835" s="73">
        <v>27500.0</v>
      </c>
      <c r="N1835" s="74"/>
      <c r="O1835" s="73">
        <v>660000.0</v>
      </c>
      <c r="P1835" s="46" t="str">
        <f t="shared" si="2"/>
        <v>Rp27,500-24 LSN-0.00%</v>
      </c>
      <c r="Q1835" s="75">
        <v>45412.0</v>
      </c>
      <c r="R1835" s="76"/>
      <c r="S1835" s="75">
        <v>45422.0</v>
      </c>
      <c r="T1835" s="49"/>
    </row>
    <row r="1836">
      <c r="A1836" s="90">
        <v>6.0</v>
      </c>
      <c r="B1836" s="91" t="s">
        <v>58</v>
      </c>
      <c r="C1836" s="49" t="s">
        <v>2292</v>
      </c>
      <c r="D1836" s="91" t="s">
        <v>266</v>
      </c>
      <c r="E1836" s="41" t="str">
        <f>IFERROR(__xludf.DUMMYFUNCTION("vlookup(D1836,IMPORTRANGE(""https://docs.google.com/spreadsheets/d/1swGwZOEqYlTEUCJLY-eeJM1911Kvaei5oySBIxdgtNo/edit?pli=1#gid=257618397"",""stock untanna!B:C""),2,false)"),"BINDER NOTE B5-60 FPHY 002")</f>
        <v>BINDER NOTE B5-60 FPHY 002</v>
      </c>
      <c r="F1836" s="49" t="s">
        <v>266</v>
      </c>
      <c r="G1836" s="71" t="s">
        <v>267</v>
      </c>
      <c r="H1836" s="41"/>
      <c r="I1836" s="42"/>
      <c r="J1836" s="43"/>
      <c r="K1836" s="72">
        <v>24.0</v>
      </c>
      <c r="L1836" s="53" t="s">
        <v>69</v>
      </c>
      <c r="M1836" s="73">
        <v>32500.0</v>
      </c>
      <c r="N1836" s="74"/>
      <c r="O1836" s="73">
        <v>780000.0</v>
      </c>
      <c r="P1836" s="46" t="str">
        <f t="shared" si="2"/>
        <v>Rp32,500-24 PCS-0.00%</v>
      </c>
      <c r="Q1836" s="75">
        <v>45412.0</v>
      </c>
      <c r="R1836" s="76"/>
      <c r="S1836" s="75">
        <v>45422.0</v>
      </c>
      <c r="T1836" s="49"/>
    </row>
    <row r="1837">
      <c r="A1837" s="90">
        <v>6.0</v>
      </c>
      <c r="B1837" s="91" t="s">
        <v>58</v>
      </c>
      <c r="C1837" s="49" t="s">
        <v>2292</v>
      </c>
      <c r="D1837" s="91" t="s">
        <v>304</v>
      </c>
      <c r="E1837" s="41" t="str">
        <f>IFERROR(__xludf.DUMMYFUNCTION("vlookup(D1837,IMPORTRANGE(""https://docs.google.com/spreadsheets/d/1swGwZOEqYlTEUCJLY-eeJM1911Kvaei5oySBIxdgtNo/edit?pli=1#gid=257618397"",""stock untanna!B:C""),2,false)"),"BINDER NOTE WENGU A5 FPHY 002")</f>
        <v>BINDER NOTE WENGU A5 FPHY 002</v>
      </c>
      <c r="F1837" s="49" t="s">
        <v>304</v>
      </c>
      <c r="G1837" s="71" t="s">
        <v>305</v>
      </c>
      <c r="H1837" s="41"/>
      <c r="I1837" s="42"/>
      <c r="J1837" s="43"/>
      <c r="K1837" s="72">
        <v>24.0</v>
      </c>
      <c r="L1837" s="53" t="s">
        <v>69</v>
      </c>
      <c r="M1837" s="73">
        <v>24500.0</v>
      </c>
      <c r="N1837" s="74"/>
      <c r="O1837" s="73">
        <v>588000.0</v>
      </c>
      <c r="P1837" s="46" t="str">
        <f t="shared" si="2"/>
        <v>Rp24,500-24 PCS-0.00%</v>
      </c>
      <c r="Q1837" s="75">
        <v>45412.0</v>
      </c>
      <c r="R1837" s="76"/>
      <c r="S1837" s="75">
        <v>45422.0</v>
      </c>
      <c r="T1837" s="49"/>
    </row>
    <row r="1838">
      <c r="A1838" s="90">
        <v>6.0</v>
      </c>
      <c r="B1838" s="91" t="s">
        <v>58</v>
      </c>
      <c r="C1838" s="49" t="s">
        <v>2292</v>
      </c>
      <c r="D1838" s="91"/>
      <c r="E1838" s="41" t="s">
        <v>2312</v>
      </c>
      <c r="F1838" s="49"/>
      <c r="G1838" s="71" t="s">
        <v>2312</v>
      </c>
      <c r="H1838" s="41"/>
      <c r="I1838" s="42"/>
      <c r="J1838" s="43"/>
      <c r="K1838" s="72">
        <v>100.0</v>
      </c>
      <c r="L1838" s="53" t="s">
        <v>1726</v>
      </c>
      <c r="M1838" s="73">
        <v>4500.0</v>
      </c>
      <c r="N1838" s="74"/>
      <c r="O1838" s="73">
        <v>450000.0</v>
      </c>
      <c r="P1838" s="46" t="str">
        <f t="shared" si="2"/>
        <v>Rp4,500-100 SLOP-0.00%</v>
      </c>
      <c r="Q1838" s="75">
        <v>45412.0</v>
      </c>
      <c r="R1838" s="76"/>
      <c r="S1838" s="75">
        <v>45422.0</v>
      </c>
      <c r="T1838" s="49"/>
    </row>
    <row r="1839">
      <c r="A1839" s="90">
        <v>6.0</v>
      </c>
      <c r="B1839" s="91" t="s">
        <v>58</v>
      </c>
      <c r="C1839" s="49" t="s">
        <v>2292</v>
      </c>
      <c r="D1839" s="91"/>
      <c r="E1839" s="41" t="s">
        <v>2313</v>
      </c>
      <c r="F1839" s="49"/>
      <c r="G1839" s="71" t="s">
        <v>2313</v>
      </c>
      <c r="H1839" s="41"/>
      <c r="I1839" s="42"/>
      <c r="J1839" s="43"/>
      <c r="K1839" s="72">
        <v>120.0</v>
      </c>
      <c r="L1839" s="53" t="s">
        <v>88</v>
      </c>
      <c r="M1839" s="73">
        <v>12000.0</v>
      </c>
      <c r="N1839" s="74"/>
      <c r="O1839" s="73">
        <v>1440000.0</v>
      </c>
      <c r="P1839" s="46" t="str">
        <f t="shared" si="2"/>
        <v>Rp12,000-120 BOX-0.00%</v>
      </c>
      <c r="Q1839" s="75">
        <v>45412.0</v>
      </c>
      <c r="R1839" s="76"/>
      <c r="S1839" s="75">
        <v>45422.0</v>
      </c>
      <c r="T1839" s="49"/>
    </row>
    <row r="1840">
      <c r="A1840" s="90">
        <v>6.0</v>
      </c>
      <c r="B1840" s="91" t="s">
        <v>58</v>
      </c>
      <c r="C1840" s="49" t="s">
        <v>2292</v>
      </c>
      <c r="D1840" s="91" t="s">
        <v>419</v>
      </c>
      <c r="E1840" s="41" t="str">
        <f>IFERROR(__xludf.DUMMYFUNCTION("vlookup(D1840,IMPORTRANGE(""https://docs.google.com/spreadsheets/d/1swGwZOEqYlTEUCJLY-eeJM1911Kvaei5oySBIxdgtNo/edit?pli=1#gid=257618397"",""stock untanna!B:C""),2,false)"),"BP GEL ZUI XUA HY-1020 HITAM")</f>
        <v>BP GEL ZUI XUA HY-1020 HITAM</v>
      </c>
      <c r="F1840" s="49" t="s">
        <v>419</v>
      </c>
      <c r="G1840" s="71" t="s">
        <v>420</v>
      </c>
      <c r="H1840" s="41"/>
      <c r="I1840" s="42"/>
      <c r="J1840" s="43"/>
      <c r="K1840" s="72">
        <v>192.0</v>
      </c>
      <c r="L1840" s="53" t="s">
        <v>62</v>
      </c>
      <c r="M1840" s="73">
        <v>12000.0</v>
      </c>
      <c r="N1840" s="74"/>
      <c r="O1840" s="73">
        <v>2304000.0</v>
      </c>
      <c r="P1840" s="46" t="str">
        <f t="shared" si="2"/>
        <v>Rp12,000-192 LSN-0.00%</v>
      </c>
      <c r="Q1840" s="75">
        <v>45412.0</v>
      </c>
      <c r="R1840" s="76"/>
      <c r="S1840" s="75">
        <v>45422.0</v>
      </c>
      <c r="T1840" s="49"/>
    </row>
    <row r="1841">
      <c r="A1841" s="90">
        <v>4458.0</v>
      </c>
      <c r="B1841" s="91" t="s">
        <v>58</v>
      </c>
      <c r="C1841" s="49" t="s">
        <v>2314</v>
      </c>
      <c r="D1841" s="91" t="s">
        <v>1088</v>
      </c>
      <c r="E1841" s="41" t="str">
        <f>IFERROR(__xludf.DUMMYFUNCTION("vlookup(D1841,IMPORTRANGE(""https://docs.google.com/spreadsheets/d/1swGwZOEqYlTEUCJLY-eeJM1911Kvaei5oySBIxdgtNo/edit?pli=1#gid=257618397"",""stock untanna!B:C""),2,false)"),"ASAHAN TOPLES GOLDEN (24)")</f>
        <v>ASAHAN TOPLES GOLDEN (24)</v>
      </c>
      <c r="F1841" s="49" t="s">
        <v>1088</v>
      </c>
      <c r="G1841" s="71" t="s">
        <v>1089</v>
      </c>
      <c r="H1841" s="41"/>
      <c r="I1841" s="42"/>
      <c r="J1841" s="43"/>
      <c r="K1841" s="72">
        <v>144.0</v>
      </c>
      <c r="L1841" s="53" t="s">
        <v>88</v>
      </c>
      <c r="M1841" s="73">
        <v>12000.0</v>
      </c>
      <c r="N1841" s="74"/>
      <c r="O1841" s="73">
        <v>1728000.0</v>
      </c>
      <c r="P1841" s="46" t="str">
        <f t="shared" si="2"/>
        <v>Rp12,000-144 BOX-0.00%</v>
      </c>
      <c r="Q1841" s="75">
        <v>45412.0</v>
      </c>
      <c r="R1841" s="76"/>
      <c r="S1841" s="75">
        <v>45422.0</v>
      </c>
      <c r="T1841" s="49"/>
    </row>
    <row r="1842">
      <c r="A1842" s="90">
        <v>4458.0</v>
      </c>
      <c r="B1842" s="91" t="s">
        <v>58</v>
      </c>
      <c r="C1842" s="49" t="s">
        <v>2314</v>
      </c>
      <c r="D1842" s="91" t="s">
        <v>953</v>
      </c>
      <c r="E1842" s="41" t="str">
        <f>IFERROR(__xludf.DUMMYFUNCTION("vlookup(D1842,IMPORTRANGE(""https://docs.google.com/spreadsheets/d/1swGwZOEqYlTEUCJLY-eeJM1911Kvaei5oySBIxdgtNo/edit?pli=1#gid=257618397"",""stock untanna!B:C""),2,false)"),"BP GEL DTIAN DT-612")</f>
        <v>BP GEL DTIAN DT-612</v>
      </c>
      <c r="F1842" s="49" t="s">
        <v>953</v>
      </c>
      <c r="G1842" s="71" t="s">
        <v>954</v>
      </c>
      <c r="H1842" s="41"/>
      <c r="I1842" s="42"/>
      <c r="J1842" s="43"/>
      <c r="K1842" s="72">
        <v>36.0</v>
      </c>
      <c r="L1842" s="53" t="s">
        <v>62</v>
      </c>
      <c r="M1842" s="73">
        <v>10500.0</v>
      </c>
      <c r="N1842" s="74"/>
      <c r="O1842" s="73">
        <v>378000.0</v>
      </c>
      <c r="P1842" s="46" t="str">
        <f t="shared" si="2"/>
        <v>Rp10,500-36 LSN-0.00%</v>
      </c>
      <c r="Q1842" s="75">
        <v>45412.0</v>
      </c>
      <c r="R1842" s="76"/>
      <c r="S1842" s="75">
        <v>45422.0</v>
      </c>
      <c r="T1842" s="49"/>
    </row>
    <row r="1843">
      <c r="A1843" s="90">
        <v>4458.0</v>
      </c>
      <c r="B1843" s="91" t="s">
        <v>58</v>
      </c>
      <c r="C1843" s="49" t="s">
        <v>2314</v>
      </c>
      <c r="D1843" s="77" t="s">
        <v>2079</v>
      </c>
      <c r="E1843" s="41" t="str">
        <f>IFERROR(__xludf.DUMMYFUNCTION("IFNA(vlookup(D1843,IMPORTRANGE(""https://docs.google.com/spreadsheets/d/1swGwZOEqYlTEUCJLY-eeJM1911Kvaei5oySBIxdgtNo/edit?pli=1#gid=257618397"",""stock untanna!B:C""),2,false),V:V)"),"PC MAGNIT MC 8088 TIMBUL")</f>
        <v>PC MAGNIT MC 8088 TIMBUL</v>
      </c>
      <c r="F1843" s="49"/>
      <c r="G1843" s="71" t="s">
        <v>2080</v>
      </c>
      <c r="H1843" s="41"/>
      <c r="I1843" s="42"/>
      <c r="J1843" s="85" t="s">
        <v>1319</v>
      </c>
      <c r="K1843" s="72">
        <v>3.0</v>
      </c>
      <c r="L1843" s="53" t="s">
        <v>62</v>
      </c>
      <c r="M1843" s="73">
        <v>135000.0</v>
      </c>
      <c r="N1843" s="74"/>
      <c r="O1843" s="73">
        <v>405000.0</v>
      </c>
      <c r="P1843" s="46" t="str">
        <f t="shared" si="2"/>
        <v>Rp135,000-3 LSN-0.00%</v>
      </c>
      <c r="Q1843" s="75">
        <v>45412.0</v>
      </c>
      <c r="R1843" s="76"/>
      <c r="S1843" s="75">
        <v>45422.0</v>
      </c>
      <c r="T1843" s="80" t="s">
        <v>280</v>
      </c>
    </row>
    <row r="1844">
      <c r="A1844" s="90">
        <v>4458.0</v>
      </c>
      <c r="B1844" s="91" t="s">
        <v>58</v>
      </c>
      <c r="C1844" s="49" t="s">
        <v>2314</v>
      </c>
      <c r="D1844" s="77" t="s">
        <v>2315</v>
      </c>
      <c r="E1844" s="41" t="str">
        <f>IFERROR(__xludf.DUMMYFUNCTION("IFNA(vlookup(D1844,IMPORTRANGE(""https://docs.google.com/spreadsheets/d/1swGwZOEqYlTEUCJLY-eeJM1911Kvaei5oySBIxdgtNo/edit?pli=1#gid=257618397"",""stock untanna!B:C""),2,false),V:V)"),"PC MAGNIT B 120 S 8065")</f>
        <v>PC MAGNIT B 120 S 8065</v>
      </c>
      <c r="F1844" s="49"/>
      <c r="G1844" s="71" t="s">
        <v>2316</v>
      </c>
      <c r="H1844" s="41"/>
      <c r="I1844" s="42"/>
      <c r="J1844" s="85" t="s">
        <v>1319</v>
      </c>
      <c r="K1844" s="72">
        <v>3.0</v>
      </c>
      <c r="L1844" s="53" t="s">
        <v>62</v>
      </c>
      <c r="M1844" s="73">
        <v>125000.0</v>
      </c>
      <c r="N1844" s="74"/>
      <c r="O1844" s="73">
        <v>375000.0</v>
      </c>
      <c r="P1844" s="46" t="str">
        <f t="shared" si="2"/>
        <v>Rp125,000-3 LSN-0.00%</v>
      </c>
      <c r="Q1844" s="75">
        <v>45412.0</v>
      </c>
      <c r="R1844" s="76"/>
      <c r="S1844" s="75">
        <v>45422.0</v>
      </c>
      <c r="T1844" s="80" t="s">
        <v>280</v>
      </c>
    </row>
    <row r="1845">
      <c r="A1845" s="90">
        <v>4458.0</v>
      </c>
      <c r="B1845" s="91" t="s">
        <v>58</v>
      </c>
      <c r="C1845" s="49" t="s">
        <v>2314</v>
      </c>
      <c r="D1845" s="77" t="s">
        <v>2317</v>
      </c>
      <c r="E1845" s="41" t="str">
        <f>IFERROR(__xludf.DUMMYFUNCTION("IFNA(vlookup(D1845,IMPORTRANGE(""https://docs.google.com/spreadsheets/d/1swGwZOEqYlTEUCJLY-eeJM1911Kvaei5oySBIxdgtNo/edit?pli=1#gid=257618397"",""stock untanna!B:C""),2,false),V:V)"),"PC MAGNIT 35145 (BIASA)")</f>
        <v>PC MAGNIT 35145 (BIASA)</v>
      </c>
      <c r="F1845" s="49"/>
      <c r="G1845" s="71" t="s">
        <v>2318</v>
      </c>
      <c r="H1845" s="41"/>
      <c r="I1845" s="42"/>
      <c r="J1845" s="85" t="s">
        <v>1319</v>
      </c>
      <c r="K1845" s="72">
        <v>1.0</v>
      </c>
      <c r="L1845" s="53" t="s">
        <v>62</v>
      </c>
      <c r="M1845" s="73">
        <v>200000.0</v>
      </c>
      <c r="N1845" s="74"/>
      <c r="O1845" s="73">
        <v>200000.0</v>
      </c>
      <c r="P1845" s="46" t="str">
        <f t="shared" si="2"/>
        <v>Rp200,000-1 LSN-0.00%</v>
      </c>
      <c r="Q1845" s="75">
        <v>45412.0</v>
      </c>
      <c r="R1845" s="76"/>
      <c r="S1845" s="75">
        <v>45422.0</v>
      </c>
      <c r="T1845" s="80" t="s">
        <v>280</v>
      </c>
    </row>
    <row r="1846">
      <c r="A1846" s="90">
        <v>4458.0</v>
      </c>
      <c r="B1846" s="91" t="s">
        <v>58</v>
      </c>
      <c r="C1846" s="49" t="s">
        <v>2314</v>
      </c>
      <c r="D1846" s="77" t="s">
        <v>709</v>
      </c>
      <c r="E1846" s="41" t="str">
        <f>IFERROR(__xludf.DUMMYFUNCTION("IFNA(vlookup(D1846,IMPORTRANGE(""https://docs.google.com/spreadsheets/d/1swGwZOEqYlTEUCJLY-eeJM1911Kvaei5oySBIxdgtNo/edit?pli=1#gid=257618397"",""stock untanna!B:C""),2,false),V:V)"),"PC MAGNIT AZ 3300")</f>
        <v>PC MAGNIT AZ 3300</v>
      </c>
      <c r="F1846" s="49"/>
      <c r="G1846" s="71" t="s">
        <v>710</v>
      </c>
      <c r="H1846" s="41"/>
      <c r="I1846" s="42"/>
      <c r="J1846" s="85" t="s">
        <v>1319</v>
      </c>
      <c r="K1846" s="72">
        <v>3.0</v>
      </c>
      <c r="L1846" s="53" t="s">
        <v>62</v>
      </c>
      <c r="M1846" s="73">
        <v>186000.0</v>
      </c>
      <c r="N1846" s="74"/>
      <c r="O1846" s="73">
        <v>558000.0</v>
      </c>
      <c r="P1846" s="46" t="str">
        <f t="shared" si="2"/>
        <v>Rp186,000-3 LSN-0.00%</v>
      </c>
      <c r="Q1846" s="75">
        <v>45412.0</v>
      </c>
      <c r="R1846" s="76"/>
      <c r="S1846" s="75">
        <v>45422.0</v>
      </c>
      <c r="T1846" s="80" t="s">
        <v>280</v>
      </c>
    </row>
    <row r="1847">
      <c r="A1847" s="90">
        <v>4458.0</v>
      </c>
      <c r="B1847" s="91" t="s">
        <v>58</v>
      </c>
      <c r="C1847" s="49" t="s">
        <v>2314</v>
      </c>
      <c r="D1847" s="77" t="s">
        <v>2319</v>
      </c>
      <c r="E1847" s="41" t="str">
        <f>IFERROR(__xludf.DUMMYFUNCTION("IFNA(vlookup(D1847,IMPORTRANGE(""https://docs.google.com/spreadsheets/d/1swGwZOEqYlTEUCJLY-eeJM1911Kvaei5oySBIxdgtNo/edit?pli=1#gid=257618397"",""stock untanna!B:C""),2,false),V:V)"),"PC MAGNIT B 0011")</f>
        <v>PC MAGNIT B 0011</v>
      </c>
      <c r="F1847" s="49"/>
      <c r="G1847" s="71" t="s">
        <v>2320</v>
      </c>
      <c r="H1847" s="41"/>
      <c r="I1847" s="42"/>
      <c r="J1847" s="85" t="s">
        <v>1319</v>
      </c>
      <c r="K1847" s="72">
        <v>3.0</v>
      </c>
      <c r="L1847" s="53" t="s">
        <v>62</v>
      </c>
      <c r="M1847" s="73">
        <v>135000.0</v>
      </c>
      <c r="N1847" s="74"/>
      <c r="O1847" s="73">
        <v>405000.0</v>
      </c>
      <c r="P1847" s="46" t="str">
        <f t="shared" si="2"/>
        <v>Rp135,000-3 LSN-0.00%</v>
      </c>
      <c r="Q1847" s="75">
        <v>45412.0</v>
      </c>
      <c r="R1847" s="76"/>
      <c r="S1847" s="75">
        <v>45422.0</v>
      </c>
      <c r="T1847" s="80" t="s">
        <v>280</v>
      </c>
    </row>
    <row r="1848">
      <c r="A1848" s="90">
        <v>4458.0</v>
      </c>
      <c r="B1848" s="91" t="s">
        <v>58</v>
      </c>
      <c r="C1848" s="49" t="s">
        <v>2314</v>
      </c>
      <c r="D1848" s="77" t="s">
        <v>2321</v>
      </c>
      <c r="E1848" s="41" t="str">
        <f>IFERROR(__xludf.DUMMYFUNCTION("IFNA(vlookup(D1848,IMPORTRANGE(""https://docs.google.com/spreadsheets/d/1swGwZOEqYlTEUCJLY-eeJM1911Kvaei5oySBIxdgtNo/edit?pli=1#gid=257618397"",""stock untanna!B:C""),2,false),V:V)"),"PC MAGNIT C 9962")</f>
        <v>PC MAGNIT C 9962</v>
      </c>
      <c r="F1848" s="49"/>
      <c r="G1848" s="71" t="s">
        <v>2322</v>
      </c>
      <c r="H1848" s="41"/>
      <c r="I1848" s="42"/>
      <c r="J1848" s="85" t="s">
        <v>1319</v>
      </c>
      <c r="K1848" s="72">
        <v>3.0</v>
      </c>
      <c r="L1848" s="53" t="s">
        <v>62</v>
      </c>
      <c r="M1848" s="73">
        <v>150000.0</v>
      </c>
      <c r="N1848" s="74"/>
      <c r="O1848" s="73">
        <v>450000.0</v>
      </c>
      <c r="P1848" s="46" t="str">
        <f t="shared" si="2"/>
        <v>Rp150,000-3 LSN-0.00%</v>
      </c>
      <c r="Q1848" s="75">
        <v>45412.0</v>
      </c>
      <c r="R1848" s="76"/>
      <c r="S1848" s="75">
        <v>45422.0</v>
      </c>
      <c r="T1848" s="80" t="s">
        <v>280</v>
      </c>
    </row>
    <row r="1849">
      <c r="A1849" s="90">
        <v>4458.0</v>
      </c>
      <c r="B1849" s="91" t="s">
        <v>58</v>
      </c>
      <c r="C1849" s="49" t="s">
        <v>2314</v>
      </c>
      <c r="D1849" s="77" t="s">
        <v>594</v>
      </c>
      <c r="E1849" s="41" t="str">
        <f>IFERROR(__xludf.DUMMYFUNCTION("IFNA(vlookup(D1849,IMPORTRANGE(""https://docs.google.com/spreadsheets/d/1swGwZOEqYlTEUCJLY-eeJM1911Kvaei5oySBIxdgtNo/edit?pli=1#gid=257618397"",""stock untanna!B:C""),2,false),V:V)"),"PC MAGNIT A853")</f>
        <v>PC MAGNIT A853</v>
      </c>
      <c r="F1849" s="49"/>
      <c r="G1849" s="71" t="s">
        <v>595</v>
      </c>
      <c r="H1849" s="41"/>
      <c r="I1849" s="42"/>
      <c r="J1849" s="85" t="s">
        <v>1319</v>
      </c>
      <c r="K1849" s="72">
        <v>1.0</v>
      </c>
      <c r="L1849" s="53" t="s">
        <v>62</v>
      </c>
      <c r="M1849" s="73">
        <v>288000.0</v>
      </c>
      <c r="N1849" s="74"/>
      <c r="O1849" s="73">
        <v>288000.0</v>
      </c>
      <c r="P1849" s="46" t="str">
        <f t="shared" si="2"/>
        <v>Rp288,000-1 LSN-0.00%</v>
      </c>
      <c r="Q1849" s="75">
        <v>45412.0</v>
      </c>
      <c r="R1849" s="76"/>
      <c r="S1849" s="75">
        <v>45422.0</v>
      </c>
      <c r="T1849" s="80" t="s">
        <v>280</v>
      </c>
    </row>
    <row r="1850">
      <c r="A1850" s="90">
        <v>4458.0</v>
      </c>
      <c r="B1850" s="91" t="s">
        <v>58</v>
      </c>
      <c r="C1850" s="49" t="s">
        <v>2314</v>
      </c>
      <c r="D1850" s="91" t="s">
        <v>1402</v>
      </c>
      <c r="E1850" s="41" t="str">
        <f>IFERROR(__xludf.DUMMYFUNCTION("vlookup(D1850,IMPORTRANGE(""https://docs.google.com/spreadsheets/d/1swGwZOEqYlTEUCJLY-eeJM1911Kvaei5oySBIxdgtNo/edit?pli=1#gid=257618397"",""stock untanna!B:C""),2,false)"),"PENCIL CASE DZ-8057 MAGNET")</f>
        <v>PENCIL CASE DZ-8057 MAGNET</v>
      </c>
      <c r="F1850" s="49" t="s">
        <v>1402</v>
      </c>
      <c r="G1850" s="71" t="s">
        <v>1403</v>
      </c>
      <c r="H1850" s="41"/>
      <c r="I1850" s="42"/>
      <c r="J1850" s="43"/>
      <c r="K1850" s="72">
        <v>3.0</v>
      </c>
      <c r="L1850" s="53" t="s">
        <v>62</v>
      </c>
      <c r="M1850" s="73">
        <v>180000.0</v>
      </c>
      <c r="N1850" s="74"/>
      <c r="O1850" s="73">
        <v>540000.0</v>
      </c>
      <c r="P1850" s="46" t="str">
        <f t="shared" si="2"/>
        <v>Rp180,000-3 LSN-0.00%</v>
      </c>
      <c r="Q1850" s="75">
        <v>45412.0</v>
      </c>
      <c r="R1850" s="76"/>
      <c r="S1850" s="75">
        <v>45422.0</v>
      </c>
      <c r="T1850" s="49"/>
    </row>
    <row r="1851">
      <c r="A1851" s="90">
        <v>4458.0</v>
      </c>
      <c r="B1851" s="91" t="s">
        <v>58</v>
      </c>
      <c r="C1851" s="49" t="s">
        <v>2314</v>
      </c>
      <c r="D1851" s="91" t="s">
        <v>104</v>
      </c>
      <c r="E1851" s="41" t="str">
        <f>IFERROR(__xludf.DUMMYFUNCTION("vlookup(D1851,IMPORTRANGE(""https://docs.google.com/spreadsheets/d/1swGwZOEqYlTEUCJLY-eeJM1911Kvaei5oySBIxdgtNo/edit?pli=1#gid=257618397"",""stock untanna!B:C""),2,false)"),"PENCIL CASE 588-157 MAGNET")</f>
        <v>PENCIL CASE 588-157 MAGNET</v>
      </c>
      <c r="F1851" s="49" t="s">
        <v>104</v>
      </c>
      <c r="G1851" s="71" t="s">
        <v>105</v>
      </c>
      <c r="H1851" s="41"/>
      <c r="I1851" s="42"/>
      <c r="J1851" s="43"/>
      <c r="K1851" s="72">
        <v>36.0</v>
      </c>
      <c r="L1851" s="53" t="s">
        <v>69</v>
      </c>
      <c r="M1851" s="73">
        <v>15000.0</v>
      </c>
      <c r="N1851" s="74"/>
      <c r="O1851" s="73">
        <v>540000.0</v>
      </c>
      <c r="P1851" s="46" t="str">
        <f t="shared" si="2"/>
        <v>Rp15,000-36 PCS-0.00%</v>
      </c>
      <c r="Q1851" s="75">
        <v>45412.0</v>
      </c>
      <c r="R1851" s="76"/>
      <c r="S1851" s="75">
        <v>45422.0</v>
      </c>
      <c r="T1851" s="49"/>
    </row>
    <row r="1852">
      <c r="A1852" s="90">
        <v>4458.0</v>
      </c>
      <c r="B1852" s="91" t="s">
        <v>58</v>
      </c>
      <c r="C1852" s="49" t="s">
        <v>2314</v>
      </c>
      <c r="D1852" s="91" t="s">
        <v>1406</v>
      </c>
      <c r="E1852" s="41" t="str">
        <f>IFERROR(__xludf.DUMMYFUNCTION("vlookup(D1852,IMPORTRANGE(""https://docs.google.com/spreadsheets/d/1swGwZOEqYlTEUCJLY-eeJM1911Kvaei5oySBIxdgtNo/edit?pli=1#gid=257618397"",""stock untanna!B:C""),2,false)"),"PENSIL CASE 8300TK TIMBUL")</f>
        <v>PENSIL CASE 8300TK TIMBUL</v>
      </c>
      <c r="F1852" s="49" t="s">
        <v>1406</v>
      </c>
      <c r="G1852" s="71" t="s">
        <v>1407</v>
      </c>
      <c r="H1852" s="41"/>
      <c r="I1852" s="42"/>
      <c r="J1852" s="43"/>
      <c r="K1852" s="72">
        <v>36.0</v>
      </c>
      <c r="L1852" s="53" t="s">
        <v>69</v>
      </c>
      <c r="M1852" s="73">
        <v>30000.0</v>
      </c>
      <c r="N1852" s="74"/>
      <c r="O1852" s="73">
        <v>1080000.0</v>
      </c>
      <c r="P1852" s="46" t="str">
        <f t="shared" si="2"/>
        <v>Rp30,000-36 PCS-0.00%</v>
      </c>
      <c r="Q1852" s="75">
        <v>45412.0</v>
      </c>
      <c r="R1852" s="76"/>
      <c r="S1852" s="75">
        <v>45422.0</v>
      </c>
      <c r="T1852" s="49"/>
    </row>
    <row r="1853">
      <c r="A1853" s="90">
        <v>4458.0</v>
      </c>
      <c r="B1853" s="91" t="s">
        <v>58</v>
      </c>
      <c r="C1853" s="49" t="s">
        <v>2314</v>
      </c>
      <c r="D1853" s="91" t="s">
        <v>584</v>
      </c>
      <c r="E1853" s="41" t="str">
        <f>IFERROR(__xludf.DUMMYFUNCTION("vlookup(D1853,IMPORTRANGE(""https://docs.google.com/spreadsheets/d/1swGwZOEqYlTEUCJLY-eeJM1911Kvaei5oySBIxdgtNo/edit?pli=1#gid=257618397"",""stock untanna!B:C""),2,false)"),"PENSIL CASE 8300AV TIMBUL")</f>
        <v>PENSIL CASE 8300AV TIMBUL</v>
      </c>
      <c r="F1853" s="49" t="s">
        <v>584</v>
      </c>
      <c r="G1853" s="71" t="s">
        <v>585</v>
      </c>
      <c r="H1853" s="41"/>
      <c r="I1853" s="42"/>
      <c r="J1853" s="43"/>
      <c r="K1853" s="72">
        <v>36.0</v>
      </c>
      <c r="L1853" s="53" t="s">
        <v>69</v>
      </c>
      <c r="M1853" s="73">
        <v>30000.0</v>
      </c>
      <c r="N1853" s="74"/>
      <c r="O1853" s="73">
        <v>1080000.0</v>
      </c>
      <c r="P1853" s="46" t="str">
        <f t="shared" si="2"/>
        <v>Rp30,000-36 PCS-0.00%</v>
      </c>
      <c r="Q1853" s="75">
        <v>45412.0</v>
      </c>
      <c r="R1853" s="76"/>
      <c r="S1853" s="75">
        <v>45422.0</v>
      </c>
      <c r="T1853" s="49"/>
    </row>
    <row r="1854">
      <c r="A1854" s="90">
        <v>4458.0</v>
      </c>
      <c r="B1854" s="91" t="s">
        <v>58</v>
      </c>
      <c r="C1854" s="49" t="s">
        <v>2314</v>
      </c>
      <c r="D1854" s="91" t="s">
        <v>1404</v>
      </c>
      <c r="E1854" s="41" t="str">
        <f>IFERROR(__xludf.DUMMYFUNCTION("vlookup(D1854,IMPORTRANGE(""https://docs.google.com/spreadsheets/d/1swGwZOEqYlTEUCJLY-eeJM1911Kvaei5oySBIxdgtNo/edit?pli=1#gid=257618397"",""stock untanna!B:C""),2,false)"),"PENSIL CASE 8300SG TIMBUL")</f>
        <v>PENSIL CASE 8300SG TIMBUL</v>
      </c>
      <c r="F1854" s="49" t="s">
        <v>1404</v>
      </c>
      <c r="G1854" s="71" t="s">
        <v>1405</v>
      </c>
      <c r="H1854" s="41"/>
      <c r="I1854" s="42"/>
      <c r="J1854" s="43"/>
      <c r="K1854" s="72">
        <v>36.0</v>
      </c>
      <c r="L1854" s="53" t="s">
        <v>69</v>
      </c>
      <c r="M1854" s="73">
        <v>30000.0</v>
      </c>
      <c r="N1854" s="74"/>
      <c r="O1854" s="73">
        <v>1080000.0</v>
      </c>
      <c r="P1854" s="46" t="str">
        <f t="shared" si="2"/>
        <v>Rp30,000-36 PCS-0.00%</v>
      </c>
      <c r="Q1854" s="75">
        <v>45412.0</v>
      </c>
      <c r="R1854" s="76"/>
      <c r="S1854" s="75">
        <v>45422.0</v>
      </c>
      <c r="T1854" s="49"/>
    </row>
    <row r="1855">
      <c r="A1855" s="90">
        <v>4458.0</v>
      </c>
      <c r="B1855" s="91" t="s">
        <v>58</v>
      </c>
      <c r="C1855" s="49" t="s">
        <v>2314</v>
      </c>
      <c r="D1855" s="91" t="s">
        <v>582</v>
      </c>
      <c r="E1855" s="41" t="str">
        <f>IFERROR(__xludf.DUMMYFUNCTION("vlookup(D1855,IMPORTRANGE(""https://docs.google.com/spreadsheets/d/1swGwZOEqYlTEUCJLY-eeJM1911Kvaei5oySBIxdgtNo/edit?pli=1#gid=257618397"",""stock untanna!B:C""),2,false)"),"PENCIL CASE DZ-0065 MAGNET")</f>
        <v>PENCIL CASE DZ-0065 MAGNET</v>
      </c>
      <c r="F1855" s="49" t="s">
        <v>582</v>
      </c>
      <c r="G1855" s="71" t="s">
        <v>583</v>
      </c>
      <c r="H1855" s="41"/>
      <c r="I1855" s="42"/>
      <c r="J1855" s="43"/>
      <c r="K1855" s="72">
        <v>36.0</v>
      </c>
      <c r="L1855" s="53" t="s">
        <v>69</v>
      </c>
      <c r="M1855" s="73">
        <v>11500.0</v>
      </c>
      <c r="N1855" s="74"/>
      <c r="O1855" s="73">
        <v>414000.0</v>
      </c>
      <c r="P1855" s="46" t="str">
        <f t="shared" si="2"/>
        <v>Rp11,500-36 PCS-0.00%</v>
      </c>
      <c r="Q1855" s="75">
        <v>45412.0</v>
      </c>
      <c r="R1855" s="76"/>
      <c r="S1855" s="75">
        <v>45422.0</v>
      </c>
      <c r="T1855" s="49"/>
    </row>
    <row r="1856">
      <c r="A1856" s="90">
        <v>4458.0</v>
      </c>
      <c r="B1856" s="91" t="s">
        <v>58</v>
      </c>
      <c r="C1856" s="49" t="s">
        <v>2314</v>
      </c>
      <c r="D1856" s="91" t="s">
        <v>2323</v>
      </c>
      <c r="E1856" s="41" t="str">
        <f>IFERROR(__xludf.DUMMYFUNCTION("vlookup(D1856,IMPORTRANGE(""https://docs.google.com/spreadsheets/d/1swGwZOEqYlTEUCJLY-eeJM1911Kvaei5oySBIxdgtNo/edit?pli=1#gid=257618397"",""stock untanna!B:C""),2,false)"),"PENSIL CASE KD-50J")</f>
        <v>PENSIL CASE KD-50J</v>
      </c>
      <c r="F1856" s="49" t="s">
        <v>2323</v>
      </c>
      <c r="G1856" s="71" t="s">
        <v>2324</v>
      </c>
      <c r="H1856" s="41"/>
      <c r="I1856" s="42"/>
      <c r="J1856" s="43"/>
      <c r="K1856" s="72">
        <v>36.0</v>
      </c>
      <c r="L1856" s="53" t="s">
        <v>69</v>
      </c>
      <c r="M1856" s="73">
        <v>11250.0</v>
      </c>
      <c r="N1856" s="74"/>
      <c r="O1856" s="73">
        <v>405000.0</v>
      </c>
      <c r="P1856" s="46" t="str">
        <f t="shared" si="2"/>
        <v>Rp11,250-36 PCS-0.00%</v>
      </c>
      <c r="Q1856" s="75">
        <v>45412.0</v>
      </c>
      <c r="R1856" s="76"/>
      <c r="S1856" s="75">
        <v>45422.0</v>
      </c>
      <c r="T1856" s="49"/>
    </row>
    <row r="1857">
      <c r="A1857" s="90">
        <v>4459.0</v>
      </c>
      <c r="B1857" s="91" t="s">
        <v>58</v>
      </c>
      <c r="C1857" s="49" t="s">
        <v>2314</v>
      </c>
      <c r="D1857" s="91" t="s">
        <v>590</v>
      </c>
      <c r="E1857" s="41" t="str">
        <f>IFERROR(__xludf.DUMMYFUNCTION("vlookup(D1857,IMPORTRANGE(""https://docs.google.com/spreadsheets/d/1swGwZOEqYlTEUCJLY-eeJM1911Kvaei5oySBIxdgtNo/edit?pli=1#gid=257618397"",""stock untanna!B:C""),2,false)"),"PENSIL CASE A-870")</f>
        <v>PENSIL CASE A-870</v>
      </c>
      <c r="F1857" s="49" t="s">
        <v>590</v>
      </c>
      <c r="G1857" s="71" t="s">
        <v>591</v>
      </c>
      <c r="H1857" s="41"/>
      <c r="I1857" s="42"/>
      <c r="J1857" s="43"/>
      <c r="K1857" s="72">
        <v>36.0</v>
      </c>
      <c r="L1857" s="53" t="s">
        <v>69</v>
      </c>
      <c r="M1857" s="73">
        <v>11250.0</v>
      </c>
      <c r="N1857" s="74"/>
      <c r="O1857" s="73">
        <v>405000.0</v>
      </c>
      <c r="P1857" s="46" t="str">
        <f t="shared" si="2"/>
        <v>Rp11,250-36 PCS-0.00%</v>
      </c>
      <c r="Q1857" s="75">
        <v>45412.0</v>
      </c>
      <c r="R1857" s="76"/>
      <c r="S1857" s="75">
        <v>45422.0</v>
      </c>
      <c r="T1857" s="49"/>
    </row>
    <row r="1858">
      <c r="A1858" s="90">
        <v>4045.0</v>
      </c>
      <c r="B1858" s="91" t="s">
        <v>65</v>
      </c>
      <c r="C1858" s="49" t="s">
        <v>2325</v>
      </c>
      <c r="D1858" s="91" t="s">
        <v>1577</v>
      </c>
      <c r="E1858" s="41" t="str">
        <f>IFERROR(__xludf.DUMMYFUNCTION("vlookup(D1858,IMPORTRANGE(""https://docs.google.com/spreadsheets/d/1swGwZOEqYlTEUCJLY-eeJM1911Kvaei5oySBIxdgtNo/edit?pli=1#gid=257618397"",""stock untanna!B:C""),2,false)"),"STABILLO TIZO TF610")</f>
        <v>STABILLO TIZO TF610</v>
      </c>
      <c r="F1858" s="49" t="s">
        <v>1577</v>
      </c>
      <c r="G1858" s="71" t="s">
        <v>1578</v>
      </c>
      <c r="H1858" s="41"/>
      <c r="I1858" s="42"/>
      <c r="J1858" s="43"/>
      <c r="K1858" s="72">
        <v>5.0</v>
      </c>
      <c r="L1858" s="53" t="s">
        <v>88</v>
      </c>
      <c r="M1858" s="73">
        <v>120000.0</v>
      </c>
      <c r="N1858" s="74"/>
      <c r="O1858" s="73">
        <v>600000.0</v>
      </c>
      <c r="P1858" s="46" t="str">
        <f t="shared" si="2"/>
        <v>Rp120,000-5 BOX-0.00%</v>
      </c>
      <c r="Q1858" s="75">
        <v>45411.0</v>
      </c>
      <c r="R1858" s="76"/>
      <c r="S1858" s="75">
        <v>45422.0</v>
      </c>
      <c r="T1858" s="49"/>
    </row>
    <row r="1859">
      <c r="A1859" s="90">
        <v>4045.0</v>
      </c>
      <c r="B1859" s="91" t="s">
        <v>65</v>
      </c>
      <c r="C1859" s="49" t="s">
        <v>2325</v>
      </c>
      <c r="D1859" s="91" t="s">
        <v>82</v>
      </c>
      <c r="E1859" s="41" t="str">
        <f>IFERROR(__xludf.DUMMYFUNCTION("vlookup(D1859,IMPORTRANGE(""https://docs.google.com/spreadsheets/d/1swGwZOEqYlTEUCJLY-eeJM1911Kvaei5oySBIxdgtNo/edit?pli=1#gid=257618397"",""stock untanna!B:C""),2,false)"),"STABILLO BRUSH MARKER PEN WB TF-1050 12W")</f>
        <v>STABILLO BRUSH MARKER PEN WB TF-1050 12W</v>
      </c>
      <c r="F1859" s="49" t="s">
        <v>82</v>
      </c>
      <c r="G1859" s="78" t="s">
        <v>83</v>
      </c>
      <c r="H1859" s="41"/>
      <c r="I1859" s="42"/>
      <c r="J1859" s="43"/>
      <c r="K1859" s="72">
        <v>36.0</v>
      </c>
      <c r="L1859" s="53" t="s">
        <v>84</v>
      </c>
      <c r="M1859" s="73">
        <v>16000.0</v>
      </c>
      <c r="N1859" s="74"/>
      <c r="O1859" s="73">
        <v>576000.0</v>
      </c>
      <c r="P1859" s="46" t="str">
        <f t="shared" si="2"/>
        <v>Rp16,000-36 SET-0.00%</v>
      </c>
      <c r="Q1859" s="75">
        <v>45411.0</v>
      </c>
      <c r="R1859" s="76"/>
      <c r="S1859" s="75">
        <v>45422.0</v>
      </c>
      <c r="T1859" s="49"/>
    </row>
    <row r="1860">
      <c r="A1860" s="90">
        <v>4045.0</v>
      </c>
      <c r="B1860" s="91" t="s">
        <v>65</v>
      </c>
      <c r="C1860" s="49" t="s">
        <v>2325</v>
      </c>
      <c r="D1860" s="91" t="s">
        <v>1958</v>
      </c>
      <c r="E1860" s="41" t="str">
        <f>IFERROR(__xludf.DUMMYFUNCTION("vlookup(D1860,IMPORTRANGE(""https://docs.google.com/spreadsheets/d/1swGwZOEqYlTEUCJLY-eeJM1911Kvaei5oySBIxdgtNo/edit?pli=1#gid=257618397"",""stock untanna!B:C""),2,false)"),"ACRYLIC MARKER TF-AM 301-12")</f>
        <v>ACRYLIC MARKER TF-AM 301-12</v>
      </c>
      <c r="F1860" s="49" t="s">
        <v>1958</v>
      </c>
      <c r="G1860" s="71" t="s">
        <v>1959</v>
      </c>
      <c r="H1860" s="41"/>
      <c r="I1860" s="42"/>
      <c r="J1860" s="43"/>
      <c r="K1860" s="72">
        <v>60.0</v>
      </c>
      <c r="L1860" s="53" t="s">
        <v>84</v>
      </c>
      <c r="M1860" s="73">
        <v>16500.0</v>
      </c>
      <c r="N1860" s="74"/>
      <c r="O1860" s="73">
        <v>990000.0</v>
      </c>
      <c r="P1860" s="46" t="str">
        <f t="shared" si="2"/>
        <v>Rp16,500-60 SET-0.00%</v>
      </c>
      <c r="Q1860" s="75">
        <v>45411.0</v>
      </c>
      <c r="R1860" s="76"/>
      <c r="S1860" s="75">
        <v>45422.0</v>
      </c>
      <c r="T1860" s="49"/>
    </row>
    <row r="1861">
      <c r="A1861" s="90">
        <v>4050.0</v>
      </c>
      <c r="B1861" s="91" t="s">
        <v>65</v>
      </c>
      <c r="C1861" s="80" t="s">
        <v>2326</v>
      </c>
      <c r="D1861" s="91" t="s">
        <v>31</v>
      </c>
      <c r="E1861" s="41" t="str">
        <f>IFERROR(__xludf.DUMMYFUNCTION("vlookup(D1861,IMPORTRANGE(""https://docs.google.com/spreadsheets/d/1swGwZOEqYlTEUCJLY-eeJM1911Kvaei5oySBIxdgtNo/edit?pli=1#gid=257618397"",""stock untanna!B:C""),2,false)"),"ISI STAPLER 13/8 JOSS")</f>
        <v>ISI STAPLER 13/8 JOSS</v>
      </c>
      <c r="F1861" s="49" t="s">
        <v>31</v>
      </c>
      <c r="G1861" s="71" t="s">
        <v>113</v>
      </c>
      <c r="H1861" s="41"/>
      <c r="I1861" s="42"/>
      <c r="J1861" s="43"/>
      <c r="K1861" s="72">
        <v>100.0</v>
      </c>
      <c r="L1861" s="53" t="s">
        <v>114</v>
      </c>
      <c r="M1861" s="73">
        <v>18500.0</v>
      </c>
      <c r="N1861" s="74"/>
      <c r="O1861" s="73">
        <v>1850000.0</v>
      </c>
      <c r="P1861" s="46" t="str">
        <f t="shared" si="2"/>
        <v>Rp18,500-100 PAK-0.00%</v>
      </c>
      <c r="Q1861" s="75">
        <v>45412.0</v>
      </c>
      <c r="R1861" s="76"/>
      <c r="S1861" s="75">
        <v>45422.0</v>
      </c>
      <c r="T1861" s="49"/>
    </row>
    <row r="1862">
      <c r="A1862" s="90">
        <v>4050.0</v>
      </c>
      <c r="B1862" s="91" t="s">
        <v>65</v>
      </c>
      <c r="C1862" s="80" t="s">
        <v>2326</v>
      </c>
      <c r="D1862" s="91" t="s">
        <v>2327</v>
      </c>
      <c r="E1862" s="41" t="str">
        <f>IFERROR(__xludf.DUMMYFUNCTION("vlookup(D1862,IMPORTRANGE(""https://docs.google.com/spreadsheets/d/1swGwZOEqYlTEUCJLY-eeJM1911Kvaei5oySBIxdgtNo/edit?pli=1#gid=257618397"",""stock untanna!B:C""),2,false)"),"STICK NOTE TF 654 5C")</f>
        <v>STICK NOTE TF 654 5C</v>
      </c>
      <c r="F1862" s="49" t="s">
        <v>2327</v>
      </c>
      <c r="G1862" s="71" t="s">
        <v>2328</v>
      </c>
      <c r="H1862" s="41"/>
      <c r="I1862" s="42"/>
      <c r="J1862" s="43"/>
      <c r="K1862" s="72">
        <v>200.0</v>
      </c>
      <c r="L1862" s="53" t="s">
        <v>69</v>
      </c>
      <c r="M1862" s="73">
        <v>4000.0</v>
      </c>
      <c r="N1862" s="74"/>
      <c r="O1862" s="73">
        <v>800000.0</v>
      </c>
      <c r="P1862" s="46" t="str">
        <f t="shared" si="2"/>
        <v>Rp4,000-200 PCS-0.00%</v>
      </c>
      <c r="Q1862" s="75">
        <v>45412.0</v>
      </c>
      <c r="R1862" s="76"/>
      <c r="S1862" s="75">
        <v>45422.0</v>
      </c>
      <c r="T1862" s="49"/>
    </row>
    <row r="1863">
      <c r="A1863" s="90">
        <v>4050.0</v>
      </c>
      <c r="B1863" s="91" t="s">
        <v>65</v>
      </c>
      <c r="C1863" s="80" t="s">
        <v>2326</v>
      </c>
      <c r="D1863" s="91" t="s">
        <v>698</v>
      </c>
      <c r="E1863" s="41" t="str">
        <f>IFERROR(__xludf.DUMMYFUNCTION("vlookup(D1863,IMPORTRANGE(""https://docs.google.com/spreadsheets/d/1swGwZOEqYlTEUCJLY-eeJM1911Kvaei5oySBIxdgtNo/edit?pli=1#gid=257618397"",""stock untanna!B:C""),2,false)"),"BP GEL TIZO 1.0 TG630-A")</f>
        <v>BP GEL TIZO 1.0 TG630-A</v>
      </c>
      <c r="F1863" s="49" t="s">
        <v>698</v>
      </c>
      <c r="G1863" s="71" t="s">
        <v>699</v>
      </c>
      <c r="H1863" s="41"/>
      <c r="I1863" s="42"/>
      <c r="J1863" s="43"/>
      <c r="K1863" s="72">
        <v>12.0</v>
      </c>
      <c r="L1863" s="53" t="s">
        <v>62</v>
      </c>
      <c r="M1863" s="73">
        <v>48000.0</v>
      </c>
      <c r="N1863" s="74"/>
      <c r="O1863" s="73">
        <v>576000.0</v>
      </c>
      <c r="P1863" s="46" t="str">
        <f t="shared" si="2"/>
        <v>Rp48,000-12 LSN-0.00%</v>
      </c>
      <c r="Q1863" s="75">
        <v>45412.0</v>
      </c>
      <c r="R1863" s="76"/>
      <c r="S1863" s="75">
        <v>45422.0</v>
      </c>
      <c r="T1863" s="49"/>
    </row>
    <row r="1864">
      <c r="A1864" s="90">
        <v>4050.0</v>
      </c>
      <c r="B1864" s="91" t="s">
        <v>65</v>
      </c>
      <c r="C1864" s="80" t="s">
        <v>2326</v>
      </c>
      <c r="D1864" s="91" t="s">
        <v>1577</v>
      </c>
      <c r="E1864" s="41" t="str">
        <f>IFERROR(__xludf.DUMMYFUNCTION("vlookup(D1864,IMPORTRANGE(""https://docs.google.com/spreadsheets/d/1swGwZOEqYlTEUCJLY-eeJM1911Kvaei5oySBIxdgtNo/edit?pli=1#gid=257618397"",""stock untanna!B:C""),2,false)"),"STABILLO TIZO TF610")</f>
        <v>STABILLO TIZO TF610</v>
      </c>
      <c r="F1864" s="49" t="s">
        <v>1577</v>
      </c>
      <c r="G1864" s="71" t="s">
        <v>1578</v>
      </c>
      <c r="H1864" s="41"/>
      <c r="I1864" s="42"/>
      <c r="J1864" s="43"/>
      <c r="K1864" s="72">
        <v>10.0</v>
      </c>
      <c r="L1864" s="53" t="s">
        <v>88</v>
      </c>
      <c r="M1864" s="73">
        <v>120000.0</v>
      </c>
      <c r="N1864" s="74"/>
      <c r="O1864" s="73">
        <v>1200000.0</v>
      </c>
      <c r="P1864" s="46" t="str">
        <f t="shared" si="2"/>
        <v>Rp120,000-10 BOX-0.00%</v>
      </c>
      <c r="Q1864" s="75">
        <v>45412.0</v>
      </c>
      <c r="R1864" s="76"/>
      <c r="S1864" s="75">
        <v>45422.0</v>
      </c>
      <c r="T1864" s="49"/>
    </row>
    <row r="1865">
      <c r="A1865" s="90">
        <v>4050.0</v>
      </c>
      <c r="B1865" s="91" t="s">
        <v>65</v>
      </c>
      <c r="C1865" s="80" t="s">
        <v>2326</v>
      </c>
      <c r="D1865" s="91"/>
      <c r="E1865" s="41" t="s">
        <v>2329</v>
      </c>
      <c r="F1865" s="49"/>
      <c r="G1865" s="71" t="s">
        <v>2329</v>
      </c>
      <c r="H1865" s="41"/>
      <c r="I1865" s="42"/>
      <c r="J1865" s="43"/>
      <c r="K1865" s="72">
        <v>200.0</v>
      </c>
      <c r="L1865" s="53" t="s">
        <v>69</v>
      </c>
      <c r="M1865" s="73">
        <v>2500.0</v>
      </c>
      <c r="N1865" s="83">
        <v>0.1</v>
      </c>
      <c r="O1865" s="73">
        <v>450000.0</v>
      </c>
      <c r="P1865" s="46" t="str">
        <f t="shared" si="2"/>
        <v>Rp2,500-200 PCS-10.00%</v>
      </c>
      <c r="Q1865" s="75">
        <v>45412.0</v>
      </c>
      <c r="R1865" s="76"/>
      <c r="S1865" s="75">
        <v>45422.0</v>
      </c>
      <c r="T1865" s="80" t="s">
        <v>280</v>
      </c>
    </row>
    <row r="1866">
      <c r="A1866" s="90">
        <v>4050.0</v>
      </c>
      <c r="B1866" s="91" t="s">
        <v>65</v>
      </c>
      <c r="C1866" s="80" t="s">
        <v>2326</v>
      </c>
      <c r="D1866" s="91"/>
      <c r="E1866" s="41" t="s">
        <v>279</v>
      </c>
      <c r="F1866" s="49"/>
      <c r="G1866" s="71" t="s">
        <v>279</v>
      </c>
      <c r="H1866" s="41"/>
      <c r="I1866" s="42"/>
      <c r="J1866" s="43"/>
      <c r="K1866" s="72">
        <v>48.0</v>
      </c>
      <c r="L1866" s="53" t="s">
        <v>69</v>
      </c>
      <c r="M1866" s="73">
        <v>25000.0</v>
      </c>
      <c r="N1866" s="74"/>
      <c r="O1866" s="73">
        <v>1200000.0</v>
      </c>
      <c r="P1866" s="46" t="str">
        <f t="shared" si="2"/>
        <v>Rp25,000-48 PCS-0.00%</v>
      </c>
      <c r="Q1866" s="75">
        <v>45412.0</v>
      </c>
      <c r="R1866" s="76"/>
      <c r="S1866" s="75">
        <v>45422.0</v>
      </c>
      <c r="T1866" s="80" t="s">
        <v>280</v>
      </c>
    </row>
    <row r="1867">
      <c r="A1867" s="90">
        <v>4050.0</v>
      </c>
      <c r="B1867" s="91" t="s">
        <v>65</v>
      </c>
      <c r="C1867" s="80" t="s">
        <v>2326</v>
      </c>
      <c r="D1867" s="91" t="s">
        <v>2330</v>
      </c>
      <c r="E1867" s="41" t="str">
        <f>IFERROR(__xludf.DUMMYFUNCTION("vlookup(D1867,IMPORTRANGE(""https://docs.google.com/spreadsheets/d/1swGwZOEqYlTEUCJLY-eeJM1911Kvaei5oySBIxdgtNo/edit?pli=1#gid=257618397"",""stock untanna!B:C""),2,false)"),"BENSIA 9935 PLUIT (42)")</f>
        <v>BENSIA 9935 PLUIT (42)</v>
      </c>
      <c r="F1867" s="49" t="s">
        <v>2330</v>
      </c>
      <c r="G1867" s="71" t="s">
        <v>2331</v>
      </c>
      <c r="H1867" s="41"/>
      <c r="I1867" s="42"/>
      <c r="J1867" s="43"/>
      <c r="K1867" s="72">
        <v>10.0</v>
      </c>
      <c r="L1867" s="53" t="s">
        <v>88</v>
      </c>
      <c r="M1867" s="73">
        <v>52500.0</v>
      </c>
      <c r="N1867" s="74"/>
      <c r="O1867" s="73">
        <v>525000.0</v>
      </c>
      <c r="P1867" s="46" t="str">
        <f t="shared" si="2"/>
        <v>Rp52,500-10 BOX-0.00%</v>
      </c>
      <c r="Q1867" s="75">
        <v>45412.0</v>
      </c>
      <c r="R1867" s="76"/>
      <c r="S1867" s="75">
        <v>45422.0</v>
      </c>
      <c r="T1867" s="49"/>
    </row>
    <row r="1868">
      <c r="A1868" s="90">
        <v>4050.0</v>
      </c>
      <c r="B1868" s="91" t="s">
        <v>65</v>
      </c>
      <c r="C1868" s="80" t="s">
        <v>2326</v>
      </c>
      <c r="D1868" s="91" t="s">
        <v>467</v>
      </c>
      <c r="E1868" s="41" t="str">
        <f>IFERROR(__xludf.DUMMYFUNCTION("vlookup(D1868,IMPORTRANGE(""https://docs.google.com/spreadsheets/d/1swGwZOEqYlTEUCJLY-eeJM1911Kvaei5oySBIxdgtNo/edit?pli=1#gid=257618397"",""stock untanna!B:C""),2,false)"),"BENSIA 03LM4 (6202)")</f>
        <v>BENSIA 03LM4 (6202)</v>
      </c>
      <c r="F1868" s="49" t="s">
        <v>467</v>
      </c>
      <c r="G1868" s="71" t="s">
        <v>468</v>
      </c>
      <c r="H1868" s="41"/>
      <c r="I1868" s="42"/>
      <c r="J1868" s="43"/>
      <c r="K1868" s="72">
        <v>10.0</v>
      </c>
      <c r="L1868" s="53" t="s">
        <v>88</v>
      </c>
      <c r="M1868" s="73">
        <v>67200.0</v>
      </c>
      <c r="N1868" s="74"/>
      <c r="O1868" s="73">
        <v>672000.0</v>
      </c>
      <c r="P1868" s="46" t="str">
        <f t="shared" si="2"/>
        <v>Rp67,200-10 BOX-0.00%</v>
      </c>
      <c r="Q1868" s="75">
        <v>45412.0</v>
      </c>
      <c r="R1868" s="76"/>
      <c r="S1868" s="75">
        <v>45422.0</v>
      </c>
      <c r="T1868" s="49"/>
    </row>
    <row r="1869">
      <c r="A1869" s="90">
        <v>4050.0</v>
      </c>
      <c r="B1869" s="91" t="s">
        <v>65</v>
      </c>
      <c r="C1869" s="80" t="s">
        <v>2326</v>
      </c>
      <c r="D1869" s="91" t="s">
        <v>1186</v>
      </c>
      <c r="E1869" s="41" t="str">
        <f>IFERROR(__xludf.DUMMYFUNCTION("vlookup(D1869,IMPORTRANGE(""https://docs.google.com/spreadsheets/d/1swGwZOEqYlTEUCJLY-eeJM1911Kvaei5oySBIxdgtNo/edit?pli=1#gid=257618397"",""stock untanna!B:C""),2,false)"),"BENSIA 04LM1 (5921")</f>
        <v>BENSIA 04LM1 (5921</v>
      </c>
      <c r="F1869" s="49" t="s">
        <v>1186</v>
      </c>
      <c r="G1869" s="71" t="s">
        <v>1187</v>
      </c>
      <c r="H1869" s="41"/>
      <c r="I1869" s="42"/>
      <c r="J1869" s="43"/>
      <c r="K1869" s="72">
        <v>10.0</v>
      </c>
      <c r="L1869" s="53" t="s">
        <v>88</v>
      </c>
      <c r="M1869" s="73">
        <v>80000.0</v>
      </c>
      <c r="N1869" s="74"/>
      <c r="O1869" s="73">
        <v>800000.0</v>
      </c>
      <c r="P1869" s="46" t="str">
        <f t="shared" si="2"/>
        <v>Rp80,000-10 BOX-0.00%</v>
      </c>
      <c r="Q1869" s="75">
        <v>45412.0</v>
      </c>
      <c r="R1869" s="76"/>
      <c r="S1869" s="75">
        <v>45422.0</v>
      </c>
      <c r="T1869" s="49"/>
    </row>
    <row r="1870">
      <c r="A1870" s="90">
        <v>4050.0</v>
      </c>
      <c r="B1870" s="91" t="s">
        <v>65</v>
      </c>
      <c r="C1870" s="80" t="s">
        <v>2326</v>
      </c>
      <c r="D1870" s="91" t="s">
        <v>473</v>
      </c>
      <c r="E1870" s="41" t="str">
        <f>IFERROR(__xludf.DUMMYFUNCTION("vlookup(D1870,IMPORTRANGE(""https://docs.google.com/spreadsheets/d/1swGwZOEqYlTEUCJLY-eeJM1911Kvaei5oySBIxdgtNo/edit?pli=1#gid=257618397"",""stock untanna!B:C""),2,false)"),"BENSIA CYLN 6203/ 5333")</f>
        <v>BENSIA CYLN 6203/ 5333</v>
      </c>
      <c r="F1870" s="49" t="s">
        <v>473</v>
      </c>
      <c r="G1870" s="71" t="s">
        <v>474</v>
      </c>
      <c r="H1870" s="41"/>
      <c r="I1870" s="42"/>
      <c r="J1870" s="43"/>
      <c r="K1870" s="72">
        <v>10.0</v>
      </c>
      <c r="L1870" s="53" t="s">
        <v>88</v>
      </c>
      <c r="M1870" s="73">
        <v>80000.0</v>
      </c>
      <c r="N1870" s="74"/>
      <c r="O1870" s="73">
        <v>800000.0</v>
      </c>
      <c r="P1870" s="46" t="str">
        <f t="shared" si="2"/>
        <v>Rp80,000-10 BOX-0.00%</v>
      </c>
      <c r="Q1870" s="75">
        <v>45412.0</v>
      </c>
      <c r="R1870" s="76"/>
      <c r="S1870" s="75">
        <v>45422.0</v>
      </c>
      <c r="T1870" s="49"/>
    </row>
    <row r="1871">
      <c r="A1871" s="90">
        <v>4050.0</v>
      </c>
      <c r="B1871" s="91" t="s">
        <v>65</v>
      </c>
      <c r="C1871" s="80" t="s">
        <v>2326</v>
      </c>
      <c r="D1871" s="91" t="s">
        <v>2332</v>
      </c>
      <c r="E1871" s="41" t="str">
        <f>IFERROR(__xludf.DUMMYFUNCTION("vlookup(D1871,IMPORTRANGE(""https://docs.google.com/spreadsheets/d/1swGwZOEqYlTEUCJLY-eeJM1911Kvaei5oySBIxdgtNo/edit?pli=1#gid=257618397"",""stock untanna!B:C""),2,false)"),"BENSIA 05LM2 (6021)")</f>
        <v>BENSIA 05LM2 (6021)</v>
      </c>
      <c r="F1871" s="49" t="s">
        <v>2332</v>
      </c>
      <c r="G1871" s="71" t="s">
        <v>2333</v>
      </c>
      <c r="H1871" s="41"/>
      <c r="I1871" s="42"/>
      <c r="J1871" s="43"/>
      <c r="K1871" s="72">
        <v>10.0</v>
      </c>
      <c r="L1871" s="53" t="s">
        <v>88</v>
      </c>
      <c r="M1871" s="73">
        <v>52500.0</v>
      </c>
      <c r="N1871" s="74"/>
      <c r="O1871" s="73">
        <v>525000.0</v>
      </c>
      <c r="P1871" s="46" t="str">
        <f t="shared" si="2"/>
        <v>Rp52,500-10 BOX-0.00%</v>
      </c>
      <c r="Q1871" s="75">
        <v>45412.0</v>
      </c>
      <c r="R1871" s="76"/>
      <c r="S1871" s="75">
        <v>45422.0</v>
      </c>
      <c r="T1871" s="49"/>
    </row>
    <row r="1872">
      <c r="A1872" s="90">
        <v>4050.0</v>
      </c>
      <c r="B1872" s="91" t="s">
        <v>65</v>
      </c>
      <c r="C1872" s="80" t="s">
        <v>2326</v>
      </c>
      <c r="D1872" s="91" t="s">
        <v>121</v>
      </c>
      <c r="E1872" s="41" t="str">
        <f>IFERROR(__xludf.DUMMYFUNCTION("vlookup(D1872,IMPORTRANGE(""https://docs.google.com/spreadsheets/d/1swGwZOEqYlTEUCJLY-eeJM1911Kvaei5oySBIxdgtNo/edit?pli=1#gid=257618397"",""stock untanna!B:C""),2,false)"),"LEM BAKAR STIK 7X30 WOMY PUTIH K")</f>
        <v>LEM BAKAR STIK 7X30 WOMY PUTIH K</v>
      </c>
      <c r="F1872" s="49" t="s">
        <v>121</v>
      </c>
      <c r="G1872" s="71" t="s">
        <v>122</v>
      </c>
      <c r="H1872" s="41"/>
      <c r="I1872" s="42"/>
      <c r="J1872" s="43"/>
      <c r="K1872" s="72">
        <v>25.0</v>
      </c>
      <c r="L1872" s="53" t="s">
        <v>114</v>
      </c>
      <c r="M1872" s="73">
        <v>45000.0</v>
      </c>
      <c r="N1872" s="74"/>
      <c r="O1872" s="73">
        <v>1125000.0</v>
      </c>
      <c r="P1872" s="46" t="str">
        <f t="shared" si="2"/>
        <v>Rp45,000-25 PAK-0.00%</v>
      </c>
      <c r="Q1872" s="75">
        <v>45412.0</v>
      </c>
      <c r="R1872" s="76"/>
      <c r="S1872" s="75">
        <v>45422.0</v>
      </c>
      <c r="T1872" s="49"/>
    </row>
    <row r="1873">
      <c r="A1873" s="90">
        <v>4050.0</v>
      </c>
      <c r="B1873" s="91" t="s">
        <v>65</v>
      </c>
      <c r="C1873" s="80" t="s">
        <v>2326</v>
      </c>
      <c r="D1873" s="91"/>
      <c r="E1873" s="41" t="s">
        <v>2334</v>
      </c>
      <c r="F1873" s="49"/>
      <c r="G1873" s="71" t="s">
        <v>2334</v>
      </c>
      <c r="H1873" s="41"/>
      <c r="I1873" s="42"/>
      <c r="J1873" s="43"/>
      <c r="K1873" s="72">
        <v>24.0</v>
      </c>
      <c r="L1873" s="53" t="s">
        <v>84</v>
      </c>
      <c r="M1873" s="73">
        <v>37000.0</v>
      </c>
      <c r="N1873" s="74"/>
      <c r="O1873" s="73">
        <v>888000.0</v>
      </c>
      <c r="P1873" s="46" t="str">
        <f t="shared" si="2"/>
        <v>Rp37,000-24 SET-0.00%</v>
      </c>
      <c r="Q1873" s="75">
        <v>45412.0</v>
      </c>
      <c r="R1873" s="76"/>
      <c r="S1873" s="75">
        <v>45422.0</v>
      </c>
      <c r="T1873" s="49"/>
    </row>
    <row r="1874">
      <c r="A1874" s="90">
        <v>4050.0</v>
      </c>
      <c r="B1874" s="91" t="s">
        <v>65</v>
      </c>
      <c r="C1874" s="80" t="s">
        <v>2326</v>
      </c>
      <c r="D1874" s="91" t="s">
        <v>2335</v>
      </c>
      <c r="E1874" s="41" t="str">
        <f>IFERROR(__xludf.DUMMYFUNCTION("vlookup(D1874,IMPORTRANGE(""https://docs.google.com/spreadsheets/d/1swGwZOEqYlTEUCJLY-eeJM1911Kvaei5oySBIxdgtNo/edit?pli=1#gid=257618397"",""stock untanna!B:C""),2,false)"),"BP GEL KOALA GP-168-A MERAH")</f>
        <v>BP GEL KOALA GP-168-A MERAH</v>
      </c>
      <c r="F1874" s="49" t="s">
        <v>2335</v>
      </c>
      <c r="G1874" s="71" t="s">
        <v>2336</v>
      </c>
      <c r="H1874" s="41"/>
      <c r="I1874" s="42"/>
      <c r="J1874" s="43"/>
      <c r="K1874" s="72">
        <v>12.0</v>
      </c>
      <c r="L1874" s="53" t="s">
        <v>62</v>
      </c>
      <c r="M1874" s="73">
        <v>25000.0</v>
      </c>
      <c r="N1874" s="74"/>
      <c r="O1874" s="73">
        <v>300000.0</v>
      </c>
      <c r="P1874" s="46" t="str">
        <f t="shared" si="2"/>
        <v>Rp25,000-12 LSN-0.00%</v>
      </c>
      <c r="Q1874" s="75">
        <v>45412.0</v>
      </c>
      <c r="R1874" s="76"/>
      <c r="S1874" s="75">
        <v>45422.0</v>
      </c>
      <c r="T1874" s="49"/>
    </row>
    <row r="1875">
      <c r="A1875" s="90">
        <v>4050.0</v>
      </c>
      <c r="B1875" s="91" t="s">
        <v>65</v>
      </c>
      <c r="C1875" s="80" t="s">
        <v>2326</v>
      </c>
      <c r="D1875" s="91" t="s">
        <v>2337</v>
      </c>
      <c r="E1875" s="41" t="str">
        <f>IFERROR(__xludf.DUMMYFUNCTION("vlookup(D1875,IMPORTRANGE(""https://docs.google.com/spreadsheets/d/1swGwZOEqYlTEUCJLY-eeJM1911Kvaei5oySBIxdgtNo/edit?pli=1#gid=257618397"",""stock untanna!B:C""),2,false)"),"BP GEL KOALA GP-168-B BR")</f>
        <v>BP GEL KOALA GP-168-B BR</v>
      </c>
      <c r="F1875" s="49" t="s">
        <v>2337</v>
      </c>
      <c r="G1875" s="71" t="s">
        <v>2338</v>
      </c>
      <c r="H1875" s="41"/>
      <c r="I1875" s="42"/>
      <c r="J1875" s="43"/>
      <c r="K1875" s="72">
        <v>12.0</v>
      </c>
      <c r="L1875" s="53" t="s">
        <v>62</v>
      </c>
      <c r="M1875" s="73">
        <v>25000.0</v>
      </c>
      <c r="N1875" s="74"/>
      <c r="O1875" s="73">
        <v>300000.0</v>
      </c>
      <c r="P1875" s="46" t="str">
        <f t="shared" si="2"/>
        <v>Rp25,000-12 LSN-0.00%</v>
      </c>
      <c r="Q1875" s="75">
        <v>45412.0</v>
      </c>
      <c r="R1875" s="76"/>
      <c r="S1875" s="75">
        <v>45422.0</v>
      </c>
      <c r="T1875" s="49"/>
    </row>
    <row r="1876">
      <c r="A1876" s="90">
        <v>4050.0</v>
      </c>
      <c r="B1876" s="91" t="s">
        <v>65</v>
      </c>
      <c r="C1876" s="80" t="s">
        <v>2326</v>
      </c>
      <c r="D1876" s="91" t="s">
        <v>2339</v>
      </c>
      <c r="E1876" s="41" t="str">
        <f>IFERROR(__xludf.DUMMYFUNCTION("vlookup(D1876,IMPORTRANGE(""https://docs.google.com/spreadsheets/d/1swGwZOEqYlTEUCJLY-eeJM1911Kvaei5oySBIxdgtNo/edit?pli=1#gid=257618397"",""stock untanna!B:C""),2,false)"),"BP GEL KOALA GP-168-C HJ")</f>
        <v>BP GEL KOALA GP-168-C HJ</v>
      </c>
      <c r="F1876" s="49" t="s">
        <v>2339</v>
      </c>
      <c r="G1876" s="71" t="s">
        <v>2340</v>
      </c>
      <c r="H1876" s="41"/>
      <c r="I1876" s="42"/>
      <c r="J1876" s="43"/>
      <c r="K1876" s="72">
        <v>12.0</v>
      </c>
      <c r="L1876" s="53" t="s">
        <v>62</v>
      </c>
      <c r="M1876" s="73">
        <v>25000.0</v>
      </c>
      <c r="N1876" s="74"/>
      <c r="O1876" s="73">
        <v>300000.0</v>
      </c>
      <c r="P1876" s="46" t="str">
        <f t="shared" si="2"/>
        <v>Rp25,000-12 LSN-0.00%</v>
      </c>
      <c r="Q1876" s="75">
        <v>45412.0</v>
      </c>
      <c r="R1876" s="76"/>
      <c r="S1876" s="75">
        <v>45422.0</v>
      </c>
      <c r="T1876" s="49"/>
    </row>
    <row r="1877">
      <c r="A1877" s="90">
        <v>101.0</v>
      </c>
      <c r="B1877" s="91" t="s">
        <v>65</v>
      </c>
      <c r="C1877" s="80" t="s">
        <v>2326</v>
      </c>
      <c r="D1877" s="91" t="s">
        <v>2341</v>
      </c>
      <c r="E1877" s="41" t="str">
        <f>IFERROR(__xludf.DUMMYFUNCTION("vlookup(D1877,IMPORTRANGE(""https://docs.google.com/spreadsheets/d/1swGwZOEqYlTEUCJLY-eeJM1911Kvaei5oySBIxdgtNo/edit?pli=1#gid=257618397"",""stock untanna!B:C""),2,false)"),"BP GEL KOALA GP-168-D VL")</f>
        <v>BP GEL KOALA GP-168-D VL</v>
      </c>
      <c r="F1877" s="49" t="s">
        <v>2341</v>
      </c>
      <c r="G1877" s="71" t="s">
        <v>2342</v>
      </c>
      <c r="H1877" s="41"/>
      <c r="I1877" s="42"/>
      <c r="J1877" s="43"/>
      <c r="K1877" s="72">
        <v>12.0</v>
      </c>
      <c r="L1877" s="53" t="s">
        <v>62</v>
      </c>
      <c r="M1877" s="73">
        <v>25000.0</v>
      </c>
      <c r="N1877" s="74"/>
      <c r="O1877" s="73">
        <v>300000.0</v>
      </c>
      <c r="P1877" s="46" t="str">
        <f t="shared" si="2"/>
        <v>Rp25,000-12 LSN-0.00%</v>
      </c>
      <c r="Q1877" s="75">
        <v>45412.0</v>
      </c>
      <c r="R1877" s="76"/>
      <c r="S1877" s="75">
        <v>45422.0</v>
      </c>
      <c r="T1877" s="49"/>
    </row>
    <row r="1878">
      <c r="A1878" s="90">
        <v>101.0</v>
      </c>
      <c r="B1878" s="91" t="s">
        <v>65</v>
      </c>
      <c r="C1878" s="80" t="s">
        <v>2326</v>
      </c>
      <c r="D1878" s="91" t="s">
        <v>2343</v>
      </c>
      <c r="E1878" s="41" t="str">
        <f>IFERROR(__xludf.DUMMYFUNCTION("vlookup(D1878,IMPORTRANGE(""https://docs.google.com/spreadsheets/d/1swGwZOEqYlTEUCJLY-eeJM1911Kvaei5oySBIxdgtNo/edit?pli=1#gid=257618397"",""stock untanna!B:C""),2,false)"),"BP GEL KOALA GP-168-E OR")</f>
        <v>BP GEL KOALA GP-168-E OR</v>
      </c>
      <c r="F1878" s="49" t="s">
        <v>2343</v>
      </c>
      <c r="G1878" s="71" t="s">
        <v>2344</v>
      </c>
      <c r="H1878" s="41"/>
      <c r="I1878" s="42"/>
      <c r="J1878" s="43"/>
      <c r="K1878" s="72">
        <v>12.0</v>
      </c>
      <c r="L1878" s="53" t="s">
        <v>62</v>
      </c>
      <c r="M1878" s="73">
        <v>25000.0</v>
      </c>
      <c r="N1878" s="74"/>
      <c r="O1878" s="73">
        <v>300000.0</v>
      </c>
      <c r="P1878" s="46" t="str">
        <f t="shared" si="2"/>
        <v>Rp25,000-12 LSN-0.00%</v>
      </c>
      <c r="Q1878" s="75">
        <v>45412.0</v>
      </c>
      <c r="R1878" s="76"/>
      <c r="S1878" s="75">
        <v>45422.0</v>
      </c>
      <c r="T1878" s="49"/>
    </row>
    <row r="1879">
      <c r="A1879" s="90">
        <v>101.0</v>
      </c>
      <c r="B1879" s="91" t="s">
        <v>65</v>
      </c>
      <c r="C1879" s="80" t="s">
        <v>2326</v>
      </c>
      <c r="D1879" s="91" t="s">
        <v>2345</v>
      </c>
      <c r="E1879" s="41" t="str">
        <f>IFERROR(__xludf.DUMMYFUNCTION("vlookup(D1879,IMPORTRANGE(""https://docs.google.com/spreadsheets/d/1swGwZOEqYlTEUCJLY-eeJM1911Kvaei5oySBIxdgtNo/edit?pli=1#gid=257618397"",""stock untanna!B:C""),2,false)"),"BP GEL KOALA GP-168-F BR TUA")</f>
        <v>BP GEL KOALA GP-168-F BR TUA</v>
      </c>
      <c r="F1879" s="49" t="s">
        <v>2345</v>
      </c>
      <c r="G1879" s="71" t="s">
        <v>2346</v>
      </c>
      <c r="H1879" s="41"/>
      <c r="I1879" s="42"/>
      <c r="J1879" s="43"/>
      <c r="K1879" s="72">
        <v>12.0</v>
      </c>
      <c r="L1879" s="53" t="s">
        <v>62</v>
      </c>
      <c r="M1879" s="73">
        <v>25000.0</v>
      </c>
      <c r="N1879" s="74"/>
      <c r="O1879" s="73">
        <v>300000.0</v>
      </c>
      <c r="P1879" s="46" t="str">
        <f t="shared" si="2"/>
        <v>Rp25,000-12 LSN-0.00%</v>
      </c>
      <c r="Q1879" s="75">
        <v>45412.0</v>
      </c>
      <c r="R1879" s="76"/>
      <c r="S1879" s="75">
        <v>45422.0</v>
      </c>
      <c r="T1879" s="49"/>
    </row>
    <row r="1880">
      <c r="A1880" s="90">
        <v>101.0</v>
      </c>
      <c r="B1880" s="91" t="s">
        <v>65</v>
      </c>
      <c r="C1880" s="80" t="s">
        <v>2326</v>
      </c>
      <c r="D1880" s="91" t="s">
        <v>2347</v>
      </c>
      <c r="E1880" s="41" t="str">
        <f>IFERROR(__xludf.DUMMYFUNCTION("vlookup(D1880,IMPORTRANGE(""https://docs.google.com/spreadsheets/d/1swGwZOEqYlTEUCJLY-eeJM1911Kvaei5oySBIxdgtNo/edit?pli=1#gid=257618397"",""stock untanna!B:C""),2,false)"),"BP GEL KOALA GP-168-G PK")</f>
        <v>BP GEL KOALA GP-168-G PK</v>
      </c>
      <c r="F1880" s="49" t="s">
        <v>2347</v>
      </c>
      <c r="G1880" s="71" t="s">
        <v>2348</v>
      </c>
      <c r="H1880" s="41"/>
      <c r="I1880" s="42"/>
      <c r="J1880" s="43"/>
      <c r="K1880" s="72">
        <v>12.0</v>
      </c>
      <c r="L1880" s="53" t="s">
        <v>62</v>
      </c>
      <c r="M1880" s="73">
        <v>25000.0</v>
      </c>
      <c r="N1880" s="74"/>
      <c r="O1880" s="73">
        <v>300000.0</v>
      </c>
      <c r="P1880" s="46" t="str">
        <f t="shared" si="2"/>
        <v>Rp25,000-12 LSN-0.00%</v>
      </c>
      <c r="Q1880" s="75">
        <v>45412.0</v>
      </c>
      <c r="R1880" s="76"/>
      <c r="S1880" s="75">
        <v>45422.0</v>
      </c>
      <c r="T1880" s="49"/>
    </row>
    <row r="1881">
      <c r="A1881" s="90">
        <v>101.0</v>
      </c>
      <c r="B1881" s="91" t="s">
        <v>65</v>
      </c>
      <c r="C1881" s="80" t="s">
        <v>2326</v>
      </c>
      <c r="D1881" s="91" t="s">
        <v>2349</v>
      </c>
      <c r="E1881" s="41" t="str">
        <f>IFERROR(__xludf.DUMMYFUNCTION("vlookup(D1881,IMPORTRANGE(""https://docs.google.com/spreadsheets/d/1swGwZOEqYlTEUCJLY-eeJM1911Kvaei5oySBIxdgtNo/edit?pli=1#gid=257618397"",""stock untanna!B:C""),2,false)"),"BP GEL KOALA GP-168-H HJ MUDA")</f>
        <v>BP GEL KOALA GP-168-H HJ MUDA</v>
      </c>
      <c r="F1881" s="49" t="s">
        <v>2349</v>
      </c>
      <c r="G1881" s="71" t="s">
        <v>2350</v>
      </c>
      <c r="H1881" s="41"/>
      <c r="I1881" s="42"/>
      <c r="J1881" s="43"/>
      <c r="K1881" s="72">
        <v>12.0</v>
      </c>
      <c r="L1881" s="53" t="s">
        <v>62</v>
      </c>
      <c r="M1881" s="73">
        <v>25000.0</v>
      </c>
      <c r="N1881" s="74"/>
      <c r="O1881" s="73">
        <v>300000.0</v>
      </c>
      <c r="P1881" s="46" t="str">
        <f t="shared" si="2"/>
        <v>Rp25,000-12 LSN-0.00%</v>
      </c>
      <c r="Q1881" s="75">
        <v>45412.0</v>
      </c>
      <c r="R1881" s="76"/>
      <c r="S1881" s="75">
        <v>45422.0</v>
      </c>
      <c r="T1881" s="49"/>
    </row>
    <row r="1882">
      <c r="A1882" s="90">
        <v>101.0</v>
      </c>
      <c r="B1882" s="91" t="s">
        <v>65</v>
      </c>
      <c r="C1882" s="80" t="s">
        <v>2326</v>
      </c>
      <c r="D1882" s="91" t="s">
        <v>2351</v>
      </c>
      <c r="E1882" s="41" t="str">
        <f>IFERROR(__xludf.DUMMYFUNCTION("vlookup(D1882,IMPORTRANGE(""https://docs.google.com/spreadsheets/d/1swGwZOEqYlTEUCJLY-eeJM1911Kvaei5oySBIxdgtNo/edit?pli=1#gid=257618397"",""stock untanna!B:C""),2,false)"),"BP GEL KOALA GP-168-I COKLAT")</f>
        <v>BP GEL KOALA GP-168-I COKLAT</v>
      </c>
      <c r="F1882" s="49" t="s">
        <v>2351</v>
      </c>
      <c r="G1882" s="71" t="s">
        <v>2352</v>
      </c>
      <c r="H1882" s="41"/>
      <c r="I1882" s="42"/>
      <c r="J1882" s="43"/>
      <c r="K1882" s="72">
        <v>12.0</v>
      </c>
      <c r="L1882" s="53" t="s">
        <v>62</v>
      </c>
      <c r="M1882" s="73">
        <v>25000.0</v>
      </c>
      <c r="N1882" s="74"/>
      <c r="O1882" s="73">
        <v>300000.0</v>
      </c>
      <c r="P1882" s="46" t="str">
        <f t="shared" si="2"/>
        <v>Rp25,000-12 LSN-0.00%</v>
      </c>
      <c r="Q1882" s="75">
        <v>45412.0</v>
      </c>
      <c r="R1882" s="76"/>
      <c r="S1882" s="75">
        <v>45422.0</v>
      </c>
      <c r="T1882" s="49"/>
    </row>
    <row r="1883">
      <c r="A1883" s="90">
        <v>101.0</v>
      </c>
      <c r="B1883" s="91" t="s">
        <v>65</v>
      </c>
      <c r="C1883" s="80" t="s">
        <v>2326</v>
      </c>
      <c r="D1883" s="91" t="s">
        <v>2353</v>
      </c>
      <c r="E1883" s="41" t="str">
        <f>IFERROR(__xludf.DUMMYFUNCTION("vlookup(D1883,IMPORTRANGE(""https://docs.google.com/spreadsheets/d/1swGwZOEqYlTEUCJLY-eeJM1911Kvaei5oySBIxdgtNo/edit?pli=1#gid=257618397"",""stock untanna!B:C""),2,false)"),"BP GEL KOALA GP-168-J KNG")</f>
        <v>BP GEL KOALA GP-168-J KNG</v>
      </c>
      <c r="F1883" s="49" t="s">
        <v>2353</v>
      </c>
      <c r="G1883" s="71" t="s">
        <v>2354</v>
      </c>
      <c r="H1883" s="41"/>
      <c r="I1883" s="42"/>
      <c r="J1883" s="43"/>
      <c r="K1883" s="72">
        <v>12.0</v>
      </c>
      <c r="L1883" s="53" t="s">
        <v>62</v>
      </c>
      <c r="M1883" s="73">
        <v>25000.0</v>
      </c>
      <c r="N1883" s="74"/>
      <c r="O1883" s="73">
        <v>300000.0</v>
      </c>
      <c r="P1883" s="46" t="str">
        <f t="shared" si="2"/>
        <v>Rp25,000-12 LSN-0.00%</v>
      </c>
      <c r="Q1883" s="75">
        <v>45412.0</v>
      </c>
      <c r="R1883" s="76"/>
      <c r="S1883" s="75">
        <v>45422.0</v>
      </c>
      <c r="T1883" s="49"/>
    </row>
    <row r="1884">
      <c r="A1884" s="90">
        <v>4207.0</v>
      </c>
      <c r="B1884" s="91" t="s">
        <v>29</v>
      </c>
      <c r="C1884" s="49" t="s">
        <v>2355</v>
      </c>
      <c r="D1884" s="91" t="s">
        <v>748</v>
      </c>
      <c r="E1884" s="41" t="str">
        <f>IFERROR(__xludf.DUMMYFUNCTION("vlookup(D1884,IMPORTRANGE(""https://docs.google.com/spreadsheets/d/1swGwZOEqYlTEUCJLY-eeJM1911Kvaei5oySBIxdgtNo/edit?pli=1#gid=257618397"",""stock untanna!B:C""),2,false)"),"GARISAN BT 30 CM")</f>
        <v>GARISAN BT 30 CM</v>
      </c>
      <c r="F1884" s="49" t="s">
        <v>748</v>
      </c>
      <c r="G1884" s="71" t="s">
        <v>749</v>
      </c>
      <c r="H1884" s="41"/>
      <c r="I1884" s="42"/>
      <c r="J1884" s="43"/>
      <c r="K1884" s="72">
        <v>200.0</v>
      </c>
      <c r="L1884" s="53" t="s">
        <v>62</v>
      </c>
      <c r="M1884" s="73">
        <v>26780.0</v>
      </c>
      <c r="N1884" s="83">
        <v>0.175</v>
      </c>
      <c r="O1884" s="73">
        <v>4418700.0</v>
      </c>
      <c r="P1884" s="46" t="str">
        <f t="shared" si="2"/>
        <v>Rp26,780-200 LSN-17.50%</v>
      </c>
      <c r="Q1884" s="75">
        <v>45412.0</v>
      </c>
      <c r="R1884" s="76"/>
      <c r="S1884" s="75">
        <v>45423.0</v>
      </c>
      <c r="T1884" s="49"/>
    </row>
    <row r="1885">
      <c r="A1885" s="90">
        <v>4207.0</v>
      </c>
      <c r="B1885" s="91" t="s">
        <v>29</v>
      </c>
      <c r="C1885" s="49" t="s">
        <v>2355</v>
      </c>
      <c r="D1885" s="91" t="s">
        <v>95</v>
      </c>
      <c r="E1885" s="41" t="str">
        <f>IFERROR(__xludf.DUMMYFUNCTION("vlookup(D1885,IMPORTRANGE(""https://docs.google.com/spreadsheets/d/1swGwZOEqYlTEUCJLY-eeJM1911Kvaei5oySBIxdgtNo/edit?pli=1#gid=257618397"",""stock untanna!B:C""),2,false)"),"PENCIL CASE MAGNET 8631 + CALL")</f>
        <v>PENCIL CASE MAGNET 8631 + CALL</v>
      </c>
      <c r="F1885" s="49" t="s">
        <v>95</v>
      </c>
      <c r="G1885" s="71" t="s">
        <v>96</v>
      </c>
      <c r="H1885" s="41"/>
      <c r="I1885" s="42"/>
      <c r="J1885" s="43"/>
      <c r="K1885" s="72">
        <v>160.0</v>
      </c>
      <c r="L1885" s="53" t="s">
        <v>69</v>
      </c>
      <c r="M1885" s="73">
        <v>12500.0</v>
      </c>
      <c r="N1885" s="74"/>
      <c r="O1885" s="73">
        <v>2000000.0</v>
      </c>
      <c r="P1885" s="46" t="str">
        <f t="shared" si="2"/>
        <v>Rp12,500-160 PCS-0.00%</v>
      </c>
      <c r="Q1885" s="75">
        <v>45412.0</v>
      </c>
      <c r="R1885" s="76"/>
      <c r="S1885" s="75">
        <v>45423.0</v>
      </c>
      <c r="T1885" s="49"/>
    </row>
    <row r="1886">
      <c r="A1886" s="90">
        <v>4207.0</v>
      </c>
      <c r="B1886" s="91" t="s">
        <v>29</v>
      </c>
      <c r="C1886" s="49" t="s">
        <v>2355</v>
      </c>
      <c r="D1886" s="91" t="s">
        <v>1155</v>
      </c>
      <c r="E1886" s="41" t="str">
        <f>IFERROR(__xludf.DUMMYFUNCTION("vlookup(D1886,IMPORTRANGE(""https://docs.google.com/spreadsheets/d/1swGwZOEqYlTEUCJLY-eeJM1911Kvaei5oySBIxdgtNo/edit?pli=1#gid=257618397"",""stock untanna!B:C""),2,false)"),"PENSIL CASE PC-619-3 MOBIL + KODE")</f>
        <v>PENSIL CASE PC-619-3 MOBIL + KODE</v>
      </c>
      <c r="F1886" s="49" t="s">
        <v>1155</v>
      </c>
      <c r="G1886" s="71" t="s">
        <v>1156</v>
      </c>
      <c r="H1886" s="41"/>
      <c r="I1886" s="42"/>
      <c r="J1886" s="43"/>
      <c r="K1886" s="72">
        <v>144.0</v>
      </c>
      <c r="L1886" s="53" t="s">
        <v>69</v>
      </c>
      <c r="M1886" s="73">
        <v>14583.0</v>
      </c>
      <c r="N1886" s="74"/>
      <c r="O1886" s="73">
        <v>2099952.0</v>
      </c>
      <c r="P1886" s="46" t="str">
        <f t="shared" si="2"/>
        <v>Rp14,583-144 PCS-0.00%</v>
      </c>
      <c r="Q1886" s="75">
        <v>45412.0</v>
      </c>
      <c r="R1886" s="76"/>
      <c r="S1886" s="75">
        <v>45423.0</v>
      </c>
      <c r="T1886" s="49"/>
    </row>
    <row r="1887">
      <c r="A1887" s="90">
        <v>4207.0</v>
      </c>
      <c r="B1887" s="91" t="s">
        <v>29</v>
      </c>
      <c r="C1887" s="49" t="s">
        <v>2355</v>
      </c>
      <c r="D1887" s="91" t="s">
        <v>2356</v>
      </c>
      <c r="E1887" s="41" t="str">
        <f>IFERROR(__xludf.DUMMYFUNCTION("vlookup(D1887,IMPORTRANGE(""https://docs.google.com/spreadsheets/d/1swGwZOEqYlTEUCJLY-eeJM1911Kvaei5oySBIxdgtNo/edit?pli=1#gid=257618397"",""stock untanna!B:C""),2,false)"),"PENSIL CASE AD-062")</f>
        <v>PENSIL CASE AD-062</v>
      </c>
      <c r="F1887" s="49" t="s">
        <v>2356</v>
      </c>
      <c r="G1887" s="71" t="s">
        <v>2357</v>
      </c>
      <c r="H1887" s="41"/>
      <c r="I1887" s="42"/>
      <c r="J1887" s="43"/>
      <c r="K1887" s="72">
        <v>120.0</v>
      </c>
      <c r="L1887" s="53" t="s">
        <v>69</v>
      </c>
      <c r="M1887" s="73">
        <v>12000.0</v>
      </c>
      <c r="N1887" s="74"/>
      <c r="O1887" s="73">
        <v>1440000.0</v>
      </c>
      <c r="P1887" s="46" t="str">
        <f t="shared" si="2"/>
        <v>Rp12,000-120 PCS-0.00%</v>
      </c>
      <c r="Q1887" s="75">
        <v>45412.0</v>
      </c>
      <c r="R1887" s="76"/>
      <c r="S1887" s="75">
        <v>45423.0</v>
      </c>
      <c r="T1887" s="49"/>
    </row>
    <row r="1888">
      <c r="A1888" s="90">
        <v>4207.0</v>
      </c>
      <c r="B1888" s="91" t="s">
        <v>29</v>
      </c>
      <c r="C1888" s="49" t="s">
        <v>2355</v>
      </c>
      <c r="D1888" s="91" t="s">
        <v>2358</v>
      </c>
      <c r="E1888" s="41" t="str">
        <f>IFERROR(__xludf.DUMMYFUNCTION("vlookup(D1888,IMPORTRANGE(""https://docs.google.com/spreadsheets/d/1swGwZOEqYlTEUCJLY-eeJM1911Kvaei5oySBIxdgtNo/edit?pli=1#gid=257618397"",""stock untanna!B:C""),2,false)"),"STAMP PAD HERO BESAR")</f>
        <v>STAMP PAD HERO BESAR</v>
      </c>
      <c r="F1888" s="49" t="s">
        <v>2358</v>
      </c>
      <c r="G1888" s="71" t="s">
        <v>2359</v>
      </c>
      <c r="H1888" s="41"/>
      <c r="I1888" s="42"/>
      <c r="J1888" s="43"/>
      <c r="K1888" s="72">
        <v>20.0</v>
      </c>
      <c r="L1888" s="53" t="s">
        <v>62</v>
      </c>
      <c r="M1888" s="73">
        <v>70000.0</v>
      </c>
      <c r="N1888" s="74"/>
      <c r="O1888" s="73">
        <v>1400000.0</v>
      </c>
      <c r="P1888" s="46" t="str">
        <f t="shared" si="2"/>
        <v>Rp70,000-20 LSN-0.00%</v>
      </c>
      <c r="Q1888" s="75">
        <v>45412.0</v>
      </c>
      <c r="R1888" s="76"/>
      <c r="S1888" s="75">
        <v>45423.0</v>
      </c>
      <c r="T1888" s="49"/>
    </row>
    <row r="1889">
      <c r="A1889" s="90">
        <v>4207.0</v>
      </c>
      <c r="B1889" s="91" t="s">
        <v>29</v>
      </c>
      <c r="C1889" s="49" t="s">
        <v>2355</v>
      </c>
      <c r="D1889" s="91" t="s">
        <v>398</v>
      </c>
      <c r="E1889" s="41" t="str">
        <f>IFERROR(__xludf.DUMMYFUNCTION("vlookup(D1889,IMPORTRANGE(""https://docs.google.com/spreadsheets/d/1swGwZOEqYlTEUCJLY-eeJM1911Kvaei5oySBIxdgtNo/edit?pli=1#gid=257618397"",""stock untanna!B:C""),2,false)"),"GUNTING TREND SS")</f>
        <v>GUNTING TREND SS</v>
      </c>
      <c r="F1889" s="49" t="s">
        <v>398</v>
      </c>
      <c r="G1889" s="71" t="s">
        <v>399</v>
      </c>
      <c r="H1889" s="41"/>
      <c r="I1889" s="42"/>
      <c r="J1889" s="43"/>
      <c r="K1889" s="72">
        <v>60.0</v>
      </c>
      <c r="L1889" s="53" t="s">
        <v>62</v>
      </c>
      <c r="M1889" s="73">
        <v>29000.0</v>
      </c>
      <c r="N1889" s="83">
        <v>0.1</v>
      </c>
      <c r="O1889" s="73">
        <v>1566000.0</v>
      </c>
      <c r="P1889" s="46" t="str">
        <f t="shared" si="2"/>
        <v>Rp29,000-60 LSN-10.00%</v>
      </c>
      <c r="Q1889" s="75">
        <v>45412.0</v>
      </c>
      <c r="R1889" s="76"/>
      <c r="S1889" s="75">
        <v>45423.0</v>
      </c>
      <c r="T1889" s="49"/>
    </row>
    <row r="1890">
      <c r="A1890" s="90">
        <v>4207.0</v>
      </c>
      <c r="B1890" s="91" t="s">
        <v>29</v>
      </c>
      <c r="C1890" s="49" t="s">
        <v>2355</v>
      </c>
      <c r="D1890" s="91" t="s">
        <v>2360</v>
      </c>
      <c r="E1890" s="41" t="str">
        <f>IFERROR(__xludf.DUMMYFUNCTION("vlookup(D1890,IMPORTRANGE(""https://docs.google.com/spreadsheets/d/1swGwZOEqYlTEUCJLY-eeJM1911Kvaei5oySBIxdgtNo/edit?pli=1#gid=257618397"",""stock untanna!B:C""),2,false)"),"LOOSE LEAF HOLO BEE SMART A5 MIX")</f>
        <v>LOOSE LEAF HOLO BEE SMART A5 MIX</v>
      </c>
      <c r="F1890" s="49" t="s">
        <v>2360</v>
      </c>
      <c r="G1890" s="71" t="s">
        <v>2361</v>
      </c>
      <c r="H1890" s="41"/>
      <c r="I1890" s="42"/>
      <c r="J1890" s="43"/>
      <c r="K1890" s="72">
        <v>600.0</v>
      </c>
      <c r="L1890" s="53" t="s">
        <v>114</v>
      </c>
      <c r="M1890" s="73">
        <v>2000.0</v>
      </c>
      <c r="N1890" s="74"/>
      <c r="O1890" s="73">
        <v>1200000.0</v>
      </c>
      <c r="P1890" s="46" t="str">
        <f t="shared" si="2"/>
        <v>Rp2,000-600 PAK-0.00%</v>
      </c>
      <c r="Q1890" s="75">
        <v>45412.0</v>
      </c>
      <c r="R1890" s="76"/>
      <c r="S1890" s="75">
        <v>45423.0</v>
      </c>
      <c r="T1890" s="49"/>
    </row>
    <row r="1891">
      <c r="A1891" s="90">
        <v>4453.0</v>
      </c>
      <c r="B1891" s="91" t="s">
        <v>58</v>
      </c>
      <c r="C1891" s="49" t="s">
        <v>2362</v>
      </c>
      <c r="D1891" s="91" t="s">
        <v>847</v>
      </c>
      <c r="E1891" s="41" t="str">
        <f>IFERROR(__xludf.DUMMYFUNCTION("vlookup(D1891,IMPORTRANGE(""https://docs.google.com/spreadsheets/d/1swGwZOEqYlTEUCJLY-eeJM1911Kvaei5oySBIxdgtNo/edit?pli=1#gid=257618397"",""stock untanna!B:C""),2,false)"),"LOOSE LEAF HOLO ALFA A5 ZODIAK")</f>
        <v>LOOSE LEAF HOLO ALFA A5 ZODIAK</v>
      </c>
      <c r="F1891" s="49" t="s">
        <v>847</v>
      </c>
      <c r="G1891" s="71" t="s">
        <v>848</v>
      </c>
      <c r="H1891" s="41"/>
      <c r="I1891" s="42"/>
      <c r="J1891" s="43"/>
      <c r="K1891" s="72">
        <v>144.0</v>
      </c>
      <c r="L1891" s="53" t="s">
        <v>114</v>
      </c>
      <c r="M1891" s="73">
        <v>2500.0</v>
      </c>
      <c r="N1891" s="74"/>
      <c r="O1891" s="73">
        <v>360000.0</v>
      </c>
      <c r="P1891" s="46" t="str">
        <f t="shared" si="2"/>
        <v>Rp2,500-144 PAK-0.00%</v>
      </c>
      <c r="Q1891" s="75">
        <v>45412.0</v>
      </c>
      <c r="R1891" s="76"/>
      <c r="S1891" s="75">
        <v>45423.0</v>
      </c>
      <c r="T1891" s="49" t="s">
        <v>100</v>
      </c>
    </row>
    <row r="1892">
      <c r="A1892" s="90">
        <v>4203.0</v>
      </c>
      <c r="B1892" s="91" t="s">
        <v>29</v>
      </c>
      <c r="C1892" s="49" t="s">
        <v>2363</v>
      </c>
      <c r="D1892" s="91" t="s">
        <v>138</v>
      </c>
      <c r="E1892" s="41" t="str">
        <f>IFERROR(__xludf.DUMMYFUNCTION("vlookup(D1892,IMPORTRANGE(""https://docs.google.com/spreadsheets/d/1swGwZOEqYlTEUCJLY-eeJM1911Kvaei5oySBIxdgtNo/edit?pli=1#gid=257618397"",""stock untanna!B:C""),2,false)"),"GARISAN LIPAT 008 (40) 30 CM FANCY")</f>
        <v>GARISAN LIPAT 008 (40) 30 CM FANCY</v>
      </c>
      <c r="F1892" s="49" t="s">
        <v>138</v>
      </c>
      <c r="G1892" s="71" t="s">
        <v>139</v>
      </c>
      <c r="H1892" s="41"/>
      <c r="I1892" s="42"/>
      <c r="J1892" s="43"/>
      <c r="K1892" s="72">
        <v>40.0</v>
      </c>
      <c r="L1892" s="53" t="s">
        <v>88</v>
      </c>
      <c r="M1892" s="73">
        <v>50000.0</v>
      </c>
      <c r="N1892" s="74"/>
      <c r="O1892" s="73">
        <v>2000000.0</v>
      </c>
      <c r="P1892" s="46" t="str">
        <f t="shared" si="2"/>
        <v>Rp50,000-40 BOX-0.00%</v>
      </c>
      <c r="Q1892" s="75">
        <v>45412.0</v>
      </c>
      <c r="R1892" s="76"/>
      <c r="S1892" s="75">
        <v>45423.0</v>
      </c>
      <c r="T1892" s="49"/>
    </row>
    <row r="1893">
      <c r="A1893" s="90">
        <v>4203.0</v>
      </c>
      <c r="B1893" s="91" t="s">
        <v>29</v>
      </c>
      <c r="C1893" s="49" t="s">
        <v>2363</v>
      </c>
      <c r="D1893" s="91" t="s">
        <v>519</v>
      </c>
      <c r="E1893" s="41" t="str">
        <f>IFERROR(__xludf.DUMMYFUNCTION("vlookup(D1893,IMPORTRANGE(""https://docs.google.com/spreadsheets/d/1swGwZOEqYlTEUCJLY-eeJM1911Kvaei5oySBIxdgtNo/edit?pli=1#gid=257618397"",""stock untanna!B:C""),2,false)"),"ASAHAN PAYU 856 ANJING")</f>
        <v>ASAHAN PAYU 856 ANJING</v>
      </c>
      <c r="F1893" s="49" t="s">
        <v>519</v>
      </c>
      <c r="G1893" s="71" t="s">
        <v>520</v>
      </c>
      <c r="H1893" s="41"/>
      <c r="I1893" s="42"/>
      <c r="J1893" s="43"/>
      <c r="K1893" s="72">
        <v>12.0</v>
      </c>
      <c r="L1893" s="53" t="s">
        <v>88</v>
      </c>
      <c r="M1893" s="73">
        <v>11000.0</v>
      </c>
      <c r="N1893" s="74"/>
      <c r="O1893" s="73">
        <v>132000.0</v>
      </c>
      <c r="P1893" s="46" t="str">
        <f t="shared" si="2"/>
        <v>Rp11,000-12 BOX-0.00%</v>
      </c>
      <c r="Q1893" s="75">
        <v>45412.0</v>
      </c>
      <c r="R1893" s="76"/>
      <c r="S1893" s="75">
        <v>45423.0</v>
      </c>
      <c r="T1893" s="49"/>
    </row>
    <row r="1894">
      <c r="A1894" s="90">
        <v>4203.0</v>
      </c>
      <c r="B1894" s="91" t="s">
        <v>29</v>
      </c>
      <c r="C1894" s="49" t="s">
        <v>2363</v>
      </c>
      <c r="D1894" s="91" t="s">
        <v>517</v>
      </c>
      <c r="E1894" s="41" t="str">
        <f>IFERROR(__xludf.DUMMYFUNCTION("vlookup(D1894,IMPORTRANGE(""https://docs.google.com/spreadsheets/d/1swGwZOEqYlTEUCJLY-eeJM1911Kvaei5oySBIxdgtNo/edit?pli=1#gid=257618397"",""stock untanna!B:C""),2,false)"),"ASAHAN PAYU 846 KUDA GOYANG")</f>
        <v>ASAHAN PAYU 846 KUDA GOYANG</v>
      </c>
      <c r="F1894" s="49" t="s">
        <v>517</v>
      </c>
      <c r="G1894" s="71" t="s">
        <v>518</v>
      </c>
      <c r="H1894" s="41"/>
      <c r="I1894" s="42"/>
      <c r="J1894" s="43"/>
      <c r="K1894" s="72">
        <v>12.0</v>
      </c>
      <c r="L1894" s="53" t="s">
        <v>88</v>
      </c>
      <c r="M1894" s="73">
        <v>11000.0</v>
      </c>
      <c r="N1894" s="74"/>
      <c r="O1894" s="73">
        <v>132000.0</v>
      </c>
      <c r="P1894" s="46" t="str">
        <f t="shared" si="2"/>
        <v>Rp11,000-12 BOX-0.00%</v>
      </c>
      <c r="Q1894" s="75">
        <v>45412.0</v>
      </c>
      <c r="R1894" s="76"/>
      <c r="S1894" s="75">
        <v>45423.0</v>
      </c>
      <c r="T1894" s="49"/>
    </row>
    <row r="1895">
      <c r="A1895" s="90">
        <v>4203.0</v>
      </c>
      <c r="B1895" s="91" t="s">
        <v>29</v>
      </c>
      <c r="C1895" s="49" t="s">
        <v>2363</v>
      </c>
      <c r="D1895" s="91" t="s">
        <v>521</v>
      </c>
      <c r="E1895" s="41" t="str">
        <f>IFERROR(__xludf.DUMMYFUNCTION("vlookup(D1895,IMPORTRANGE(""https://docs.google.com/spreadsheets/d/1swGwZOEqYlTEUCJLY-eeJM1911Kvaei5oySBIxdgtNo/edit?pli=1#gid=257618397"",""stock untanna!B:C""),2,false)"),"ASAHAN PAYU 831 IKAN")</f>
        <v>ASAHAN PAYU 831 IKAN</v>
      </c>
      <c r="F1895" s="49" t="s">
        <v>521</v>
      </c>
      <c r="G1895" s="71" t="s">
        <v>522</v>
      </c>
      <c r="H1895" s="41"/>
      <c r="I1895" s="42"/>
      <c r="J1895" s="43"/>
      <c r="K1895" s="72">
        <v>12.0</v>
      </c>
      <c r="L1895" s="53" t="s">
        <v>88</v>
      </c>
      <c r="M1895" s="73">
        <v>11000.0</v>
      </c>
      <c r="N1895" s="74"/>
      <c r="O1895" s="73">
        <v>132000.0</v>
      </c>
      <c r="P1895" s="46" t="str">
        <f t="shared" si="2"/>
        <v>Rp11,000-12 BOX-0.00%</v>
      </c>
      <c r="Q1895" s="75">
        <v>45412.0</v>
      </c>
      <c r="R1895" s="76"/>
      <c r="S1895" s="75">
        <v>45423.0</v>
      </c>
      <c r="T1895" s="49"/>
    </row>
    <row r="1896">
      <c r="A1896" s="90">
        <v>4203.0</v>
      </c>
      <c r="B1896" s="91" t="s">
        <v>29</v>
      </c>
      <c r="C1896" s="49" t="s">
        <v>2363</v>
      </c>
      <c r="D1896" s="77" t="s">
        <v>2364</v>
      </c>
      <c r="E1896" s="41" t="s">
        <v>523</v>
      </c>
      <c r="F1896" s="49"/>
      <c r="G1896" s="71" t="s">
        <v>523</v>
      </c>
      <c r="H1896" s="41"/>
      <c r="I1896" s="42"/>
      <c r="J1896" s="43" t="str">
        <f>IF(D1896="","TIDAK ADA","ADA")</f>
        <v>ADA</v>
      </c>
      <c r="K1896" s="72">
        <v>12.0</v>
      </c>
      <c r="L1896" s="53" t="s">
        <v>88</v>
      </c>
      <c r="M1896" s="73">
        <v>11000.0</v>
      </c>
      <c r="N1896" s="74"/>
      <c r="O1896" s="73">
        <v>132000.0</v>
      </c>
      <c r="P1896" s="46" t="str">
        <f t="shared" si="2"/>
        <v>Rp11,000-12 BOX-0.00%</v>
      </c>
      <c r="Q1896" s="75">
        <v>45412.0</v>
      </c>
      <c r="R1896" s="76"/>
      <c r="S1896" s="75">
        <v>45423.0</v>
      </c>
      <c r="T1896" s="80" t="s">
        <v>280</v>
      </c>
    </row>
    <row r="1897">
      <c r="A1897" s="90">
        <v>4203.0</v>
      </c>
      <c r="B1897" s="91" t="s">
        <v>29</v>
      </c>
      <c r="C1897" s="49" t="s">
        <v>2363</v>
      </c>
      <c r="D1897" s="91" t="s">
        <v>1118</v>
      </c>
      <c r="E1897" s="41" t="str">
        <f>IFERROR(__xludf.DUMMYFUNCTION("vlookup(D1897,IMPORTRANGE(""https://docs.google.com/spreadsheets/d/1swGwZOEqYlTEUCJLY-eeJM1911Kvaei5oySBIxdgtNo/edit?pli=1#gid=257618397"",""stock untanna!B:C""),2,false)"),"ASAHAN PAYU 827 ANGSA")</f>
        <v>ASAHAN PAYU 827 ANGSA</v>
      </c>
      <c r="F1897" s="49" t="s">
        <v>1118</v>
      </c>
      <c r="G1897" s="71" t="s">
        <v>1119</v>
      </c>
      <c r="H1897" s="41"/>
      <c r="I1897" s="42"/>
      <c r="J1897" s="43"/>
      <c r="K1897" s="72">
        <v>12.0</v>
      </c>
      <c r="L1897" s="53" t="s">
        <v>88</v>
      </c>
      <c r="M1897" s="73">
        <v>11000.0</v>
      </c>
      <c r="N1897" s="74"/>
      <c r="O1897" s="73">
        <v>132000.0</v>
      </c>
      <c r="P1897" s="46" t="str">
        <f t="shared" si="2"/>
        <v>Rp11,000-12 BOX-0.00%</v>
      </c>
      <c r="Q1897" s="75">
        <v>45412.0</v>
      </c>
      <c r="R1897" s="76"/>
      <c r="S1897" s="75">
        <v>45423.0</v>
      </c>
      <c r="T1897" s="49"/>
    </row>
    <row r="1898">
      <c r="A1898" s="90">
        <v>4203.0</v>
      </c>
      <c r="B1898" s="91" t="s">
        <v>29</v>
      </c>
      <c r="C1898" s="49" t="s">
        <v>2363</v>
      </c>
      <c r="D1898" s="91" t="s">
        <v>526</v>
      </c>
      <c r="E1898" s="41" t="str">
        <f>IFERROR(__xludf.DUMMYFUNCTION("vlookup(D1898,IMPORTRANGE(""https://docs.google.com/spreadsheets/d/1swGwZOEqYlTEUCJLY-eeJM1911Kvaei5oySBIxdgtNo/edit?pli=1#gid=257618397"",""stock untanna!B:C""),2,false)"),"ASAHAN PAYU 851 PERMEN")</f>
        <v>ASAHAN PAYU 851 PERMEN</v>
      </c>
      <c r="F1898" s="49" t="s">
        <v>526</v>
      </c>
      <c r="G1898" s="71" t="s">
        <v>527</v>
      </c>
      <c r="H1898" s="41"/>
      <c r="I1898" s="42"/>
      <c r="J1898" s="43"/>
      <c r="K1898" s="72">
        <v>12.0</v>
      </c>
      <c r="L1898" s="53" t="s">
        <v>88</v>
      </c>
      <c r="M1898" s="73">
        <v>11000.0</v>
      </c>
      <c r="N1898" s="74"/>
      <c r="O1898" s="73">
        <v>132000.0</v>
      </c>
      <c r="P1898" s="46" t="str">
        <f t="shared" si="2"/>
        <v>Rp11,000-12 BOX-0.00%</v>
      </c>
      <c r="Q1898" s="75">
        <v>45412.0</v>
      </c>
      <c r="R1898" s="76"/>
      <c r="S1898" s="75">
        <v>45423.0</v>
      </c>
      <c r="T1898" s="49"/>
    </row>
    <row r="1899">
      <c r="A1899" s="90">
        <v>4203.0</v>
      </c>
      <c r="B1899" s="91" t="s">
        <v>29</v>
      </c>
      <c r="C1899" s="49" t="s">
        <v>2363</v>
      </c>
      <c r="D1899" s="91" t="s">
        <v>1120</v>
      </c>
      <c r="E1899" s="41" t="str">
        <f>IFERROR(__xludf.DUMMYFUNCTION("vlookup(D1899,IMPORTRANGE(""https://docs.google.com/spreadsheets/d/1swGwZOEqYlTEUCJLY-eeJM1911Kvaei5oySBIxdgtNo/edit?pli=1#gid=257618397"",""stock untanna!B:C""),2,false)"),"ASAHAN PAYU 849 STROBERI")</f>
        <v>ASAHAN PAYU 849 STROBERI</v>
      </c>
      <c r="F1899" s="49" t="s">
        <v>1120</v>
      </c>
      <c r="G1899" s="71" t="s">
        <v>1121</v>
      </c>
      <c r="H1899" s="41"/>
      <c r="I1899" s="42"/>
      <c r="J1899" s="43"/>
      <c r="K1899" s="72">
        <v>12.0</v>
      </c>
      <c r="L1899" s="53" t="s">
        <v>88</v>
      </c>
      <c r="M1899" s="73">
        <v>11000.0</v>
      </c>
      <c r="N1899" s="74"/>
      <c r="O1899" s="73">
        <v>132000.0</v>
      </c>
      <c r="P1899" s="46" t="str">
        <f t="shared" si="2"/>
        <v>Rp11,000-12 BOX-0.00%</v>
      </c>
      <c r="Q1899" s="75">
        <v>45412.0</v>
      </c>
      <c r="R1899" s="76"/>
      <c r="S1899" s="75">
        <v>45423.0</v>
      </c>
      <c r="T1899" s="49"/>
    </row>
    <row r="1900">
      <c r="A1900" s="90">
        <v>4203.0</v>
      </c>
      <c r="B1900" s="91" t="s">
        <v>29</v>
      </c>
      <c r="C1900" s="49" t="s">
        <v>2363</v>
      </c>
      <c r="D1900" s="91" t="s">
        <v>2365</v>
      </c>
      <c r="E1900" s="41" t="str">
        <f>IFERROR(__xludf.DUMMYFUNCTION("vlookup(D1900,IMPORTRANGE(""https://docs.google.com/spreadsheets/d/1swGwZOEqYlTEUCJLY-eeJM1911Kvaei5oySBIxdgtNo/edit?pli=1#gid=257618397"",""stock untanna!B:C""),2,false)"),"ASAHAN PAYU 825 KUDA")</f>
        <v>ASAHAN PAYU 825 KUDA</v>
      </c>
      <c r="F1900" s="49" t="s">
        <v>2365</v>
      </c>
      <c r="G1900" s="71" t="s">
        <v>2366</v>
      </c>
      <c r="H1900" s="41"/>
      <c r="I1900" s="42"/>
      <c r="J1900" s="43"/>
      <c r="K1900" s="72">
        <v>12.0</v>
      </c>
      <c r="L1900" s="53" t="s">
        <v>88</v>
      </c>
      <c r="M1900" s="73">
        <v>11000.0</v>
      </c>
      <c r="N1900" s="74"/>
      <c r="O1900" s="73">
        <v>132000.0</v>
      </c>
      <c r="P1900" s="46" t="str">
        <f t="shared" si="2"/>
        <v>Rp11,000-12 BOX-0.00%</v>
      </c>
      <c r="Q1900" s="75">
        <v>45412.0</v>
      </c>
      <c r="R1900" s="76"/>
      <c r="S1900" s="75">
        <v>45423.0</v>
      </c>
      <c r="T1900" s="49"/>
    </row>
    <row r="1901">
      <c r="A1901" s="90">
        <v>4203.0</v>
      </c>
      <c r="B1901" s="91" t="s">
        <v>29</v>
      </c>
      <c r="C1901" s="49" t="s">
        <v>2363</v>
      </c>
      <c r="D1901" s="91" t="s">
        <v>515</v>
      </c>
      <c r="E1901" s="41" t="str">
        <f>IFERROR(__xludf.DUMMYFUNCTION("vlookup(D1901,IMPORTRANGE(""https://docs.google.com/spreadsheets/d/1swGwZOEqYlTEUCJLY-eeJM1911Kvaei5oySBIxdgtNo/edit?pli=1#gid=257618397"",""stock untanna!B:C""),2,false)"),"ASAHAN PAYU 845 KEPITING")</f>
        <v>ASAHAN PAYU 845 KEPITING</v>
      </c>
      <c r="F1901" s="49" t="s">
        <v>515</v>
      </c>
      <c r="G1901" s="71" t="s">
        <v>516</v>
      </c>
      <c r="H1901" s="41"/>
      <c r="I1901" s="42"/>
      <c r="J1901" s="43"/>
      <c r="K1901" s="72">
        <v>12.0</v>
      </c>
      <c r="L1901" s="53" t="s">
        <v>88</v>
      </c>
      <c r="M1901" s="73">
        <v>11000.0</v>
      </c>
      <c r="N1901" s="74"/>
      <c r="O1901" s="73">
        <v>132000.0</v>
      </c>
      <c r="P1901" s="46" t="str">
        <f t="shared" si="2"/>
        <v>Rp11,000-12 BOX-0.00%</v>
      </c>
      <c r="Q1901" s="75">
        <v>45412.0</v>
      </c>
      <c r="R1901" s="76"/>
      <c r="S1901" s="75">
        <v>45423.0</v>
      </c>
      <c r="T1901" s="49"/>
    </row>
    <row r="1902">
      <c r="A1902" s="90">
        <v>4203.0</v>
      </c>
      <c r="B1902" s="91" t="s">
        <v>29</v>
      </c>
      <c r="C1902" s="49" t="s">
        <v>2363</v>
      </c>
      <c r="D1902" s="91" t="s">
        <v>2367</v>
      </c>
      <c r="E1902" s="41" t="str">
        <f>IFERROR(__xludf.DUMMYFUNCTION("vlookup(D1902,IMPORTRANGE(""https://docs.google.com/spreadsheets/d/1swGwZOEqYlTEUCJLY-eeJM1911Kvaei5oySBIxdgtNo/edit?pli=1#gid=257618397"",""stock untanna!B:C""),2,false)"),"ASAHAN PAYU 830 KUPU-KUPU")</f>
        <v>ASAHAN PAYU 830 KUPU-KUPU</v>
      </c>
      <c r="F1902" s="49" t="s">
        <v>2367</v>
      </c>
      <c r="G1902" s="71" t="s">
        <v>2368</v>
      </c>
      <c r="H1902" s="41"/>
      <c r="I1902" s="42"/>
      <c r="J1902" s="43"/>
      <c r="K1902" s="72">
        <v>12.0</v>
      </c>
      <c r="L1902" s="53" t="s">
        <v>88</v>
      </c>
      <c r="M1902" s="73">
        <v>11000.0</v>
      </c>
      <c r="N1902" s="74"/>
      <c r="O1902" s="73">
        <v>132000.0</v>
      </c>
      <c r="P1902" s="46" t="str">
        <f t="shared" si="2"/>
        <v>Rp11,000-12 BOX-0.00%</v>
      </c>
      <c r="Q1902" s="75">
        <v>45412.0</v>
      </c>
      <c r="R1902" s="76"/>
      <c r="S1902" s="75">
        <v>45423.0</v>
      </c>
      <c r="T1902" s="49"/>
    </row>
    <row r="1903">
      <c r="A1903" s="90">
        <v>4098.0</v>
      </c>
      <c r="B1903" s="91" t="s">
        <v>29</v>
      </c>
      <c r="C1903" s="80" t="s">
        <v>2369</v>
      </c>
      <c r="D1903" s="91"/>
      <c r="E1903" s="41" t="s">
        <v>2370</v>
      </c>
      <c r="F1903" s="49"/>
      <c r="G1903" s="71" t="s">
        <v>2370</v>
      </c>
      <c r="H1903" s="41"/>
      <c r="I1903" s="42"/>
      <c r="J1903" s="43"/>
      <c r="K1903" s="72">
        <v>4000.0</v>
      </c>
      <c r="L1903" s="53" t="s">
        <v>69</v>
      </c>
      <c r="M1903" s="73">
        <v>675.0</v>
      </c>
      <c r="N1903" s="74"/>
      <c r="O1903" s="73">
        <v>2700000.0</v>
      </c>
      <c r="P1903" s="46" t="str">
        <f t="shared" si="2"/>
        <v>Rp675-4000 PCS-0.00%</v>
      </c>
      <c r="Q1903" s="75">
        <v>45412.0</v>
      </c>
      <c r="R1903" s="76"/>
      <c r="S1903" s="75">
        <v>45423.0</v>
      </c>
      <c r="T1903" s="80" t="s">
        <v>280</v>
      </c>
    </row>
    <row r="1904">
      <c r="A1904" s="90">
        <v>4098.0</v>
      </c>
      <c r="B1904" s="91" t="s">
        <v>29</v>
      </c>
      <c r="C1904" s="80" t="s">
        <v>2369</v>
      </c>
      <c r="D1904" s="91" t="s">
        <v>764</v>
      </c>
      <c r="E1904" s="41" t="str">
        <f>IFERROR(__xludf.DUMMYFUNCTION("vlookup(D1904,IMPORTRANGE(""https://docs.google.com/spreadsheets/d/1swGwZOEqYlTEUCJLY-eeJM1911Kvaei5oySBIxdgtNo/edit?pli=1#gid=257618397"",""stock untanna!B:C""),2,false)"),"GARISAN BUSUR ENTER 3.5 MIKA")</f>
        <v>GARISAN BUSUR ENTER 3.5 MIKA</v>
      </c>
      <c r="F1904" s="49" t="s">
        <v>764</v>
      </c>
      <c r="G1904" s="71" t="s">
        <v>765</v>
      </c>
      <c r="H1904" s="41"/>
      <c r="I1904" s="42"/>
      <c r="J1904" s="43"/>
      <c r="K1904" s="72">
        <v>50.0</v>
      </c>
      <c r="L1904" s="53" t="s">
        <v>62</v>
      </c>
      <c r="M1904" s="73">
        <v>5750.0</v>
      </c>
      <c r="N1904" s="74"/>
      <c r="O1904" s="73">
        <v>287500.0</v>
      </c>
      <c r="P1904" s="46" t="str">
        <f t="shared" si="2"/>
        <v>Rp5,750-50 LSN-0.00%</v>
      </c>
      <c r="Q1904" s="75">
        <v>45412.0</v>
      </c>
      <c r="R1904" s="76"/>
      <c r="S1904" s="75">
        <v>45423.0</v>
      </c>
      <c r="T1904" s="49"/>
    </row>
    <row r="1905">
      <c r="A1905" s="90">
        <v>4204.0</v>
      </c>
      <c r="B1905" s="91" t="s">
        <v>29</v>
      </c>
      <c r="C1905" s="49" t="s">
        <v>2371</v>
      </c>
      <c r="D1905" s="91" t="s">
        <v>398</v>
      </c>
      <c r="E1905" s="41" t="str">
        <f>IFERROR(__xludf.DUMMYFUNCTION("vlookup(D1905,IMPORTRANGE(""https://docs.google.com/spreadsheets/d/1swGwZOEqYlTEUCJLY-eeJM1911Kvaei5oySBIxdgtNo/edit?pli=1#gid=257618397"",""stock untanna!B:C""),2,false)"),"GUNTING TREND SS")</f>
        <v>GUNTING TREND SS</v>
      </c>
      <c r="F1905" s="49" t="s">
        <v>398</v>
      </c>
      <c r="G1905" s="71" t="s">
        <v>399</v>
      </c>
      <c r="H1905" s="41"/>
      <c r="I1905" s="42"/>
      <c r="J1905" s="43"/>
      <c r="K1905" s="72">
        <v>60.0</v>
      </c>
      <c r="L1905" s="53" t="s">
        <v>62</v>
      </c>
      <c r="M1905" s="73">
        <v>29000.0</v>
      </c>
      <c r="N1905" s="83">
        <v>0.1</v>
      </c>
      <c r="O1905" s="73">
        <v>1566000.0</v>
      </c>
      <c r="P1905" s="46" t="str">
        <f t="shared" si="2"/>
        <v>Rp29,000-60 LSN-10.00%</v>
      </c>
      <c r="Q1905" s="75">
        <v>45412.0</v>
      </c>
      <c r="R1905" s="76"/>
      <c r="S1905" s="75">
        <v>45423.0</v>
      </c>
      <c r="T1905" s="49"/>
    </row>
    <row r="1906">
      <c r="A1906" s="90">
        <v>4204.0</v>
      </c>
      <c r="B1906" s="91" t="s">
        <v>29</v>
      </c>
      <c r="C1906" s="49" t="s">
        <v>2371</v>
      </c>
      <c r="D1906" s="91" t="s">
        <v>750</v>
      </c>
      <c r="E1906" s="41" t="str">
        <f>IFERROR(__xludf.DUMMYFUNCTION("vlookup(D1906,IMPORTRANGE(""https://docs.google.com/spreadsheets/d/1swGwZOEqYlTEUCJLY-eeJM1911Kvaei5oySBIxdgtNo/edit?pli=1#gid=257618397"",""stock untanna!B:C""),2,false)"),"BP X DATA M1")</f>
        <v>BP X DATA M1</v>
      </c>
      <c r="F1906" s="49" t="s">
        <v>750</v>
      </c>
      <c r="G1906" s="71" t="s">
        <v>751</v>
      </c>
      <c r="H1906" s="41"/>
      <c r="I1906" s="42"/>
      <c r="J1906" s="43"/>
      <c r="K1906" s="72">
        <v>20.0</v>
      </c>
      <c r="L1906" s="53" t="s">
        <v>131</v>
      </c>
      <c r="M1906" s="73">
        <v>75000.0</v>
      </c>
      <c r="N1906" s="74"/>
      <c r="O1906" s="73">
        <v>1500000.0</v>
      </c>
      <c r="P1906" s="46" t="str">
        <f t="shared" si="2"/>
        <v>Rp75,000-20 GRS-0.00%</v>
      </c>
      <c r="Q1906" s="75">
        <v>45412.0</v>
      </c>
      <c r="R1906" s="76"/>
      <c r="S1906" s="75">
        <v>45423.0</v>
      </c>
      <c r="T1906" s="49"/>
    </row>
    <row r="1907">
      <c r="A1907" s="90">
        <v>4204.0</v>
      </c>
      <c r="B1907" s="91" t="s">
        <v>29</v>
      </c>
      <c r="C1907" s="49" t="s">
        <v>2371</v>
      </c>
      <c r="D1907" s="77" t="s">
        <v>752</v>
      </c>
      <c r="E1907" s="41" t="str">
        <f>IFERROR(__xludf.DUMMYFUNCTION("IFNA(vlookup(D1907,IMPORTRANGE(""https://docs.google.com/spreadsheets/d/1swGwZOEqYlTEUCJLY-eeJM1911Kvaei5oySBIxdgtNo/edit?pli=1#gid=257618397"",""stock untanna!B:C""),2,false),V:V)"),"BP X DATA M2")</f>
        <v>BP X DATA M2</v>
      </c>
      <c r="F1907" s="49"/>
      <c r="G1907" s="71" t="s">
        <v>753</v>
      </c>
      <c r="H1907" s="41"/>
      <c r="I1907" s="42"/>
      <c r="J1907" s="85" t="s">
        <v>1319</v>
      </c>
      <c r="K1907" s="72">
        <v>20.0</v>
      </c>
      <c r="L1907" s="53" t="s">
        <v>131</v>
      </c>
      <c r="M1907" s="73">
        <v>75000.0</v>
      </c>
      <c r="N1907" s="74"/>
      <c r="O1907" s="73">
        <v>1500000.0</v>
      </c>
      <c r="P1907" s="46" t="str">
        <f t="shared" si="2"/>
        <v>Rp75,000-20 GRS-0.00%</v>
      </c>
      <c r="Q1907" s="75">
        <v>45412.0</v>
      </c>
      <c r="R1907" s="76"/>
      <c r="S1907" s="75">
        <v>45423.0</v>
      </c>
      <c r="T1907" s="80" t="s">
        <v>280</v>
      </c>
    </row>
    <row r="1908">
      <c r="A1908" s="90">
        <v>4204.0</v>
      </c>
      <c r="B1908" s="91" t="s">
        <v>29</v>
      </c>
      <c r="C1908" s="49" t="s">
        <v>2371</v>
      </c>
      <c r="D1908" s="91" t="s">
        <v>748</v>
      </c>
      <c r="E1908" s="41" t="str">
        <f>IFERROR(__xludf.DUMMYFUNCTION("vlookup(D1908,IMPORTRANGE(""https://docs.google.com/spreadsheets/d/1swGwZOEqYlTEUCJLY-eeJM1911Kvaei5oySBIxdgtNo/edit?pli=1#gid=257618397"",""stock untanna!B:C""),2,false)"),"GARISAN BT 30 CM")</f>
        <v>GARISAN BT 30 CM</v>
      </c>
      <c r="F1908" s="49" t="s">
        <v>748</v>
      </c>
      <c r="G1908" s="71" t="s">
        <v>749</v>
      </c>
      <c r="H1908" s="41"/>
      <c r="I1908" s="42"/>
      <c r="J1908" s="43"/>
      <c r="K1908" s="72">
        <v>100.0</v>
      </c>
      <c r="L1908" s="53" t="s">
        <v>62</v>
      </c>
      <c r="M1908" s="73">
        <v>26780.0</v>
      </c>
      <c r="N1908" s="83">
        <v>0.125</v>
      </c>
      <c r="O1908" s="73">
        <v>2343250.0</v>
      </c>
      <c r="P1908" s="46" t="str">
        <f t="shared" si="2"/>
        <v>Rp26,780-100 LSN-12.50%</v>
      </c>
      <c r="Q1908" s="75">
        <v>45412.0</v>
      </c>
      <c r="R1908" s="76"/>
      <c r="S1908" s="75">
        <v>45423.0</v>
      </c>
      <c r="T1908" s="49"/>
    </row>
    <row r="1909">
      <c r="A1909" s="90">
        <v>4204.0</v>
      </c>
      <c r="B1909" s="91" t="s">
        <v>29</v>
      </c>
      <c r="C1909" s="49" t="s">
        <v>2371</v>
      </c>
      <c r="D1909" s="91" t="s">
        <v>2327</v>
      </c>
      <c r="E1909" s="41" t="str">
        <f>IFERROR(__xludf.DUMMYFUNCTION("vlookup(D1909,IMPORTRANGE(""https://docs.google.com/spreadsheets/d/1swGwZOEqYlTEUCJLY-eeJM1911Kvaei5oySBIxdgtNo/edit?pli=1#gid=257618397"",""stock untanna!B:C""),2,false)"),"STICK NOTE TF 654 5C")</f>
        <v>STICK NOTE TF 654 5C</v>
      </c>
      <c r="F1909" s="49" t="s">
        <v>2327</v>
      </c>
      <c r="G1909" s="71" t="s">
        <v>2328</v>
      </c>
      <c r="H1909" s="41"/>
      <c r="I1909" s="42"/>
      <c r="J1909" s="43"/>
      <c r="K1909" s="72">
        <v>600.0</v>
      </c>
      <c r="L1909" s="53" t="s">
        <v>69</v>
      </c>
      <c r="M1909" s="73">
        <v>5000.0</v>
      </c>
      <c r="N1909" s="74"/>
      <c r="O1909" s="73">
        <v>3000000.0</v>
      </c>
      <c r="P1909" s="46" t="str">
        <f t="shared" si="2"/>
        <v>Rp5,000-600 PCS-0.00%</v>
      </c>
      <c r="Q1909" s="75">
        <v>45412.0</v>
      </c>
      <c r="R1909" s="76"/>
      <c r="S1909" s="75">
        <v>45423.0</v>
      </c>
      <c r="T1909" s="49"/>
    </row>
    <row r="1910">
      <c r="A1910" s="90">
        <v>4204.0</v>
      </c>
      <c r="B1910" s="91" t="s">
        <v>29</v>
      </c>
      <c r="C1910" s="49" t="s">
        <v>2371</v>
      </c>
      <c r="D1910" s="91" t="s">
        <v>2372</v>
      </c>
      <c r="E1910" s="41" t="str">
        <f>IFERROR(__xludf.DUMMYFUNCTION("vlookup(D1910,IMPORTRANGE(""https://docs.google.com/spreadsheets/d/1swGwZOEqYlTEUCJLY-eeJM1911Kvaei5oySBIxdgtNo/edit?pli=1#gid=257618397"",""stock untanna!B:C""),2,false)"),"LOOSE LEAF A5-50LBR DOTED TITIK")</f>
        <v>LOOSE LEAF A5-50LBR DOTED TITIK</v>
      </c>
      <c r="F1910" s="49" t="s">
        <v>2372</v>
      </c>
      <c r="G1910" s="71" t="s">
        <v>2373</v>
      </c>
      <c r="H1910" s="41"/>
      <c r="I1910" s="42"/>
      <c r="J1910" s="43"/>
      <c r="K1910" s="72">
        <v>200.0</v>
      </c>
      <c r="L1910" s="53" t="s">
        <v>69</v>
      </c>
      <c r="M1910" s="73">
        <v>5400.0</v>
      </c>
      <c r="N1910" s="74"/>
      <c r="O1910" s="73">
        <v>1080000.0</v>
      </c>
      <c r="P1910" s="46" t="str">
        <f t="shared" si="2"/>
        <v>Rp5,400-200 PCS-0.00%</v>
      </c>
      <c r="Q1910" s="75">
        <v>45412.0</v>
      </c>
      <c r="R1910" s="76"/>
      <c r="S1910" s="75">
        <v>45423.0</v>
      </c>
      <c r="T1910" s="49" t="s">
        <v>100</v>
      </c>
    </row>
    <row r="1911">
      <c r="A1911" s="90">
        <v>4204.0</v>
      </c>
      <c r="B1911" s="91" t="s">
        <v>29</v>
      </c>
      <c r="C1911" s="49" t="s">
        <v>2371</v>
      </c>
      <c r="D1911" s="91" t="s">
        <v>953</v>
      </c>
      <c r="E1911" s="41" t="str">
        <f>IFERROR(__xludf.DUMMYFUNCTION("vlookup(D1911,IMPORTRANGE(""https://docs.google.com/spreadsheets/d/1swGwZOEqYlTEUCJLY-eeJM1911Kvaei5oySBIxdgtNo/edit?pli=1#gid=257618397"",""stock untanna!B:C""),2,false)"),"BP GEL DTIAN DT-612")</f>
        <v>BP GEL DTIAN DT-612</v>
      </c>
      <c r="F1911" s="49" t="s">
        <v>953</v>
      </c>
      <c r="G1911" s="71" t="s">
        <v>954</v>
      </c>
      <c r="H1911" s="41"/>
      <c r="I1911" s="42"/>
      <c r="J1911" s="43"/>
      <c r="K1911" s="72">
        <v>192.0</v>
      </c>
      <c r="L1911" s="53" t="s">
        <v>62</v>
      </c>
      <c r="M1911" s="73">
        <v>10000.0</v>
      </c>
      <c r="N1911" s="74"/>
      <c r="O1911" s="73">
        <v>1920000.0</v>
      </c>
      <c r="P1911" s="46" t="str">
        <f t="shared" si="2"/>
        <v>Rp10,000-192 LSN-0.00%</v>
      </c>
      <c r="Q1911" s="75">
        <v>45412.0</v>
      </c>
      <c r="R1911" s="76"/>
      <c r="S1911" s="75">
        <v>45423.0</v>
      </c>
      <c r="T1911" s="49"/>
    </row>
    <row r="1912">
      <c r="A1912" s="90">
        <v>4204.0</v>
      </c>
      <c r="B1912" s="91" t="s">
        <v>29</v>
      </c>
      <c r="C1912" s="49" t="s">
        <v>2371</v>
      </c>
      <c r="D1912" s="91"/>
      <c r="E1912" s="41" t="s">
        <v>2374</v>
      </c>
      <c r="F1912" s="49"/>
      <c r="G1912" s="71" t="s">
        <v>2374</v>
      </c>
      <c r="H1912" s="41"/>
      <c r="I1912" s="42"/>
      <c r="J1912" s="43"/>
      <c r="K1912" s="72">
        <v>125.0</v>
      </c>
      <c r="L1912" s="53" t="s">
        <v>114</v>
      </c>
      <c r="M1912" s="73">
        <v>25000.0</v>
      </c>
      <c r="N1912" s="74"/>
      <c r="O1912" s="73">
        <v>3125000.0</v>
      </c>
      <c r="P1912" s="46" t="str">
        <f t="shared" si="2"/>
        <v>Rp25,000-125 PAK-0.00%</v>
      </c>
      <c r="Q1912" s="75">
        <v>45412.0</v>
      </c>
      <c r="R1912" s="76"/>
      <c r="S1912" s="75">
        <v>45423.0</v>
      </c>
      <c r="T1912" s="49"/>
    </row>
    <row r="1913">
      <c r="A1913" s="90">
        <v>4204.0</v>
      </c>
      <c r="B1913" s="91" t="s">
        <v>29</v>
      </c>
      <c r="C1913" s="49" t="s">
        <v>2371</v>
      </c>
      <c r="D1913" s="91" t="s">
        <v>1083</v>
      </c>
      <c r="E1913" s="41" t="str">
        <f>IFERROR(__xludf.DUMMYFUNCTION("vlookup(D1913,IMPORTRANGE(""https://docs.google.com/spreadsheets/d/1swGwZOEqYlTEUCJLY-eeJM1911Kvaei5oySBIxdgtNo/edit?pli=1#gid=257618397"",""stock untanna!B:C""),2,false)"),"KEY RING KC-008")</f>
        <v>KEY RING KC-008</v>
      </c>
      <c r="F1913" s="49" t="s">
        <v>1083</v>
      </c>
      <c r="G1913" s="71" t="s">
        <v>1084</v>
      </c>
      <c r="H1913" s="41"/>
      <c r="I1913" s="42"/>
      <c r="J1913" s="43"/>
      <c r="K1913" s="72">
        <v>100.0</v>
      </c>
      <c r="L1913" s="53" t="s">
        <v>88</v>
      </c>
      <c r="M1913" s="73">
        <v>25000.0</v>
      </c>
      <c r="N1913" s="74"/>
      <c r="O1913" s="73">
        <v>2500000.0</v>
      </c>
      <c r="P1913" s="46" t="str">
        <f t="shared" si="2"/>
        <v>Rp25,000-100 BOX-0.00%</v>
      </c>
      <c r="Q1913" s="75">
        <v>45412.0</v>
      </c>
      <c r="R1913" s="76"/>
      <c r="S1913" s="75">
        <v>45423.0</v>
      </c>
      <c r="T1913" s="49"/>
    </row>
    <row r="1914">
      <c r="A1914" s="90">
        <v>2.0</v>
      </c>
      <c r="B1914" s="91" t="s">
        <v>58</v>
      </c>
      <c r="C1914" s="49" t="s">
        <v>2375</v>
      </c>
      <c r="D1914" s="91"/>
      <c r="E1914" s="41" t="s">
        <v>2376</v>
      </c>
      <c r="F1914" s="49"/>
      <c r="G1914" s="71" t="s">
        <v>2376</v>
      </c>
      <c r="H1914" s="41"/>
      <c r="I1914" s="42"/>
      <c r="J1914" s="43"/>
      <c r="K1914" s="72">
        <v>10.0</v>
      </c>
      <c r="L1914" s="53" t="s">
        <v>62</v>
      </c>
      <c r="M1914" s="73">
        <v>20000.0</v>
      </c>
      <c r="N1914" s="74"/>
      <c r="O1914" s="73">
        <v>200000.0</v>
      </c>
      <c r="P1914" s="46" t="str">
        <f t="shared" si="2"/>
        <v>Rp20,000-10 LSN-0.00%</v>
      </c>
      <c r="Q1914" s="75">
        <v>45412.0</v>
      </c>
      <c r="R1914" s="76"/>
      <c r="S1914" s="75">
        <v>45423.0</v>
      </c>
      <c r="T1914" s="49"/>
    </row>
    <row r="1915">
      <c r="A1915" s="90">
        <v>2.0</v>
      </c>
      <c r="B1915" s="91" t="s">
        <v>58</v>
      </c>
      <c r="C1915" s="49" t="s">
        <v>2375</v>
      </c>
      <c r="D1915" s="91"/>
      <c r="E1915" s="41" t="s">
        <v>2377</v>
      </c>
      <c r="F1915" s="49"/>
      <c r="G1915" s="71" t="s">
        <v>2377</v>
      </c>
      <c r="H1915" s="41"/>
      <c r="I1915" s="42"/>
      <c r="J1915" s="43"/>
      <c r="K1915" s="72">
        <v>10.0</v>
      </c>
      <c r="L1915" s="53" t="s">
        <v>62</v>
      </c>
      <c r="M1915" s="73">
        <v>25000.0</v>
      </c>
      <c r="N1915" s="74"/>
      <c r="O1915" s="73">
        <v>250000.0</v>
      </c>
      <c r="P1915" s="46" t="str">
        <f t="shared" si="2"/>
        <v>Rp25,000-10 LSN-0.00%</v>
      </c>
      <c r="Q1915" s="75">
        <v>45412.0</v>
      </c>
      <c r="R1915" s="76"/>
      <c r="S1915" s="75">
        <v>45423.0</v>
      </c>
      <c r="T1915" s="49"/>
    </row>
    <row r="1916">
      <c r="A1916" s="90">
        <v>2.0</v>
      </c>
      <c r="B1916" s="91" t="s">
        <v>58</v>
      </c>
      <c r="C1916" s="49" t="s">
        <v>2375</v>
      </c>
      <c r="D1916" s="91" t="s">
        <v>216</v>
      </c>
      <c r="E1916" s="41" t="str">
        <f>IFERROR(__xludf.DUMMYFUNCTION("vlookup(D1916,IMPORTRANGE(""https://docs.google.com/spreadsheets/d/1swGwZOEqYlTEUCJLY-eeJM1911Kvaei5oySBIxdgtNo/edit?pli=1#gid=257618397"",""stock untanna!B:C""),2,false)"),"TAS COKLAT TEBAL BESAR")</f>
        <v>TAS COKLAT TEBAL BESAR</v>
      </c>
      <c r="F1916" s="49" t="s">
        <v>216</v>
      </c>
      <c r="G1916" s="71" t="s">
        <v>217</v>
      </c>
      <c r="H1916" s="41"/>
      <c r="I1916" s="42"/>
      <c r="J1916" s="43"/>
      <c r="K1916" s="72">
        <v>10.0</v>
      </c>
      <c r="L1916" s="53" t="s">
        <v>62</v>
      </c>
      <c r="M1916" s="73">
        <v>31000.0</v>
      </c>
      <c r="N1916" s="74"/>
      <c r="O1916" s="73">
        <v>310000.0</v>
      </c>
      <c r="P1916" s="46" t="str">
        <f t="shared" si="2"/>
        <v>Rp31,000-10 LSN-0.00%</v>
      </c>
      <c r="Q1916" s="75">
        <v>45412.0</v>
      </c>
      <c r="R1916" s="76"/>
      <c r="S1916" s="75">
        <v>45423.0</v>
      </c>
      <c r="T1916" s="49"/>
    </row>
    <row r="1917">
      <c r="A1917" s="90">
        <v>2.0</v>
      </c>
      <c r="B1917" s="91" t="s">
        <v>58</v>
      </c>
      <c r="C1917" s="49" t="s">
        <v>2375</v>
      </c>
      <c r="D1917" s="91" t="s">
        <v>2019</v>
      </c>
      <c r="E1917" s="41" t="str">
        <f>IFERROR(__xludf.DUMMYFUNCTION("vlookup(D1917,IMPORTRANGE(""https://docs.google.com/spreadsheets/d/1swGwZOEqYlTEUCJLY-eeJM1911Kvaei5oySBIxdgtNo/edit?pli=1#gid=257618397"",""stock untanna!B:C""),2,false)"),"BN RABBIT KOALA A5")</f>
        <v>BN RABBIT KOALA A5</v>
      </c>
      <c r="F1917" s="49" t="s">
        <v>2019</v>
      </c>
      <c r="G1917" s="71" t="s">
        <v>2020</v>
      </c>
      <c r="H1917" s="41"/>
      <c r="I1917" s="42"/>
      <c r="J1917" s="43"/>
      <c r="K1917" s="72">
        <v>12.0</v>
      </c>
      <c r="L1917" s="53" t="s">
        <v>69</v>
      </c>
      <c r="M1917" s="73">
        <v>26000.0</v>
      </c>
      <c r="N1917" s="74"/>
      <c r="O1917" s="73">
        <v>312000.0</v>
      </c>
      <c r="P1917" s="46" t="str">
        <f t="shared" si="2"/>
        <v>Rp26,000-12 PCS-0.00%</v>
      </c>
      <c r="Q1917" s="75">
        <v>45412.0</v>
      </c>
      <c r="R1917" s="76"/>
      <c r="S1917" s="75">
        <v>45423.0</v>
      </c>
      <c r="T1917" s="49"/>
    </row>
    <row r="1918">
      <c r="A1918" s="90">
        <v>2.0</v>
      </c>
      <c r="B1918" s="91" t="s">
        <v>58</v>
      </c>
      <c r="C1918" s="49" t="s">
        <v>2375</v>
      </c>
      <c r="D1918" s="91" t="s">
        <v>1605</v>
      </c>
      <c r="E1918" s="41" t="str">
        <f>IFERROR(__xludf.DUMMYFUNCTION("vlookup(D1918,IMPORTRANGE(""https://docs.google.com/spreadsheets/d/1swGwZOEqYlTEUCJLY-eeJM1911Kvaei5oySBIxdgtNo/edit?pli=1#gid=257618397"",""stock untanna!B:C""),2,false)"),"TIPEX MICROTOP MT-767")</f>
        <v>TIPEX MICROTOP MT-767</v>
      </c>
      <c r="F1918" s="49" t="s">
        <v>1605</v>
      </c>
      <c r="G1918" s="71" t="s">
        <v>1606</v>
      </c>
      <c r="H1918" s="41"/>
      <c r="I1918" s="42"/>
      <c r="J1918" s="43"/>
      <c r="K1918" s="72">
        <v>4.0</v>
      </c>
      <c r="L1918" s="53" t="s">
        <v>62</v>
      </c>
      <c r="M1918" s="73">
        <v>47500.0</v>
      </c>
      <c r="N1918" s="74"/>
      <c r="O1918" s="73">
        <v>190000.0</v>
      </c>
      <c r="P1918" s="46" t="str">
        <f t="shared" si="2"/>
        <v>Rp47,500-4 LSN-0.00%</v>
      </c>
      <c r="Q1918" s="75">
        <v>45412.0</v>
      </c>
      <c r="R1918" s="76"/>
      <c r="S1918" s="75">
        <v>45423.0</v>
      </c>
      <c r="T1918" s="49" t="s">
        <v>100</v>
      </c>
    </row>
    <row r="1919">
      <c r="A1919" s="90">
        <v>2.0</v>
      </c>
      <c r="B1919" s="91" t="s">
        <v>58</v>
      </c>
      <c r="C1919" s="49" t="s">
        <v>2375</v>
      </c>
      <c r="D1919" s="77" t="s">
        <v>2378</v>
      </c>
      <c r="E1919" s="41" t="str">
        <f>IFERROR(__xludf.DUMMYFUNCTION("IFNA(vlookup(D1919,IMPORTRANGE(""https://docs.google.com/spreadsheets/d/1swGwZOEqYlTEUCJLY-eeJM1911Kvaei5oySBIxdgtNo/edit?pli=1#gid=257618397"",""stock untanna!B:C""),2,false),V:V)"),"ISI PENSIL MEKANIK 801 2,0")</f>
        <v>ISI PENSIL MEKANIK 801 2,0</v>
      </c>
      <c r="F1919" s="49"/>
      <c r="G1919" s="71" t="s">
        <v>2379</v>
      </c>
      <c r="H1919" s="41"/>
      <c r="I1919" s="42"/>
      <c r="J1919" s="43" t="str">
        <f>IF(D1919="","TIDAK ADA","ADA")</f>
        <v>ADA</v>
      </c>
      <c r="K1919" s="72">
        <v>12.0</v>
      </c>
      <c r="L1919" s="53" t="s">
        <v>62</v>
      </c>
      <c r="M1919" s="73">
        <v>15000.0</v>
      </c>
      <c r="N1919" s="74"/>
      <c r="O1919" s="73">
        <v>180000.0</v>
      </c>
      <c r="P1919" s="46" t="str">
        <f t="shared" si="2"/>
        <v>Rp15,000-12 LSN-0.00%</v>
      </c>
      <c r="Q1919" s="75">
        <v>45412.0</v>
      </c>
      <c r="R1919" s="76"/>
      <c r="S1919" s="75">
        <v>45423.0</v>
      </c>
      <c r="T1919" s="80" t="s">
        <v>280</v>
      </c>
    </row>
    <row r="1920">
      <c r="A1920" s="90">
        <v>2.0</v>
      </c>
      <c r="B1920" s="91" t="s">
        <v>58</v>
      </c>
      <c r="C1920" s="49" t="s">
        <v>2375</v>
      </c>
      <c r="D1920" s="91" t="s">
        <v>419</v>
      </c>
      <c r="E1920" s="41" t="str">
        <f>IFERROR(__xludf.DUMMYFUNCTION("vlookup(D1920,IMPORTRANGE(""https://docs.google.com/spreadsheets/d/1swGwZOEqYlTEUCJLY-eeJM1911Kvaei5oySBIxdgtNo/edit?pli=1#gid=257618397"",""stock untanna!B:C""),2,false)"),"BP GEL ZUI XUA HY-1020 HITAM")</f>
        <v>BP GEL ZUI XUA HY-1020 HITAM</v>
      </c>
      <c r="F1920" s="49" t="s">
        <v>419</v>
      </c>
      <c r="G1920" s="71" t="s">
        <v>420</v>
      </c>
      <c r="H1920" s="41"/>
      <c r="I1920" s="42"/>
      <c r="J1920" s="43"/>
      <c r="K1920" s="72">
        <v>60.0</v>
      </c>
      <c r="L1920" s="53" t="s">
        <v>62</v>
      </c>
      <c r="M1920" s="73">
        <v>12000.0</v>
      </c>
      <c r="N1920" s="74"/>
      <c r="O1920" s="73">
        <v>720000.0</v>
      </c>
      <c r="P1920" s="46" t="str">
        <f t="shared" si="2"/>
        <v>Rp12,000-60 LSN-0.00%</v>
      </c>
      <c r="Q1920" s="75">
        <v>45412.0</v>
      </c>
      <c r="R1920" s="76"/>
      <c r="S1920" s="75">
        <v>45423.0</v>
      </c>
      <c r="T1920" s="49"/>
    </row>
    <row r="1921">
      <c r="A1921" s="90">
        <v>2.0</v>
      </c>
      <c r="B1921" s="91" t="s">
        <v>58</v>
      </c>
      <c r="C1921" s="49" t="s">
        <v>2375</v>
      </c>
      <c r="D1921" s="91"/>
      <c r="E1921" s="41" t="s">
        <v>2380</v>
      </c>
      <c r="F1921" s="49"/>
      <c r="G1921" s="71" t="s">
        <v>2380</v>
      </c>
      <c r="H1921" s="41"/>
      <c r="I1921" s="42"/>
      <c r="J1921" s="43"/>
      <c r="K1921" s="72">
        <v>1.0</v>
      </c>
      <c r="L1921" s="53" t="s">
        <v>62</v>
      </c>
      <c r="M1921" s="73">
        <v>275000.0</v>
      </c>
      <c r="N1921" s="74"/>
      <c r="O1921" s="73">
        <v>275000.0</v>
      </c>
      <c r="P1921" s="46" t="str">
        <f t="shared" si="2"/>
        <v>Rp275,000-1 LSN-0.00%</v>
      </c>
      <c r="Q1921" s="75">
        <v>45412.0</v>
      </c>
      <c r="R1921" s="76"/>
      <c r="S1921" s="75">
        <v>45423.0</v>
      </c>
      <c r="T1921" s="80" t="s">
        <v>280</v>
      </c>
    </row>
    <row r="1922">
      <c r="A1922" s="90">
        <v>2.0</v>
      </c>
      <c r="B1922" s="91" t="s">
        <v>58</v>
      </c>
      <c r="C1922" s="49" t="s">
        <v>2375</v>
      </c>
      <c r="D1922" s="91"/>
      <c r="E1922" s="41" t="s">
        <v>2381</v>
      </c>
      <c r="F1922" s="49"/>
      <c r="G1922" s="71" t="s">
        <v>2381</v>
      </c>
      <c r="H1922" s="41"/>
      <c r="I1922" s="42"/>
      <c r="J1922" s="43"/>
      <c r="K1922" s="72">
        <v>1.0</v>
      </c>
      <c r="L1922" s="53" t="s">
        <v>62</v>
      </c>
      <c r="M1922" s="73">
        <v>275000.0</v>
      </c>
      <c r="N1922" s="74"/>
      <c r="O1922" s="73">
        <v>275000.0</v>
      </c>
      <c r="P1922" s="46" t="str">
        <f t="shared" si="2"/>
        <v>Rp275,000-1 LSN-0.00%</v>
      </c>
      <c r="Q1922" s="75">
        <v>45412.0</v>
      </c>
      <c r="R1922" s="76"/>
      <c r="S1922" s="75">
        <v>45423.0</v>
      </c>
      <c r="T1922" s="80" t="s">
        <v>280</v>
      </c>
    </row>
    <row r="1923">
      <c r="A1923" s="90">
        <v>2.0</v>
      </c>
      <c r="B1923" s="91" t="s">
        <v>58</v>
      </c>
      <c r="C1923" s="49" t="s">
        <v>2375</v>
      </c>
      <c r="D1923" s="91"/>
      <c r="E1923" s="41" t="s">
        <v>2382</v>
      </c>
      <c r="F1923" s="49"/>
      <c r="G1923" s="71" t="s">
        <v>2382</v>
      </c>
      <c r="H1923" s="41"/>
      <c r="I1923" s="42"/>
      <c r="J1923" s="43"/>
      <c r="K1923" s="72">
        <v>36.0</v>
      </c>
      <c r="L1923" s="53" t="s">
        <v>1384</v>
      </c>
      <c r="M1923" s="73">
        <v>7500.0</v>
      </c>
      <c r="N1923" s="74"/>
      <c r="O1923" s="73">
        <v>270000.0</v>
      </c>
      <c r="P1923" s="46" t="str">
        <f t="shared" si="2"/>
        <v>Rp7,500-36 ROL-0.00%</v>
      </c>
      <c r="Q1923" s="75">
        <v>45412.0</v>
      </c>
      <c r="R1923" s="76"/>
      <c r="S1923" s="75">
        <v>45423.0</v>
      </c>
      <c r="T1923" s="49"/>
    </row>
    <row r="1924">
      <c r="A1924" s="90">
        <v>2.0</v>
      </c>
      <c r="B1924" s="91" t="s">
        <v>58</v>
      </c>
      <c r="C1924" s="49" t="s">
        <v>2375</v>
      </c>
      <c r="D1924" s="91"/>
      <c r="E1924" s="41" t="s">
        <v>2012</v>
      </c>
      <c r="F1924" s="49"/>
      <c r="G1924" s="71" t="s">
        <v>2012</v>
      </c>
      <c r="H1924" s="41"/>
      <c r="I1924" s="42"/>
      <c r="J1924" s="43"/>
      <c r="K1924" s="72">
        <v>125.0</v>
      </c>
      <c r="L1924" s="53" t="s">
        <v>114</v>
      </c>
      <c r="M1924" s="73">
        <v>24000.0</v>
      </c>
      <c r="N1924" s="74"/>
      <c r="O1924" s="73">
        <v>3000000.0</v>
      </c>
      <c r="P1924" s="46" t="str">
        <f t="shared" si="2"/>
        <v>Rp24,000-125 PAK-0.00%</v>
      </c>
      <c r="Q1924" s="75">
        <v>45412.0</v>
      </c>
      <c r="R1924" s="76"/>
      <c r="S1924" s="75">
        <v>45423.0</v>
      </c>
      <c r="T1924" s="49"/>
    </row>
    <row r="1925">
      <c r="A1925" s="90">
        <v>4044.0</v>
      </c>
      <c r="B1925" s="91" t="s">
        <v>65</v>
      </c>
      <c r="C1925" s="49" t="s">
        <v>2383</v>
      </c>
      <c r="D1925" s="91" t="s">
        <v>953</v>
      </c>
      <c r="E1925" s="41" t="str">
        <f>IFERROR(__xludf.DUMMYFUNCTION("vlookup(D1925,IMPORTRANGE(""https://docs.google.com/spreadsheets/d/1swGwZOEqYlTEUCJLY-eeJM1911Kvaei5oySBIxdgtNo/edit?pli=1#gid=257618397"",""stock untanna!B:C""),2,false)"),"BP GEL DTIAN DT-612")</f>
        <v>BP GEL DTIAN DT-612</v>
      </c>
      <c r="F1925" s="49" t="s">
        <v>953</v>
      </c>
      <c r="G1925" s="71" t="s">
        <v>954</v>
      </c>
      <c r="H1925" s="41"/>
      <c r="I1925" s="42"/>
      <c r="J1925" s="43"/>
      <c r="K1925" s="72">
        <v>192.0</v>
      </c>
      <c r="L1925" s="53" t="s">
        <v>62</v>
      </c>
      <c r="M1925" s="73">
        <v>10000.0</v>
      </c>
      <c r="N1925" s="74"/>
      <c r="O1925" s="73">
        <v>1920000.0</v>
      </c>
      <c r="P1925" s="46" t="str">
        <f t="shared" si="2"/>
        <v>Rp10,000-192 LSN-0.00%</v>
      </c>
      <c r="Q1925" s="75">
        <v>45412.0</v>
      </c>
      <c r="R1925" s="76"/>
      <c r="S1925" s="75">
        <v>45423.0</v>
      </c>
      <c r="T1925" s="49"/>
    </row>
    <row r="1926">
      <c r="A1926" s="90">
        <v>4044.0</v>
      </c>
      <c r="B1926" s="91" t="s">
        <v>65</v>
      </c>
      <c r="C1926" s="49" t="s">
        <v>2383</v>
      </c>
      <c r="D1926" s="91"/>
      <c r="E1926" s="41" t="s">
        <v>2384</v>
      </c>
      <c r="F1926" s="49"/>
      <c r="G1926" s="71" t="s">
        <v>2384</v>
      </c>
      <c r="H1926" s="41"/>
      <c r="I1926" s="42"/>
      <c r="J1926" s="43"/>
      <c r="K1926" s="72">
        <v>288.0</v>
      </c>
      <c r="L1926" s="53" t="s">
        <v>69</v>
      </c>
      <c r="M1926" s="73">
        <v>7000.0</v>
      </c>
      <c r="N1926" s="74"/>
      <c r="O1926" s="73">
        <v>2016000.0</v>
      </c>
      <c r="P1926" s="46" t="str">
        <f t="shared" si="2"/>
        <v>Rp7,000-288 PCS-0.00%</v>
      </c>
      <c r="Q1926" s="75">
        <v>45412.0</v>
      </c>
      <c r="R1926" s="76"/>
      <c r="S1926" s="75">
        <v>45423.0</v>
      </c>
      <c r="T1926" s="49"/>
    </row>
    <row r="1927">
      <c r="A1927" s="90">
        <v>4044.0</v>
      </c>
      <c r="B1927" s="91" t="s">
        <v>65</v>
      </c>
      <c r="C1927" s="49" t="s">
        <v>2383</v>
      </c>
      <c r="D1927" s="91" t="s">
        <v>145</v>
      </c>
      <c r="E1927" s="41" t="str">
        <f>IFERROR(__xludf.DUMMYFUNCTION("vlookup(D1927,IMPORTRANGE(""https://docs.google.com/spreadsheets/d/1swGwZOEqYlTEUCJLY-eeJM1911Kvaei5oySBIxdgtNo/edit?pli=1#gid=257618397"",""stock untanna!B:C""),2,false)"),"BP GEL DTIAN BIASA 6605")</f>
        <v>BP GEL DTIAN BIASA 6605</v>
      </c>
      <c r="F1927" s="49" t="s">
        <v>145</v>
      </c>
      <c r="G1927" s="71" t="s">
        <v>146</v>
      </c>
      <c r="H1927" s="41"/>
      <c r="I1927" s="42"/>
      <c r="J1927" s="43"/>
      <c r="K1927" s="72">
        <v>12.0</v>
      </c>
      <c r="L1927" s="53" t="s">
        <v>62</v>
      </c>
      <c r="M1927" s="73">
        <v>12000.0</v>
      </c>
      <c r="N1927" s="74"/>
      <c r="O1927" s="73">
        <v>144000.0</v>
      </c>
      <c r="P1927" s="46" t="str">
        <f t="shared" si="2"/>
        <v>Rp12,000-12 LSN-0.00%</v>
      </c>
      <c r="Q1927" s="75">
        <v>45412.0</v>
      </c>
      <c r="R1927" s="76"/>
      <c r="S1927" s="75">
        <v>45423.0</v>
      </c>
      <c r="T1927" s="49"/>
    </row>
    <row r="1928">
      <c r="A1928" s="90">
        <v>4044.0</v>
      </c>
      <c r="B1928" s="91" t="s">
        <v>65</v>
      </c>
      <c r="C1928" s="49" t="s">
        <v>2383</v>
      </c>
      <c r="D1928" s="91" t="s">
        <v>143</v>
      </c>
      <c r="E1928" s="41" t="str">
        <f>IFERROR(__xludf.DUMMYFUNCTION("vlookup(D1928,IMPORTRANGE(""https://docs.google.com/spreadsheets/d/1swGwZOEqYlTEUCJLY-eeJM1911Kvaei5oySBIxdgtNo/edit?pli=1#gid=257618397"",""stock untanna!B:C""),2,false)"),"BP GEL DTIAN 923 ")</f>
        <v>BP GEL DTIAN 923 </v>
      </c>
      <c r="F1928" s="49" t="s">
        <v>143</v>
      </c>
      <c r="G1928" s="71" t="s">
        <v>144</v>
      </c>
      <c r="H1928" s="41"/>
      <c r="I1928" s="42"/>
      <c r="J1928" s="43"/>
      <c r="K1928" s="72">
        <v>12.0</v>
      </c>
      <c r="L1928" s="53" t="s">
        <v>62</v>
      </c>
      <c r="M1928" s="73">
        <v>12000.0</v>
      </c>
      <c r="N1928" s="74"/>
      <c r="O1928" s="73">
        <v>144000.0</v>
      </c>
      <c r="P1928" s="46" t="str">
        <f t="shared" si="2"/>
        <v>Rp12,000-12 LSN-0.00%</v>
      </c>
      <c r="Q1928" s="75">
        <v>45412.0</v>
      </c>
      <c r="R1928" s="76"/>
      <c r="S1928" s="75">
        <v>45423.0</v>
      </c>
      <c r="T1928" s="49"/>
    </row>
    <row r="1929">
      <c r="A1929" s="90">
        <v>4044.0</v>
      </c>
      <c r="B1929" s="91" t="s">
        <v>65</v>
      </c>
      <c r="C1929" s="49" t="s">
        <v>2383</v>
      </c>
      <c r="D1929" s="91" t="s">
        <v>680</v>
      </c>
      <c r="E1929" s="41" t="str">
        <f>IFERROR(__xludf.DUMMYFUNCTION("vlookup(D1929,IMPORTRANGE(""https://docs.google.com/spreadsheets/d/1swGwZOEqYlTEUCJLY-eeJM1911Kvaei5oySBIxdgtNo/edit?pli=1#gid=257618397"",""stock untanna!B:C""),2,false)"),"BP GEL 6608")</f>
        <v>BP GEL 6608</v>
      </c>
      <c r="F1929" s="49" t="s">
        <v>680</v>
      </c>
      <c r="G1929" s="71" t="s">
        <v>681</v>
      </c>
      <c r="H1929" s="41"/>
      <c r="I1929" s="42"/>
      <c r="J1929" s="43"/>
      <c r="K1929" s="72">
        <v>144.0</v>
      </c>
      <c r="L1929" s="53" t="s">
        <v>69</v>
      </c>
      <c r="M1929" s="73">
        <v>1000.0</v>
      </c>
      <c r="N1929" s="74"/>
      <c r="O1929" s="73">
        <v>144000.0</v>
      </c>
      <c r="P1929" s="46" t="str">
        <f t="shared" si="2"/>
        <v>Rp1,000-144 PCS-0.00%</v>
      </c>
      <c r="Q1929" s="75">
        <v>45412.0</v>
      </c>
      <c r="R1929" s="76"/>
      <c r="S1929" s="75">
        <v>45423.0</v>
      </c>
      <c r="T1929" s="49"/>
    </row>
    <row r="1930">
      <c r="A1930" s="90">
        <v>4044.0</v>
      </c>
      <c r="B1930" s="91" t="s">
        <v>65</v>
      </c>
      <c r="C1930" s="49" t="s">
        <v>2383</v>
      </c>
      <c r="D1930" s="91" t="s">
        <v>684</v>
      </c>
      <c r="E1930" s="41" t="str">
        <f>IFERROR(__xludf.DUMMYFUNCTION("vlookup(D1930,IMPORTRANGE(""https://docs.google.com/spreadsheets/d/1swGwZOEqYlTEUCJLY-eeJM1911Kvaei5oySBIxdgtNo/edit?pli=1#gid=257618397"",""stock untanna!B:C""),2,false)"),"BP GEL 925")</f>
        <v>BP GEL 925</v>
      </c>
      <c r="F1930" s="49" t="s">
        <v>684</v>
      </c>
      <c r="G1930" s="71" t="s">
        <v>685</v>
      </c>
      <c r="H1930" s="41"/>
      <c r="I1930" s="42"/>
      <c r="J1930" s="43"/>
      <c r="K1930" s="72">
        <v>144.0</v>
      </c>
      <c r="L1930" s="53" t="s">
        <v>69</v>
      </c>
      <c r="M1930" s="73">
        <v>1000.0</v>
      </c>
      <c r="N1930" s="74"/>
      <c r="O1930" s="73">
        <v>144000.0</v>
      </c>
      <c r="P1930" s="46" t="str">
        <f t="shared" si="2"/>
        <v>Rp1,000-144 PCS-0.00%</v>
      </c>
      <c r="Q1930" s="75">
        <v>45412.0</v>
      </c>
      <c r="R1930" s="76"/>
      <c r="S1930" s="75">
        <v>45423.0</v>
      </c>
      <c r="T1930" s="49"/>
    </row>
    <row r="1931">
      <c r="A1931" s="90">
        <v>4044.0</v>
      </c>
      <c r="B1931" s="91" t="s">
        <v>65</v>
      </c>
      <c r="C1931" s="49" t="s">
        <v>2383</v>
      </c>
      <c r="D1931" s="91" t="s">
        <v>151</v>
      </c>
      <c r="E1931" s="41" t="str">
        <f>IFERROR(__xludf.DUMMYFUNCTION("vlookup(D1931,IMPORTRANGE(""https://docs.google.com/spreadsheets/d/1swGwZOEqYlTEUCJLY-eeJM1911Kvaei5oySBIxdgtNo/edit?pli=1#gid=257618397"",""stock untanna!B:C""),2,false)"),"BP GEL DTIAN 837 ")</f>
        <v>BP GEL DTIAN 837 </v>
      </c>
      <c r="F1931" s="49" t="s">
        <v>151</v>
      </c>
      <c r="G1931" s="71" t="s">
        <v>152</v>
      </c>
      <c r="H1931" s="41"/>
      <c r="I1931" s="42"/>
      <c r="J1931" s="43"/>
      <c r="K1931" s="72">
        <v>12.0</v>
      </c>
      <c r="L1931" s="53" t="s">
        <v>62</v>
      </c>
      <c r="M1931" s="73">
        <v>12000.0</v>
      </c>
      <c r="N1931" s="74"/>
      <c r="O1931" s="73">
        <v>144000.0</v>
      </c>
      <c r="P1931" s="46" t="str">
        <f t="shared" si="2"/>
        <v>Rp12,000-12 LSN-0.00%</v>
      </c>
      <c r="Q1931" s="75">
        <v>45412.0</v>
      </c>
      <c r="R1931" s="76"/>
      <c r="S1931" s="75">
        <v>45423.0</v>
      </c>
      <c r="T1931" s="49"/>
    </row>
    <row r="1932">
      <c r="A1932" s="90">
        <v>4044.0</v>
      </c>
      <c r="B1932" s="91" t="s">
        <v>65</v>
      </c>
      <c r="C1932" s="49" t="s">
        <v>2383</v>
      </c>
      <c r="D1932" s="91" t="s">
        <v>678</v>
      </c>
      <c r="E1932" s="41" t="str">
        <f>IFERROR(__xludf.DUMMYFUNCTION("vlookup(D1932,IMPORTRANGE(""https://docs.google.com/spreadsheets/d/1swGwZOEqYlTEUCJLY-eeJM1911Kvaei5oySBIxdgtNo/edit?pli=1#gid=257618397"",""stock untanna!B:C""),2,false)"),"BP GEL 8803")</f>
        <v>BP GEL 8803</v>
      </c>
      <c r="F1932" s="49" t="s">
        <v>678</v>
      </c>
      <c r="G1932" s="71" t="s">
        <v>679</v>
      </c>
      <c r="H1932" s="41"/>
      <c r="I1932" s="42"/>
      <c r="J1932" s="43"/>
      <c r="K1932" s="72">
        <v>144.0</v>
      </c>
      <c r="L1932" s="53" t="s">
        <v>69</v>
      </c>
      <c r="M1932" s="73">
        <v>1000.0</v>
      </c>
      <c r="N1932" s="74"/>
      <c r="O1932" s="73">
        <v>144000.0</v>
      </c>
      <c r="P1932" s="46" t="str">
        <f t="shared" si="2"/>
        <v>Rp1,000-144 PCS-0.00%</v>
      </c>
      <c r="Q1932" s="75">
        <v>45412.0</v>
      </c>
      <c r="R1932" s="76"/>
      <c r="S1932" s="75">
        <v>45423.0</v>
      </c>
      <c r="T1932" s="49"/>
    </row>
    <row r="1933">
      <c r="A1933" s="90">
        <v>4044.0</v>
      </c>
      <c r="B1933" s="91" t="s">
        <v>65</v>
      </c>
      <c r="C1933" s="49" t="s">
        <v>2383</v>
      </c>
      <c r="D1933" s="91"/>
      <c r="E1933" s="41" t="s">
        <v>2385</v>
      </c>
      <c r="F1933" s="49"/>
      <c r="G1933" s="71" t="s">
        <v>2385</v>
      </c>
      <c r="H1933" s="41"/>
      <c r="I1933" s="42"/>
      <c r="J1933" s="43"/>
      <c r="K1933" s="72">
        <v>12.0</v>
      </c>
      <c r="L1933" s="53" t="s">
        <v>62</v>
      </c>
      <c r="M1933" s="73">
        <v>12000.0</v>
      </c>
      <c r="N1933" s="74"/>
      <c r="O1933" s="73">
        <v>144000.0</v>
      </c>
      <c r="P1933" s="46" t="str">
        <f t="shared" si="2"/>
        <v>Rp12,000-12 LSN-0.00%</v>
      </c>
      <c r="Q1933" s="75">
        <v>45412.0</v>
      </c>
      <c r="R1933" s="76"/>
      <c r="S1933" s="75">
        <v>45423.0</v>
      </c>
      <c r="T1933" s="49"/>
    </row>
    <row r="1934">
      <c r="A1934" s="90">
        <v>4044.0</v>
      </c>
      <c r="B1934" s="91" t="s">
        <v>65</v>
      </c>
      <c r="C1934" s="49" t="s">
        <v>2383</v>
      </c>
      <c r="D1934" s="91" t="s">
        <v>149</v>
      </c>
      <c r="E1934" s="41" t="str">
        <f>IFERROR(__xludf.DUMMYFUNCTION("vlookup(D1934,IMPORTRANGE(""https://docs.google.com/spreadsheets/d/1swGwZOEqYlTEUCJLY-eeJM1911Kvaei5oySBIxdgtNo/edit?pli=1#gid=257618397"",""stock untanna!B:C""),2,false)"),"BP GEL 8805")</f>
        <v>BP GEL 8805</v>
      </c>
      <c r="F1934" s="49" t="s">
        <v>149</v>
      </c>
      <c r="G1934" s="71" t="s">
        <v>150</v>
      </c>
      <c r="H1934" s="41"/>
      <c r="I1934" s="42"/>
      <c r="J1934" s="43"/>
      <c r="K1934" s="72">
        <v>144.0</v>
      </c>
      <c r="L1934" s="53" t="s">
        <v>69</v>
      </c>
      <c r="M1934" s="73">
        <v>1000.0</v>
      </c>
      <c r="N1934" s="74"/>
      <c r="O1934" s="73">
        <v>144000.0</v>
      </c>
      <c r="P1934" s="46" t="str">
        <f t="shared" si="2"/>
        <v>Rp1,000-144 PCS-0.00%</v>
      </c>
      <c r="Q1934" s="75">
        <v>45412.0</v>
      </c>
      <c r="R1934" s="76"/>
      <c r="S1934" s="75">
        <v>45423.0</v>
      </c>
      <c r="T1934" s="49"/>
    </row>
    <row r="1935">
      <c r="A1935" s="90">
        <v>4044.0</v>
      </c>
      <c r="B1935" s="91" t="s">
        <v>65</v>
      </c>
      <c r="C1935" s="49" t="s">
        <v>2383</v>
      </c>
      <c r="D1935" s="91" t="s">
        <v>676</v>
      </c>
      <c r="E1935" s="41" t="str">
        <f>IFERROR(__xludf.DUMMYFUNCTION("vlookup(D1935,IMPORTRANGE(""https://docs.google.com/spreadsheets/d/1swGwZOEqYlTEUCJLY-eeJM1911Kvaei5oySBIxdgtNo/edit?pli=1#gid=257618397"",""stock untanna!B:C""),2,false)"),"BP GEL 8807")</f>
        <v>BP GEL 8807</v>
      </c>
      <c r="F1935" s="49" t="s">
        <v>676</v>
      </c>
      <c r="G1935" s="71" t="s">
        <v>677</v>
      </c>
      <c r="H1935" s="41"/>
      <c r="I1935" s="42"/>
      <c r="J1935" s="43"/>
      <c r="K1935" s="72">
        <v>12.0</v>
      </c>
      <c r="L1935" s="53" t="s">
        <v>62</v>
      </c>
      <c r="M1935" s="73">
        <v>12000.0</v>
      </c>
      <c r="N1935" s="74"/>
      <c r="O1935" s="73">
        <v>144000.0</v>
      </c>
      <c r="P1935" s="46" t="str">
        <f t="shared" si="2"/>
        <v>Rp12,000-12 LSN-0.00%</v>
      </c>
      <c r="Q1935" s="75">
        <v>45412.0</v>
      </c>
      <c r="R1935" s="76"/>
      <c r="S1935" s="75">
        <v>45423.0</v>
      </c>
      <c r="T1935" s="49"/>
    </row>
    <row r="1936">
      <c r="A1936" s="90">
        <v>4044.0</v>
      </c>
      <c r="B1936" s="91" t="s">
        <v>65</v>
      </c>
      <c r="C1936" s="49" t="s">
        <v>2383</v>
      </c>
      <c r="D1936" s="91" t="s">
        <v>664</v>
      </c>
      <c r="E1936" s="41" t="str">
        <f>IFERROR(__xludf.DUMMYFUNCTION("vlookup(D1936,IMPORTRANGE(""https://docs.google.com/spreadsheets/d/1swGwZOEqYlTEUCJLY-eeJM1911Kvaei5oySBIxdgtNo/edit?pli=1#gid=257618397"",""stock untanna!B:C""),2,false)"),"BP GEL 6603")</f>
        <v>BP GEL 6603</v>
      </c>
      <c r="F1936" s="49" t="s">
        <v>664</v>
      </c>
      <c r="G1936" s="71" t="s">
        <v>665</v>
      </c>
      <c r="H1936" s="41"/>
      <c r="I1936" s="42"/>
      <c r="J1936" s="43"/>
      <c r="K1936" s="72">
        <v>144.0</v>
      </c>
      <c r="L1936" s="53" t="s">
        <v>69</v>
      </c>
      <c r="M1936" s="73">
        <v>1000.0</v>
      </c>
      <c r="N1936" s="74"/>
      <c r="O1936" s="73">
        <v>144000.0</v>
      </c>
      <c r="P1936" s="46" t="str">
        <f t="shared" si="2"/>
        <v>Rp1,000-144 PCS-0.00%</v>
      </c>
      <c r="Q1936" s="75">
        <v>45412.0</v>
      </c>
      <c r="R1936" s="76"/>
      <c r="S1936" s="75">
        <v>45423.0</v>
      </c>
      <c r="T1936" s="49"/>
    </row>
    <row r="1937">
      <c r="A1937" s="90">
        <v>4049.0</v>
      </c>
      <c r="B1937" s="91" t="s">
        <v>65</v>
      </c>
      <c r="C1937" s="49" t="s">
        <v>2386</v>
      </c>
      <c r="D1937" s="91" t="s">
        <v>2327</v>
      </c>
      <c r="E1937" s="41" t="str">
        <f>IFERROR(__xludf.DUMMYFUNCTION("vlookup(D1937,IMPORTRANGE(""https://docs.google.com/spreadsheets/d/1swGwZOEqYlTEUCJLY-eeJM1911Kvaei5oySBIxdgtNo/edit?pli=1#gid=257618397"",""stock untanna!B:C""),2,false)"),"STICK NOTE TF 654 5C")</f>
        <v>STICK NOTE TF 654 5C</v>
      </c>
      <c r="F1937" s="49" t="s">
        <v>2327</v>
      </c>
      <c r="G1937" s="71" t="s">
        <v>2328</v>
      </c>
      <c r="H1937" s="41"/>
      <c r="I1937" s="42"/>
      <c r="J1937" s="43"/>
      <c r="K1937" s="72">
        <v>20.0</v>
      </c>
      <c r="L1937" s="53" t="s">
        <v>69</v>
      </c>
      <c r="M1937" s="73">
        <v>4500.0</v>
      </c>
      <c r="N1937" s="74"/>
      <c r="O1937" s="73">
        <v>90000.0</v>
      </c>
      <c r="P1937" s="46" t="str">
        <f t="shared" si="2"/>
        <v>Rp4,500-20 PCS-0.00%</v>
      </c>
      <c r="Q1937" s="75">
        <v>45412.0</v>
      </c>
      <c r="R1937" s="76"/>
      <c r="S1937" s="75">
        <v>45423.0</v>
      </c>
      <c r="T1937" s="49"/>
    </row>
    <row r="1938">
      <c r="A1938" s="90">
        <v>4049.0</v>
      </c>
      <c r="B1938" s="91" t="s">
        <v>65</v>
      </c>
      <c r="C1938" s="49" t="s">
        <v>2386</v>
      </c>
      <c r="D1938" s="91" t="s">
        <v>2387</v>
      </c>
      <c r="E1938" s="41" t="str">
        <f>IFERROR(__xludf.DUMMYFUNCTION("vlookup(D1938,IMPORTRANGE(""https://docs.google.com/spreadsheets/d/1swGwZOEqYlTEUCJLY-eeJM1911Kvaei5oySBIxdgtNo/edit?pli=1#gid=257618397"",""stock untanna!B:C""),2,false)"),"STICK NOTE TF-010")</f>
        <v>STICK NOTE TF-010</v>
      </c>
      <c r="F1938" s="49" t="s">
        <v>2387</v>
      </c>
      <c r="G1938" s="71" t="s">
        <v>2388</v>
      </c>
      <c r="H1938" s="41"/>
      <c r="I1938" s="42"/>
      <c r="J1938" s="43"/>
      <c r="K1938" s="72">
        <v>20.0</v>
      </c>
      <c r="L1938" s="53" t="s">
        <v>69</v>
      </c>
      <c r="M1938" s="73">
        <v>6000.0</v>
      </c>
      <c r="N1938" s="74"/>
      <c r="O1938" s="73">
        <v>120000.0</v>
      </c>
      <c r="P1938" s="46" t="str">
        <f t="shared" si="2"/>
        <v>Rp6,000-20 PCS-0.00%</v>
      </c>
      <c r="Q1938" s="75">
        <v>45412.0</v>
      </c>
      <c r="R1938" s="76"/>
      <c r="S1938" s="75">
        <v>45423.0</v>
      </c>
      <c r="T1938" s="49"/>
    </row>
    <row r="1939">
      <c r="A1939" s="90">
        <v>4049.0</v>
      </c>
      <c r="B1939" s="91" t="s">
        <v>65</v>
      </c>
      <c r="C1939" s="49" t="s">
        <v>2386</v>
      </c>
      <c r="D1939" s="91" t="s">
        <v>2389</v>
      </c>
      <c r="E1939" s="41" t="str">
        <f>IFERROR(__xludf.DUMMYFUNCTION("vlookup(D1939,IMPORTRANGE(""https://docs.google.com/spreadsheets/d/1swGwZOEqYlTEUCJLY-eeJM1911Kvaei5oySBIxdgtNo/edit?pli=1#gid=257618397"",""stock untanna!B:C""),2,false)"),"ID CARD B3 IMPORT")</f>
        <v>ID CARD B3 IMPORT</v>
      </c>
      <c r="F1939" s="49" t="s">
        <v>2389</v>
      </c>
      <c r="G1939" s="71" t="s">
        <v>2390</v>
      </c>
      <c r="H1939" s="41"/>
      <c r="I1939" s="42"/>
      <c r="J1939" s="43"/>
      <c r="K1939" s="72">
        <v>500.0</v>
      </c>
      <c r="L1939" s="53" t="s">
        <v>69</v>
      </c>
      <c r="M1939" s="73">
        <v>600.0</v>
      </c>
      <c r="N1939" s="74"/>
      <c r="O1939" s="73">
        <v>300000.0</v>
      </c>
      <c r="P1939" s="46" t="str">
        <f t="shared" si="2"/>
        <v>Rp600-500 PCS-0.00%</v>
      </c>
      <c r="Q1939" s="75">
        <v>45412.0</v>
      </c>
      <c r="R1939" s="76"/>
      <c r="S1939" s="75">
        <v>45423.0</v>
      </c>
      <c r="T1939" s="49"/>
    </row>
    <row r="1940">
      <c r="A1940" s="90">
        <v>4049.0</v>
      </c>
      <c r="B1940" s="91" t="s">
        <v>65</v>
      </c>
      <c r="C1940" s="49" t="s">
        <v>2386</v>
      </c>
      <c r="D1940" s="91" t="s">
        <v>750</v>
      </c>
      <c r="E1940" s="41" t="str">
        <f>IFERROR(__xludf.DUMMYFUNCTION("vlookup(D1940,IMPORTRANGE(""https://docs.google.com/spreadsheets/d/1swGwZOEqYlTEUCJLY-eeJM1911Kvaei5oySBIxdgtNo/edit?pli=1#gid=257618397"",""stock untanna!B:C""),2,false)"),"BP X DATA M1")</f>
        <v>BP X DATA M1</v>
      </c>
      <c r="F1940" s="49" t="s">
        <v>750</v>
      </c>
      <c r="G1940" s="71" t="s">
        <v>751</v>
      </c>
      <c r="H1940" s="41"/>
      <c r="I1940" s="42"/>
      <c r="J1940" s="43"/>
      <c r="K1940" s="72">
        <v>3.0</v>
      </c>
      <c r="L1940" s="53" t="s">
        <v>131</v>
      </c>
      <c r="M1940" s="73">
        <v>77500.0</v>
      </c>
      <c r="N1940" s="74"/>
      <c r="O1940" s="73">
        <v>232500.0</v>
      </c>
      <c r="P1940" s="46" t="str">
        <f t="shared" si="2"/>
        <v>Rp77,500-3 GRS-0.00%</v>
      </c>
      <c r="Q1940" s="75">
        <v>45412.0</v>
      </c>
      <c r="R1940" s="76"/>
      <c r="S1940" s="75">
        <v>45423.0</v>
      </c>
      <c r="T1940" s="49"/>
    </row>
    <row r="1941">
      <c r="A1941" s="90">
        <v>4049.0</v>
      </c>
      <c r="B1941" s="91" t="s">
        <v>65</v>
      </c>
      <c r="C1941" s="49" t="s">
        <v>2386</v>
      </c>
      <c r="D1941" s="91" t="s">
        <v>801</v>
      </c>
      <c r="E1941" s="41" t="str">
        <f>IFERROR(__xludf.DUMMYFUNCTION("vlookup(D1941,IMPORTRANGE(""https://docs.google.com/spreadsheets/d/1swGwZOEqYlTEUCJLY-eeJM1911Kvaei5oySBIxdgtNo/edit?pli=1#gid=257618397"",""stock untanna!B:C""),2,false)"),"MAP KANCING SIKA AC-05 MERAH")</f>
        <v>MAP KANCING SIKA AC-05 MERAH</v>
      </c>
      <c r="F1941" s="49" t="s">
        <v>801</v>
      </c>
      <c r="G1941" s="71" t="s">
        <v>802</v>
      </c>
      <c r="H1941" s="41"/>
      <c r="I1941" s="42"/>
      <c r="J1941" s="43"/>
      <c r="K1941" s="72">
        <v>12.0</v>
      </c>
      <c r="L1941" s="53" t="s">
        <v>62</v>
      </c>
      <c r="M1941" s="73">
        <v>20000.0</v>
      </c>
      <c r="N1941" s="74"/>
      <c r="O1941" s="73">
        <v>240000.0</v>
      </c>
      <c r="P1941" s="46" t="str">
        <f t="shared" si="2"/>
        <v>Rp20,000-12 LSN-0.00%</v>
      </c>
      <c r="Q1941" s="75">
        <v>45412.0</v>
      </c>
      <c r="R1941" s="76"/>
      <c r="S1941" s="75">
        <v>45423.0</v>
      </c>
      <c r="T1941" s="49"/>
    </row>
    <row r="1942">
      <c r="A1942" s="90">
        <v>4049.0</v>
      </c>
      <c r="B1942" s="91" t="s">
        <v>65</v>
      </c>
      <c r="C1942" s="49" t="s">
        <v>2386</v>
      </c>
      <c r="D1942" s="91" t="s">
        <v>2052</v>
      </c>
      <c r="E1942" s="41" t="str">
        <f>IFERROR(__xludf.DUMMYFUNCTION("vlookup(D1942,IMPORTRANGE(""https://docs.google.com/spreadsheets/d/1swGwZOEqYlTEUCJLY-eeJM1911Kvaei5oySBIxdgtNo/edit?pli=1#gid=257618397"",""stock untanna!B:C""),2,false)"),"MAP KANCING SIKA AC-05 KUNING")</f>
        <v>MAP KANCING SIKA AC-05 KUNING</v>
      </c>
      <c r="F1942" s="49" t="s">
        <v>2052</v>
      </c>
      <c r="G1942" s="71" t="s">
        <v>2053</v>
      </c>
      <c r="H1942" s="41"/>
      <c r="I1942" s="42"/>
      <c r="J1942" s="43"/>
      <c r="K1942" s="72">
        <v>12.0</v>
      </c>
      <c r="L1942" s="53" t="s">
        <v>62</v>
      </c>
      <c r="M1942" s="73">
        <v>20000.0</v>
      </c>
      <c r="N1942" s="74"/>
      <c r="O1942" s="73">
        <v>240000.0</v>
      </c>
      <c r="P1942" s="46" t="str">
        <f t="shared" si="2"/>
        <v>Rp20,000-12 LSN-0.00%</v>
      </c>
      <c r="Q1942" s="75">
        <v>45412.0</v>
      </c>
      <c r="R1942" s="76"/>
      <c r="S1942" s="75">
        <v>45423.0</v>
      </c>
      <c r="T1942" s="49"/>
    </row>
    <row r="1943">
      <c r="A1943" s="90">
        <v>4049.0</v>
      </c>
      <c r="B1943" s="91" t="s">
        <v>65</v>
      </c>
      <c r="C1943" s="49" t="s">
        <v>2386</v>
      </c>
      <c r="D1943" s="91" t="s">
        <v>799</v>
      </c>
      <c r="E1943" s="41" t="str">
        <f>IFERROR(__xludf.DUMMYFUNCTION("vlookup(D1943,IMPORTRANGE(""https://docs.google.com/spreadsheets/d/1swGwZOEqYlTEUCJLY-eeJM1911Kvaei5oySBIxdgtNo/edit?pli=1#gid=257618397"",""stock untanna!B:C""),2,false)"),"MAP KANCING SIKA AC-05 HIJAU")</f>
        <v>MAP KANCING SIKA AC-05 HIJAU</v>
      </c>
      <c r="F1943" s="49" t="s">
        <v>799</v>
      </c>
      <c r="G1943" s="71" t="s">
        <v>800</v>
      </c>
      <c r="H1943" s="41"/>
      <c r="I1943" s="42"/>
      <c r="J1943" s="43"/>
      <c r="K1943" s="72">
        <v>12.0</v>
      </c>
      <c r="L1943" s="53" t="s">
        <v>62</v>
      </c>
      <c r="M1943" s="73">
        <v>20000.0</v>
      </c>
      <c r="N1943" s="74"/>
      <c r="O1943" s="73">
        <v>240000.0</v>
      </c>
      <c r="P1943" s="46" t="str">
        <f t="shared" si="2"/>
        <v>Rp20,000-12 LSN-0.00%</v>
      </c>
      <c r="Q1943" s="75">
        <v>45412.0</v>
      </c>
      <c r="R1943" s="76"/>
      <c r="S1943" s="75">
        <v>45423.0</v>
      </c>
      <c r="T1943" s="49"/>
    </row>
    <row r="1944">
      <c r="A1944" s="90">
        <v>4049.0</v>
      </c>
      <c r="B1944" s="91" t="s">
        <v>65</v>
      </c>
      <c r="C1944" s="49" t="s">
        <v>2386</v>
      </c>
      <c r="D1944" s="91" t="s">
        <v>797</v>
      </c>
      <c r="E1944" s="41" t="str">
        <f>IFERROR(__xludf.DUMMYFUNCTION("vlookup(D1944,IMPORTRANGE(""https://docs.google.com/spreadsheets/d/1swGwZOEqYlTEUCJLY-eeJM1911Kvaei5oySBIxdgtNo/edit?pli=1#gid=257618397"",""stock untanna!B:C""),2,false)"),"MAP KANCING SIKA AC-05 BIRU")</f>
        <v>MAP KANCING SIKA AC-05 BIRU</v>
      </c>
      <c r="F1944" s="49" t="s">
        <v>797</v>
      </c>
      <c r="G1944" s="71" t="s">
        <v>798</v>
      </c>
      <c r="H1944" s="41"/>
      <c r="I1944" s="42"/>
      <c r="J1944" s="43"/>
      <c r="K1944" s="72">
        <v>12.0</v>
      </c>
      <c r="L1944" s="53" t="s">
        <v>62</v>
      </c>
      <c r="M1944" s="73">
        <v>20000.0</v>
      </c>
      <c r="N1944" s="74"/>
      <c r="O1944" s="73">
        <v>240000.0</v>
      </c>
      <c r="P1944" s="46" t="str">
        <f t="shared" si="2"/>
        <v>Rp20,000-12 LSN-0.00%</v>
      </c>
      <c r="Q1944" s="75">
        <v>45412.0</v>
      </c>
      <c r="R1944" s="76"/>
      <c r="S1944" s="75">
        <v>45423.0</v>
      </c>
      <c r="T1944" s="49"/>
    </row>
    <row r="1945">
      <c r="A1945" s="90">
        <v>4049.0</v>
      </c>
      <c r="B1945" s="91" t="s">
        <v>65</v>
      </c>
      <c r="C1945" s="49" t="s">
        <v>2386</v>
      </c>
      <c r="D1945" s="91" t="s">
        <v>705</v>
      </c>
      <c r="E1945" s="41" t="str">
        <f>IFERROR(__xludf.DUMMYFUNCTION("vlookup(D1945,IMPORTRANGE(""https://docs.google.com/spreadsheets/d/1swGwZOEqYlTEUCJLY-eeJM1911Kvaei5oySBIxdgtNo/edit?pli=1#gid=257618397"",""stock untanna!B:C""),2,false)"),"MAP KANCING SIKA AC-05 PUTIH")</f>
        <v>MAP KANCING SIKA AC-05 PUTIH</v>
      </c>
      <c r="F1945" s="49" t="s">
        <v>705</v>
      </c>
      <c r="G1945" s="71" t="s">
        <v>706</v>
      </c>
      <c r="H1945" s="41"/>
      <c r="I1945" s="42"/>
      <c r="J1945" s="43"/>
      <c r="K1945" s="72">
        <v>12.0</v>
      </c>
      <c r="L1945" s="53" t="s">
        <v>62</v>
      </c>
      <c r="M1945" s="73">
        <v>20000.0</v>
      </c>
      <c r="N1945" s="74"/>
      <c r="O1945" s="73">
        <v>240000.0</v>
      </c>
      <c r="P1945" s="46" t="str">
        <f t="shared" si="2"/>
        <v>Rp20,000-12 LSN-0.00%</v>
      </c>
      <c r="Q1945" s="75">
        <v>45412.0</v>
      </c>
      <c r="R1945" s="76"/>
      <c r="S1945" s="75">
        <v>45423.0</v>
      </c>
      <c r="T1945" s="49"/>
    </row>
    <row r="1946">
      <c r="A1946" s="90">
        <v>4049.0</v>
      </c>
      <c r="B1946" s="91" t="s">
        <v>65</v>
      </c>
      <c r="C1946" s="49" t="s">
        <v>2386</v>
      </c>
      <c r="D1946" s="91"/>
      <c r="E1946" s="41" t="s">
        <v>2391</v>
      </c>
      <c r="F1946" s="49"/>
      <c r="G1946" s="71" t="s">
        <v>2391</v>
      </c>
      <c r="H1946" s="41"/>
      <c r="I1946" s="42"/>
      <c r="J1946" s="43"/>
      <c r="K1946" s="72">
        <v>200.0</v>
      </c>
      <c r="L1946" s="53" t="s">
        <v>69</v>
      </c>
      <c r="M1946" s="73">
        <v>1100.0</v>
      </c>
      <c r="N1946" s="74"/>
      <c r="O1946" s="73">
        <v>220000.0</v>
      </c>
      <c r="P1946" s="46" t="str">
        <f t="shared" si="2"/>
        <v>Rp1,100-200 PCS-0.00%</v>
      </c>
      <c r="Q1946" s="75">
        <v>45412.0</v>
      </c>
      <c r="R1946" s="76"/>
      <c r="S1946" s="75">
        <v>45423.0</v>
      </c>
      <c r="T1946" s="49"/>
    </row>
    <row r="1947">
      <c r="A1947" s="90">
        <v>4049.0</v>
      </c>
      <c r="B1947" s="91" t="s">
        <v>65</v>
      </c>
      <c r="C1947" s="49" t="s">
        <v>2386</v>
      </c>
      <c r="D1947" s="91" t="s">
        <v>1813</v>
      </c>
      <c r="E1947" s="41" t="str">
        <f>IFERROR(__xludf.DUMMYFUNCTION("vlookup(D1947,IMPORTRANGE(""https://docs.google.com/spreadsheets/d/1swGwZOEqYlTEUCJLY-eeJM1911Kvaei5oySBIxdgtNo/edit?pli=1#gid=257618397"",""stock untanna!B:C""),2,false)"),"AGENDA 7025-25K (BC 333)")</f>
        <v>AGENDA 7025-25K (BC 333)</v>
      </c>
      <c r="F1947" s="49" t="s">
        <v>1813</v>
      </c>
      <c r="G1947" s="71" t="s">
        <v>1814</v>
      </c>
      <c r="H1947" s="41"/>
      <c r="I1947" s="42"/>
      <c r="J1947" s="43"/>
      <c r="K1947" s="72">
        <v>24.0</v>
      </c>
      <c r="L1947" s="53" t="s">
        <v>69</v>
      </c>
      <c r="M1947" s="73">
        <v>14500.0</v>
      </c>
      <c r="N1947" s="74"/>
      <c r="O1947" s="73">
        <v>348000.0</v>
      </c>
      <c r="P1947" s="46" t="str">
        <f t="shared" si="2"/>
        <v>Rp14,500-24 PCS-0.00%</v>
      </c>
      <c r="Q1947" s="75">
        <v>45412.0</v>
      </c>
      <c r="R1947" s="76"/>
      <c r="S1947" s="75">
        <v>45423.0</v>
      </c>
      <c r="T1947" s="49"/>
    </row>
    <row r="1948">
      <c r="A1948" s="90">
        <v>4046.0</v>
      </c>
      <c r="B1948" s="91" t="s">
        <v>65</v>
      </c>
      <c r="C1948" s="49" t="s">
        <v>66</v>
      </c>
      <c r="D1948" s="91" t="s">
        <v>590</v>
      </c>
      <c r="E1948" s="41" t="str">
        <f>IFERROR(__xludf.DUMMYFUNCTION("vlookup(D1948,IMPORTRANGE(""https://docs.google.com/spreadsheets/d/1swGwZOEqYlTEUCJLY-eeJM1911Kvaei5oySBIxdgtNo/edit?pli=1#gid=257618397"",""stock untanna!B:C""),2,false)"),"PENSIL CASE A-870")</f>
        <v>PENSIL CASE A-870</v>
      </c>
      <c r="F1948" s="49" t="s">
        <v>590</v>
      </c>
      <c r="G1948" s="71" t="s">
        <v>591</v>
      </c>
      <c r="H1948" s="41"/>
      <c r="I1948" s="42"/>
      <c r="J1948" s="43"/>
      <c r="K1948" s="72">
        <v>288.0</v>
      </c>
      <c r="L1948" s="53" t="s">
        <v>69</v>
      </c>
      <c r="M1948" s="73">
        <v>10500.0</v>
      </c>
      <c r="N1948" s="74"/>
      <c r="O1948" s="73">
        <v>3024000.0</v>
      </c>
      <c r="P1948" s="46" t="str">
        <f t="shared" si="2"/>
        <v>Rp10,500-288 PCS-0.00%</v>
      </c>
      <c r="Q1948" s="75">
        <v>45412.0</v>
      </c>
      <c r="R1948" s="76"/>
      <c r="S1948" s="75">
        <v>45423.0</v>
      </c>
      <c r="T1948" s="49"/>
    </row>
    <row r="1949">
      <c r="A1949" s="90">
        <v>4046.0</v>
      </c>
      <c r="B1949" s="91" t="s">
        <v>65</v>
      </c>
      <c r="C1949" s="49" t="s">
        <v>66</v>
      </c>
      <c r="D1949" s="91"/>
      <c r="E1949" s="41" t="s">
        <v>2312</v>
      </c>
      <c r="F1949" s="49"/>
      <c r="G1949" s="71" t="s">
        <v>2312</v>
      </c>
      <c r="H1949" s="41"/>
      <c r="I1949" s="42"/>
      <c r="J1949" s="43"/>
      <c r="K1949" s="72">
        <v>1000.0</v>
      </c>
      <c r="L1949" s="53" t="s">
        <v>1726</v>
      </c>
      <c r="M1949" s="73">
        <v>3750.0</v>
      </c>
      <c r="N1949" s="74"/>
      <c r="O1949" s="73">
        <v>3750000.0</v>
      </c>
      <c r="P1949" s="46" t="str">
        <f t="shared" si="2"/>
        <v>Rp3,750-1000 SLOP-0.00%</v>
      </c>
      <c r="Q1949" s="75">
        <v>45412.0</v>
      </c>
      <c r="R1949" s="76"/>
      <c r="S1949" s="75">
        <v>45423.0</v>
      </c>
      <c r="T1949" s="49"/>
    </row>
    <row r="1950">
      <c r="A1950" s="90">
        <v>4046.0</v>
      </c>
      <c r="B1950" s="91" t="s">
        <v>65</v>
      </c>
      <c r="C1950" s="49" t="s">
        <v>66</v>
      </c>
      <c r="D1950" s="91" t="s">
        <v>2392</v>
      </c>
      <c r="E1950" s="41" t="str">
        <f>IFERROR(__xludf.DUMMYFUNCTION("vlookup(D1950,IMPORTRANGE(""https://docs.google.com/spreadsheets/d/1swGwZOEqYlTEUCJLY-eeJM1911Kvaei5oySBIxdgtNo/edit?pli=1#gid=257618397"",""stock untanna!B:C""),2,false)"),"NOTEBOOK 70100-2")</f>
        <v>NOTEBOOK 70100-2</v>
      </c>
      <c r="F1950" s="49" t="s">
        <v>2392</v>
      </c>
      <c r="G1950" s="71" t="s">
        <v>2393</v>
      </c>
      <c r="H1950" s="41"/>
      <c r="I1950" s="42"/>
      <c r="J1950" s="43"/>
      <c r="K1950" s="72">
        <v>32.0</v>
      </c>
      <c r="L1950" s="53" t="s">
        <v>62</v>
      </c>
      <c r="M1950" s="73">
        <v>42000.0</v>
      </c>
      <c r="N1950" s="74"/>
      <c r="O1950" s="73">
        <v>1344000.0</v>
      </c>
      <c r="P1950" s="46" t="str">
        <f t="shared" si="2"/>
        <v>Rp42,000-32 LSN-0.00%</v>
      </c>
      <c r="Q1950" s="75">
        <v>45412.0</v>
      </c>
      <c r="R1950" s="76"/>
      <c r="S1950" s="75">
        <v>45423.0</v>
      </c>
      <c r="T1950" s="49"/>
    </row>
    <row r="1951">
      <c r="A1951" s="90">
        <v>4046.0</v>
      </c>
      <c r="B1951" s="91" t="s">
        <v>65</v>
      </c>
      <c r="C1951" s="49" t="s">
        <v>66</v>
      </c>
      <c r="D1951" s="91"/>
      <c r="E1951" s="41" t="s">
        <v>2394</v>
      </c>
      <c r="F1951" s="49"/>
      <c r="G1951" s="71" t="s">
        <v>2394</v>
      </c>
      <c r="H1951" s="41"/>
      <c r="I1951" s="42"/>
      <c r="J1951" s="43"/>
      <c r="K1951" s="72">
        <v>384.0</v>
      </c>
      <c r="L1951" s="53" t="s">
        <v>69</v>
      </c>
      <c r="M1951" s="73">
        <v>3500.0</v>
      </c>
      <c r="N1951" s="74"/>
      <c r="O1951" s="73">
        <v>1344000.0</v>
      </c>
      <c r="P1951" s="46" t="str">
        <f t="shared" si="2"/>
        <v>Rp3,500-384 PCS-0.00%</v>
      </c>
      <c r="Q1951" s="75">
        <v>45412.0</v>
      </c>
      <c r="R1951" s="76"/>
      <c r="S1951" s="75">
        <v>45423.0</v>
      </c>
      <c r="T1951" s="80" t="s">
        <v>280</v>
      </c>
    </row>
    <row r="1952">
      <c r="A1952" s="90">
        <v>4362.0</v>
      </c>
      <c r="B1952" s="91" t="s">
        <v>58</v>
      </c>
      <c r="C1952" s="49" t="s">
        <v>2395</v>
      </c>
      <c r="D1952" s="91" t="s">
        <v>337</v>
      </c>
      <c r="E1952" s="41" t="str">
        <f>IFERROR(__xludf.DUMMYFUNCTION("vlookup(D1952,IMPORTRANGE(""https://docs.google.com/spreadsheets/d/1swGwZOEqYlTEUCJLY-eeJM1911Kvaei5oySBIxdgtNo/edit?pli=1#gid=257618397"",""stock untanna!B:C""),2,false)"),"GARISAN MIKA 40CM ENTER")</f>
        <v>GARISAN MIKA 40CM ENTER</v>
      </c>
      <c r="F1952" s="49" t="s">
        <v>337</v>
      </c>
      <c r="G1952" s="71" t="s">
        <v>338</v>
      </c>
      <c r="H1952" s="41"/>
      <c r="I1952" s="42"/>
      <c r="J1952" s="43"/>
      <c r="K1952" s="72">
        <v>10.0</v>
      </c>
      <c r="L1952" s="53" t="s">
        <v>62</v>
      </c>
      <c r="M1952" s="73">
        <v>28750.0</v>
      </c>
      <c r="N1952" s="74"/>
      <c r="O1952" s="73">
        <v>287500.0</v>
      </c>
      <c r="P1952" s="46" t="str">
        <f t="shared" si="2"/>
        <v>Rp28,750-10 LSN-0.00%</v>
      </c>
      <c r="Q1952" s="75">
        <v>45412.0</v>
      </c>
      <c r="R1952" s="76"/>
      <c r="S1952" s="75">
        <v>45423.0</v>
      </c>
      <c r="T1952" s="49"/>
    </row>
    <row r="1953">
      <c r="A1953" s="90">
        <v>4361.0</v>
      </c>
      <c r="B1953" s="91" t="s">
        <v>58</v>
      </c>
      <c r="C1953" s="49" t="s">
        <v>2396</v>
      </c>
      <c r="D1953" s="91" t="s">
        <v>1724</v>
      </c>
      <c r="E1953" s="41" t="str">
        <f>IFERROR(__xludf.DUMMYFUNCTION("vlookup(D1953,IMPORTRANGE(""https://docs.google.com/spreadsheets/d/1swGwZOEqYlTEUCJLY-eeJM1911Kvaei5oySBIxdgtNo/edit?pli=1#gid=257618397"",""stock untanna!B:C""),2,false)"),"PITA JEPANG ROLL POLOS WOMY")</f>
        <v>PITA JEPANG ROLL POLOS WOMY</v>
      </c>
      <c r="F1953" s="49" t="s">
        <v>1724</v>
      </c>
      <c r="G1953" s="71" t="s">
        <v>1725</v>
      </c>
      <c r="H1953" s="41"/>
      <c r="I1953" s="42"/>
      <c r="J1953" s="43"/>
      <c r="K1953" s="72">
        <v>40.0</v>
      </c>
      <c r="L1953" s="53" t="s">
        <v>1726</v>
      </c>
      <c r="M1953" s="73">
        <v>25000.0</v>
      </c>
      <c r="N1953" s="74"/>
      <c r="O1953" s="73">
        <v>1000000.0</v>
      </c>
      <c r="P1953" s="46" t="str">
        <f t="shared" si="2"/>
        <v>Rp25,000-40 SLOP-0.00%</v>
      </c>
      <c r="Q1953" s="75">
        <v>45412.0</v>
      </c>
      <c r="R1953" s="76"/>
      <c r="S1953" s="75">
        <v>45423.0</v>
      </c>
      <c r="T1953" s="49"/>
    </row>
    <row r="1954">
      <c r="A1954" s="90">
        <v>4361.0</v>
      </c>
      <c r="B1954" s="91" t="s">
        <v>58</v>
      </c>
      <c r="C1954" s="49" t="s">
        <v>2396</v>
      </c>
      <c r="D1954" s="91"/>
      <c r="E1954" s="41" t="s">
        <v>2397</v>
      </c>
      <c r="F1954" s="49"/>
      <c r="G1954" s="71" t="s">
        <v>2397</v>
      </c>
      <c r="H1954" s="41"/>
      <c r="I1954" s="42"/>
      <c r="J1954" s="43"/>
      <c r="K1954" s="72">
        <v>200.0</v>
      </c>
      <c r="L1954" s="53" t="s">
        <v>114</v>
      </c>
      <c r="M1954" s="73">
        <v>3000.0</v>
      </c>
      <c r="N1954" s="74"/>
      <c r="O1954" s="73">
        <v>600000.0</v>
      </c>
      <c r="P1954" s="46" t="str">
        <f t="shared" si="2"/>
        <v>Rp3,000-200 PAK-0.00%</v>
      </c>
      <c r="Q1954" s="75">
        <v>45412.0</v>
      </c>
      <c r="R1954" s="76"/>
      <c r="S1954" s="75">
        <v>45423.0</v>
      </c>
      <c r="T1954" s="49"/>
    </row>
    <row r="1955">
      <c r="A1955" s="90">
        <v>103.0</v>
      </c>
      <c r="B1955" s="91" t="s">
        <v>65</v>
      </c>
      <c r="C1955" s="49" t="s">
        <v>66</v>
      </c>
      <c r="D1955" s="91" t="s">
        <v>2398</v>
      </c>
      <c r="E1955" s="41" t="str">
        <f>IFERROR(__xludf.DUMMYFUNCTION("vlookup(D1955,IMPORTRANGE(""https://docs.google.com/spreadsheets/d/1swGwZOEqYlTEUCJLY-eeJM1911Kvaei5oySBIxdgtNo/edit?pli=1#gid=257618397"",""stock untanna!B:C""),2,false)"),"NOTEBOOK  A5-508")</f>
        <v>NOTEBOOK  A5-508</v>
      </c>
      <c r="F1955" s="49" t="s">
        <v>2398</v>
      </c>
      <c r="G1955" s="71" t="s">
        <v>2399</v>
      </c>
      <c r="H1955" s="41"/>
      <c r="I1955" s="42"/>
      <c r="J1955" s="43"/>
      <c r="K1955" s="72">
        <v>5.0</v>
      </c>
      <c r="L1955" s="53" t="s">
        <v>62</v>
      </c>
      <c r="M1955" s="73">
        <v>168000.0</v>
      </c>
      <c r="N1955" s="83">
        <v>0.05</v>
      </c>
      <c r="O1955" s="73">
        <v>798000.0</v>
      </c>
      <c r="P1955" s="46" t="str">
        <f t="shared" si="2"/>
        <v>Rp168,000-5 LSN-5.00%</v>
      </c>
      <c r="Q1955" s="75">
        <v>45412.0</v>
      </c>
      <c r="R1955" s="76"/>
      <c r="S1955" s="75">
        <v>45423.0</v>
      </c>
      <c r="T1955" s="49"/>
    </row>
    <row r="1956">
      <c r="A1956" s="90">
        <v>103.0</v>
      </c>
      <c r="B1956" s="91" t="s">
        <v>65</v>
      </c>
      <c r="C1956" s="49" t="s">
        <v>66</v>
      </c>
      <c r="D1956" s="91" t="s">
        <v>1374</v>
      </c>
      <c r="E1956" s="41" t="str">
        <f>IFERROR(__xludf.DUMMYFUNCTION("vlookup(D1956,IMPORTRANGE(""https://docs.google.com/spreadsheets/d/1swGwZOEqYlTEUCJLY-eeJM1911Kvaei5oySBIxdgtNo/edit?pli=1#gid=257618397"",""stock untanna!B:C""),2,false)"),"NOTEBOOK  A5-106")</f>
        <v>NOTEBOOK  A5-106</v>
      </c>
      <c r="F1956" s="49" t="s">
        <v>1374</v>
      </c>
      <c r="G1956" s="71" t="s">
        <v>1375</v>
      </c>
      <c r="H1956" s="41"/>
      <c r="I1956" s="42"/>
      <c r="J1956" s="43"/>
      <c r="K1956" s="72">
        <v>60.0</v>
      </c>
      <c r="L1956" s="53" t="s">
        <v>69</v>
      </c>
      <c r="M1956" s="73">
        <v>14000.0</v>
      </c>
      <c r="N1956" s="83">
        <v>0.05</v>
      </c>
      <c r="O1956" s="73">
        <v>798000.0</v>
      </c>
      <c r="P1956" s="46" t="str">
        <f t="shared" si="2"/>
        <v>Rp14,000-60 PCS-5.00%</v>
      </c>
      <c r="Q1956" s="75">
        <v>45412.0</v>
      </c>
      <c r="R1956" s="76"/>
      <c r="S1956" s="75">
        <v>45423.0</v>
      </c>
      <c r="T1956" s="49"/>
    </row>
    <row r="1957">
      <c r="A1957" s="90">
        <v>103.0</v>
      </c>
      <c r="B1957" s="91" t="s">
        <v>65</v>
      </c>
      <c r="C1957" s="49" t="s">
        <v>66</v>
      </c>
      <c r="D1957" s="91" t="s">
        <v>1885</v>
      </c>
      <c r="E1957" s="41" t="str">
        <f>IFERROR(__xludf.DUMMYFUNCTION("vlookup(D1957,IMPORTRANGE(""https://docs.google.com/spreadsheets/d/1swGwZOEqYlTEUCJLY-eeJM1911Kvaei5oySBIxdgtNo/edit?pli=1#gid=257618397"",""stock untanna!B:C""),2,false)"),"NOTEBOOK  707-24")</f>
        <v>NOTEBOOK  707-24</v>
      </c>
      <c r="F1957" s="49" t="s">
        <v>1885</v>
      </c>
      <c r="G1957" s="71" t="s">
        <v>1886</v>
      </c>
      <c r="H1957" s="41"/>
      <c r="I1957" s="42"/>
      <c r="J1957" s="43"/>
      <c r="K1957" s="72">
        <v>60.0</v>
      </c>
      <c r="L1957" s="53" t="s">
        <v>69</v>
      </c>
      <c r="M1957" s="73">
        <v>14000.0</v>
      </c>
      <c r="N1957" s="83">
        <v>0.05</v>
      </c>
      <c r="O1957" s="73">
        <v>798000.0</v>
      </c>
      <c r="P1957" s="46" t="str">
        <f t="shared" si="2"/>
        <v>Rp14,000-60 PCS-5.00%</v>
      </c>
      <c r="Q1957" s="75">
        <v>45412.0</v>
      </c>
      <c r="R1957" s="76"/>
      <c r="S1957" s="75">
        <v>45423.0</v>
      </c>
      <c r="T1957" s="49"/>
    </row>
    <row r="1958">
      <c r="A1958" s="90">
        <v>103.0</v>
      </c>
      <c r="B1958" s="91" t="s">
        <v>65</v>
      </c>
      <c r="C1958" s="49" t="s">
        <v>66</v>
      </c>
      <c r="D1958" s="91" t="s">
        <v>2400</v>
      </c>
      <c r="E1958" s="41" t="str">
        <f>IFERROR(__xludf.DUMMYFUNCTION("vlookup(D1958,IMPORTRANGE(""https://docs.google.com/spreadsheets/d/1swGwZOEqYlTEUCJLY-eeJM1911Kvaei5oySBIxdgtNo/edit?pli=1#gid=257618397"",""stock untanna!B:C""),2,false)"),"NOTEBOOK  A5-104")</f>
        <v>NOTEBOOK  A5-104</v>
      </c>
      <c r="F1958" s="49" t="s">
        <v>2400</v>
      </c>
      <c r="G1958" s="71" t="s">
        <v>2401</v>
      </c>
      <c r="H1958" s="41"/>
      <c r="I1958" s="42"/>
      <c r="J1958" s="43"/>
      <c r="K1958" s="72">
        <v>60.0</v>
      </c>
      <c r="L1958" s="53" t="s">
        <v>69</v>
      </c>
      <c r="M1958" s="73">
        <v>14000.0</v>
      </c>
      <c r="N1958" s="83">
        <v>0.05</v>
      </c>
      <c r="O1958" s="73">
        <v>798000.0</v>
      </c>
      <c r="P1958" s="46" t="str">
        <f t="shared" si="2"/>
        <v>Rp14,000-60 PCS-5.00%</v>
      </c>
      <c r="Q1958" s="75">
        <v>45412.0</v>
      </c>
      <c r="R1958" s="76"/>
      <c r="S1958" s="75">
        <v>45423.0</v>
      </c>
      <c r="T1958" s="49"/>
    </row>
    <row r="1959">
      <c r="A1959" s="90">
        <v>103.0</v>
      </c>
      <c r="B1959" s="91" t="s">
        <v>65</v>
      </c>
      <c r="C1959" s="49" t="s">
        <v>66</v>
      </c>
      <c r="D1959" s="91" t="s">
        <v>1889</v>
      </c>
      <c r="E1959" s="41" t="str">
        <f>IFERROR(__xludf.DUMMYFUNCTION("vlookup(D1959,IMPORTRANGE(""https://docs.google.com/spreadsheets/d/1swGwZOEqYlTEUCJLY-eeJM1911Kvaei5oySBIxdgtNo/edit?pli=1#gid=257618397"",""stock untanna!B:C""),2,false)"),"NOTEBOOK  A5-107")</f>
        <v>NOTEBOOK  A5-107</v>
      </c>
      <c r="F1959" s="49" t="s">
        <v>1889</v>
      </c>
      <c r="G1959" s="71" t="s">
        <v>1890</v>
      </c>
      <c r="H1959" s="41"/>
      <c r="I1959" s="42"/>
      <c r="J1959" s="43"/>
      <c r="K1959" s="72">
        <v>5.0</v>
      </c>
      <c r="L1959" s="53" t="s">
        <v>62</v>
      </c>
      <c r="M1959" s="73">
        <v>168000.0</v>
      </c>
      <c r="N1959" s="83">
        <v>0.05</v>
      </c>
      <c r="O1959" s="73">
        <v>798000.0</v>
      </c>
      <c r="P1959" s="46" t="str">
        <f t="shared" si="2"/>
        <v>Rp168,000-5 LSN-5.00%</v>
      </c>
      <c r="Q1959" s="75">
        <v>45412.0</v>
      </c>
      <c r="R1959" s="76"/>
      <c r="S1959" s="75">
        <v>45423.0</v>
      </c>
      <c r="T1959" s="49"/>
    </row>
    <row r="1960">
      <c r="A1960" s="90">
        <v>103.0</v>
      </c>
      <c r="B1960" s="91" t="s">
        <v>65</v>
      </c>
      <c r="C1960" s="49" t="s">
        <v>66</v>
      </c>
      <c r="D1960" s="91" t="s">
        <v>2402</v>
      </c>
      <c r="E1960" s="41" t="str">
        <f>IFERROR(__xludf.DUMMYFUNCTION("vlookup(D1960,IMPORTRANGE(""https://docs.google.com/spreadsheets/d/1swGwZOEqYlTEUCJLY-eeJM1911Kvaei5oySBIxdgtNo/edit?pli=1#gid=257618397"",""stock untanna!B:C""),2,false)"),"NOTEBOOK  A5-521")</f>
        <v>NOTEBOOK  A5-521</v>
      </c>
      <c r="F1960" s="49" t="s">
        <v>2402</v>
      </c>
      <c r="G1960" s="71" t="s">
        <v>2403</v>
      </c>
      <c r="H1960" s="41"/>
      <c r="I1960" s="42"/>
      <c r="J1960" s="43"/>
      <c r="K1960" s="72">
        <v>5.0</v>
      </c>
      <c r="L1960" s="53" t="s">
        <v>62</v>
      </c>
      <c r="M1960" s="73">
        <v>168000.0</v>
      </c>
      <c r="N1960" s="83">
        <v>0.05</v>
      </c>
      <c r="O1960" s="73">
        <v>798000.0</v>
      </c>
      <c r="P1960" s="46" t="str">
        <f t="shared" si="2"/>
        <v>Rp168,000-5 LSN-5.00%</v>
      </c>
      <c r="Q1960" s="75">
        <v>45412.0</v>
      </c>
      <c r="R1960" s="76"/>
      <c r="S1960" s="75">
        <v>45423.0</v>
      </c>
      <c r="T1960" s="49"/>
    </row>
    <row r="1961">
      <c r="A1961" s="90">
        <v>103.0</v>
      </c>
      <c r="B1961" s="91" t="s">
        <v>65</v>
      </c>
      <c r="C1961" s="49" t="s">
        <v>66</v>
      </c>
      <c r="D1961" s="91" t="s">
        <v>1780</v>
      </c>
      <c r="E1961" s="41" t="str">
        <f>IFERROR(__xludf.DUMMYFUNCTION("vlookup(D1961,IMPORTRANGE(""https://docs.google.com/spreadsheets/d/1swGwZOEqYlTEUCJLY-eeJM1911Kvaei5oySBIxdgtNo/edit?pli=1#gid=257618397"",""stock untanna!B:C""),2,false)"),"NOTEBOOK 7025-18")</f>
        <v>NOTEBOOK 7025-18</v>
      </c>
      <c r="F1961" s="49" t="s">
        <v>1780</v>
      </c>
      <c r="G1961" s="71" t="s">
        <v>1781</v>
      </c>
      <c r="H1961" s="41"/>
      <c r="I1961" s="42"/>
      <c r="J1961" s="43"/>
      <c r="K1961" s="72">
        <v>8.0</v>
      </c>
      <c r="L1961" s="53" t="s">
        <v>62</v>
      </c>
      <c r="M1961" s="73">
        <v>126000.0</v>
      </c>
      <c r="N1961" s="74"/>
      <c r="O1961" s="73">
        <v>1008000.0</v>
      </c>
      <c r="P1961" s="46" t="str">
        <f t="shared" si="2"/>
        <v>Rp126,000-8 LSN-0.00%</v>
      </c>
      <c r="Q1961" s="75">
        <v>45412.0</v>
      </c>
      <c r="R1961" s="76"/>
      <c r="S1961" s="75">
        <v>45423.0</v>
      </c>
      <c r="T1961" s="49"/>
    </row>
    <row r="1962">
      <c r="A1962" s="90">
        <v>103.0</v>
      </c>
      <c r="B1962" s="91" t="s">
        <v>65</v>
      </c>
      <c r="C1962" s="49" t="s">
        <v>66</v>
      </c>
      <c r="D1962" s="91" t="s">
        <v>1787</v>
      </c>
      <c r="E1962" s="41" t="str">
        <f>IFERROR(__xludf.DUMMYFUNCTION("vlookup(D1962,IMPORTRANGE(""https://docs.google.com/spreadsheets/d/1swGwZOEqYlTEUCJLY-eeJM1911Kvaei5oySBIxdgtNo/edit?pli=1#gid=257618397"",""stock untanna!B:C""),2,false)"),"NOTEBOOK 7025-27")</f>
        <v>NOTEBOOK 7025-27</v>
      </c>
      <c r="F1962" s="49" t="s">
        <v>1787</v>
      </c>
      <c r="G1962" s="71" t="s">
        <v>1788</v>
      </c>
      <c r="H1962" s="41"/>
      <c r="I1962" s="42"/>
      <c r="J1962" s="43"/>
      <c r="K1962" s="72">
        <v>8.0</v>
      </c>
      <c r="L1962" s="53" t="s">
        <v>62</v>
      </c>
      <c r="M1962" s="73">
        <v>126000.0</v>
      </c>
      <c r="N1962" s="74"/>
      <c r="O1962" s="73">
        <v>1008000.0</v>
      </c>
      <c r="P1962" s="46" t="str">
        <f t="shared" si="2"/>
        <v>Rp126,000-8 LSN-0.00%</v>
      </c>
      <c r="Q1962" s="75">
        <v>45412.0</v>
      </c>
      <c r="R1962" s="76"/>
      <c r="S1962" s="75">
        <v>45423.0</v>
      </c>
      <c r="T1962" s="49"/>
    </row>
    <row r="1963">
      <c r="A1963" s="90">
        <v>103.0</v>
      </c>
      <c r="B1963" s="91" t="s">
        <v>65</v>
      </c>
      <c r="C1963" s="49" t="s">
        <v>66</v>
      </c>
      <c r="D1963" s="91" t="s">
        <v>1785</v>
      </c>
      <c r="E1963" s="41" t="str">
        <f>IFERROR(__xludf.DUMMYFUNCTION("vlookup(D1963,IMPORTRANGE(""https://docs.google.com/spreadsheets/d/1swGwZOEqYlTEUCJLY-eeJM1911Kvaei5oySBIxdgtNo/edit?pli=1#gid=257618397"",""stock untanna!B:C""),2,false)"),"NOTEBOOK 7025-30")</f>
        <v>NOTEBOOK 7025-30</v>
      </c>
      <c r="F1963" s="49" t="s">
        <v>1785</v>
      </c>
      <c r="G1963" s="71" t="s">
        <v>1786</v>
      </c>
      <c r="H1963" s="41"/>
      <c r="I1963" s="42"/>
      <c r="J1963" s="43"/>
      <c r="K1963" s="72">
        <v>96.0</v>
      </c>
      <c r="L1963" s="53" t="s">
        <v>69</v>
      </c>
      <c r="M1963" s="73">
        <v>10500.0</v>
      </c>
      <c r="N1963" s="74"/>
      <c r="O1963" s="73">
        <v>1008000.0</v>
      </c>
      <c r="P1963" s="46" t="str">
        <f t="shared" si="2"/>
        <v>Rp10,500-96 PCS-0.00%</v>
      </c>
      <c r="Q1963" s="75">
        <v>45412.0</v>
      </c>
      <c r="R1963" s="76"/>
      <c r="S1963" s="75">
        <v>45423.0</v>
      </c>
      <c r="T1963" s="49"/>
    </row>
    <row r="1964">
      <c r="A1964" s="90">
        <v>103.0</v>
      </c>
      <c r="B1964" s="91" t="s">
        <v>65</v>
      </c>
      <c r="C1964" s="49" t="s">
        <v>66</v>
      </c>
      <c r="D1964" s="91" t="s">
        <v>1783</v>
      </c>
      <c r="E1964" s="41" t="str">
        <f>IFERROR(__xludf.DUMMYFUNCTION("vlookup(D1964,IMPORTRANGE(""https://docs.google.com/spreadsheets/d/1swGwZOEqYlTEUCJLY-eeJM1911Kvaei5oySBIxdgtNo/edit?pli=1#gid=257618397"",""stock untanna!B:C""),2,false)"),"NOTEBOOK 7025-28")</f>
        <v>NOTEBOOK 7025-28</v>
      </c>
      <c r="F1964" s="49" t="s">
        <v>1783</v>
      </c>
      <c r="G1964" s="71" t="s">
        <v>1784</v>
      </c>
      <c r="H1964" s="41"/>
      <c r="I1964" s="42"/>
      <c r="J1964" s="43"/>
      <c r="K1964" s="72">
        <v>8.0</v>
      </c>
      <c r="L1964" s="53" t="s">
        <v>62</v>
      </c>
      <c r="M1964" s="73">
        <v>126000.0</v>
      </c>
      <c r="N1964" s="74"/>
      <c r="O1964" s="73">
        <v>1008000.0</v>
      </c>
      <c r="P1964" s="46" t="str">
        <f t="shared" si="2"/>
        <v>Rp126,000-8 LSN-0.00%</v>
      </c>
      <c r="Q1964" s="75">
        <v>45412.0</v>
      </c>
      <c r="R1964" s="76"/>
      <c r="S1964" s="75">
        <v>45423.0</v>
      </c>
      <c r="T1964" s="49"/>
    </row>
    <row r="1965">
      <c r="A1965" s="90">
        <v>103.0</v>
      </c>
      <c r="B1965" s="91" t="s">
        <v>65</v>
      </c>
      <c r="C1965" s="49" t="s">
        <v>66</v>
      </c>
      <c r="D1965" s="91" t="s">
        <v>2404</v>
      </c>
      <c r="E1965" s="41" t="str">
        <f>IFERROR(__xludf.DUMMYFUNCTION("vlookup(D1965,IMPORTRANGE(""https://docs.google.com/spreadsheets/d/1swGwZOEqYlTEUCJLY-eeJM1911Kvaei5oySBIxdgtNo/edit?pli=1#gid=257618397"",""stock untanna!B:C""),2,false)"),"ISOLASI WARNA POLOS KECIL (BO 5076)")</f>
        <v>ISOLASI WARNA POLOS KECIL (BO 5076)</v>
      </c>
      <c r="F1965" s="49" t="s">
        <v>2404</v>
      </c>
      <c r="G1965" s="71" t="s">
        <v>2405</v>
      </c>
      <c r="H1965" s="41"/>
      <c r="I1965" s="42"/>
      <c r="J1965" s="43"/>
      <c r="K1965" s="72">
        <v>600.0</v>
      </c>
      <c r="L1965" s="53" t="s">
        <v>69</v>
      </c>
      <c r="M1965" s="73">
        <v>3750.0</v>
      </c>
      <c r="N1965" s="74"/>
      <c r="O1965" s="73">
        <v>2250000.0</v>
      </c>
      <c r="P1965" s="46" t="str">
        <f t="shared" si="2"/>
        <v>Rp3,750-600 PCS-0.00%</v>
      </c>
      <c r="Q1965" s="75">
        <v>45412.0</v>
      </c>
      <c r="R1965" s="76"/>
      <c r="S1965" s="75">
        <v>45423.0</v>
      </c>
      <c r="T1965" s="49"/>
    </row>
    <row r="1966">
      <c r="A1966" s="90">
        <v>7.0</v>
      </c>
      <c r="B1966" s="91" t="s">
        <v>58</v>
      </c>
      <c r="C1966" s="49" t="s">
        <v>2406</v>
      </c>
      <c r="D1966" s="91" t="s">
        <v>1441</v>
      </c>
      <c r="E1966" s="41" t="str">
        <f>IFERROR(__xludf.DUMMYFUNCTION("vlookup(D1966,IMPORTRANGE(""https://docs.google.com/spreadsheets/d/1swGwZOEqYlTEUCJLY-eeJM1911Kvaei5oySBIxdgtNo/edit?pli=1#gid=257618397"",""stock untanna!B:C""),2,false)"),"PELNA LAPTOP TABLE")</f>
        <v>PELNA LAPTOP TABLE</v>
      </c>
      <c r="F1966" s="49" t="s">
        <v>1441</v>
      </c>
      <c r="G1966" s="71" t="s">
        <v>1442</v>
      </c>
      <c r="H1966" s="41"/>
      <c r="I1966" s="42"/>
      <c r="J1966" s="43"/>
      <c r="K1966" s="72">
        <v>30.0</v>
      </c>
      <c r="L1966" s="53" t="s">
        <v>69</v>
      </c>
      <c r="M1966" s="73">
        <v>65000.0</v>
      </c>
      <c r="N1966" s="74"/>
      <c r="O1966" s="73">
        <v>1950000.0</v>
      </c>
      <c r="P1966" s="46" t="str">
        <f t="shared" si="2"/>
        <v>Rp65,000-30 PCS-0.00%</v>
      </c>
      <c r="Q1966" s="75">
        <v>45412.0</v>
      </c>
      <c r="R1966" s="76"/>
      <c r="S1966" s="75">
        <v>45423.0</v>
      </c>
      <c r="T1966" s="49"/>
    </row>
    <row r="1967">
      <c r="A1967" s="90">
        <v>7.0</v>
      </c>
      <c r="B1967" s="91" t="s">
        <v>58</v>
      </c>
      <c r="C1967" s="49" t="s">
        <v>2406</v>
      </c>
      <c r="D1967" s="91"/>
      <c r="E1967" s="41" t="s">
        <v>2407</v>
      </c>
      <c r="F1967" s="49"/>
      <c r="G1967" s="71" t="s">
        <v>2407</v>
      </c>
      <c r="H1967" s="41"/>
      <c r="I1967" s="42"/>
      <c r="J1967" s="43"/>
      <c r="K1967" s="72">
        <v>10.0</v>
      </c>
      <c r="L1967" s="53" t="s">
        <v>69</v>
      </c>
      <c r="M1967" s="73">
        <v>55000.0</v>
      </c>
      <c r="N1967" s="74"/>
      <c r="O1967" s="73">
        <v>550000.0</v>
      </c>
      <c r="P1967" s="46" t="str">
        <f t="shared" si="2"/>
        <v>Rp55,000-10 PCS-0.00%</v>
      </c>
      <c r="Q1967" s="75">
        <v>45412.0</v>
      </c>
      <c r="R1967" s="76"/>
      <c r="S1967" s="75">
        <v>45423.0</v>
      </c>
      <c r="T1967" s="49"/>
    </row>
    <row r="1968">
      <c r="A1968" s="90">
        <v>7.0</v>
      </c>
      <c r="B1968" s="91" t="s">
        <v>58</v>
      </c>
      <c r="C1968" s="49" t="s">
        <v>2406</v>
      </c>
      <c r="D1968" s="91" t="s">
        <v>1341</v>
      </c>
      <c r="E1968" s="41" t="str">
        <f>IFERROR(__xludf.DUMMYFUNCTION("vlookup(D1968,IMPORTRANGE(""https://docs.google.com/spreadsheets/d/1swGwZOEqYlTEUCJLY-eeJM1911Kvaei5oySBIxdgtNo/edit?pli=1#gid=257618397"",""stock untanna!B:C""),2,false)"),"STABILLO TF-1145 LIVE COLOUR PASTEL")</f>
        <v>STABILLO TF-1145 LIVE COLOUR PASTEL</v>
      </c>
      <c r="F1968" s="49" t="s">
        <v>1341</v>
      </c>
      <c r="G1968" s="71" t="s">
        <v>1342</v>
      </c>
      <c r="H1968" s="41"/>
      <c r="I1968" s="42"/>
      <c r="J1968" s="43"/>
      <c r="K1968" s="72">
        <v>12.0</v>
      </c>
      <c r="L1968" s="53" t="s">
        <v>62</v>
      </c>
      <c r="M1968" s="73">
        <v>25000.0</v>
      </c>
      <c r="N1968" s="74"/>
      <c r="O1968" s="73">
        <v>300000.0</v>
      </c>
      <c r="P1968" s="46" t="str">
        <f t="shared" si="2"/>
        <v>Rp25,000-12 LSN-0.00%</v>
      </c>
      <c r="Q1968" s="75">
        <v>45412.0</v>
      </c>
      <c r="R1968" s="76"/>
      <c r="S1968" s="75">
        <v>45423.0</v>
      </c>
      <c r="T1968" s="49"/>
    </row>
    <row r="1969">
      <c r="A1969" s="90">
        <v>7.0</v>
      </c>
      <c r="B1969" s="91" t="s">
        <v>58</v>
      </c>
      <c r="C1969" s="49" t="s">
        <v>2406</v>
      </c>
      <c r="D1969" s="91"/>
      <c r="E1969" s="41" t="s">
        <v>2408</v>
      </c>
      <c r="F1969" s="49"/>
      <c r="G1969" s="71" t="s">
        <v>2408</v>
      </c>
      <c r="H1969" s="41"/>
      <c r="I1969" s="42"/>
      <c r="J1969" s="43"/>
      <c r="K1969" s="72">
        <v>100.0</v>
      </c>
      <c r="L1969" s="53" t="s">
        <v>69</v>
      </c>
      <c r="M1969" s="73">
        <v>1400.0</v>
      </c>
      <c r="N1969" s="74"/>
      <c r="O1969" s="73">
        <v>140000.0</v>
      </c>
      <c r="P1969" s="46" t="str">
        <f t="shared" si="2"/>
        <v>Rp1,400-100 PCS-0.00%</v>
      </c>
      <c r="Q1969" s="75">
        <v>45412.0</v>
      </c>
      <c r="R1969" s="76"/>
      <c r="S1969" s="75">
        <v>45423.0</v>
      </c>
      <c r="T1969" s="49"/>
    </row>
    <row r="1970">
      <c r="A1970" s="90">
        <v>7.0</v>
      </c>
      <c r="B1970" s="91" t="s">
        <v>58</v>
      </c>
      <c r="C1970" s="49" t="s">
        <v>2406</v>
      </c>
      <c r="D1970" s="91" t="s">
        <v>77</v>
      </c>
      <c r="E1970" s="41" t="str">
        <f>IFERROR(__xludf.DUMMYFUNCTION("vlookup(D1970,IMPORTRANGE(""https://docs.google.com/spreadsheets/d/1swGwZOEqYlTEUCJLY-eeJM1911Kvaei5oySBIxdgtNo/edit?pli=1#gid=257618397"",""stock untanna!B:C""),2,false)"),"ID CARD B4 IMPORT")</f>
        <v>ID CARD B4 IMPORT</v>
      </c>
      <c r="F1970" s="49" t="s">
        <v>77</v>
      </c>
      <c r="G1970" s="71" t="s">
        <v>2409</v>
      </c>
      <c r="H1970" s="41"/>
      <c r="I1970" s="42"/>
      <c r="J1970" s="43"/>
      <c r="K1970" s="72">
        <v>100.0</v>
      </c>
      <c r="L1970" s="53" t="s">
        <v>69</v>
      </c>
      <c r="M1970" s="73">
        <v>1400.0</v>
      </c>
      <c r="N1970" s="74"/>
      <c r="O1970" s="73">
        <v>140000.0</v>
      </c>
      <c r="P1970" s="46" t="str">
        <f t="shared" si="2"/>
        <v>Rp1,400-100 PCS-0.00%</v>
      </c>
      <c r="Q1970" s="75">
        <v>45412.0</v>
      </c>
      <c r="R1970" s="76"/>
      <c r="S1970" s="75">
        <v>45423.0</v>
      </c>
      <c r="T1970" s="80" t="s">
        <v>2410</v>
      </c>
    </row>
    <row r="1971">
      <c r="A1971" s="90">
        <v>7.0</v>
      </c>
      <c r="B1971" s="91" t="s">
        <v>58</v>
      </c>
      <c r="C1971" s="49" t="s">
        <v>2406</v>
      </c>
      <c r="D1971" s="91"/>
      <c r="E1971" s="41" t="s">
        <v>2411</v>
      </c>
      <c r="F1971" s="49"/>
      <c r="G1971" s="71" t="s">
        <v>2411</v>
      </c>
      <c r="H1971" s="41"/>
      <c r="I1971" s="42"/>
      <c r="J1971" s="43"/>
      <c r="K1971" s="72">
        <v>100.0</v>
      </c>
      <c r="L1971" s="53" t="s">
        <v>69</v>
      </c>
      <c r="M1971" s="73">
        <v>1400.0</v>
      </c>
      <c r="N1971" s="74"/>
      <c r="O1971" s="73">
        <v>140000.0</v>
      </c>
      <c r="P1971" s="46" t="str">
        <f t="shared" si="2"/>
        <v>Rp1,400-100 PCS-0.00%</v>
      </c>
      <c r="Q1971" s="75">
        <v>45412.0</v>
      </c>
      <c r="R1971" s="76"/>
      <c r="S1971" s="75">
        <v>45423.0</v>
      </c>
      <c r="T1971" s="49"/>
    </row>
    <row r="1972">
      <c r="A1972" s="90">
        <v>7.0</v>
      </c>
      <c r="B1972" s="91" t="s">
        <v>58</v>
      </c>
      <c r="C1972" s="49" t="s">
        <v>2406</v>
      </c>
      <c r="D1972" s="91" t="s">
        <v>519</v>
      </c>
      <c r="E1972" s="41" t="str">
        <f>IFERROR(__xludf.DUMMYFUNCTION("vlookup(D1972,IMPORTRANGE(""https://docs.google.com/spreadsheets/d/1swGwZOEqYlTEUCJLY-eeJM1911Kvaei5oySBIxdgtNo/edit?pli=1#gid=257618397"",""stock untanna!B:C""),2,false)"),"ASAHAN PAYU 856 ANJING")</f>
        <v>ASAHAN PAYU 856 ANJING</v>
      </c>
      <c r="F1972" s="49" t="s">
        <v>519</v>
      </c>
      <c r="G1972" s="71" t="s">
        <v>520</v>
      </c>
      <c r="H1972" s="41"/>
      <c r="I1972" s="42"/>
      <c r="J1972" s="43"/>
      <c r="K1972" s="72">
        <v>10.0</v>
      </c>
      <c r="L1972" s="53" t="s">
        <v>88</v>
      </c>
      <c r="M1972" s="73">
        <v>12500.0</v>
      </c>
      <c r="N1972" s="74"/>
      <c r="O1972" s="73">
        <v>125000.0</v>
      </c>
      <c r="P1972" s="46" t="str">
        <f t="shared" si="2"/>
        <v>Rp12,500-10 BOX-0.00%</v>
      </c>
      <c r="Q1972" s="75">
        <v>45412.0</v>
      </c>
      <c r="R1972" s="76"/>
      <c r="S1972" s="75">
        <v>45423.0</v>
      </c>
      <c r="T1972" s="49"/>
    </row>
    <row r="1973">
      <c r="A1973" s="90">
        <v>7.0</v>
      </c>
      <c r="B1973" s="91" t="s">
        <v>58</v>
      </c>
      <c r="C1973" s="49" t="s">
        <v>2406</v>
      </c>
      <c r="D1973" s="91" t="s">
        <v>521</v>
      </c>
      <c r="E1973" s="41" t="str">
        <f>IFERROR(__xludf.DUMMYFUNCTION("vlookup(D1973,IMPORTRANGE(""https://docs.google.com/spreadsheets/d/1swGwZOEqYlTEUCJLY-eeJM1911Kvaei5oySBIxdgtNo/edit?pli=1#gid=257618397"",""stock untanna!B:C""),2,false)"),"ASAHAN PAYU 831 IKAN")</f>
        <v>ASAHAN PAYU 831 IKAN</v>
      </c>
      <c r="F1973" s="49" t="s">
        <v>521</v>
      </c>
      <c r="G1973" s="71" t="s">
        <v>522</v>
      </c>
      <c r="H1973" s="41"/>
      <c r="I1973" s="42"/>
      <c r="J1973" s="43"/>
      <c r="K1973" s="72">
        <v>10.0</v>
      </c>
      <c r="L1973" s="53" t="s">
        <v>88</v>
      </c>
      <c r="M1973" s="73">
        <v>12500.0</v>
      </c>
      <c r="N1973" s="74"/>
      <c r="O1973" s="73">
        <v>125000.0</v>
      </c>
      <c r="P1973" s="46" t="str">
        <f t="shared" si="2"/>
        <v>Rp12,500-10 BOX-0.00%</v>
      </c>
      <c r="Q1973" s="75">
        <v>45412.0</v>
      </c>
      <c r="R1973" s="76"/>
      <c r="S1973" s="75">
        <v>45423.0</v>
      </c>
      <c r="T1973" s="49"/>
    </row>
    <row r="1974">
      <c r="A1974" s="90">
        <v>7.0</v>
      </c>
      <c r="B1974" s="91" t="s">
        <v>58</v>
      </c>
      <c r="C1974" s="49" t="s">
        <v>2406</v>
      </c>
      <c r="D1974" s="91" t="s">
        <v>517</v>
      </c>
      <c r="E1974" s="41" t="str">
        <f>IFERROR(__xludf.DUMMYFUNCTION("vlookup(D1974,IMPORTRANGE(""https://docs.google.com/spreadsheets/d/1swGwZOEqYlTEUCJLY-eeJM1911Kvaei5oySBIxdgtNo/edit?pli=1#gid=257618397"",""stock untanna!B:C""),2,false)"),"ASAHAN PAYU 846 KUDA GOYANG")</f>
        <v>ASAHAN PAYU 846 KUDA GOYANG</v>
      </c>
      <c r="F1974" s="49" t="s">
        <v>517</v>
      </c>
      <c r="G1974" s="71" t="s">
        <v>518</v>
      </c>
      <c r="H1974" s="41"/>
      <c r="I1974" s="42"/>
      <c r="J1974" s="43"/>
      <c r="K1974" s="72">
        <v>10.0</v>
      </c>
      <c r="L1974" s="53" t="s">
        <v>88</v>
      </c>
      <c r="M1974" s="73">
        <v>12500.0</v>
      </c>
      <c r="N1974" s="74"/>
      <c r="O1974" s="73">
        <v>125000.0</v>
      </c>
      <c r="P1974" s="46" t="str">
        <f t="shared" si="2"/>
        <v>Rp12,500-10 BOX-0.00%</v>
      </c>
      <c r="Q1974" s="75">
        <v>45412.0</v>
      </c>
      <c r="R1974" s="76"/>
      <c r="S1974" s="75">
        <v>45423.0</v>
      </c>
      <c r="T1974" s="49"/>
    </row>
    <row r="1975">
      <c r="A1975" s="90">
        <v>7.0</v>
      </c>
      <c r="B1975" s="91" t="s">
        <v>58</v>
      </c>
      <c r="C1975" s="49" t="s">
        <v>2406</v>
      </c>
      <c r="D1975" s="77" t="s">
        <v>2364</v>
      </c>
      <c r="E1975" s="41" t="s">
        <v>523</v>
      </c>
      <c r="F1975" s="49"/>
      <c r="G1975" s="71" t="s">
        <v>523</v>
      </c>
      <c r="H1975" s="41"/>
      <c r="I1975" s="42"/>
      <c r="J1975" s="43" t="str">
        <f>IF(D1975="","TIDAK ADA","ADA")</f>
        <v>ADA</v>
      </c>
      <c r="K1975" s="72">
        <v>10.0</v>
      </c>
      <c r="L1975" s="53" t="s">
        <v>88</v>
      </c>
      <c r="M1975" s="73">
        <v>12500.0</v>
      </c>
      <c r="N1975" s="74"/>
      <c r="O1975" s="73">
        <v>125000.0</v>
      </c>
      <c r="P1975" s="46" t="str">
        <f t="shared" si="2"/>
        <v>Rp12,500-10 BOX-0.00%</v>
      </c>
      <c r="Q1975" s="75">
        <v>45412.0</v>
      </c>
      <c r="R1975" s="76"/>
      <c r="S1975" s="75">
        <v>45423.0</v>
      </c>
      <c r="T1975" s="80" t="s">
        <v>280</v>
      </c>
    </row>
    <row r="1976">
      <c r="A1976" s="90">
        <v>7.0</v>
      </c>
      <c r="B1976" s="91" t="s">
        <v>58</v>
      </c>
      <c r="C1976" s="49" t="s">
        <v>2406</v>
      </c>
      <c r="D1976" s="91" t="s">
        <v>1118</v>
      </c>
      <c r="E1976" s="41" t="str">
        <f>IFERROR(__xludf.DUMMYFUNCTION("vlookup(D1976,IMPORTRANGE(""https://docs.google.com/spreadsheets/d/1swGwZOEqYlTEUCJLY-eeJM1911Kvaei5oySBIxdgtNo/edit?pli=1#gid=257618397"",""stock untanna!B:C""),2,false)"),"ASAHAN PAYU 827 ANGSA")</f>
        <v>ASAHAN PAYU 827 ANGSA</v>
      </c>
      <c r="F1976" s="49" t="s">
        <v>1118</v>
      </c>
      <c r="G1976" s="71" t="s">
        <v>1119</v>
      </c>
      <c r="H1976" s="41"/>
      <c r="I1976" s="42"/>
      <c r="J1976" s="43"/>
      <c r="K1976" s="72">
        <v>10.0</v>
      </c>
      <c r="L1976" s="53" t="s">
        <v>88</v>
      </c>
      <c r="M1976" s="73">
        <v>12500.0</v>
      </c>
      <c r="N1976" s="74"/>
      <c r="O1976" s="73">
        <v>125000.0</v>
      </c>
      <c r="P1976" s="46" t="str">
        <f t="shared" si="2"/>
        <v>Rp12,500-10 BOX-0.00%</v>
      </c>
      <c r="Q1976" s="75">
        <v>45412.0</v>
      </c>
      <c r="R1976" s="76"/>
      <c r="S1976" s="75">
        <v>45423.0</v>
      </c>
      <c r="T1976" s="49"/>
    </row>
    <row r="1977">
      <c r="A1977" s="90">
        <v>7.0</v>
      </c>
      <c r="B1977" s="91" t="s">
        <v>58</v>
      </c>
      <c r="C1977" s="49" t="s">
        <v>2406</v>
      </c>
      <c r="D1977" s="91"/>
      <c r="E1977" s="41" t="s">
        <v>2412</v>
      </c>
      <c r="F1977" s="49"/>
      <c r="G1977" s="71" t="s">
        <v>2412</v>
      </c>
      <c r="H1977" s="41"/>
      <c r="I1977" s="42"/>
      <c r="J1977" s="43"/>
      <c r="K1977" s="72">
        <v>300.0</v>
      </c>
      <c r="L1977" s="53" t="s">
        <v>114</v>
      </c>
      <c r="M1977" s="73">
        <v>4000.0</v>
      </c>
      <c r="N1977" s="83">
        <v>0.1</v>
      </c>
      <c r="O1977" s="73">
        <v>1080000.0</v>
      </c>
      <c r="P1977" s="46" t="str">
        <f t="shared" si="2"/>
        <v>Rp4,000-300 PAK-10.00%</v>
      </c>
      <c r="Q1977" s="75">
        <v>45412.0</v>
      </c>
      <c r="R1977" s="76"/>
      <c r="S1977" s="75">
        <v>45423.0</v>
      </c>
      <c r="T1977" s="49"/>
    </row>
    <row r="1978">
      <c r="A1978" s="90">
        <v>7.0</v>
      </c>
      <c r="B1978" s="91" t="s">
        <v>58</v>
      </c>
      <c r="C1978" s="49" t="s">
        <v>2406</v>
      </c>
      <c r="D1978" s="91" t="s">
        <v>121</v>
      </c>
      <c r="E1978" s="41" t="str">
        <f>IFERROR(__xludf.DUMMYFUNCTION("vlookup(D1978,IMPORTRANGE(""https://docs.google.com/spreadsheets/d/1swGwZOEqYlTEUCJLY-eeJM1911Kvaei5oySBIxdgtNo/edit?pli=1#gid=257618397"",""stock untanna!B:C""),2,false)"),"LEM BAKAR STIK 7X30 WOMY PUTIH K")</f>
        <v>LEM BAKAR STIK 7X30 WOMY PUTIH K</v>
      </c>
      <c r="F1978" s="49" t="s">
        <v>121</v>
      </c>
      <c r="G1978" s="71" t="s">
        <v>122</v>
      </c>
      <c r="H1978" s="41"/>
      <c r="I1978" s="42"/>
      <c r="J1978" s="43"/>
      <c r="K1978" s="72">
        <v>10.0</v>
      </c>
      <c r="L1978" s="53" t="s">
        <v>114</v>
      </c>
      <c r="M1978" s="73">
        <v>50000.0</v>
      </c>
      <c r="N1978" s="74"/>
      <c r="O1978" s="73">
        <v>500000.0</v>
      </c>
      <c r="P1978" s="46" t="str">
        <f t="shared" si="2"/>
        <v>Rp50,000-10 PAK-0.00%</v>
      </c>
      <c r="Q1978" s="75">
        <v>45412.0</v>
      </c>
      <c r="R1978" s="76"/>
      <c r="S1978" s="75">
        <v>45423.0</v>
      </c>
      <c r="T1978" s="49"/>
    </row>
    <row r="1979">
      <c r="A1979" s="90">
        <v>7.0</v>
      </c>
      <c r="B1979" s="91" t="s">
        <v>58</v>
      </c>
      <c r="C1979" s="49" t="s">
        <v>2406</v>
      </c>
      <c r="D1979" s="91" t="s">
        <v>123</v>
      </c>
      <c r="E1979" s="41" t="str">
        <f>IFERROR(__xludf.DUMMYFUNCTION("vlookup(D1979,IMPORTRANGE(""https://docs.google.com/spreadsheets/d/1swGwZOEqYlTEUCJLY-eeJM1911Kvaei5oySBIxdgtNo/edit?pli=1#gid=257618397"",""stock untanna!B:C""),2,false)"),"LEM BAKAR STIK 11X29 WOMY PUTIH B")</f>
        <v>LEM BAKAR STIK 11X29 WOMY PUTIH B</v>
      </c>
      <c r="F1979" s="49" t="s">
        <v>123</v>
      </c>
      <c r="G1979" s="71" t="s">
        <v>124</v>
      </c>
      <c r="H1979" s="41"/>
      <c r="I1979" s="42"/>
      <c r="J1979" s="43"/>
      <c r="K1979" s="72">
        <v>5.0</v>
      </c>
      <c r="L1979" s="53" t="s">
        <v>114</v>
      </c>
      <c r="M1979" s="73">
        <v>50000.0</v>
      </c>
      <c r="N1979" s="74"/>
      <c r="O1979" s="73">
        <v>250000.0</v>
      </c>
      <c r="P1979" s="46" t="str">
        <f t="shared" si="2"/>
        <v>Rp50,000-5 PAK-0.00%</v>
      </c>
      <c r="Q1979" s="75">
        <v>45412.0</v>
      </c>
      <c r="R1979" s="76"/>
      <c r="S1979" s="75">
        <v>45423.0</v>
      </c>
      <c r="T1979" s="49"/>
    </row>
    <row r="1980">
      <c r="A1980" s="90">
        <v>4415.0</v>
      </c>
      <c r="B1980" s="91" t="s">
        <v>29</v>
      </c>
      <c r="C1980" s="49" t="s">
        <v>2413</v>
      </c>
      <c r="D1980" s="91" t="s">
        <v>750</v>
      </c>
      <c r="E1980" s="41" t="str">
        <f>IFERROR(__xludf.DUMMYFUNCTION("vlookup(D1980,IMPORTRANGE(""https://docs.google.com/spreadsheets/d/1swGwZOEqYlTEUCJLY-eeJM1911Kvaei5oySBIxdgtNo/edit?pli=1#gid=257618397"",""stock untanna!B:C""),2,false)"),"BP X DATA M1")</f>
        <v>BP X DATA M1</v>
      </c>
      <c r="F1980" s="49" t="s">
        <v>750</v>
      </c>
      <c r="G1980" s="71" t="s">
        <v>751</v>
      </c>
      <c r="H1980" s="41"/>
      <c r="I1980" s="42"/>
      <c r="J1980" s="43"/>
      <c r="K1980" s="72">
        <v>3.0</v>
      </c>
      <c r="L1980" s="53" t="s">
        <v>131</v>
      </c>
      <c r="M1980" s="73">
        <v>77500.0</v>
      </c>
      <c r="N1980" s="74"/>
      <c r="O1980" s="73">
        <v>232500.0</v>
      </c>
      <c r="P1980" s="46" t="str">
        <f t="shared" si="2"/>
        <v>Rp77,500-3 GRS-0.00%</v>
      </c>
      <c r="Q1980" s="75">
        <v>45412.0</v>
      </c>
      <c r="R1980" s="76"/>
      <c r="S1980" s="75">
        <v>45423.0</v>
      </c>
      <c r="T1980" s="49"/>
    </row>
    <row r="1981">
      <c r="A1981" s="90">
        <v>4415.0</v>
      </c>
      <c r="B1981" s="91" t="s">
        <v>29</v>
      </c>
      <c r="C1981" s="49" t="s">
        <v>2413</v>
      </c>
      <c r="D1981" s="91" t="s">
        <v>2414</v>
      </c>
      <c r="E1981" s="41" t="str">
        <f>IFERROR(__xludf.DUMMYFUNCTION("vlookup(D1981,IMPORTRANGE(""https://docs.google.com/spreadsheets/d/1swGwZOEqYlTEUCJLY-eeJM1911Kvaei5oySBIxdgtNo/edit?pli=1#gid=257618397"",""stock untanna!B:C""),2,false)"),"BP DEBOZZ DB G 05")</f>
        <v>BP DEBOZZ DB G 05</v>
      </c>
      <c r="F1981" s="49" t="s">
        <v>2414</v>
      </c>
      <c r="G1981" s="71" t="s">
        <v>2415</v>
      </c>
      <c r="H1981" s="41"/>
      <c r="I1981" s="42"/>
      <c r="J1981" s="43"/>
      <c r="K1981" s="72">
        <v>4.0</v>
      </c>
      <c r="L1981" s="53" t="s">
        <v>62</v>
      </c>
      <c r="M1981" s="73">
        <v>30000.0</v>
      </c>
      <c r="N1981" s="74"/>
      <c r="O1981" s="73">
        <v>120000.0</v>
      </c>
      <c r="P1981" s="46" t="str">
        <f t="shared" si="2"/>
        <v>Rp30,000-4 LSN-0.00%</v>
      </c>
      <c r="Q1981" s="75">
        <v>45412.0</v>
      </c>
      <c r="R1981" s="76"/>
      <c r="S1981" s="75">
        <v>45423.0</v>
      </c>
      <c r="T1981" s="49"/>
    </row>
    <row r="1982">
      <c r="A1982" s="90">
        <v>4415.0</v>
      </c>
      <c r="B1982" s="91" t="s">
        <v>29</v>
      </c>
      <c r="C1982" s="49" t="s">
        <v>2413</v>
      </c>
      <c r="D1982" s="91" t="s">
        <v>2416</v>
      </c>
      <c r="E1982" s="41" t="str">
        <f>IFERROR(__xludf.DUMMYFUNCTION("vlookup(D1982,IMPORTRANGE(""https://docs.google.com/spreadsheets/d/1swGwZOEqYlTEUCJLY-eeJM1911Kvaei5oySBIxdgtNo/edit?pli=1#gid=257618397"",""stock untanna!B:C""),2,false)"),"EXPANDING FILE MICROTOP MT-625 FOLIO")</f>
        <v>EXPANDING FILE MICROTOP MT-625 FOLIO</v>
      </c>
      <c r="F1982" s="49" t="s">
        <v>2416</v>
      </c>
      <c r="G1982" s="78" t="s">
        <v>2417</v>
      </c>
      <c r="H1982" s="41"/>
      <c r="I1982" s="42"/>
      <c r="J1982" s="43"/>
      <c r="K1982" s="72">
        <v>3.0</v>
      </c>
      <c r="L1982" s="53" t="s">
        <v>69</v>
      </c>
      <c r="M1982" s="73">
        <v>41667.0</v>
      </c>
      <c r="N1982" s="74"/>
      <c r="O1982" s="73">
        <v>125001.0</v>
      </c>
      <c r="P1982" s="46" t="str">
        <f t="shared" si="2"/>
        <v>Rp41,667-3 PCS-0.00%</v>
      </c>
      <c r="Q1982" s="75">
        <v>45412.0</v>
      </c>
      <c r="R1982" s="76"/>
      <c r="S1982" s="75">
        <v>45423.0</v>
      </c>
      <c r="T1982" s="49"/>
    </row>
    <row r="1983">
      <c r="A1983" s="90">
        <v>4411.0</v>
      </c>
      <c r="B1983" s="91" t="s">
        <v>29</v>
      </c>
      <c r="C1983" s="49" t="s">
        <v>2418</v>
      </c>
      <c r="D1983" s="91"/>
      <c r="E1983" s="41" t="s">
        <v>2419</v>
      </c>
      <c r="F1983" s="49"/>
      <c r="G1983" s="71" t="s">
        <v>2419</v>
      </c>
      <c r="H1983" s="41"/>
      <c r="I1983" s="42"/>
      <c r="J1983" s="43"/>
      <c r="K1983" s="72">
        <v>500.0</v>
      </c>
      <c r="L1983" s="53" t="s">
        <v>69</v>
      </c>
      <c r="M1983" s="73">
        <v>400.0</v>
      </c>
      <c r="N1983" s="74"/>
      <c r="O1983" s="73">
        <v>200000.0</v>
      </c>
      <c r="P1983" s="46" t="str">
        <f t="shared" si="2"/>
        <v>Rp400-500 PCS-0.00%</v>
      </c>
      <c r="Q1983" s="75">
        <v>45412.0</v>
      </c>
      <c r="R1983" s="76"/>
      <c r="S1983" s="75">
        <v>45423.0</v>
      </c>
      <c r="T1983" s="49"/>
    </row>
    <row r="1984">
      <c r="A1984" s="90">
        <v>4047.0</v>
      </c>
      <c r="B1984" s="91" t="s">
        <v>65</v>
      </c>
      <c r="C1984" s="49" t="s">
        <v>2420</v>
      </c>
      <c r="D1984" s="91" t="s">
        <v>801</v>
      </c>
      <c r="E1984" s="41" t="str">
        <f>IFERROR(__xludf.DUMMYFUNCTION("vlookup(D1984,IMPORTRANGE(""https://docs.google.com/spreadsheets/d/1swGwZOEqYlTEUCJLY-eeJM1911Kvaei5oySBIxdgtNo/edit?pli=1#gid=257618397"",""stock untanna!B:C""),2,false)"),"MAP KANCING SIKA AC-05 MERAH")</f>
        <v>MAP KANCING SIKA AC-05 MERAH</v>
      </c>
      <c r="F1984" s="49" t="s">
        <v>801</v>
      </c>
      <c r="G1984" s="71" t="s">
        <v>802</v>
      </c>
      <c r="H1984" s="41"/>
      <c r="I1984" s="42"/>
      <c r="J1984" s="43"/>
      <c r="K1984" s="72">
        <v>25.0</v>
      </c>
      <c r="L1984" s="53" t="s">
        <v>62</v>
      </c>
      <c r="M1984" s="73">
        <v>19000.0</v>
      </c>
      <c r="N1984" s="74"/>
      <c r="O1984" s="73">
        <v>475000.0</v>
      </c>
      <c r="P1984" s="46" t="str">
        <f t="shared" si="2"/>
        <v>Rp19,000-25 LSN-0.00%</v>
      </c>
      <c r="Q1984" s="75">
        <v>45412.0</v>
      </c>
      <c r="R1984" s="76"/>
      <c r="S1984" s="75">
        <v>45423.0</v>
      </c>
      <c r="T1984" s="49"/>
    </row>
    <row r="1985">
      <c r="A1985" s="90">
        <v>4047.0</v>
      </c>
      <c r="B1985" s="91" t="s">
        <v>65</v>
      </c>
      <c r="C1985" s="49" t="s">
        <v>2420</v>
      </c>
      <c r="D1985" s="91" t="s">
        <v>797</v>
      </c>
      <c r="E1985" s="41" t="str">
        <f>IFERROR(__xludf.DUMMYFUNCTION("vlookup(D1985,IMPORTRANGE(""https://docs.google.com/spreadsheets/d/1swGwZOEqYlTEUCJLY-eeJM1911Kvaei5oySBIxdgtNo/edit?pli=1#gid=257618397"",""stock untanna!B:C""),2,false)"),"MAP KANCING SIKA AC-05 BIRU")</f>
        <v>MAP KANCING SIKA AC-05 BIRU</v>
      </c>
      <c r="F1985" s="49" t="s">
        <v>797</v>
      </c>
      <c r="G1985" s="71" t="s">
        <v>798</v>
      </c>
      <c r="H1985" s="41"/>
      <c r="I1985" s="42"/>
      <c r="J1985" s="43"/>
      <c r="K1985" s="72">
        <v>25.0</v>
      </c>
      <c r="L1985" s="53" t="s">
        <v>62</v>
      </c>
      <c r="M1985" s="73">
        <v>19000.0</v>
      </c>
      <c r="N1985" s="74"/>
      <c r="O1985" s="73">
        <v>475000.0</v>
      </c>
      <c r="P1985" s="46" t="str">
        <f t="shared" si="2"/>
        <v>Rp19,000-25 LSN-0.00%</v>
      </c>
      <c r="Q1985" s="75">
        <v>45412.0</v>
      </c>
      <c r="R1985" s="76"/>
      <c r="S1985" s="75">
        <v>45423.0</v>
      </c>
      <c r="T1985" s="49"/>
    </row>
    <row r="1986">
      <c r="A1986" s="90">
        <v>4047.0</v>
      </c>
      <c r="B1986" s="91" t="s">
        <v>65</v>
      </c>
      <c r="C1986" s="49" t="s">
        <v>2420</v>
      </c>
      <c r="D1986" s="91" t="s">
        <v>799</v>
      </c>
      <c r="E1986" s="41" t="str">
        <f>IFERROR(__xludf.DUMMYFUNCTION("vlookup(D1986,IMPORTRANGE(""https://docs.google.com/spreadsheets/d/1swGwZOEqYlTEUCJLY-eeJM1911Kvaei5oySBIxdgtNo/edit?pli=1#gid=257618397"",""stock untanna!B:C""),2,false)"),"MAP KANCING SIKA AC-05 HIJAU")</f>
        <v>MAP KANCING SIKA AC-05 HIJAU</v>
      </c>
      <c r="F1986" s="49" t="s">
        <v>799</v>
      </c>
      <c r="G1986" s="71" t="s">
        <v>800</v>
      </c>
      <c r="H1986" s="41"/>
      <c r="I1986" s="42"/>
      <c r="J1986" s="43"/>
      <c r="K1986" s="72">
        <v>25.0</v>
      </c>
      <c r="L1986" s="53" t="s">
        <v>62</v>
      </c>
      <c r="M1986" s="73">
        <v>19000.0</v>
      </c>
      <c r="N1986" s="74"/>
      <c r="O1986" s="73">
        <v>475000.0</v>
      </c>
      <c r="P1986" s="46" t="str">
        <f t="shared" si="2"/>
        <v>Rp19,000-25 LSN-0.00%</v>
      </c>
      <c r="Q1986" s="75">
        <v>45412.0</v>
      </c>
      <c r="R1986" s="76"/>
      <c r="S1986" s="75">
        <v>45423.0</v>
      </c>
      <c r="T1986" s="49"/>
    </row>
    <row r="1987">
      <c r="A1987" s="90">
        <v>4047.0</v>
      </c>
      <c r="B1987" s="91" t="s">
        <v>65</v>
      </c>
      <c r="C1987" s="49" t="s">
        <v>2420</v>
      </c>
      <c r="D1987" s="91" t="s">
        <v>2052</v>
      </c>
      <c r="E1987" s="41" t="str">
        <f>IFERROR(__xludf.DUMMYFUNCTION("vlookup(D1987,IMPORTRANGE(""https://docs.google.com/spreadsheets/d/1swGwZOEqYlTEUCJLY-eeJM1911Kvaei5oySBIxdgtNo/edit?pli=1#gid=257618397"",""stock untanna!B:C""),2,false)"),"MAP KANCING SIKA AC-05 KUNING")</f>
        <v>MAP KANCING SIKA AC-05 KUNING</v>
      </c>
      <c r="F1987" s="49" t="s">
        <v>2052</v>
      </c>
      <c r="G1987" s="71" t="s">
        <v>2053</v>
      </c>
      <c r="H1987" s="41"/>
      <c r="I1987" s="42"/>
      <c r="J1987" s="43"/>
      <c r="K1987" s="72">
        <v>25.0</v>
      </c>
      <c r="L1987" s="53" t="s">
        <v>62</v>
      </c>
      <c r="M1987" s="73">
        <v>19000.0</v>
      </c>
      <c r="N1987" s="74"/>
      <c r="O1987" s="73">
        <v>475000.0</v>
      </c>
      <c r="P1987" s="46" t="str">
        <f t="shared" si="2"/>
        <v>Rp19,000-25 LSN-0.00%</v>
      </c>
      <c r="Q1987" s="75">
        <v>45412.0</v>
      </c>
      <c r="R1987" s="76"/>
      <c r="S1987" s="75">
        <v>45423.0</v>
      </c>
      <c r="T1987" s="49"/>
    </row>
    <row r="1988">
      <c r="A1988" s="90">
        <v>4210.0</v>
      </c>
      <c r="B1988" s="91" t="s">
        <v>29</v>
      </c>
      <c r="C1988" s="49" t="s">
        <v>2421</v>
      </c>
      <c r="D1988" s="77" t="s">
        <v>2422</v>
      </c>
      <c r="E1988" s="41" t="str">
        <f>IFERROR(__xludf.DUMMYFUNCTION("vlookup(D1988,IMPORTRANGE(""https://docs.google.com/spreadsheets/d/1swGwZOEqYlTEUCJLY-eeJM1911Kvaei5oySBIxdgtNo/edit?pli=1#gid=257618397"",""stock untanna!B:C""),2,false)"),"TAS KARUNG 60X70")</f>
        <v>TAS KARUNG 60X70</v>
      </c>
      <c r="F1988" s="49" t="s">
        <v>2423</v>
      </c>
      <c r="G1988" s="71" t="s">
        <v>2424</v>
      </c>
      <c r="H1988" s="41"/>
      <c r="I1988" s="42"/>
      <c r="J1988" s="43"/>
      <c r="K1988" s="72">
        <v>1.0</v>
      </c>
      <c r="L1988" s="53" t="s">
        <v>62</v>
      </c>
      <c r="M1988" s="73">
        <v>315000.0</v>
      </c>
      <c r="N1988" s="74"/>
      <c r="O1988" s="73">
        <v>315000.0</v>
      </c>
      <c r="P1988" s="46" t="str">
        <f t="shared" si="2"/>
        <v>Rp315,000-1 LSN-0.00%</v>
      </c>
      <c r="Q1988" s="75">
        <v>45412.0</v>
      </c>
      <c r="R1988" s="76"/>
      <c r="S1988" s="75">
        <v>45423.0</v>
      </c>
      <c r="T1988" s="49"/>
    </row>
    <row r="1989">
      <c r="A1989" s="90">
        <v>4210.0</v>
      </c>
      <c r="B1989" s="91" t="s">
        <v>29</v>
      </c>
      <c r="C1989" s="49" t="s">
        <v>2421</v>
      </c>
      <c r="D1989" s="91" t="s">
        <v>158</v>
      </c>
      <c r="E1989" s="41" t="str">
        <f>IFERROR(__xludf.DUMMYFUNCTION("vlookup(D1989,IMPORTRANGE(""https://docs.google.com/spreadsheets/d/1swGwZOEqYlTEUCJLY-eeJM1911Kvaei5oySBIxdgtNo/edit?pli=1#gid=257618397"",""stock untanna!B:C""),2,false)"),"TAS KARUNG 55X65")</f>
        <v>TAS KARUNG 55X65</v>
      </c>
      <c r="F1989" s="49" t="s">
        <v>158</v>
      </c>
      <c r="G1989" s="71" t="s">
        <v>160</v>
      </c>
      <c r="H1989" s="41"/>
      <c r="I1989" s="42"/>
      <c r="J1989" s="43"/>
      <c r="K1989" s="72">
        <v>12.0</v>
      </c>
      <c r="L1989" s="53" t="s">
        <v>69</v>
      </c>
      <c r="M1989" s="73">
        <v>22917.0</v>
      </c>
      <c r="N1989" s="74"/>
      <c r="O1989" s="73">
        <v>275004.0</v>
      </c>
      <c r="P1989" s="46" t="str">
        <f t="shared" si="2"/>
        <v>Rp22,917-12 PCS-0.00%</v>
      </c>
      <c r="Q1989" s="75">
        <v>45412.0</v>
      </c>
      <c r="R1989" s="76"/>
      <c r="S1989" s="75">
        <v>45423.0</v>
      </c>
      <c r="T1989" s="49"/>
    </row>
    <row r="1990">
      <c r="A1990" s="90">
        <v>4210.0</v>
      </c>
      <c r="B1990" s="91" t="s">
        <v>29</v>
      </c>
      <c r="C1990" s="49" t="s">
        <v>2421</v>
      </c>
      <c r="D1990" s="91" t="s">
        <v>1260</v>
      </c>
      <c r="E1990" s="41" t="str">
        <f>IFERROR(__xludf.DUMMYFUNCTION("vlookup(D1990,IMPORTRANGE(""https://docs.google.com/spreadsheets/d/1swGwZOEqYlTEUCJLY-eeJM1911Kvaei5oySBIxdgtNo/edit?pli=1#gid=257618397"",""stock untanna!B:C""),2,false)"),"TAS KARUNG 40X45 ")</f>
        <v>TAS KARUNG 40X45 </v>
      </c>
      <c r="F1990" s="49" t="s">
        <v>1260</v>
      </c>
      <c r="G1990" s="71" t="s">
        <v>1261</v>
      </c>
      <c r="H1990" s="41"/>
      <c r="I1990" s="42"/>
      <c r="J1990" s="43"/>
      <c r="K1990" s="72">
        <v>1.0</v>
      </c>
      <c r="L1990" s="53" t="s">
        <v>62</v>
      </c>
      <c r="M1990" s="73">
        <v>184000.0</v>
      </c>
      <c r="N1990" s="74"/>
      <c r="O1990" s="73">
        <v>184000.0</v>
      </c>
      <c r="P1990" s="46" t="str">
        <f t="shared" si="2"/>
        <v>Rp184,000-1 LSN-0.00%</v>
      </c>
      <c r="Q1990" s="75">
        <v>45412.0</v>
      </c>
      <c r="R1990" s="76"/>
      <c r="S1990" s="75">
        <v>45423.0</v>
      </c>
      <c r="T1990" s="49"/>
    </row>
    <row r="1991">
      <c r="A1991" s="90">
        <v>4210.0</v>
      </c>
      <c r="B1991" s="91" t="s">
        <v>29</v>
      </c>
      <c r="C1991" s="49" t="s">
        <v>2421</v>
      </c>
      <c r="D1991" s="91" t="s">
        <v>1262</v>
      </c>
      <c r="E1991" s="41" t="str">
        <f>IFERROR(__xludf.DUMMYFUNCTION("vlookup(D1991,IMPORTRANGE(""https://docs.google.com/spreadsheets/d/1swGwZOEqYlTEUCJLY-eeJM1911Kvaei5oySBIxdgtNo/edit?pli=1#gid=257618397"",""stock untanna!B:C""),2,false)"),"TAS KARUNG 50X55")</f>
        <v>TAS KARUNG 50X55</v>
      </c>
      <c r="F1991" s="49" t="s">
        <v>1262</v>
      </c>
      <c r="G1991" s="71" t="s">
        <v>1263</v>
      </c>
      <c r="H1991" s="41"/>
      <c r="I1991" s="42"/>
      <c r="J1991" s="43"/>
      <c r="K1991" s="72">
        <v>1.0</v>
      </c>
      <c r="L1991" s="53" t="s">
        <v>62</v>
      </c>
      <c r="M1991" s="73">
        <v>236500.0</v>
      </c>
      <c r="N1991" s="74"/>
      <c r="O1991" s="73">
        <v>236500.0</v>
      </c>
      <c r="P1991" s="46" t="str">
        <f t="shared" si="2"/>
        <v>Rp236,500-1 LSN-0.00%</v>
      </c>
      <c r="Q1991" s="75">
        <v>45412.0</v>
      </c>
      <c r="R1991" s="76"/>
      <c r="S1991" s="75">
        <v>45423.0</v>
      </c>
      <c r="T1991" s="49"/>
    </row>
    <row r="1992">
      <c r="A1992" s="90">
        <v>4210.0</v>
      </c>
      <c r="B1992" s="91" t="s">
        <v>29</v>
      </c>
      <c r="C1992" s="49" t="s">
        <v>2421</v>
      </c>
      <c r="D1992" s="91" t="s">
        <v>2425</v>
      </c>
      <c r="E1992" s="41" t="str">
        <f>IFERROR(__xludf.DUMMYFUNCTION("vlookup(D1992,IMPORTRANGE(""https://docs.google.com/spreadsheets/d/1swGwZOEqYlTEUCJLY-eeJM1911Kvaei5oySBIxdgtNo/edit?pli=1#gid=257618397"",""stock untanna!B:C""),2,false)"),"SULING YAMAHA")</f>
        <v>SULING YAMAHA</v>
      </c>
      <c r="F1992" s="49" t="s">
        <v>2425</v>
      </c>
      <c r="G1992" s="71" t="s">
        <v>2426</v>
      </c>
      <c r="H1992" s="41"/>
      <c r="I1992" s="42"/>
      <c r="J1992" s="43"/>
      <c r="K1992" s="72">
        <v>1.0</v>
      </c>
      <c r="L1992" s="53" t="s">
        <v>62</v>
      </c>
      <c r="M1992" s="73">
        <v>400000.0</v>
      </c>
      <c r="N1992" s="74"/>
      <c r="O1992" s="73">
        <v>400000.0</v>
      </c>
      <c r="P1992" s="46" t="str">
        <f t="shared" si="2"/>
        <v>Rp400,000-1 LSN-0.00%</v>
      </c>
      <c r="Q1992" s="75">
        <v>45412.0</v>
      </c>
      <c r="R1992" s="76"/>
      <c r="S1992" s="75">
        <v>45423.0</v>
      </c>
      <c r="T1992" s="49"/>
    </row>
    <row r="1993">
      <c r="A1993" s="90">
        <v>4210.0</v>
      </c>
      <c r="B1993" s="91" t="s">
        <v>29</v>
      </c>
      <c r="C1993" s="49" t="s">
        <v>2421</v>
      </c>
      <c r="D1993" s="77" t="s">
        <v>1977</v>
      </c>
      <c r="E1993" s="41" t="str">
        <f>IFERROR(__xludf.DUMMYFUNCTION("IFNA(vlookup(D1993,IMPORTRANGE(""https://docs.google.com/spreadsheets/d/1swGwZOEqYlTEUCJLY-eeJM1911Kvaei5oySBIxdgtNo/edit?pli=1#gid=257618397"",""stock untanna!B:C""),2,false),V:V)"),"MAGNET 8102")</f>
        <v>MAGNET 8102</v>
      </c>
      <c r="F1993" s="49"/>
      <c r="G1993" s="71" t="s">
        <v>1978</v>
      </c>
      <c r="H1993" s="41"/>
      <c r="I1993" s="42"/>
      <c r="J1993" s="85" t="s">
        <v>1319</v>
      </c>
      <c r="K1993" s="72">
        <v>1.0</v>
      </c>
      <c r="L1993" s="53" t="s">
        <v>62</v>
      </c>
      <c r="M1993" s="73">
        <v>250000.0</v>
      </c>
      <c r="N1993" s="74"/>
      <c r="O1993" s="73">
        <v>250000.0</v>
      </c>
      <c r="P1993" s="46" t="str">
        <f t="shared" si="2"/>
        <v>Rp250,000-1 LSN-0.00%</v>
      </c>
      <c r="Q1993" s="75">
        <v>45412.0</v>
      </c>
      <c r="R1993" s="76"/>
      <c r="S1993" s="75">
        <v>45423.0</v>
      </c>
      <c r="T1993" s="80" t="s">
        <v>280</v>
      </c>
    </row>
    <row r="1994">
      <c r="A1994" s="90">
        <v>4210.0</v>
      </c>
      <c r="B1994" s="91" t="s">
        <v>29</v>
      </c>
      <c r="C1994" s="49" t="s">
        <v>2421</v>
      </c>
      <c r="D1994" s="77" t="s">
        <v>1975</v>
      </c>
      <c r="E1994" s="41" t="str">
        <f>IFERROR(__xludf.DUMMYFUNCTION("IFNA(vlookup(D1994,IMPORTRANGE(""https://docs.google.com/spreadsheets/d/1swGwZOEqYlTEUCJLY-eeJM1911Kvaei5oySBIxdgtNo/edit?pli=1#gid=257618397"",""stock untanna!B:C""),2,false),V:V)"),"MAGNET 8101")</f>
        <v>MAGNET 8101</v>
      </c>
      <c r="F1994" s="49"/>
      <c r="G1994" s="71" t="s">
        <v>1976</v>
      </c>
      <c r="H1994" s="41"/>
      <c r="I1994" s="42"/>
      <c r="J1994" s="85" t="s">
        <v>1319</v>
      </c>
      <c r="K1994" s="72">
        <v>1.0</v>
      </c>
      <c r="L1994" s="53" t="s">
        <v>62</v>
      </c>
      <c r="M1994" s="73">
        <v>250000.0</v>
      </c>
      <c r="N1994" s="74"/>
      <c r="O1994" s="73">
        <v>250000.0</v>
      </c>
      <c r="P1994" s="46" t="str">
        <f t="shared" si="2"/>
        <v>Rp250,000-1 LSN-0.00%</v>
      </c>
      <c r="Q1994" s="75">
        <v>45412.0</v>
      </c>
      <c r="R1994" s="76"/>
      <c r="S1994" s="75">
        <v>45423.0</v>
      </c>
      <c r="T1994" s="80" t="s">
        <v>280</v>
      </c>
    </row>
    <row r="1995">
      <c r="A1995" s="90">
        <v>4210.0</v>
      </c>
      <c r="B1995" s="91" t="s">
        <v>29</v>
      </c>
      <c r="C1995" s="49" t="s">
        <v>2421</v>
      </c>
      <c r="D1995" s="91" t="s">
        <v>1705</v>
      </c>
      <c r="E1995" s="41" t="str">
        <f>IFERROR(__xludf.DUMMYFUNCTION("vlookup(D1995,IMPORTRANGE(""https://docs.google.com/spreadsheets/d/1swGwZOEqYlTEUCJLY-eeJM1911Kvaei5oySBIxdgtNo/edit?pli=1#gid=257618397"",""stock untanna!B:C""),2,false)"),"MAGNET 8201 HURUF")</f>
        <v>MAGNET 8201 HURUF</v>
      </c>
      <c r="F1995" s="49" t="s">
        <v>1705</v>
      </c>
      <c r="G1995" s="71" t="s">
        <v>1706</v>
      </c>
      <c r="H1995" s="41"/>
      <c r="I1995" s="42"/>
      <c r="J1995" s="43"/>
      <c r="K1995" s="72">
        <v>1.0</v>
      </c>
      <c r="L1995" s="53" t="s">
        <v>62</v>
      </c>
      <c r="M1995" s="73">
        <v>200000.0</v>
      </c>
      <c r="N1995" s="74"/>
      <c r="O1995" s="73">
        <v>200000.0</v>
      </c>
      <c r="P1995" s="46" t="str">
        <f t="shared" si="2"/>
        <v>Rp200,000-1 LSN-0.00%</v>
      </c>
      <c r="Q1995" s="75">
        <v>45412.0</v>
      </c>
      <c r="R1995" s="76"/>
      <c r="S1995" s="75">
        <v>45423.0</v>
      </c>
      <c r="T1995" s="49"/>
    </row>
    <row r="1996">
      <c r="A1996" s="90">
        <v>4210.0</v>
      </c>
      <c r="B1996" s="91" t="s">
        <v>29</v>
      </c>
      <c r="C1996" s="49" t="s">
        <v>2421</v>
      </c>
      <c r="D1996" s="91" t="s">
        <v>1703</v>
      </c>
      <c r="E1996" s="41" t="str">
        <f>IFERROR(__xludf.DUMMYFUNCTION("vlookup(D1996,IMPORTRANGE(""https://docs.google.com/spreadsheets/d/1swGwZOEqYlTEUCJLY-eeJM1911Kvaei5oySBIxdgtNo/edit?pli=1#gid=257618397"",""stock untanna!B:C""),2,false)"),"MAGNET 8203 ANGKA")</f>
        <v>MAGNET 8203 ANGKA</v>
      </c>
      <c r="F1996" s="49" t="s">
        <v>1703</v>
      </c>
      <c r="G1996" s="71" t="s">
        <v>1704</v>
      </c>
      <c r="H1996" s="41"/>
      <c r="I1996" s="42"/>
      <c r="J1996" s="43"/>
      <c r="K1996" s="72">
        <v>1.0</v>
      </c>
      <c r="L1996" s="53" t="s">
        <v>62</v>
      </c>
      <c r="M1996" s="73">
        <v>200000.0</v>
      </c>
      <c r="N1996" s="74"/>
      <c r="O1996" s="73">
        <v>200000.0</v>
      </c>
      <c r="P1996" s="46" t="str">
        <f t="shared" si="2"/>
        <v>Rp200,000-1 LSN-0.00%</v>
      </c>
      <c r="Q1996" s="75">
        <v>45412.0</v>
      </c>
      <c r="R1996" s="76"/>
      <c r="S1996" s="75">
        <v>45423.0</v>
      </c>
      <c r="T1996" s="49"/>
    </row>
    <row r="1997">
      <c r="A1997" s="90">
        <v>4210.0</v>
      </c>
      <c r="B1997" s="91" t="s">
        <v>29</v>
      </c>
      <c r="C1997" s="49" t="s">
        <v>2421</v>
      </c>
      <c r="D1997" s="91" t="s">
        <v>2427</v>
      </c>
      <c r="E1997" s="41" t="str">
        <f>IFERROR(__xludf.DUMMYFUNCTION("vlookup(D1997,IMPORTRANGE(""https://docs.google.com/spreadsheets/d/1swGwZOEqYlTEUCJLY-eeJM1911Kvaei5oySBIxdgtNo/edit?pli=1#gid=257618397"",""stock untanna!B:C""),2,false)"),"MAGNET 504")</f>
        <v>MAGNET 504</v>
      </c>
      <c r="F1997" s="49" t="s">
        <v>2427</v>
      </c>
      <c r="G1997" s="71" t="s">
        <v>2428</v>
      </c>
      <c r="H1997" s="41"/>
      <c r="I1997" s="42"/>
      <c r="J1997" s="43"/>
      <c r="K1997" s="72">
        <v>1.0</v>
      </c>
      <c r="L1997" s="53" t="s">
        <v>62</v>
      </c>
      <c r="M1997" s="73">
        <v>160000.0</v>
      </c>
      <c r="N1997" s="74"/>
      <c r="O1997" s="73">
        <v>160000.0</v>
      </c>
      <c r="P1997" s="46" t="str">
        <f t="shared" si="2"/>
        <v>Rp160,000-1 LSN-0.00%</v>
      </c>
      <c r="Q1997" s="75">
        <v>45412.0</v>
      </c>
      <c r="R1997" s="76"/>
      <c r="S1997" s="75">
        <v>45423.0</v>
      </c>
      <c r="T1997" s="49"/>
    </row>
    <row r="1998">
      <c r="A1998" s="90">
        <v>4210.0</v>
      </c>
      <c r="B1998" s="91" t="s">
        <v>29</v>
      </c>
      <c r="C1998" s="49" t="s">
        <v>2421</v>
      </c>
      <c r="D1998" s="91" t="s">
        <v>2429</v>
      </c>
      <c r="E1998" s="41" t="str">
        <f>IFERROR(__xludf.DUMMYFUNCTION("vlookup(D1998,IMPORTRANGE(""https://docs.google.com/spreadsheets/d/1swGwZOEqYlTEUCJLY-eeJM1911Kvaei5oySBIxdgtNo/edit?pli=1#gid=257618397"",""stock untanna!B:C""),2,false)"),"BP KLIK DEBOZZ FANCY DB-GF 10")</f>
        <v>BP KLIK DEBOZZ FANCY DB-GF 10</v>
      </c>
      <c r="F1998" s="49" t="s">
        <v>2429</v>
      </c>
      <c r="G1998" s="71" t="s">
        <v>2430</v>
      </c>
      <c r="H1998" s="41"/>
      <c r="I1998" s="42"/>
      <c r="J1998" s="43"/>
      <c r="K1998" s="72">
        <v>3.0</v>
      </c>
      <c r="L1998" s="53" t="s">
        <v>62</v>
      </c>
      <c r="M1998" s="73">
        <v>35000.0</v>
      </c>
      <c r="N1998" s="74"/>
      <c r="O1998" s="73">
        <v>105000.0</v>
      </c>
      <c r="P1998" s="46" t="str">
        <f t="shared" si="2"/>
        <v>Rp35,000-3 LSN-0.00%</v>
      </c>
      <c r="Q1998" s="75">
        <v>45412.0</v>
      </c>
      <c r="R1998" s="76"/>
      <c r="S1998" s="75">
        <v>45423.0</v>
      </c>
      <c r="T1998" s="49"/>
    </row>
    <row r="1999">
      <c r="A1999" s="90">
        <v>4210.0</v>
      </c>
      <c r="B1999" s="91" t="s">
        <v>29</v>
      </c>
      <c r="C1999" s="49" t="s">
        <v>2421</v>
      </c>
      <c r="D1999" s="91" t="s">
        <v>633</v>
      </c>
      <c r="E1999" s="41" t="str">
        <f>IFERROR(__xludf.DUMMYFUNCTION("vlookup(D1999,IMPORTRANGE(""https://docs.google.com/spreadsheets/d/1swGwZOEqYlTEUCJLY-eeJM1911Kvaei5oySBIxdgtNo/edit?pli=1#gid=257618397"",""stock untanna!B:C""),2,false)"),"BP GEL TIZO 30734F FANCY")</f>
        <v>BP GEL TIZO 30734F FANCY</v>
      </c>
      <c r="F1999" s="49" t="s">
        <v>633</v>
      </c>
      <c r="G1999" s="71" t="s">
        <v>634</v>
      </c>
      <c r="H1999" s="41"/>
      <c r="I1999" s="42"/>
      <c r="J1999" s="43"/>
      <c r="K1999" s="72">
        <v>3.0</v>
      </c>
      <c r="L1999" s="53" t="s">
        <v>62</v>
      </c>
      <c r="M1999" s="73">
        <v>19000.0</v>
      </c>
      <c r="N1999" s="74"/>
      <c r="O1999" s="73">
        <v>57000.0</v>
      </c>
      <c r="P1999" s="46" t="str">
        <f t="shared" si="2"/>
        <v>Rp19,000-3 LSN-0.00%</v>
      </c>
      <c r="Q1999" s="75">
        <v>45412.0</v>
      </c>
      <c r="R1999" s="76"/>
      <c r="S1999" s="75">
        <v>45423.0</v>
      </c>
      <c r="T1999" s="49"/>
    </row>
    <row r="2000">
      <c r="A2000" s="90">
        <v>4210.0</v>
      </c>
      <c r="B2000" s="91" t="s">
        <v>29</v>
      </c>
      <c r="C2000" s="49" t="s">
        <v>2421</v>
      </c>
      <c r="D2000" s="91" t="s">
        <v>629</v>
      </c>
      <c r="E2000" s="41" t="str">
        <f>IFERROR(__xludf.DUMMYFUNCTION("vlookup(D2000,IMPORTRANGE(""https://docs.google.com/spreadsheets/d/1swGwZOEqYlTEUCJLY-eeJM1911Kvaei5oySBIxdgtNo/edit?pli=1#gid=257618397"",""stock untanna!B:C""),2,false)"),"BP GEL TIZO 30801F S3 FANCY")</f>
        <v>BP GEL TIZO 30801F S3 FANCY</v>
      </c>
      <c r="F2000" s="49" t="s">
        <v>629</v>
      </c>
      <c r="G2000" s="71" t="s">
        <v>630</v>
      </c>
      <c r="H2000" s="41"/>
      <c r="I2000" s="42"/>
      <c r="J2000" s="43"/>
      <c r="K2000" s="72">
        <v>3.0</v>
      </c>
      <c r="L2000" s="53" t="s">
        <v>62</v>
      </c>
      <c r="M2000" s="73">
        <v>19000.0</v>
      </c>
      <c r="N2000" s="74"/>
      <c r="O2000" s="73">
        <v>57000.0</v>
      </c>
      <c r="P2000" s="46" t="str">
        <f t="shared" si="2"/>
        <v>Rp19,000-3 LSN-0.00%</v>
      </c>
      <c r="Q2000" s="75">
        <v>45412.0</v>
      </c>
      <c r="R2000" s="76"/>
      <c r="S2000" s="75">
        <v>45423.0</v>
      </c>
      <c r="T2000" s="49"/>
    </row>
    <row r="2001">
      <c r="A2001" s="90">
        <v>4210.0</v>
      </c>
      <c r="B2001" s="91" t="s">
        <v>29</v>
      </c>
      <c r="C2001" s="49" t="s">
        <v>2421</v>
      </c>
      <c r="D2001" s="91" t="s">
        <v>2251</v>
      </c>
      <c r="E2001" s="41" t="str">
        <f>IFERROR(__xludf.DUMMYFUNCTION("vlookup(D2001,IMPORTRANGE(""https://docs.google.com/spreadsheets/d/1swGwZOEqYlTEUCJLY-eeJM1911Kvaei5oySBIxdgtNo/edit?pli=1#gid=257618397"",""stock untanna!B:C""),2,false)"),"BP TIZO TG 30802F S3 FANCY")</f>
        <v>BP TIZO TG 30802F S3 FANCY</v>
      </c>
      <c r="F2001" s="49" t="s">
        <v>2251</v>
      </c>
      <c r="G2001" s="71" t="s">
        <v>2252</v>
      </c>
      <c r="H2001" s="41"/>
      <c r="I2001" s="42"/>
      <c r="J2001" s="43"/>
      <c r="K2001" s="72">
        <v>3.0</v>
      </c>
      <c r="L2001" s="53" t="s">
        <v>62</v>
      </c>
      <c r="M2001" s="73">
        <v>19000.0</v>
      </c>
      <c r="N2001" s="74"/>
      <c r="O2001" s="73">
        <v>57000.0</v>
      </c>
      <c r="P2001" s="46" t="str">
        <f t="shared" si="2"/>
        <v>Rp19,000-3 LSN-0.00%</v>
      </c>
      <c r="Q2001" s="75">
        <v>45412.0</v>
      </c>
      <c r="R2001" s="76"/>
      <c r="S2001" s="75">
        <v>45423.0</v>
      </c>
      <c r="T2001" s="49"/>
    </row>
    <row r="2002">
      <c r="A2002" s="90">
        <v>4210.0</v>
      </c>
      <c r="B2002" s="91" t="s">
        <v>29</v>
      </c>
      <c r="C2002" s="49" t="s">
        <v>2421</v>
      </c>
      <c r="D2002" s="91" t="s">
        <v>627</v>
      </c>
      <c r="E2002" s="41" t="str">
        <f>IFERROR(__xludf.DUMMYFUNCTION("vlookup(D2002,IMPORTRANGE(""https://docs.google.com/spreadsheets/d/1swGwZOEqYlTEUCJLY-eeJM1911Kvaei5oySBIxdgtNo/edit?pli=1#gid=257618397"",""stock untanna!B:C""),2,false)"),"BP TIZO TG 30541F FANCY")</f>
        <v>BP TIZO TG 30541F FANCY</v>
      </c>
      <c r="F2002" s="49" t="s">
        <v>627</v>
      </c>
      <c r="G2002" s="71" t="s">
        <v>628</v>
      </c>
      <c r="H2002" s="41"/>
      <c r="I2002" s="42"/>
      <c r="J2002" s="43"/>
      <c r="K2002" s="72">
        <v>3.0</v>
      </c>
      <c r="L2002" s="53" t="s">
        <v>62</v>
      </c>
      <c r="M2002" s="73">
        <v>19000.0</v>
      </c>
      <c r="N2002" s="74"/>
      <c r="O2002" s="73">
        <v>57000.0</v>
      </c>
      <c r="P2002" s="46" t="str">
        <f t="shared" si="2"/>
        <v>Rp19,000-3 LSN-0.00%</v>
      </c>
      <c r="Q2002" s="75">
        <v>45412.0</v>
      </c>
      <c r="R2002" s="76"/>
      <c r="S2002" s="75">
        <v>45423.0</v>
      </c>
      <c r="T2002" s="49"/>
    </row>
    <row r="2003">
      <c r="A2003" s="90">
        <v>4210.0</v>
      </c>
      <c r="B2003" s="91" t="s">
        <v>29</v>
      </c>
      <c r="C2003" s="49" t="s">
        <v>2421</v>
      </c>
      <c r="D2003" s="91" t="s">
        <v>635</v>
      </c>
      <c r="E2003" s="41" t="str">
        <f>IFERROR(__xludf.DUMMYFUNCTION("vlookup(D2003,IMPORTRANGE(""https://docs.google.com/spreadsheets/d/1swGwZOEqYlTEUCJLY-eeJM1911Kvaei5oySBIxdgtNo/edit?pli=1#gid=257618397"",""stock untanna!B:C""),2,false)"),"BP GEL TIZO 31763F FANCY")</f>
        <v>BP GEL TIZO 31763F FANCY</v>
      </c>
      <c r="F2003" s="49" t="s">
        <v>635</v>
      </c>
      <c r="G2003" s="71" t="s">
        <v>636</v>
      </c>
      <c r="H2003" s="41"/>
      <c r="I2003" s="42"/>
      <c r="J2003" s="43"/>
      <c r="K2003" s="72">
        <v>3.0</v>
      </c>
      <c r="L2003" s="53" t="s">
        <v>62</v>
      </c>
      <c r="M2003" s="73">
        <v>19000.0</v>
      </c>
      <c r="N2003" s="74"/>
      <c r="O2003" s="73">
        <v>57000.0</v>
      </c>
      <c r="P2003" s="46" t="str">
        <f t="shared" si="2"/>
        <v>Rp19,000-3 LSN-0.00%</v>
      </c>
      <c r="Q2003" s="75">
        <v>45412.0</v>
      </c>
      <c r="R2003" s="76"/>
      <c r="S2003" s="75">
        <v>45423.0</v>
      </c>
      <c r="T2003" s="49"/>
    </row>
    <row r="2004">
      <c r="A2004" s="90">
        <v>4211.0</v>
      </c>
      <c r="B2004" s="91" t="s">
        <v>29</v>
      </c>
      <c r="C2004" s="49" t="s">
        <v>2431</v>
      </c>
      <c r="D2004" s="91" t="s">
        <v>627</v>
      </c>
      <c r="E2004" s="41" t="str">
        <f>IFERROR(__xludf.DUMMYFUNCTION("vlookup(D2004,IMPORTRANGE(""https://docs.google.com/spreadsheets/d/1swGwZOEqYlTEUCJLY-eeJM1911Kvaei5oySBIxdgtNo/edit?pli=1#gid=257618397"",""stock untanna!B:C""),2,false)"),"BP TIZO TG 30541F FANCY")</f>
        <v>BP TIZO TG 30541F FANCY</v>
      </c>
      <c r="F2004" s="49" t="s">
        <v>627</v>
      </c>
      <c r="G2004" s="71" t="s">
        <v>628</v>
      </c>
      <c r="H2004" s="41"/>
      <c r="I2004" s="42"/>
      <c r="J2004" s="43"/>
      <c r="K2004" s="72">
        <v>3.0</v>
      </c>
      <c r="L2004" s="53" t="s">
        <v>62</v>
      </c>
      <c r="M2004" s="73">
        <v>19000.0</v>
      </c>
      <c r="N2004" s="74"/>
      <c r="O2004" s="73">
        <v>57000.0</v>
      </c>
      <c r="P2004" s="46" t="str">
        <f t="shared" si="2"/>
        <v>Rp19,000-3 LSN-0.00%</v>
      </c>
      <c r="Q2004" s="75">
        <v>45412.0</v>
      </c>
      <c r="R2004" s="76"/>
      <c r="S2004" s="75">
        <v>45423.0</v>
      </c>
      <c r="T2004" s="49"/>
    </row>
    <row r="2005">
      <c r="A2005" s="90">
        <v>4211.0</v>
      </c>
      <c r="B2005" s="91" t="s">
        <v>29</v>
      </c>
      <c r="C2005" s="49" t="s">
        <v>2431</v>
      </c>
      <c r="D2005" s="91" t="s">
        <v>635</v>
      </c>
      <c r="E2005" s="41" t="str">
        <f>IFERROR(__xludf.DUMMYFUNCTION("vlookup(D2005,IMPORTRANGE(""https://docs.google.com/spreadsheets/d/1swGwZOEqYlTEUCJLY-eeJM1911Kvaei5oySBIxdgtNo/edit?pli=1#gid=257618397"",""stock untanna!B:C""),2,false)"),"BP GEL TIZO 31763F FANCY")</f>
        <v>BP GEL TIZO 31763F FANCY</v>
      </c>
      <c r="F2005" s="49" t="s">
        <v>635</v>
      </c>
      <c r="G2005" s="71" t="s">
        <v>636</v>
      </c>
      <c r="H2005" s="41"/>
      <c r="I2005" s="42"/>
      <c r="J2005" s="43"/>
      <c r="K2005" s="72">
        <v>3.0</v>
      </c>
      <c r="L2005" s="53" t="s">
        <v>62</v>
      </c>
      <c r="M2005" s="73">
        <v>19000.0</v>
      </c>
      <c r="N2005" s="74"/>
      <c r="O2005" s="73">
        <v>57000.0</v>
      </c>
      <c r="P2005" s="46" t="str">
        <f t="shared" si="2"/>
        <v>Rp19,000-3 LSN-0.00%</v>
      </c>
      <c r="Q2005" s="75">
        <v>45412.0</v>
      </c>
      <c r="R2005" s="76"/>
      <c r="S2005" s="75">
        <v>45423.0</v>
      </c>
      <c r="T2005" s="49"/>
    </row>
    <row r="2006">
      <c r="A2006" s="90">
        <v>4211.0</v>
      </c>
      <c r="B2006" s="91" t="s">
        <v>29</v>
      </c>
      <c r="C2006" s="49" t="s">
        <v>2431</v>
      </c>
      <c r="D2006" s="91" t="s">
        <v>633</v>
      </c>
      <c r="E2006" s="41" t="str">
        <f>IFERROR(__xludf.DUMMYFUNCTION("vlookup(D2006,IMPORTRANGE(""https://docs.google.com/spreadsheets/d/1swGwZOEqYlTEUCJLY-eeJM1911Kvaei5oySBIxdgtNo/edit?pli=1#gid=257618397"",""stock untanna!B:C""),2,false)"),"BP GEL TIZO 30734F FANCY")</f>
        <v>BP GEL TIZO 30734F FANCY</v>
      </c>
      <c r="F2006" s="49" t="s">
        <v>633</v>
      </c>
      <c r="G2006" s="71" t="s">
        <v>634</v>
      </c>
      <c r="H2006" s="41"/>
      <c r="I2006" s="42"/>
      <c r="J2006" s="43"/>
      <c r="K2006" s="72">
        <v>3.0</v>
      </c>
      <c r="L2006" s="53" t="s">
        <v>62</v>
      </c>
      <c r="M2006" s="73">
        <v>19000.0</v>
      </c>
      <c r="N2006" s="74"/>
      <c r="O2006" s="73">
        <v>57000.0</v>
      </c>
      <c r="P2006" s="46" t="str">
        <f t="shared" si="2"/>
        <v>Rp19,000-3 LSN-0.00%</v>
      </c>
      <c r="Q2006" s="75">
        <v>45412.0</v>
      </c>
      <c r="R2006" s="76"/>
      <c r="S2006" s="75">
        <v>45423.0</v>
      </c>
      <c r="T2006" s="49"/>
    </row>
    <row r="2007">
      <c r="A2007" s="90">
        <v>4211.0</v>
      </c>
      <c r="B2007" s="91" t="s">
        <v>29</v>
      </c>
      <c r="C2007" s="49" t="s">
        <v>2431</v>
      </c>
      <c r="D2007" s="91" t="s">
        <v>629</v>
      </c>
      <c r="E2007" s="41" t="str">
        <f>IFERROR(__xludf.DUMMYFUNCTION("vlookup(D2007,IMPORTRANGE(""https://docs.google.com/spreadsheets/d/1swGwZOEqYlTEUCJLY-eeJM1911Kvaei5oySBIxdgtNo/edit?pli=1#gid=257618397"",""stock untanna!B:C""),2,false)"),"BP GEL TIZO 30801F S3 FANCY")</f>
        <v>BP GEL TIZO 30801F S3 FANCY</v>
      </c>
      <c r="F2007" s="49" t="s">
        <v>629</v>
      </c>
      <c r="G2007" s="71" t="s">
        <v>630</v>
      </c>
      <c r="H2007" s="41"/>
      <c r="I2007" s="42"/>
      <c r="J2007" s="43"/>
      <c r="K2007" s="72">
        <v>3.0</v>
      </c>
      <c r="L2007" s="53" t="s">
        <v>62</v>
      </c>
      <c r="M2007" s="73">
        <v>19000.0</v>
      </c>
      <c r="N2007" s="74"/>
      <c r="O2007" s="73">
        <v>57000.0</v>
      </c>
      <c r="P2007" s="46" t="str">
        <f t="shared" si="2"/>
        <v>Rp19,000-3 LSN-0.00%</v>
      </c>
      <c r="Q2007" s="75">
        <v>45412.0</v>
      </c>
      <c r="R2007" s="76"/>
      <c r="S2007" s="75">
        <v>45423.0</v>
      </c>
      <c r="T2007" s="49"/>
    </row>
    <row r="2008">
      <c r="A2008" s="90">
        <v>4211.0</v>
      </c>
      <c r="B2008" s="91" t="s">
        <v>29</v>
      </c>
      <c r="C2008" s="49" t="s">
        <v>2431</v>
      </c>
      <c r="D2008" s="91" t="s">
        <v>2251</v>
      </c>
      <c r="E2008" s="41" t="str">
        <f>IFERROR(__xludf.DUMMYFUNCTION("vlookup(D2008,IMPORTRANGE(""https://docs.google.com/spreadsheets/d/1swGwZOEqYlTEUCJLY-eeJM1911Kvaei5oySBIxdgtNo/edit?pli=1#gid=257618397"",""stock untanna!B:C""),2,false)"),"BP TIZO TG 30802F S3 FANCY")</f>
        <v>BP TIZO TG 30802F S3 FANCY</v>
      </c>
      <c r="F2008" s="49" t="s">
        <v>2251</v>
      </c>
      <c r="G2008" s="71" t="s">
        <v>2252</v>
      </c>
      <c r="H2008" s="41"/>
      <c r="I2008" s="42"/>
      <c r="J2008" s="43"/>
      <c r="K2008" s="72">
        <v>3.0</v>
      </c>
      <c r="L2008" s="53" t="s">
        <v>62</v>
      </c>
      <c r="M2008" s="73">
        <v>19000.0</v>
      </c>
      <c r="N2008" s="74"/>
      <c r="O2008" s="73">
        <v>57000.0</v>
      </c>
      <c r="P2008" s="46" t="str">
        <f t="shared" si="2"/>
        <v>Rp19,000-3 LSN-0.00%</v>
      </c>
      <c r="Q2008" s="75">
        <v>45412.0</v>
      </c>
      <c r="R2008" s="76"/>
      <c r="S2008" s="75">
        <v>45423.0</v>
      </c>
      <c r="T2008" s="49"/>
    </row>
    <row r="2009">
      <c r="A2009" s="90">
        <v>4211.0</v>
      </c>
      <c r="B2009" s="91" t="s">
        <v>29</v>
      </c>
      <c r="C2009" s="49" t="s">
        <v>2431</v>
      </c>
      <c r="D2009" s="91" t="s">
        <v>2429</v>
      </c>
      <c r="E2009" s="41" t="str">
        <f>IFERROR(__xludf.DUMMYFUNCTION("vlookup(D2009,IMPORTRANGE(""https://docs.google.com/spreadsheets/d/1swGwZOEqYlTEUCJLY-eeJM1911Kvaei5oySBIxdgtNo/edit?pli=1#gid=257618397"",""stock untanna!B:C""),2,false)"),"BP KLIK DEBOZZ FANCY DB-GF 10")</f>
        <v>BP KLIK DEBOZZ FANCY DB-GF 10</v>
      </c>
      <c r="F2009" s="49" t="s">
        <v>2429</v>
      </c>
      <c r="G2009" s="71" t="s">
        <v>2430</v>
      </c>
      <c r="H2009" s="41"/>
      <c r="I2009" s="42"/>
      <c r="J2009" s="43"/>
      <c r="K2009" s="72">
        <v>3.0</v>
      </c>
      <c r="L2009" s="53" t="s">
        <v>62</v>
      </c>
      <c r="M2009" s="73">
        <v>35000.0</v>
      </c>
      <c r="N2009" s="74"/>
      <c r="O2009" s="73">
        <v>105000.0</v>
      </c>
      <c r="P2009" s="46" t="str">
        <f t="shared" si="2"/>
        <v>Rp35,000-3 LSN-0.00%</v>
      </c>
      <c r="Q2009" s="75">
        <v>45412.0</v>
      </c>
      <c r="R2009" s="76"/>
      <c r="S2009" s="75">
        <v>45423.0</v>
      </c>
      <c r="T2009" s="49"/>
    </row>
    <row r="2010">
      <c r="A2010" s="90">
        <v>4211.0</v>
      </c>
      <c r="B2010" s="91" t="s">
        <v>29</v>
      </c>
      <c r="C2010" s="49" t="s">
        <v>2431</v>
      </c>
      <c r="D2010" s="91"/>
      <c r="E2010" s="41" t="s">
        <v>2432</v>
      </c>
      <c r="F2010" s="49"/>
      <c r="G2010" s="71" t="s">
        <v>2432</v>
      </c>
      <c r="H2010" s="41"/>
      <c r="I2010" s="42"/>
      <c r="J2010" s="43"/>
      <c r="K2010" s="72">
        <v>6.0</v>
      </c>
      <c r="L2010" s="53" t="s">
        <v>69</v>
      </c>
      <c r="M2010" s="73">
        <v>70000.0</v>
      </c>
      <c r="N2010" s="74"/>
      <c r="O2010" s="73">
        <v>420000.0</v>
      </c>
      <c r="P2010" s="46" t="str">
        <f t="shared" si="2"/>
        <v>Rp70,000-6 PCS-0.00%</v>
      </c>
      <c r="Q2010" s="75">
        <v>45412.0</v>
      </c>
      <c r="R2010" s="76"/>
      <c r="S2010" s="75">
        <v>45423.0</v>
      </c>
      <c r="T2010" s="49"/>
    </row>
    <row r="2011">
      <c r="A2011" s="90">
        <v>4211.0</v>
      </c>
      <c r="B2011" s="91" t="s">
        <v>29</v>
      </c>
      <c r="C2011" s="49" t="s">
        <v>2431</v>
      </c>
      <c r="D2011" s="91"/>
      <c r="E2011" s="41" t="s">
        <v>2433</v>
      </c>
      <c r="F2011" s="49"/>
      <c r="G2011" s="71" t="s">
        <v>2433</v>
      </c>
      <c r="H2011" s="41"/>
      <c r="I2011" s="42"/>
      <c r="J2011" s="43"/>
      <c r="K2011" s="72">
        <v>2.0</v>
      </c>
      <c r="L2011" s="53" t="s">
        <v>62</v>
      </c>
      <c r="M2011" s="73">
        <v>50000.0</v>
      </c>
      <c r="N2011" s="74"/>
      <c r="O2011" s="73">
        <v>100000.0</v>
      </c>
      <c r="P2011" s="46" t="str">
        <f t="shared" si="2"/>
        <v>Rp50,000-2 LSN-0.00%</v>
      </c>
      <c r="Q2011" s="75">
        <v>45412.0</v>
      </c>
      <c r="R2011" s="76"/>
      <c r="S2011" s="75">
        <v>45423.0</v>
      </c>
      <c r="T2011" s="80" t="s">
        <v>280</v>
      </c>
    </row>
    <row r="2012">
      <c r="A2012" s="90">
        <v>4099.0</v>
      </c>
      <c r="B2012" s="91" t="s">
        <v>29</v>
      </c>
      <c r="C2012" s="49" t="s">
        <v>2434</v>
      </c>
      <c r="D2012" s="91" t="s">
        <v>2435</v>
      </c>
      <c r="E2012" s="41" t="str">
        <f>IFERROR(__xludf.DUMMYFUNCTION("vlookup(D2012,IMPORTRANGE(""https://docs.google.com/spreadsheets/d/1swGwZOEqYlTEUCJLY-eeJM1911Kvaei5oySBIxdgtNo/edit?pli=1#gid=257618397"",""stock untanna!B:C""),2,false)"),"ACRYLIC NT 7X20")</f>
        <v>ACRYLIC NT 7X20</v>
      </c>
      <c r="F2012" s="49" t="s">
        <v>2435</v>
      </c>
      <c r="G2012" s="71" t="s">
        <v>2436</v>
      </c>
      <c r="H2012" s="41"/>
      <c r="I2012" s="42"/>
      <c r="J2012" s="43"/>
      <c r="K2012" s="72">
        <v>144.0</v>
      </c>
      <c r="L2012" s="53" t="s">
        <v>69</v>
      </c>
      <c r="M2012" s="73">
        <v>16000.0</v>
      </c>
      <c r="N2012" s="74"/>
      <c r="O2012" s="73">
        <v>2304000.0</v>
      </c>
      <c r="P2012" s="46" t="str">
        <f t="shared" si="2"/>
        <v>Rp16,000-144 PCS-0.00%</v>
      </c>
      <c r="Q2012" s="75">
        <v>45412.0</v>
      </c>
      <c r="R2012" s="76"/>
      <c r="S2012" s="75">
        <v>45423.0</v>
      </c>
      <c r="T2012" s="49"/>
    </row>
    <row r="2013">
      <c r="A2013" s="90">
        <v>4099.0</v>
      </c>
      <c r="B2013" s="91" t="s">
        <v>29</v>
      </c>
      <c r="C2013" s="49" t="s">
        <v>2434</v>
      </c>
      <c r="D2013" s="91"/>
      <c r="E2013" s="41" t="s">
        <v>2437</v>
      </c>
      <c r="F2013" s="49"/>
      <c r="G2013" s="71" t="s">
        <v>2437</v>
      </c>
      <c r="H2013" s="41"/>
      <c r="I2013" s="42"/>
      <c r="J2013" s="43"/>
      <c r="K2013" s="72">
        <v>96.0</v>
      </c>
      <c r="L2013" s="53" t="s">
        <v>69</v>
      </c>
      <c r="M2013" s="73">
        <v>7500.0</v>
      </c>
      <c r="N2013" s="74"/>
      <c r="O2013" s="73">
        <v>720000.0</v>
      </c>
      <c r="P2013" s="46" t="str">
        <f t="shared" si="2"/>
        <v>Rp7,500-96 PCS-0.00%</v>
      </c>
      <c r="Q2013" s="75">
        <v>45412.0</v>
      </c>
      <c r="R2013" s="76"/>
      <c r="S2013" s="75">
        <v>45423.0</v>
      </c>
      <c r="T2013" s="49"/>
    </row>
    <row r="2014">
      <c r="A2014" s="90">
        <v>4099.0</v>
      </c>
      <c r="B2014" s="91" t="s">
        <v>29</v>
      </c>
      <c r="C2014" s="49" t="s">
        <v>2434</v>
      </c>
      <c r="D2014" s="91"/>
      <c r="E2014" s="41" t="s">
        <v>2438</v>
      </c>
      <c r="F2014" s="49"/>
      <c r="G2014" s="71" t="s">
        <v>2438</v>
      </c>
      <c r="H2014" s="41"/>
      <c r="I2014" s="42"/>
      <c r="J2014" s="43"/>
      <c r="K2014" s="72">
        <v>140.0</v>
      </c>
      <c r="L2014" s="53" t="s">
        <v>69</v>
      </c>
      <c r="M2014" s="73">
        <v>3100.0</v>
      </c>
      <c r="N2014" s="74"/>
      <c r="O2014" s="73">
        <v>434000.0</v>
      </c>
      <c r="P2014" s="46" t="str">
        <f t="shared" si="2"/>
        <v>Rp3,100-140 PCS-0.00%</v>
      </c>
      <c r="Q2014" s="75">
        <v>45412.0</v>
      </c>
      <c r="R2014" s="75">
        <v>45415.0</v>
      </c>
      <c r="S2014" s="75">
        <v>45423.0</v>
      </c>
      <c r="T2014" s="49"/>
    </row>
    <row r="2015">
      <c r="A2015" s="90">
        <v>4099.0</v>
      </c>
      <c r="B2015" s="91" t="s">
        <v>29</v>
      </c>
      <c r="C2015" s="49" t="s">
        <v>2434</v>
      </c>
      <c r="D2015" s="91"/>
      <c r="E2015" s="41" t="s">
        <v>279</v>
      </c>
      <c r="F2015" s="49"/>
      <c r="G2015" s="71" t="s">
        <v>279</v>
      </c>
      <c r="H2015" s="41"/>
      <c r="I2015" s="42"/>
      <c r="J2015" s="43"/>
      <c r="K2015" s="72">
        <v>6.0</v>
      </c>
      <c r="L2015" s="53" t="s">
        <v>69</v>
      </c>
      <c r="M2015" s="73">
        <v>27000.0</v>
      </c>
      <c r="N2015" s="74"/>
      <c r="O2015" s="73">
        <v>162000.0</v>
      </c>
      <c r="P2015" s="46" t="str">
        <f t="shared" si="2"/>
        <v>Rp27,000-6 PCS-0.00%</v>
      </c>
      <c r="Q2015" s="75">
        <v>45412.0</v>
      </c>
      <c r="R2015" s="75">
        <v>45415.0</v>
      </c>
      <c r="S2015" s="75">
        <v>45423.0</v>
      </c>
      <c r="T2015" s="49"/>
    </row>
    <row r="2016">
      <c r="A2016" s="90">
        <v>4099.0</v>
      </c>
      <c r="B2016" s="91" t="s">
        <v>29</v>
      </c>
      <c r="C2016" s="49" t="s">
        <v>2434</v>
      </c>
      <c r="D2016" s="91" t="s">
        <v>1539</v>
      </c>
      <c r="E2016" s="41" t="str">
        <f>IFERROR(__xludf.DUMMYFUNCTION("vlookup(D2016,IMPORTRANGE(""https://docs.google.com/spreadsheets/d/1swGwZOEqYlTEUCJLY-eeJM1911Kvaei5oySBIxdgtNo/edit?pli=1#gid=257618397"",""stock untanna!B:C""),2,false)"),"NOTEBOOK B0200 (A5）")</f>
        <v>NOTEBOOK B0200 (A5）</v>
      </c>
      <c r="F2016" s="49" t="s">
        <v>1539</v>
      </c>
      <c r="G2016" s="71" t="s">
        <v>1540</v>
      </c>
      <c r="H2016" s="41"/>
      <c r="I2016" s="42"/>
      <c r="J2016" s="43"/>
      <c r="K2016" s="72">
        <v>6.0</v>
      </c>
      <c r="L2016" s="53" t="s">
        <v>69</v>
      </c>
      <c r="M2016" s="73">
        <v>25000.0</v>
      </c>
      <c r="N2016" s="74"/>
      <c r="O2016" s="73">
        <v>150000.0</v>
      </c>
      <c r="P2016" s="46" t="str">
        <f t="shared" si="2"/>
        <v>Rp25,000-6 PCS-0.00%</v>
      </c>
      <c r="Q2016" s="75">
        <v>45412.0</v>
      </c>
      <c r="R2016" s="75">
        <v>45415.0</v>
      </c>
      <c r="S2016" s="75">
        <v>45423.0</v>
      </c>
      <c r="T2016" s="49"/>
    </row>
    <row r="2017">
      <c r="A2017" s="90">
        <v>4099.0</v>
      </c>
      <c r="B2017" s="91" t="s">
        <v>29</v>
      </c>
      <c r="C2017" s="49" t="s">
        <v>2434</v>
      </c>
      <c r="D2017" s="91" t="s">
        <v>1214</v>
      </c>
      <c r="E2017" s="41" t="str">
        <f>IFERROR(__xludf.DUMMYFUNCTION("vlookup(D2017,IMPORTRANGE(""https://docs.google.com/spreadsheets/d/1swGwZOEqYlTEUCJLY-eeJM1911Kvaei5oySBIxdgtNo/edit?pli=1#gid=257618397"",""stock untanna!B:C""),2,false)"),"NOTEBOOK 05202")</f>
        <v>NOTEBOOK 05202</v>
      </c>
      <c r="F2017" s="49" t="s">
        <v>1214</v>
      </c>
      <c r="G2017" s="71" t="s">
        <v>1215</v>
      </c>
      <c r="H2017" s="41"/>
      <c r="I2017" s="42"/>
      <c r="J2017" s="43"/>
      <c r="K2017" s="72">
        <v>6.0</v>
      </c>
      <c r="L2017" s="53" t="s">
        <v>69</v>
      </c>
      <c r="M2017" s="73">
        <v>25000.0</v>
      </c>
      <c r="N2017" s="74"/>
      <c r="O2017" s="73">
        <v>150000.0</v>
      </c>
      <c r="P2017" s="46" t="str">
        <f t="shared" si="2"/>
        <v>Rp25,000-6 PCS-0.00%</v>
      </c>
      <c r="Q2017" s="75">
        <v>45412.0</v>
      </c>
      <c r="R2017" s="75">
        <v>45415.0</v>
      </c>
      <c r="S2017" s="75">
        <v>45423.0</v>
      </c>
      <c r="T2017" s="49"/>
    </row>
    <row r="2018">
      <c r="A2018" s="90">
        <v>4099.0</v>
      </c>
      <c r="B2018" s="91" t="s">
        <v>29</v>
      </c>
      <c r="C2018" s="49" t="s">
        <v>2434</v>
      </c>
      <c r="D2018" s="91" t="s">
        <v>838</v>
      </c>
      <c r="E2018" s="41" t="str">
        <f>IFERROR(__xludf.DUMMYFUNCTION("vlookup(D2018,IMPORTRANGE(""https://docs.google.com/spreadsheets/d/1swGwZOEqYlTEUCJLY-eeJM1911Kvaei5oySBIxdgtNo/edit?pli=1#gid=257618397"",""stock untanna!B:C""),2,false)"),"CAT ACRYLIC COLOUR TF AC-002")</f>
        <v>CAT ACRYLIC COLOUR TF AC-002</v>
      </c>
      <c r="F2018" s="49" t="s">
        <v>838</v>
      </c>
      <c r="G2018" s="71" t="s">
        <v>839</v>
      </c>
      <c r="H2018" s="41"/>
      <c r="I2018" s="42"/>
      <c r="J2018" s="43"/>
      <c r="K2018" s="72">
        <v>5.0</v>
      </c>
      <c r="L2018" s="53" t="s">
        <v>62</v>
      </c>
      <c r="M2018" s="73">
        <v>275000.0</v>
      </c>
      <c r="N2018" s="74"/>
      <c r="O2018" s="73">
        <v>1375000.0</v>
      </c>
      <c r="P2018" s="46" t="str">
        <f t="shared" si="2"/>
        <v>Rp275,000-5 LSN-0.00%</v>
      </c>
      <c r="Q2018" s="75">
        <v>45412.0</v>
      </c>
      <c r="R2018" s="76"/>
      <c r="S2018" s="75">
        <v>45423.0</v>
      </c>
      <c r="T2018" s="49"/>
    </row>
    <row r="2019">
      <c r="A2019" s="90">
        <v>4099.0</v>
      </c>
      <c r="B2019" s="91" t="s">
        <v>29</v>
      </c>
      <c r="C2019" s="49" t="s">
        <v>2434</v>
      </c>
      <c r="D2019" s="91"/>
      <c r="E2019" s="41" t="s">
        <v>2439</v>
      </c>
      <c r="F2019" s="49"/>
      <c r="G2019" s="71" t="s">
        <v>2439</v>
      </c>
      <c r="H2019" s="41"/>
      <c r="I2019" s="42"/>
      <c r="J2019" s="43"/>
      <c r="K2019" s="72">
        <v>2.0</v>
      </c>
      <c r="L2019" s="53" t="s">
        <v>62</v>
      </c>
      <c r="M2019" s="73">
        <v>90000.0</v>
      </c>
      <c r="N2019" s="74"/>
      <c r="O2019" s="73">
        <v>180000.0</v>
      </c>
      <c r="P2019" s="46" t="str">
        <f t="shared" si="2"/>
        <v>Rp90,000-2 LSN-0.00%</v>
      </c>
      <c r="Q2019" s="75">
        <v>45412.0</v>
      </c>
      <c r="R2019" s="75">
        <v>45415.0</v>
      </c>
      <c r="S2019" s="75">
        <v>45423.0</v>
      </c>
      <c r="T2019" s="49"/>
    </row>
    <row r="2020">
      <c r="A2020" s="90">
        <v>4099.0</v>
      </c>
      <c r="B2020" s="91" t="s">
        <v>29</v>
      </c>
      <c r="C2020" s="49" t="s">
        <v>2434</v>
      </c>
      <c r="D2020" s="91"/>
      <c r="E2020" s="41" t="s">
        <v>2440</v>
      </c>
      <c r="F2020" s="49"/>
      <c r="G2020" s="71" t="s">
        <v>2440</v>
      </c>
      <c r="H2020" s="41"/>
      <c r="I2020" s="42"/>
      <c r="J2020" s="43"/>
      <c r="K2020" s="72">
        <v>2.0</v>
      </c>
      <c r="L2020" s="53" t="s">
        <v>62</v>
      </c>
      <c r="M2020" s="73">
        <v>100000.0</v>
      </c>
      <c r="N2020" s="74"/>
      <c r="O2020" s="73">
        <v>200000.0</v>
      </c>
      <c r="P2020" s="46" t="str">
        <f t="shared" si="2"/>
        <v>Rp100,000-2 LSN-0.00%</v>
      </c>
      <c r="Q2020" s="75">
        <v>45412.0</v>
      </c>
      <c r="R2020" s="76"/>
      <c r="S2020" s="75">
        <v>45423.0</v>
      </c>
      <c r="T2020" s="49"/>
    </row>
    <row r="2021">
      <c r="A2021" s="90">
        <v>4099.0</v>
      </c>
      <c r="B2021" s="91" t="s">
        <v>29</v>
      </c>
      <c r="C2021" s="49" t="s">
        <v>2434</v>
      </c>
      <c r="D2021" s="91"/>
      <c r="E2021" s="41" t="s">
        <v>2441</v>
      </c>
      <c r="F2021" s="49"/>
      <c r="G2021" s="71" t="s">
        <v>2441</v>
      </c>
      <c r="H2021" s="41"/>
      <c r="I2021" s="42"/>
      <c r="J2021" s="43"/>
      <c r="K2021" s="72">
        <v>20.0</v>
      </c>
      <c r="L2021" s="53" t="s">
        <v>62</v>
      </c>
      <c r="M2021" s="73">
        <v>25000.0</v>
      </c>
      <c r="N2021" s="74"/>
      <c r="O2021" s="73">
        <v>500000.0</v>
      </c>
      <c r="P2021" s="46" t="str">
        <f t="shared" si="2"/>
        <v>Rp25,000-20 LSN-0.00%</v>
      </c>
      <c r="Q2021" s="75">
        <v>45412.0</v>
      </c>
      <c r="R2021" s="75">
        <v>45415.0</v>
      </c>
      <c r="S2021" s="75">
        <v>45423.0</v>
      </c>
      <c r="T2021" s="49"/>
    </row>
    <row r="2022">
      <c r="A2022" s="90">
        <v>4099.0</v>
      </c>
      <c r="B2022" s="91" t="s">
        <v>29</v>
      </c>
      <c r="C2022" s="49" t="s">
        <v>2434</v>
      </c>
      <c r="D2022" s="91"/>
      <c r="E2022" s="41" t="s">
        <v>2442</v>
      </c>
      <c r="F2022" s="49"/>
      <c r="G2022" s="71" t="s">
        <v>2442</v>
      </c>
      <c r="H2022" s="41"/>
      <c r="I2022" s="42"/>
      <c r="J2022" s="43"/>
      <c r="K2022" s="72">
        <v>15.0</v>
      </c>
      <c r="L2022" s="53" t="s">
        <v>62</v>
      </c>
      <c r="M2022" s="73">
        <v>30000.0</v>
      </c>
      <c r="N2022" s="74"/>
      <c r="O2022" s="73">
        <v>450000.0</v>
      </c>
      <c r="P2022" s="46" t="str">
        <f t="shared" si="2"/>
        <v>Rp30,000-15 LSN-0.00%</v>
      </c>
      <c r="Q2022" s="75">
        <v>45412.0</v>
      </c>
      <c r="R2022" s="75">
        <v>45415.0</v>
      </c>
      <c r="S2022" s="75">
        <v>45423.0</v>
      </c>
      <c r="T2022" s="49"/>
    </row>
    <row r="2023">
      <c r="A2023" s="90">
        <v>4099.0</v>
      </c>
      <c r="B2023" s="91" t="s">
        <v>29</v>
      </c>
      <c r="C2023" s="49" t="s">
        <v>2434</v>
      </c>
      <c r="D2023" s="91"/>
      <c r="E2023" s="41" t="s">
        <v>2443</v>
      </c>
      <c r="F2023" s="49"/>
      <c r="G2023" s="71" t="s">
        <v>2443</v>
      </c>
      <c r="H2023" s="41"/>
      <c r="I2023" s="42"/>
      <c r="J2023" s="43"/>
      <c r="K2023" s="72">
        <v>50.0</v>
      </c>
      <c r="L2023" s="53" t="s">
        <v>69</v>
      </c>
      <c r="M2023" s="73">
        <v>5000.0</v>
      </c>
      <c r="N2023" s="83">
        <v>0.1</v>
      </c>
      <c r="O2023" s="73">
        <v>225000.0</v>
      </c>
      <c r="P2023" s="46" t="str">
        <f t="shared" si="2"/>
        <v>Rp5,000-50 PCS-10.00%</v>
      </c>
      <c r="Q2023" s="75">
        <v>45412.0</v>
      </c>
      <c r="R2023" s="75">
        <v>45415.0</v>
      </c>
      <c r="S2023" s="75">
        <v>45423.0</v>
      </c>
      <c r="T2023" s="80" t="s">
        <v>280</v>
      </c>
    </row>
    <row r="2024">
      <c r="A2024" s="90">
        <v>3.0</v>
      </c>
      <c r="B2024" s="91" t="s">
        <v>58</v>
      </c>
      <c r="C2024" s="49" t="s">
        <v>2444</v>
      </c>
      <c r="D2024" s="91"/>
      <c r="E2024" s="41" t="s">
        <v>2445</v>
      </c>
      <c r="F2024" s="49"/>
      <c r="G2024" s="71" t="s">
        <v>2445</v>
      </c>
      <c r="H2024" s="41"/>
      <c r="I2024" s="42"/>
      <c r="J2024" s="43"/>
      <c r="K2024" s="72">
        <v>12.0</v>
      </c>
      <c r="L2024" s="53" t="s">
        <v>62</v>
      </c>
      <c r="M2024" s="73">
        <v>13000.0</v>
      </c>
      <c r="N2024" s="74"/>
      <c r="O2024" s="73">
        <v>156000.0</v>
      </c>
      <c r="P2024" s="46" t="str">
        <f t="shared" si="2"/>
        <v>Rp13,000-12 LSN-0.00%</v>
      </c>
      <c r="Q2024" s="75">
        <v>45412.0</v>
      </c>
      <c r="R2024" s="76"/>
      <c r="S2024" s="75">
        <v>45423.0</v>
      </c>
      <c r="T2024" s="49"/>
    </row>
    <row r="2025">
      <c r="A2025" s="90">
        <v>3.0</v>
      </c>
      <c r="B2025" s="91" t="s">
        <v>58</v>
      </c>
      <c r="C2025" s="49" t="s">
        <v>2444</v>
      </c>
      <c r="D2025" s="91" t="s">
        <v>2446</v>
      </c>
      <c r="E2025" s="41" t="str">
        <f>IFERROR(__xludf.DUMMYFUNCTION("vlookup(D2025,IMPORTRANGE(""https://docs.google.com/spreadsheets/d/1swGwZOEqYlTEUCJLY-eeJM1911Kvaei5oySBIxdgtNo/edit?pli=1#gid=257618397"",""stock untanna!B:C""),2,false)"),"BP GEL TIZO TG31220")</f>
        <v>BP GEL TIZO TG31220</v>
      </c>
      <c r="F2025" s="49" t="s">
        <v>2446</v>
      </c>
      <c r="G2025" s="71" t="s">
        <v>2447</v>
      </c>
      <c r="H2025" s="41"/>
      <c r="I2025" s="42"/>
      <c r="J2025" s="43"/>
      <c r="K2025" s="72">
        <v>12.0</v>
      </c>
      <c r="L2025" s="53" t="s">
        <v>62</v>
      </c>
      <c r="M2025" s="73">
        <v>24500.0</v>
      </c>
      <c r="N2025" s="74"/>
      <c r="O2025" s="73">
        <v>294000.0</v>
      </c>
      <c r="P2025" s="46" t="str">
        <f t="shared" si="2"/>
        <v>Rp24,500-12 LSN-0.00%</v>
      </c>
      <c r="Q2025" s="75">
        <v>45412.0</v>
      </c>
      <c r="R2025" s="76"/>
      <c r="S2025" s="75">
        <v>45423.0</v>
      </c>
      <c r="T2025" s="49"/>
    </row>
    <row r="2026">
      <c r="A2026" s="90">
        <v>3.0</v>
      </c>
      <c r="B2026" s="91" t="s">
        <v>58</v>
      </c>
      <c r="C2026" s="49" t="s">
        <v>2444</v>
      </c>
      <c r="D2026" s="91" t="s">
        <v>511</v>
      </c>
      <c r="E2026" s="41" t="str">
        <f>IFERROR(__xludf.DUMMYFUNCTION("vlookup(D2026,IMPORTRANGE(""https://docs.google.com/spreadsheets/d/1swGwZOEqYlTEUCJLY-eeJM1911Kvaei5oySBIxdgtNo/edit?pli=1#gid=257618397"",""stock untanna!B:C""),2,false)"),"TAPE 1505 FANCY")</f>
        <v>TAPE 1505 FANCY</v>
      </c>
      <c r="F2026" s="49" t="s">
        <v>511</v>
      </c>
      <c r="G2026" s="71" t="s">
        <v>512</v>
      </c>
      <c r="H2026" s="41"/>
      <c r="I2026" s="42"/>
      <c r="J2026" s="43"/>
      <c r="K2026" s="72">
        <v>10.0</v>
      </c>
      <c r="L2026" s="53" t="s">
        <v>1726</v>
      </c>
      <c r="M2026" s="73">
        <v>8000.0</v>
      </c>
      <c r="N2026" s="74"/>
      <c r="O2026" s="73">
        <v>80000.0</v>
      </c>
      <c r="P2026" s="46" t="str">
        <f t="shared" si="2"/>
        <v>Rp8,000-10 SLOP-0.00%</v>
      </c>
      <c r="Q2026" s="75">
        <v>45412.0</v>
      </c>
      <c r="R2026" s="76"/>
      <c r="S2026" s="75">
        <v>45423.0</v>
      </c>
      <c r="T2026" s="49" t="s">
        <v>100</v>
      </c>
    </row>
    <row r="2027">
      <c r="A2027" s="90">
        <v>3.0</v>
      </c>
      <c r="B2027" s="91" t="s">
        <v>58</v>
      </c>
      <c r="C2027" s="49" t="s">
        <v>2444</v>
      </c>
      <c r="D2027" s="91"/>
      <c r="E2027" s="41" t="s">
        <v>2448</v>
      </c>
      <c r="F2027" s="49"/>
      <c r="G2027" s="71" t="s">
        <v>2448</v>
      </c>
      <c r="H2027" s="41"/>
      <c r="I2027" s="42"/>
      <c r="J2027" s="43"/>
      <c r="K2027" s="72">
        <v>10.0</v>
      </c>
      <c r="L2027" s="53" t="s">
        <v>1726</v>
      </c>
      <c r="M2027" s="73">
        <v>4750.0</v>
      </c>
      <c r="N2027" s="74"/>
      <c r="O2027" s="73">
        <v>47500.0</v>
      </c>
      <c r="P2027" s="46" t="str">
        <f t="shared" si="2"/>
        <v>Rp4,750-10 SLOP-0.00%</v>
      </c>
      <c r="Q2027" s="75">
        <v>45412.0</v>
      </c>
      <c r="R2027" s="76"/>
      <c r="S2027" s="75">
        <v>45423.0</v>
      </c>
      <c r="T2027" s="49"/>
    </row>
    <row r="2028">
      <c r="A2028" s="90">
        <v>3.0</v>
      </c>
      <c r="B2028" s="91" t="s">
        <v>58</v>
      </c>
      <c r="C2028" s="49" t="s">
        <v>2444</v>
      </c>
      <c r="D2028" s="91" t="s">
        <v>1868</v>
      </c>
      <c r="E2028" s="41" t="str">
        <f>IFERROR(__xludf.DUMMYFUNCTION("vlookup(D2028,IMPORTRANGE(""https://docs.google.com/spreadsheets/d/1swGwZOEqYlTEUCJLY-eeJM1911Kvaei5oySBIxdgtNo/edit?pli=1#gid=257618397"",""stock untanna!B:C""),2,false)"),"BP 4W TOZCHA 8401")</f>
        <v>BP 4W TOZCHA 8401</v>
      </c>
      <c r="F2028" s="49" t="s">
        <v>1868</v>
      </c>
      <c r="G2028" s="71" t="s">
        <v>1869</v>
      </c>
      <c r="H2028" s="41"/>
      <c r="I2028" s="42"/>
      <c r="J2028" s="43"/>
      <c r="K2028" s="72">
        <v>12.0</v>
      </c>
      <c r="L2028" s="53" t="s">
        <v>62</v>
      </c>
      <c r="M2028" s="73">
        <v>28500.0</v>
      </c>
      <c r="N2028" s="74"/>
      <c r="O2028" s="73">
        <v>342000.0</v>
      </c>
      <c r="P2028" s="46" t="str">
        <f t="shared" si="2"/>
        <v>Rp28,500-12 LSN-0.00%</v>
      </c>
      <c r="Q2028" s="75">
        <v>45412.0</v>
      </c>
      <c r="R2028" s="76"/>
      <c r="S2028" s="75">
        <v>45423.0</v>
      </c>
      <c r="T2028" s="49"/>
    </row>
    <row r="2029">
      <c r="A2029" s="90">
        <v>3.0</v>
      </c>
      <c r="B2029" s="91" t="s">
        <v>58</v>
      </c>
      <c r="C2029" s="49" t="s">
        <v>2444</v>
      </c>
      <c r="D2029" s="91" t="s">
        <v>2449</v>
      </c>
      <c r="E2029" s="41" t="str">
        <f>IFERROR(__xludf.DUMMYFUNCTION("vlookup(D2029,IMPORTRANGE(""https://docs.google.com/spreadsheets/d/1swGwZOEqYlTEUCJLY-eeJM1911Kvaei5oySBIxdgtNo/edit?pli=1#gid=257618397"",""stock untanna!B:C""),2,false)"),"STICK NOTE TF 0246")</f>
        <v>STICK NOTE TF 0246</v>
      </c>
      <c r="F2029" s="49" t="s">
        <v>2449</v>
      </c>
      <c r="G2029" s="71" t="s">
        <v>2450</v>
      </c>
      <c r="H2029" s="41"/>
      <c r="I2029" s="42"/>
      <c r="J2029" s="43"/>
      <c r="K2029" s="72">
        <v>12.0</v>
      </c>
      <c r="L2029" s="53" t="s">
        <v>69</v>
      </c>
      <c r="M2029" s="73">
        <v>15500.0</v>
      </c>
      <c r="N2029" s="74"/>
      <c r="O2029" s="73">
        <v>186000.0</v>
      </c>
      <c r="P2029" s="46" t="str">
        <f t="shared" si="2"/>
        <v>Rp15,500-12 PCS-0.00%</v>
      </c>
      <c r="Q2029" s="75">
        <v>45412.0</v>
      </c>
      <c r="R2029" s="76"/>
      <c r="S2029" s="75">
        <v>45423.0</v>
      </c>
      <c r="T2029" s="49"/>
    </row>
    <row r="2030">
      <c r="A2030" s="90">
        <v>3.0</v>
      </c>
      <c r="B2030" s="91" t="s">
        <v>58</v>
      </c>
      <c r="C2030" s="49" t="s">
        <v>2444</v>
      </c>
      <c r="D2030" s="91" t="s">
        <v>2451</v>
      </c>
      <c r="E2030" s="41" t="str">
        <f>IFERROR(__xludf.DUMMYFUNCTION("vlookup(D2030,IMPORTRANGE(""https://docs.google.com/spreadsheets/d/1swGwZOEqYlTEUCJLY-eeJM1911Kvaei5oySBIxdgtNo/edit?pli=1#gid=257618397"",""stock untanna!B:C""),2,false)"),"LOOSE LEAF HOLO ALFA A5 HELLO KITTY")</f>
        <v>LOOSE LEAF HOLO ALFA A5 HELLO KITTY</v>
      </c>
      <c r="F2030" s="49" t="s">
        <v>2451</v>
      </c>
      <c r="G2030" s="78" t="s">
        <v>2452</v>
      </c>
      <c r="H2030" s="41"/>
      <c r="I2030" s="42"/>
      <c r="J2030" s="43"/>
      <c r="K2030" s="72">
        <v>100.0</v>
      </c>
      <c r="L2030" s="53" t="s">
        <v>114</v>
      </c>
      <c r="M2030" s="73">
        <v>2750.0</v>
      </c>
      <c r="N2030" s="74"/>
      <c r="O2030" s="73">
        <v>275000.0</v>
      </c>
      <c r="P2030" s="46" t="str">
        <f t="shared" si="2"/>
        <v>Rp2,750-100 PAK-0.00%</v>
      </c>
      <c r="Q2030" s="75">
        <v>45412.0</v>
      </c>
      <c r="R2030" s="76"/>
      <c r="S2030" s="75">
        <v>45423.0</v>
      </c>
      <c r="T2030" s="49" t="s">
        <v>100</v>
      </c>
    </row>
    <row r="2031">
      <c r="A2031" s="90">
        <v>3.0</v>
      </c>
      <c r="B2031" s="91" t="s">
        <v>58</v>
      </c>
      <c r="C2031" s="49" t="s">
        <v>2444</v>
      </c>
      <c r="D2031" s="91" t="s">
        <v>1842</v>
      </c>
      <c r="E2031" s="41" t="str">
        <f>IFERROR(__xludf.DUMMYFUNCTION("vlookup(D2031,IMPORTRANGE(""https://docs.google.com/spreadsheets/d/1swGwZOEqYlTEUCJLY-eeJM1911Kvaei5oySBIxdgtNo/edit?pli=1#gid=257618397"",""stock untanna!B:C""),2,false)"),"LOOSE LEAF BIASA UNTANO BIODATA A5 MIX")</f>
        <v>LOOSE LEAF BIASA UNTANO BIODATA A5 MIX</v>
      </c>
      <c r="F2031" s="49" t="s">
        <v>1842</v>
      </c>
      <c r="G2031" s="78" t="s">
        <v>1843</v>
      </c>
      <c r="H2031" s="41"/>
      <c r="I2031" s="42"/>
      <c r="J2031" s="43"/>
      <c r="K2031" s="72">
        <v>50.0</v>
      </c>
      <c r="L2031" s="53" t="s">
        <v>114</v>
      </c>
      <c r="M2031" s="73">
        <v>3500.0</v>
      </c>
      <c r="N2031" s="74"/>
      <c r="O2031" s="73">
        <v>175000.0</v>
      </c>
      <c r="P2031" s="46" t="str">
        <f t="shared" si="2"/>
        <v>Rp3,500-50 PAK-0.00%</v>
      </c>
      <c r="Q2031" s="75">
        <v>45412.0</v>
      </c>
      <c r="R2031" s="76"/>
      <c r="S2031" s="75">
        <v>45423.0</v>
      </c>
      <c r="T2031" s="49" t="s">
        <v>100</v>
      </c>
    </row>
    <row r="2032">
      <c r="A2032" s="90">
        <v>3.0</v>
      </c>
      <c r="B2032" s="91" t="s">
        <v>58</v>
      </c>
      <c r="C2032" s="49" t="s">
        <v>2444</v>
      </c>
      <c r="D2032" s="91"/>
      <c r="E2032" s="41" t="s">
        <v>2453</v>
      </c>
      <c r="F2032" s="49"/>
      <c r="G2032" s="78" t="s">
        <v>2453</v>
      </c>
      <c r="H2032" s="41"/>
      <c r="I2032" s="42"/>
      <c r="J2032" s="43"/>
      <c r="K2032" s="72">
        <v>2.0</v>
      </c>
      <c r="L2032" s="53" t="s">
        <v>62</v>
      </c>
      <c r="M2032" s="73">
        <v>317500.0</v>
      </c>
      <c r="N2032" s="74"/>
      <c r="O2032" s="73">
        <v>635000.0</v>
      </c>
      <c r="P2032" s="46" t="str">
        <f t="shared" si="2"/>
        <v>Rp317,500-2 LSN-0.00%</v>
      </c>
      <c r="Q2032" s="75">
        <v>45412.0</v>
      </c>
      <c r="R2032" s="76"/>
      <c r="S2032" s="75">
        <v>45423.0</v>
      </c>
      <c r="T2032" s="49"/>
    </row>
    <row r="2033">
      <c r="A2033" s="90">
        <v>3.0</v>
      </c>
      <c r="B2033" s="91" t="s">
        <v>58</v>
      </c>
      <c r="C2033" s="49" t="s">
        <v>2444</v>
      </c>
      <c r="D2033" s="91"/>
      <c r="E2033" s="41" t="s">
        <v>2454</v>
      </c>
      <c r="F2033" s="49"/>
      <c r="G2033" s="78" t="s">
        <v>2454</v>
      </c>
      <c r="H2033" s="41"/>
      <c r="I2033" s="42"/>
      <c r="J2033" s="43"/>
      <c r="K2033" s="72">
        <v>2.0</v>
      </c>
      <c r="L2033" s="53" t="s">
        <v>62</v>
      </c>
      <c r="M2033" s="73">
        <v>407500.0</v>
      </c>
      <c r="N2033" s="74"/>
      <c r="O2033" s="73">
        <v>815000.0</v>
      </c>
      <c r="P2033" s="46" t="str">
        <f t="shared" si="2"/>
        <v>Rp407,500-2 LSN-0.00%</v>
      </c>
      <c r="Q2033" s="75">
        <v>45412.0</v>
      </c>
      <c r="R2033" s="76"/>
      <c r="S2033" s="75">
        <v>45423.0</v>
      </c>
      <c r="T2033" s="49"/>
    </row>
    <row r="2034">
      <c r="A2034" s="90">
        <v>3.0</v>
      </c>
      <c r="B2034" s="91" t="s">
        <v>58</v>
      </c>
      <c r="C2034" s="49" t="s">
        <v>2444</v>
      </c>
      <c r="D2034" s="91"/>
      <c r="E2034" s="41" t="s">
        <v>2455</v>
      </c>
      <c r="F2034" s="49"/>
      <c r="G2034" s="78" t="s">
        <v>2455</v>
      </c>
      <c r="H2034" s="41"/>
      <c r="I2034" s="42"/>
      <c r="J2034" s="43"/>
      <c r="K2034" s="72">
        <v>2.0</v>
      </c>
      <c r="L2034" s="53" t="s">
        <v>62</v>
      </c>
      <c r="M2034" s="73">
        <v>490000.0</v>
      </c>
      <c r="N2034" s="74"/>
      <c r="O2034" s="73">
        <v>980000.0</v>
      </c>
      <c r="P2034" s="46" t="str">
        <f t="shared" si="2"/>
        <v>Rp490,000-2 LSN-0.00%</v>
      </c>
      <c r="Q2034" s="75">
        <v>45412.0</v>
      </c>
      <c r="R2034" s="76"/>
      <c r="S2034" s="75">
        <v>45423.0</v>
      </c>
      <c r="T2034" s="49"/>
    </row>
    <row r="2035">
      <c r="A2035" s="90">
        <v>3.0</v>
      </c>
      <c r="B2035" s="91" t="s">
        <v>58</v>
      </c>
      <c r="C2035" s="49" t="s">
        <v>2444</v>
      </c>
      <c r="D2035" s="91"/>
      <c r="E2035" s="41" t="s">
        <v>2037</v>
      </c>
      <c r="F2035" s="49"/>
      <c r="G2035" s="71" t="s">
        <v>2037</v>
      </c>
      <c r="H2035" s="41"/>
      <c r="I2035" s="42"/>
      <c r="J2035" s="43"/>
      <c r="K2035" s="72">
        <v>20.0</v>
      </c>
      <c r="L2035" s="53" t="s">
        <v>114</v>
      </c>
      <c r="M2035" s="73">
        <v>7000.0</v>
      </c>
      <c r="N2035" s="74"/>
      <c r="O2035" s="73">
        <v>140000.0</v>
      </c>
      <c r="P2035" s="46" t="str">
        <f t="shared" si="2"/>
        <v>Rp7,000-20 PAK-0.00%</v>
      </c>
      <c r="Q2035" s="75">
        <v>45412.0</v>
      </c>
      <c r="R2035" s="76"/>
      <c r="S2035" s="75">
        <v>45423.0</v>
      </c>
      <c r="T2035" s="49"/>
    </row>
    <row r="2036">
      <c r="A2036" s="90">
        <v>3.0</v>
      </c>
      <c r="B2036" s="91" t="s">
        <v>58</v>
      </c>
      <c r="C2036" s="49" t="s">
        <v>2444</v>
      </c>
      <c r="D2036" s="91" t="s">
        <v>306</v>
      </c>
      <c r="E2036" s="41" t="str">
        <f>IFERROR(__xludf.DUMMYFUNCTION("vlookup(D2036,IMPORTRANGE(""https://docs.google.com/spreadsheets/d/1swGwZOEqYlTEUCJLY-eeJM1911Kvaei5oySBIxdgtNo/edit?pli=1#gid=257618397"",""stock untanna!B:C""),2,false)"),"BP TF-2037 6W")</f>
        <v>BP TF-2037 6W</v>
      </c>
      <c r="F2036" s="49" t="s">
        <v>306</v>
      </c>
      <c r="G2036" s="71" t="s">
        <v>307</v>
      </c>
      <c r="H2036" s="41"/>
      <c r="I2036" s="42"/>
      <c r="J2036" s="43"/>
      <c r="K2036" s="72">
        <v>3.0</v>
      </c>
      <c r="L2036" s="53" t="s">
        <v>62</v>
      </c>
      <c r="M2036" s="73">
        <v>48000.0</v>
      </c>
      <c r="N2036" s="74"/>
      <c r="O2036" s="73">
        <v>144000.0</v>
      </c>
      <c r="P2036" s="46" t="str">
        <f t="shared" si="2"/>
        <v>Rp48,000-3 LSN-0.00%</v>
      </c>
      <c r="Q2036" s="75">
        <v>45412.0</v>
      </c>
      <c r="R2036" s="76"/>
      <c r="S2036" s="75">
        <v>45423.0</v>
      </c>
      <c r="T2036" s="49"/>
    </row>
    <row r="2037">
      <c r="A2037" s="90">
        <v>3.0</v>
      </c>
      <c r="B2037" s="91" t="s">
        <v>58</v>
      </c>
      <c r="C2037" s="49" t="s">
        <v>2444</v>
      </c>
      <c r="D2037" s="91" t="s">
        <v>1307</v>
      </c>
      <c r="E2037" s="41" t="str">
        <f>IFERROR(__xludf.DUMMYFUNCTION("vlookup(D2037,IMPORTRANGE(""https://docs.google.com/spreadsheets/d/1swGwZOEqYlTEUCJLY-eeJM1911Kvaei5oySBIxdgtNo/edit?pli=1#gid=257618397"",""stock untanna!B:C""),2,false)"),"BP E 8805 MULTI WARNA (24)")</f>
        <v>BP E 8805 MULTI WARNA (24)</v>
      </c>
      <c r="F2037" s="49" t="s">
        <v>1307</v>
      </c>
      <c r="G2037" s="71" t="s">
        <v>1308</v>
      </c>
      <c r="H2037" s="41"/>
      <c r="I2037" s="42"/>
      <c r="J2037" s="43"/>
      <c r="K2037" s="72">
        <v>1.0</v>
      </c>
      <c r="L2037" s="53" t="s">
        <v>88</v>
      </c>
      <c r="M2037" s="73">
        <v>168000.0</v>
      </c>
      <c r="N2037" s="74"/>
      <c r="O2037" s="73">
        <v>168000.0</v>
      </c>
      <c r="P2037" s="46" t="str">
        <f t="shared" si="2"/>
        <v>Rp168,000-1 BOX-0.00%</v>
      </c>
      <c r="Q2037" s="75">
        <v>45412.0</v>
      </c>
      <c r="R2037" s="76"/>
      <c r="S2037" s="75">
        <v>45423.0</v>
      </c>
      <c r="T2037" s="49"/>
    </row>
    <row r="2038">
      <c r="A2038" s="90">
        <v>3.0</v>
      </c>
      <c r="B2038" s="91" t="s">
        <v>58</v>
      </c>
      <c r="C2038" s="49" t="s">
        <v>2444</v>
      </c>
      <c r="D2038" s="91" t="s">
        <v>2238</v>
      </c>
      <c r="E2038" s="41" t="str">
        <f>IFERROR(__xludf.DUMMYFUNCTION("vlookup(D2038,IMPORTRANGE(""https://docs.google.com/spreadsheets/d/1swGwZOEqYlTEUCJLY-eeJM1911Kvaei5oySBIxdgtNo/edit?pli=1#gid=257618397"",""stock untanna!B:C""),2,false)"),"BALON DOF 12"" RI PUTIH")</f>
        <v>BALON DOF 12" RI PUTIH</v>
      </c>
      <c r="F2038" s="49" t="s">
        <v>2238</v>
      </c>
      <c r="G2038" s="71" t="s">
        <v>2239</v>
      </c>
      <c r="H2038" s="41"/>
      <c r="I2038" s="42"/>
      <c r="J2038" s="43"/>
      <c r="K2038" s="72">
        <v>5.0</v>
      </c>
      <c r="L2038" s="53" t="s">
        <v>1521</v>
      </c>
      <c r="M2038" s="73">
        <v>45000.0</v>
      </c>
      <c r="N2038" s="74"/>
      <c r="O2038" s="73">
        <v>225000.0</v>
      </c>
      <c r="P2038" s="46" t="str">
        <f t="shared" si="2"/>
        <v>Rp45,000-5 DISP-0.00%</v>
      </c>
      <c r="Q2038" s="75">
        <v>45412.0</v>
      </c>
      <c r="R2038" s="76"/>
      <c r="S2038" s="75">
        <v>45423.0</v>
      </c>
      <c r="T2038" s="49"/>
    </row>
    <row r="2039">
      <c r="A2039" s="90">
        <v>3.0</v>
      </c>
      <c r="B2039" s="91" t="s">
        <v>58</v>
      </c>
      <c r="C2039" s="49" t="s">
        <v>2444</v>
      </c>
      <c r="D2039" s="91" t="s">
        <v>2236</v>
      </c>
      <c r="E2039" s="41" t="str">
        <f>IFERROR(__xludf.DUMMYFUNCTION("vlookup(D2039,IMPORTRANGE(""https://docs.google.com/spreadsheets/d/1swGwZOEqYlTEUCJLY-eeJM1911Kvaei5oySBIxdgtNo/edit?pli=1#gid=257618397"",""stock untanna!B:C""),2,false)"),"BALON DOF 12'' RI MERAH")</f>
        <v>BALON DOF 12'' RI MERAH</v>
      </c>
      <c r="F2039" s="49" t="s">
        <v>2236</v>
      </c>
      <c r="G2039" s="71" t="s">
        <v>2237</v>
      </c>
      <c r="H2039" s="41"/>
      <c r="I2039" s="42"/>
      <c r="J2039" s="43"/>
      <c r="K2039" s="72">
        <v>5.0</v>
      </c>
      <c r="L2039" s="53" t="s">
        <v>1521</v>
      </c>
      <c r="M2039" s="73">
        <v>45000.0</v>
      </c>
      <c r="N2039" s="74"/>
      <c r="O2039" s="73">
        <v>225000.0</v>
      </c>
      <c r="P2039" s="46" t="str">
        <f t="shared" si="2"/>
        <v>Rp45,000-5 DISP-0.00%</v>
      </c>
      <c r="Q2039" s="75">
        <v>45412.0</v>
      </c>
      <c r="R2039" s="76"/>
      <c r="S2039" s="75">
        <v>45423.0</v>
      </c>
      <c r="T2039" s="49"/>
    </row>
    <row r="2040">
      <c r="A2040" s="90">
        <v>4.0</v>
      </c>
      <c r="B2040" s="91" t="s">
        <v>58</v>
      </c>
      <c r="C2040" s="49" t="s">
        <v>2444</v>
      </c>
      <c r="D2040" s="91"/>
      <c r="E2040" s="41" t="s">
        <v>2456</v>
      </c>
      <c r="F2040" s="49"/>
      <c r="G2040" s="71" t="s">
        <v>2456</v>
      </c>
      <c r="H2040" s="41"/>
      <c r="I2040" s="42"/>
      <c r="J2040" s="43"/>
      <c r="K2040" s="72">
        <v>5.0</v>
      </c>
      <c r="L2040" s="53" t="s">
        <v>69</v>
      </c>
      <c r="M2040" s="73">
        <v>16500.0</v>
      </c>
      <c r="N2040" s="74"/>
      <c r="O2040" s="73">
        <v>82500.0</v>
      </c>
      <c r="P2040" s="46" t="str">
        <f t="shared" si="2"/>
        <v>Rp16,500-5 PCS-0.00%</v>
      </c>
      <c r="Q2040" s="75">
        <v>45412.0</v>
      </c>
      <c r="R2040" s="76"/>
      <c r="S2040" s="75">
        <v>45423.0</v>
      </c>
      <c r="T2040" s="49"/>
    </row>
    <row r="2041">
      <c r="A2041" s="90">
        <v>4.0</v>
      </c>
      <c r="B2041" s="91" t="s">
        <v>58</v>
      </c>
      <c r="C2041" s="49" t="s">
        <v>2444</v>
      </c>
      <c r="D2041" s="91" t="s">
        <v>1320</v>
      </c>
      <c r="E2041" s="41" t="str">
        <f>IFERROR(__xludf.DUMMYFUNCTION("vlookup(D2041,IMPORTRANGE(""https://docs.google.com/spreadsheets/d/1swGwZOEqYlTEUCJLY-eeJM1911Kvaei5oySBIxdgtNo/edit?pli=1#gid=257618397"",""stock untanna!B:C""),2,false)"),"BP MAINAN + GANTUNGAN 9082")</f>
        <v>BP MAINAN + GANTUNGAN 9082</v>
      </c>
      <c r="F2041" s="49" t="s">
        <v>1320</v>
      </c>
      <c r="G2041" s="71" t="s">
        <v>1321</v>
      </c>
      <c r="H2041" s="41"/>
      <c r="I2041" s="42"/>
      <c r="J2041" s="43"/>
      <c r="K2041" s="72">
        <v>2.0</v>
      </c>
      <c r="L2041" s="53" t="s">
        <v>62</v>
      </c>
      <c r="M2041" s="73">
        <v>24000.0</v>
      </c>
      <c r="N2041" s="74"/>
      <c r="O2041" s="73">
        <v>48000.0</v>
      </c>
      <c r="P2041" s="46" t="str">
        <f t="shared" si="2"/>
        <v>Rp24,000-2 LSN-0.00%</v>
      </c>
      <c r="Q2041" s="75">
        <v>45412.0</v>
      </c>
      <c r="R2041" s="76"/>
      <c r="S2041" s="75">
        <v>45423.0</v>
      </c>
      <c r="T2041" s="49"/>
    </row>
    <row r="2042">
      <c r="A2042" s="90">
        <v>4.0</v>
      </c>
      <c r="B2042" s="91" t="s">
        <v>58</v>
      </c>
      <c r="C2042" s="49" t="s">
        <v>2444</v>
      </c>
      <c r="D2042" s="91" t="s">
        <v>1667</v>
      </c>
      <c r="E2042" s="41" t="str">
        <f>IFERROR(__xludf.DUMMYFUNCTION("vlookup(D2042,IMPORTRANGE(""https://docs.google.com/spreadsheets/d/1swGwZOEqYlTEUCJLY-eeJM1911Kvaei5oySBIxdgtNo/edit?pli=1#gid=257618397"",""stock untanna!B:C""),2,false)"),"BP GEL + GANTUNGAN 9173")</f>
        <v>BP GEL + GANTUNGAN 9173</v>
      </c>
      <c r="F2042" s="49" t="s">
        <v>1667</v>
      </c>
      <c r="G2042" s="71" t="s">
        <v>1668</v>
      </c>
      <c r="H2042" s="41"/>
      <c r="I2042" s="42"/>
      <c r="J2042" s="43"/>
      <c r="K2042" s="72">
        <v>2.0</v>
      </c>
      <c r="L2042" s="53" t="s">
        <v>62</v>
      </c>
      <c r="M2042" s="73">
        <v>24000.0</v>
      </c>
      <c r="N2042" s="74"/>
      <c r="O2042" s="73">
        <v>48000.0</v>
      </c>
      <c r="P2042" s="46" t="str">
        <f t="shared" si="2"/>
        <v>Rp24,000-2 LSN-0.00%</v>
      </c>
      <c r="Q2042" s="75">
        <v>45412.0</v>
      </c>
      <c r="R2042" s="76"/>
      <c r="S2042" s="75">
        <v>45423.0</v>
      </c>
      <c r="T2042" s="49"/>
    </row>
    <row r="2043">
      <c r="A2043" s="90">
        <v>4.0</v>
      </c>
      <c r="B2043" s="91" t="s">
        <v>58</v>
      </c>
      <c r="C2043" s="49" t="s">
        <v>2444</v>
      </c>
      <c r="D2043" s="91" t="s">
        <v>458</v>
      </c>
      <c r="E2043" s="41" t="str">
        <f>IFERROR(__xludf.DUMMYFUNCTION("vlookup(D2043,IMPORTRANGE(""https://docs.google.com/spreadsheets/d/1swGwZOEqYlTEUCJLY-eeJM1911Kvaei5oySBIxdgtNo/edit?pli=1#gid=257618397"",""stock untanna!B:C""),2,false)"),"BP GEL + GANTUNGAN A931")</f>
        <v>BP GEL + GANTUNGAN A931</v>
      </c>
      <c r="F2043" s="49" t="s">
        <v>458</v>
      </c>
      <c r="G2043" s="71" t="s">
        <v>459</v>
      </c>
      <c r="H2043" s="41"/>
      <c r="I2043" s="42"/>
      <c r="J2043" s="43"/>
      <c r="K2043" s="72">
        <v>2.0</v>
      </c>
      <c r="L2043" s="53" t="s">
        <v>62</v>
      </c>
      <c r="M2043" s="73">
        <v>24000.0</v>
      </c>
      <c r="N2043" s="74"/>
      <c r="O2043" s="73">
        <v>48000.0</v>
      </c>
      <c r="P2043" s="46" t="str">
        <f t="shared" si="2"/>
        <v>Rp24,000-2 LSN-0.00%</v>
      </c>
      <c r="Q2043" s="75">
        <v>45412.0</v>
      </c>
      <c r="R2043" s="76"/>
      <c r="S2043" s="75">
        <v>45423.0</v>
      </c>
      <c r="T2043" s="49"/>
    </row>
    <row r="2044">
      <c r="A2044" s="90">
        <v>4.0</v>
      </c>
      <c r="B2044" s="91" t="s">
        <v>58</v>
      </c>
      <c r="C2044" s="49" t="s">
        <v>2444</v>
      </c>
      <c r="D2044" s="91" t="s">
        <v>1669</v>
      </c>
      <c r="E2044" s="41" t="str">
        <f>IFERROR(__xludf.DUMMYFUNCTION("vlookup(D2044,IMPORTRANGE(""https://docs.google.com/spreadsheets/d/1swGwZOEqYlTEUCJLY-eeJM1911Kvaei5oySBIxdgtNo/edit?pli=1#gid=257618397"",""stock untanna!B:C""),2,false)"),"BP GEL + GANTUNGAN 9169")</f>
        <v>BP GEL + GANTUNGAN 9169</v>
      </c>
      <c r="F2044" s="49" t="s">
        <v>1669</v>
      </c>
      <c r="G2044" s="71" t="s">
        <v>1670</v>
      </c>
      <c r="H2044" s="41"/>
      <c r="I2044" s="42"/>
      <c r="J2044" s="43"/>
      <c r="K2044" s="72">
        <v>2.0</v>
      </c>
      <c r="L2044" s="53" t="s">
        <v>62</v>
      </c>
      <c r="M2044" s="73">
        <v>24000.0</v>
      </c>
      <c r="N2044" s="74"/>
      <c r="O2044" s="73">
        <v>48000.0</v>
      </c>
      <c r="P2044" s="46" t="str">
        <f t="shared" si="2"/>
        <v>Rp24,000-2 LSN-0.00%</v>
      </c>
      <c r="Q2044" s="75">
        <v>45412.0</v>
      </c>
      <c r="R2044" s="76"/>
      <c r="S2044" s="75">
        <v>45423.0</v>
      </c>
      <c r="T2044" s="49"/>
    </row>
    <row r="2045">
      <c r="A2045" s="90">
        <v>4.0</v>
      </c>
      <c r="B2045" s="91" t="s">
        <v>58</v>
      </c>
      <c r="C2045" s="49" t="s">
        <v>2444</v>
      </c>
      <c r="D2045" s="91" t="s">
        <v>2457</v>
      </c>
      <c r="E2045" s="41" t="str">
        <f>IFERROR(__xludf.DUMMYFUNCTION("vlookup(D2045,IMPORTRANGE(""https://docs.google.com/spreadsheets/d/1swGwZOEqYlTEUCJLY-eeJM1911Kvaei5oySBIxdgtNo/edit?pli=1#gid=257618397"",""stock untanna!B:C""),2,false)"),"BP GEL 9177")</f>
        <v>BP GEL 9177</v>
      </c>
      <c r="F2045" s="49" t="s">
        <v>2457</v>
      </c>
      <c r="G2045" s="71" t="s">
        <v>2458</v>
      </c>
      <c r="H2045" s="41"/>
      <c r="I2045" s="42"/>
      <c r="J2045" s="43"/>
      <c r="K2045" s="72">
        <v>24.0</v>
      </c>
      <c r="L2045" s="53" t="s">
        <v>69</v>
      </c>
      <c r="M2045" s="73">
        <v>2000.0</v>
      </c>
      <c r="N2045" s="74"/>
      <c r="O2045" s="73">
        <v>48000.0</v>
      </c>
      <c r="P2045" s="46" t="str">
        <f t="shared" si="2"/>
        <v>Rp2,000-24 PCS-0.00%</v>
      </c>
      <c r="Q2045" s="75">
        <v>45412.0</v>
      </c>
      <c r="R2045" s="76"/>
      <c r="S2045" s="75">
        <v>45423.0</v>
      </c>
      <c r="T2045" s="49"/>
    </row>
    <row r="2046">
      <c r="A2046" s="90">
        <v>4.0</v>
      </c>
      <c r="B2046" s="91" t="s">
        <v>58</v>
      </c>
      <c r="C2046" s="49" t="s">
        <v>2444</v>
      </c>
      <c r="D2046" s="91" t="s">
        <v>2104</v>
      </c>
      <c r="E2046" s="41" t="str">
        <f>IFERROR(__xludf.DUMMYFUNCTION("vlookup(D2046,IMPORTRANGE(""https://docs.google.com/spreadsheets/d/1swGwZOEqYlTEUCJLY-eeJM1911Kvaei5oySBIxdgtNo/edit?pli=1#gid=257618397"",""stock untanna!B:C""),2,false)"),"BP GEL + GANTUNGAN 9166")</f>
        <v>BP GEL + GANTUNGAN 9166</v>
      </c>
      <c r="F2046" s="49" t="s">
        <v>2104</v>
      </c>
      <c r="G2046" s="71" t="s">
        <v>2105</v>
      </c>
      <c r="H2046" s="41"/>
      <c r="I2046" s="42"/>
      <c r="J2046" s="43"/>
      <c r="K2046" s="72">
        <v>2.0</v>
      </c>
      <c r="L2046" s="53" t="s">
        <v>62</v>
      </c>
      <c r="M2046" s="73">
        <v>24000.0</v>
      </c>
      <c r="N2046" s="74"/>
      <c r="O2046" s="73">
        <v>48000.0</v>
      </c>
      <c r="P2046" s="46" t="str">
        <f t="shared" si="2"/>
        <v>Rp24,000-2 LSN-0.00%</v>
      </c>
      <c r="Q2046" s="75">
        <v>45412.0</v>
      </c>
      <c r="R2046" s="76"/>
      <c r="S2046" s="75">
        <v>45423.0</v>
      </c>
      <c r="T2046" s="49"/>
    </row>
    <row r="2047">
      <c r="A2047" s="90">
        <v>4.0</v>
      </c>
      <c r="B2047" s="91" t="s">
        <v>58</v>
      </c>
      <c r="C2047" s="49" t="s">
        <v>2444</v>
      </c>
      <c r="D2047" s="91" t="s">
        <v>2459</v>
      </c>
      <c r="E2047" s="41" t="str">
        <f>IFERROR(__xludf.DUMMYFUNCTION("vlookup(D2047,IMPORTRANGE(""https://docs.google.com/spreadsheets/d/1swGwZOEqYlTEUCJLY-eeJM1911Kvaei5oySBIxdgtNo/edit?pli=1#gid=257618397"",""stock untanna!B:C""),2,false)"),"BP MAINAN 99096")</f>
        <v>BP MAINAN 99096</v>
      </c>
      <c r="F2047" s="49" t="s">
        <v>2459</v>
      </c>
      <c r="G2047" s="71" t="s">
        <v>2460</v>
      </c>
      <c r="H2047" s="41"/>
      <c r="I2047" s="42"/>
      <c r="J2047" s="43"/>
      <c r="K2047" s="72">
        <v>2.0</v>
      </c>
      <c r="L2047" s="53" t="s">
        <v>62</v>
      </c>
      <c r="M2047" s="73">
        <v>24000.0</v>
      </c>
      <c r="N2047" s="74"/>
      <c r="O2047" s="73">
        <v>48000.0</v>
      </c>
      <c r="P2047" s="46" t="str">
        <f t="shared" si="2"/>
        <v>Rp24,000-2 LSN-0.00%</v>
      </c>
      <c r="Q2047" s="75">
        <v>45412.0</v>
      </c>
      <c r="R2047" s="76"/>
      <c r="S2047" s="75">
        <v>45423.0</v>
      </c>
      <c r="T2047" s="49"/>
    </row>
    <row r="2048">
      <c r="A2048" s="90">
        <v>4.0</v>
      </c>
      <c r="B2048" s="91" t="s">
        <v>58</v>
      </c>
      <c r="C2048" s="49" t="s">
        <v>2444</v>
      </c>
      <c r="D2048" s="91" t="s">
        <v>2461</v>
      </c>
      <c r="E2048" s="41" t="str">
        <f>IFERROR(__xludf.DUMMYFUNCTION("vlookup(D2048,IMPORTRANGE(""https://docs.google.com/spreadsheets/d/1swGwZOEqYlTEUCJLY-eeJM1911Kvaei5oySBIxdgtNo/edit?pli=1#gid=257618397"",""stock untanna!B:C""),2,false)"),"ACRYLIC 8 X 20")</f>
        <v>ACRYLIC 8 X 20</v>
      </c>
      <c r="F2048" s="49" t="s">
        <v>2461</v>
      </c>
      <c r="G2048" s="71" t="s">
        <v>2462</v>
      </c>
      <c r="H2048" s="41"/>
      <c r="I2048" s="42"/>
      <c r="J2048" s="43"/>
      <c r="K2048" s="72">
        <v>24.0</v>
      </c>
      <c r="L2048" s="53" t="s">
        <v>69</v>
      </c>
      <c r="M2048" s="73">
        <v>18500.0</v>
      </c>
      <c r="N2048" s="74"/>
      <c r="O2048" s="73">
        <v>444000.0</v>
      </c>
      <c r="P2048" s="46" t="str">
        <f t="shared" si="2"/>
        <v>Rp18,500-24 PCS-0.00%</v>
      </c>
      <c r="Q2048" s="75">
        <v>45412.0</v>
      </c>
      <c r="R2048" s="76"/>
      <c r="S2048" s="75">
        <v>45423.0</v>
      </c>
      <c r="T2048" s="49"/>
    </row>
    <row r="2049">
      <c r="A2049" s="90">
        <v>4.0</v>
      </c>
      <c r="B2049" s="91" t="s">
        <v>58</v>
      </c>
      <c r="C2049" s="49" t="s">
        <v>2444</v>
      </c>
      <c r="D2049" s="91" t="s">
        <v>1260</v>
      </c>
      <c r="E2049" s="41" t="str">
        <f>IFERROR(__xludf.DUMMYFUNCTION("vlookup(D2049,IMPORTRANGE(""https://docs.google.com/spreadsheets/d/1swGwZOEqYlTEUCJLY-eeJM1911Kvaei5oySBIxdgtNo/edit?pli=1#gid=257618397"",""stock untanna!B:C""),2,false)"),"TAS KARUNG 40X45 ")</f>
        <v>TAS KARUNG 40X45 </v>
      </c>
      <c r="F2049" s="49" t="s">
        <v>1260</v>
      </c>
      <c r="G2049" s="71" t="s">
        <v>1261</v>
      </c>
      <c r="H2049" s="41"/>
      <c r="I2049" s="42"/>
      <c r="J2049" s="43"/>
      <c r="K2049" s="72">
        <v>2.0</v>
      </c>
      <c r="L2049" s="53" t="s">
        <v>62</v>
      </c>
      <c r="M2049" s="73">
        <v>157000.0</v>
      </c>
      <c r="N2049" s="74"/>
      <c r="O2049" s="73">
        <v>314000.0</v>
      </c>
      <c r="P2049" s="46" t="str">
        <f t="shared" si="2"/>
        <v>Rp157,000-2 LSN-0.00%</v>
      </c>
      <c r="Q2049" s="75">
        <v>45412.0</v>
      </c>
      <c r="R2049" s="76"/>
      <c r="S2049" s="75">
        <v>45423.0</v>
      </c>
      <c r="T2049" s="49"/>
    </row>
    <row r="2050">
      <c r="A2050" s="90">
        <v>4.0</v>
      </c>
      <c r="B2050" s="91" t="s">
        <v>58</v>
      </c>
      <c r="C2050" s="49" t="s">
        <v>2444</v>
      </c>
      <c r="D2050" s="91" t="s">
        <v>1262</v>
      </c>
      <c r="E2050" s="41" t="str">
        <f>IFERROR(__xludf.DUMMYFUNCTION("vlookup(D2050,IMPORTRANGE(""https://docs.google.com/spreadsheets/d/1swGwZOEqYlTEUCJLY-eeJM1911Kvaei5oySBIxdgtNo/edit?pli=1#gid=257618397"",""stock untanna!B:C""),2,false)"),"TAS KARUNG 50X55")</f>
        <v>TAS KARUNG 50X55</v>
      </c>
      <c r="F2050" s="49" t="s">
        <v>1262</v>
      </c>
      <c r="G2050" s="71" t="s">
        <v>1263</v>
      </c>
      <c r="H2050" s="41"/>
      <c r="I2050" s="42"/>
      <c r="J2050" s="43"/>
      <c r="K2050" s="72">
        <v>2.0</v>
      </c>
      <c r="L2050" s="53" t="s">
        <v>62</v>
      </c>
      <c r="M2050" s="73">
        <v>210000.0</v>
      </c>
      <c r="N2050" s="74"/>
      <c r="O2050" s="73">
        <v>420000.0</v>
      </c>
      <c r="P2050" s="46" t="str">
        <f t="shared" si="2"/>
        <v>Rp210,000-2 LSN-0.00%</v>
      </c>
      <c r="Q2050" s="75">
        <v>45412.0</v>
      </c>
      <c r="R2050" s="76"/>
      <c r="S2050" s="75">
        <v>45423.0</v>
      </c>
      <c r="T2050" s="49"/>
    </row>
    <row r="2051">
      <c r="A2051" s="90">
        <v>4.0</v>
      </c>
      <c r="B2051" s="91" t="s">
        <v>58</v>
      </c>
      <c r="C2051" s="49" t="s">
        <v>2444</v>
      </c>
      <c r="D2051" s="91" t="s">
        <v>158</v>
      </c>
      <c r="E2051" s="41" t="str">
        <f>IFERROR(__xludf.DUMMYFUNCTION("vlookup(D2051,IMPORTRANGE(""https://docs.google.com/spreadsheets/d/1swGwZOEqYlTEUCJLY-eeJM1911Kvaei5oySBIxdgtNo/edit?pli=1#gid=257618397"",""stock untanna!B:C""),2,false)"),"TAS KARUNG 55X65")</f>
        <v>TAS KARUNG 55X65</v>
      </c>
      <c r="F2051" s="49" t="s">
        <v>158</v>
      </c>
      <c r="G2051" s="71" t="s">
        <v>160</v>
      </c>
      <c r="H2051" s="41"/>
      <c r="I2051" s="42"/>
      <c r="J2051" s="43"/>
      <c r="K2051" s="72">
        <v>24.0</v>
      </c>
      <c r="L2051" s="53" t="s">
        <v>69</v>
      </c>
      <c r="M2051" s="73">
        <v>18625.0</v>
      </c>
      <c r="N2051" s="74"/>
      <c r="O2051" s="73">
        <v>447000.0</v>
      </c>
      <c r="P2051" s="46" t="str">
        <f t="shared" si="2"/>
        <v>Rp18,625-24 PCS-0.00%</v>
      </c>
      <c r="Q2051" s="75">
        <v>45412.0</v>
      </c>
      <c r="R2051" s="76"/>
      <c r="S2051" s="75">
        <v>45423.0</v>
      </c>
      <c r="T2051" s="49"/>
    </row>
    <row r="2052">
      <c r="A2052" s="90">
        <v>4.0</v>
      </c>
      <c r="B2052" s="91" t="s">
        <v>58</v>
      </c>
      <c r="C2052" s="49" t="s">
        <v>2444</v>
      </c>
      <c r="D2052" s="77" t="s">
        <v>2422</v>
      </c>
      <c r="E2052" s="41" t="str">
        <f>IFERROR(__xludf.DUMMYFUNCTION("vlookup(D2052,IMPORTRANGE(""https://docs.google.com/spreadsheets/d/1swGwZOEqYlTEUCJLY-eeJM1911Kvaei5oySBIxdgtNo/edit?pli=1#gid=257618397"",""stock untanna!B:C""),2,false)"),"TAS KARUNG 60X70")</f>
        <v>TAS KARUNG 60X70</v>
      </c>
      <c r="F2052" s="49" t="s">
        <v>2423</v>
      </c>
      <c r="G2052" s="71" t="s">
        <v>2424</v>
      </c>
      <c r="H2052" s="41"/>
      <c r="I2052" s="42"/>
      <c r="J2052" s="43"/>
      <c r="K2052" s="72">
        <v>2.0</v>
      </c>
      <c r="L2052" s="53" t="s">
        <v>62</v>
      </c>
      <c r="M2052" s="73">
        <v>290000.0</v>
      </c>
      <c r="N2052" s="74"/>
      <c r="O2052" s="73">
        <v>580000.0</v>
      </c>
      <c r="P2052" s="46" t="str">
        <f t="shared" si="2"/>
        <v>Rp290,000-2 LSN-0.00%</v>
      </c>
      <c r="Q2052" s="75">
        <v>45412.0</v>
      </c>
      <c r="R2052" s="76"/>
      <c r="S2052" s="75">
        <v>45423.0</v>
      </c>
      <c r="T2052" s="49"/>
    </row>
    <row r="2053">
      <c r="A2053" s="90">
        <v>4.0</v>
      </c>
      <c r="B2053" s="91" t="s">
        <v>58</v>
      </c>
      <c r="C2053" s="49" t="s">
        <v>2444</v>
      </c>
      <c r="D2053" s="91" t="s">
        <v>1258</v>
      </c>
      <c r="E2053" s="41" t="str">
        <f>IFERROR(__xludf.DUMMYFUNCTION("vlookup(D2053,IMPORTRANGE(""https://docs.google.com/spreadsheets/d/1swGwZOEqYlTEUCJLY-eeJM1911Kvaei5oySBIxdgtNo/edit?pli=1#gid=257618397"",""stock untanna!B:C""),2,false)"),"TAS KARUNG 45X50")</f>
        <v>TAS KARUNG 45X50</v>
      </c>
      <c r="F2053" s="49" t="s">
        <v>1258</v>
      </c>
      <c r="G2053" s="71" t="s">
        <v>1259</v>
      </c>
      <c r="H2053" s="41"/>
      <c r="I2053" s="42"/>
      <c r="J2053" s="43"/>
      <c r="K2053" s="72">
        <v>2.0</v>
      </c>
      <c r="L2053" s="53" t="s">
        <v>62</v>
      </c>
      <c r="M2053" s="73">
        <v>180000.0</v>
      </c>
      <c r="N2053" s="74"/>
      <c r="O2053" s="73">
        <v>360000.0</v>
      </c>
      <c r="P2053" s="46" t="str">
        <f t="shared" si="2"/>
        <v>Rp180,000-2 LSN-0.00%</v>
      </c>
      <c r="Q2053" s="75">
        <v>45412.0</v>
      </c>
      <c r="R2053" s="76"/>
      <c r="S2053" s="75">
        <v>45423.0</v>
      </c>
      <c r="T2053" s="49"/>
    </row>
    <row r="2054">
      <c r="A2054" s="90">
        <v>4209.0</v>
      </c>
      <c r="B2054" s="91" t="s">
        <v>29</v>
      </c>
      <c r="C2054" s="49" t="s">
        <v>2355</v>
      </c>
      <c r="D2054" s="91" t="s">
        <v>1254</v>
      </c>
      <c r="E2054" s="41" t="str">
        <f>IFERROR(__xludf.DUMMYFUNCTION("vlookup(D2054,IMPORTRANGE(""https://docs.google.com/spreadsheets/d/1swGwZOEqYlTEUCJLY-eeJM1911Kvaei5oySBIxdgtNo/edit?pli=1#gid=257618397"",""stock untanna!B:C""),2,false)"),"TAS KARUNG 70X70")</f>
        <v>TAS KARUNG 70X70</v>
      </c>
      <c r="F2054" s="49" t="s">
        <v>1254</v>
      </c>
      <c r="G2054" s="71" t="s">
        <v>1255</v>
      </c>
      <c r="H2054" s="41"/>
      <c r="I2054" s="42"/>
      <c r="J2054" s="43"/>
      <c r="K2054" s="72">
        <v>5.0</v>
      </c>
      <c r="L2054" s="53" t="s">
        <v>62</v>
      </c>
      <c r="M2054" s="73">
        <v>270000.0</v>
      </c>
      <c r="N2054" s="74"/>
      <c r="O2054" s="73">
        <v>1350000.0</v>
      </c>
      <c r="P2054" s="46" t="str">
        <f t="shared" si="2"/>
        <v>Rp270,000-5 LSN-0.00%</v>
      </c>
      <c r="Q2054" s="75">
        <v>45414.0</v>
      </c>
      <c r="R2054" s="76"/>
      <c r="S2054" s="75">
        <v>45423.0</v>
      </c>
      <c r="T2054" s="49"/>
    </row>
    <row r="2055">
      <c r="A2055" s="90">
        <v>4209.0</v>
      </c>
      <c r="B2055" s="91" t="s">
        <v>29</v>
      </c>
      <c r="C2055" s="49" t="s">
        <v>2355</v>
      </c>
      <c r="D2055" s="91"/>
      <c r="E2055" s="41" t="s">
        <v>2424</v>
      </c>
      <c r="F2055" s="49"/>
      <c r="G2055" s="71" t="s">
        <v>2424</v>
      </c>
      <c r="H2055" s="41"/>
      <c r="I2055" s="42"/>
      <c r="J2055" s="43"/>
      <c r="K2055" s="72">
        <v>5.0</v>
      </c>
      <c r="L2055" s="53" t="s">
        <v>62</v>
      </c>
      <c r="M2055" s="73">
        <v>250000.0</v>
      </c>
      <c r="N2055" s="74"/>
      <c r="O2055" s="73">
        <v>1250000.0</v>
      </c>
      <c r="P2055" s="46" t="str">
        <f t="shared" si="2"/>
        <v>Rp250,000-5 LSN-0.00%</v>
      </c>
      <c r="Q2055" s="75">
        <v>45414.0</v>
      </c>
      <c r="R2055" s="76"/>
      <c r="S2055" s="75">
        <v>45423.0</v>
      </c>
      <c r="T2055" s="49"/>
    </row>
    <row r="2056">
      <c r="A2056" s="90">
        <v>4209.0</v>
      </c>
      <c r="B2056" s="91" t="s">
        <v>29</v>
      </c>
      <c r="C2056" s="49" t="s">
        <v>2355</v>
      </c>
      <c r="D2056" s="91" t="s">
        <v>158</v>
      </c>
      <c r="E2056" s="41" t="str">
        <f>IFERROR(__xludf.DUMMYFUNCTION("vlookup(D2056,IMPORTRANGE(""https://docs.google.com/spreadsheets/d/1swGwZOEqYlTEUCJLY-eeJM1911Kvaei5oySBIxdgtNo/edit?pli=1#gid=257618397"",""stock untanna!B:C""),2,false)"),"TAS KARUNG 55X65")</f>
        <v>TAS KARUNG 55X65</v>
      </c>
      <c r="F2056" s="49" t="s">
        <v>158</v>
      </c>
      <c r="G2056" s="71" t="s">
        <v>160</v>
      </c>
      <c r="H2056" s="41"/>
      <c r="I2056" s="42"/>
      <c r="J2056" s="43"/>
      <c r="K2056" s="72">
        <v>60.0</v>
      </c>
      <c r="L2056" s="53" t="s">
        <v>69</v>
      </c>
      <c r="M2056" s="73">
        <v>18333.0</v>
      </c>
      <c r="N2056" s="74"/>
      <c r="O2056" s="73">
        <v>1099980.0</v>
      </c>
      <c r="P2056" s="46" t="str">
        <f t="shared" si="2"/>
        <v>Rp18,333-60 PCS-0.00%</v>
      </c>
      <c r="Q2056" s="75">
        <v>45414.0</v>
      </c>
      <c r="R2056" s="76"/>
      <c r="S2056" s="75">
        <v>45423.0</v>
      </c>
      <c r="T2056" s="49"/>
    </row>
    <row r="2057">
      <c r="A2057" s="90">
        <v>4209.0</v>
      </c>
      <c r="B2057" s="91" t="s">
        <v>29</v>
      </c>
      <c r="C2057" s="49" t="s">
        <v>2355</v>
      </c>
      <c r="D2057" s="91" t="s">
        <v>1262</v>
      </c>
      <c r="E2057" s="41" t="str">
        <f>IFERROR(__xludf.DUMMYFUNCTION("vlookup(D2057,IMPORTRANGE(""https://docs.google.com/spreadsheets/d/1swGwZOEqYlTEUCJLY-eeJM1911Kvaei5oySBIxdgtNo/edit?pli=1#gid=257618397"",""stock untanna!B:C""),2,false)"),"TAS KARUNG 50X55")</f>
        <v>TAS KARUNG 50X55</v>
      </c>
      <c r="F2057" s="49" t="s">
        <v>1262</v>
      </c>
      <c r="G2057" s="71" t="s">
        <v>1263</v>
      </c>
      <c r="H2057" s="41"/>
      <c r="I2057" s="42"/>
      <c r="J2057" s="43"/>
      <c r="K2057" s="72">
        <v>5.0</v>
      </c>
      <c r="L2057" s="53" t="s">
        <v>62</v>
      </c>
      <c r="M2057" s="73">
        <v>175000.0</v>
      </c>
      <c r="N2057" s="74"/>
      <c r="O2057" s="73">
        <v>875000.0</v>
      </c>
      <c r="P2057" s="46" t="str">
        <f t="shared" si="2"/>
        <v>Rp175,000-5 LSN-0.00%</v>
      </c>
      <c r="Q2057" s="75">
        <v>45414.0</v>
      </c>
      <c r="R2057" s="76"/>
      <c r="S2057" s="75">
        <v>45423.0</v>
      </c>
      <c r="T2057" s="49"/>
    </row>
    <row r="2058">
      <c r="A2058" s="90">
        <v>4209.0</v>
      </c>
      <c r="B2058" s="91" t="s">
        <v>29</v>
      </c>
      <c r="C2058" s="49" t="s">
        <v>2355</v>
      </c>
      <c r="D2058" s="91" t="s">
        <v>2463</v>
      </c>
      <c r="E2058" s="41" t="str">
        <f>IFERROR(__xludf.DUMMYFUNCTION("vlookup(D2058,IMPORTRANGE(""https://docs.google.com/spreadsheets/d/1swGwZOEqYlTEUCJLY-eeJM1911Kvaei5oySBIxdgtNo/edit?pli=1#gid=257618397"",""stock untanna!B:C""),2,false)"),"PENSIL CASE C-9960")</f>
        <v>PENSIL CASE C-9960</v>
      </c>
      <c r="F2058" s="49" t="s">
        <v>2463</v>
      </c>
      <c r="G2058" s="71" t="s">
        <v>2464</v>
      </c>
      <c r="H2058" s="41"/>
      <c r="I2058" s="42"/>
      <c r="J2058" s="43"/>
      <c r="K2058" s="72">
        <v>240.0</v>
      </c>
      <c r="L2058" s="53" t="s">
        <v>69</v>
      </c>
      <c r="M2058" s="73">
        <v>7000.0</v>
      </c>
      <c r="N2058" s="83">
        <v>0.1</v>
      </c>
      <c r="O2058" s="73">
        <v>1512000.0</v>
      </c>
      <c r="P2058" s="46" t="str">
        <f t="shared" si="2"/>
        <v>Rp7,000-240 PCS-10.00%</v>
      </c>
      <c r="Q2058" s="75">
        <v>45414.0</v>
      </c>
      <c r="R2058" s="76"/>
      <c r="S2058" s="75">
        <v>45423.0</v>
      </c>
      <c r="T2058" s="49"/>
    </row>
    <row r="2059">
      <c r="A2059" s="90">
        <v>4048.0</v>
      </c>
      <c r="B2059" s="91" t="s">
        <v>65</v>
      </c>
      <c r="C2059" s="49" t="s">
        <v>2465</v>
      </c>
      <c r="D2059" s="91" t="s">
        <v>2268</v>
      </c>
      <c r="E2059" s="41" t="str">
        <f>IFERROR(__xludf.DUMMYFUNCTION("vlookup(D2059,IMPORTRANGE(""https://docs.google.com/spreadsheets/d/1swGwZOEqYlTEUCJLY-eeJM1911Kvaei5oySBIxdgtNo/edit?pli=1#gid=257618397"",""stock untanna!B:C""),2,false)"),"ISI GEL ELSON ES-222 DORAEMON")</f>
        <v>ISI GEL ELSON ES-222 DORAEMON</v>
      </c>
      <c r="F2059" s="49" t="s">
        <v>2268</v>
      </c>
      <c r="G2059" s="71" t="s">
        <v>2269</v>
      </c>
      <c r="H2059" s="41"/>
      <c r="I2059" s="42"/>
      <c r="J2059" s="43"/>
      <c r="K2059" s="72">
        <v>48.0</v>
      </c>
      <c r="L2059" s="53" t="s">
        <v>88</v>
      </c>
      <c r="M2059" s="73">
        <v>6000.0</v>
      </c>
      <c r="N2059" s="74"/>
      <c r="O2059" s="73">
        <v>288000.0</v>
      </c>
      <c r="P2059" s="46" t="str">
        <f t="shared" si="2"/>
        <v>Rp6,000-48 BOX-0.00%</v>
      </c>
      <c r="Q2059" s="75">
        <v>45414.0</v>
      </c>
      <c r="R2059" s="76"/>
      <c r="S2059" s="75">
        <v>45423.0</v>
      </c>
      <c r="T2059" s="49"/>
    </row>
    <row r="2060">
      <c r="A2060" s="90">
        <v>4048.0</v>
      </c>
      <c r="B2060" s="91" t="s">
        <v>65</v>
      </c>
      <c r="C2060" s="49" t="s">
        <v>2465</v>
      </c>
      <c r="D2060" s="91" t="s">
        <v>2270</v>
      </c>
      <c r="E2060" s="41" t="str">
        <f>IFERROR(__xludf.DUMMYFUNCTION("vlookup(D2060,IMPORTRANGE(""https://docs.google.com/spreadsheets/d/1swGwZOEqYlTEUCJLY-eeJM1911Kvaei5oySBIxdgtNo/edit?pli=1#gid=257618397"",""stock untanna!B:C""),2,false)"),"ISI GEL ELSON ES-223")</f>
        <v>ISI GEL ELSON ES-223</v>
      </c>
      <c r="F2060" s="49" t="s">
        <v>2270</v>
      </c>
      <c r="G2060" s="71" t="s">
        <v>2271</v>
      </c>
      <c r="H2060" s="41"/>
      <c r="I2060" s="42"/>
      <c r="J2060" s="43"/>
      <c r="K2060" s="72">
        <v>48.0</v>
      </c>
      <c r="L2060" s="53" t="s">
        <v>88</v>
      </c>
      <c r="M2060" s="73">
        <v>6000.0</v>
      </c>
      <c r="N2060" s="74"/>
      <c r="O2060" s="73">
        <v>288000.0</v>
      </c>
      <c r="P2060" s="46" t="str">
        <f t="shared" si="2"/>
        <v>Rp6,000-48 BOX-0.00%</v>
      </c>
      <c r="Q2060" s="75">
        <v>45414.0</v>
      </c>
      <c r="R2060" s="76"/>
      <c r="S2060" s="75">
        <v>45423.0</v>
      </c>
      <c r="T2060" s="49"/>
    </row>
    <row r="2061">
      <c r="A2061" s="90">
        <v>4048.0</v>
      </c>
      <c r="B2061" s="91" t="s">
        <v>65</v>
      </c>
      <c r="C2061" s="49" t="s">
        <v>2465</v>
      </c>
      <c r="D2061" s="91" t="s">
        <v>2272</v>
      </c>
      <c r="E2061" s="41" t="str">
        <f>IFERROR(__xludf.DUMMYFUNCTION("vlookup(D2061,IMPORTRANGE(""https://docs.google.com/spreadsheets/d/1swGwZOEqYlTEUCJLY-eeJM1911Kvaei5oySBIxdgtNo/edit?pli=1#gid=257618397"",""stock untanna!B:C""),2,false)"),"ISI GEL ELSON ES-228 SUPER HEROES")</f>
        <v>ISI GEL ELSON ES-228 SUPER HEROES</v>
      </c>
      <c r="F2061" s="49" t="s">
        <v>2272</v>
      </c>
      <c r="G2061" s="71" t="s">
        <v>2273</v>
      </c>
      <c r="H2061" s="41"/>
      <c r="I2061" s="42"/>
      <c r="J2061" s="43"/>
      <c r="K2061" s="72">
        <v>48.0</v>
      </c>
      <c r="L2061" s="53" t="s">
        <v>88</v>
      </c>
      <c r="M2061" s="73">
        <v>6000.0</v>
      </c>
      <c r="N2061" s="74"/>
      <c r="O2061" s="73">
        <v>288000.0</v>
      </c>
      <c r="P2061" s="46" t="str">
        <f t="shared" si="2"/>
        <v>Rp6,000-48 BOX-0.00%</v>
      </c>
      <c r="Q2061" s="75">
        <v>45414.0</v>
      </c>
      <c r="R2061" s="76"/>
      <c r="S2061" s="75">
        <v>45423.0</v>
      </c>
      <c r="T2061" s="49"/>
    </row>
    <row r="2062">
      <c r="A2062" s="90">
        <v>4048.0</v>
      </c>
      <c r="B2062" s="91" t="s">
        <v>65</v>
      </c>
      <c r="C2062" s="49" t="s">
        <v>2465</v>
      </c>
      <c r="D2062" s="91" t="s">
        <v>2264</v>
      </c>
      <c r="E2062" s="41" t="str">
        <f>IFERROR(__xludf.DUMMYFUNCTION("vlookup(D2062,IMPORTRANGE(""https://docs.google.com/spreadsheets/d/1swGwZOEqYlTEUCJLY-eeJM1911Kvaei5oySBIxdgtNo/edit?pli=1#gid=257618397"",""stock untanna!B:C""),2,false)"),"ISI GEL ELSON ES-227 TAYO")</f>
        <v>ISI GEL ELSON ES-227 TAYO</v>
      </c>
      <c r="F2062" s="49" t="s">
        <v>2264</v>
      </c>
      <c r="G2062" s="71" t="s">
        <v>2265</v>
      </c>
      <c r="H2062" s="41"/>
      <c r="I2062" s="42"/>
      <c r="J2062" s="43"/>
      <c r="K2062" s="72">
        <v>48.0</v>
      </c>
      <c r="L2062" s="53" t="s">
        <v>88</v>
      </c>
      <c r="M2062" s="73">
        <v>6000.0</v>
      </c>
      <c r="N2062" s="74"/>
      <c r="O2062" s="73">
        <v>288000.0</v>
      </c>
      <c r="P2062" s="46" t="str">
        <f t="shared" si="2"/>
        <v>Rp6,000-48 BOX-0.00%</v>
      </c>
      <c r="Q2062" s="75">
        <v>45414.0</v>
      </c>
      <c r="R2062" s="76"/>
      <c r="S2062" s="75">
        <v>45423.0</v>
      </c>
      <c r="T2062" s="49"/>
    </row>
    <row r="2063">
      <c r="A2063" s="90">
        <v>4048.0</v>
      </c>
      <c r="B2063" s="91" t="s">
        <v>65</v>
      </c>
      <c r="C2063" s="49" t="s">
        <v>2465</v>
      </c>
      <c r="D2063" s="91" t="s">
        <v>2266</v>
      </c>
      <c r="E2063" s="41" t="str">
        <f>IFERROR(__xludf.DUMMYFUNCTION("vlookup(D2063,IMPORTRANGE(""https://docs.google.com/spreadsheets/d/1swGwZOEqYlTEUCJLY-eeJM1911Kvaei5oySBIxdgtNo/edit?pli=1#gid=257618397"",""stock untanna!B:C""),2,false)"),"ISI GEL ELSON ES-220 BTS")</f>
        <v>ISI GEL ELSON ES-220 BTS</v>
      </c>
      <c r="F2063" s="49" t="s">
        <v>2266</v>
      </c>
      <c r="G2063" s="71" t="s">
        <v>2267</v>
      </c>
      <c r="H2063" s="41"/>
      <c r="I2063" s="42"/>
      <c r="J2063" s="43"/>
      <c r="K2063" s="72">
        <v>48.0</v>
      </c>
      <c r="L2063" s="53" t="s">
        <v>88</v>
      </c>
      <c r="M2063" s="73">
        <v>6000.0</v>
      </c>
      <c r="N2063" s="74"/>
      <c r="O2063" s="73">
        <v>288000.0</v>
      </c>
      <c r="P2063" s="46" t="str">
        <f t="shared" si="2"/>
        <v>Rp6,000-48 BOX-0.00%</v>
      </c>
      <c r="Q2063" s="75">
        <v>45414.0</v>
      </c>
      <c r="R2063" s="76"/>
      <c r="S2063" s="75">
        <v>45423.0</v>
      </c>
      <c r="T2063" s="49"/>
    </row>
    <row r="2064">
      <c r="A2064" s="90">
        <v>102.0</v>
      </c>
      <c r="B2064" s="91" t="s">
        <v>65</v>
      </c>
      <c r="C2064" s="80" t="s">
        <v>2466</v>
      </c>
      <c r="D2064" s="91"/>
      <c r="E2064" s="41" t="s">
        <v>2467</v>
      </c>
      <c r="F2064" s="49"/>
      <c r="G2064" s="71" t="s">
        <v>2467</v>
      </c>
      <c r="H2064" s="41"/>
      <c r="I2064" s="42"/>
      <c r="J2064" s="43"/>
      <c r="K2064" s="72">
        <v>1.0</v>
      </c>
      <c r="L2064" s="53" t="s">
        <v>62</v>
      </c>
      <c r="M2064" s="73">
        <v>96000.0</v>
      </c>
      <c r="N2064" s="74"/>
      <c r="O2064" s="73">
        <v>96000.0</v>
      </c>
      <c r="P2064" s="46" t="str">
        <f t="shared" si="2"/>
        <v>Rp96,000-1 LSN-0.00%</v>
      </c>
      <c r="Q2064" s="75">
        <v>45414.0</v>
      </c>
      <c r="R2064" s="76"/>
      <c r="S2064" s="75">
        <v>45423.0</v>
      </c>
      <c r="T2064" s="80" t="s">
        <v>280</v>
      </c>
    </row>
    <row r="2065">
      <c r="A2065" s="90">
        <v>102.0</v>
      </c>
      <c r="B2065" s="91" t="s">
        <v>65</v>
      </c>
      <c r="C2065" s="80" t="s">
        <v>2466</v>
      </c>
      <c r="D2065" s="91"/>
      <c r="E2065" s="41" t="s">
        <v>2468</v>
      </c>
      <c r="F2065" s="49"/>
      <c r="G2065" s="71" t="s">
        <v>2468</v>
      </c>
      <c r="H2065" s="41"/>
      <c r="I2065" s="42"/>
      <c r="J2065" s="43"/>
      <c r="K2065" s="72">
        <v>1.0</v>
      </c>
      <c r="L2065" s="53" t="s">
        <v>62</v>
      </c>
      <c r="M2065" s="73">
        <v>96000.0</v>
      </c>
      <c r="N2065" s="74"/>
      <c r="O2065" s="73">
        <v>96000.0</v>
      </c>
      <c r="P2065" s="46" t="str">
        <f t="shared" si="2"/>
        <v>Rp96,000-1 LSN-0.00%</v>
      </c>
      <c r="Q2065" s="75">
        <v>45414.0</v>
      </c>
      <c r="R2065" s="76"/>
      <c r="S2065" s="75">
        <v>45423.0</v>
      </c>
      <c r="T2065" s="80" t="s">
        <v>280</v>
      </c>
    </row>
    <row r="2066">
      <c r="A2066" s="90">
        <v>4260.0</v>
      </c>
      <c r="B2066" s="91" t="s">
        <v>65</v>
      </c>
      <c r="C2066" s="80" t="s">
        <v>2469</v>
      </c>
      <c r="D2066" s="91" t="s">
        <v>428</v>
      </c>
      <c r="E2066" s="41" t="str">
        <f>IFERROR(__xludf.DUMMYFUNCTION("vlookup(D2066,IMPORTRANGE(""https://docs.google.com/spreadsheets/d/1swGwZOEqYlTEUCJLY-eeJM1911Kvaei5oySBIxdgtNo/edit?pli=1#gid=257618397"",""stock untanna!B:C""),2,false)"),"CAT ACRYLIC TF 001")</f>
        <v>CAT ACRYLIC TF 001</v>
      </c>
      <c r="F2066" s="49" t="s">
        <v>428</v>
      </c>
      <c r="G2066" s="71" t="s">
        <v>429</v>
      </c>
      <c r="H2066" s="41"/>
      <c r="I2066" s="42"/>
      <c r="J2066" s="43"/>
      <c r="K2066" s="72">
        <v>6.0</v>
      </c>
      <c r="L2066" s="53" t="s">
        <v>62</v>
      </c>
      <c r="M2066" s="73">
        <v>200000.0</v>
      </c>
      <c r="N2066" s="74"/>
      <c r="O2066" s="73">
        <v>1200000.0</v>
      </c>
      <c r="P2066" s="46" t="str">
        <f t="shared" si="2"/>
        <v>Rp200,000-6 LSN-0.00%</v>
      </c>
      <c r="Q2066" s="75">
        <v>45414.0</v>
      </c>
      <c r="R2066" s="76"/>
      <c r="S2066" s="75">
        <v>45423.0</v>
      </c>
      <c r="T2066" s="49"/>
    </row>
    <row r="2067">
      <c r="A2067" s="90">
        <v>4260.0</v>
      </c>
      <c r="B2067" s="91" t="s">
        <v>65</v>
      </c>
      <c r="C2067" s="80" t="s">
        <v>2469</v>
      </c>
      <c r="D2067" s="91" t="s">
        <v>2470</v>
      </c>
      <c r="E2067" s="41" t="str">
        <f>IFERROR(__xludf.DUMMYFUNCTION("vlookup(D2067,IMPORTRANGE(""https://docs.google.com/spreadsheets/d/1swGwZOEqYlTEUCJLY-eeJM1911Kvaei5oySBIxdgtNo/edit?pli=1#gid=257618397"",""stock untanna!B:C""),2,false)"),"CAT ACRYLIC COLOUR TF AC-004N NEON")</f>
        <v>CAT ACRYLIC COLOUR TF AC-004N NEON</v>
      </c>
      <c r="F2067" s="49" t="s">
        <v>2470</v>
      </c>
      <c r="G2067" s="78" t="s">
        <v>2471</v>
      </c>
      <c r="H2067" s="41"/>
      <c r="I2067" s="42"/>
      <c r="J2067" s="43"/>
      <c r="K2067" s="72">
        <v>6.0</v>
      </c>
      <c r="L2067" s="53" t="s">
        <v>62</v>
      </c>
      <c r="M2067" s="73">
        <v>255000.0</v>
      </c>
      <c r="N2067" s="74"/>
      <c r="O2067" s="73">
        <v>1530000.0</v>
      </c>
      <c r="P2067" s="46" t="str">
        <f t="shared" si="2"/>
        <v>Rp255,000-6 LSN-0.00%</v>
      </c>
      <c r="Q2067" s="75">
        <v>45414.0</v>
      </c>
      <c r="R2067" s="76"/>
      <c r="S2067" s="75">
        <v>45423.0</v>
      </c>
      <c r="T2067" s="49"/>
    </row>
    <row r="2068">
      <c r="A2068" s="90">
        <v>4260.0</v>
      </c>
      <c r="B2068" s="91" t="s">
        <v>65</v>
      </c>
      <c r="C2068" s="80" t="s">
        <v>2469</v>
      </c>
      <c r="D2068" s="91" t="s">
        <v>2472</v>
      </c>
      <c r="E2068" s="41" t="str">
        <f>IFERROR(__xludf.DUMMYFUNCTION("vlookup(D2068,IMPORTRANGE(""https://docs.google.com/spreadsheets/d/1swGwZOEqYlTEUCJLY-eeJM1911Kvaei5oySBIxdgtNo/edit?pli=1#gid=257618397"",""stock untanna!B:C""),2,false)"),"CAT ACRYLIC COLOUR PAINT V-TRO")</f>
        <v>CAT ACRYLIC COLOUR PAINT V-TRO</v>
      </c>
      <c r="F2068" s="49" t="s">
        <v>2472</v>
      </c>
      <c r="G2068" s="71" t="s">
        <v>2473</v>
      </c>
      <c r="H2068" s="41"/>
      <c r="I2068" s="42"/>
      <c r="J2068" s="43"/>
      <c r="K2068" s="72">
        <v>92.0</v>
      </c>
      <c r="L2068" s="53" t="s">
        <v>69</v>
      </c>
      <c r="M2068" s="73">
        <v>15000.0</v>
      </c>
      <c r="N2068" s="74"/>
      <c r="O2068" s="73">
        <v>1380000.0</v>
      </c>
      <c r="P2068" s="46" t="str">
        <f t="shared" si="2"/>
        <v>Rp15,000-92 PCS-0.00%</v>
      </c>
      <c r="Q2068" s="75">
        <v>45414.0</v>
      </c>
      <c r="R2068" s="76"/>
      <c r="S2068" s="75">
        <v>45423.0</v>
      </c>
      <c r="T2068" s="49"/>
    </row>
    <row r="2069">
      <c r="A2069" s="90">
        <v>4208.0</v>
      </c>
      <c r="B2069" s="91" t="s">
        <v>29</v>
      </c>
      <c r="C2069" s="49" t="s">
        <v>2474</v>
      </c>
      <c r="D2069" s="91" t="s">
        <v>505</v>
      </c>
      <c r="E2069" s="41" t="str">
        <f>IFERROR(__xludf.DUMMYFUNCTION("vlookup(D2069,IMPORTRANGE(""https://docs.google.com/spreadsheets/d/1swGwZOEqYlTEUCJLY-eeJM1911Kvaei5oySBIxdgtNo/edit?pli=1#gid=257618397"",""stock untanna!B:C""),2,false)"),"CUTTER TACO 88 BESAR")</f>
        <v>CUTTER TACO 88 BESAR</v>
      </c>
      <c r="F2069" s="49" t="s">
        <v>505</v>
      </c>
      <c r="G2069" s="71" t="s">
        <v>506</v>
      </c>
      <c r="H2069" s="41"/>
      <c r="I2069" s="42"/>
      <c r="J2069" s="43"/>
      <c r="K2069" s="72">
        <v>120.0</v>
      </c>
      <c r="L2069" s="53" t="s">
        <v>62</v>
      </c>
      <c r="M2069" s="73">
        <v>24750.0</v>
      </c>
      <c r="N2069" s="74"/>
      <c r="O2069" s="73">
        <v>2970000.0</v>
      </c>
      <c r="P2069" s="46" t="str">
        <f t="shared" si="2"/>
        <v>Rp24,750-120 LSN-0.00%</v>
      </c>
      <c r="Q2069" s="75">
        <v>45414.0</v>
      </c>
      <c r="R2069" s="76"/>
      <c r="S2069" s="75">
        <v>45423.0</v>
      </c>
      <c r="T2069" s="49"/>
    </row>
    <row r="2070">
      <c r="A2070" s="90">
        <v>4457.0</v>
      </c>
      <c r="B2070" s="91" t="s">
        <v>58</v>
      </c>
      <c r="C2070" s="49" t="s">
        <v>110</v>
      </c>
      <c r="D2070" s="91"/>
      <c r="E2070" s="41" t="s">
        <v>2475</v>
      </c>
      <c r="F2070" s="49"/>
      <c r="G2070" s="71" t="s">
        <v>2475</v>
      </c>
      <c r="H2070" s="41"/>
      <c r="I2070" s="42"/>
      <c r="J2070" s="43"/>
      <c r="K2070" s="72">
        <v>12.0</v>
      </c>
      <c r="L2070" s="53" t="s">
        <v>69</v>
      </c>
      <c r="M2070" s="73">
        <v>70000.0</v>
      </c>
      <c r="N2070" s="74"/>
      <c r="O2070" s="73">
        <v>840000.0</v>
      </c>
      <c r="P2070" s="46" t="str">
        <f t="shared" si="2"/>
        <v>Rp70,000-12 PCS-0.00%</v>
      </c>
      <c r="Q2070" s="75">
        <v>45414.0</v>
      </c>
      <c r="R2070" s="76"/>
      <c r="S2070" s="75">
        <v>45423.0</v>
      </c>
      <c r="T2070" s="49"/>
    </row>
    <row r="2071">
      <c r="A2071" s="90">
        <v>4344.0</v>
      </c>
      <c r="B2071" s="91" t="s">
        <v>29</v>
      </c>
      <c r="C2071" s="49" t="s">
        <v>2476</v>
      </c>
      <c r="D2071" s="91" t="s">
        <v>746</v>
      </c>
      <c r="E2071" s="41" t="str">
        <f>IFERROR(__xludf.DUMMYFUNCTION("vlookup(D2071,IMPORTRANGE(""https://docs.google.com/spreadsheets/d/1swGwZOEqYlTEUCJLY-eeJM1911Kvaei5oySBIxdgtNo/edit?pli=1#gid=257618397"",""stock untanna!B:C""),2,false)"),"STAMP PAD HERO K")</f>
        <v>STAMP PAD HERO K</v>
      </c>
      <c r="F2071" s="49" t="s">
        <v>746</v>
      </c>
      <c r="G2071" s="71" t="s">
        <v>747</v>
      </c>
      <c r="H2071" s="41"/>
      <c r="I2071" s="42"/>
      <c r="J2071" s="43"/>
      <c r="K2071" s="72">
        <v>24.0</v>
      </c>
      <c r="L2071" s="53" t="s">
        <v>62</v>
      </c>
      <c r="M2071" s="73">
        <v>57500.0</v>
      </c>
      <c r="N2071" s="74"/>
      <c r="O2071" s="73">
        <v>1380000.0</v>
      </c>
      <c r="P2071" s="46" t="str">
        <f t="shared" si="2"/>
        <v>Rp57,500-24 LSN-0.00%</v>
      </c>
      <c r="Q2071" s="75">
        <v>45414.0</v>
      </c>
      <c r="R2071" s="76"/>
      <c r="S2071" s="75">
        <v>45423.0</v>
      </c>
      <c r="T2071" s="49"/>
    </row>
    <row r="2072">
      <c r="A2072" s="90">
        <v>4344.0</v>
      </c>
      <c r="B2072" s="91" t="s">
        <v>29</v>
      </c>
      <c r="C2072" s="49" t="s">
        <v>2476</v>
      </c>
      <c r="D2072" s="91" t="s">
        <v>2358</v>
      </c>
      <c r="E2072" s="41" t="str">
        <f>IFERROR(__xludf.DUMMYFUNCTION("vlookup(D2072,IMPORTRANGE(""https://docs.google.com/spreadsheets/d/1swGwZOEqYlTEUCJLY-eeJM1911Kvaei5oySBIxdgtNo/edit?pli=1#gid=257618397"",""stock untanna!B:C""),2,false)"),"STAMP PAD HERO BESAR")</f>
        <v>STAMP PAD HERO BESAR</v>
      </c>
      <c r="F2072" s="49" t="s">
        <v>2358</v>
      </c>
      <c r="G2072" s="71" t="s">
        <v>2359</v>
      </c>
      <c r="H2072" s="41"/>
      <c r="I2072" s="42"/>
      <c r="J2072" s="43"/>
      <c r="K2072" s="72">
        <v>20.0</v>
      </c>
      <c r="L2072" s="53" t="s">
        <v>62</v>
      </c>
      <c r="M2072" s="73">
        <v>67500.0</v>
      </c>
      <c r="N2072" s="74"/>
      <c r="O2072" s="73">
        <v>1350000.0</v>
      </c>
      <c r="P2072" s="46" t="str">
        <f t="shared" si="2"/>
        <v>Rp67,500-20 LSN-0.00%</v>
      </c>
      <c r="Q2072" s="75">
        <v>45414.0</v>
      </c>
      <c r="R2072" s="76"/>
      <c r="S2072" s="75">
        <v>45423.0</v>
      </c>
      <c r="T2072" s="49"/>
    </row>
    <row r="2073">
      <c r="A2073" s="90">
        <v>4344.0</v>
      </c>
      <c r="B2073" s="91" t="s">
        <v>29</v>
      </c>
      <c r="C2073" s="49" t="s">
        <v>2476</v>
      </c>
      <c r="D2073" s="91" t="s">
        <v>324</v>
      </c>
      <c r="E2073" s="41" t="str">
        <f>IFERROR(__xludf.DUMMYFUNCTION("vlookup(D2073,IMPORTRANGE(""https://docs.google.com/spreadsheets/d/1swGwZOEqYlTEUCJLY-eeJM1911Kvaei5oySBIxdgtNo/edit?pli=1#gid=257618397"",""stock untanna!B:C""),2,false)"),"STIP W/B ENTER 803 B")</f>
        <v>STIP W/B ENTER 803 B</v>
      </c>
      <c r="F2073" s="49" t="s">
        <v>324</v>
      </c>
      <c r="G2073" s="71" t="s">
        <v>325</v>
      </c>
      <c r="H2073" s="41"/>
      <c r="I2073" s="42"/>
      <c r="J2073" s="43"/>
      <c r="K2073" s="72">
        <v>48.0</v>
      </c>
      <c r="L2073" s="53" t="s">
        <v>62</v>
      </c>
      <c r="M2073" s="73">
        <v>31000.0</v>
      </c>
      <c r="N2073" s="74"/>
      <c r="O2073" s="73">
        <v>1488000.0</v>
      </c>
      <c r="P2073" s="46" t="str">
        <f t="shared" si="2"/>
        <v>Rp31,000-48 LSN-0.00%</v>
      </c>
      <c r="Q2073" s="75">
        <v>45414.0</v>
      </c>
      <c r="R2073" s="76"/>
      <c r="S2073" s="75">
        <v>45423.0</v>
      </c>
      <c r="T2073" s="49"/>
    </row>
    <row r="2074">
      <c r="A2074" s="90">
        <v>1881.0</v>
      </c>
      <c r="B2074" s="91" t="s">
        <v>29</v>
      </c>
      <c r="C2074" s="49" t="s">
        <v>2371</v>
      </c>
      <c r="D2074" s="91" t="s">
        <v>1625</v>
      </c>
      <c r="E2074" s="41" t="str">
        <f>IFERROR(__xludf.DUMMYFUNCTION("vlookup(D2074,IMPORTRANGE(""https://docs.google.com/spreadsheets/d/1swGwZOEqYlTEUCJLY-eeJM1911Kvaei5oySBIxdgtNo/edit?pli=1#gid=257618397"",""stock untanna!B:C""),2,false)"),"KUAS 21839-6HP")</f>
        <v>KUAS 21839-6HP</v>
      </c>
      <c r="F2074" s="49" t="s">
        <v>1625</v>
      </c>
      <c r="G2074" s="71" t="s">
        <v>1626</v>
      </c>
      <c r="H2074" s="41"/>
      <c r="I2074" s="42"/>
      <c r="J2074" s="43"/>
      <c r="K2074" s="72">
        <v>36.0</v>
      </c>
      <c r="L2074" s="53" t="s">
        <v>84</v>
      </c>
      <c r="M2074" s="73">
        <v>11000.0</v>
      </c>
      <c r="N2074" s="74"/>
      <c r="O2074" s="73">
        <v>396000.0</v>
      </c>
      <c r="P2074" s="46" t="str">
        <f t="shared" si="2"/>
        <v>Rp11,000-36 SET-0.00%</v>
      </c>
      <c r="Q2074" s="75">
        <v>45415.0</v>
      </c>
      <c r="R2074" s="75">
        <v>45414.0</v>
      </c>
      <c r="S2074" s="75">
        <v>45423.0</v>
      </c>
      <c r="T2074" s="49"/>
    </row>
    <row r="2075">
      <c r="A2075" s="90">
        <v>1881.0</v>
      </c>
      <c r="B2075" s="91" t="s">
        <v>29</v>
      </c>
      <c r="C2075" s="49" t="s">
        <v>2371</v>
      </c>
      <c r="D2075" s="91" t="s">
        <v>647</v>
      </c>
      <c r="E2075" s="41" t="str">
        <f>IFERROR(__xludf.DUMMYFUNCTION("vlookup(D2075,IMPORTRANGE(""https://docs.google.com/spreadsheets/d/1swGwZOEqYlTEUCJLY-eeJM1911Kvaei5oySBIxdgtNo/edit?pli=1#gid=257618397"",""stock untanna!B:C""),2,false)"),"KUAS 251-6CJ")</f>
        <v>KUAS 251-6CJ</v>
      </c>
      <c r="F2075" s="49" t="s">
        <v>647</v>
      </c>
      <c r="G2075" s="71" t="s">
        <v>648</v>
      </c>
      <c r="H2075" s="41"/>
      <c r="I2075" s="42"/>
      <c r="J2075" s="43"/>
      <c r="K2075" s="72">
        <v>36.0</v>
      </c>
      <c r="L2075" s="53" t="s">
        <v>84</v>
      </c>
      <c r="M2075" s="73">
        <v>10000.0</v>
      </c>
      <c r="N2075" s="74"/>
      <c r="O2075" s="73">
        <v>360000.0</v>
      </c>
      <c r="P2075" s="46" t="str">
        <f t="shared" si="2"/>
        <v>Rp10,000-36 SET-0.00%</v>
      </c>
      <c r="Q2075" s="75">
        <v>45415.0</v>
      </c>
      <c r="R2075" s="75">
        <v>45414.0</v>
      </c>
      <c r="S2075" s="75">
        <v>45423.0</v>
      </c>
      <c r="T2075" s="49"/>
    </row>
    <row r="2076">
      <c r="A2076" s="90">
        <v>1881.0</v>
      </c>
      <c r="B2076" s="91" t="s">
        <v>29</v>
      </c>
      <c r="C2076" s="49" t="s">
        <v>2371</v>
      </c>
      <c r="D2076" s="91"/>
      <c r="E2076" s="41" t="s">
        <v>191</v>
      </c>
      <c r="F2076" s="49"/>
      <c r="G2076" s="71" t="s">
        <v>191</v>
      </c>
      <c r="H2076" s="41"/>
      <c r="I2076" s="42"/>
      <c r="J2076" s="43"/>
      <c r="K2076" s="72">
        <v>36.0</v>
      </c>
      <c r="L2076" s="53" t="s">
        <v>84</v>
      </c>
      <c r="M2076" s="73">
        <v>15000.0</v>
      </c>
      <c r="N2076" s="74"/>
      <c r="O2076" s="73">
        <v>540000.0</v>
      </c>
      <c r="P2076" s="46" t="str">
        <f t="shared" si="2"/>
        <v>Rp15,000-36 SET-0.00%</v>
      </c>
      <c r="Q2076" s="75">
        <v>45415.0</v>
      </c>
      <c r="R2076" s="75">
        <v>45414.0</v>
      </c>
      <c r="S2076" s="75">
        <v>45423.0</v>
      </c>
      <c r="T2076" s="80" t="s">
        <v>280</v>
      </c>
    </row>
    <row r="2077">
      <c r="A2077" s="90">
        <v>1881.0</v>
      </c>
      <c r="B2077" s="91" t="s">
        <v>29</v>
      </c>
      <c r="C2077" s="49" t="s">
        <v>2371</v>
      </c>
      <c r="D2077" s="91"/>
      <c r="E2077" s="41" t="s">
        <v>2477</v>
      </c>
      <c r="F2077" s="49"/>
      <c r="G2077" s="71" t="s">
        <v>2477</v>
      </c>
      <c r="H2077" s="41"/>
      <c r="I2077" s="42"/>
      <c r="J2077" s="43"/>
      <c r="K2077" s="72">
        <v>36.0</v>
      </c>
      <c r="L2077" s="53" t="s">
        <v>84</v>
      </c>
      <c r="M2077" s="73">
        <v>11000.0</v>
      </c>
      <c r="N2077" s="74"/>
      <c r="O2077" s="73">
        <v>396000.0</v>
      </c>
      <c r="P2077" s="46" t="str">
        <f t="shared" si="2"/>
        <v>Rp11,000-36 SET-0.00%</v>
      </c>
      <c r="Q2077" s="75">
        <v>45415.0</v>
      </c>
      <c r="R2077" s="75">
        <v>45414.0</v>
      </c>
      <c r="S2077" s="75">
        <v>45423.0</v>
      </c>
      <c r="T2077" s="49"/>
    </row>
    <row r="2078">
      <c r="A2078" s="90">
        <v>1881.0</v>
      </c>
      <c r="B2078" s="91" t="s">
        <v>29</v>
      </c>
      <c r="C2078" s="49" t="s">
        <v>2371</v>
      </c>
      <c r="D2078" s="91" t="s">
        <v>2449</v>
      </c>
      <c r="E2078" s="41" t="str">
        <f>IFERROR(__xludf.DUMMYFUNCTION("vlookup(D2078,IMPORTRANGE(""https://docs.google.com/spreadsheets/d/1swGwZOEqYlTEUCJLY-eeJM1911Kvaei5oySBIxdgtNo/edit?pli=1#gid=257618397"",""stock untanna!B:C""),2,false)"),"STICK NOTE TF 0246")</f>
        <v>STICK NOTE TF 0246</v>
      </c>
      <c r="F2078" s="49" t="s">
        <v>2449</v>
      </c>
      <c r="G2078" s="71" t="s">
        <v>2450</v>
      </c>
      <c r="H2078" s="41"/>
      <c r="I2078" s="42"/>
      <c r="J2078" s="43"/>
      <c r="K2078" s="72">
        <v>24.0</v>
      </c>
      <c r="L2078" s="53" t="s">
        <v>69</v>
      </c>
      <c r="M2078" s="73">
        <v>15000.0</v>
      </c>
      <c r="N2078" s="74"/>
      <c r="O2078" s="73">
        <v>360000.0</v>
      </c>
      <c r="P2078" s="46" t="str">
        <f t="shared" si="2"/>
        <v>Rp15,000-24 PCS-0.00%</v>
      </c>
      <c r="Q2078" s="75">
        <v>45415.0</v>
      </c>
      <c r="R2078" s="75">
        <v>45414.0</v>
      </c>
      <c r="S2078" s="75">
        <v>45423.0</v>
      </c>
      <c r="T2078" s="49"/>
    </row>
    <row r="2079">
      <c r="A2079" s="90">
        <v>1881.0</v>
      </c>
      <c r="B2079" s="91" t="s">
        <v>29</v>
      </c>
      <c r="C2079" s="49" t="s">
        <v>2371</v>
      </c>
      <c r="D2079" s="91"/>
      <c r="E2079" s="41" t="s">
        <v>2478</v>
      </c>
      <c r="F2079" s="49"/>
      <c r="G2079" s="71" t="s">
        <v>2478</v>
      </c>
      <c r="H2079" s="41"/>
      <c r="I2079" s="42"/>
      <c r="J2079" s="43"/>
      <c r="K2079" s="72">
        <v>10.0</v>
      </c>
      <c r="L2079" s="53" t="s">
        <v>62</v>
      </c>
      <c r="M2079" s="73">
        <v>40000.0</v>
      </c>
      <c r="N2079" s="74"/>
      <c r="O2079" s="73">
        <v>400000.0</v>
      </c>
      <c r="P2079" s="46" t="str">
        <f t="shared" si="2"/>
        <v>Rp40,000-10 LSN-0.00%</v>
      </c>
      <c r="Q2079" s="75">
        <v>45415.0</v>
      </c>
      <c r="R2079" s="75">
        <v>45414.0</v>
      </c>
      <c r="S2079" s="75">
        <v>45423.0</v>
      </c>
      <c r="T2079" s="49"/>
    </row>
    <row r="2080">
      <c r="A2080" s="90">
        <v>1881.0</v>
      </c>
      <c r="B2080" s="91" t="s">
        <v>29</v>
      </c>
      <c r="C2080" s="49" t="s">
        <v>2371</v>
      </c>
      <c r="D2080" s="91"/>
      <c r="E2080" s="41" t="s">
        <v>2479</v>
      </c>
      <c r="F2080" s="49"/>
      <c r="G2080" s="71" t="s">
        <v>2479</v>
      </c>
      <c r="H2080" s="41"/>
      <c r="I2080" s="42"/>
      <c r="J2080" s="43"/>
      <c r="K2080" s="72">
        <v>20.0</v>
      </c>
      <c r="L2080" s="53" t="s">
        <v>62</v>
      </c>
      <c r="M2080" s="73">
        <v>40000.0</v>
      </c>
      <c r="N2080" s="74"/>
      <c r="O2080" s="73">
        <v>800000.0</v>
      </c>
      <c r="P2080" s="46" t="str">
        <f t="shared" si="2"/>
        <v>Rp40,000-20 LSN-0.00%</v>
      </c>
      <c r="Q2080" s="75">
        <v>45415.0</v>
      </c>
      <c r="R2080" s="75">
        <v>45414.0</v>
      </c>
      <c r="S2080" s="75">
        <v>45423.0</v>
      </c>
      <c r="T2080" s="49"/>
    </row>
    <row r="2081">
      <c r="A2081" s="90">
        <v>1881.0</v>
      </c>
      <c r="B2081" s="91" t="s">
        <v>29</v>
      </c>
      <c r="C2081" s="49" t="s">
        <v>2371</v>
      </c>
      <c r="D2081" s="91"/>
      <c r="E2081" s="41" t="s">
        <v>2480</v>
      </c>
      <c r="F2081" s="49"/>
      <c r="G2081" s="71" t="s">
        <v>2480</v>
      </c>
      <c r="H2081" s="41"/>
      <c r="I2081" s="42"/>
      <c r="J2081" s="43"/>
      <c r="K2081" s="72">
        <v>25.0</v>
      </c>
      <c r="L2081" s="53" t="s">
        <v>62</v>
      </c>
      <c r="M2081" s="73">
        <v>40000.0</v>
      </c>
      <c r="N2081" s="74"/>
      <c r="O2081" s="73">
        <v>1000000.0</v>
      </c>
      <c r="P2081" s="46" t="str">
        <f t="shared" si="2"/>
        <v>Rp40,000-25 LSN-0.00%</v>
      </c>
      <c r="Q2081" s="75">
        <v>45415.0</v>
      </c>
      <c r="R2081" s="75">
        <v>45414.0</v>
      </c>
      <c r="S2081" s="75">
        <v>45423.0</v>
      </c>
      <c r="T2081" s="49"/>
    </row>
    <row r="2082">
      <c r="A2082" s="90">
        <v>1881.0</v>
      </c>
      <c r="B2082" s="91" t="s">
        <v>29</v>
      </c>
      <c r="C2082" s="49" t="s">
        <v>2371</v>
      </c>
      <c r="D2082" s="91"/>
      <c r="E2082" s="41" t="s">
        <v>2481</v>
      </c>
      <c r="F2082" s="49"/>
      <c r="G2082" s="71" t="s">
        <v>2481</v>
      </c>
      <c r="H2082" s="41"/>
      <c r="I2082" s="42"/>
      <c r="J2082" s="43"/>
      <c r="K2082" s="72">
        <v>15.0</v>
      </c>
      <c r="L2082" s="53" t="s">
        <v>62</v>
      </c>
      <c r="M2082" s="73">
        <v>40000.0</v>
      </c>
      <c r="N2082" s="74"/>
      <c r="O2082" s="73">
        <v>600000.0</v>
      </c>
      <c r="P2082" s="46" t="str">
        <f t="shared" si="2"/>
        <v>Rp40,000-15 LSN-0.00%</v>
      </c>
      <c r="Q2082" s="75">
        <v>45415.0</v>
      </c>
      <c r="R2082" s="75">
        <v>45414.0</v>
      </c>
      <c r="S2082" s="75">
        <v>45423.0</v>
      </c>
      <c r="T2082" s="49"/>
    </row>
    <row r="2083">
      <c r="A2083" s="90">
        <v>1881.0</v>
      </c>
      <c r="B2083" s="91" t="s">
        <v>29</v>
      </c>
      <c r="C2083" s="49" t="s">
        <v>2371</v>
      </c>
      <c r="D2083" s="91"/>
      <c r="E2083" s="41" t="s">
        <v>2482</v>
      </c>
      <c r="F2083" s="49"/>
      <c r="G2083" s="71" t="s">
        <v>2482</v>
      </c>
      <c r="H2083" s="41"/>
      <c r="I2083" s="42"/>
      <c r="J2083" s="43"/>
      <c r="K2083" s="72">
        <v>10.0</v>
      </c>
      <c r="L2083" s="53" t="s">
        <v>62</v>
      </c>
      <c r="M2083" s="73">
        <v>135000.0</v>
      </c>
      <c r="N2083" s="74"/>
      <c r="O2083" s="73">
        <v>1350000.0</v>
      </c>
      <c r="P2083" s="46" t="str">
        <f t="shared" si="2"/>
        <v>Rp135,000-10 LSN-0.00%</v>
      </c>
      <c r="Q2083" s="75">
        <v>45415.0</v>
      </c>
      <c r="R2083" s="75">
        <v>45414.0</v>
      </c>
      <c r="S2083" s="75">
        <v>45423.0</v>
      </c>
      <c r="T2083" s="49"/>
    </row>
    <row r="2084">
      <c r="A2084" s="90">
        <v>1881.0</v>
      </c>
      <c r="B2084" s="91" t="s">
        <v>29</v>
      </c>
      <c r="C2084" s="49" t="s">
        <v>2371</v>
      </c>
      <c r="D2084" s="91"/>
      <c r="E2084" s="41" t="s">
        <v>2483</v>
      </c>
      <c r="F2084" s="49"/>
      <c r="G2084" s="71" t="s">
        <v>2483</v>
      </c>
      <c r="H2084" s="41"/>
      <c r="I2084" s="42"/>
      <c r="J2084" s="43"/>
      <c r="K2084" s="72">
        <v>100.0</v>
      </c>
      <c r="L2084" s="53" t="s">
        <v>114</v>
      </c>
      <c r="M2084" s="73">
        <v>2250.0</v>
      </c>
      <c r="N2084" s="74"/>
      <c r="O2084" s="73">
        <v>225000.0</v>
      </c>
      <c r="P2084" s="46" t="str">
        <f t="shared" si="2"/>
        <v>Rp2,250-100 PAK-0.00%</v>
      </c>
      <c r="Q2084" s="75">
        <v>45415.0</v>
      </c>
      <c r="R2084" s="75">
        <v>45414.0</v>
      </c>
      <c r="S2084" s="75">
        <v>45423.0</v>
      </c>
      <c r="T2084" s="49"/>
    </row>
    <row r="2085">
      <c r="A2085" s="90">
        <v>1881.0</v>
      </c>
      <c r="B2085" s="91" t="s">
        <v>29</v>
      </c>
      <c r="C2085" s="49" t="s">
        <v>2371</v>
      </c>
      <c r="D2085" s="91"/>
      <c r="E2085" s="41" t="s">
        <v>2484</v>
      </c>
      <c r="F2085" s="49"/>
      <c r="G2085" s="71" t="s">
        <v>2484</v>
      </c>
      <c r="H2085" s="41"/>
      <c r="I2085" s="42"/>
      <c r="J2085" s="43"/>
      <c r="K2085" s="72">
        <v>65.0</v>
      </c>
      <c r="L2085" s="53" t="s">
        <v>114</v>
      </c>
      <c r="M2085" s="73">
        <v>1750.0</v>
      </c>
      <c r="N2085" s="74"/>
      <c r="O2085" s="73">
        <v>113750.0</v>
      </c>
      <c r="P2085" s="46" t="str">
        <f t="shared" si="2"/>
        <v>Rp1,750-65 PAK-0.00%</v>
      </c>
      <c r="Q2085" s="75">
        <v>45415.0</v>
      </c>
      <c r="R2085" s="75">
        <v>45414.0</v>
      </c>
      <c r="S2085" s="75">
        <v>45423.0</v>
      </c>
      <c r="T2085" s="49"/>
    </row>
    <row r="2086">
      <c r="A2086" s="90">
        <v>1881.0</v>
      </c>
      <c r="B2086" s="91" t="s">
        <v>29</v>
      </c>
      <c r="C2086" s="49" t="s">
        <v>2371</v>
      </c>
      <c r="D2086" s="91"/>
      <c r="E2086" s="41" t="s">
        <v>1206</v>
      </c>
      <c r="F2086" s="49"/>
      <c r="G2086" s="71" t="s">
        <v>1206</v>
      </c>
      <c r="H2086" s="41"/>
      <c r="I2086" s="42"/>
      <c r="J2086" s="43"/>
      <c r="K2086" s="72">
        <v>4.0</v>
      </c>
      <c r="L2086" s="53" t="s">
        <v>62</v>
      </c>
      <c r="M2086" s="73">
        <v>125000.0</v>
      </c>
      <c r="N2086" s="74"/>
      <c r="O2086" s="73">
        <v>500000.0</v>
      </c>
      <c r="P2086" s="46" t="str">
        <f t="shared" si="2"/>
        <v>Rp125,000-4 LSN-0.00%</v>
      </c>
      <c r="Q2086" s="75">
        <v>45415.0</v>
      </c>
      <c r="R2086" s="75">
        <v>45414.0</v>
      </c>
      <c r="S2086" s="75">
        <v>45423.0</v>
      </c>
      <c r="T2086" s="80" t="s">
        <v>280</v>
      </c>
    </row>
    <row r="2087">
      <c r="A2087" s="90">
        <v>1881.0</v>
      </c>
      <c r="B2087" s="91" t="s">
        <v>29</v>
      </c>
      <c r="C2087" s="49" t="s">
        <v>2371</v>
      </c>
      <c r="D2087" s="91" t="s">
        <v>2485</v>
      </c>
      <c r="E2087" s="41" t="str">
        <f>IFERROR(__xludf.DUMMYFUNCTION("vlookup(D2087,IMPORTRANGE(""https://docs.google.com/spreadsheets/d/1swGwZOEqYlTEUCJLY-eeJM1911Kvaei5oySBIxdgtNo/edit?pli=1#gid=257618397"",""stock untanna!B:C""),2,false)"),"MAP V-TECH W209 A3")</f>
        <v>MAP V-TECH W209 A3</v>
      </c>
      <c r="F2087" s="49" t="s">
        <v>2485</v>
      </c>
      <c r="G2087" s="71" t="s">
        <v>2486</v>
      </c>
      <c r="H2087" s="41"/>
      <c r="I2087" s="42"/>
      <c r="J2087" s="43"/>
      <c r="K2087" s="72">
        <v>2.0</v>
      </c>
      <c r="L2087" s="53" t="s">
        <v>62</v>
      </c>
      <c r="M2087" s="73">
        <v>150000.0</v>
      </c>
      <c r="N2087" s="74"/>
      <c r="O2087" s="73">
        <v>300000.0</v>
      </c>
      <c r="P2087" s="46" t="str">
        <f t="shared" si="2"/>
        <v>Rp150,000-2 LSN-0.00%</v>
      </c>
      <c r="Q2087" s="75">
        <v>45415.0</v>
      </c>
      <c r="R2087" s="75">
        <v>45414.0</v>
      </c>
      <c r="S2087" s="75">
        <v>45423.0</v>
      </c>
      <c r="T2087" s="49"/>
    </row>
    <row r="2088">
      <c r="A2088" s="90">
        <v>1881.0</v>
      </c>
      <c r="B2088" s="91" t="s">
        <v>29</v>
      </c>
      <c r="C2088" s="49" t="s">
        <v>2371</v>
      </c>
      <c r="D2088" s="91" t="s">
        <v>2487</v>
      </c>
      <c r="E2088" s="41" t="str">
        <f>IFERROR(__xludf.DUMMYFUNCTION("vlookup(D2088,IMPORTRANGE(""https://docs.google.com/spreadsheets/d/1swGwZOEqYlTEUCJLY-eeJM1911Kvaei5oySBIxdgtNo/edit?pli=1#gid=257618397"",""stock untanna!B:C""),2,false)"),"STAMP 1000")</f>
        <v>STAMP 1000</v>
      </c>
      <c r="F2088" s="49" t="s">
        <v>2487</v>
      </c>
      <c r="G2088" s="71" t="s">
        <v>2488</v>
      </c>
      <c r="H2088" s="41"/>
      <c r="I2088" s="42"/>
      <c r="J2088" s="43"/>
      <c r="K2088" s="72">
        <v>12.0</v>
      </c>
      <c r="L2088" s="53" t="s">
        <v>69</v>
      </c>
      <c r="M2088" s="73">
        <v>14167.0</v>
      </c>
      <c r="N2088" s="74"/>
      <c r="O2088" s="73">
        <v>170004.0</v>
      </c>
      <c r="P2088" s="46" t="str">
        <f t="shared" si="2"/>
        <v>Rp14,167-12 PCS-0.00%</v>
      </c>
      <c r="Q2088" s="75">
        <v>45415.0</v>
      </c>
      <c r="R2088" s="75">
        <v>45414.0</v>
      </c>
      <c r="S2088" s="75">
        <v>45423.0</v>
      </c>
      <c r="T2088" s="49"/>
    </row>
    <row r="2089">
      <c r="A2089" s="90">
        <v>1881.0</v>
      </c>
      <c r="B2089" s="91" t="s">
        <v>29</v>
      </c>
      <c r="C2089" s="49" t="s">
        <v>2371</v>
      </c>
      <c r="D2089" s="91"/>
      <c r="E2089" s="41" t="s">
        <v>2489</v>
      </c>
      <c r="F2089" s="49"/>
      <c r="G2089" s="71" t="s">
        <v>2489</v>
      </c>
      <c r="H2089" s="41"/>
      <c r="I2089" s="42"/>
      <c r="J2089" s="43"/>
      <c r="K2089" s="72">
        <v>1.0</v>
      </c>
      <c r="L2089" s="53" t="s">
        <v>62</v>
      </c>
      <c r="M2089" s="73">
        <v>170000.0</v>
      </c>
      <c r="N2089" s="74"/>
      <c r="O2089" s="73">
        <v>170000.0</v>
      </c>
      <c r="P2089" s="46" t="str">
        <f t="shared" si="2"/>
        <v>Rp170,000-1 LSN-0.00%</v>
      </c>
      <c r="Q2089" s="75">
        <v>45415.0</v>
      </c>
      <c r="R2089" s="75">
        <v>45414.0</v>
      </c>
      <c r="S2089" s="75">
        <v>45423.0</v>
      </c>
      <c r="T2089" s="49"/>
    </row>
    <row r="2090">
      <c r="A2090" s="90">
        <v>1882.0</v>
      </c>
      <c r="B2090" s="91" t="s">
        <v>29</v>
      </c>
      <c r="C2090" s="49" t="s">
        <v>2371</v>
      </c>
      <c r="D2090" s="91" t="s">
        <v>2490</v>
      </c>
      <c r="E2090" s="41" t="str">
        <f>IFERROR(__xludf.DUMMYFUNCTION("vlookup(D2090,IMPORTRANGE(""https://docs.google.com/spreadsheets/d/1swGwZOEqYlTEUCJLY-eeJM1911Kvaei5oySBIxdgtNo/edit?pli=1#gid=257618397"",""stock untanna!B:C""),2,false)"),"STAMP PAD SK 1602 FANCY")</f>
        <v>STAMP PAD SK 1602 FANCY</v>
      </c>
      <c r="F2090" s="49" t="s">
        <v>2490</v>
      </c>
      <c r="G2090" s="71" t="s">
        <v>2491</v>
      </c>
      <c r="H2090" s="41"/>
      <c r="I2090" s="42"/>
      <c r="J2090" s="43"/>
      <c r="K2090" s="72">
        <v>1.0</v>
      </c>
      <c r="L2090" s="53" t="s">
        <v>62</v>
      </c>
      <c r="M2090" s="73">
        <v>130000.0</v>
      </c>
      <c r="N2090" s="74"/>
      <c r="O2090" s="73">
        <v>130000.0</v>
      </c>
      <c r="P2090" s="46" t="str">
        <f t="shared" si="2"/>
        <v>Rp130,000-1 LSN-0.00%</v>
      </c>
      <c r="Q2090" s="75">
        <v>45415.0</v>
      </c>
      <c r="R2090" s="75">
        <v>45414.0</v>
      </c>
      <c r="S2090" s="75">
        <v>45423.0</v>
      </c>
      <c r="T2090" s="49"/>
    </row>
    <row r="2091">
      <c r="A2091" s="90">
        <v>1882.0</v>
      </c>
      <c r="B2091" s="91" t="s">
        <v>29</v>
      </c>
      <c r="C2091" s="49" t="s">
        <v>2371</v>
      </c>
      <c r="D2091" s="91"/>
      <c r="E2091" s="41" t="s">
        <v>2492</v>
      </c>
      <c r="F2091" s="49"/>
      <c r="G2091" s="71" t="s">
        <v>2492</v>
      </c>
      <c r="H2091" s="41"/>
      <c r="I2091" s="42"/>
      <c r="J2091" s="43"/>
      <c r="K2091" s="72">
        <v>1.0</v>
      </c>
      <c r="L2091" s="53" t="s">
        <v>62</v>
      </c>
      <c r="M2091" s="73">
        <v>150000.0</v>
      </c>
      <c r="N2091" s="74"/>
      <c r="O2091" s="73">
        <v>150000.0</v>
      </c>
      <c r="P2091" s="46" t="str">
        <f t="shared" si="2"/>
        <v>Rp150,000-1 LSN-0.00%</v>
      </c>
      <c r="Q2091" s="75">
        <v>45415.0</v>
      </c>
      <c r="R2091" s="75">
        <v>45414.0</v>
      </c>
      <c r="S2091" s="75">
        <v>45423.0</v>
      </c>
      <c r="T2091" s="80" t="s">
        <v>280</v>
      </c>
    </row>
    <row r="2092">
      <c r="A2092" s="90">
        <v>1882.0</v>
      </c>
      <c r="B2092" s="91" t="s">
        <v>29</v>
      </c>
      <c r="C2092" s="49" t="s">
        <v>2371</v>
      </c>
      <c r="D2092" s="91"/>
      <c r="E2092" s="41" t="s">
        <v>2493</v>
      </c>
      <c r="F2092" s="49"/>
      <c r="G2092" s="71" t="s">
        <v>2493</v>
      </c>
      <c r="H2092" s="41"/>
      <c r="I2092" s="42"/>
      <c r="J2092" s="43"/>
      <c r="K2092" s="72">
        <v>1.0</v>
      </c>
      <c r="L2092" s="53" t="s">
        <v>62</v>
      </c>
      <c r="M2092" s="73">
        <v>130000.0</v>
      </c>
      <c r="N2092" s="74"/>
      <c r="O2092" s="73">
        <v>130000.0</v>
      </c>
      <c r="P2092" s="46" t="str">
        <f t="shared" si="2"/>
        <v>Rp130,000-1 LSN-0.00%</v>
      </c>
      <c r="Q2092" s="75">
        <v>45415.0</v>
      </c>
      <c r="R2092" s="75">
        <v>45414.0</v>
      </c>
      <c r="S2092" s="75">
        <v>45423.0</v>
      </c>
      <c r="T2092" s="80" t="s">
        <v>280</v>
      </c>
    </row>
    <row r="2093">
      <c r="A2093" s="90">
        <v>1882.0</v>
      </c>
      <c r="B2093" s="91" t="s">
        <v>29</v>
      </c>
      <c r="C2093" s="49" t="s">
        <v>2371</v>
      </c>
      <c r="D2093" s="91"/>
      <c r="E2093" s="41" t="s">
        <v>2494</v>
      </c>
      <c r="F2093" s="49"/>
      <c r="G2093" s="71" t="s">
        <v>2494</v>
      </c>
      <c r="H2093" s="41"/>
      <c r="I2093" s="42"/>
      <c r="J2093" s="43"/>
      <c r="K2093" s="72">
        <v>1.0</v>
      </c>
      <c r="L2093" s="53" t="s">
        <v>62</v>
      </c>
      <c r="M2093" s="73">
        <v>264000.0</v>
      </c>
      <c r="N2093" s="74"/>
      <c r="O2093" s="73">
        <v>264000.0</v>
      </c>
      <c r="P2093" s="46" t="str">
        <f t="shared" si="2"/>
        <v>Rp264,000-1 LSN-0.00%</v>
      </c>
      <c r="Q2093" s="75">
        <v>45415.0</v>
      </c>
      <c r="R2093" s="75">
        <v>45414.0</v>
      </c>
      <c r="S2093" s="75">
        <v>45423.0</v>
      </c>
      <c r="T2093" s="80" t="s">
        <v>280</v>
      </c>
    </row>
    <row r="2094">
      <c r="A2094" s="90">
        <v>1882.0</v>
      </c>
      <c r="B2094" s="91" t="s">
        <v>29</v>
      </c>
      <c r="C2094" s="49" t="s">
        <v>2371</v>
      </c>
      <c r="D2094" s="91" t="s">
        <v>2031</v>
      </c>
      <c r="E2094" s="41" t="str">
        <f>IFERROR(__xludf.DUMMYFUNCTION("vlookup(D2094,IMPORTRANGE(""https://docs.google.com/spreadsheets/d/1swGwZOEqYlTEUCJLY-eeJM1911Kvaei5oySBIxdgtNo/edit?pli=1#gid=257618397"",""stock untanna!B:C""),2,false)"),"ID CARD 2 SISI TRANSPARANT PUTIH")</f>
        <v>ID CARD 2 SISI TRANSPARANT PUTIH</v>
      </c>
      <c r="F2094" s="49" t="s">
        <v>2031</v>
      </c>
      <c r="G2094" s="71" t="s">
        <v>2032</v>
      </c>
      <c r="H2094" s="41"/>
      <c r="I2094" s="42"/>
      <c r="J2094" s="43"/>
      <c r="K2094" s="72">
        <v>50.0</v>
      </c>
      <c r="L2094" s="53" t="s">
        <v>69</v>
      </c>
      <c r="M2094" s="73">
        <v>1350.0</v>
      </c>
      <c r="N2094" s="74"/>
      <c r="O2094" s="73">
        <v>67500.0</v>
      </c>
      <c r="P2094" s="46" t="str">
        <f t="shared" si="2"/>
        <v>Rp1,350-50 PCS-0.00%</v>
      </c>
      <c r="Q2094" s="75">
        <v>45415.0</v>
      </c>
      <c r="R2094" s="75">
        <v>45414.0</v>
      </c>
      <c r="S2094" s="75">
        <v>45423.0</v>
      </c>
      <c r="T2094" s="49"/>
    </row>
    <row r="2095">
      <c r="A2095" s="90">
        <v>1882.0</v>
      </c>
      <c r="B2095" s="91" t="s">
        <v>29</v>
      </c>
      <c r="C2095" s="49" t="s">
        <v>2371</v>
      </c>
      <c r="D2095" s="91" t="s">
        <v>2033</v>
      </c>
      <c r="E2095" s="41" t="str">
        <f>IFERROR(__xludf.DUMMYFUNCTION("vlookup(D2095,IMPORTRANGE(""https://docs.google.com/spreadsheets/d/1swGwZOEqYlTEUCJLY-eeJM1911Kvaei5oySBIxdgtNo/edit?pli=1#gid=257618397"",""stock untanna!B:C""),2,false)"),"ID CARD 2 SISI TRANSPARANT HITAM")</f>
        <v>ID CARD 2 SISI TRANSPARANT HITAM</v>
      </c>
      <c r="F2095" s="49" t="s">
        <v>2033</v>
      </c>
      <c r="G2095" s="71" t="s">
        <v>2034</v>
      </c>
      <c r="H2095" s="41"/>
      <c r="I2095" s="42"/>
      <c r="J2095" s="43"/>
      <c r="K2095" s="72">
        <v>50.0</v>
      </c>
      <c r="L2095" s="53" t="s">
        <v>69</v>
      </c>
      <c r="M2095" s="73">
        <v>1350.0</v>
      </c>
      <c r="N2095" s="74"/>
      <c r="O2095" s="73">
        <v>67500.0</v>
      </c>
      <c r="P2095" s="46" t="str">
        <f t="shared" si="2"/>
        <v>Rp1,350-50 PCS-0.00%</v>
      </c>
      <c r="Q2095" s="75">
        <v>45415.0</v>
      </c>
      <c r="R2095" s="75">
        <v>45414.0</v>
      </c>
      <c r="S2095" s="75">
        <v>45423.0</v>
      </c>
      <c r="T2095" s="49"/>
    </row>
    <row r="2096">
      <c r="A2096" s="90">
        <v>1882.0</v>
      </c>
      <c r="B2096" s="91" t="s">
        <v>29</v>
      </c>
      <c r="C2096" s="49" t="s">
        <v>2371</v>
      </c>
      <c r="D2096" s="91" t="s">
        <v>2025</v>
      </c>
      <c r="E2096" s="41" t="str">
        <f>IFERROR(__xludf.DUMMYFUNCTION("vlookup(D2096,IMPORTRANGE(""https://docs.google.com/spreadsheets/d/1swGwZOEqYlTEUCJLY-eeJM1911Kvaei5oySBIxdgtNo/edit?pli=1#gid=257618397"",""stock untanna!B:C""),2,false)"),"ID CARD 2 SISI TRANSPARANT MERAH")</f>
        <v>ID CARD 2 SISI TRANSPARANT MERAH</v>
      </c>
      <c r="F2096" s="49" t="s">
        <v>2025</v>
      </c>
      <c r="G2096" s="71" t="s">
        <v>2026</v>
      </c>
      <c r="H2096" s="41"/>
      <c r="I2096" s="42"/>
      <c r="J2096" s="43"/>
      <c r="K2096" s="72">
        <v>50.0</v>
      </c>
      <c r="L2096" s="53" t="s">
        <v>69</v>
      </c>
      <c r="M2096" s="73">
        <v>1350.0</v>
      </c>
      <c r="N2096" s="74"/>
      <c r="O2096" s="73">
        <v>67500.0</v>
      </c>
      <c r="P2096" s="46" t="str">
        <f t="shared" si="2"/>
        <v>Rp1,350-50 PCS-0.00%</v>
      </c>
      <c r="Q2096" s="75">
        <v>45415.0</v>
      </c>
      <c r="R2096" s="75">
        <v>45414.0</v>
      </c>
      <c r="S2096" s="75">
        <v>45423.0</v>
      </c>
      <c r="T2096" s="49"/>
    </row>
    <row r="2097">
      <c r="A2097" s="90">
        <v>1882.0</v>
      </c>
      <c r="B2097" s="91" t="s">
        <v>29</v>
      </c>
      <c r="C2097" s="49" t="s">
        <v>2371</v>
      </c>
      <c r="D2097" s="91" t="s">
        <v>2029</v>
      </c>
      <c r="E2097" s="41" t="str">
        <f>IFERROR(__xludf.DUMMYFUNCTION("vlookup(D2097,IMPORTRANGE(""https://docs.google.com/spreadsheets/d/1swGwZOEqYlTEUCJLY-eeJM1911Kvaei5oySBIxdgtNo/edit?pli=1#gid=257618397"",""stock untanna!B:C""),2,false)"),"ID CARD 2 SISI TRANSPARANT HIJAU")</f>
        <v>ID CARD 2 SISI TRANSPARANT HIJAU</v>
      </c>
      <c r="F2097" s="49" t="s">
        <v>2029</v>
      </c>
      <c r="G2097" s="71" t="s">
        <v>2030</v>
      </c>
      <c r="H2097" s="41"/>
      <c r="I2097" s="42"/>
      <c r="J2097" s="43"/>
      <c r="K2097" s="72">
        <v>50.0</v>
      </c>
      <c r="L2097" s="53" t="s">
        <v>69</v>
      </c>
      <c r="M2097" s="73">
        <v>1350.0</v>
      </c>
      <c r="N2097" s="74"/>
      <c r="O2097" s="73">
        <v>67500.0</v>
      </c>
      <c r="P2097" s="46" t="str">
        <f t="shared" si="2"/>
        <v>Rp1,350-50 PCS-0.00%</v>
      </c>
      <c r="Q2097" s="75">
        <v>45415.0</v>
      </c>
      <c r="R2097" s="75">
        <v>45414.0</v>
      </c>
      <c r="S2097" s="75">
        <v>45423.0</v>
      </c>
      <c r="T2097" s="49"/>
    </row>
    <row r="2098">
      <c r="A2098" s="90">
        <v>1882.0</v>
      </c>
      <c r="B2098" s="91" t="s">
        <v>29</v>
      </c>
      <c r="C2098" s="49" t="s">
        <v>2371</v>
      </c>
      <c r="D2098" s="91" t="s">
        <v>2027</v>
      </c>
      <c r="E2098" s="41" t="str">
        <f>IFERROR(__xludf.DUMMYFUNCTION("vlookup(D2098,IMPORTRANGE(""https://docs.google.com/spreadsheets/d/1swGwZOEqYlTEUCJLY-eeJM1911Kvaei5oySBIxdgtNo/edit?pli=1#gid=257618397"",""stock untanna!B:C""),2,false)"),"ID CARD 2 SISI TRANSPARANT KUNING")</f>
        <v>ID CARD 2 SISI TRANSPARANT KUNING</v>
      </c>
      <c r="F2098" s="49" t="s">
        <v>2027</v>
      </c>
      <c r="G2098" s="71" t="s">
        <v>2028</v>
      </c>
      <c r="H2098" s="41"/>
      <c r="I2098" s="42"/>
      <c r="J2098" s="43"/>
      <c r="K2098" s="72">
        <v>50.0</v>
      </c>
      <c r="L2098" s="53" t="s">
        <v>69</v>
      </c>
      <c r="M2098" s="73">
        <v>1350.0</v>
      </c>
      <c r="N2098" s="74"/>
      <c r="O2098" s="73">
        <v>67500.0</v>
      </c>
      <c r="P2098" s="46" t="str">
        <f t="shared" si="2"/>
        <v>Rp1,350-50 PCS-0.00%</v>
      </c>
      <c r="Q2098" s="75">
        <v>45415.0</v>
      </c>
      <c r="R2098" s="75">
        <v>45414.0</v>
      </c>
      <c r="S2098" s="75">
        <v>45423.0</v>
      </c>
      <c r="T2098" s="49"/>
    </row>
    <row r="2099">
      <c r="A2099" s="90">
        <v>1882.0</v>
      </c>
      <c r="B2099" s="91" t="s">
        <v>29</v>
      </c>
      <c r="C2099" s="49" t="s">
        <v>2371</v>
      </c>
      <c r="D2099" s="91" t="s">
        <v>2035</v>
      </c>
      <c r="E2099" s="41" t="str">
        <f>IFERROR(__xludf.DUMMYFUNCTION("vlookup(D2099,IMPORTRANGE(""https://docs.google.com/spreadsheets/d/1swGwZOEqYlTEUCJLY-eeJM1911Kvaei5oySBIxdgtNo/edit?pli=1#gid=257618397"",""stock untanna!B:C""),2,false)"),"ID CARD 2 SISI TRANSPARANT BIRU")</f>
        <v>ID CARD 2 SISI TRANSPARANT BIRU</v>
      </c>
      <c r="F2099" s="49" t="s">
        <v>2035</v>
      </c>
      <c r="G2099" s="71" t="s">
        <v>2036</v>
      </c>
      <c r="H2099" s="41"/>
      <c r="I2099" s="42"/>
      <c r="J2099" s="43"/>
      <c r="K2099" s="72">
        <v>50.0</v>
      </c>
      <c r="L2099" s="53" t="s">
        <v>69</v>
      </c>
      <c r="M2099" s="73">
        <v>1350.0</v>
      </c>
      <c r="N2099" s="74"/>
      <c r="O2099" s="73">
        <v>67500.0</v>
      </c>
      <c r="P2099" s="46" t="str">
        <f t="shared" si="2"/>
        <v>Rp1,350-50 PCS-0.00%</v>
      </c>
      <c r="Q2099" s="75">
        <v>45415.0</v>
      </c>
      <c r="R2099" s="75">
        <v>45414.0</v>
      </c>
      <c r="S2099" s="75">
        <v>45423.0</v>
      </c>
      <c r="T2099" s="49"/>
    </row>
    <row r="2100">
      <c r="A2100" s="90">
        <v>1882.0</v>
      </c>
      <c r="B2100" s="91" t="s">
        <v>29</v>
      </c>
      <c r="C2100" s="49" t="s">
        <v>2371</v>
      </c>
      <c r="D2100" s="77" t="s">
        <v>2495</v>
      </c>
      <c r="E2100" s="41" t="str">
        <f>IFERROR(__xludf.DUMMYFUNCTION("IFNA(vlookup(D2100,IMPORTRANGE(""https://docs.google.com/spreadsheets/d/1swGwZOEqYlTEUCJLY-eeJM1911Kvaei5oySBIxdgtNo/edit?pli=1#gid=257618397"",""stock untanna!B:C""),2,false),V:V)"),"MAGNET X3510")</f>
        <v>MAGNET X3510</v>
      </c>
      <c r="F2100" s="49"/>
      <c r="G2100" s="71" t="s">
        <v>2496</v>
      </c>
      <c r="H2100" s="41"/>
      <c r="I2100" s="42"/>
      <c r="J2100" s="85" t="s">
        <v>1319</v>
      </c>
      <c r="K2100" s="72">
        <v>3.0</v>
      </c>
      <c r="L2100" s="53" t="s">
        <v>62</v>
      </c>
      <c r="M2100" s="73">
        <v>175000.0</v>
      </c>
      <c r="N2100" s="74"/>
      <c r="O2100" s="73">
        <v>525000.0</v>
      </c>
      <c r="P2100" s="46" t="str">
        <f t="shared" si="2"/>
        <v>Rp175,000-3 LSN-0.00%</v>
      </c>
      <c r="Q2100" s="75">
        <v>45415.0</v>
      </c>
      <c r="R2100" s="75">
        <v>45414.0</v>
      </c>
      <c r="S2100" s="75">
        <v>45423.0</v>
      </c>
      <c r="T2100" s="80" t="s">
        <v>280</v>
      </c>
    </row>
    <row r="2101">
      <c r="A2101" s="90">
        <v>1882.0</v>
      </c>
      <c r="B2101" s="91" t="s">
        <v>29</v>
      </c>
      <c r="C2101" s="49" t="s">
        <v>2371</v>
      </c>
      <c r="D2101" s="91" t="s">
        <v>2497</v>
      </c>
      <c r="E2101" s="41" t="str">
        <f>IFERROR(__xludf.DUMMYFUNCTION("vlookup(D2101,IMPORTRANGE(""https://docs.google.com/spreadsheets/d/1swGwZOEqYlTEUCJLY-eeJM1911Kvaei5oySBIxdgtNo/edit?pli=1#gid=257618397"",""stock untanna!B:C""),2,false)"),"MAGNET  3010J SMILE WARNA")</f>
        <v>MAGNET  3010J SMILE WARNA</v>
      </c>
      <c r="F2101" s="49" t="s">
        <v>2497</v>
      </c>
      <c r="G2101" s="71" t="s">
        <v>2498</v>
      </c>
      <c r="H2101" s="41"/>
      <c r="I2101" s="42"/>
      <c r="J2101" s="43"/>
      <c r="K2101" s="72">
        <v>36.0</v>
      </c>
      <c r="L2101" s="53" t="s">
        <v>69</v>
      </c>
      <c r="M2101" s="73">
        <v>10000.0</v>
      </c>
      <c r="N2101" s="74"/>
      <c r="O2101" s="73">
        <v>360000.0</v>
      </c>
      <c r="P2101" s="46" t="str">
        <f t="shared" si="2"/>
        <v>Rp10,000-36 PCS-0.00%</v>
      </c>
      <c r="Q2101" s="75">
        <v>45415.0</v>
      </c>
      <c r="R2101" s="75">
        <v>45414.0</v>
      </c>
      <c r="S2101" s="75">
        <v>45423.0</v>
      </c>
      <c r="T2101" s="80" t="s">
        <v>280</v>
      </c>
    </row>
    <row r="2102">
      <c r="A2102" s="90">
        <v>1882.0</v>
      </c>
      <c r="B2102" s="91" t="s">
        <v>29</v>
      </c>
      <c r="C2102" s="49" t="s">
        <v>2371</v>
      </c>
      <c r="D2102" s="91" t="s">
        <v>2499</v>
      </c>
      <c r="E2102" s="41" t="str">
        <f>IFERROR(__xludf.DUMMYFUNCTION("vlookup(D2102,IMPORTRANGE(""https://docs.google.com/spreadsheets/d/1swGwZOEqYlTEUCJLY-eeJM1911Kvaei5oySBIxdgtNo/edit?pli=1#gid=257618397"",""stock untanna!B:C""),2,false)"),"MAGNET X-3008")</f>
        <v>MAGNET X-3008</v>
      </c>
      <c r="F2102" s="49" t="s">
        <v>2499</v>
      </c>
      <c r="G2102" s="71" t="s">
        <v>2500</v>
      </c>
      <c r="H2102" s="41"/>
      <c r="I2102" s="42"/>
      <c r="J2102" s="43"/>
      <c r="K2102" s="72">
        <v>36.0</v>
      </c>
      <c r="L2102" s="53" t="s">
        <v>69</v>
      </c>
      <c r="M2102" s="73">
        <v>10000.0</v>
      </c>
      <c r="N2102" s="74"/>
      <c r="O2102" s="73">
        <v>360000.0</v>
      </c>
      <c r="P2102" s="46" t="str">
        <f t="shared" si="2"/>
        <v>Rp10,000-36 PCS-0.00%</v>
      </c>
      <c r="Q2102" s="75">
        <v>45415.0</v>
      </c>
      <c r="R2102" s="75">
        <v>45414.0</v>
      </c>
      <c r="S2102" s="75">
        <v>45423.0</v>
      </c>
      <c r="T2102" s="49"/>
    </row>
    <row r="2103">
      <c r="A2103" s="90">
        <v>1882.0</v>
      </c>
      <c r="B2103" s="91" t="s">
        <v>29</v>
      </c>
      <c r="C2103" s="49" t="s">
        <v>2371</v>
      </c>
      <c r="D2103" s="77" t="s">
        <v>2501</v>
      </c>
      <c r="E2103" s="41" t="str">
        <f>IFERROR(__xludf.DUMMYFUNCTION("IFNA(vlookup(D2103,IMPORTRANGE(""https://docs.google.com/spreadsheets/d/1swGwZOEqYlTEUCJLY-eeJM1911Kvaei5oySBIxdgtNo/edit?pli=1#gid=257618397"",""stock untanna!B:C""),2,false),V:V)"),"MAGNET 2012")</f>
        <v>MAGNET 2012</v>
      </c>
      <c r="F2103" s="49"/>
      <c r="G2103" s="71" t="s">
        <v>2502</v>
      </c>
      <c r="H2103" s="41"/>
      <c r="I2103" s="42"/>
      <c r="J2103" s="85" t="s">
        <v>1319</v>
      </c>
      <c r="K2103" s="72">
        <v>3.0</v>
      </c>
      <c r="L2103" s="53" t="s">
        <v>62</v>
      </c>
      <c r="M2103" s="73">
        <v>100000.0</v>
      </c>
      <c r="N2103" s="74"/>
      <c r="O2103" s="73">
        <v>300000.0</v>
      </c>
      <c r="P2103" s="46" t="str">
        <f t="shared" si="2"/>
        <v>Rp100,000-3 LSN-0.00%</v>
      </c>
      <c r="Q2103" s="75">
        <v>45415.0</v>
      </c>
      <c r="R2103" s="75">
        <v>45414.0</v>
      </c>
      <c r="S2103" s="75">
        <v>45423.0</v>
      </c>
      <c r="T2103" s="80" t="s">
        <v>280</v>
      </c>
    </row>
    <row r="2104">
      <c r="A2104" s="90">
        <v>1882.0</v>
      </c>
      <c r="B2104" s="91" t="s">
        <v>29</v>
      </c>
      <c r="C2104" s="49" t="s">
        <v>2371</v>
      </c>
      <c r="D2104" s="77" t="s">
        <v>2503</v>
      </c>
      <c r="E2104" s="41" t="str">
        <f>IFERROR(__xludf.DUMMYFUNCTION("IFNA(vlookup(D2104,IMPORTRANGE(""https://docs.google.com/spreadsheets/d/1swGwZOEqYlTEUCJLY-eeJM1911Kvaei5oySBIxdgtNo/edit?pli=1#gid=257618397"",""stock untanna!B:C""),2,false),V:V)"),"MAGNET 2010T")</f>
        <v>MAGNET 2010T</v>
      </c>
      <c r="F2104" s="49"/>
      <c r="G2104" s="71" t="s">
        <v>2504</v>
      </c>
      <c r="H2104" s="41"/>
      <c r="I2104" s="42"/>
      <c r="J2104" s="85" t="s">
        <v>1319</v>
      </c>
      <c r="K2104" s="72">
        <v>3.0</v>
      </c>
      <c r="L2104" s="53" t="s">
        <v>62</v>
      </c>
      <c r="M2104" s="73">
        <v>100000.0</v>
      </c>
      <c r="N2104" s="74"/>
      <c r="O2104" s="73">
        <v>300000.0</v>
      </c>
      <c r="P2104" s="46" t="str">
        <f t="shared" si="2"/>
        <v>Rp100,000-3 LSN-0.00%</v>
      </c>
      <c r="Q2104" s="75">
        <v>45415.0</v>
      </c>
      <c r="R2104" s="75">
        <v>45414.0</v>
      </c>
      <c r="S2104" s="75">
        <v>45423.0</v>
      </c>
      <c r="T2104" s="80" t="s">
        <v>280</v>
      </c>
    </row>
    <row r="2105">
      <c r="A2105" s="90">
        <v>1882.0</v>
      </c>
      <c r="B2105" s="91" t="s">
        <v>29</v>
      </c>
      <c r="C2105" s="49" t="s">
        <v>2371</v>
      </c>
      <c r="D2105" s="91"/>
      <c r="E2105" s="41" t="s">
        <v>2505</v>
      </c>
      <c r="F2105" s="49"/>
      <c r="G2105" s="71" t="s">
        <v>2505</v>
      </c>
      <c r="H2105" s="41"/>
      <c r="I2105" s="42"/>
      <c r="J2105" s="43"/>
      <c r="K2105" s="72">
        <v>31.0</v>
      </c>
      <c r="L2105" s="53" t="s">
        <v>69</v>
      </c>
      <c r="M2105" s="73">
        <v>6250.0</v>
      </c>
      <c r="N2105" s="74"/>
      <c r="O2105" s="73">
        <v>193750.0</v>
      </c>
      <c r="P2105" s="46" t="str">
        <f t="shared" si="2"/>
        <v>Rp6,250-31 PCS-0.00%</v>
      </c>
      <c r="Q2105" s="75">
        <v>45415.0</v>
      </c>
      <c r="R2105" s="75">
        <v>45414.0</v>
      </c>
      <c r="S2105" s="75">
        <v>45423.0</v>
      </c>
      <c r="T2105" s="49"/>
    </row>
    <row r="2106">
      <c r="A2106" s="90">
        <v>1883.0</v>
      </c>
      <c r="B2106" s="91" t="s">
        <v>29</v>
      </c>
      <c r="C2106" s="49" t="s">
        <v>2371</v>
      </c>
      <c r="D2106" s="77" t="s">
        <v>2506</v>
      </c>
      <c r="E2106" s="41" t="str">
        <f>IFERROR(__xludf.DUMMYFUNCTION("IFNA(vlookup(D2106,IMPORTRANGE(""https://docs.google.com/spreadsheets/d/1swGwZOEqYlTEUCJLY-eeJM1911Kvaei5oySBIxdgtNo/edit?pli=1#gid=257618397"",""stock untanna!B:C""),2,false),V:V)"),"MAGNET X3006")</f>
        <v>MAGNET X3006</v>
      </c>
      <c r="F2106" s="49"/>
      <c r="G2106" s="71" t="s">
        <v>2507</v>
      </c>
      <c r="H2106" s="41"/>
      <c r="I2106" s="42"/>
      <c r="J2106" s="85" t="s">
        <v>1319</v>
      </c>
      <c r="K2106" s="72">
        <v>3.0</v>
      </c>
      <c r="L2106" s="53" t="s">
        <v>62</v>
      </c>
      <c r="M2106" s="73">
        <v>90000.0</v>
      </c>
      <c r="N2106" s="74"/>
      <c r="O2106" s="73">
        <v>270000.0</v>
      </c>
      <c r="P2106" s="46" t="str">
        <f t="shared" si="2"/>
        <v>Rp90,000-3 LSN-0.00%</v>
      </c>
      <c r="Q2106" s="75">
        <v>45415.0</v>
      </c>
      <c r="R2106" s="75">
        <v>45414.0</v>
      </c>
      <c r="S2106" s="75">
        <v>45423.0</v>
      </c>
      <c r="T2106" s="80" t="s">
        <v>280</v>
      </c>
    </row>
    <row r="2107">
      <c r="A2107" s="90">
        <v>1883.0</v>
      </c>
      <c r="B2107" s="91" t="s">
        <v>29</v>
      </c>
      <c r="C2107" s="49" t="s">
        <v>2371</v>
      </c>
      <c r="D2107" s="91"/>
      <c r="E2107" s="41" t="s">
        <v>2508</v>
      </c>
      <c r="F2107" s="49"/>
      <c r="G2107" s="71" t="s">
        <v>2508</v>
      </c>
      <c r="H2107" s="41"/>
      <c r="I2107" s="42"/>
      <c r="J2107" s="43"/>
      <c r="K2107" s="72">
        <v>1.0</v>
      </c>
      <c r="L2107" s="53" t="s">
        <v>62</v>
      </c>
      <c r="M2107" s="73">
        <v>110000.0</v>
      </c>
      <c r="N2107" s="74"/>
      <c r="O2107" s="73">
        <v>110000.0</v>
      </c>
      <c r="P2107" s="46" t="str">
        <f t="shared" si="2"/>
        <v>Rp110,000-1 LSN-0.00%</v>
      </c>
      <c r="Q2107" s="75">
        <v>45415.0</v>
      </c>
      <c r="R2107" s="75">
        <v>45414.0</v>
      </c>
      <c r="S2107" s="75">
        <v>45423.0</v>
      </c>
      <c r="T2107" s="49"/>
    </row>
    <row r="2108">
      <c r="A2108" s="90">
        <v>1883.0</v>
      </c>
      <c r="B2108" s="91" t="s">
        <v>29</v>
      </c>
      <c r="C2108" s="49" t="s">
        <v>2371</v>
      </c>
      <c r="D2108" s="91" t="s">
        <v>2509</v>
      </c>
      <c r="E2108" s="41" t="str">
        <f>IFERROR(__xludf.DUMMYFUNCTION("vlookup(D2108,IMPORTRANGE(""https://docs.google.com/spreadsheets/d/1swGwZOEqYlTEUCJLY-eeJM1911Kvaei5oySBIxdgtNo/edit?pli=1#gid=257618397"",""stock untanna!B:C""),2,false)"),"MAGNET  X3010 SMILE KUNING")</f>
        <v>MAGNET  X3010 SMILE KUNING</v>
      </c>
      <c r="F2108" s="49" t="s">
        <v>2509</v>
      </c>
      <c r="G2108" s="71" t="s">
        <v>2510</v>
      </c>
      <c r="H2108" s="41"/>
      <c r="I2108" s="42"/>
      <c r="J2108" s="43"/>
      <c r="K2108" s="72">
        <v>36.0</v>
      </c>
      <c r="L2108" s="53" t="s">
        <v>69</v>
      </c>
      <c r="M2108" s="73">
        <v>15417.0</v>
      </c>
      <c r="N2108" s="74"/>
      <c r="O2108" s="73">
        <v>555012.0</v>
      </c>
      <c r="P2108" s="46" t="str">
        <f t="shared" si="2"/>
        <v>Rp15,417-36 PCS-0.00%</v>
      </c>
      <c r="Q2108" s="75">
        <v>45415.0</v>
      </c>
      <c r="R2108" s="75">
        <v>45414.0</v>
      </c>
      <c r="S2108" s="75">
        <v>45423.0</v>
      </c>
      <c r="T2108" s="49"/>
    </row>
    <row r="2109">
      <c r="A2109" s="90">
        <v>1883.0</v>
      </c>
      <c r="B2109" s="91" t="s">
        <v>29</v>
      </c>
      <c r="C2109" s="49" t="s">
        <v>2371</v>
      </c>
      <c r="D2109" s="91"/>
      <c r="E2109" s="41" t="s">
        <v>2511</v>
      </c>
      <c r="F2109" s="49"/>
      <c r="G2109" s="71" t="s">
        <v>2511</v>
      </c>
      <c r="H2109" s="41"/>
      <c r="I2109" s="42"/>
      <c r="J2109" s="43"/>
      <c r="K2109" s="72">
        <v>3.0</v>
      </c>
      <c r="L2109" s="53" t="s">
        <v>62</v>
      </c>
      <c r="M2109" s="73">
        <v>95000.0</v>
      </c>
      <c r="N2109" s="74"/>
      <c r="O2109" s="73">
        <v>285000.0</v>
      </c>
      <c r="P2109" s="46" t="str">
        <f t="shared" si="2"/>
        <v>Rp95,000-3 LSN-0.00%</v>
      </c>
      <c r="Q2109" s="75">
        <v>45415.0</v>
      </c>
      <c r="R2109" s="75">
        <v>45414.0</v>
      </c>
      <c r="S2109" s="75">
        <v>45423.0</v>
      </c>
      <c r="T2109" s="49"/>
    </row>
    <row r="2110">
      <c r="A2110" s="90">
        <v>1883.0</v>
      </c>
      <c r="B2110" s="91" t="s">
        <v>29</v>
      </c>
      <c r="C2110" s="49" t="s">
        <v>2371</v>
      </c>
      <c r="D2110" s="91"/>
      <c r="E2110" s="41" t="s">
        <v>2512</v>
      </c>
      <c r="F2110" s="49"/>
      <c r="G2110" s="71" t="s">
        <v>2512</v>
      </c>
      <c r="H2110" s="41"/>
      <c r="I2110" s="42"/>
      <c r="J2110" s="43"/>
      <c r="K2110" s="72">
        <v>3.0</v>
      </c>
      <c r="L2110" s="53" t="s">
        <v>62</v>
      </c>
      <c r="M2110" s="73">
        <v>110000.0</v>
      </c>
      <c r="N2110" s="74"/>
      <c r="O2110" s="73">
        <v>330000.0</v>
      </c>
      <c r="P2110" s="46" t="str">
        <f t="shared" si="2"/>
        <v>Rp110,000-3 LSN-0.00%</v>
      </c>
      <c r="Q2110" s="75">
        <v>45415.0</v>
      </c>
      <c r="R2110" s="75">
        <v>45414.0</v>
      </c>
      <c r="S2110" s="75">
        <v>45423.0</v>
      </c>
      <c r="T2110" s="49"/>
    </row>
    <row r="2111">
      <c r="A2111" s="90">
        <v>1883.0</v>
      </c>
      <c r="B2111" s="91" t="s">
        <v>29</v>
      </c>
      <c r="C2111" s="49" t="s">
        <v>2371</v>
      </c>
      <c r="D2111" s="91"/>
      <c r="E2111" s="41" t="s">
        <v>2513</v>
      </c>
      <c r="F2111" s="49"/>
      <c r="G2111" s="71" t="s">
        <v>2513</v>
      </c>
      <c r="H2111" s="41"/>
      <c r="I2111" s="42"/>
      <c r="J2111" s="43"/>
      <c r="K2111" s="72">
        <v>12.0</v>
      </c>
      <c r="L2111" s="53" t="s">
        <v>69</v>
      </c>
      <c r="M2111" s="73">
        <v>10000.0</v>
      </c>
      <c r="N2111" s="74"/>
      <c r="O2111" s="73">
        <v>120000.0</v>
      </c>
      <c r="P2111" s="46" t="str">
        <f t="shared" si="2"/>
        <v>Rp10,000-12 PCS-0.00%</v>
      </c>
      <c r="Q2111" s="75">
        <v>45415.0</v>
      </c>
      <c r="R2111" s="75">
        <v>45414.0</v>
      </c>
      <c r="S2111" s="75">
        <v>45423.0</v>
      </c>
      <c r="T2111" s="49"/>
    </row>
    <row r="2112">
      <c r="A2112" s="90">
        <v>1883.0</v>
      </c>
      <c r="B2112" s="91" t="s">
        <v>29</v>
      </c>
      <c r="C2112" s="49" t="s">
        <v>2371</v>
      </c>
      <c r="D2112" s="91"/>
      <c r="E2112" s="41" t="s">
        <v>2514</v>
      </c>
      <c r="F2112" s="49"/>
      <c r="G2112" s="71" t="s">
        <v>2514</v>
      </c>
      <c r="H2112" s="41"/>
      <c r="I2112" s="42"/>
      <c r="J2112" s="43"/>
      <c r="K2112" s="72">
        <v>12.0</v>
      </c>
      <c r="L2112" s="53" t="s">
        <v>69</v>
      </c>
      <c r="M2112" s="73">
        <v>10000.0</v>
      </c>
      <c r="N2112" s="74"/>
      <c r="O2112" s="73">
        <v>120000.0</v>
      </c>
      <c r="P2112" s="46" t="str">
        <f t="shared" si="2"/>
        <v>Rp10,000-12 PCS-0.00%</v>
      </c>
      <c r="Q2112" s="75">
        <v>45415.0</v>
      </c>
      <c r="R2112" s="75">
        <v>45414.0</v>
      </c>
      <c r="S2112" s="75">
        <v>45423.0</v>
      </c>
      <c r="T2112" s="49"/>
    </row>
    <row r="2113">
      <c r="A2113" s="90">
        <v>1883.0</v>
      </c>
      <c r="B2113" s="91" t="s">
        <v>29</v>
      </c>
      <c r="C2113" s="49" t="s">
        <v>2371</v>
      </c>
      <c r="D2113" s="91" t="s">
        <v>2515</v>
      </c>
      <c r="E2113" s="41" t="str">
        <f>IFERROR(__xludf.DUMMYFUNCTION("vlookup(D2113,IMPORTRANGE(""https://docs.google.com/spreadsheets/d/1swGwZOEqYlTEUCJLY-eeJM1911Kvaei5oySBIxdgtNo/edit?pli=1#gid=257618397"",""stock untanna!B:C""),2,false)"),"SLIDE BINDER 7MM K PUTIH")</f>
        <v>SLIDE BINDER 7MM K PUTIH</v>
      </c>
      <c r="F2113" s="49" t="s">
        <v>2515</v>
      </c>
      <c r="G2113" s="71" t="s">
        <v>2516</v>
      </c>
      <c r="H2113" s="41"/>
      <c r="I2113" s="42"/>
      <c r="J2113" s="43"/>
      <c r="K2113" s="72">
        <v>100.0</v>
      </c>
      <c r="L2113" s="53" t="s">
        <v>69</v>
      </c>
      <c r="M2113" s="73">
        <v>1500.0</v>
      </c>
      <c r="N2113" s="74"/>
      <c r="O2113" s="73">
        <v>150000.0</v>
      </c>
      <c r="P2113" s="46" t="str">
        <f t="shared" si="2"/>
        <v>Rp1,500-100 PCS-0.00%</v>
      </c>
      <c r="Q2113" s="75">
        <v>45415.0</v>
      </c>
      <c r="R2113" s="75">
        <v>45414.0</v>
      </c>
      <c r="S2113" s="75">
        <v>45423.0</v>
      </c>
      <c r="T2113" s="49"/>
    </row>
    <row r="2114">
      <c r="A2114" s="90">
        <v>1883.0</v>
      </c>
      <c r="B2114" s="91" t="s">
        <v>29</v>
      </c>
      <c r="C2114" s="49" t="s">
        <v>2371</v>
      </c>
      <c r="D2114" s="91"/>
      <c r="E2114" s="41" t="s">
        <v>2517</v>
      </c>
      <c r="F2114" s="49"/>
      <c r="G2114" s="71" t="s">
        <v>2517</v>
      </c>
      <c r="H2114" s="41"/>
      <c r="I2114" s="42"/>
      <c r="J2114" s="43"/>
      <c r="K2114" s="72">
        <v>48.0</v>
      </c>
      <c r="L2114" s="53" t="s">
        <v>69</v>
      </c>
      <c r="M2114" s="73">
        <v>10000.0</v>
      </c>
      <c r="N2114" s="74"/>
      <c r="O2114" s="73">
        <v>480000.0</v>
      </c>
      <c r="P2114" s="46" t="str">
        <f t="shared" si="2"/>
        <v>Rp10,000-48 PCS-0.00%</v>
      </c>
      <c r="Q2114" s="75">
        <v>45415.0</v>
      </c>
      <c r="R2114" s="75">
        <v>45414.0</v>
      </c>
      <c r="S2114" s="75">
        <v>45423.0</v>
      </c>
      <c r="T2114" s="49"/>
    </row>
    <row r="2115">
      <c r="A2115" s="90">
        <v>1883.0</v>
      </c>
      <c r="B2115" s="91" t="s">
        <v>29</v>
      </c>
      <c r="C2115" s="49" t="s">
        <v>2371</v>
      </c>
      <c r="D2115" s="91"/>
      <c r="E2115" s="41" t="s">
        <v>2518</v>
      </c>
      <c r="F2115" s="49"/>
      <c r="G2115" s="71" t="s">
        <v>2518</v>
      </c>
      <c r="H2115" s="41"/>
      <c r="I2115" s="42"/>
      <c r="J2115" s="43"/>
      <c r="K2115" s="72">
        <v>36.0</v>
      </c>
      <c r="L2115" s="53" t="s">
        <v>62</v>
      </c>
      <c r="M2115" s="73">
        <v>20000.0</v>
      </c>
      <c r="N2115" s="74"/>
      <c r="O2115" s="73">
        <v>720000.0</v>
      </c>
      <c r="P2115" s="46" t="str">
        <f t="shared" si="2"/>
        <v>Rp20,000-36 LSN-0.00%</v>
      </c>
      <c r="Q2115" s="75">
        <v>45415.0</v>
      </c>
      <c r="R2115" s="75">
        <v>45415.0</v>
      </c>
      <c r="S2115" s="75">
        <v>45423.0</v>
      </c>
      <c r="T2115" s="49"/>
    </row>
    <row r="2116">
      <c r="A2116" s="90">
        <v>1883.0</v>
      </c>
      <c r="B2116" s="91" t="s">
        <v>29</v>
      </c>
      <c r="C2116" s="49" t="s">
        <v>2371</v>
      </c>
      <c r="D2116" s="91" t="s">
        <v>1577</v>
      </c>
      <c r="E2116" s="41" t="str">
        <f>IFERROR(__xludf.DUMMYFUNCTION("vlookup(D2116,IMPORTRANGE(""https://docs.google.com/spreadsheets/d/1swGwZOEqYlTEUCJLY-eeJM1911Kvaei5oySBIxdgtNo/edit?pli=1#gid=257618397"",""stock untanna!B:C""),2,false)"),"STABILLO TIZO TF610")</f>
        <v>STABILLO TIZO TF610</v>
      </c>
      <c r="F2116" s="49" t="s">
        <v>1577</v>
      </c>
      <c r="G2116" s="71" t="s">
        <v>1578</v>
      </c>
      <c r="H2116" s="41"/>
      <c r="I2116" s="42"/>
      <c r="J2116" s="43"/>
      <c r="K2116" s="72">
        <v>6.0</v>
      </c>
      <c r="L2116" s="53" t="s">
        <v>88</v>
      </c>
      <c r="M2116" s="73">
        <v>120000.0</v>
      </c>
      <c r="N2116" s="74"/>
      <c r="O2116" s="73">
        <v>720000.0</v>
      </c>
      <c r="P2116" s="46" t="str">
        <f t="shared" si="2"/>
        <v>Rp120,000-6 BOX-0.00%</v>
      </c>
      <c r="Q2116" s="75">
        <v>45415.0</v>
      </c>
      <c r="R2116" s="75">
        <v>45415.0</v>
      </c>
      <c r="S2116" s="75">
        <v>45423.0</v>
      </c>
      <c r="T2116" s="49"/>
    </row>
    <row r="2117">
      <c r="A2117" s="90">
        <v>1883.0</v>
      </c>
      <c r="B2117" s="91" t="s">
        <v>29</v>
      </c>
      <c r="C2117" s="49" t="s">
        <v>2371</v>
      </c>
      <c r="D2117" s="91"/>
      <c r="E2117" s="41" t="s">
        <v>2519</v>
      </c>
      <c r="F2117" s="49"/>
      <c r="G2117" s="71" t="s">
        <v>2519</v>
      </c>
      <c r="H2117" s="41"/>
      <c r="I2117" s="42"/>
      <c r="J2117" s="43"/>
      <c r="K2117" s="72">
        <v>36.0</v>
      </c>
      <c r="L2117" s="53" t="s">
        <v>84</v>
      </c>
      <c r="M2117" s="73">
        <v>17500.0</v>
      </c>
      <c r="N2117" s="74"/>
      <c r="O2117" s="73">
        <v>630000.0</v>
      </c>
      <c r="P2117" s="46" t="str">
        <f t="shared" si="2"/>
        <v>Rp17,500-36 SET-0.00%</v>
      </c>
      <c r="Q2117" s="75">
        <v>45415.0</v>
      </c>
      <c r="R2117" s="75">
        <v>45415.0</v>
      </c>
      <c r="S2117" s="75">
        <v>45423.0</v>
      </c>
      <c r="T2117" s="49"/>
    </row>
    <row r="2118">
      <c r="A2118" s="90">
        <v>1883.0</v>
      </c>
      <c r="B2118" s="91" t="s">
        <v>29</v>
      </c>
      <c r="C2118" s="49" t="s">
        <v>2371</v>
      </c>
      <c r="D2118" s="91" t="s">
        <v>976</v>
      </c>
      <c r="E2118" s="41" t="str">
        <f>IFERROR(__xludf.DUMMYFUNCTION("vlookup(D2118,IMPORTRANGE(""https://docs.google.com/spreadsheets/d/1swGwZOEqYlTEUCJLY-eeJM1911Kvaei5oySBIxdgtNo/edit?pli=1#gid=257618397"",""stock untanna!B:C""),2,false)"),"GUNTING JUNIOR J 100")</f>
        <v>GUNTING JUNIOR J 100</v>
      </c>
      <c r="F2118" s="49" t="s">
        <v>976</v>
      </c>
      <c r="G2118" s="71" t="s">
        <v>977</v>
      </c>
      <c r="H2118" s="41"/>
      <c r="I2118" s="42"/>
      <c r="J2118" s="43"/>
      <c r="K2118" s="72">
        <v>12.0</v>
      </c>
      <c r="L2118" s="53" t="s">
        <v>62</v>
      </c>
      <c r="M2118" s="73">
        <v>40000.0</v>
      </c>
      <c r="N2118" s="74"/>
      <c r="O2118" s="73">
        <v>480000.0</v>
      </c>
      <c r="P2118" s="46" t="str">
        <f t="shared" si="2"/>
        <v>Rp40,000-12 LSN-0.00%</v>
      </c>
      <c r="Q2118" s="75">
        <v>45415.0</v>
      </c>
      <c r="R2118" s="75">
        <v>45415.0</v>
      </c>
      <c r="S2118" s="75">
        <v>45423.0</v>
      </c>
      <c r="T2118" s="49"/>
    </row>
    <row r="2119">
      <c r="A2119" s="90">
        <v>1883.0</v>
      </c>
      <c r="B2119" s="91" t="s">
        <v>29</v>
      </c>
      <c r="C2119" s="49" t="s">
        <v>2371</v>
      </c>
      <c r="D2119" s="91" t="s">
        <v>1960</v>
      </c>
      <c r="E2119" s="41" t="str">
        <f>IFERROR(__xludf.DUMMYFUNCTION("vlookup(D2119,IMPORTRANGE(""https://docs.google.com/spreadsheets/d/1swGwZOEqYlTEUCJLY-eeJM1911Kvaei5oySBIxdgtNo/edit?pli=1#gid=257618397"",""stock untanna!B:C""),2,false)"),"GUNTING JUNIOR J 200")</f>
        <v>GUNTING JUNIOR J 200</v>
      </c>
      <c r="F2119" s="49" t="s">
        <v>1960</v>
      </c>
      <c r="G2119" s="71" t="s">
        <v>1961</v>
      </c>
      <c r="H2119" s="41"/>
      <c r="I2119" s="42"/>
      <c r="J2119" s="43"/>
      <c r="K2119" s="72">
        <v>12.0</v>
      </c>
      <c r="L2119" s="53" t="s">
        <v>62</v>
      </c>
      <c r="M2119" s="73">
        <v>42000.0</v>
      </c>
      <c r="N2119" s="74"/>
      <c r="O2119" s="73">
        <v>504000.0</v>
      </c>
      <c r="P2119" s="46" t="str">
        <f t="shared" si="2"/>
        <v>Rp42,000-12 LSN-0.00%</v>
      </c>
      <c r="Q2119" s="75">
        <v>45415.0</v>
      </c>
      <c r="R2119" s="75">
        <v>45415.0</v>
      </c>
      <c r="S2119" s="75">
        <v>45423.0</v>
      </c>
      <c r="T2119" s="49"/>
    </row>
    <row r="2120">
      <c r="A2120" s="90">
        <v>1883.0</v>
      </c>
      <c r="B2120" s="91" t="s">
        <v>29</v>
      </c>
      <c r="C2120" s="49" t="s">
        <v>2371</v>
      </c>
      <c r="D2120" s="91" t="s">
        <v>978</v>
      </c>
      <c r="E2120" s="41" t="str">
        <f>IFERROR(__xludf.DUMMYFUNCTION("vlookup(D2120,IMPORTRANGE(""https://docs.google.com/spreadsheets/d/1swGwZOEqYlTEUCJLY-eeJM1911Kvaei5oySBIxdgtNo/edit?pli=1#gid=257618397"",""stock untanna!B:C""),2,false)"),"GUNTING JUNIOR J-300")</f>
        <v>GUNTING JUNIOR J-300</v>
      </c>
      <c r="F2120" s="49" t="s">
        <v>978</v>
      </c>
      <c r="G2120" s="71" t="s">
        <v>979</v>
      </c>
      <c r="H2120" s="41"/>
      <c r="I2120" s="42"/>
      <c r="J2120" s="43"/>
      <c r="K2120" s="72">
        <v>12.0</v>
      </c>
      <c r="L2120" s="53" t="s">
        <v>62</v>
      </c>
      <c r="M2120" s="73">
        <v>52500.0</v>
      </c>
      <c r="N2120" s="74"/>
      <c r="O2120" s="73">
        <v>630000.0</v>
      </c>
      <c r="P2120" s="46" t="str">
        <f t="shared" si="2"/>
        <v>Rp52,500-12 LSN-0.00%</v>
      </c>
      <c r="Q2120" s="75">
        <v>45415.0</v>
      </c>
      <c r="R2120" s="75">
        <v>45415.0</v>
      </c>
      <c r="S2120" s="75">
        <v>45423.0</v>
      </c>
      <c r="T2120" s="49"/>
    </row>
    <row r="2121">
      <c r="A2121" s="90">
        <v>1883.0</v>
      </c>
      <c r="B2121" s="91" t="s">
        <v>29</v>
      </c>
      <c r="C2121" s="49" t="s">
        <v>2371</v>
      </c>
      <c r="D2121" s="91" t="s">
        <v>2126</v>
      </c>
      <c r="E2121" s="41" t="str">
        <f>IFERROR(__xludf.DUMMYFUNCTION("vlookup(D2121,IMPORTRANGE(""https://docs.google.com/spreadsheets/d/1swGwZOEqYlTEUCJLY-eeJM1911Kvaei5oySBIxdgtNo/edit?pli=1#gid=257618397"",""stock untanna!B:C""),2,false)"),"GUNTING JUNIOR J-500")</f>
        <v>GUNTING JUNIOR J-500</v>
      </c>
      <c r="F2121" s="49" t="s">
        <v>2126</v>
      </c>
      <c r="G2121" s="71" t="s">
        <v>2127</v>
      </c>
      <c r="H2121" s="41"/>
      <c r="I2121" s="42"/>
      <c r="J2121" s="43"/>
      <c r="K2121" s="72">
        <v>12.0</v>
      </c>
      <c r="L2121" s="53" t="s">
        <v>62</v>
      </c>
      <c r="M2121" s="73">
        <v>77500.0</v>
      </c>
      <c r="N2121" s="74"/>
      <c r="O2121" s="73">
        <v>930000.0</v>
      </c>
      <c r="P2121" s="46" t="str">
        <f t="shared" si="2"/>
        <v>Rp77,500-12 LSN-0.00%</v>
      </c>
      <c r="Q2121" s="75">
        <v>45415.0</v>
      </c>
      <c r="R2121" s="75">
        <v>45415.0</v>
      </c>
      <c r="S2121" s="75">
        <v>45423.0</v>
      </c>
      <c r="T2121" s="49"/>
    </row>
    <row r="2122">
      <c r="A2122" s="90">
        <v>1884.0</v>
      </c>
      <c r="B2122" s="91" t="s">
        <v>29</v>
      </c>
      <c r="C2122" s="49" t="s">
        <v>2371</v>
      </c>
      <c r="D2122" s="91" t="s">
        <v>2520</v>
      </c>
      <c r="E2122" s="41" t="str">
        <f>IFERROR(__xludf.DUMMYFUNCTION("vlookup(D2122,IMPORTRANGE(""https://docs.google.com/spreadsheets/d/1swGwZOEqYlTEUCJLY-eeJM1911Kvaei5oySBIxdgtNo/edit?pli=1#gid=257618397"",""stock untanna!B:C""),2,false)"),"GARISAN BESI 15CM (ALUMINIUM)")</f>
        <v>GARISAN BESI 15CM (ALUMINIUM)</v>
      </c>
      <c r="F2122" s="49" t="s">
        <v>2520</v>
      </c>
      <c r="G2122" s="71" t="s">
        <v>2521</v>
      </c>
      <c r="H2122" s="41"/>
      <c r="I2122" s="42"/>
      <c r="J2122" s="43"/>
      <c r="K2122" s="72">
        <v>180.0</v>
      </c>
      <c r="L2122" s="53" t="s">
        <v>69</v>
      </c>
      <c r="M2122" s="73">
        <v>3958.0</v>
      </c>
      <c r="N2122" s="74"/>
      <c r="O2122" s="73">
        <v>712440.0</v>
      </c>
      <c r="P2122" s="46" t="str">
        <f t="shared" si="2"/>
        <v>Rp3,958-180 PCS-0.00%</v>
      </c>
      <c r="Q2122" s="75">
        <v>45415.0</v>
      </c>
      <c r="R2122" s="76"/>
      <c r="S2122" s="75">
        <v>45423.0</v>
      </c>
      <c r="T2122" s="49"/>
    </row>
    <row r="2123">
      <c r="A2123" s="90">
        <v>1884.0</v>
      </c>
      <c r="B2123" s="91" t="s">
        <v>29</v>
      </c>
      <c r="C2123" s="49" t="s">
        <v>2371</v>
      </c>
      <c r="D2123" s="77" t="s">
        <v>368</v>
      </c>
      <c r="E2123" s="41" t="str">
        <f>IFERROR(__xludf.DUMMYFUNCTION("vlookup(D2123,IMPORTRANGE(""https://docs.google.com/spreadsheets/d/1swGwZOEqYlTEUCJLY-eeJM1911Kvaei5oySBIxdgtNo/edit?pli=1#gid=257618397"",""stock untanna!B:C""),2,false)"),"GARISAN 30CM KAYAGI 3121")</f>
        <v>GARISAN 30CM KAYAGI 3121</v>
      </c>
      <c r="F2123" s="49" t="s">
        <v>369</v>
      </c>
      <c r="G2123" s="71" t="s">
        <v>370</v>
      </c>
      <c r="H2123" s="41"/>
      <c r="I2123" s="42"/>
      <c r="J2123" s="43"/>
      <c r="K2123" s="72">
        <v>24.0</v>
      </c>
      <c r="L2123" s="53" t="s">
        <v>62</v>
      </c>
      <c r="M2123" s="73">
        <v>30000.0</v>
      </c>
      <c r="N2123" s="74"/>
      <c r="O2123" s="73">
        <v>720000.0</v>
      </c>
      <c r="P2123" s="46" t="str">
        <f t="shared" si="2"/>
        <v>Rp30,000-24 LSN-0.00%</v>
      </c>
      <c r="Q2123" s="75">
        <v>45415.0</v>
      </c>
      <c r="R2123" s="76"/>
      <c r="S2123" s="75">
        <v>45423.0</v>
      </c>
      <c r="T2123" s="49"/>
    </row>
    <row r="2124">
      <c r="A2124" s="90">
        <v>1884.0</v>
      </c>
      <c r="B2124" s="91" t="s">
        <v>29</v>
      </c>
      <c r="C2124" s="49" t="s">
        <v>2371</v>
      </c>
      <c r="D2124" s="77" t="s">
        <v>365</v>
      </c>
      <c r="E2124" s="41" t="str">
        <f>IFERROR(__xludf.DUMMYFUNCTION("vlookup(D2124,IMPORTRANGE(""https://docs.google.com/spreadsheets/d/1swGwZOEqYlTEUCJLY-eeJM1911Kvaei5oySBIxdgtNo/edit?pli=1#gid=257618397"",""stock untanna!B:C""),2,false)"),"GARISAN 30CM KAYAGI 3123")</f>
        <v>GARISAN 30CM KAYAGI 3123</v>
      </c>
      <c r="F2124" s="49" t="s">
        <v>366</v>
      </c>
      <c r="G2124" s="71" t="s">
        <v>367</v>
      </c>
      <c r="H2124" s="41"/>
      <c r="I2124" s="42"/>
      <c r="J2124" s="43"/>
      <c r="K2124" s="72">
        <v>24.0</v>
      </c>
      <c r="L2124" s="53" t="s">
        <v>62</v>
      </c>
      <c r="M2124" s="73">
        <v>30000.0</v>
      </c>
      <c r="N2124" s="74"/>
      <c r="O2124" s="73">
        <v>720000.0</v>
      </c>
      <c r="P2124" s="46" t="str">
        <f t="shared" si="2"/>
        <v>Rp30,000-24 LSN-0.00%</v>
      </c>
      <c r="Q2124" s="75">
        <v>45415.0</v>
      </c>
      <c r="R2124" s="76"/>
      <c r="S2124" s="75">
        <v>45423.0</v>
      </c>
      <c r="T2124" s="49"/>
    </row>
    <row r="2125">
      <c r="A2125" s="90">
        <v>1884.0</v>
      </c>
      <c r="B2125" s="91" t="s">
        <v>29</v>
      </c>
      <c r="C2125" s="49" t="s">
        <v>2371</v>
      </c>
      <c r="D2125" s="91" t="s">
        <v>363</v>
      </c>
      <c r="E2125" s="41" t="str">
        <f>IFERROR(__xludf.DUMMYFUNCTION("vlookup(D2125,IMPORTRANGE(""https://docs.google.com/spreadsheets/d/1swGwZOEqYlTEUCJLY-eeJM1911Kvaei5oySBIxdgtNo/edit?pli=1#gid=257618397"",""stock untanna!B:C""),2,false)"),"GARISAN 30CM KAYAGI 3122")</f>
        <v>GARISAN 30CM KAYAGI 3122</v>
      </c>
      <c r="F2125" s="49" t="s">
        <v>363</v>
      </c>
      <c r="G2125" s="71" t="s">
        <v>364</v>
      </c>
      <c r="H2125" s="41"/>
      <c r="I2125" s="42"/>
      <c r="J2125" s="43"/>
      <c r="K2125" s="72">
        <v>24.0</v>
      </c>
      <c r="L2125" s="53" t="s">
        <v>62</v>
      </c>
      <c r="M2125" s="73">
        <v>30000.0</v>
      </c>
      <c r="N2125" s="74"/>
      <c r="O2125" s="73">
        <v>720000.0</v>
      </c>
      <c r="P2125" s="46" t="str">
        <f t="shared" si="2"/>
        <v>Rp30,000-24 LSN-0.00%</v>
      </c>
      <c r="Q2125" s="75">
        <v>45415.0</v>
      </c>
      <c r="R2125" s="76"/>
      <c r="S2125" s="75">
        <v>45423.0</v>
      </c>
      <c r="T2125" s="49"/>
    </row>
    <row r="2126">
      <c r="A2126" s="90">
        <v>1884.0</v>
      </c>
      <c r="B2126" s="91" t="s">
        <v>29</v>
      </c>
      <c r="C2126" s="49" t="s">
        <v>2371</v>
      </c>
      <c r="D2126" s="91" t="s">
        <v>1597</v>
      </c>
      <c r="E2126" s="41" t="str">
        <f>IFERROR(__xludf.DUMMYFUNCTION("vlookup(D2126,IMPORTRANGE(""https://docs.google.com/spreadsheets/d/1swGwZOEqYlTEUCJLY-eeJM1911Kvaei5oySBIxdgtNo/edit?pli=1#gid=257618397"",""stock untanna!B:C""),2,false)"),"GARISAN KAYAGI 3124 30CM")</f>
        <v>GARISAN KAYAGI 3124 30CM</v>
      </c>
      <c r="F2126" s="49" t="s">
        <v>1597</v>
      </c>
      <c r="G2126" s="71" t="s">
        <v>1598</v>
      </c>
      <c r="H2126" s="41"/>
      <c r="I2126" s="42"/>
      <c r="J2126" s="43"/>
      <c r="K2126" s="72">
        <v>24.0</v>
      </c>
      <c r="L2126" s="53" t="s">
        <v>62</v>
      </c>
      <c r="M2126" s="73">
        <v>30000.0</v>
      </c>
      <c r="N2126" s="74"/>
      <c r="O2126" s="73">
        <v>720000.0</v>
      </c>
      <c r="P2126" s="46" t="str">
        <f t="shared" si="2"/>
        <v>Rp30,000-24 LSN-0.00%</v>
      </c>
      <c r="Q2126" s="75">
        <v>45415.0</v>
      </c>
      <c r="R2126" s="76"/>
      <c r="S2126" s="75">
        <v>45423.0</v>
      </c>
      <c r="T2126" s="49"/>
    </row>
    <row r="2127">
      <c r="A2127" s="90">
        <v>1884.0</v>
      </c>
      <c r="B2127" s="91" t="s">
        <v>29</v>
      </c>
      <c r="C2127" s="49" t="s">
        <v>2371</v>
      </c>
      <c r="D2127" s="77" t="s">
        <v>371</v>
      </c>
      <c r="E2127" s="41" t="str">
        <f>IFERROR(__xludf.DUMMYFUNCTION("vlookup(D2127,IMPORTRANGE(""https://docs.google.com/spreadsheets/d/1swGwZOEqYlTEUCJLY-eeJM1911Kvaei5oySBIxdgtNo/edit?pli=1#gid=257618397"",""stock untanna!B:C""),2,false)"),"GARISAN 30CM KAYAGI 3125")</f>
        <v>GARISAN 30CM KAYAGI 3125</v>
      </c>
      <c r="F2127" s="49" t="s">
        <v>372</v>
      </c>
      <c r="G2127" s="71" t="s">
        <v>373</v>
      </c>
      <c r="H2127" s="41"/>
      <c r="I2127" s="42"/>
      <c r="J2127" s="43"/>
      <c r="K2127" s="72">
        <v>24.0</v>
      </c>
      <c r="L2127" s="53" t="s">
        <v>62</v>
      </c>
      <c r="M2127" s="73">
        <v>30000.0</v>
      </c>
      <c r="N2127" s="74"/>
      <c r="O2127" s="73">
        <v>720000.0</v>
      </c>
      <c r="P2127" s="46" t="str">
        <f t="shared" si="2"/>
        <v>Rp30,000-24 LSN-0.00%</v>
      </c>
      <c r="Q2127" s="75">
        <v>45415.0</v>
      </c>
      <c r="R2127" s="76"/>
      <c r="S2127" s="75">
        <v>45423.0</v>
      </c>
      <c r="T2127" s="49"/>
    </row>
    <row r="2128">
      <c r="A2128" s="90">
        <v>1884.0</v>
      </c>
      <c r="B2128" s="91" t="s">
        <v>29</v>
      </c>
      <c r="C2128" s="49" t="s">
        <v>2371</v>
      </c>
      <c r="D2128" s="91"/>
      <c r="E2128" s="41" t="s">
        <v>2522</v>
      </c>
      <c r="F2128" s="49"/>
      <c r="G2128" s="71" t="s">
        <v>2522</v>
      </c>
      <c r="H2128" s="41"/>
      <c r="I2128" s="42"/>
      <c r="J2128" s="43"/>
      <c r="K2128" s="72">
        <v>4.0</v>
      </c>
      <c r="L2128" s="53" t="s">
        <v>62</v>
      </c>
      <c r="M2128" s="73">
        <v>7500.0</v>
      </c>
      <c r="N2128" s="74"/>
      <c r="O2128" s="73">
        <v>30000.0</v>
      </c>
      <c r="P2128" s="46" t="str">
        <f t="shared" si="2"/>
        <v>Rp7,500-4 LSN-0.00%</v>
      </c>
      <c r="Q2128" s="75">
        <v>45415.0</v>
      </c>
      <c r="R2128" s="76"/>
      <c r="S2128" s="75">
        <v>45423.0</v>
      </c>
      <c r="T2128" s="49"/>
    </row>
    <row r="2129">
      <c r="A2129" s="90">
        <v>1884.0</v>
      </c>
      <c r="B2129" s="91" t="s">
        <v>29</v>
      </c>
      <c r="C2129" s="49" t="s">
        <v>2371</v>
      </c>
      <c r="D2129" s="91"/>
      <c r="E2129" s="41" t="s">
        <v>1579</v>
      </c>
      <c r="F2129" s="49"/>
      <c r="G2129" s="71" t="s">
        <v>1579</v>
      </c>
      <c r="H2129" s="41"/>
      <c r="I2129" s="42"/>
      <c r="J2129" s="43"/>
      <c r="K2129" s="72">
        <v>4.0</v>
      </c>
      <c r="L2129" s="53" t="s">
        <v>62</v>
      </c>
      <c r="M2129" s="73">
        <v>17500.0</v>
      </c>
      <c r="N2129" s="74"/>
      <c r="O2129" s="73">
        <v>70000.0</v>
      </c>
      <c r="P2129" s="46" t="str">
        <f t="shared" si="2"/>
        <v>Rp17,500-4 LSN-0.00%</v>
      </c>
      <c r="Q2129" s="75">
        <v>45415.0</v>
      </c>
      <c r="R2129" s="76"/>
      <c r="S2129" s="75">
        <v>45423.0</v>
      </c>
      <c r="T2129" s="49"/>
    </row>
    <row r="2130">
      <c r="A2130" s="90">
        <v>1884.0</v>
      </c>
      <c r="B2130" s="91" t="s">
        <v>29</v>
      </c>
      <c r="C2130" s="49" t="s">
        <v>2371</v>
      </c>
      <c r="D2130" s="91"/>
      <c r="E2130" s="41" t="s">
        <v>2523</v>
      </c>
      <c r="F2130" s="49"/>
      <c r="G2130" s="71" t="s">
        <v>2523</v>
      </c>
      <c r="H2130" s="41"/>
      <c r="I2130" s="42"/>
      <c r="J2130" s="43"/>
      <c r="K2130" s="72">
        <v>4.0</v>
      </c>
      <c r="L2130" s="53" t="s">
        <v>62</v>
      </c>
      <c r="M2130" s="73">
        <v>10000.0</v>
      </c>
      <c r="N2130" s="74"/>
      <c r="O2130" s="73">
        <v>40000.0</v>
      </c>
      <c r="P2130" s="46" t="str">
        <f t="shared" si="2"/>
        <v>Rp10,000-4 LSN-0.00%</v>
      </c>
      <c r="Q2130" s="75">
        <v>45415.0</v>
      </c>
      <c r="R2130" s="76"/>
      <c r="S2130" s="75">
        <v>45423.0</v>
      </c>
      <c r="T2130" s="49"/>
    </row>
    <row r="2131">
      <c r="A2131" s="90">
        <v>1884.0</v>
      </c>
      <c r="B2131" s="91" t="s">
        <v>29</v>
      </c>
      <c r="C2131" s="49" t="s">
        <v>2371</v>
      </c>
      <c r="D2131" s="91"/>
      <c r="E2131" s="41" t="s">
        <v>2524</v>
      </c>
      <c r="F2131" s="49"/>
      <c r="G2131" s="71" t="s">
        <v>2524</v>
      </c>
      <c r="H2131" s="41"/>
      <c r="I2131" s="42"/>
      <c r="J2131" s="43"/>
      <c r="K2131" s="72">
        <v>4.0</v>
      </c>
      <c r="L2131" s="53" t="s">
        <v>62</v>
      </c>
      <c r="M2131" s="73">
        <v>27000.0</v>
      </c>
      <c r="N2131" s="74"/>
      <c r="O2131" s="73">
        <v>108000.0</v>
      </c>
      <c r="P2131" s="46" t="str">
        <f t="shared" si="2"/>
        <v>Rp27,000-4 LSN-0.00%</v>
      </c>
      <c r="Q2131" s="75">
        <v>45415.0</v>
      </c>
      <c r="R2131" s="76"/>
      <c r="S2131" s="75">
        <v>45423.0</v>
      </c>
      <c r="T2131" s="49"/>
    </row>
    <row r="2132">
      <c r="A2132" s="90">
        <v>1884.0</v>
      </c>
      <c r="B2132" s="91" t="s">
        <v>29</v>
      </c>
      <c r="C2132" s="49" t="s">
        <v>2371</v>
      </c>
      <c r="D2132" s="91"/>
      <c r="E2132" s="41" t="s">
        <v>2525</v>
      </c>
      <c r="F2132" s="49"/>
      <c r="G2132" s="71" t="s">
        <v>2525</v>
      </c>
      <c r="H2132" s="41"/>
      <c r="I2132" s="42"/>
      <c r="J2132" s="43"/>
      <c r="K2132" s="72">
        <v>4.0</v>
      </c>
      <c r="L2132" s="53" t="s">
        <v>62</v>
      </c>
      <c r="M2132" s="73">
        <v>30000.0</v>
      </c>
      <c r="N2132" s="74"/>
      <c r="O2132" s="73">
        <v>120000.0</v>
      </c>
      <c r="P2132" s="46" t="str">
        <f t="shared" si="2"/>
        <v>Rp30,000-4 LSN-0.00%</v>
      </c>
      <c r="Q2132" s="75">
        <v>45415.0</v>
      </c>
      <c r="R2132" s="76"/>
      <c r="S2132" s="75">
        <v>45423.0</v>
      </c>
      <c r="T2132" s="49"/>
    </row>
    <row r="2133">
      <c r="A2133" s="90">
        <v>1884.0</v>
      </c>
      <c r="B2133" s="91" t="s">
        <v>29</v>
      </c>
      <c r="C2133" s="49" t="s">
        <v>2371</v>
      </c>
      <c r="D2133" s="91" t="s">
        <v>337</v>
      </c>
      <c r="E2133" s="41" t="str">
        <f>IFERROR(__xludf.DUMMYFUNCTION("vlookup(D2133,IMPORTRANGE(""https://docs.google.com/spreadsheets/d/1swGwZOEqYlTEUCJLY-eeJM1911Kvaei5oySBIxdgtNo/edit?pli=1#gid=257618397"",""stock untanna!B:C""),2,false)"),"GARISAN MIKA 40CM ENTER")</f>
        <v>GARISAN MIKA 40CM ENTER</v>
      </c>
      <c r="F2133" s="49" t="s">
        <v>337</v>
      </c>
      <c r="G2133" s="71" t="s">
        <v>338</v>
      </c>
      <c r="H2133" s="41"/>
      <c r="I2133" s="42"/>
      <c r="J2133" s="43"/>
      <c r="K2133" s="72">
        <v>4.0</v>
      </c>
      <c r="L2133" s="53" t="s">
        <v>62</v>
      </c>
      <c r="M2133" s="73">
        <v>30000.0</v>
      </c>
      <c r="N2133" s="74"/>
      <c r="O2133" s="73">
        <v>120000.0</v>
      </c>
      <c r="P2133" s="46" t="str">
        <f t="shared" si="2"/>
        <v>Rp30,000-4 LSN-0.00%</v>
      </c>
      <c r="Q2133" s="75">
        <v>45415.0</v>
      </c>
      <c r="R2133" s="76"/>
      <c r="S2133" s="75">
        <v>45423.0</v>
      </c>
      <c r="T2133" s="49"/>
    </row>
    <row r="2134">
      <c r="A2134" s="90">
        <v>1884.0</v>
      </c>
      <c r="B2134" s="91" t="s">
        <v>29</v>
      </c>
      <c r="C2134" s="49" t="s">
        <v>2371</v>
      </c>
      <c r="D2134" s="91" t="s">
        <v>339</v>
      </c>
      <c r="E2134" s="41" t="str">
        <f>IFERROR(__xludf.DUMMYFUNCTION("vlookup(D2134,IMPORTRANGE(""https://docs.google.com/spreadsheets/d/1swGwZOEqYlTEUCJLY-eeJM1911Kvaei5oySBIxdgtNo/edit?pli=1#gid=257618397"",""stock untanna!B:C""),2,false)"),"GARISAN MIKA 50CM ENTER")</f>
        <v>GARISAN MIKA 50CM ENTER</v>
      </c>
      <c r="F2134" s="49" t="s">
        <v>339</v>
      </c>
      <c r="G2134" s="71" t="s">
        <v>340</v>
      </c>
      <c r="H2134" s="41"/>
      <c r="I2134" s="42"/>
      <c r="J2134" s="43"/>
      <c r="K2134" s="72">
        <v>4.0</v>
      </c>
      <c r="L2134" s="53" t="s">
        <v>62</v>
      </c>
      <c r="M2134" s="73">
        <v>35000.0</v>
      </c>
      <c r="N2134" s="74"/>
      <c r="O2134" s="73">
        <v>140000.0</v>
      </c>
      <c r="P2134" s="46" t="str">
        <f t="shared" si="2"/>
        <v>Rp35,000-4 LSN-0.00%</v>
      </c>
      <c r="Q2134" s="75">
        <v>45415.0</v>
      </c>
      <c r="R2134" s="76"/>
      <c r="S2134" s="75">
        <v>45423.0</v>
      </c>
      <c r="T2134" s="49"/>
    </row>
    <row r="2135">
      <c r="A2135" s="90">
        <v>1884.0</v>
      </c>
      <c r="B2135" s="91" t="s">
        <v>29</v>
      </c>
      <c r="C2135" s="49" t="s">
        <v>2371</v>
      </c>
      <c r="D2135" s="91" t="s">
        <v>341</v>
      </c>
      <c r="E2135" s="41" t="str">
        <f>IFERROR(__xludf.DUMMYFUNCTION("vlookup(D2135,IMPORTRANGE(""https://docs.google.com/spreadsheets/d/1swGwZOEqYlTEUCJLY-eeJM1911Kvaei5oySBIxdgtNo/edit?pli=1#gid=257618397"",""stock untanna!B:C""),2,false)"),"GARISAN MIKA ENTER 60 CM")</f>
        <v>GARISAN MIKA ENTER 60 CM</v>
      </c>
      <c r="F2135" s="49" t="s">
        <v>341</v>
      </c>
      <c r="G2135" s="71" t="s">
        <v>342</v>
      </c>
      <c r="H2135" s="41"/>
      <c r="I2135" s="42"/>
      <c r="J2135" s="43"/>
      <c r="K2135" s="72">
        <v>4.0</v>
      </c>
      <c r="L2135" s="53" t="s">
        <v>62</v>
      </c>
      <c r="M2135" s="73">
        <v>45000.0</v>
      </c>
      <c r="N2135" s="74"/>
      <c r="O2135" s="73">
        <v>180000.0</v>
      </c>
      <c r="P2135" s="46" t="str">
        <f t="shared" si="2"/>
        <v>Rp45,000-4 LSN-0.00%</v>
      </c>
      <c r="Q2135" s="75">
        <v>45415.0</v>
      </c>
      <c r="R2135" s="76"/>
      <c r="S2135" s="75">
        <v>45423.0</v>
      </c>
      <c r="T2135" s="49"/>
    </row>
    <row r="2136">
      <c r="A2136" s="90">
        <v>1884.0</v>
      </c>
      <c r="B2136" s="91" t="s">
        <v>29</v>
      </c>
      <c r="C2136" s="49" t="s">
        <v>2371</v>
      </c>
      <c r="D2136" s="91" t="s">
        <v>2218</v>
      </c>
      <c r="E2136" s="41" t="str">
        <f>IFERROR(__xludf.DUMMYFUNCTION("vlookup(D2136,IMPORTRANGE(""https://docs.google.com/spreadsheets/d/1swGwZOEqYlTEUCJLY-eeJM1911Kvaei5oySBIxdgtNo/edit?pli=1#gid=257618397"",""stock untanna!B:C""),2,false)"),"HIGHLIGHTER Q1313 STAR-STAMP ISI 5")</f>
        <v>HIGHLIGHTER Q1313 STAR-STAMP ISI 5</v>
      </c>
      <c r="F2136" s="49" t="s">
        <v>2218</v>
      </c>
      <c r="G2136" s="71" t="s">
        <v>2219</v>
      </c>
      <c r="H2136" s="41"/>
      <c r="I2136" s="42"/>
      <c r="J2136" s="43"/>
      <c r="K2136" s="72">
        <v>36.0</v>
      </c>
      <c r="L2136" s="53" t="s">
        <v>84</v>
      </c>
      <c r="M2136" s="73">
        <v>17500.0</v>
      </c>
      <c r="N2136" s="74"/>
      <c r="O2136" s="73">
        <v>630000.0</v>
      </c>
      <c r="P2136" s="46" t="str">
        <f t="shared" si="2"/>
        <v>Rp17,500-36 SET-0.00%</v>
      </c>
      <c r="Q2136" s="75">
        <v>45415.0</v>
      </c>
      <c r="R2136" s="76"/>
      <c r="S2136" s="75">
        <v>45423.0</v>
      </c>
      <c r="T2136" s="49"/>
    </row>
    <row r="2137">
      <c r="A2137" s="90">
        <v>1884.0</v>
      </c>
      <c r="B2137" s="91" t="s">
        <v>29</v>
      </c>
      <c r="C2137" s="49" t="s">
        <v>2371</v>
      </c>
      <c r="D2137" s="91"/>
      <c r="E2137" s="41" t="s">
        <v>2526</v>
      </c>
      <c r="F2137" s="49"/>
      <c r="G2137" s="71" t="s">
        <v>2526</v>
      </c>
      <c r="H2137" s="41"/>
      <c r="I2137" s="42"/>
      <c r="J2137" s="43"/>
      <c r="K2137" s="72">
        <v>36.0</v>
      </c>
      <c r="L2137" s="53" t="s">
        <v>84</v>
      </c>
      <c r="M2137" s="73">
        <v>22500.0</v>
      </c>
      <c r="N2137" s="74"/>
      <c r="O2137" s="73">
        <v>810000.0</v>
      </c>
      <c r="P2137" s="46" t="str">
        <f t="shared" si="2"/>
        <v>Rp22,500-36 SET-0.00%</v>
      </c>
      <c r="Q2137" s="75">
        <v>45415.0</v>
      </c>
      <c r="R2137" s="76"/>
      <c r="S2137" s="75">
        <v>45423.0</v>
      </c>
      <c r="T2137" s="49"/>
    </row>
    <row r="2138">
      <c r="A2138" s="90">
        <v>1885.0</v>
      </c>
      <c r="B2138" s="91" t="s">
        <v>29</v>
      </c>
      <c r="C2138" s="49" t="s">
        <v>2371</v>
      </c>
      <c r="D2138" s="91" t="s">
        <v>82</v>
      </c>
      <c r="E2138" s="41" t="str">
        <f>IFERROR(__xludf.DUMMYFUNCTION("vlookup(D2138,IMPORTRANGE(""https://docs.google.com/spreadsheets/d/1swGwZOEqYlTEUCJLY-eeJM1911Kvaei5oySBIxdgtNo/edit?pli=1#gid=257618397"",""stock untanna!B:C""),2,false)"),"STABILLO BRUSH MARKER PEN WB TF-1050 12W")</f>
        <v>STABILLO BRUSH MARKER PEN WB TF-1050 12W</v>
      </c>
      <c r="F2138" s="49" t="s">
        <v>82</v>
      </c>
      <c r="G2138" s="78" t="s">
        <v>83</v>
      </c>
      <c r="H2138" s="41"/>
      <c r="I2138" s="42"/>
      <c r="J2138" s="43"/>
      <c r="K2138" s="72">
        <v>36.0</v>
      </c>
      <c r="L2138" s="53" t="s">
        <v>84</v>
      </c>
      <c r="M2138" s="73">
        <v>17500.0</v>
      </c>
      <c r="N2138" s="74"/>
      <c r="O2138" s="73">
        <v>630000.0</v>
      </c>
      <c r="P2138" s="46" t="str">
        <f t="shared" si="2"/>
        <v>Rp17,500-36 SET-0.00%</v>
      </c>
      <c r="Q2138" s="75">
        <v>45415.0</v>
      </c>
      <c r="R2138" s="76"/>
      <c r="S2138" s="75">
        <v>45423.0</v>
      </c>
      <c r="T2138" s="49"/>
    </row>
    <row r="2139">
      <c r="A2139" s="90">
        <v>1885.0</v>
      </c>
      <c r="B2139" s="91" t="s">
        <v>29</v>
      </c>
      <c r="C2139" s="49" t="s">
        <v>2371</v>
      </c>
      <c r="D2139" s="91"/>
      <c r="E2139" s="41" t="s">
        <v>2527</v>
      </c>
      <c r="F2139" s="49"/>
      <c r="G2139" s="71" t="s">
        <v>2527</v>
      </c>
      <c r="H2139" s="41"/>
      <c r="I2139" s="42"/>
      <c r="J2139" s="43"/>
      <c r="K2139" s="72">
        <v>36.0</v>
      </c>
      <c r="L2139" s="53" t="s">
        <v>84</v>
      </c>
      <c r="M2139" s="73">
        <v>35000.0</v>
      </c>
      <c r="N2139" s="74"/>
      <c r="O2139" s="73">
        <v>1260000.0</v>
      </c>
      <c r="P2139" s="46" t="str">
        <f t="shared" si="2"/>
        <v>Rp35,000-36 SET-0.00%</v>
      </c>
      <c r="Q2139" s="75">
        <v>45415.0</v>
      </c>
      <c r="R2139" s="76"/>
      <c r="S2139" s="75">
        <v>45423.0</v>
      </c>
      <c r="T2139" s="49"/>
    </row>
    <row r="2140">
      <c r="A2140" s="90">
        <v>1885.0</v>
      </c>
      <c r="B2140" s="91" t="s">
        <v>29</v>
      </c>
      <c r="C2140" s="49" t="s">
        <v>2371</v>
      </c>
      <c r="D2140" s="91" t="s">
        <v>957</v>
      </c>
      <c r="E2140" s="41" t="str">
        <f>IFERROR(__xludf.DUMMYFUNCTION("vlookup(D2140,IMPORTRANGE(""https://docs.google.com/spreadsheets/d/1swGwZOEqYlTEUCJLY-eeJM1911Kvaei5oySBIxdgtNo/edit?pli=1#gid=257618397"",""stock untanna!B:C""),2,false)"),"PENSIL 2B KAYAGI 3056")</f>
        <v>PENSIL 2B KAYAGI 3056</v>
      </c>
      <c r="F2140" s="49" t="s">
        <v>957</v>
      </c>
      <c r="G2140" s="71" t="s">
        <v>958</v>
      </c>
      <c r="H2140" s="41"/>
      <c r="I2140" s="42"/>
      <c r="J2140" s="43"/>
      <c r="K2140" s="72">
        <v>6.0</v>
      </c>
      <c r="L2140" s="53" t="s">
        <v>131</v>
      </c>
      <c r="M2140" s="73">
        <v>105000.0</v>
      </c>
      <c r="N2140" s="74"/>
      <c r="O2140" s="73">
        <v>630000.0</v>
      </c>
      <c r="P2140" s="46" t="str">
        <f t="shared" si="2"/>
        <v>Rp105,000-6 GRS-0.00%</v>
      </c>
      <c r="Q2140" s="75">
        <v>45415.0</v>
      </c>
      <c r="R2140" s="76"/>
      <c r="S2140" s="75">
        <v>45423.0</v>
      </c>
      <c r="T2140" s="49"/>
    </row>
    <row r="2141">
      <c r="A2141" s="90">
        <v>1885.0</v>
      </c>
      <c r="B2141" s="91" t="s">
        <v>29</v>
      </c>
      <c r="C2141" s="49" t="s">
        <v>2371</v>
      </c>
      <c r="D2141" s="91" t="s">
        <v>736</v>
      </c>
      <c r="E2141" s="41" t="str">
        <f>IFERROR(__xludf.DUMMYFUNCTION("vlookup(D2141,IMPORTRANGE(""https://docs.google.com/spreadsheets/d/1swGwZOEqYlTEUCJLY-eeJM1911Kvaei5oySBIxdgtNo/edit?pli=1#gid=257618397"",""stock untanna!B:C""),2,false)"),"PENSIL KAYAGI 2B PF3050")</f>
        <v>PENSIL KAYAGI 2B PF3050</v>
      </c>
      <c r="F2141" s="49" t="s">
        <v>736</v>
      </c>
      <c r="G2141" s="71" t="s">
        <v>737</v>
      </c>
      <c r="H2141" s="41"/>
      <c r="I2141" s="42"/>
      <c r="J2141" s="43"/>
      <c r="K2141" s="72">
        <v>6.0</v>
      </c>
      <c r="L2141" s="53" t="s">
        <v>131</v>
      </c>
      <c r="M2141" s="73">
        <v>105000.0</v>
      </c>
      <c r="N2141" s="74"/>
      <c r="O2141" s="73">
        <v>630000.0</v>
      </c>
      <c r="P2141" s="46" t="str">
        <f t="shared" si="2"/>
        <v>Rp105,000-6 GRS-0.00%</v>
      </c>
      <c r="Q2141" s="75">
        <v>45415.0</v>
      </c>
      <c r="R2141" s="76"/>
      <c r="S2141" s="75">
        <v>45423.0</v>
      </c>
      <c r="T2141" s="49"/>
    </row>
    <row r="2142">
      <c r="A2142" s="90">
        <v>1885.0</v>
      </c>
      <c r="B2142" s="91" t="s">
        <v>29</v>
      </c>
      <c r="C2142" s="49" t="s">
        <v>2371</v>
      </c>
      <c r="D2142" s="91"/>
      <c r="E2142" s="41" t="s">
        <v>2528</v>
      </c>
      <c r="F2142" s="49"/>
      <c r="G2142" s="71" t="s">
        <v>2528</v>
      </c>
      <c r="H2142" s="41"/>
      <c r="I2142" s="42"/>
      <c r="J2142" s="43"/>
      <c r="K2142" s="72">
        <v>6.0</v>
      </c>
      <c r="L2142" s="53" t="s">
        <v>131</v>
      </c>
      <c r="M2142" s="73">
        <v>105000.0</v>
      </c>
      <c r="N2142" s="74"/>
      <c r="O2142" s="73">
        <v>630000.0</v>
      </c>
      <c r="P2142" s="46" t="str">
        <f t="shared" si="2"/>
        <v>Rp105,000-6 GRS-0.00%</v>
      </c>
      <c r="Q2142" s="75">
        <v>45415.0</v>
      </c>
      <c r="R2142" s="76"/>
      <c r="S2142" s="75">
        <v>45423.0</v>
      </c>
      <c r="T2142" s="49"/>
    </row>
    <row r="2143">
      <c r="A2143" s="90">
        <v>1885.0</v>
      </c>
      <c r="B2143" s="91" t="s">
        <v>29</v>
      </c>
      <c r="C2143" s="49" t="s">
        <v>2371</v>
      </c>
      <c r="D2143" s="91"/>
      <c r="E2143" s="41" t="s">
        <v>2529</v>
      </c>
      <c r="F2143" s="49"/>
      <c r="G2143" s="71" t="s">
        <v>2529</v>
      </c>
      <c r="H2143" s="41"/>
      <c r="I2143" s="42"/>
      <c r="J2143" s="43"/>
      <c r="K2143" s="72">
        <v>6.0</v>
      </c>
      <c r="L2143" s="53" t="s">
        <v>131</v>
      </c>
      <c r="M2143" s="73">
        <v>105000.0</v>
      </c>
      <c r="N2143" s="74"/>
      <c r="O2143" s="73">
        <v>630000.0</v>
      </c>
      <c r="P2143" s="46" t="str">
        <f t="shared" si="2"/>
        <v>Rp105,000-6 GRS-0.00%</v>
      </c>
      <c r="Q2143" s="75">
        <v>45415.0</v>
      </c>
      <c r="R2143" s="76"/>
      <c r="S2143" s="75">
        <v>45423.0</v>
      </c>
      <c r="T2143" s="49"/>
    </row>
    <row r="2144">
      <c r="A2144" s="90">
        <v>1885.0</v>
      </c>
      <c r="B2144" s="91" t="s">
        <v>29</v>
      </c>
      <c r="C2144" s="49" t="s">
        <v>2371</v>
      </c>
      <c r="D2144" s="91" t="s">
        <v>969</v>
      </c>
      <c r="E2144" s="41" t="str">
        <f>IFERROR(__xludf.DUMMYFUNCTION("vlookup(D2144,IMPORTRANGE(""https://docs.google.com/spreadsheets/d/1swGwZOEqYlTEUCJLY-eeJM1911Kvaei5oySBIxdgtNo/edit?pli=1#gid=257618397"",""stock untanna!B:C""),2,false)"),"PENSIL 2B KAYAGI PF3051L")</f>
        <v>PENSIL 2B KAYAGI PF3051L</v>
      </c>
      <c r="F2144" s="49" t="s">
        <v>969</v>
      </c>
      <c r="G2144" s="71" t="s">
        <v>970</v>
      </c>
      <c r="H2144" s="41"/>
      <c r="I2144" s="42"/>
      <c r="J2144" s="43"/>
      <c r="K2144" s="72">
        <v>6.0</v>
      </c>
      <c r="L2144" s="53" t="s">
        <v>131</v>
      </c>
      <c r="M2144" s="73">
        <v>105000.0</v>
      </c>
      <c r="N2144" s="74"/>
      <c r="O2144" s="73">
        <v>630000.0</v>
      </c>
      <c r="P2144" s="46" t="str">
        <f t="shared" si="2"/>
        <v>Rp105,000-6 GRS-0.00%</v>
      </c>
      <c r="Q2144" s="75">
        <v>45415.0</v>
      </c>
      <c r="R2144" s="76"/>
      <c r="S2144" s="75">
        <v>45423.0</v>
      </c>
      <c r="T2144" s="49"/>
    </row>
    <row r="2145">
      <c r="A2145" s="90">
        <v>1885.0</v>
      </c>
      <c r="B2145" s="91" t="s">
        <v>29</v>
      </c>
      <c r="C2145" s="49" t="s">
        <v>2371</v>
      </c>
      <c r="D2145" s="91" t="s">
        <v>1656</v>
      </c>
      <c r="E2145" s="41" t="str">
        <f>IFERROR(__xludf.DUMMYFUNCTION("vlookup(D2145,IMPORTRANGE(""https://docs.google.com/spreadsheets/d/1swGwZOEqYlTEUCJLY-eeJM1911Kvaei5oySBIxdgtNo/edit?pli=1#gid=257618397"",""stock untanna!B:C""),2,false)"),"PENSIL 2B KAYAGI 3041")</f>
        <v>PENSIL 2B KAYAGI 3041</v>
      </c>
      <c r="F2145" s="49" t="s">
        <v>1656</v>
      </c>
      <c r="G2145" s="71" t="s">
        <v>1657</v>
      </c>
      <c r="H2145" s="41"/>
      <c r="I2145" s="42"/>
      <c r="J2145" s="43"/>
      <c r="K2145" s="72">
        <v>6.0</v>
      </c>
      <c r="L2145" s="53" t="s">
        <v>131</v>
      </c>
      <c r="M2145" s="73">
        <v>105000.0</v>
      </c>
      <c r="N2145" s="74"/>
      <c r="O2145" s="73">
        <v>630000.0</v>
      </c>
      <c r="P2145" s="46" t="str">
        <f t="shared" si="2"/>
        <v>Rp105,000-6 GRS-0.00%</v>
      </c>
      <c r="Q2145" s="75">
        <v>45415.0</v>
      </c>
      <c r="R2145" s="76"/>
      <c r="S2145" s="75">
        <v>45423.0</v>
      </c>
      <c r="T2145" s="49"/>
    </row>
    <row r="2146">
      <c r="A2146" s="90">
        <v>1885.0</v>
      </c>
      <c r="B2146" s="91" t="s">
        <v>29</v>
      </c>
      <c r="C2146" s="49" t="s">
        <v>2371</v>
      </c>
      <c r="D2146" s="91" t="s">
        <v>387</v>
      </c>
      <c r="E2146" s="41" t="str">
        <f>IFERROR(__xludf.DUMMYFUNCTION("vlookup(D2146,IMPORTRANGE(""https://docs.google.com/spreadsheets/d/1swGwZOEqYlTEUCJLY-eeJM1911Kvaei5oySBIxdgtNo/edit?pli=1#gid=257618397"",""stock untanna!B:C""),2,false)"),"GARISAN ZH-243")</f>
        <v>GARISAN ZH-243</v>
      </c>
      <c r="F2146" s="49" t="s">
        <v>387</v>
      </c>
      <c r="G2146" s="71" t="s">
        <v>388</v>
      </c>
      <c r="H2146" s="41"/>
      <c r="I2146" s="42"/>
      <c r="J2146" s="43"/>
      <c r="K2146" s="72">
        <v>300.0</v>
      </c>
      <c r="L2146" s="53" t="s">
        <v>69</v>
      </c>
      <c r="M2146" s="73">
        <v>1600.0</v>
      </c>
      <c r="N2146" s="74"/>
      <c r="O2146" s="73">
        <v>480000.0</v>
      </c>
      <c r="P2146" s="46" t="str">
        <f t="shared" si="2"/>
        <v>Rp1,600-300 PCS-0.00%</v>
      </c>
      <c r="Q2146" s="75">
        <v>45415.0</v>
      </c>
      <c r="R2146" s="76"/>
      <c r="S2146" s="75">
        <v>45423.0</v>
      </c>
      <c r="T2146" s="49"/>
    </row>
    <row r="2147">
      <c r="A2147" s="90">
        <v>1885.0</v>
      </c>
      <c r="B2147" s="91" t="s">
        <v>29</v>
      </c>
      <c r="C2147" s="49" t="s">
        <v>2371</v>
      </c>
      <c r="D2147" s="91" t="s">
        <v>389</v>
      </c>
      <c r="E2147" s="41" t="str">
        <f>IFERROR(__xludf.DUMMYFUNCTION("vlookup(D2147,IMPORTRANGE(""https://docs.google.com/spreadsheets/d/1swGwZOEqYlTEUCJLY-eeJM1911Kvaei5oySBIxdgtNo/edit?pli=1#gid=257618397"",""stock untanna!B:C""),2,false)"),"GARISAN ZH-251 20 CM")</f>
        <v>GARISAN ZH-251 20 CM</v>
      </c>
      <c r="F2147" s="49" t="s">
        <v>389</v>
      </c>
      <c r="G2147" s="71" t="s">
        <v>390</v>
      </c>
      <c r="H2147" s="41"/>
      <c r="I2147" s="42"/>
      <c r="J2147" s="43"/>
      <c r="K2147" s="72">
        <v>300.0</v>
      </c>
      <c r="L2147" s="53" t="s">
        <v>69</v>
      </c>
      <c r="M2147" s="73">
        <v>2560.0</v>
      </c>
      <c r="N2147" s="74"/>
      <c r="O2147" s="73">
        <v>768000.0</v>
      </c>
      <c r="P2147" s="46" t="str">
        <f t="shared" si="2"/>
        <v>Rp2,560-300 PCS-0.00%</v>
      </c>
      <c r="Q2147" s="75">
        <v>45415.0</v>
      </c>
      <c r="R2147" s="76"/>
      <c r="S2147" s="75">
        <v>45423.0</v>
      </c>
      <c r="T2147" s="49"/>
    </row>
    <row r="2148">
      <c r="A2148" s="90">
        <v>1885.0</v>
      </c>
      <c r="B2148" s="91" t="s">
        <v>29</v>
      </c>
      <c r="C2148" s="49" t="s">
        <v>2371</v>
      </c>
      <c r="D2148" s="91" t="s">
        <v>393</v>
      </c>
      <c r="E2148" s="41" t="str">
        <f>IFERROR(__xludf.DUMMYFUNCTION("vlookup(D2148,IMPORTRANGE(""https://docs.google.com/spreadsheets/d/1swGwZOEqYlTEUCJLY-eeJM1911Kvaei5oySBIxdgtNo/edit?pli=1#gid=257618397"",""stock untanna!B:C""),2,false)"),"GARISAN ZH-248 ")</f>
        <v>GARISAN ZH-248 </v>
      </c>
      <c r="F2148" s="49" t="s">
        <v>393</v>
      </c>
      <c r="G2148" s="71" t="s">
        <v>394</v>
      </c>
      <c r="H2148" s="41"/>
      <c r="I2148" s="42"/>
      <c r="J2148" s="43"/>
      <c r="K2148" s="72">
        <v>240.0</v>
      </c>
      <c r="L2148" s="53" t="s">
        <v>69</v>
      </c>
      <c r="M2148" s="73">
        <v>1600.0</v>
      </c>
      <c r="N2148" s="74"/>
      <c r="O2148" s="73">
        <v>384000.0</v>
      </c>
      <c r="P2148" s="46" t="str">
        <f t="shared" si="2"/>
        <v>Rp1,600-240 PCS-0.00%</v>
      </c>
      <c r="Q2148" s="75">
        <v>45415.0</v>
      </c>
      <c r="R2148" s="76"/>
      <c r="S2148" s="75">
        <v>45423.0</v>
      </c>
      <c r="T2148" s="49"/>
    </row>
    <row r="2149">
      <c r="A2149" s="90">
        <v>1885.0</v>
      </c>
      <c r="B2149" s="91" t="s">
        <v>29</v>
      </c>
      <c r="C2149" s="49" t="s">
        <v>2371</v>
      </c>
      <c r="D2149" s="77" t="s">
        <v>2121</v>
      </c>
      <c r="E2149" s="41" t="str">
        <f>IFERROR(__xludf.DUMMYFUNCTION("vlookup(D2149,IMPORTRANGE(""https://docs.google.com/spreadsheets/d/1swGwZOEqYlTEUCJLY-eeJM1911Kvaei5oySBIxdgtNo/edit?pli=1#gid=257618397"",""stock untanna!B:C""),2,false)"),"GUNTING LIPAT HT KECIL")</f>
        <v>GUNTING LIPAT HT KECIL</v>
      </c>
      <c r="F2149" s="49" t="s">
        <v>2122</v>
      </c>
      <c r="G2149" s="71" t="s">
        <v>2123</v>
      </c>
      <c r="H2149" s="41"/>
      <c r="I2149" s="42"/>
      <c r="J2149" s="43"/>
      <c r="K2149" s="72">
        <v>6.0</v>
      </c>
      <c r="L2149" s="53" t="s">
        <v>62</v>
      </c>
      <c r="M2149" s="73">
        <v>30000.0</v>
      </c>
      <c r="N2149" s="74"/>
      <c r="O2149" s="73">
        <v>180000.0</v>
      </c>
      <c r="P2149" s="46" t="str">
        <f t="shared" si="2"/>
        <v>Rp30,000-6 LSN-0.00%</v>
      </c>
      <c r="Q2149" s="75">
        <v>45415.0</v>
      </c>
      <c r="R2149" s="76"/>
      <c r="S2149" s="75">
        <v>45423.0</v>
      </c>
      <c r="T2149" s="49"/>
    </row>
    <row r="2150">
      <c r="A2150" s="90">
        <v>1885.0</v>
      </c>
      <c r="B2150" s="91" t="s">
        <v>29</v>
      </c>
      <c r="C2150" s="49" t="s">
        <v>2371</v>
      </c>
      <c r="D2150" s="91" t="s">
        <v>2530</v>
      </c>
      <c r="E2150" s="41" t="str">
        <f>IFERROR(__xludf.DUMMYFUNCTION("vlookup(D2150,IMPORTRANGE(""https://docs.google.com/spreadsheets/d/1swGwZOEqYlTEUCJLY-eeJM1911Kvaei5oySBIxdgtNo/edit?pli=1#gid=257618397"",""stock untanna!B:C""),2,false)"),"GUNTING LIPAT TANGGUNG")</f>
        <v>GUNTING LIPAT TANGGUNG</v>
      </c>
      <c r="F2150" s="49" t="s">
        <v>2530</v>
      </c>
      <c r="G2150" s="71" t="s">
        <v>2531</v>
      </c>
      <c r="H2150" s="41"/>
      <c r="I2150" s="42"/>
      <c r="J2150" s="43"/>
      <c r="K2150" s="72">
        <v>6.0</v>
      </c>
      <c r="L2150" s="53" t="s">
        <v>62</v>
      </c>
      <c r="M2150" s="73">
        <v>32500.0</v>
      </c>
      <c r="N2150" s="74"/>
      <c r="O2150" s="73">
        <v>195000.0</v>
      </c>
      <c r="P2150" s="46" t="str">
        <f t="shared" si="2"/>
        <v>Rp32,500-6 LSN-0.00%</v>
      </c>
      <c r="Q2150" s="75">
        <v>45415.0</v>
      </c>
      <c r="R2150" s="76"/>
      <c r="S2150" s="75">
        <v>45423.0</v>
      </c>
      <c r="T2150" s="49"/>
    </row>
    <row r="2151">
      <c r="A2151" s="90">
        <v>1885.0</v>
      </c>
      <c r="B2151" s="91" t="s">
        <v>29</v>
      </c>
      <c r="C2151" s="49" t="s">
        <v>2371</v>
      </c>
      <c r="D2151" s="91" t="s">
        <v>2124</v>
      </c>
      <c r="E2151" s="41" t="str">
        <f>IFERROR(__xludf.DUMMYFUNCTION("vlookup(D2151,IMPORTRANGE(""https://docs.google.com/spreadsheets/d/1swGwZOEqYlTEUCJLY-eeJM1911Kvaei5oySBIxdgtNo/edit?pli=1#gid=257618397"",""stock untanna!B:C""),2,false)"),"GUNTING LIPAT BESAR")</f>
        <v>GUNTING LIPAT BESAR</v>
      </c>
      <c r="F2151" s="49" t="s">
        <v>2124</v>
      </c>
      <c r="G2151" s="71" t="s">
        <v>2125</v>
      </c>
      <c r="H2151" s="41"/>
      <c r="I2151" s="42"/>
      <c r="J2151" s="43"/>
      <c r="K2151" s="72">
        <v>6.0</v>
      </c>
      <c r="L2151" s="53" t="s">
        <v>62</v>
      </c>
      <c r="M2151" s="73">
        <v>42500.0</v>
      </c>
      <c r="N2151" s="74"/>
      <c r="O2151" s="73">
        <v>255000.0</v>
      </c>
      <c r="P2151" s="46" t="str">
        <f t="shared" si="2"/>
        <v>Rp42,500-6 LSN-0.00%</v>
      </c>
      <c r="Q2151" s="75">
        <v>45415.0</v>
      </c>
      <c r="R2151" s="76"/>
      <c r="S2151" s="75">
        <v>45423.0</v>
      </c>
      <c r="T2151" s="49"/>
    </row>
    <row r="2152">
      <c r="A2152" s="90">
        <v>1885.0</v>
      </c>
      <c r="B2152" s="91" t="s">
        <v>29</v>
      </c>
      <c r="C2152" s="49" t="s">
        <v>2371</v>
      </c>
      <c r="D2152" s="77" t="s">
        <v>1568</v>
      </c>
      <c r="E2152" s="41" t="str">
        <f>IFERROR(__xludf.DUMMYFUNCTION("vlookup(D2152,IMPORTRANGE(""https://docs.google.com/spreadsheets/d/1swGwZOEqYlTEUCJLY-eeJM1911Kvaei5oySBIxdgtNo/edit?pli=1#gid=257618397"",""stock untanna!B:C""),2,false)"),"SPIDOL 12W + KUAS DB 218-12")</f>
        <v>SPIDOL 12W + KUAS DB 218-12</v>
      </c>
      <c r="F2152" s="49" t="s">
        <v>1569</v>
      </c>
      <c r="G2152" s="71" t="s">
        <v>1570</v>
      </c>
      <c r="H2152" s="41"/>
      <c r="I2152" s="42"/>
      <c r="J2152" s="43"/>
      <c r="K2152" s="72">
        <v>3.0</v>
      </c>
      <c r="L2152" s="53" t="s">
        <v>62</v>
      </c>
      <c r="M2152" s="73">
        <v>210000.0</v>
      </c>
      <c r="N2152" s="74"/>
      <c r="O2152" s="73">
        <v>630000.0</v>
      </c>
      <c r="P2152" s="46" t="str">
        <f t="shared" si="2"/>
        <v>Rp210,000-3 LSN-0.00%</v>
      </c>
      <c r="Q2152" s="75">
        <v>45415.0</v>
      </c>
      <c r="R2152" s="76"/>
      <c r="S2152" s="75">
        <v>45423.0</v>
      </c>
      <c r="T2152" s="49"/>
    </row>
    <row r="2153">
      <c r="A2153" s="90">
        <v>1885.0</v>
      </c>
      <c r="B2153" s="91" t="s">
        <v>29</v>
      </c>
      <c r="C2153" s="49" t="s">
        <v>2371</v>
      </c>
      <c r="D2153" s="91" t="s">
        <v>2532</v>
      </c>
      <c r="E2153" s="41" t="str">
        <f>IFERROR(__xludf.DUMMYFUNCTION("vlookup(D2153,IMPORTRANGE(""https://docs.google.com/spreadsheets/d/1swGwZOEqYlTEUCJLY-eeJM1911Kvaei5oySBIxdgtNo/edit?pli=1#gid=257618397"",""stock untanna!B:C""),2,false)"),"SPIDOL WARNA BRUSH PEN MK 833-12")</f>
        <v>SPIDOL WARNA BRUSH PEN MK 833-12</v>
      </c>
      <c r="F2153" s="49" t="s">
        <v>2532</v>
      </c>
      <c r="G2153" s="71" t="s">
        <v>2533</v>
      </c>
      <c r="H2153" s="41"/>
      <c r="I2153" s="42"/>
      <c r="J2153" s="43"/>
      <c r="K2153" s="72">
        <v>24.0</v>
      </c>
      <c r="L2153" s="53" t="s">
        <v>69</v>
      </c>
      <c r="M2153" s="73">
        <v>17500.0</v>
      </c>
      <c r="N2153" s="74"/>
      <c r="O2153" s="73">
        <v>420000.0</v>
      </c>
      <c r="P2153" s="46" t="str">
        <f t="shared" si="2"/>
        <v>Rp17,500-24 PCS-0.00%</v>
      </c>
      <c r="Q2153" s="75">
        <v>45415.0</v>
      </c>
      <c r="R2153" s="76"/>
      <c r="S2153" s="75">
        <v>45423.0</v>
      </c>
      <c r="T2153" s="49"/>
    </row>
    <row r="2154">
      <c r="A2154" s="90">
        <v>1886.0</v>
      </c>
      <c r="B2154" s="91" t="s">
        <v>29</v>
      </c>
      <c r="C2154" s="49" t="s">
        <v>2371</v>
      </c>
      <c r="D2154" s="91"/>
      <c r="E2154" s="41" t="s">
        <v>1865</v>
      </c>
      <c r="F2154" s="49"/>
      <c r="G2154" s="71" t="s">
        <v>1865</v>
      </c>
      <c r="H2154" s="41"/>
      <c r="I2154" s="42"/>
      <c r="J2154" s="43"/>
      <c r="K2154" s="72">
        <v>30.0</v>
      </c>
      <c r="L2154" s="53" t="s">
        <v>62</v>
      </c>
      <c r="M2154" s="73">
        <v>16000.0</v>
      </c>
      <c r="N2154" s="74"/>
      <c r="O2154" s="73">
        <v>480000.0</v>
      </c>
      <c r="P2154" s="46" t="str">
        <f t="shared" si="2"/>
        <v>Rp16,000-30 LSN-0.00%</v>
      </c>
      <c r="Q2154" s="75">
        <v>45415.0</v>
      </c>
      <c r="R2154" s="76"/>
      <c r="S2154" s="75">
        <v>45423.0</v>
      </c>
      <c r="T2154" s="80" t="s">
        <v>280</v>
      </c>
    </row>
    <row r="2155">
      <c r="A2155" s="90">
        <v>1886.0</v>
      </c>
      <c r="B2155" s="91" t="s">
        <v>29</v>
      </c>
      <c r="C2155" s="49" t="s">
        <v>2371</v>
      </c>
      <c r="D2155" s="91"/>
      <c r="E2155" s="41" t="s">
        <v>2262</v>
      </c>
      <c r="F2155" s="49"/>
      <c r="G2155" s="71" t="s">
        <v>2262</v>
      </c>
      <c r="H2155" s="41"/>
      <c r="I2155" s="42"/>
      <c r="J2155" s="43"/>
      <c r="K2155" s="72">
        <v>38.0</v>
      </c>
      <c r="L2155" s="53" t="s">
        <v>62</v>
      </c>
      <c r="M2155" s="73">
        <v>16000.0</v>
      </c>
      <c r="N2155" s="74"/>
      <c r="O2155" s="73">
        <v>608000.0</v>
      </c>
      <c r="P2155" s="46" t="str">
        <f t="shared" si="2"/>
        <v>Rp16,000-38 LSN-0.00%</v>
      </c>
      <c r="Q2155" s="75">
        <v>45415.0</v>
      </c>
      <c r="R2155" s="76"/>
      <c r="S2155" s="75">
        <v>45423.0</v>
      </c>
      <c r="T2155" s="49"/>
    </row>
    <row r="2156">
      <c r="A2156" s="90">
        <v>1886.0</v>
      </c>
      <c r="B2156" s="91" t="s">
        <v>29</v>
      </c>
      <c r="C2156" s="49" t="s">
        <v>2371</v>
      </c>
      <c r="D2156" s="91" t="s">
        <v>1428</v>
      </c>
      <c r="E2156" s="41" t="str">
        <f>IFERROR(__xludf.DUMMYFUNCTION("vlookup(D2156,IMPORTRANGE(""https://docs.google.com/spreadsheets/d/1swGwZOEqYlTEUCJLY-eeJM1911Kvaei5oySBIxdgtNo/edit?pli=1#gid=257618397"",""stock untanna!B:C""),2,false)"),"MECHPEN TIZO TM 01500")</f>
        <v>MECHPEN TIZO TM 01500</v>
      </c>
      <c r="F2156" s="49" t="s">
        <v>1428</v>
      </c>
      <c r="G2156" s="71" t="s">
        <v>1429</v>
      </c>
      <c r="H2156" s="41"/>
      <c r="I2156" s="42"/>
      <c r="J2156" s="43"/>
      <c r="K2156" s="72">
        <v>36.0</v>
      </c>
      <c r="L2156" s="53" t="s">
        <v>62</v>
      </c>
      <c r="M2156" s="73">
        <v>16000.0</v>
      </c>
      <c r="N2156" s="74"/>
      <c r="O2156" s="73">
        <v>576000.0</v>
      </c>
      <c r="P2156" s="46" t="str">
        <f t="shared" si="2"/>
        <v>Rp16,000-36 LSN-0.00%</v>
      </c>
      <c r="Q2156" s="75">
        <v>45415.0</v>
      </c>
      <c r="R2156" s="76"/>
      <c r="S2156" s="75">
        <v>45423.0</v>
      </c>
      <c r="T2156" s="49"/>
    </row>
    <row r="2157">
      <c r="A2157" s="90">
        <v>1886.0</v>
      </c>
      <c r="B2157" s="91" t="s">
        <v>29</v>
      </c>
      <c r="C2157" s="49" t="s">
        <v>2371</v>
      </c>
      <c r="D2157" s="91" t="s">
        <v>774</v>
      </c>
      <c r="E2157" s="41" t="str">
        <f>IFERROR(__xludf.DUMMYFUNCTION("vlookup(D2157,IMPORTRANGE(""https://docs.google.com/spreadsheets/d/1swGwZOEqYlTEUCJLY-eeJM1911Kvaei5oySBIxdgtNo/edit?pli=1#gid=257618397"",""stock untanna!B:C""),2,false)"),"MECHPEN TIZO G 9001 A")</f>
        <v>MECHPEN TIZO G 9001 A</v>
      </c>
      <c r="F2157" s="49" t="s">
        <v>774</v>
      </c>
      <c r="G2157" s="71" t="s">
        <v>775</v>
      </c>
      <c r="H2157" s="41"/>
      <c r="I2157" s="42"/>
      <c r="J2157" s="43"/>
      <c r="K2157" s="72">
        <v>36.0</v>
      </c>
      <c r="L2157" s="53" t="s">
        <v>62</v>
      </c>
      <c r="M2157" s="73">
        <v>16000.0</v>
      </c>
      <c r="N2157" s="74"/>
      <c r="O2157" s="73">
        <v>576000.0</v>
      </c>
      <c r="P2157" s="46" t="str">
        <f t="shared" si="2"/>
        <v>Rp16,000-36 LSN-0.00%</v>
      </c>
      <c r="Q2157" s="75">
        <v>45415.0</v>
      </c>
      <c r="R2157" s="76"/>
      <c r="S2157" s="75">
        <v>45423.0</v>
      </c>
      <c r="T2157" s="49"/>
    </row>
    <row r="2158">
      <c r="A2158" s="90">
        <v>1886.0</v>
      </c>
      <c r="B2158" s="91" t="s">
        <v>29</v>
      </c>
      <c r="C2158" s="49" t="s">
        <v>2371</v>
      </c>
      <c r="D2158" s="91"/>
      <c r="E2158" s="41" t="s">
        <v>2534</v>
      </c>
      <c r="F2158" s="49"/>
      <c r="G2158" s="71" t="s">
        <v>2534</v>
      </c>
      <c r="H2158" s="41"/>
      <c r="I2158" s="42"/>
      <c r="J2158" s="43"/>
      <c r="K2158" s="72">
        <v>36.0</v>
      </c>
      <c r="L2158" s="53" t="s">
        <v>62</v>
      </c>
      <c r="M2158" s="73">
        <v>16000.0</v>
      </c>
      <c r="N2158" s="74"/>
      <c r="O2158" s="73">
        <v>576000.0</v>
      </c>
      <c r="P2158" s="46" t="str">
        <f t="shared" si="2"/>
        <v>Rp16,000-36 LSN-0.00%</v>
      </c>
      <c r="Q2158" s="75">
        <v>45415.0</v>
      </c>
      <c r="R2158" s="76"/>
      <c r="S2158" s="75">
        <v>45423.0</v>
      </c>
      <c r="T2158" s="49"/>
    </row>
    <row r="2159">
      <c r="A2159" s="90">
        <v>1886.0</v>
      </c>
      <c r="B2159" s="91" t="s">
        <v>29</v>
      </c>
      <c r="C2159" s="49" t="s">
        <v>2371</v>
      </c>
      <c r="D2159" s="91"/>
      <c r="E2159" s="41" t="s">
        <v>2535</v>
      </c>
      <c r="F2159" s="49"/>
      <c r="G2159" s="71" t="s">
        <v>2535</v>
      </c>
      <c r="H2159" s="41"/>
      <c r="I2159" s="42"/>
      <c r="J2159" s="43"/>
      <c r="K2159" s="72">
        <v>36.0</v>
      </c>
      <c r="L2159" s="53" t="s">
        <v>62</v>
      </c>
      <c r="M2159" s="73">
        <v>16000.0</v>
      </c>
      <c r="N2159" s="74"/>
      <c r="O2159" s="73">
        <v>576000.0</v>
      </c>
      <c r="P2159" s="46" t="str">
        <f t="shared" si="2"/>
        <v>Rp16,000-36 LSN-0.00%</v>
      </c>
      <c r="Q2159" s="75">
        <v>45415.0</v>
      </c>
      <c r="R2159" s="76"/>
      <c r="S2159" s="75">
        <v>45423.0</v>
      </c>
      <c r="T2159" s="49"/>
    </row>
    <row r="2160">
      <c r="A2160" s="90">
        <v>1886.0</v>
      </c>
      <c r="B2160" s="91" t="s">
        <v>29</v>
      </c>
      <c r="C2160" s="49" t="s">
        <v>2371</v>
      </c>
      <c r="D2160" s="91" t="s">
        <v>1857</v>
      </c>
      <c r="E2160" s="41" t="str">
        <f>IFERROR(__xludf.DUMMYFUNCTION("vlookup(D2160,IMPORTRANGE(""https://docs.google.com/spreadsheets/d/1swGwZOEqYlTEUCJLY-eeJM1911Kvaei5oySBIxdgtNo/edit?pli=1#gid=257618397"",""stock untanna!B:C""),2,false)"),"BP TIZO TG 3302 KLIK")</f>
        <v>BP TIZO TG 3302 KLIK</v>
      </c>
      <c r="F2160" s="49" t="s">
        <v>1857</v>
      </c>
      <c r="G2160" s="71" t="s">
        <v>1858</v>
      </c>
      <c r="H2160" s="41"/>
      <c r="I2160" s="42"/>
      <c r="J2160" s="43"/>
      <c r="K2160" s="72">
        <v>12.0</v>
      </c>
      <c r="L2160" s="53" t="s">
        <v>62</v>
      </c>
      <c r="M2160" s="73">
        <v>24000.0</v>
      </c>
      <c r="N2160" s="74"/>
      <c r="O2160" s="73">
        <v>288000.0</v>
      </c>
      <c r="P2160" s="46" t="str">
        <f t="shared" si="2"/>
        <v>Rp24,000-12 LSN-0.00%</v>
      </c>
      <c r="Q2160" s="75">
        <v>45415.0</v>
      </c>
      <c r="R2160" s="76"/>
      <c r="S2160" s="75">
        <v>45423.0</v>
      </c>
      <c r="T2160" s="49"/>
    </row>
    <row r="2161">
      <c r="A2161" s="90">
        <v>1886.0</v>
      </c>
      <c r="B2161" s="91" t="s">
        <v>29</v>
      </c>
      <c r="C2161" s="49" t="s">
        <v>2371</v>
      </c>
      <c r="D2161" s="91" t="s">
        <v>1692</v>
      </c>
      <c r="E2161" s="41" t="str">
        <f>IFERROR(__xludf.DUMMYFUNCTION("vlookup(D2161,IMPORTRANGE(""https://docs.google.com/spreadsheets/d/1swGwZOEqYlTEUCJLY-eeJM1911Kvaei5oySBIxdgtNo/edit?pli=1#gid=257618397"",""stock untanna!B:C""),2,false)"),"BP GEL TIZO 1.0 TG31580")</f>
        <v>BP GEL TIZO 1.0 TG31580</v>
      </c>
      <c r="F2161" s="49" t="s">
        <v>1692</v>
      </c>
      <c r="G2161" s="71" t="s">
        <v>1693</v>
      </c>
      <c r="H2161" s="41"/>
      <c r="I2161" s="42"/>
      <c r="J2161" s="43"/>
      <c r="K2161" s="72">
        <v>12.0</v>
      </c>
      <c r="L2161" s="53" t="s">
        <v>62</v>
      </c>
      <c r="M2161" s="73">
        <v>50000.0</v>
      </c>
      <c r="N2161" s="74"/>
      <c r="O2161" s="73">
        <v>600000.0</v>
      </c>
      <c r="P2161" s="46" t="str">
        <f t="shared" si="2"/>
        <v>Rp50,000-12 LSN-0.00%</v>
      </c>
      <c r="Q2161" s="75">
        <v>45415.0</v>
      </c>
      <c r="R2161" s="76"/>
      <c r="S2161" s="75">
        <v>45423.0</v>
      </c>
      <c r="T2161" s="49"/>
    </row>
    <row r="2162">
      <c r="A2162" s="90">
        <v>1886.0</v>
      </c>
      <c r="B2162" s="91" t="s">
        <v>29</v>
      </c>
      <c r="C2162" s="49" t="s">
        <v>2371</v>
      </c>
      <c r="D2162" s="91" t="s">
        <v>778</v>
      </c>
      <c r="E2162" s="41" t="str">
        <f>IFERROR(__xludf.DUMMYFUNCTION("vlookup(D2162,IMPORTRANGE(""https://docs.google.com/spreadsheets/d/1swGwZOEqYlTEUCJLY-eeJM1911Kvaei5oySBIxdgtNo/edit?pli=1#gid=257618397"",""stock untanna!B:C""),2,false)"),"BP GEL TIZO TG670")</f>
        <v>BP GEL TIZO TG670</v>
      </c>
      <c r="F2162" s="49" t="s">
        <v>778</v>
      </c>
      <c r="G2162" s="71" t="s">
        <v>779</v>
      </c>
      <c r="H2162" s="41"/>
      <c r="I2162" s="42"/>
      <c r="J2162" s="43"/>
      <c r="K2162" s="72">
        <v>21.0</v>
      </c>
      <c r="L2162" s="53" t="s">
        <v>62</v>
      </c>
      <c r="M2162" s="73">
        <v>50000.0</v>
      </c>
      <c r="N2162" s="74"/>
      <c r="O2162" s="73">
        <v>1050000.0</v>
      </c>
      <c r="P2162" s="46" t="str">
        <f t="shared" si="2"/>
        <v>Rp50,000-21 LSN-0.00%</v>
      </c>
      <c r="Q2162" s="75">
        <v>45415.0</v>
      </c>
      <c r="R2162" s="76"/>
      <c r="S2162" s="75">
        <v>45423.0</v>
      </c>
      <c r="T2162" s="49"/>
    </row>
    <row r="2163">
      <c r="A2163" s="90">
        <v>1886.0</v>
      </c>
      <c r="B2163" s="91" t="s">
        <v>29</v>
      </c>
      <c r="C2163" s="49" t="s">
        <v>2371</v>
      </c>
      <c r="D2163" s="77" t="s">
        <v>2536</v>
      </c>
      <c r="E2163" s="41" t="str">
        <f>IFERROR(__xludf.DUMMYFUNCTION("IFNA(vlookup(D2163,IMPORTRANGE(""https://docs.google.com/spreadsheets/d/1swGwZOEqYlTEUCJLY-eeJM1911Kvaei5oySBIxdgtNo/edit?pli=1#gid=257618397"",""stock untanna!B:C""),2,false),V:V)"),"BP DEBOZZ DB G 07")</f>
        <v>BP DEBOZZ DB G 07</v>
      </c>
      <c r="F2163" s="49"/>
      <c r="G2163" s="71" t="s">
        <v>2537</v>
      </c>
      <c r="H2163" s="41"/>
      <c r="I2163" s="42"/>
      <c r="J2163" s="85" t="s">
        <v>1319</v>
      </c>
      <c r="K2163" s="72">
        <v>36.0</v>
      </c>
      <c r="L2163" s="53" t="s">
        <v>62</v>
      </c>
      <c r="M2163" s="73">
        <v>28500.0</v>
      </c>
      <c r="N2163" s="74"/>
      <c r="O2163" s="73">
        <v>1026000.0</v>
      </c>
      <c r="P2163" s="46" t="str">
        <f t="shared" si="2"/>
        <v>Rp28,500-36 LSN-0.00%</v>
      </c>
      <c r="Q2163" s="75">
        <v>45415.0</v>
      </c>
      <c r="R2163" s="76"/>
      <c r="S2163" s="75">
        <v>45423.0</v>
      </c>
      <c r="T2163" s="80" t="s">
        <v>280</v>
      </c>
    </row>
    <row r="2164">
      <c r="A2164" s="90">
        <v>1886.0</v>
      </c>
      <c r="B2164" s="91" t="s">
        <v>29</v>
      </c>
      <c r="C2164" s="49" t="s">
        <v>2371</v>
      </c>
      <c r="D2164" s="91" t="s">
        <v>629</v>
      </c>
      <c r="E2164" s="41" t="str">
        <f>IFERROR(__xludf.DUMMYFUNCTION("vlookup(D2164,IMPORTRANGE(""https://docs.google.com/spreadsheets/d/1swGwZOEqYlTEUCJLY-eeJM1911Kvaei5oySBIxdgtNo/edit?pli=1#gid=257618397"",""stock untanna!B:C""),2,false)"),"BP GEL TIZO 30801F S3 FANCY")</f>
        <v>BP GEL TIZO 30801F S3 FANCY</v>
      </c>
      <c r="F2164" s="49" t="s">
        <v>629</v>
      </c>
      <c r="G2164" s="71" t="s">
        <v>630</v>
      </c>
      <c r="H2164" s="41"/>
      <c r="I2164" s="42"/>
      <c r="J2164" s="43"/>
      <c r="K2164" s="72">
        <v>24.0</v>
      </c>
      <c r="L2164" s="53" t="s">
        <v>62</v>
      </c>
      <c r="M2164" s="73">
        <v>19000.0</v>
      </c>
      <c r="N2164" s="74"/>
      <c r="O2164" s="73">
        <v>456000.0</v>
      </c>
      <c r="P2164" s="46" t="str">
        <f t="shared" si="2"/>
        <v>Rp19,000-24 LSN-0.00%</v>
      </c>
      <c r="Q2164" s="75">
        <v>45415.0</v>
      </c>
      <c r="R2164" s="76"/>
      <c r="S2164" s="75">
        <v>45423.0</v>
      </c>
      <c r="T2164" s="49"/>
    </row>
    <row r="2165">
      <c r="A2165" s="90">
        <v>1886.0</v>
      </c>
      <c r="B2165" s="91" t="s">
        <v>29</v>
      </c>
      <c r="C2165" s="49" t="s">
        <v>2371</v>
      </c>
      <c r="D2165" s="91" t="s">
        <v>700</v>
      </c>
      <c r="E2165" s="41" t="str">
        <f>IFERROR(__xludf.DUMMYFUNCTION("vlookup(D2165,IMPORTRANGE(""https://docs.google.com/spreadsheets/d/1swGwZOEqYlTEUCJLY-eeJM1911Kvaei5oySBIxdgtNo/edit?pli=1#gid=257618397"",""stock untanna!B:C""),2,false)"),"BP TIZO KLIK TG 3300")</f>
        <v>BP TIZO KLIK TG 3300</v>
      </c>
      <c r="F2165" s="49" t="s">
        <v>700</v>
      </c>
      <c r="G2165" s="71" t="s">
        <v>701</v>
      </c>
      <c r="H2165" s="41"/>
      <c r="I2165" s="42"/>
      <c r="J2165" s="43"/>
      <c r="K2165" s="72">
        <v>36.0</v>
      </c>
      <c r="L2165" s="53" t="s">
        <v>62</v>
      </c>
      <c r="M2165" s="73">
        <v>28500.0</v>
      </c>
      <c r="N2165" s="74"/>
      <c r="O2165" s="73">
        <v>1026000.0</v>
      </c>
      <c r="P2165" s="46" t="str">
        <f t="shared" si="2"/>
        <v>Rp28,500-36 LSN-0.00%</v>
      </c>
      <c r="Q2165" s="75">
        <v>45415.0</v>
      </c>
      <c r="R2165" s="76"/>
      <c r="S2165" s="75">
        <v>45423.0</v>
      </c>
      <c r="T2165" s="49"/>
    </row>
    <row r="2166">
      <c r="A2166" s="90">
        <v>1886.0</v>
      </c>
      <c r="B2166" s="91" t="s">
        <v>29</v>
      </c>
      <c r="C2166" s="49" t="s">
        <v>2371</v>
      </c>
      <c r="D2166" s="91" t="s">
        <v>2538</v>
      </c>
      <c r="E2166" s="41" t="str">
        <f>IFERROR(__xludf.DUMMYFUNCTION("vlookup(D2166,IMPORTRANGE(""https://docs.google.com/spreadsheets/d/1swGwZOEqYlTEUCJLY-eeJM1911Kvaei5oySBIxdgtNo/edit?pli=1#gid=257618397"",""stock untanna!B:C""),2,false)"),"BP GEL CS-G208")</f>
        <v>BP GEL CS-G208</v>
      </c>
      <c r="F2166" s="49" t="s">
        <v>2538</v>
      </c>
      <c r="G2166" s="71" t="s">
        <v>2539</v>
      </c>
      <c r="H2166" s="41"/>
      <c r="I2166" s="42"/>
      <c r="J2166" s="43"/>
      <c r="K2166" s="72">
        <v>36.0</v>
      </c>
      <c r="L2166" s="53" t="s">
        <v>62</v>
      </c>
      <c r="M2166" s="73">
        <v>28500.0</v>
      </c>
      <c r="N2166" s="74"/>
      <c r="O2166" s="73">
        <v>1026000.0</v>
      </c>
      <c r="P2166" s="46" t="str">
        <f t="shared" si="2"/>
        <v>Rp28,500-36 LSN-0.00%</v>
      </c>
      <c r="Q2166" s="75">
        <v>45415.0</v>
      </c>
      <c r="R2166" s="76"/>
      <c r="S2166" s="75">
        <v>45423.0</v>
      </c>
      <c r="T2166" s="49"/>
    </row>
    <row r="2167">
      <c r="A2167" s="90">
        <v>1886.0</v>
      </c>
      <c r="B2167" s="91" t="s">
        <v>29</v>
      </c>
      <c r="C2167" s="49" t="s">
        <v>2371</v>
      </c>
      <c r="D2167" s="91" t="s">
        <v>2540</v>
      </c>
      <c r="E2167" s="41" t="str">
        <f>IFERROR(__xludf.DUMMYFUNCTION("vlookup(D2167,IMPORTRANGE(""https://docs.google.com/spreadsheets/d/1swGwZOEqYlTEUCJLY-eeJM1911Kvaei5oySBIxdgtNo/edit?pli=1#gid=257618397"",""stock untanna!B:C""),2,false)"),"BP GEL (706) GP-189")</f>
        <v>BP GEL (706) GP-189</v>
      </c>
      <c r="F2167" s="49" t="s">
        <v>2540</v>
      </c>
      <c r="G2167" s="71" t="s">
        <v>2541</v>
      </c>
      <c r="H2167" s="41"/>
      <c r="I2167" s="42"/>
      <c r="J2167" s="43"/>
      <c r="K2167" s="72">
        <v>36.0</v>
      </c>
      <c r="L2167" s="53" t="s">
        <v>62</v>
      </c>
      <c r="M2167" s="73">
        <v>24000.0</v>
      </c>
      <c r="N2167" s="74"/>
      <c r="O2167" s="73">
        <v>864000.0</v>
      </c>
      <c r="P2167" s="46" t="str">
        <f t="shared" si="2"/>
        <v>Rp24,000-36 LSN-0.00%</v>
      </c>
      <c r="Q2167" s="75">
        <v>45415.0</v>
      </c>
      <c r="R2167" s="76"/>
      <c r="S2167" s="75">
        <v>45423.0</v>
      </c>
      <c r="T2167" s="49" t="s">
        <v>100</v>
      </c>
    </row>
    <row r="2168">
      <c r="A2168" s="90">
        <v>1886.0</v>
      </c>
      <c r="B2168" s="91" t="s">
        <v>29</v>
      </c>
      <c r="C2168" s="49" t="s">
        <v>2371</v>
      </c>
      <c r="D2168" s="91"/>
      <c r="E2168" s="41" t="s">
        <v>2542</v>
      </c>
      <c r="F2168" s="49"/>
      <c r="G2168" s="71" t="s">
        <v>2542</v>
      </c>
      <c r="H2168" s="41"/>
      <c r="I2168" s="42"/>
      <c r="J2168" s="43"/>
      <c r="K2168" s="72">
        <v>36.0</v>
      </c>
      <c r="L2168" s="53" t="s">
        <v>62</v>
      </c>
      <c r="M2168" s="73">
        <v>24000.0</v>
      </c>
      <c r="N2168" s="74"/>
      <c r="O2168" s="73">
        <v>864000.0</v>
      </c>
      <c r="P2168" s="46" t="str">
        <f t="shared" si="2"/>
        <v>Rp24,000-36 LSN-0.00%</v>
      </c>
      <c r="Q2168" s="75">
        <v>45415.0</v>
      </c>
      <c r="R2168" s="76"/>
      <c r="S2168" s="75">
        <v>45423.0</v>
      </c>
      <c r="T2168" s="49"/>
    </row>
    <row r="2169">
      <c r="A2169" s="90">
        <v>1886.0</v>
      </c>
      <c r="B2169" s="91" t="s">
        <v>29</v>
      </c>
      <c r="C2169" s="49" t="s">
        <v>2371</v>
      </c>
      <c r="D2169" s="91" t="s">
        <v>199</v>
      </c>
      <c r="E2169" s="41" t="str">
        <f>IFERROR(__xludf.DUMMYFUNCTION("vlookup(D2169,IMPORTRANGE(""https://docs.google.com/spreadsheets/d/1swGwZOEqYlTEUCJLY-eeJM1911Kvaei5oySBIxdgtNo/edit?pli=1#gid=257618397"",""stock untanna!B:C""),2,false)"),"BP TF 1022")</f>
        <v>BP TF 1022</v>
      </c>
      <c r="F2169" s="49" t="s">
        <v>199</v>
      </c>
      <c r="G2169" s="71" t="s">
        <v>200</v>
      </c>
      <c r="H2169" s="41"/>
      <c r="I2169" s="42"/>
      <c r="J2169" s="43"/>
      <c r="K2169" s="72">
        <v>36.0</v>
      </c>
      <c r="L2169" s="53" t="s">
        <v>62</v>
      </c>
      <c r="M2169" s="73">
        <v>16000.0</v>
      </c>
      <c r="N2169" s="74"/>
      <c r="O2169" s="73">
        <v>576000.0</v>
      </c>
      <c r="P2169" s="46" t="str">
        <f t="shared" si="2"/>
        <v>Rp16,000-36 LSN-0.00%</v>
      </c>
      <c r="Q2169" s="75">
        <v>45415.0</v>
      </c>
      <c r="R2169" s="76"/>
      <c r="S2169" s="75">
        <v>45423.0</v>
      </c>
      <c r="T2169" s="49"/>
    </row>
    <row r="2170">
      <c r="A2170" s="90">
        <v>1887.0</v>
      </c>
      <c r="B2170" s="91" t="s">
        <v>29</v>
      </c>
      <c r="C2170" s="49" t="s">
        <v>2371</v>
      </c>
      <c r="D2170" s="91" t="s">
        <v>2335</v>
      </c>
      <c r="E2170" s="41" t="str">
        <f>IFERROR(__xludf.DUMMYFUNCTION("vlookup(D2170,IMPORTRANGE(""https://docs.google.com/spreadsheets/d/1swGwZOEqYlTEUCJLY-eeJM1911Kvaei5oySBIxdgtNo/edit?pli=1#gid=257618397"",""stock untanna!B:C""),2,false)"),"BP GEL KOALA GP-168-A MERAH")</f>
        <v>BP GEL KOALA GP-168-A MERAH</v>
      </c>
      <c r="F2170" s="49" t="s">
        <v>2335</v>
      </c>
      <c r="G2170" s="71" t="s">
        <v>2336</v>
      </c>
      <c r="H2170" s="41"/>
      <c r="I2170" s="42"/>
      <c r="J2170" s="43"/>
      <c r="K2170" s="72">
        <v>12.0</v>
      </c>
      <c r="L2170" s="53" t="s">
        <v>62</v>
      </c>
      <c r="M2170" s="73">
        <v>25000.0</v>
      </c>
      <c r="N2170" s="74"/>
      <c r="O2170" s="73">
        <v>300000.0</v>
      </c>
      <c r="P2170" s="46" t="str">
        <f t="shared" si="2"/>
        <v>Rp25,000-12 LSN-0.00%</v>
      </c>
      <c r="Q2170" s="75">
        <v>45415.0</v>
      </c>
      <c r="R2170" s="75">
        <v>45415.0</v>
      </c>
      <c r="S2170" s="75">
        <v>45423.0</v>
      </c>
      <c r="T2170" s="49"/>
    </row>
    <row r="2171">
      <c r="A2171" s="90">
        <v>1887.0</v>
      </c>
      <c r="B2171" s="91" t="s">
        <v>29</v>
      </c>
      <c r="C2171" s="49" t="s">
        <v>2371</v>
      </c>
      <c r="D2171" s="91" t="s">
        <v>2337</v>
      </c>
      <c r="E2171" s="41" t="str">
        <f>IFERROR(__xludf.DUMMYFUNCTION("vlookup(D2171,IMPORTRANGE(""https://docs.google.com/spreadsheets/d/1swGwZOEqYlTEUCJLY-eeJM1911Kvaei5oySBIxdgtNo/edit?pli=1#gid=257618397"",""stock untanna!B:C""),2,false)"),"BP GEL KOALA GP-168-B BR")</f>
        <v>BP GEL KOALA GP-168-B BR</v>
      </c>
      <c r="F2171" s="49" t="s">
        <v>2337</v>
      </c>
      <c r="G2171" s="71" t="s">
        <v>2338</v>
      </c>
      <c r="H2171" s="41"/>
      <c r="I2171" s="42"/>
      <c r="J2171" s="43"/>
      <c r="K2171" s="72">
        <v>12.0</v>
      </c>
      <c r="L2171" s="53" t="s">
        <v>62</v>
      </c>
      <c r="M2171" s="73">
        <v>25000.0</v>
      </c>
      <c r="N2171" s="74"/>
      <c r="O2171" s="73">
        <v>300000.0</v>
      </c>
      <c r="P2171" s="46" t="str">
        <f t="shared" si="2"/>
        <v>Rp25,000-12 LSN-0.00%</v>
      </c>
      <c r="Q2171" s="75">
        <v>45415.0</v>
      </c>
      <c r="R2171" s="75">
        <v>45415.0</v>
      </c>
      <c r="S2171" s="75">
        <v>45423.0</v>
      </c>
      <c r="T2171" s="49"/>
    </row>
    <row r="2172">
      <c r="A2172" s="90">
        <v>1887.0</v>
      </c>
      <c r="B2172" s="91" t="s">
        <v>29</v>
      </c>
      <c r="C2172" s="49" t="s">
        <v>2371</v>
      </c>
      <c r="D2172" s="91" t="s">
        <v>2339</v>
      </c>
      <c r="E2172" s="41" t="str">
        <f>IFERROR(__xludf.DUMMYFUNCTION("vlookup(D2172,IMPORTRANGE(""https://docs.google.com/spreadsheets/d/1swGwZOEqYlTEUCJLY-eeJM1911Kvaei5oySBIxdgtNo/edit?pli=1#gid=257618397"",""stock untanna!B:C""),2,false)"),"BP GEL KOALA GP-168-C HJ")</f>
        <v>BP GEL KOALA GP-168-C HJ</v>
      </c>
      <c r="F2172" s="49" t="s">
        <v>2339</v>
      </c>
      <c r="G2172" s="71" t="s">
        <v>2340</v>
      </c>
      <c r="H2172" s="41"/>
      <c r="I2172" s="42"/>
      <c r="J2172" s="43"/>
      <c r="K2172" s="72">
        <v>12.0</v>
      </c>
      <c r="L2172" s="53" t="s">
        <v>62</v>
      </c>
      <c r="M2172" s="73">
        <v>25000.0</v>
      </c>
      <c r="N2172" s="74"/>
      <c r="O2172" s="73">
        <v>300000.0</v>
      </c>
      <c r="P2172" s="46" t="str">
        <f t="shared" si="2"/>
        <v>Rp25,000-12 LSN-0.00%</v>
      </c>
      <c r="Q2172" s="75">
        <v>45415.0</v>
      </c>
      <c r="R2172" s="75">
        <v>45415.0</v>
      </c>
      <c r="S2172" s="75">
        <v>45423.0</v>
      </c>
      <c r="T2172" s="49"/>
    </row>
    <row r="2173">
      <c r="A2173" s="90">
        <v>1887.0</v>
      </c>
      <c r="B2173" s="91" t="s">
        <v>29</v>
      </c>
      <c r="C2173" s="49" t="s">
        <v>2371</v>
      </c>
      <c r="D2173" s="91" t="s">
        <v>2341</v>
      </c>
      <c r="E2173" s="41" t="str">
        <f>IFERROR(__xludf.DUMMYFUNCTION("vlookup(D2173,IMPORTRANGE(""https://docs.google.com/spreadsheets/d/1swGwZOEqYlTEUCJLY-eeJM1911Kvaei5oySBIxdgtNo/edit?pli=1#gid=257618397"",""stock untanna!B:C""),2,false)"),"BP GEL KOALA GP-168-D VL")</f>
        <v>BP GEL KOALA GP-168-D VL</v>
      </c>
      <c r="F2173" s="49" t="s">
        <v>2341</v>
      </c>
      <c r="G2173" s="71" t="s">
        <v>2342</v>
      </c>
      <c r="H2173" s="41"/>
      <c r="I2173" s="42"/>
      <c r="J2173" s="43"/>
      <c r="K2173" s="72">
        <v>12.0</v>
      </c>
      <c r="L2173" s="53" t="s">
        <v>62</v>
      </c>
      <c r="M2173" s="73">
        <v>25000.0</v>
      </c>
      <c r="N2173" s="74"/>
      <c r="O2173" s="73">
        <v>300000.0</v>
      </c>
      <c r="P2173" s="46" t="str">
        <f t="shared" si="2"/>
        <v>Rp25,000-12 LSN-0.00%</v>
      </c>
      <c r="Q2173" s="75">
        <v>45415.0</v>
      </c>
      <c r="R2173" s="75">
        <v>45415.0</v>
      </c>
      <c r="S2173" s="75">
        <v>45423.0</v>
      </c>
      <c r="T2173" s="49"/>
    </row>
    <row r="2174">
      <c r="A2174" s="90">
        <v>1887.0</v>
      </c>
      <c r="B2174" s="91" t="s">
        <v>29</v>
      </c>
      <c r="C2174" s="49" t="s">
        <v>2371</v>
      </c>
      <c r="D2174" s="91" t="s">
        <v>2343</v>
      </c>
      <c r="E2174" s="41" t="str">
        <f>IFERROR(__xludf.DUMMYFUNCTION("vlookup(D2174,IMPORTRANGE(""https://docs.google.com/spreadsheets/d/1swGwZOEqYlTEUCJLY-eeJM1911Kvaei5oySBIxdgtNo/edit?pli=1#gid=257618397"",""stock untanna!B:C""),2,false)"),"BP GEL KOALA GP-168-E OR")</f>
        <v>BP GEL KOALA GP-168-E OR</v>
      </c>
      <c r="F2174" s="49" t="s">
        <v>2343</v>
      </c>
      <c r="G2174" s="71" t="s">
        <v>2344</v>
      </c>
      <c r="H2174" s="41"/>
      <c r="I2174" s="42"/>
      <c r="J2174" s="43"/>
      <c r="K2174" s="72">
        <v>12.0</v>
      </c>
      <c r="L2174" s="53" t="s">
        <v>62</v>
      </c>
      <c r="M2174" s="73">
        <v>25000.0</v>
      </c>
      <c r="N2174" s="74"/>
      <c r="O2174" s="73">
        <v>300000.0</v>
      </c>
      <c r="P2174" s="46" t="str">
        <f t="shared" si="2"/>
        <v>Rp25,000-12 LSN-0.00%</v>
      </c>
      <c r="Q2174" s="75">
        <v>45415.0</v>
      </c>
      <c r="R2174" s="75">
        <v>45415.0</v>
      </c>
      <c r="S2174" s="75">
        <v>45423.0</v>
      </c>
      <c r="T2174" s="49"/>
    </row>
    <row r="2175">
      <c r="A2175" s="90">
        <v>1887.0</v>
      </c>
      <c r="B2175" s="91" t="s">
        <v>29</v>
      </c>
      <c r="C2175" s="49" t="s">
        <v>2371</v>
      </c>
      <c r="D2175" s="91" t="s">
        <v>2345</v>
      </c>
      <c r="E2175" s="41" t="str">
        <f>IFERROR(__xludf.DUMMYFUNCTION("vlookup(D2175,IMPORTRANGE(""https://docs.google.com/spreadsheets/d/1swGwZOEqYlTEUCJLY-eeJM1911Kvaei5oySBIxdgtNo/edit?pli=1#gid=257618397"",""stock untanna!B:C""),2,false)"),"BP GEL KOALA GP-168-F BR TUA")</f>
        <v>BP GEL KOALA GP-168-F BR TUA</v>
      </c>
      <c r="F2175" s="49" t="s">
        <v>2345</v>
      </c>
      <c r="G2175" s="71" t="s">
        <v>2346</v>
      </c>
      <c r="H2175" s="41"/>
      <c r="I2175" s="42"/>
      <c r="J2175" s="43"/>
      <c r="K2175" s="72">
        <v>12.0</v>
      </c>
      <c r="L2175" s="53" t="s">
        <v>62</v>
      </c>
      <c r="M2175" s="73">
        <v>25000.0</v>
      </c>
      <c r="N2175" s="74"/>
      <c r="O2175" s="73">
        <v>300000.0</v>
      </c>
      <c r="P2175" s="46" t="str">
        <f t="shared" si="2"/>
        <v>Rp25,000-12 LSN-0.00%</v>
      </c>
      <c r="Q2175" s="75">
        <v>45415.0</v>
      </c>
      <c r="R2175" s="75">
        <v>45415.0</v>
      </c>
      <c r="S2175" s="75">
        <v>45423.0</v>
      </c>
      <c r="T2175" s="49"/>
    </row>
    <row r="2176">
      <c r="A2176" s="90">
        <v>1887.0</v>
      </c>
      <c r="B2176" s="91" t="s">
        <v>29</v>
      </c>
      <c r="C2176" s="49" t="s">
        <v>2371</v>
      </c>
      <c r="D2176" s="91" t="s">
        <v>2347</v>
      </c>
      <c r="E2176" s="41" t="str">
        <f>IFERROR(__xludf.DUMMYFUNCTION("vlookup(D2176,IMPORTRANGE(""https://docs.google.com/spreadsheets/d/1swGwZOEqYlTEUCJLY-eeJM1911Kvaei5oySBIxdgtNo/edit?pli=1#gid=257618397"",""stock untanna!B:C""),2,false)"),"BP GEL KOALA GP-168-G PK")</f>
        <v>BP GEL KOALA GP-168-G PK</v>
      </c>
      <c r="F2176" s="49" t="s">
        <v>2347</v>
      </c>
      <c r="G2176" s="71" t="s">
        <v>2348</v>
      </c>
      <c r="H2176" s="41"/>
      <c r="I2176" s="42"/>
      <c r="J2176" s="43"/>
      <c r="K2176" s="72">
        <v>12.0</v>
      </c>
      <c r="L2176" s="53" t="s">
        <v>62</v>
      </c>
      <c r="M2176" s="73">
        <v>25000.0</v>
      </c>
      <c r="N2176" s="74"/>
      <c r="O2176" s="73">
        <v>300000.0</v>
      </c>
      <c r="P2176" s="46" t="str">
        <f t="shared" si="2"/>
        <v>Rp25,000-12 LSN-0.00%</v>
      </c>
      <c r="Q2176" s="75">
        <v>45415.0</v>
      </c>
      <c r="R2176" s="75">
        <v>45415.0</v>
      </c>
      <c r="S2176" s="75">
        <v>45423.0</v>
      </c>
      <c r="T2176" s="49"/>
    </row>
    <row r="2177">
      <c r="A2177" s="90">
        <v>1887.0</v>
      </c>
      <c r="B2177" s="91" t="s">
        <v>29</v>
      </c>
      <c r="C2177" s="49" t="s">
        <v>2371</v>
      </c>
      <c r="D2177" s="91" t="s">
        <v>2349</v>
      </c>
      <c r="E2177" s="41" t="str">
        <f>IFERROR(__xludf.DUMMYFUNCTION("vlookup(D2177,IMPORTRANGE(""https://docs.google.com/spreadsheets/d/1swGwZOEqYlTEUCJLY-eeJM1911Kvaei5oySBIxdgtNo/edit?pli=1#gid=257618397"",""stock untanna!B:C""),2,false)"),"BP GEL KOALA GP-168-H HJ MUDA")</f>
        <v>BP GEL KOALA GP-168-H HJ MUDA</v>
      </c>
      <c r="F2177" s="49" t="s">
        <v>2349</v>
      </c>
      <c r="G2177" s="71" t="s">
        <v>2350</v>
      </c>
      <c r="H2177" s="41"/>
      <c r="I2177" s="42"/>
      <c r="J2177" s="43"/>
      <c r="K2177" s="72">
        <v>12.0</v>
      </c>
      <c r="L2177" s="53" t="s">
        <v>62</v>
      </c>
      <c r="M2177" s="73">
        <v>25000.0</v>
      </c>
      <c r="N2177" s="74"/>
      <c r="O2177" s="73">
        <v>300000.0</v>
      </c>
      <c r="P2177" s="46" t="str">
        <f t="shared" si="2"/>
        <v>Rp25,000-12 LSN-0.00%</v>
      </c>
      <c r="Q2177" s="75">
        <v>45415.0</v>
      </c>
      <c r="R2177" s="75">
        <v>45415.0</v>
      </c>
      <c r="S2177" s="75">
        <v>45423.0</v>
      </c>
      <c r="T2177" s="49"/>
    </row>
    <row r="2178">
      <c r="A2178" s="90">
        <v>1887.0</v>
      </c>
      <c r="B2178" s="91" t="s">
        <v>29</v>
      </c>
      <c r="C2178" s="49" t="s">
        <v>2371</v>
      </c>
      <c r="D2178" s="91" t="s">
        <v>2353</v>
      </c>
      <c r="E2178" s="41" t="str">
        <f>IFERROR(__xludf.DUMMYFUNCTION("vlookup(D2178,IMPORTRANGE(""https://docs.google.com/spreadsheets/d/1swGwZOEqYlTEUCJLY-eeJM1911Kvaei5oySBIxdgtNo/edit?pli=1#gid=257618397"",""stock untanna!B:C""),2,false)"),"BP GEL KOALA GP-168-J KNG")</f>
        <v>BP GEL KOALA GP-168-J KNG</v>
      </c>
      <c r="F2178" s="49" t="s">
        <v>2353</v>
      </c>
      <c r="G2178" s="71" t="s">
        <v>2354</v>
      </c>
      <c r="H2178" s="41"/>
      <c r="I2178" s="42"/>
      <c r="J2178" s="43"/>
      <c r="K2178" s="72">
        <v>12.0</v>
      </c>
      <c r="L2178" s="53" t="s">
        <v>62</v>
      </c>
      <c r="M2178" s="73">
        <v>25000.0</v>
      </c>
      <c r="N2178" s="74"/>
      <c r="O2178" s="73">
        <v>300000.0</v>
      </c>
      <c r="P2178" s="46" t="str">
        <f t="shared" si="2"/>
        <v>Rp25,000-12 LSN-0.00%</v>
      </c>
      <c r="Q2178" s="75">
        <v>45415.0</v>
      </c>
      <c r="R2178" s="75">
        <v>45415.0</v>
      </c>
      <c r="S2178" s="75">
        <v>45423.0</v>
      </c>
      <c r="T2178" s="49"/>
    </row>
    <row r="2179">
      <c r="A2179" s="90">
        <v>1887.0</v>
      </c>
      <c r="B2179" s="91" t="s">
        <v>29</v>
      </c>
      <c r="C2179" s="49" t="s">
        <v>2371</v>
      </c>
      <c r="D2179" s="91"/>
      <c r="E2179" s="41" t="s">
        <v>2543</v>
      </c>
      <c r="F2179" s="49"/>
      <c r="G2179" s="71" t="s">
        <v>2543</v>
      </c>
      <c r="H2179" s="41"/>
      <c r="I2179" s="42"/>
      <c r="J2179" s="43"/>
      <c r="K2179" s="72">
        <v>6.0</v>
      </c>
      <c r="L2179" s="53" t="s">
        <v>88</v>
      </c>
      <c r="M2179" s="73">
        <v>55000.0</v>
      </c>
      <c r="N2179" s="74"/>
      <c r="O2179" s="73">
        <v>330000.0</v>
      </c>
      <c r="P2179" s="46" t="str">
        <f t="shared" si="2"/>
        <v>Rp55,000-6 BOX-0.00%</v>
      </c>
      <c r="Q2179" s="75">
        <v>45415.0</v>
      </c>
      <c r="R2179" s="75">
        <v>45415.0</v>
      </c>
      <c r="S2179" s="75">
        <v>45423.0</v>
      </c>
      <c r="T2179" s="49"/>
    </row>
    <row r="2180">
      <c r="A2180" s="90">
        <v>1887.0</v>
      </c>
      <c r="B2180" s="91" t="s">
        <v>29</v>
      </c>
      <c r="C2180" s="49" t="s">
        <v>2371</v>
      </c>
      <c r="D2180" s="91"/>
      <c r="E2180" s="41" t="s">
        <v>2544</v>
      </c>
      <c r="F2180" s="49"/>
      <c r="G2180" s="71" t="s">
        <v>2544</v>
      </c>
      <c r="H2180" s="41"/>
      <c r="I2180" s="42"/>
      <c r="J2180" s="43"/>
      <c r="K2180" s="72">
        <v>5.0</v>
      </c>
      <c r="L2180" s="53" t="s">
        <v>62</v>
      </c>
      <c r="M2180" s="73">
        <v>30000.0</v>
      </c>
      <c r="N2180" s="74"/>
      <c r="O2180" s="73">
        <v>150000.0</v>
      </c>
      <c r="P2180" s="46" t="str">
        <f t="shared" si="2"/>
        <v>Rp30,000-5 LSN-0.00%</v>
      </c>
      <c r="Q2180" s="75">
        <v>45415.0</v>
      </c>
      <c r="R2180" s="75">
        <v>45415.0</v>
      </c>
      <c r="S2180" s="75">
        <v>45423.0</v>
      </c>
      <c r="T2180" s="49"/>
    </row>
    <row r="2181">
      <c r="A2181" s="90">
        <v>1887.0</v>
      </c>
      <c r="B2181" s="91" t="s">
        <v>29</v>
      </c>
      <c r="C2181" s="49" t="s">
        <v>2371</v>
      </c>
      <c r="D2181" s="91"/>
      <c r="E2181" s="41" t="s">
        <v>2545</v>
      </c>
      <c r="F2181" s="49"/>
      <c r="G2181" s="71" t="s">
        <v>2545</v>
      </c>
      <c r="H2181" s="41"/>
      <c r="I2181" s="42"/>
      <c r="J2181" s="43"/>
      <c r="K2181" s="72">
        <v>10.0</v>
      </c>
      <c r="L2181" s="53" t="s">
        <v>62</v>
      </c>
      <c r="M2181" s="73">
        <v>75000.0</v>
      </c>
      <c r="N2181" s="74"/>
      <c r="O2181" s="73">
        <v>750000.0</v>
      </c>
      <c r="P2181" s="46" t="str">
        <f t="shared" si="2"/>
        <v>Rp75,000-10 LSN-0.00%</v>
      </c>
      <c r="Q2181" s="75">
        <v>45415.0</v>
      </c>
      <c r="R2181" s="75">
        <v>45415.0</v>
      </c>
      <c r="S2181" s="75">
        <v>45423.0</v>
      </c>
      <c r="T2181" s="49"/>
    </row>
    <row r="2182">
      <c r="A2182" s="90">
        <v>1887.0</v>
      </c>
      <c r="B2182" s="91" t="s">
        <v>29</v>
      </c>
      <c r="C2182" s="49" t="s">
        <v>2371</v>
      </c>
      <c r="D2182" s="91" t="s">
        <v>2546</v>
      </c>
      <c r="E2182" s="41" t="str">
        <f>IFERROR(__xludf.DUMMYFUNCTION("vlookup(D2182,IMPORTRANGE(""https://docs.google.com/spreadsheets/d/1swGwZOEqYlTEUCJLY-eeJM1911Kvaei5oySBIxdgtNo/edit?pli=1#gid=257618397"",""stock untanna!B:C""),2,false)"),"GARISAN 9443")</f>
        <v>GARISAN 9443</v>
      </c>
      <c r="F2182" s="49" t="s">
        <v>2546</v>
      </c>
      <c r="G2182" s="71" t="s">
        <v>2547</v>
      </c>
      <c r="H2182" s="41"/>
      <c r="I2182" s="42"/>
      <c r="J2182" s="43"/>
      <c r="K2182" s="72">
        <v>24.0</v>
      </c>
      <c r="L2182" s="53" t="s">
        <v>69</v>
      </c>
      <c r="M2182" s="73">
        <v>10500.0</v>
      </c>
      <c r="N2182" s="74"/>
      <c r="O2182" s="73">
        <v>252000.0</v>
      </c>
      <c r="P2182" s="46" t="str">
        <f t="shared" si="2"/>
        <v>Rp10,500-24 PCS-0.00%</v>
      </c>
      <c r="Q2182" s="75">
        <v>45415.0</v>
      </c>
      <c r="R2182" s="75">
        <v>45415.0</v>
      </c>
      <c r="S2182" s="75">
        <v>45423.0</v>
      </c>
      <c r="T2182" s="49"/>
    </row>
    <row r="2183">
      <c r="A2183" s="90">
        <v>1887.0</v>
      </c>
      <c r="B2183" s="91" t="s">
        <v>29</v>
      </c>
      <c r="C2183" s="49" t="s">
        <v>2371</v>
      </c>
      <c r="D2183" s="91" t="s">
        <v>2548</v>
      </c>
      <c r="E2183" s="41" t="str">
        <f>IFERROR(__xludf.DUMMYFUNCTION("vlookup(D2183,IMPORTRANGE(""https://docs.google.com/spreadsheets/d/1swGwZOEqYlTEUCJLY-eeJM1911Kvaei5oySBIxdgtNo/edit?pli=1#gid=257618397"",""stock untanna!B:C""),2,false)"),"GARISAN 1896")</f>
        <v>GARISAN 1896</v>
      </c>
      <c r="F2183" s="49" t="s">
        <v>2548</v>
      </c>
      <c r="G2183" s="71" t="s">
        <v>2549</v>
      </c>
      <c r="H2183" s="41"/>
      <c r="I2183" s="42"/>
      <c r="J2183" s="43"/>
      <c r="K2183" s="72">
        <v>24.0</v>
      </c>
      <c r="L2183" s="53" t="s">
        <v>69</v>
      </c>
      <c r="M2183" s="73">
        <v>10500.0</v>
      </c>
      <c r="N2183" s="74"/>
      <c r="O2183" s="73">
        <v>252000.0</v>
      </c>
      <c r="P2183" s="46" t="str">
        <f t="shared" si="2"/>
        <v>Rp10,500-24 PCS-0.00%</v>
      </c>
      <c r="Q2183" s="75">
        <v>45415.0</v>
      </c>
      <c r="R2183" s="75">
        <v>45415.0</v>
      </c>
      <c r="S2183" s="75">
        <v>45423.0</v>
      </c>
      <c r="T2183" s="49"/>
    </row>
    <row r="2184">
      <c r="A2184" s="90">
        <v>1887.0</v>
      </c>
      <c r="B2184" s="91" t="s">
        <v>29</v>
      </c>
      <c r="C2184" s="49" t="s">
        <v>2371</v>
      </c>
      <c r="D2184" s="91"/>
      <c r="E2184" s="41" t="s">
        <v>2550</v>
      </c>
      <c r="F2184" s="49"/>
      <c r="G2184" s="71" t="s">
        <v>2550</v>
      </c>
      <c r="H2184" s="41"/>
      <c r="I2184" s="42"/>
      <c r="J2184" s="43"/>
      <c r="K2184" s="72">
        <v>2.0</v>
      </c>
      <c r="L2184" s="53" t="s">
        <v>62</v>
      </c>
      <c r="M2184" s="73">
        <v>30000.0</v>
      </c>
      <c r="N2184" s="74"/>
      <c r="O2184" s="73">
        <v>60000.0</v>
      </c>
      <c r="P2184" s="46" t="str">
        <f t="shared" si="2"/>
        <v>Rp30,000-2 LSN-0.00%</v>
      </c>
      <c r="Q2184" s="75">
        <v>45415.0</v>
      </c>
      <c r="R2184" s="75">
        <v>45415.0</v>
      </c>
      <c r="S2184" s="75">
        <v>45423.0</v>
      </c>
      <c r="T2184" s="49"/>
    </row>
    <row r="2185">
      <c r="A2185" s="90">
        <v>1887.0</v>
      </c>
      <c r="B2185" s="91" t="s">
        <v>29</v>
      </c>
      <c r="C2185" s="49" t="s">
        <v>2371</v>
      </c>
      <c r="D2185" s="91" t="s">
        <v>2551</v>
      </c>
      <c r="E2185" s="41" t="str">
        <f>IFERROR(__xludf.DUMMYFUNCTION("vlookup(D2185,IMPORTRANGE(""https://docs.google.com/spreadsheets/d/1swGwZOEqYlTEUCJLY-eeJM1911Kvaei5oySBIxdgtNo/edit?pli=1#gid=257618397"",""stock untanna!B:C""),2,false)"),"GARISAN 4311")</f>
        <v>GARISAN 4311</v>
      </c>
      <c r="F2185" s="49" t="s">
        <v>2551</v>
      </c>
      <c r="G2185" s="71" t="s">
        <v>2552</v>
      </c>
      <c r="H2185" s="41"/>
      <c r="I2185" s="42"/>
      <c r="J2185" s="43"/>
      <c r="K2185" s="72">
        <v>24.0</v>
      </c>
      <c r="L2185" s="53" t="s">
        <v>69</v>
      </c>
      <c r="M2185" s="73">
        <v>5417.0</v>
      </c>
      <c r="N2185" s="74"/>
      <c r="O2185" s="73">
        <v>130008.0</v>
      </c>
      <c r="P2185" s="46" t="str">
        <f t="shared" si="2"/>
        <v>Rp5,417-24 PCS-0.00%</v>
      </c>
      <c r="Q2185" s="75">
        <v>45415.0</v>
      </c>
      <c r="R2185" s="75">
        <v>45415.0</v>
      </c>
      <c r="S2185" s="75">
        <v>45423.0</v>
      </c>
      <c r="T2185" s="49"/>
    </row>
    <row r="2186">
      <c r="A2186" s="90">
        <v>1888.0</v>
      </c>
      <c r="B2186" s="91" t="s">
        <v>29</v>
      </c>
      <c r="C2186" s="49" t="s">
        <v>2371</v>
      </c>
      <c r="D2186" s="91"/>
      <c r="E2186" s="41" t="s">
        <v>2553</v>
      </c>
      <c r="F2186" s="49"/>
      <c r="G2186" s="71" t="s">
        <v>2553</v>
      </c>
      <c r="H2186" s="41"/>
      <c r="I2186" s="42"/>
      <c r="J2186" s="43"/>
      <c r="K2186" s="72">
        <v>25.0</v>
      </c>
      <c r="L2186" s="53" t="s">
        <v>69</v>
      </c>
      <c r="M2186" s="73">
        <v>6500.0</v>
      </c>
      <c r="N2186" s="74"/>
      <c r="O2186" s="73">
        <v>162500.0</v>
      </c>
      <c r="P2186" s="46" t="str">
        <f t="shared" si="2"/>
        <v>Rp6,500-25 PCS-0.00%</v>
      </c>
      <c r="Q2186" s="75">
        <v>45415.0</v>
      </c>
      <c r="R2186" s="76"/>
      <c r="S2186" s="75">
        <v>45423.0</v>
      </c>
      <c r="T2186" s="49"/>
    </row>
    <row r="2187">
      <c r="A2187" s="90">
        <v>1888.0</v>
      </c>
      <c r="B2187" s="91" t="s">
        <v>29</v>
      </c>
      <c r="C2187" s="49" t="s">
        <v>2371</v>
      </c>
      <c r="D2187" s="91"/>
      <c r="E2187" s="41" t="s">
        <v>2554</v>
      </c>
      <c r="F2187" s="49"/>
      <c r="G2187" s="71" t="s">
        <v>2554</v>
      </c>
      <c r="H2187" s="41"/>
      <c r="I2187" s="42"/>
      <c r="J2187" s="43"/>
      <c r="K2187" s="72">
        <v>25.0</v>
      </c>
      <c r="L2187" s="53" t="s">
        <v>69</v>
      </c>
      <c r="M2187" s="73">
        <v>6500.0</v>
      </c>
      <c r="N2187" s="74"/>
      <c r="O2187" s="73">
        <v>162500.0</v>
      </c>
      <c r="P2187" s="46" t="str">
        <f t="shared" si="2"/>
        <v>Rp6,500-25 PCS-0.00%</v>
      </c>
      <c r="Q2187" s="75">
        <v>45415.0</v>
      </c>
      <c r="R2187" s="76"/>
      <c r="S2187" s="75">
        <v>45423.0</v>
      </c>
      <c r="T2187" s="49"/>
    </row>
    <row r="2188">
      <c r="A2188" s="90">
        <v>1888.0</v>
      </c>
      <c r="B2188" s="91" t="s">
        <v>29</v>
      </c>
      <c r="C2188" s="49" t="s">
        <v>2371</v>
      </c>
      <c r="D2188" s="91" t="s">
        <v>2555</v>
      </c>
      <c r="E2188" s="41" t="str">
        <f>IFERROR(__xludf.DUMMYFUNCTION("vlookup(D2188,IMPORTRANGE(""https://docs.google.com/spreadsheets/d/1swGwZOEqYlTEUCJLY-eeJM1911Kvaei5oySBIxdgtNo/edit?pli=1#gid=257618397"",""stock untanna!B:C""),2,false)"),"GARISAN 8418")</f>
        <v>GARISAN 8418</v>
      </c>
      <c r="F2188" s="49" t="s">
        <v>2555</v>
      </c>
      <c r="G2188" s="71" t="s">
        <v>2556</v>
      </c>
      <c r="H2188" s="41"/>
      <c r="I2188" s="42"/>
      <c r="J2188" s="43"/>
      <c r="K2188" s="72">
        <v>24.0</v>
      </c>
      <c r="L2188" s="53" t="s">
        <v>69</v>
      </c>
      <c r="M2188" s="73">
        <v>10500.0</v>
      </c>
      <c r="N2188" s="74"/>
      <c r="O2188" s="73">
        <v>252000.0</v>
      </c>
      <c r="P2188" s="46" t="str">
        <f t="shared" si="2"/>
        <v>Rp10,500-24 PCS-0.00%</v>
      </c>
      <c r="Q2188" s="75">
        <v>45415.0</v>
      </c>
      <c r="R2188" s="76"/>
      <c r="S2188" s="75">
        <v>45423.0</v>
      </c>
      <c r="T2188" s="49"/>
    </row>
    <row r="2189">
      <c r="A2189" s="90">
        <v>1888.0</v>
      </c>
      <c r="B2189" s="91" t="s">
        <v>29</v>
      </c>
      <c r="C2189" s="49" t="s">
        <v>2371</v>
      </c>
      <c r="D2189" s="91" t="s">
        <v>2557</v>
      </c>
      <c r="E2189" s="41" t="str">
        <f>IFERROR(__xludf.DUMMYFUNCTION("vlookup(D2189,IMPORTRANGE(""https://docs.google.com/spreadsheets/d/1swGwZOEqYlTEUCJLY-eeJM1911Kvaei5oySBIxdgtNo/edit?pli=1#gid=257618397"",""stock untanna!B:C""),2,false)"),"GARISAN 2540")</f>
        <v>GARISAN 2540</v>
      </c>
      <c r="F2189" s="49" t="s">
        <v>2557</v>
      </c>
      <c r="G2189" s="71" t="s">
        <v>2558</v>
      </c>
      <c r="H2189" s="41"/>
      <c r="I2189" s="42"/>
      <c r="J2189" s="43"/>
      <c r="K2189" s="72">
        <v>24.0</v>
      </c>
      <c r="L2189" s="53" t="s">
        <v>69</v>
      </c>
      <c r="M2189" s="73">
        <v>10500.0</v>
      </c>
      <c r="N2189" s="74"/>
      <c r="O2189" s="73">
        <v>252000.0</v>
      </c>
      <c r="P2189" s="46" t="str">
        <f t="shared" si="2"/>
        <v>Rp10,500-24 PCS-0.00%</v>
      </c>
      <c r="Q2189" s="75">
        <v>45415.0</v>
      </c>
      <c r="R2189" s="76"/>
      <c r="S2189" s="75">
        <v>45423.0</v>
      </c>
      <c r="T2189" s="49"/>
    </row>
    <row r="2190">
      <c r="A2190" s="90">
        <v>1888.0</v>
      </c>
      <c r="B2190" s="91" t="s">
        <v>29</v>
      </c>
      <c r="C2190" s="49" t="s">
        <v>2371</v>
      </c>
      <c r="D2190" s="91" t="s">
        <v>2559</v>
      </c>
      <c r="E2190" s="41" t="str">
        <f>IFERROR(__xludf.DUMMYFUNCTION("vlookup(D2190,IMPORTRANGE(""https://docs.google.com/spreadsheets/d/1swGwZOEqYlTEUCJLY-eeJM1911Kvaei5oySBIxdgtNo/edit?pli=1#gid=257618397"",""stock untanna!B:C""),2,false)"),"GARISAN 4317")</f>
        <v>GARISAN 4317</v>
      </c>
      <c r="F2190" s="49" t="s">
        <v>2559</v>
      </c>
      <c r="G2190" s="71" t="s">
        <v>2560</v>
      </c>
      <c r="H2190" s="41"/>
      <c r="I2190" s="42"/>
      <c r="J2190" s="43"/>
      <c r="K2190" s="72">
        <v>24.0</v>
      </c>
      <c r="L2190" s="53" t="s">
        <v>69</v>
      </c>
      <c r="M2190" s="73">
        <v>5417.0</v>
      </c>
      <c r="N2190" s="74"/>
      <c r="O2190" s="73">
        <v>130008.0</v>
      </c>
      <c r="P2190" s="46" t="str">
        <f t="shared" si="2"/>
        <v>Rp5,417-24 PCS-0.00%</v>
      </c>
      <c r="Q2190" s="75">
        <v>45415.0</v>
      </c>
      <c r="R2190" s="76"/>
      <c r="S2190" s="75">
        <v>45423.0</v>
      </c>
      <c r="T2190" s="49"/>
    </row>
    <row r="2191">
      <c r="A2191" s="90">
        <v>1888.0</v>
      </c>
      <c r="B2191" s="91" t="s">
        <v>29</v>
      </c>
      <c r="C2191" s="49" t="s">
        <v>2371</v>
      </c>
      <c r="D2191" s="91" t="s">
        <v>2561</v>
      </c>
      <c r="E2191" s="41" t="str">
        <f>IFERROR(__xludf.DUMMYFUNCTION("vlookup(D2191,IMPORTRANGE(""https://docs.google.com/spreadsheets/d/1swGwZOEqYlTEUCJLY-eeJM1911Kvaei5oySBIxdgtNo/edit?pli=1#gid=257618397"",""stock untanna!B:C""),2,false)"),"GARISAN 1890")</f>
        <v>GARISAN 1890</v>
      </c>
      <c r="F2191" s="49" t="s">
        <v>2561</v>
      </c>
      <c r="G2191" s="71" t="s">
        <v>2562</v>
      </c>
      <c r="H2191" s="41"/>
      <c r="I2191" s="42"/>
      <c r="J2191" s="43"/>
      <c r="K2191" s="72">
        <v>24.0</v>
      </c>
      <c r="L2191" s="53" t="s">
        <v>69</v>
      </c>
      <c r="M2191" s="73">
        <v>10500.0</v>
      </c>
      <c r="N2191" s="74"/>
      <c r="O2191" s="73">
        <v>252000.0</v>
      </c>
      <c r="P2191" s="46" t="str">
        <f t="shared" si="2"/>
        <v>Rp10,500-24 PCS-0.00%</v>
      </c>
      <c r="Q2191" s="75">
        <v>45415.0</v>
      </c>
      <c r="R2191" s="76"/>
      <c r="S2191" s="75">
        <v>45423.0</v>
      </c>
      <c r="T2191" s="49"/>
    </row>
    <row r="2192">
      <c r="A2192" s="90">
        <v>1888.0</v>
      </c>
      <c r="B2192" s="91" t="s">
        <v>29</v>
      </c>
      <c r="C2192" s="49" t="s">
        <v>2371</v>
      </c>
      <c r="D2192" s="91" t="s">
        <v>2563</v>
      </c>
      <c r="E2192" s="41" t="str">
        <f>IFERROR(__xludf.DUMMYFUNCTION("vlookup(D2192,IMPORTRANGE(""https://docs.google.com/spreadsheets/d/1swGwZOEqYlTEUCJLY-eeJM1911Kvaei5oySBIxdgtNo/edit?pli=1#gid=257618397"",""stock untanna!B:C""),2,false)"),"GARISAN 050 (SABLON)")</f>
        <v>GARISAN 050 (SABLON)</v>
      </c>
      <c r="F2192" s="49" t="s">
        <v>2563</v>
      </c>
      <c r="G2192" s="71" t="s">
        <v>2564</v>
      </c>
      <c r="H2192" s="41"/>
      <c r="I2192" s="42"/>
      <c r="J2192" s="43"/>
      <c r="K2192" s="72">
        <v>24.0</v>
      </c>
      <c r="L2192" s="53" t="s">
        <v>69</v>
      </c>
      <c r="M2192" s="73">
        <v>20833.0</v>
      </c>
      <c r="N2192" s="74"/>
      <c r="O2192" s="73">
        <v>499992.0</v>
      </c>
      <c r="P2192" s="46" t="str">
        <f t="shared" si="2"/>
        <v>Rp20,833-24 PCS-0.00%</v>
      </c>
      <c r="Q2192" s="75">
        <v>45415.0</v>
      </c>
      <c r="R2192" s="76"/>
      <c r="S2192" s="75">
        <v>45423.0</v>
      </c>
      <c r="T2192" s="49"/>
    </row>
    <row r="2193">
      <c r="A2193" s="90">
        <v>1888.0</v>
      </c>
      <c r="B2193" s="91" t="s">
        <v>29</v>
      </c>
      <c r="C2193" s="49" t="s">
        <v>2371</v>
      </c>
      <c r="D2193" s="91" t="s">
        <v>383</v>
      </c>
      <c r="E2193" s="41" t="str">
        <f>IFERROR(__xludf.DUMMYFUNCTION("vlookup(D2193,IMPORTRANGE(""https://docs.google.com/spreadsheets/d/1swGwZOEqYlTEUCJLY-eeJM1911Kvaei5oySBIxdgtNo/edit?pli=1#gid=257618397"",""stock untanna!B:C""),2,false)"),"GARISAN BC-6018")</f>
        <v>GARISAN BC-6018</v>
      </c>
      <c r="F2193" s="49" t="s">
        <v>383</v>
      </c>
      <c r="G2193" s="71" t="s">
        <v>384</v>
      </c>
      <c r="H2193" s="41"/>
      <c r="I2193" s="42"/>
      <c r="J2193" s="43"/>
      <c r="K2193" s="72">
        <v>150.0</v>
      </c>
      <c r="L2193" s="53" t="s">
        <v>69</v>
      </c>
      <c r="M2193" s="73">
        <v>4250.0</v>
      </c>
      <c r="N2193" s="74"/>
      <c r="O2193" s="73">
        <v>637500.0</v>
      </c>
      <c r="P2193" s="46" t="str">
        <f t="shared" si="2"/>
        <v>Rp4,250-150 PCS-0.00%</v>
      </c>
      <c r="Q2193" s="75">
        <v>45415.0</v>
      </c>
      <c r="R2193" s="76"/>
      <c r="S2193" s="75">
        <v>45423.0</v>
      </c>
      <c r="T2193" s="49"/>
    </row>
    <row r="2194">
      <c r="A2194" s="90">
        <v>1888.0</v>
      </c>
      <c r="B2194" s="91" t="s">
        <v>29</v>
      </c>
      <c r="C2194" s="49" t="s">
        <v>2371</v>
      </c>
      <c r="D2194" s="91" t="s">
        <v>2565</v>
      </c>
      <c r="E2194" s="41" t="str">
        <f>IFERROR(__xludf.DUMMYFUNCTION("vlookup(D2194,IMPORTRANGE(""https://docs.google.com/spreadsheets/d/1swGwZOEqYlTEUCJLY-eeJM1911Kvaei5oySBIxdgtNo/edit?pli=1#gid=257618397"",""stock untanna!B:C""),2,false)"),"MECHPEN TIZO 01730")</f>
        <v>MECHPEN TIZO 01730</v>
      </c>
      <c r="F2194" s="49" t="s">
        <v>2565</v>
      </c>
      <c r="G2194" s="71" t="s">
        <v>481</v>
      </c>
      <c r="H2194" s="41"/>
      <c r="I2194" s="42"/>
      <c r="J2194" s="43"/>
      <c r="K2194" s="72">
        <v>35.0</v>
      </c>
      <c r="L2194" s="53" t="s">
        <v>62</v>
      </c>
      <c r="M2194" s="73">
        <v>20000.0</v>
      </c>
      <c r="N2194" s="74"/>
      <c r="O2194" s="73">
        <v>700000.0</v>
      </c>
      <c r="P2194" s="46" t="str">
        <f t="shared" si="2"/>
        <v>Rp20,000-35 LSN-0.00%</v>
      </c>
      <c r="Q2194" s="75">
        <v>45415.0</v>
      </c>
      <c r="R2194" s="76"/>
      <c r="S2194" s="75">
        <v>45423.0</v>
      </c>
      <c r="T2194" s="49"/>
    </row>
    <row r="2195">
      <c r="A2195" s="90">
        <v>1888.0</v>
      </c>
      <c r="B2195" s="91" t="s">
        <v>29</v>
      </c>
      <c r="C2195" s="49" t="s">
        <v>2371</v>
      </c>
      <c r="D2195" s="91"/>
      <c r="E2195" s="41" t="s">
        <v>2566</v>
      </c>
      <c r="F2195" s="49"/>
      <c r="G2195" s="78" t="s">
        <v>2566</v>
      </c>
      <c r="H2195" s="41"/>
      <c r="I2195" s="42"/>
      <c r="J2195" s="43"/>
      <c r="K2195" s="72">
        <v>10.0</v>
      </c>
      <c r="L2195" s="53" t="s">
        <v>62</v>
      </c>
      <c r="M2195" s="73">
        <v>15000.0</v>
      </c>
      <c r="N2195" s="74"/>
      <c r="O2195" s="73">
        <v>150000.0</v>
      </c>
      <c r="P2195" s="46" t="str">
        <f t="shared" si="2"/>
        <v>Rp15,000-10 LSN-0.00%</v>
      </c>
      <c r="Q2195" s="75">
        <v>45415.0</v>
      </c>
      <c r="R2195" s="76"/>
      <c r="S2195" s="75">
        <v>45423.0</v>
      </c>
      <c r="T2195" s="49"/>
    </row>
    <row r="2196">
      <c r="A2196" s="90">
        <v>1888.0</v>
      </c>
      <c r="B2196" s="91" t="s">
        <v>29</v>
      </c>
      <c r="C2196" s="49" t="s">
        <v>2371</v>
      </c>
      <c r="D2196" s="91" t="s">
        <v>2567</v>
      </c>
      <c r="E2196" s="41" t="str">
        <f>IFERROR(__xludf.DUMMYFUNCTION("vlookup(D2196,IMPORTRANGE(""https://docs.google.com/spreadsheets/d/1swGwZOEqYlTEUCJLY-eeJM1911Kvaei5oySBIxdgtNo/edit?pli=1#gid=257618397"",""stock untanna!B:C""),2,false)"),"BP GEL WM-7200 CETEK2")</f>
        <v>BP GEL WM-7200 CETEK2</v>
      </c>
      <c r="F2196" s="49" t="s">
        <v>2567</v>
      </c>
      <c r="G2196" s="71" t="s">
        <v>2568</v>
      </c>
      <c r="H2196" s="41"/>
      <c r="I2196" s="42"/>
      <c r="J2196" s="43"/>
      <c r="K2196" s="72">
        <v>36.0</v>
      </c>
      <c r="L2196" s="53" t="s">
        <v>62</v>
      </c>
      <c r="M2196" s="73">
        <v>45000.0</v>
      </c>
      <c r="N2196" s="74"/>
      <c r="O2196" s="73">
        <v>1620000.0</v>
      </c>
      <c r="P2196" s="46" t="str">
        <f t="shared" si="2"/>
        <v>Rp45,000-36 LSN-0.00%</v>
      </c>
      <c r="Q2196" s="75">
        <v>45415.0</v>
      </c>
      <c r="R2196" s="76"/>
      <c r="S2196" s="75">
        <v>45423.0</v>
      </c>
      <c r="T2196" s="49"/>
    </row>
    <row r="2197">
      <c r="A2197" s="90">
        <v>1888.0</v>
      </c>
      <c r="B2197" s="91" t="s">
        <v>29</v>
      </c>
      <c r="C2197" s="49" t="s">
        <v>2371</v>
      </c>
      <c r="D2197" s="91"/>
      <c r="E2197" s="41" t="s">
        <v>2569</v>
      </c>
      <c r="F2197" s="49"/>
      <c r="G2197" s="71" t="s">
        <v>2569</v>
      </c>
      <c r="H2197" s="41"/>
      <c r="I2197" s="42"/>
      <c r="J2197" s="43"/>
      <c r="K2197" s="72">
        <v>5.0</v>
      </c>
      <c r="L2197" s="53" t="s">
        <v>62</v>
      </c>
      <c r="M2197" s="73">
        <v>285000.0</v>
      </c>
      <c r="N2197" s="74"/>
      <c r="O2197" s="73">
        <v>1425000.0</v>
      </c>
      <c r="P2197" s="46" t="str">
        <f t="shared" si="2"/>
        <v>Rp285,000-5 LSN-0.00%</v>
      </c>
      <c r="Q2197" s="75">
        <v>45415.0</v>
      </c>
      <c r="R2197" s="76"/>
      <c r="S2197" s="75">
        <v>45423.0</v>
      </c>
      <c r="T2197" s="49"/>
    </row>
    <row r="2198">
      <c r="A2198" s="90">
        <v>1888.0</v>
      </c>
      <c r="B2198" s="91" t="s">
        <v>29</v>
      </c>
      <c r="C2198" s="49" t="s">
        <v>2371</v>
      </c>
      <c r="D2198" s="91"/>
      <c r="E2198" s="41" t="s">
        <v>2570</v>
      </c>
      <c r="F2198" s="49"/>
      <c r="G2198" s="71" t="s">
        <v>2570</v>
      </c>
      <c r="H2198" s="41"/>
      <c r="I2198" s="42"/>
      <c r="J2198" s="43"/>
      <c r="K2198" s="72">
        <v>18.0</v>
      </c>
      <c r="L2198" s="53" t="s">
        <v>62</v>
      </c>
      <c r="M2198" s="73">
        <v>19200.0</v>
      </c>
      <c r="N2198" s="83">
        <v>0.1</v>
      </c>
      <c r="O2198" s="73">
        <v>311040.0</v>
      </c>
      <c r="P2198" s="46" t="str">
        <f t="shared" si="2"/>
        <v>Rp19,200-18 LSN-10.00%</v>
      </c>
      <c r="Q2198" s="75">
        <v>45415.0</v>
      </c>
      <c r="R2198" s="76"/>
      <c r="S2198" s="75">
        <v>45423.0</v>
      </c>
      <c r="T2198" s="80" t="s">
        <v>2571</v>
      </c>
    </row>
    <row r="2199">
      <c r="A2199" s="90">
        <v>8.0</v>
      </c>
      <c r="B2199" s="91" t="s">
        <v>29</v>
      </c>
      <c r="C2199" s="49" t="s">
        <v>643</v>
      </c>
      <c r="D2199" s="91" t="s">
        <v>631</v>
      </c>
      <c r="E2199" s="41" t="str">
        <f>IFERROR(__xludf.DUMMYFUNCTION("vlookup(D2199,IMPORTRANGE(""https://docs.google.com/spreadsheets/d/1swGwZOEqYlTEUCJLY-eeJM1911Kvaei5oySBIxdgtNo/edit?pli=1#gid=257618397"",""stock untanna!B:C""),2,false)"),"BP TIZO 31810F FANCY")</f>
        <v>BP TIZO 31810F FANCY</v>
      </c>
      <c r="F2199" s="49" t="s">
        <v>631</v>
      </c>
      <c r="G2199" s="71" t="s">
        <v>632</v>
      </c>
      <c r="H2199" s="41"/>
      <c r="I2199" s="42"/>
      <c r="J2199" s="43"/>
      <c r="K2199" s="72">
        <v>24.0</v>
      </c>
      <c r="L2199" s="53" t="s">
        <v>62</v>
      </c>
      <c r="M2199" s="73">
        <v>18000.0</v>
      </c>
      <c r="N2199" s="74"/>
      <c r="O2199" s="73">
        <v>432000.0</v>
      </c>
      <c r="P2199" s="46" t="str">
        <f t="shared" si="2"/>
        <v>Rp18,000-24 LSN-0.00%</v>
      </c>
      <c r="Q2199" s="75">
        <v>45415.0</v>
      </c>
      <c r="R2199" s="76"/>
      <c r="S2199" s="75">
        <v>45423.0</v>
      </c>
      <c r="T2199" s="49"/>
    </row>
    <row r="2200">
      <c r="A2200" s="90">
        <v>8.0</v>
      </c>
      <c r="B2200" s="91" t="s">
        <v>29</v>
      </c>
      <c r="C2200" s="49" t="s">
        <v>643</v>
      </c>
      <c r="D2200" s="91" t="s">
        <v>635</v>
      </c>
      <c r="E2200" s="41" t="str">
        <f>IFERROR(__xludf.DUMMYFUNCTION("vlookup(D2200,IMPORTRANGE(""https://docs.google.com/spreadsheets/d/1swGwZOEqYlTEUCJLY-eeJM1911Kvaei5oySBIxdgtNo/edit?pli=1#gid=257618397"",""stock untanna!B:C""),2,false)"),"BP GEL TIZO 31763F FANCY")</f>
        <v>BP GEL TIZO 31763F FANCY</v>
      </c>
      <c r="F2200" s="49" t="s">
        <v>635</v>
      </c>
      <c r="G2200" s="71" t="s">
        <v>636</v>
      </c>
      <c r="H2200" s="41"/>
      <c r="I2200" s="42"/>
      <c r="J2200" s="43"/>
      <c r="K2200" s="72">
        <v>24.0</v>
      </c>
      <c r="L2200" s="53" t="s">
        <v>62</v>
      </c>
      <c r="M2200" s="73">
        <v>18000.0</v>
      </c>
      <c r="N2200" s="74"/>
      <c r="O2200" s="73">
        <v>432000.0</v>
      </c>
      <c r="P2200" s="46" t="str">
        <f t="shared" si="2"/>
        <v>Rp18,000-24 LSN-0.00%</v>
      </c>
      <c r="Q2200" s="75">
        <v>45415.0</v>
      </c>
      <c r="R2200" s="76"/>
      <c r="S2200" s="75">
        <v>45423.0</v>
      </c>
      <c r="T2200" s="49"/>
    </row>
    <row r="2201">
      <c r="A2201" s="90">
        <v>8.0</v>
      </c>
      <c r="B2201" s="91" t="s">
        <v>29</v>
      </c>
      <c r="C2201" s="49" t="s">
        <v>643</v>
      </c>
      <c r="D2201" s="91" t="s">
        <v>627</v>
      </c>
      <c r="E2201" s="41" t="str">
        <f>IFERROR(__xludf.DUMMYFUNCTION("vlookup(D2201,IMPORTRANGE(""https://docs.google.com/spreadsheets/d/1swGwZOEqYlTEUCJLY-eeJM1911Kvaei5oySBIxdgtNo/edit?pli=1#gid=257618397"",""stock untanna!B:C""),2,false)"),"BP TIZO TG 30541F FANCY")</f>
        <v>BP TIZO TG 30541F FANCY</v>
      </c>
      <c r="F2201" s="49" t="s">
        <v>627</v>
      </c>
      <c r="G2201" s="71" t="s">
        <v>628</v>
      </c>
      <c r="H2201" s="41"/>
      <c r="I2201" s="42"/>
      <c r="J2201" s="43"/>
      <c r="K2201" s="72">
        <v>24.0</v>
      </c>
      <c r="L2201" s="53" t="s">
        <v>62</v>
      </c>
      <c r="M2201" s="73">
        <v>18000.0</v>
      </c>
      <c r="N2201" s="74"/>
      <c r="O2201" s="73">
        <v>432000.0</v>
      </c>
      <c r="P2201" s="46" t="str">
        <f t="shared" si="2"/>
        <v>Rp18,000-24 LSN-0.00%</v>
      </c>
      <c r="Q2201" s="75">
        <v>45415.0</v>
      </c>
      <c r="R2201" s="76"/>
      <c r="S2201" s="75">
        <v>45423.0</v>
      </c>
      <c r="T2201" s="49"/>
    </row>
    <row r="2202">
      <c r="A2202" s="90">
        <v>8.0</v>
      </c>
      <c r="B2202" s="91" t="s">
        <v>29</v>
      </c>
      <c r="C2202" s="49" t="s">
        <v>643</v>
      </c>
      <c r="D2202" s="91" t="s">
        <v>629</v>
      </c>
      <c r="E2202" s="41" t="str">
        <f>IFERROR(__xludf.DUMMYFUNCTION("vlookup(D2202,IMPORTRANGE(""https://docs.google.com/spreadsheets/d/1swGwZOEqYlTEUCJLY-eeJM1911Kvaei5oySBIxdgtNo/edit?pli=1#gid=257618397"",""stock untanna!B:C""),2,false)"),"BP GEL TIZO 30801F S3 FANCY")</f>
        <v>BP GEL TIZO 30801F S3 FANCY</v>
      </c>
      <c r="F2202" s="49" t="s">
        <v>629</v>
      </c>
      <c r="G2202" s="71" t="s">
        <v>630</v>
      </c>
      <c r="H2202" s="41"/>
      <c r="I2202" s="42"/>
      <c r="J2202" s="43"/>
      <c r="K2202" s="72">
        <v>24.0</v>
      </c>
      <c r="L2202" s="53" t="s">
        <v>62</v>
      </c>
      <c r="M2202" s="73">
        <v>18000.0</v>
      </c>
      <c r="N2202" s="74"/>
      <c r="O2202" s="73">
        <v>432000.0</v>
      </c>
      <c r="P2202" s="46" t="str">
        <f t="shared" si="2"/>
        <v>Rp18,000-24 LSN-0.00%</v>
      </c>
      <c r="Q2202" s="75">
        <v>45415.0</v>
      </c>
      <c r="R2202" s="76"/>
      <c r="S2202" s="75">
        <v>45423.0</v>
      </c>
      <c r="T2202" s="49"/>
    </row>
    <row r="2203">
      <c r="A2203" s="90">
        <v>8.0</v>
      </c>
      <c r="B2203" s="91" t="s">
        <v>29</v>
      </c>
      <c r="C2203" s="49" t="s">
        <v>643</v>
      </c>
      <c r="D2203" s="91" t="s">
        <v>633</v>
      </c>
      <c r="E2203" s="41" t="str">
        <f>IFERROR(__xludf.DUMMYFUNCTION("vlookup(D2203,IMPORTRANGE(""https://docs.google.com/spreadsheets/d/1swGwZOEqYlTEUCJLY-eeJM1911Kvaei5oySBIxdgtNo/edit?pli=1#gid=257618397"",""stock untanna!B:C""),2,false)"),"BP GEL TIZO 30734F FANCY")</f>
        <v>BP GEL TIZO 30734F FANCY</v>
      </c>
      <c r="F2203" s="49" t="s">
        <v>633</v>
      </c>
      <c r="G2203" s="71" t="s">
        <v>634</v>
      </c>
      <c r="H2203" s="41"/>
      <c r="I2203" s="42"/>
      <c r="J2203" s="43"/>
      <c r="K2203" s="72">
        <v>24.0</v>
      </c>
      <c r="L2203" s="53" t="s">
        <v>62</v>
      </c>
      <c r="M2203" s="73">
        <v>18000.0</v>
      </c>
      <c r="N2203" s="74"/>
      <c r="O2203" s="73">
        <v>432000.0</v>
      </c>
      <c r="P2203" s="46" t="str">
        <f t="shared" si="2"/>
        <v>Rp18,000-24 LSN-0.00%</v>
      </c>
      <c r="Q2203" s="75">
        <v>45415.0</v>
      </c>
      <c r="R2203" s="76"/>
      <c r="S2203" s="75">
        <v>45423.0</v>
      </c>
      <c r="T2203" s="49"/>
    </row>
    <row r="2204">
      <c r="A2204" s="90">
        <v>8.0</v>
      </c>
      <c r="B2204" s="91" t="s">
        <v>29</v>
      </c>
      <c r="C2204" s="49" t="s">
        <v>643</v>
      </c>
      <c r="D2204" s="91" t="s">
        <v>2251</v>
      </c>
      <c r="E2204" s="41" t="str">
        <f>IFERROR(__xludf.DUMMYFUNCTION("vlookup(D2204,IMPORTRANGE(""https://docs.google.com/spreadsheets/d/1swGwZOEqYlTEUCJLY-eeJM1911Kvaei5oySBIxdgtNo/edit?pli=1#gid=257618397"",""stock untanna!B:C""),2,false)"),"BP TIZO TG 30802F S3 FANCY")</f>
        <v>BP TIZO TG 30802F S3 FANCY</v>
      </c>
      <c r="F2204" s="49" t="s">
        <v>2251</v>
      </c>
      <c r="G2204" s="71" t="s">
        <v>2252</v>
      </c>
      <c r="H2204" s="41"/>
      <c r="I2204" s="42"/>
      <c r="J2204" s="43"/>
      <c r="K2204" s="72">
        <v>12.0</v>
      </c>
      <c r="L2204" s="53" t="s">
        <v>62</v>
      </c>
      <c r="M2204" s="73">
        <v>18000.0</v>
      </c>
      <c r="N2204" s="74"/>
      <c r="O2204" s="73">
        <v>216000.0</v>
      </c>
      <c r="P2204" s="46" t="str">
        <f t="shared" si="2"/>
        <v>Rp18,000-12 LSN-0.00%</v>
      </c>
      <c r="Q2204" s="75">
        <v>45415.0</v>
      </c>
      <c r="R2204" s="76"/>
      <c r="S2204" s="75">
        <v>45423.0</v>
      </c>
      <c r="T2204" s="49"/>
    </row>
    <row r="2205">
      <c r="A2205" s="90">
        <v>8.0</v>
      </c>
      <c r="B2205" s="91" t="s">
        <v>29</v>
      </c>
      <c r="C2205" s="49" t="s">
        <v>643</v>
      </c>
      <c r="D2205" s="91" t="s">
        <v>2256</v>
      </c>
      <c r="E2205" s="41" t="str">
        <f>IFERROR(__xludf.DUMMYFUNCTION("vlookup(D2205,IMPORTRANGE(""https://docs.google.com/spreadsheets/d/1swGwZOEqYlTEUCJLY-eeJM1911Kvaei5oySBIxdgtNo/edit?pli=1#gid=257618397"",""stock untanna!B:C""),2,false)"),"BP GEL TIZO 30900F FANCY")</f>
        <v>BP GEL TIZO 30900F FANCY</v>
      </c>
      <c r="F2205" s="49" t="s">
        <v>2256</v>
      </c>
      <c r="G2205" s="71" t="s">
        <v>2257</v>
      </c>
      <c r="H2205" s="41"/>
      <c r="I2205" s="42"/>
      <c r="J2205" s="43"/>
      <c r="K2205" s="72">
        <v>12.0</v>
      </c>
      <c r="L2205" s="53" t="s">
        <v>62</v>
      </c>
      <c r="M2205" s="73">
        <v>18000.0</v>
      </c>
      <c r="N2205" s="74"/>
      <c r="O2205" s="73">
        <v>216000.0</v>
      </c>
      <c r="P2205" s="46" t="str">
        <f t="shared" si="2"/>
        <v>Rp18,000-12 LSN-0.00%</v>
      </c>
      <c r="Q2205" s="75">
        <v>45415.0</v>
      </c>
      <c r="R2205" s="76"/>
      <c r="S2205" s="75">
        <v>45423.0</v>
      </c>
      <c r="T2205" s="49"/>
    </row>
    <row r="2206">
      <c r="A2206" s="90">
        <v>40.0</v>
      </c>
      <c r="B2206" s="91" t="s">
        <v>65</v>
      </c>
      <c r="C2206" s="49" t="s">
        <v>70</v>
      </c>
      <c r="D2206" s="91" t="s">
        <v>93</v>
      </c>
      <c r="E2206" s="41" t="str">
        <f>IFERROR(__xludf.DUMMYFUNCTION("vlookup(D2206,IMPORTRANGE(""https://docs.google.com/spreadsheets/d/1swGwZOEqYlTEUCJLY-eeJM1911Kvaei5oySBIxdgtNo/edit?pli=1#gid=257618397"",""stock untanna!B:C""),2,false)"),"CLIPBOARD SQ KAYU KOTAK")</f>
        <v>CLIPBOARD SQ KAYU KOTAK</v>
      </c>
      <c r="F2206" s="49" t="s">
        <v>93</v>
      </c>
      <c r="G2206" s="71" t="s">
        <v>94</v>
      </c>
      <c r="H2206" s="41"/>
      <c r="I2206" s="42"/>
      <c r="J2206" s="43"/>
      <c r="K2206" s="72">
        <v>144.0</v>
      </c>
      <c r="L2206" s="53" t="s">
        <v>69</v>
      </c>
      <c r="M2206" s="73">
        <v>3167.0</v>
      </c>
      <c r="N2206" s="74"/>
      <c r="O2206" s="73">
        <v>456048.0</v>
      </c>
      <c r="P2206" s="46" t="str">
        <f t="shared" si="2"/>
        <v>Rp3,167-144 PCS-0.00%</v>
      </c>
      <c r="Q2206" s="75">
        <v>45415.0</v>
      </c>
      <c r="R2206" s="76"/>
      <c r="S2206" s="75">
        <v>45423.0</v>
      </c>
      <c r="T2206" s="49"/>
    </row>
    <row r="2207">
      <c r="A2207" s="90">
        <v>40.0</v>
      </c>
      <c r="B2207" s="91" t="s">
        <v>65</v>
      </c>
      <c r="C2207" s="49" t="s">
        <v>70</v>
      </c>
      <c r="D2207" s="91" t="s">
        <v>2572</v>
      </c>
      <c r="E2207" s="41" t="str">
        <f>IFERROR(__xludf.DUMMYFUNCTION("vlookup(D2207,IMPORTRANGE(""https://docs.google.com/spreadsheets/d/1swGwZOEqYlTEUCJLY-eeJM1911Kvaei5oySBIxdgtNo/edit?pli=1#gid=257618397"",""stock untanna!B:C""),2,false)"),"MAGNET 006")</f>
        <v>MAGNET 006</v>
      </c>
      <c r="F2207" s="49" t="s">
        <v>2572</v>
      </c>
      <c r="G2207" s="71" t="s">
        <v>2573</v>
      </c>
      <c r="H2207" s="41"/>
      <c r="I2207" s="42"/>
      <c r="J2207" s="43"/>
      <c r="K2207" s="72">
        <v>12.0</v>
      </c>
      <c r="L2207" s="53" t="s">
        <v>69</v>
      </c>
      <c r="M2207" s="73">
        <v>16667.0</v>
      </c>
      <c r="N2207" s="74"/>
      <c r="O2207" s="73">
        <v>200004.0</v>
      </c>
      <c r="P2207" s="46" t="str">
        <f t="shared" si="2"/>
        <v>Rp16,667-12 PCS-0.00%</v>
      </c>
      <c r="Q2207" s="75">
        <v>45415.0</v>
      </c>
      <c r="R2207" s="76"/>
      <c r="S2207" s="75">
        <v>45423.0</v>
      </c>
      <c r="T2207" s="49"/>
    </row>
    <row r="2208">
      <c r="A2208" s="90">
        <v>40.0</v>
      </c>
      <c r="B2208" s="91" t="s">
        <v>65</v>
      </c>
      <c r="C2208" s="49" t="s">
        <v>70</v>
      </c>
      <c r="D2208" s="91" t="s">
        <v>2574</v>
      </c>
      <c r="E2208" s="41" t="str">
        <f>IFERROR(__xludf.DUMMYFUNCTION("vlookup(D2208,IMPORTRANGE(""https://docs.google.com/spreadsheets/d/1swGwZOEqYlTEUCJLY-eeJM1911Kvaei5oySBIxdgtNo/edit?pli=1#gid=257618397"",""stock untanna!B:C""),2,false)"),"MAGNET 002")</f>
        <v>MAGNET 002</v>
      </c>
      <c r="F2208" s="49" t="s">
        <v>2574</v>
      </c>
      <c r="G2208" s="71" t="s">
        <v>2575</v>
      </c>
      <c r="H2208" s="41"/>
      <c r="I2208" s="42"/>
      <c r="J2208" s="43"/>
      <c r="K2208" s="72">
        <v>12.0</v>
      </c>
      <c r="L2208" s="53" t="s">
        <v>69</v>
      </c>
      <c r="M2208" s="73">
        <v>25000.0</v>
      </c>
      <c r="N2208" s="74"/>
      <c r="O2208" s="73">
        <v>300000.0</v>
      </c>
      <c r="P2208" s="46" t="str">
        <f t="shared" si="2"/>
        <v>Rp25,000-12 PCS-0.00%</v>
      </c>
      <c r="Q2208" s="75">
        <v>45415.0</v>
      </c>
      <c r="R2208" s="76"/>
      <c r="S2208" s="75">
        <v>45423.0</v>
      </c>
      <c r="T2208" s="49"/>
    </row>
    <row r="2209">
      <c r="A2209" s="90">
        <v>151.0</v>
      </c>
      <c r="B2209" s="91" t="s">
        <v>29</v>
      </c>
      <c r="C2209" s="80" t="s">
        <v>115</v>
      </c>
      <c r="D2209" s="91" t="s">
        <v>93</v>
      </c>
      <c r="E2209" s="41" t="str">
        <f>IFERROR(__xludf.DUMMYFUNCTION("vlookup(D2209,IMPORTRANGE(""https://docs.google.com/spreadsheets/d/1swGwZOEqYlTEUCJLY-eeJM1911Kvaei5oySBIxdgtNo/edit?pli=1#gid=257618397"",""stock untanna!B:C""),2,false)"),"CLIPBOARD SQ KAYU KOTAK")</f>
        <v>CLIPBOARD SQ KAYU KOTAK</v>
      </c>
      <c r="F2209" s="49" t="s">
        <v>93</v>
      </c>
      <c r="G2209" s="71" t="s">
        <v>94</v>
      </c>
      <c r="H2209" s="41"/>
      <c r="I2209" s="42"/>
      <c r="J2209" s="43"/>
      <c r="K2209" s="72">
        <v>144.0</v>
      </c>
      <c r="L2209" s="53" t="s">
        <v>69</v>
      </c>
      <c r="M2209" s="73">
        <v>3125.0</v>
      </c>
      <c r="N2209" s="74"/>
      <c r="O2209" s="73">
        <v>450000.0</v>
      </c>
      <c r="P2209" s="46" t="str">
        <f t="shared" si="2"/>
        <v>Rp3,125-144 PCS-0.00%</v>
      </c>
      <c r="Q2209" s="75">
        <v>45415.0</v>
      </c>
      <c r="R2209" s="76"/>
      <c r="S2209" s="75">
        <v>45423.0</v>
      </c>
      <c r="T2209" s="49"/>
    </row>
    <row r="2210">
      <c r="A2210" s="90">
        <v>4345.0</v>
      </c>
      <c r="B2210" s="91" t="s">
        <v>29</v>
      </c>
      <c r="C2210" s="49" t="s">
        <v>2476</v>
      </c>
      <c r="D2210" s="91" t="s">
        <v>2576</v>
      </c>
      <c r="E2210" s="41" t="str">
        <f>IFERROR(__xludf.DUMMYFUNCTION("vlookup(D2210,IMPORTRANGE(""https://docs.google.com/spreadsheets/d/1swGwZOEqYlTEUCJLY-eeJM1911Kvaei5oySBIxdgtNo/edit?pli=1#gid=257618397"",""stock untanna!B:C""),2,false)"),"STIP W/B ENTER 823 K")</f>
        <v>STIP W/B ENTER 823 K</v>
      </c>
      <c r="F2210" s="49" t="s">
        <v>2576</v>
      </c>
      <c r="G2210" s="71" t="s">
        <v>2577</v>
      </c>
      <c r="H2210" s="41"/>
      <c r="I2210" s="42"/>
      <c r="J2210" s="43"/>
      <c r="K2210" s="72">
        <v>60.0</v>
      </c>
      <c r="L2210" s="53" t="s">
        <v>62</v>
      </c>
      <c r="M2210" s="73">
        <v>19500.0</v>
      </c>
      <c r="N2210" s="74"/>
      <c r="O2210" s="73">
        <v>1170000.0</v>
      </c>
      <c r="P2210" s="46" t="str">
        <f t="shared" si="2"/>
        <v>Rp19,500-60 LSN-0.00%</v>
      </c>
      <c r="Q2210" s="75">
        <v>45415.0</v>
      </c>
      <c r="R2210" s="76"/>
      <c r="S2210" s="75">
        <v>45423.0</v>
      </c>
      <c r="T2210" s="49"/>
    </row>
    <row r="2211">
      <c r="A2211" s="90">
        <v>4345.0</v>
      </c>
      <c r="B2211" s="91" t="s">
        <v>29</v>
      </c>
      <c r="C2211" s="49" t="s">
        <v>2476</v>
      </c>
      <c r="D2211" s="91" t="s">
        <v>748</v>
      </c>
      <c r="E2211" s="41" t="str">
        <f>IFERROR(__xludf.DUMMYFUNCTION("vlookup(D2211,IMPORTRANGE(""https://docs.google.com/spreadsheets/d/1swGwZOEqYlTEUCJLY-eeJM1911Kvaei5oySBIxdgtNo/edit?pli=1#gid=257618397"",""stock untanna!B:C""),2,false)"),"GARISAN BT 30 CM")</f>
        <v>GARISAN BT 30 CM</v>
      </c>
      <c r="F2211" s="49" t="s">
        <v>748</v>
      </c>
      <c r="G2211" s="71" t="s">
        <v>749</v>
      </c>
      <c r="H2211" s="41"/>
      <c r="I2211" s="42"/>
      <c r="J2211" s="43"/>
      <c r="K2211" s="72">
        <v>400.0</v>
      </c>
      <c r="L2211" s="53" t="s">
        <v>62</v>
      </c>
      <c r="M2211" s="73">
        <v>26780.0</v>
      </c>
      <c r="N2211" s="83">
        <v>0.2</v>
      </c>
      <c r="O2211" s="73">
        <v>8569600.0</v>
      </c>
      <c r="P2211" s="46" t="str">
        <f t="shared" si="2"/>
        <v>Rp26,780-400 LSN-20.00%</v>
      </c>
      <c r="Q2211" s="75">
        <v>45415.0</v>
      </c>
      <c r="R2211" s="76"/>
      <c r="S2211" s="75">
        <v>45423.0</v>
      </c>
      <c r="T2211" s="49"/>
    </row>
    <row r="2212">
      <c r="A2212" s="90">
        <v>4345.0</v>
      </c>
      <c r="B2212" s="91" t="s">
        <v>29</v>
      </c>
      <c r="C2212" s="49" t="s">
        <v>2476</v>
      </c>
      <c r="D2212" s="91" t="s">
        <v>505</v>
      </c>
      <c r="E2212" s="41" t="str">
        <f>IFERROR(__xludf.DUMMYFUNCTION("vlookup(D2212,IMPORTRANGE(""https://docs.google.com/spreadsheets/d/1swGwZOEqYlTEUCJLY-eeJM1911Kvaei5oySBIxdgtNo/edit?pli=1#gid=257618397"",""stock untanna!B:C""),2,false)"),"CUTTER TACO 88 BESAR")</f>
        <v>CUTTER TACO 88 BESAR</v>
      </c>
      <c r="F2212" s="49" t="s">
        <v>505</v>
      </c>
      <c r="G2212" s="71" t="s">
        <v>506</v>
      </c>
      <c r="H2212" s="41"/>
      <c r="I2212" s="42"/>
      <c r="J2212" s="43"/>
      <c r="K2212" s="72">
        <v>60.0</v>
      </c>
      <c r="L2212" s="53" t="s">
        <v>62</v>
      </c>
      <c r="M2212" s="73">
        <v>33000.0</v>
      </c>
      <c r="N2212" s="83">
        <v>0.125</v>
      </c>
      <c r="O2212" s="73">
        <v>1732500.0</v>
      </c>
      <c r="P2212" s="46" t="str">
        <f t="shared" si="2"/>
        <v>Rp33,000-60 LSN-12.50%</v>
      </c>
      <c r="Q2212" s="75">
        <v>45415.0</v>
      </c>
      <c r="R2212" s="76"/>
      <c r="S2212" s="75">
        <v>45423.0</v>
      </c>
      <c r="T2212" s="49"/>
    </row>
    <row r="2213">
      <c r="A2213" s="90">
        <v>4345.0</v>
      </c>
      <c r="B2213" s="91" t="s">
        <v>29</v>
      </c>
      <c r="C2213" s="49" t="s">
        <v>2476</v>
      </c>
      <c r="D2213" s="91" t="s">
        <v>503</v>
      </c>
      <c r="E2213" s="41" t="str">
        <f>IFERROR(__xludf.DUMMYFUNCTION("vlookup(D2213,IMPORTRANGE(""https://docs.google.com/spreadsheets/d/1swGwZOEqYlTEUCJLY-eeJM1911Kvaei5oySBIxdgtNo/edit?pli=1#gid=257618397"",""stock untanna!B:C""),2,false)"),"CUTTER TACO 78 KECIL TRANSPARAN")</f>
        <v>CUTTER TACO 78 KECIL TRANSPARAN</v>
      </c>
      <c r="F2213" s="49" t="s">
        <v>503</v>
      </c>
      <c r="G2213" s="71" t="s">
        <v>504</v>
      </c>
      <c r="H2213" s="41"/>
      <c r="I2213" s="42"/>
      <c r="J2213" s="43"/>
      <c r="K2213" s="72">
        <v>120.0</v>
      </c>
      <c r="L2213" s="53" t="s">
        <v>62</v>
      </c>
      <c r="M2213" s="73">
        <v>23000.0</v>
      </c>
      <c r="N2213" s="83">
        <v>0.125</v>
      </c>
      <c r="O2213" s="73">
        <v>2415000.0</v>
      </c>
      <c r="P2213" s="46" t="str">
        <f t="shared" si="2"/>
        <v>Rp23,000-120 LSN-12.50%</v>
      </c>
      <c r="Q2213" s="75">
        <v>45415.0</v>
      </c>
      <c r="R2213" s="76"/>
      <c r="S2213" s="75">
        <v>45423.0</v>
      </c>
      <c r="T2213" s="49"/>
    </row>
    <row r="2214">
      <c r="A2214" s="90">
        <v>4366.0</v>
      </c>
      <c r="B2214" s="91" t="s">
        <v>58</v>
      </c>
      <c r="C2214" s="49" t="s">
        <v>2578</v>
      </c>
      <c r="D2214" s="91" t="s">
        <v>746</v>
      </c>
      <c r="E2214" s="41" t="str">
        <f>IFERROR(__xludf.DUMMYFUNCTION("vlookup(D2214,IMPORTRANGE(""https://docs.google.com/spreadsheets/d/1swGwZOEqYlTEUCJLY-eeJM1911Kvaei5oySBIxdgtNo/edit?pli=1#gid=257618397"",""stock untanna!B:C""),2,false)"),"STAMP PAD HERO K")</f>
        <v>STAMP PAD HERO K</v>
      </c>
      <c r="F2214" s="49" t="s">
        <v>746</v>
      </c>
      <c r="G2214" s="71" t="s">
        <v>747</v>
      </c>
      <c r="H2214" s="41"/>
      <c r="I2214" s="42"/>
      <c r="J2214" s="43"/>
      <c r="K2214" s="72">
        <v>24.0</v>
      </c>
      <c r="L2214" s="53" t="s">
        <v>62</v>
      </c>
      <c r="M2214" s="73">
        <v>55000.0</v>
      </c>
      <c r="N2214" s="74"/>
      <c r="O2214" s="73">
        <v>1320000.0</v>
      </c>
      <c r="P2214" s="46" t="str">
        <f t="shared" si="2"/>
        <v>Rp55,000-24 LSN-0.00%</v>
      </c>
      <c r="Q2214" s="75">
        <v>45415.0</v>
      </c>
      <c r="R2214" s="76"/>
      <c r="S2214" s="75">
        <v>45423.0</v>
      </c>
      <c r="T2214" s="49"/>
    </row>
    <row r="2215">
      <c r="A2215" s="90">
        <v>4366.0</v>
      </c>
      <c r="B2215" s="91" t="s">
        <v>58</v>
      </c>
      <c r="C2215" s="49" t="s">
        <v>2578</v>
      </c>
      <c r="D2215" s="91" t="s">
        <v>2358</v>
      </c>
      <c r="E2215" s="41" t="str">
        <f>IFERROR(__xludf.DUMMYFUNCTION("vlookup(D2215,IMPORTRANGE(""https://docs.google.com/spreadsheets/d/1swGwZOEqYlTEUCJLY-eeJM1911Kvaei5oySBIxdgtNo/edit?pli=1#gid=257618397"",""stock untanna!B:C""),2,false)"),"STAMP PAD HERO BESAR")</f>
        <v>STAMP PAD HERO BESAR</v>
      </c>
      <c r="F2215" s="49" t="s">
        <v>2358</v>
      </c>
      <c r="G2215" s="71" t="s">
        <v>2359</v>
      </c>
      <c r="H2215" s="41"/>
      <c r="I2215" s="42"/>
      <c r="J2215" s="43"/>
      <c r="K2215" s="72">
        <v>20.0</v>
      </c>
      <c r="L2215" s="53" t="s">
        <v>62</v>
      </c>
      <c r="M2215" s="73">
        <v>67500.0</v>
      </c>
      <c r="N2215" s="74"/>
      <c r="O2215" s="73">
        <v>1350000.0</v>
      </c>
      <c r="P2215" s="46" t="str">
        <f t="shared" si="2"/>
        <v>Rp67,500-20 LSN-0.00%</v>
      </c>
      <c r="Q2215" s="75">
        <v>45415.0</v>
      </c>
      <c r="R2215" s="76"/>
      <c r="S2215" s="75">
        <v>45423.0</v>
      </c>
      <c r="T2215" s="49"/>
    </row>
    <row r="2216">
      <c r="A2216" s="90">
        <v>4434.0</v>
      </c>
      <c r="B2216" s="91" t="s">
        <v>29</v>
      </c>
      <c r="C2216" s="49" t="s">
        <v>34</v>
      </c>
      <c r="D2216" s="91"/>
      <c r="E2216" s="41" t="s">
        <v>2579</v>
      </c>
      <c r="F2216" s="49"/>
      <c r="G2216" s="71" t="s">
        <v>2579</v>
      </c>
      <c r="H2216" s="41"/>
      <c r="I2216" s="42"/>
      <c r="J2216" s="43"/>
      <c r="K2216" s="72">
        <v>12.0</v>
      </c>
      <c r="L2216" s="53" t="s">
        <v>88</v>
      </c>
      <c r="M2216" s="73">
        <v>24000.0</v>
      </c>
      <c r="N2216" s="74"/>
      <c r="O2216" s="73">
        <v>288000.0</v>
      </c>
      <c r="P2216" s="46" t="str">
        <f t="shared" si="2"/>
        <v>Rp24,000-12 BOX-0.00%</v>
      </c>
      <c r="Q2216" s="75">
        <v>45415.0</v>
      </c>
      <c r="R2216" s="76"/>
      <c r="S2216" s="75">
        <v>45423.0</v>
      </c>
      <c r="T2216" s="49"/>
    </row>
    <row r="2217">
      <c r="A2217" s="90">
        <v>4434.0</v>
      </c>
      <c r="B2217" s="91" t="s">
        <v>29</v>
      </c>
      <c r="C2217" s="49" t="s">
        <v>34</v>
      </c>
      <c r="D2217" s="91" t="s">
        <v>764</v>
      </c>
      <c r="E2217" s="41" t="str">
        <f>IFERROR(__xludf.DUMMYFUNCTION("vlookup(D2217,IMPORTRANGE(""https://docs.google.com/spreadsheets/d/1swGwZOEqYlTEUCJLY-eeJM1911Kvaei5oySBIxdgtNo/edit?pli=1#gid=257618397"",""stock untanna!B:C""),2,false)"),"GARISAN BUSUR ENTER 3.5 MIKA")</f>
        <v>GARISAN BUSUR ENTER 3.5 MIKA</v>
      </c>
      <c r="F2217" s="49" t="s">
        <v>764</v>
      </c>
      <c r="G2217" s="71" t="s">
        <v>765</v>
      </c>
      <c r="H2217" s="41"/>
      <c r="I2217" s="42"/>
      <c r="J2217" s="43"/>
      <c r="K2217" s="72">
        <v>320.0</v>
      </c>
      <c r="L2217" s="53" t="s">
        <v>62</v>
      </c>
      <c r="M2217" s="73">
        <v>6000.0</v>
      </c>
      <c r="N2217" s="74"/>
      <c r="O2217" s="73">
        <v>1920000.0</v>
      </c>
      <c r="P2217" s="46" t="str">
        <f t="shared" si="2"/>
        <v>Rp6,000-320 LSN-0.00%</v>
      </c>
      <c r="Q2217" s="75">
        <v>45415.0</v>
      </c>
      <c r="R2217" s="76"/>
      <c r="S2217" s="75">
        <v>45423.0</v>
      </c>
      <c r="T2217" s="49"/>
    </row>
    <row r="2218">
      <c r="A2218" s="90">
        <v>4434.0</v>
      </c>
      <c r="B2218" s="91" t="s">
        <v>29</v>
      </c>
      <c r="C2218" s="49" t="s">
        <v>34</v>
      </c>
      <c r="D2218" s="91" t="s">
        <v>1075</v>
      </c>
      <c r="E2218" s="41" t="str">
        <f>IFERROR(__xludf.DUMMYFUNCTION("vlookup(D2218,IMPORTRANGE(""https://docs.google.com/spreadsheets/d/1swGwZOEqYlTEUCJLY-eeJM1911Kvaei5oySBIxdgtNo/edit?pli=1#gid=257618397"",""stock untanna!B:C""),2,false)"),"SEMPOA 8022")</f>
        <v>SEMPOA 8022</v>
      </c>
      <c r="F2218" s="49" t="s">
        <v>1075</v>
      </c>
      <c r="G2218" s="71" t="s">
        <v>1076</v>
      </c>
      <c r="H2218" s="41"/>
      <c r="I2218" s="42"/>
      <c r="J2218" s="43"/>
      <c r="K2218" s="72">
        <v>3.0</v>
      </c>
      <c r="L2218" s="53" t="s">
        <v>62</v>
      </c>
      <c r="M2218" s="73">
        <v>180000.0</v>
      </c>
      <c r="N2218" s="74"/>
      <c r="O2218" s="73">
        <v>540000.0</v>
      </c>
      <c r="P2218" s="46" t="str">
        <f t="shared" si="2"/>
        <v>Rp180,000-3 LSN-0.00%</v>
      </c>
      <c r="Q2218" s="75">
        <v>45415.0</v>
      </c>
      <c r="R2218" s="76"/>
      <c r="S2218" s="75">
        <v>45423.0</v>
      </c>
      <c r="T2218" s="49"/>
    </row>
    <row r="2219">
      <c r="A2219" s="90">
        <v>4434.0</v>
      </c>
      <c r="B2219" s="91" t="s">
        <v>29</v>
      </c>
      <c r="C2219" s="49" t="s">
        <v>34</v>
      </c>
      <c r="D2219" s="91" t="s">
        <v>2580</v>
      </c>
      <c r="E2219" s="41" t="str">
        <f>IFERROR(__xludf.DUMMYFUNCTION("vlookup(D2219,IMPORTRANGE(""https://docs.google.com/spreadsheets/d/1swGwZOEqYlTEUCJLY-eeJM1911Kvaei5oySBIxdgtNo/edit?pli=1#gid=257618397"",""stock untanna!B:C""),2,false)"),"ASAHAN 722A")</f>
        <v>ASAHAN 722A</v>
      </c>
      <c r="F2219" s="49" t="s">
        <v>2580</v>
      </c>
      <c r="G2219" s="71" t="s">
        <v>2581</v>
      </c>
      <c r="H2219" s="41"/>
      <c r="I2219" s="42"/>
      <c r="J2219" s="43"/>
      <c r="K2219" s="72">
        <v>60.0</v>
      </c>
      <c r="L2219" s="53" t="s">
        <v>69</v>
      </c>
      <c r="M2219" s="73">
        <v>14500.0</v>
      </c>
      <c r="N2219" s="74"/>
      <c r="O2219" s="73">
        <v>870000.0</v>
      </c>
      <c r="P2219" s="46" t="str">
        <f t="shared" si="2"/>
        <v>Rp14,500-60 PCS-0.00%</v>
      </c>
      <c r="Q2219" s="75">
        <v>45415.0</v>
      </c>
      <c r="R2219" s="76"/>
      <c r="S2219" s="75">
        <v>45423.0</v>
      </c>
      <c r="T2219" s="49"/>
    </row>
    <row r="2220">
      <c r="A2220" s="90">
        <v>4434.0</v>
      </c>
      <c r="B2220" s="91" t="s">
        <v>29</v>
      </c>
      <c r="C2220" s="49" t="s">
        <v>34</v>
      </c>
      <c r="D2220" s="91" t="s">
        <v>812</v>
      </c>
      <c r="E2220" s="41" t="str">
        <f>IFERROR(__xludf.DUMMYFUNCTION("vlookup(D2220,IMPORTRANGE(""https://docs.google.com/spreadsheets/d/1swGwZOEqYlTEUCJLY-eeJM1911Kvaei5oySBIxdgtNo/edit?pli=1#gid=257618397"",""stock untanna!B:C""),2,false)"),"SEMPOA 8025")</f>
        <v>SEMPOA 8025</v>
      </c>
      <c r="F2220" s="49" t="s">
        <v>812</v>
      </c>
      <c r="G2220" s="71" t="s">
        <v>813</v>
      </c>
      <c r="H2220" s="41"/>
      <c r="I2220" s="42"/>
      <c r="J2220" s="43"/>
      <c r="K2220" s="72">
        <v>3.0</v>
      </c>
      <c r="L2220" s="53" t="s">
        <v>62</v>
      </c>
      <c r="M2220" s="73">
        <v>95000.0</v>
      </c>
      <c r="N2220" s="74"/>
      <c r="O2220" s="73">
        <v>285000.0</v>
      </c>
      <c r="P2220" s="46" t="str">
        <f t="shared" si="2"/>
        <v>Rp95,000-3 LSN-0.00%</v>
      </c>
      <c r="Q2220" s="75">
        <v>45415.0</v>
      </c>
      <c r="R2220" s="76"/>
      <c r="S2220" s="75">
        <v>45423.0</v>
      </c>
      <c r="T2220" s="49"/>
    </row>
    <row r="2221">
      <c r="A2221" s="90">
        <v>4434.0</v>
      </c>
      <c r="B2221" s="91" t="s">
        <v>29</v>
      </c>
      <c r="C2221" s="49" t="s">
        <v>34</v>
      </c>
      <c r="D2221" s="91" t="s">
        <v>661</v>
      </c>
      <c r="E2221" s="41" t="str">
        <f>IFERROR(__xludf.DUMMYFUNCTION("vlookup(D2221,IMPORTRANGE(""https://docs.google.com/spreadsheets/d/1swGwZOEqYlTEUCJLY-eeJM1911Kvaei5oySBIxdgtNo/edit?pli=1#gid=257618397"",""stock untanna!B:C""),2,false)"),"PENCIL CASE KARTON KK 1299 3D/ 3 SUSUN")</f>
        <v>PENCIL CASE KARTON KK 1299 3D/ 3 SUSUN</v>
      </c>
      <c r="F2221" s="49" t="s">
        <v>661</v>
      </c>
      <c r="G2221" s="78" t="s">
        <v>662</v>
      </c>
      <c r="H2221" s="41"/>
      <c r="I2221" s="42"/>
      <c r="J2221" s="43"/>
      <c r="K2221" s="72">
        <v>96.0</v>
      </c>
      <c r="L2221" s="53" t="s">
        <v>69</v>
      </c>
      <c r="M2221" s="73">
        <v>22500.0</v>
      </c>
      <c r="N2221" s="74"/>
      <c r="O2221" s="73">
        <v>2160000.0</v>
      </c>
      <c r="P2221" s="46" t="str">
        <f t="shared" si="2"/>
        <v>Rp22,500-96 PCS-0.00%</v>
      </c>
      <c r="Q2221" s="75">
        <v>45415.0</v>
      </c>
      <c r="R2221" s="76"/>
      <c r="S2221" s="75">
        <v>45423.0</v>
      </c>
      <c r="T2221" s="49"/>
    </row>
    <row r="2222">
      <c r="A2222" s="90">
        <v>4434.0</v>
      </c>
      <c r="B2222" s="91" t="s">
        <v>29</v>
      </c>
      <c r="C2222" s="49" t="s">
        <v>34</v>
      </c>
      <c r="D2222" s="91" t="s">
        <v>762</v>
      </c>
      <c r="E2222" s="41" t="str">
        <f>IFERROR(__xludf.DUMMYFUNCTION("vlookup(D2222,IMPORTRANGE(""https://docs.google.com/spreadsheets/d/1swGwZOEqYlTEUCJLY-eeJM1911Kvaei5oySBIxdgtNo/edit?pli=1#gid=257618397"",""stock untanna!B:C""),2,false)"),"BP TIZO TG340 BIRU")</f>
        <v>BP TIZO TG340 BIRU</v>
      </c>
      <c r="F2222" s="49" t="s">
        <v>762</v>
      </c>
      <c r="G2222" s="71" t="s">
        <v>763</v>
      </c>
      <c r="H2222" s="41"/>
      <c r="I2222" s="42"/>
      <c r="J2222" s="43"/>
      <c r="K2222" s="72">
        <v>144.0</v>
      </c>
      <c r="L2222" s="53" t="s">
        <v>62</v>
      </c>
      <c r="M2222" s="73">
        <v>33000.0</v>
      </c>
      <c r="N2222" s="74"/>
      <c r="O2222" s="73">
        <v>4752000.0</v>
      </c>
      <c r="P2222" s="46" t="str">
        <f t="shared" si="2"/>
        <v>Rp33,000-144 LSN-0.00%</v>
      </c>
      <c r="Q2222" s="75">
        <v>45415.0</v>
      </c>
      <c r="R2222" s="76"/>
      <c r="S2222" s="75">
        <v>45423.0</v>
      </c>
      <c r="T2222" s="49"/>
    </row>
    <row r="2223">
      <c r="A2223" s="90">
        <v>66.0</v>
      </c>
      <c r="B2223" s="91" t="s">
        <v>29</v>
      </c>
      <c r="C2223" s="49" t="s">
        <v>1768</v>
      </c>
      <c r="D2223" s="91" t="s">
        <v>730</v>
      </c>
      <c r="E2223" s="41" t="str">
        <f>IFERROR(__xludf.DUMMYFUNCTION("vlookup(D2223,IMPORTRANGE(""https://docs.google.com/spreadsheets/d/1swGwZOEqYlTEUCJLY-eeJM1911Kvaei5oySBIxdgtNo/edit?pli=1#gid=257618397"",""stock untanna!B:C""),2,false)"),"BALLPEN TF-729 4W")</f>
        <v>BALLPEN TF-729 4W</v>
      </c>
      <c r="F2223" s="49" t="s">
        <v>730</v>
      </c>
      <c r="G2223" s="71" t="s">
        <v>2582</v>
      </c>
      <c r="H2223" s="41"/>
      <c r="I2223" s="42"/>
      <c r="J2223" s="43"/>
      <c r="K2223" s="72">
        <v>6.0</v>
      </c>
      <c r="L2223" s="53" t="s">
        <v>62</v>
      </c>
      <c r="M2223" s="73">
        <v>47500.0</v>
      </c>
      <c r="N2223" s="74"/>
      <c r="O2223" s="73">
        <v>285000.0</v>
      </c>
      <c r="P2223" s="46" t="str">
        <f t="shared" si="2"/>
        <v>Rp47,500-6 LSN-0.00%</v>
      </c>
      <c r="Q2223" s="75">
        <v>45415.0</v>
      </c>
      <c r="R2223" s="76"/>
      <c r="S2223" s="75">
        <v>45423.0</v>
      </c>
      <c r="T2223" s="49"/>
    </row>
    <row r="2224">
      <c r="A2224" s="90">
        <v>66.0</v>
      </c>
      <c r="B2224" s="91" t="s">
        <v>29</v>
      </c>
      <c r="C2224" s="49" t="s">
        <v>1768</v>
      </c>
      <c r="D2224" s="91" t="s">
        <v>1868</v>
      </c>
      <c r="E2224" s="41" t="str">
        <f>IFERROR(__xludf.DUMMYFUNCTION("vlookup(D2224,IMPORTRANGE(""https://docs.google.com/spreadsheets/d/1swGwZOEqYlTEUCJLY-eeJM1911Kvaei5oySBIxdgtNo/edit?pli=1#gid=257618397"",""stock untanna!B:C""),2,false)"),"BP 4W TOZCHA 8401")</f>
        <v>BP 4W TOZCHA 8401</v>
      </c>
      <c r="F2224" s="49" t="s">
        <v>1868</v>
      </c>
      <c r="G2224" s="71" t="s">
        <v>1869</v>
      </c>
      <c r="H2224" s="41"/>
      <c r="I2224" s="42"/>
      <c r="J2224" s="43"/>
      <c r="K2224" s="72">
        <v>6.0</v>
      </c>
      <c r="L2224" s="53" t="s">
        <v>62</v>
      </c>
      <c r="M2224" s="73">
        <v>27500.0</v>
      </c>
      <c r="N2224" s="74"/>
      <c r="O2224" s="73">
        <v>165000.0</v>
      </c>
      <c r="P2224" s="46" t="str">
        <f t="shared" si="2"/>
        <v>Rp27,500-6 LSN-0.00%</v>
      </c>
      <c r="Q2224" s="75">
        <v>45415.0</v>
      </c>
      <c r="R2224" s="76"/>
      <c r="S2224" s="75">
        <v>45423.0</v>
      </c>
      <c r="T2224" s="49"/>
    </row>
    <row r="2225">
      <c r="A2225" s="90">
        <v>66.0</v>
      </c>
      <c r="B2225" s="91" t="s">
        <v>29</v>
      </c>
      <c r="C2225" s="49" t="s">
        <v>1768</v>
      </c>
      <c r="D2225" s="91" t="s">
        <v>629</v>
      </c>
      <c r="E2225" s="41" t="str">
        <f>IFERROR(__xludf.DUMMYFUNCTION("vlookup(D2225,IMPORTRANGE(""https://docs.google.com/spreadsheets/d/1swGwZOEqYlTEUCJLY-eeJM1911Kvaei5oySBIxdgtNo/edit?pli=1#gid=257618397"",""stock untanna!B:C""),2,false)"),"BP GEL TIZO 30801F S3 FANCY")</f>
        <v>BP GEL TIZO 30801F S3 FANCY</v>
      </c>
      <c r="F2225" s="49" t="s">
        <v>629</v>
      </c>
      <c r="G2225" s="71" t="s">
        <v>630</v>
      </c>
      <c r="H2225" s="41"/>
      <c r="I2225" s="42"/>
      <c r="J2225" s="43"/>
      <c r="K2225" s="72">
        <v>12.0</v>
      </c>
      <c r="L2225" s="53" t="s">
        <v>62</v>
      </c>
      <c r="M2225" s="73">
        <v>18250.0</v>
      </c>
      <c r="N2225" s="74"/>
      <c r="O2225" s="73">
        <v>219000.0</v>
      </c>
      <c r="P2225" s="46" t="str">
        <f t="shared" si="2"/>
        <v>Rp18,250-12 LSN-0.00%</v>
      </c>
      <c r="Q2225" s="75">
        <v>45415.0</v>
      </c>
      <c r="R2225" s="76"/>
      <c r="S2225" s="75">
        <v>45423.0</v>
      </c>
      <c r="T2225" s="49"/>
    </row>
    <row r="2226">
      <c r="A2226" s="90">
        <v>66.0</v>
      </c>
      <c r="B2226" s="91" t="s">
        <v>29</v>
      </c>
      <c r="C2226" s="49" t="s">
        <v>1768</v>
      </c>
      <c r="D2226" s="91"/>
      <c r="E2226" s="41" t="s">
        <v>2583</v>
      </c>
      <c r="F2226" s="49"/>
      <c r="G2226" s="71" t="s">
        <v>2583</v>
      </c>
      <c r="H2226" s="41"/>
      <c r="I2226" s="42"/>
      <c r="J2226" s="43"/>
      <c r="K2226" s="72">
        <v>3.0</v>
      </c>
      <c r="L2226" s="53" t="s">
        <v>62</v>
      </c>
      <c r="M2226" s="73">
        <v>125000.0</v>
      </c>
      <c r="N2226" s="74"/>
      <c r="O2226" s="73">
        <v>375000.0</v>
      </c>
      <c r="P2226" s="46" t="str">
        <f t="shared" si="2"/>
        <v>Rp125,000-3 LSN-0.00%</v>
      </c>
      <c r="Q2226" s="75">
        <v>45415.0</v>
      </c>
      <c r="R2226" s="76"/>
      <c r="S2226" s="75">
        <v>45423.0</v>
      </c>
      <c r="T2226" s="80" t="s">
        <v>280</v>
      </c>
    </row>
    <row r="2227">
      <c r="A2227" s="90">
        <v>66.0</v>
      </c>
      <c r="B2227" s="91" t="s">
        <v>29</v>
      </c>
      <c r="C2227" s="49" t="s">
        <v>1768</v>
      </c>
      <c r="D2227" s="91" t="s">
        <v>2216</v>
      </c>
      <c r="E2227" s="41" t="str">
        <f>IFERROR(__xludf.DUMMYFUNCTION("vlookup(D2227,IMPORTRANGE(""https://docs.google.com/spreadsheets/d/1swGwZOEqYlTEUCJLY-eeJM1911Kvaei5oySBIxdgtNo/edit?pli=1#gid=257618397"",""stock untanna!B:C""),2,false)"),"ISI GEL TIZO TG 308-AR")</f>
        <v>ISI GEL TIZO TG 308-AR</v>
      </c>
      <c r="F2227" s="49" t="s">
        <v>2216</v>
      </c>
      <c r="G2227" s="71" t="s">
        <v>2217</v>
      </c>
      <c r="H2227" s="41"/>
      <c r="I2227" s="42"/>
      <c r="J2227" s="43"/>
      <c r="K2227" s="72">
        <v>6.0</v>
      </c>
      <c r="L2227" s="53" t="s">
        <v>62</v>
      </c>
      <c r="M2227" s="73">
        <v>12000.0</v>
      </c>
      <c r="N2227" s="74"/>
      <c r="O2227" s="73">
        <v>72000.0</v>
      </c>
      <c r="P2227" s="46" t="str">
        <f t="shared" si="2"/>
        <v>Rp12,000-6 LSN-0.00%</v>
      </c>
      <c r="Q2227" s="75">
        <v>45415.0</v>
      </c>
      <c r="R2227" s="76"/>
      <c r="S2227" s="75">
        <v>45423.0</v>
      </c>
      <c r="T2227" s="49" t="s">
        <v>100</v>
      </c>
    </row>
    <row r="2228">
      <c r="A2228" s="90">
        <v>153.0</v>
      </c>
      <c r="B2228" s="91" t="s">
        <v>29</v>
      </c>
      <c r="C2228" s="49" t="s">
        <v>2584</v>
      </c>
      <c r="D2228" s="91" t="s">
        <v>2046</v>
      </c>
      <c r="E2228" s="41" t="str">
        <f>IFERROR(__xludf.DUMMYFUNCTION("vlookup(D2228,IMPORTRANGE(""https://docs.google.com/spreadsheets/d/1swGwZOEqYlTEUCJLY-eeJM1911Kvaei5oySBIxdgtNo/edit?pli=1#gid=257618397"",""stock untanna!B:C""),2,false)"),"BUSINESS FILE SIKA AC-106 KUNING")</f>
        <v>BUSINESS FILE SIKA AC-106 KUNING</v>
      </c>
      <c r="F2228" s="49" t="s">
        <v>2046</v>
      </c>
      <c r="G2228" s="71" t="s">
        <v>2047</v>
      </c>
      <c r="H2228" s="41"/>
      <c r="I2228" s="42"/>
      <c r="J2228" s="43"/>
      <c r="K2228" s="72">
        <v>20.0</v>
      </c>
      <c r="L2228" s="53" t="s">
        <v>62</v>
      </c>
      <c r="M2228" s="73">
        <v>23500.0</v>
      </c>
      <c r="N2228" s="74"/>
      <c r="O2228" s="73">
        <v>470000.0</v>
      </c>
      <c r="P2228" s="46" t="str">
        <f t="shared" si="2"/>
        <v>Rp23,500-20 LSN-0.00%</v>
      </c>
      <c r="Q2228" s="75">
        <v>45415.0</v>
      </c>
      <c r="R2228" s="76"/>
      <c r="S2228" s="75">
        <v>45423.0</v>
      </c>
      <c r="T2228" s="49"/>
    </row>
    <row r="2229">
      <c r="A2229" s="90">
        <v>153.0</v>
      </c>
      <c r="B2229" s="91" t="s">
        <v>29</v>
      </c>
      <c r="C2229" s="49" t="s">
        <v>2584</v>
      </c>
      <c r="D2229" s="91" t="s">
        <v>2585</v>
      </c>
      <c r="E2229" s="41" t="str">
        <f>IFERROR(__xludf.DUMMYFUNCTION("vlookup(D2229,IMPORTRANGE(""https://docs.google.com/spreadsheets/d/1swGwZOEqYlTEUCJLY-eeJM1911Kvaei5oySBIxdgtNo/edit?pli=1#gid=257618397"",""stock untanna!B:C""),2,false)"),"BUSINESS FILE SIKA AC-106 PUTIH")</f>
        <v>BUSINESS FILE SIKA AC-106 PUTIH</v>
      </c>
      <c r="F2229" s="49" t="s">
        <v>2585</v>
      </c>
      <c r="G2229" s="71" t="s">
        <v>2586</v>
      </c>
      <c r="H2229" s="41"/>
      <c r="I2229" s="42"/>
      <c r="J2229" s="43"/>
      <c r="K2229" s="72">
        <v>10.0</v>
      </c>
      <c r="L2229" s="53" t="s">
        <v>62</v>
      </c>
      <c r="M2229" s="73">
        <v>23500.0</v>
      </c>
      <c r="N2229" s="74"/>
      <c r="O2229" s="73">
        <v>235000.0</v>
      </c>
      <c r="P2229" s="46" t="str">
        <f t="shared" si="2"/>
        <v>Rp23,500-10 LSN-0.00%</v>
      </c>
      <c r="Q2229" s="75">
        <v>45415.0</v>
      </c>
      <c r="R2229" s="76"/>
      <c r="S2229" s="75">
        <v>45423.0</v>
      </c>
      <c r="T2229" s="49"/>
    </row>
    <row r="2230">
      <c r="A2230" s="90">
        <v>153.0</v>
      </c>
      <c r="B2230" s="91" t="s">
        <v>29</v>
      </c>
      <c r="C2230" s="49" t="s">
        <v>2584</v>
      </c>
      <c r="D2230" s="91" t="s">
        <v>2048</v>
      </c>
      <c r="E2230" s="41" t="str">
        <f>IFERROR(__xludf.DUMMYFUNCTION("vlookup(D2230,IMPORTRANGE(""https://docs.google.com/spreadsheets/d/1swGwZOEqYlTEUCJLY-eeJM1911Kvaei5oySBIxdgtNo/edit?pli=1#gid=257618397"",""stock untanna!B:C""),2,false)"),"BUSINESS FILE SIKA AC-106 MERAH")</f>
        <v>BUSINESS FILE SIKA AC-106 MERAH</v>
      </c>
      <c r="F2230" s="49" t="s">
        <v>2048</v>
      </c>
      <c r="G2230" s="71" t="s">
        <v>2049</v>
      </c>
      <c r="H2230" s="41"/>
      <c r="I2230" s="42"/>
      <c r="J2230" s="43"/>
      <c r="K2230" s="72">
        <v>30.0</v>
      </c>
      <c r="L2230" s="53" t="s">
        <v>62</v>
      </c>
      <c r="M2230" s="73">
        <v>23500.0</v>
      </c>
      <c r="N2230" s="74"/>
      <c r="O2230" s="73">
        <v>705000.0</v>
      </c>
      <c r="P2230" s="46" t="str">
        <f t="shared" si="2"/>
        <v>Rp23,500-30 LSN-0.00%</v>
      </c>
      <c r="Q2230" s="75">
        <v>45415.0</v>
      </c>
      <c r="R2230" s="76"/>
      <c r="S2230" s="75">
        <v>45423.0</v>
      </c>
      <c r="T2230" s="49"/>
    </row>
    <row r="2231">
      <c r="A2231" s="90">
        <v>153.0</v>
      </c>
      <c r="B2231" s="91" t="s">
        <v>29</v>
      </c>
      <c r="C2231" s="49" t="s">
        <v>2584</v>
      </c>
      <c r="D2231" s="91" t="s">
        <v>31</v>
      </c>
      <c r="E2231" s="41" t="str">
        <f>IFERROR(__xludf.DUMMYFUNCTION("vlookup(D2231,IMPORTRANGE(""https://docs.google.com/spreadsheets/d/1swGwZOEqYlTEUCJLY-eeJM1911Kvaei5oySBIxdgtNo/edit?pli=1#gid=257618397"",""stock untanna!B:C""),2,false)"),"ISI STAPLER 13/8 JOSS")</f>
        <v>ISI STAPLER 13/8 JOSS</v>
      </c>
      <c r="F2231" s="49" t="s">
        <v>31</v>
      </c>
      <c r="G2231" s="71" t="s">
        <v>113</v>
      </c>
      <c r="H2231" s="41"/>
      <c r="I2231" s="42"/>
      <c r="J2231" s="43"/>
      <c r="K2231" s="72">
        <v>100.0</v>
      </c>
      <c r="L2231" s="53" t="s">
        <v>114</v>
      </c>
      <c r="M2231" s="73">
        <v>18500.0</v>
      </c>
      <c r="N2231" s="74"/>
      <c r="O2231" s="73">
        <v>1850000.0</v>
      </c>
      <c r="P2231" s="46" t="str">
        <f t="shared" si="2"/>
        <v>Rp18,500-100 PAK-0.00%</v>
      </c>
      <c r="Q2231" s="75">
        <v>45415.0</v>
      </c>
      <c r="R2231" s="76"/>
      <c r="S2231" s="75">
        <v>45423.0</v>
      </c>
      <c r="T2231" s="49"/>
    </row>
    <row r="2232">
      <c r="A2232" s="90">
        <v>153.0</v>
      </c>
      <c r="B2232" s="91" t="s">
        <v>29</v>
      </c>
      <c r="C2232" s="49" t="s">
        <v>2584</v>
      </c>
      <c r="D2232" s="91"/>
      <c r="E2232" s="41" t="s">
        <v>2579</v>
      </c>
      <c r="F2232" s="49"/>
      <c r="G2232" s="71" t="s">
        <v>2579</v>
      </c>
      <c r="H2232" s="41"/>
      <c r="I2232" s="42"/>
      <c r="J2232" s="43"/>
      <c r="K2232" s="72">
        <v>10.0</v>
      </c>
      <c r="L2232" s="53" t="s">
        <v>88</v>
      </c>
      <c r="M2232" s="73">
        <v>27000.0</v>
      </c>
      <c r="N2232" s="74"/>
      <c r="O2232" s="73">
        <v>270000.0</v>
      </c>
      <c r="P2232" s="46" t="str">
        <f t="shared" si="2"/>
        <v>Rp27,000-10 BOX-0.00%</v>
      </c>
      <c r="Q2232" s="75">
        <v>45415.0</v>
      </c>
      <c r="R2232" s="76"/>
      <c r="S2232" s="75">
        <v>45423.0</v>
      </c>
      <c r="T2232" s="49"/>
    </row>
    <row r="2233">
      <c r="A2233" s="90">
        <v>153.0</v>
      </c>
      <c r="B2233" s="91" t="s">
        <v>29</v>
      </c>
      <c r="C2233" s="49" t="s">
        <v>2584</v>
      </c>
      <c r="D2233" s="91"/>
      <c r="E2233" s="41" t="s">
        <v>2587</v>
      </c>
      <c r="F2233" s="49"/>
      <c r="G2233" s="71" t="s">
        <v>2587</v>
      </c>
      <c r="H2233" s="41"/>
      <c r="I2233" s="42"/>
      <c r="J2233" s="43"/>
      <c r="K2233" s="72">
        <v>500.0</v>
      </c>
      <c r="L2233" s="53" t="s">
        <v>69</v>
      </c>
      <c r="M2233" s="73">
        <v>600.0</v>
      </c>
      <c r="N2233" s="74"/>
      <c r="O2233" s="73">
        <v>300000.0</v>
      </c>
      <c r="P2233" s="46" t="str">
        <f t="shared" si="2"/>
        <v>Rp600-500 PCS-0.00%</v>
      </c>
      <c r="Q2233" s="75">
        <v>45415.0</v>
      </c>
      <c r="R2233" s="76"/>
      <c r="S2233" s="75">
        <v>45423.0</v>
      </c>
      <c r="T2233" s="49"/>
    </row>
    <row r="2234">
      <c r="A2234" s="90">
        <v>153.0</v>
      </c>
      <c r="B2234" s="91" t="s">
        <v>29</v>
      </c>
      <c r="C2234" s="49" t="s">
        <v>2584</v>
      </c>
      <c r="D2234" s="91" t="s">
        <v>750</v>
      </c>
      <c r="E2234" s="41" t="str">
        <f>IFERROR(__xludf.DUMMYFUNCTION("vlookup(D2234,IMPORTRANGE(""https://docs.google.com/spreadsheets/d/1swGwZOEqYlTEUCJLY-eeJM1911Kvaei5oySBIxdgtNo/edit?pli=1#gid=257618397"",""stock untanna!B:C""),2,false)"),"BP X DATA M1")</f>
        <v>BP X DATA M1</v>
      </c>
      <c r="F2234" s="49" t="s">
        <v>750</v>
      </c>
      <c r="G2234" s="71" t="s">
        <v>751</v>
      </c>
      <c r="H2234" s="41"/>
      <c r="I2234" s="42"/>
      <c r="J2234" s="43"/>
      <c r="K2234" s="72">
        <v>6.0</v>
      </c>
      <c r="L2234" s="53" t="s">
        <v>131</v>
      </c>
      <c r="M2234" s="73">
        <v>75000.0</v>
      </c>
      <c r="N2234" s="74"/>
      <c r="O2234" s="73">
        <v>450000.0</v>
      </c>
      <c r="P2234" s="46" t="str">
        <f t="shared" si="2"/>
        <v>Rp75,000-6 GRS-0.00%</v>
      </c>
      <c r="Q2234" s="75">
        <v>45415.0</v>
      </c>
      <c r="R2234" s="76"/>
      <c r="S2234" s="75">
        <v>45423.0</v>
      </c>
      <c r="T2234" s="49"/>
    </row>
    <row r="2235">
      <c r="A2235" s="90">
        <v>153.0</v>
      </c>
      <c r="B2235" s="91" t="s">
        <v>29</v>
      </c>
      <c r="C2235" s="49" t="s">
        <v>2584</v>
      </c>
      <c r="D2235" s="77" t="s">
        <v>752</v>
      </c>
      <c r="E2235" s="41" t="str">
        <f>IFERROR(__xludf.DUMMYFUNCTION("IFNA(vlookup(D2235,IMPORTRANGE(""https://docs.google.com/spreadsheets/d/1swGwZOEqYlTEUCJLY-eeJM1911Kvaei5oySBIxdgtNo/edit?pli=1#gid=257618397"",""stock untanna!B:C""),2,false),V:V)"),"BP X DATA M2")</f>
        <v>BP X DATA M2</v>
      </c>
      <c r="F2235" s="49"/>
      <c r="G2235" s="71" t="s">
        <v>753</v>
      </c>
      <c r="H2235" s="41"/>
      <c r="I2235" s="42"/>
      <c r="J2235" s="85" t="s">
        <v>1319</v>
      </c>
      <c r="K2235" s="72">
        <v>6.0</v>
      </c>
      <c r="L2235" s="53" t="s">
        <v>131</v>
      </c>
      <c r="M2235" s="73">
        <v>75000.0</v>
      </c>
      <c r="N2235" s="74"/>
      <c r="O2235" s="73">
        <v>450000.0</v>
      </c>
      <c r="P2235" s="46" t="str">
        <f t="shared" si="2"/>
        <v>Rp75,000-6 GRS-0.00%</v>
      </c>
      <c r="Q2235" s="75">
        <v>45415.0</v>
      </c>
      <c r="R2235" s="76"/>
      <c r="S2235" s="75">
        <v>45423.0</v>
      </c>
      <c r="T2235" s="80" t="s">
        <v>280</v>
      </c>
    </row>
    <row r="2236">
      <c r="A2236" s="90">
        <v>153.0</v>
      </c>
      <c r="B2236" s="91" t="s">
        <v>29</v>
      </c>
      <c r="C2236" s="49" t="s">
        <v>2584</v>
      </c>
      <c r="D2236" s="91" t="s">
        <v>762</v>
      </c>
      <c r="E2236" s="41" t="str">
        <f>IFERROR(__xludf.DUMMYFUNCTION("vlookup(D2236,IMPORTRANGE(""https://docs.google.com/spreadsheets/d/1swGwZOEqYlTEUCJLY-eeJM1911Kvaei5oySBIxdgtNo/edit?pli=1#gid=257618397"",""stock untanna!B:C""),2,false)"),"BP TIZO TG340 BIRU")</f>
        <v>BP TIZO TG340 BIRU</v>
      </c>
      <c r="F2236" s="49" t="s">
        <v>762</v>
      </c>
      <c r="G2236" s="71" t="s">
        <v>763</v>
      </c>
      <c r="H2236" s="41"/>
      <c r="I2236" s="42"/>
      <c r="J2236" s="43"/>
      <c r="K2236" s="72">
        <v>24.0</v>
      </c>
      <c r="L2236" s="53" t="s">
        <v>62</v>
      </c>
      <c r="M2236" s="73">
        <v>35000.0</v>
      </c>
      <c r="N2236" s="74"/>
      <c r="O2236" s="73">
        <v>840000.0</v>
      </c>
      <c r="P2236" s="46" t="str">
        <f t="shared" si="2"/>
        <v>Rp35,000-24 LSN-0.00%</v>
      </c>
      <c r="Q2236" s="75">
        <v>45415.0</v>
      </c>
      <c r="R2236" s="76"/>
      <c r="S2236" s="75">
        <v>45423.0</v>
      </c>
      <c r="T2236" s="49"/>
    </row>
    <row r="2237">
      <c r="A2237" s="90">
        <v>152.0</v>
      </c>
      <c r="B2237" s="91" t="s">
        <v>29</v>
      </c>
      <c r="C2237" s="49" t="s">
        <v>2584</v>
      </c>
      <c r="D2237" s="91" t="s">
        <v>324</v>
      </c>
      <c r="E2237" s="41" t="str">
        <f>IFERROR(__xludf.DUMMYFUNCTION("vlookup(D2237,IMPORTRANGE(""https://docs.google.com/spreadsheets/d/1swGwZOEqYlTEUCJLY-eeJM1911Kvaei5oySBIxdgtNo/edit?pli=1#gid=257618397"",""stock untanna!B:C""),2,false)"),"STIP W/B ENTER 803 B")</f>
        <v>STIP W/B ENTER 803 B</v>
      </c>
      <c r="F2237" s="49" t="s">
        <v>324</v>
      </c>
      <c r="G2237" s="71" t="s">
        <v>325</v>
      </c>
      <c r="H2237" s="41"/>
      <c r="I2237" s="42"/>
      <c r="J2237" s="43"/>
      <c r="K2237" s="72">
        <v>10.0</v>
      </c>
      <c r="L2237" s="53" t="s">
        <v>62</v>
      </c>
      <c r="M2237" s="73">
        <v>61000.0</v>
      </c>
      <c r="N2237" s="74"/>
      <c r="O2237" s="73">
        <v>610000.0</v>
      </c>
      <c r="P2237" s="46" t="str">
        <f t="shared" si="2"/>
        <v>Rp61,000-10 LSN-0.00%</v>
      </c>
      <c r="Q2237" s="75">
        <v>45415.0</v>
      </c>
      <c r="R2237" s="76"/>
      <c r="S2237" s="75">
        <v>45423.0</v>
      </c>
      <c r="T2237" s="49"/>
    </row>
    <row r="2238">
      <c r="A2238" s="90">
        <v>4261.0</v>
      </c>
      <c r="B2238" s="91" t="s">
        <v>65</v>
      </c>
      <c r="C2238" s="49" t="s">
        <v>2588</v>
      </c>
      <c r="D2238" s="91" t="s">
        <v>686</v>
      </c>
      <c r="E2238" s="41" t="str">
        <f>IFERROR(__xludf.DUMMYFUNCTION("vlookup(D2238,IMPORTRANGE(""https://docs.google.com/spreadsheets/d/1swGwZOEqYlTEUCJLY-eeJM1911Kvaei5oySBIxdgtNo/edit?pli=1#gid=257618397"",""stock untanna!B:C""),2,false)"),"BP GEL DTIAN BIASA 9908")</f>
        <v>BP GEL DTIAN BIASA 9908</v>
      </c>
      <c r="F2238" s="49" t="s">
        <v>686</v>
      </c>
      <c r="G2238" s="71" t="s">
        <v>687</v>
      </c>
      <c r="H2238" s="41"/>
      <c r="I2238" s="42"/>
      <c r="J2238" s="43"/>
      <c r="K2238" s="72">
        <v>192.0</v>
      </c>
      <c r="L2238" s="53" t="s">
        <v>62</v>
      </c>
      <c r="M2238" s="73">
        <v>12000.0</v>
      </c>
      <c r="N2238" s="74"/>
      <c r="O2238" s="73">
        <v>2304000.0</v>
      </c>
      <c r="P2238" s="46" t="str">
        <f t="shared" si="2"/>
        <v>Rp12,000-192 LSN-0.00%</v>
      </c>
      <c r="Q2238" s="75">
        <v>45415.0</v>
      </c>
      <c r="R2238" s="76"/>
      <c r="S2238" s="75">
        <v>45423.0</v>
      </c>
      <c r="T2238" s="49"/>
    </row>
    <row r="2239">
      <c r="A2239" s="90">
        <v>4261.0</v>
      </c>
      <c r="B2239" s="91" t="s">
        <v>65</v>
      </c>
      <c r="C2239" s="49" t="s">
        <v>2588</v>
      </c>
      <c r="D2239" s="91" t="s">
        <v>31</v>
      </c>
      <c r="E2239" s="41" t="str">
        <f>IFERROR(__xludf.DUMMYFUNCTION("vlookup(D2239,IMPORTRANGE(""https://docs.google.com/spreadsheets/d/1swGwZOEqYlTEUCJLY-eeJM1911Kvaei5oySBIxdgtNo/edit?pli=1#gid=257618397"",""stock untanna!B:C""),2,false)"),"ISI STAPLER 13/8 JOSS")</f>
        <v>ISI STAPLER 13/8 JOSS</v>
      </c>
      <c r="F2239" s="49" t="s">
        <v>31</v>
      </c>
      <c r="G2239" s="71" t="s">
        <v>113</v>
      </c>
      <c r="H2239" s="41"/>
      <c r="I2239" s="42"/>
      <c r="J2239" s="43"/>
      <c r="K2239" s="72">
        <v>100.0</v>
      </c>
      <c r="L2239" s="53" t="s">
        <v>114</v>
      </c>
      <c r="M2239" s="73">
        <v>18500.0</v>
      </c>
      <c r="N2239" s="74"/>
      <c r="O2239" s="73">
        <v>1850000.0</v>
      </c>
      <c r="P2239" s="46" t="str">
        <f t="shared" si="2"/>
        <v>Rp18,500-100 PAK-0.00%</v>
      </c>
      <c r="Q2239" s="75">
        <v>45415.0</v>
      </c>
      <c r="R2239" s="76"/>
      <c r="S2239" s="75">
        <v>45423.0</v>
      </c>
      <c r="T2239" s="49"/>
    </row>
    <row r="2240">
      <c r="A2240" s="90">
        <v>4261.0</v>
      </c>
      <c r="B2240" s="91" t="s">
        <v>65</v>
      </c>
      <c r="C2240" s="49" t="s">
        <v>2588</v>
      </c>
      <c r="D2240" s="91" t="s">
        <v>1131</v>
      </c>
      <c r="E2240" s="41" t="str">
        <f>IFERROR(__xludf.DUMMYFUNCTION("vlookup(D2240,IMPORTRANGE(""https://docs.google.com/spreadsheets/d/1swGwZOEqYlTEUCJLY-eeJM1911Kvaei5oySBIxdgtNo/edit?pli=1#gid=257618397"",""stock untanna!B:C""),2,false)"),"KERTAS KREP POTONGAN JERSY")</f>
        <v>KERTAS KREP POTONGAN JERSY</v>
      </c>
      <c r="F2240" s="49" t="s">
        <v>1131</v>
      </c>
      <c r="G2240" s="71" t="s">
        <v>1132</v>
      </c>
      <c r="H2240" s="41"/>
      <c r="I2240" s="42"/>
      <c r="J2240" s="43"/>
      <c r="K2240" s="72">
        <v>235.0</v>
      </c>
      <c r="L2240" s="53" t="s">
        <v>114</v>
      </c>
      <c r="M2240" s="73">
        <v>7000.0</v>
      </c>
      <c r="N2240" s="74"/>
      <c r="O2240" s="73">
        <v>1645000.0</v>
      </c>
      <c r="P2240" s="46" t="str">
        <f t="shared" si="2"/>
        <v>Rp7,000-235 PAK-0.00%</v>
      </c>
      <c r="Q2240" s="75">
        <v>45415.0</v>
      </c>
      <c r="R2240" s="76"/>
      <c r="S2240" s="75">
        <v>45423.0</v>
      </c>
      <c r="T2240" s="49"/>
    </row>
    <row r="2241">
      <c r="A2241" s="90">
        <v>4261.0</v>
      </c>
      <c r="B2241" s="91" t="s">
        <v>65</v>
      </c>
      <c r="C2241" s="49" t="s">
        <v>2588</v>
      </c>
      <c r="D2241" s="91" t="s">
        <v>962</v>
      </c>
      <c r="E2241" s="41" t="str">
        <f>IFERROR(__xludf.DUMMYFUNCTION("vlookup(D2241,IMPORTRANGE(""https://docs.google.com/spreadsheets/d/1swGwZOEqYlTEUCJLY-eeJM1911Kvaei5oySBIxdgtNo/edit?pli=1#gid=257618397"",""stock untanna!B:C""),2,false)"),"BP GEL DT-239")</f>
        <v>BP GEL DT-239</v>
      </c>
      <c r="F2241" s="49" t="s">
        <v>962</v>
      </c>
      <c r="G2241" s="71" t="s">
        <v>963</v>
      </c>
      <c r="H2241" s="41"/>
      <c r="I2241" s="42"/>
      <c r="J2241" s="43"/>
      <c r="K2241" s="72">
        <v>432.0</v>
      </c>
      <c r="L2241" s="53" t="s">
        <v>69</v>
      </c>
      <c r="M2241" s="73">
        <v>1500.0</v>
      </c>
      <c r="N2241" s="74"/>
      <c r="O2241" s="73">
        <v>648000.0</v>
      </c>
      <c r="P2241" s="46" t="str">
        <f t="shared" si="2"/>
        <v>Rp1,500-432 PCS-0.00%</v>
      </c>
      <c r="Q2241" s="75">
        <v>45415.0</v>
      </c>
      <c r="R2241" s="76"/>
      <c r="S2241" s="75">
        <v>45423.0</v>
      </c>
      <c r="T2241" s="49"/>
    </row>
    <row r="2242">
      <c r="A2242" s="90">
        <v>4261.0</v>
      </c>
      <c r="B2242" s="91" t="s">
        <v>65</v>
      </c>
      <c r="C2242" s="49" t="s">
        <v>2588</v>
      </c>
      <c r="D2242" s="91" t="s">
        <v>2589</v>
      </c>
      <c r="E2242" s="41" t="str">
        <f>IFERROR(__xludf.DUMMYFUNCTION("vlookup(D2242,IMPORTRANGE(""https://docs.google.com/spreadsheets/d/1swGwZOEqYlTEUCJLY-eeJM1911Kvaei5oySBIxdgtNo/edit?pli=1#gid=257618397"",""stock untanna!B:C""),2,false)"),"KUAS 251-1 PAGODA")</f>
        <v>KUAS 251-1 PAGODA</v>
      </c>
      <c r="F2242" s="49" t="s">
        <v>2589</v>
      </c>
      <c r="G2242" s="71" t="s">
        <v>2590</v>
      </c>
      <c r="H2242" s="41"/>
      <c r="I2242" s="42"/>
      <c r="J2242" s="43"/>
      <c r="K2242" s="72">
        <v>144.0</v>
      </c>
      <c r="L2242" s="53" t="s">
        <v>69</v>
      </c>
      <c r="M2242" s="73">
        <v>1076.0</v>
      </c>
      <c r="N2242" s="74"/>
      <c r="O2242" s="73">
        <v>154944.0</v>
      </c>
      <c r="P2242" s="46" t="str">
        <f t="shared" si="2"/>
        <v>Rp1,076-144 PCS-0.00%</v>
      </c>
      <c r="Q2242" s="75">
        <v>45415.0</v>
      </c>
      <c r="R2242" s="76"/>
      <c r="S2242" s="75">
        <v>45423.0</v>
      </c>
      <c r="T2242" s="49"/>
    </row>
    <row r="2243">
      <c r="A2243" s="90">
        <v>4261.0</v>
      </c>
      <c r="B2243" s="91" t="s">
        <v>65</v>
      </c>
      <c r="C2243" s="49" t="s">
        <v>2588</v>
      </c>
      <c r="D2243" s="91" t="s">
        <v>2591</v>
      </c>
      <c r="E2243" s="41" t="str">
        <f>IFERROR(__xludf.DUMMYFUNCTION("vlookup(D2243,IMPORTRANGE(""https://docs.google.com/spreadsheets/d/1swGwZOEqYlTEUCJLY-eeJM1911Kvaei5oySBIxdgtNo/edit?pli=1#gid=257618397"",""stock untanna!B:C""),2,false)"),"KUAS 251-2 PAGODA")</f>
        <v>KUAS 251-2 PAGODA</v>
      </c>
      <c r="F2243" s="49" t="s">
        <v>2591</v>
      </c>
      <c r="G2243" s="71" t="s">
        <v>2592</v>
      </c>
      <c r="H2243" s="41"/>
      <c r="I2243" s="42"/>
      <c r="J2243" s="43"/>
      <c r="K2243" s="72">
        <v>144.0</v>
      </c>
      <c r="L2243" s="53" t="s">
        <v>69</v>
      </c>
      <c r="M2243" s="73">
        <v>1076.0</v>
      </c>
      <c r="N2243" s="74"/>
      <c r="O2243" s="73">
        <v>154944.0</v>
      </c>
      <c r="P2243" s="46" t="str">
        <f t="shared" si="2"/>
        <v>Rp1,076-144 PCS-0.00%</v>
      </c>
      <c r="Q2243" s="75">
        <v>45415.0</v>
      </c>
      <c r="R2243" s="76"/>
      <c r="S2243" s="75">
        <v>45423.0</v>
      </c>
      <c r="T2243" s="49"/>
    </row>
    <row r="2244">
      <c r="A2244" s="90">
        <v>4261.0</v>
      </c>
      <c r="B2244" s="91" t="s">
        <v>65</v>
      </c>
      <c r="C2244" s="49" t="s">
        <v>2588</v>
      </c>
      <c r="D2244" s="91" t="s">
        <v>2593</v>
      </c>
      <c r="E2244" s="41" t="str">
        <f>IFERROR(__xludf.DUMMYFUNCTION("vlookup(D2244,IMPORTRANGE(""https://docs.google.com/spreadsheets/d/1swGwZOEqYlTEUCJLY-eeJM1911Kvaei5oySBIxdgtNo/edit?pli=1#gid=257618397"",""stock untanna!B:C""),2,false)"),"KUAS 251-4 PAGODA")</f>
        <v>KUAS 251-4 PAGODA</v>
      </c>
      <c r="F2244" s="49" t="s">
        <v>2593</v>
      </c>
      <c r="G2244" s="71" t="s">
        <v>2594</v>
      </c>
      <c r="H2244" s="41"/>
      <c r="I2244" s="42"/>
      <c r="J2244" s="43"/>
      <c r="K2244" s="72">
        <v>144.0</v>
      </c>
      <c r="L2244" s="53" t="s">
        <v>69</v>
      </c>
      <c r="M2244" s="73">
        <v>1250.0</v>
      </c>
      <c r="N2244" s="74"/>
      <c r="O2244" s="73">
        <v>180000.0</v>
      </c>
      <c r="P2244" s="46" t="str">
        <f t="shared" si="2"/>
        <v>Rp1,250-144 PCS-0.00%</v>
      </c>
      <c r="Q2244" s="75">
        <v>45415.0</v>
      </c>
      <c r="R2244" s="76"/>
      <c r="S2244" s="75">
        <v>45423.0</v>
      </c>
      <c r="T2244" s="49"/>
    </row>
    <row r="2245">
      <c r="A2245" s="90">
        <v>4100.0</v>
      </c>
      <c r="B2245" s="91" t="s">
        <v>29</v>
      </c>
      <c r="C2245" s="49" t="s">
        <v>1773</v>
      </c>
      <c r="D2245" s="91" t="s">
        <v>1611</v>
      </c>
      <c r="E2245" s="41" t="str">
        <f>IFERROR(__xludf.DUMMYFUNCTION("vlookup(D2245,IMPORTRANGE(""https://docs.google.com/spreadsheets/d/1swGwZOEqYlTEUCJLY-eeJM1911Kvaei5oySBIxdgtNo/edit?pli=1#gid=257618397"",""stock untanna!B:C""),2,false)"),"TIPEX KERTAS 7013 MINI")</f>
        <v>TIPEX KERTAS 7013 MINI</v>
      </c>
      <c r="F2245" s="49" t="s">
        <v>1611</v>
      </c>
      <c r="G2245" s="71" t="s">
        <v>1612</v>
      </c>
      <c r="H2245" s="41"/>
      <c r="I2245" s="42"/>
      <c r="J2245" s="43"/>
      <c r="K2245" s="72">
        <v>192.0</v>
      </c>
      <c r="L2245" s="53" t="s">
        <v>62</v>
      </c>
      <c r="M2245" s="73">
        <v>24000.0</v>
      </c>
      <c r="N2245" s="74"/>
      <c r="O2245" s="73">
        <v>4608000.0</v>
      </c>
      <c r="P2245" s="46" t="str">
        <f t="shared" si="2"/>
        <v>Rp24,000-192 LSN-0.00%</v>
      </c>
      <c r="Q2245" s="75">
        <v>45415.0</v>
      </c>
      <c r="R2245" s="76"/>
      <c r="S2245" s="75">
        <v>45423.0</v>
      </c>
      <c r="T2245" s="49"/>
    </row>
    <row r="2246">
      <c r="A2246" s="90">
        <v>4435.0</v>
      </c>
      <c r="B2246" s="91" t="s">
        <v>29</v>
      </c>
      <c r="C2246" s="49" t="s">
        <v>2595</v>
      </c>
      <c r="D2246" s="91" t="s">
        <v>2596</v>
      </c>
      <c r="E2246" s="41" t="str">
        <f>IFERROR(__xludf.DUMMYFUNCTION("vlookup(D2246,IMPORTRANGE(""https://docs.google.com/spreadsheets/d/1swGwZOEqYlTEUCJLY-eeJM1911Kvaei5oySBIxdgtNo/edit?pli=1#gid=257618397"",""stock untanna!B:C""),2,false)"),"MAP HUTANG PIUTANG")</f>
        <v>MAP HUTANG PIUTANG</v>
      </c>
      <c r="F2246" s="49" t="s">
        <v>2596</v>
      </c>
      <c r="G2246" s="71" t="s">
        <v>2597</v>
      </c>
      <c r="H2246" s="41"/>
      <c r="I2246" s="42"/>
      <c r="J2246" s="43"/>
      <c r="K2246" s="72">
        <v>20.0</v>
      </c>
      <c r="L2246" s="53" t="s">
        <v>114</v>
      </c>
      <c r="M2246" s="73">
        <v>4750.0</v>
      </c>
      <c r="N2246" s="74"/>
      <c r="O2246" s="73">
        <v>95000.0</v>
      </c>
      <c r="P2246" s="46" t="str">
        <f t="shared" si="2"/>
        <v>Rp4,750-20 PAK-0.00%</v>
      </c>
      <c r="Q2246" s="75">
        <v>45416.0</v>
      </c>
      <c r="R2246" s="76"/>
      <c r="S2246" s="75">
        <v>45423.0</v>
      </c>
      <c r="T2246" s="49" t="s">
        <v>100</v>
      </c>
    </row>
    <row r="2247">
      <c r="A2247" s="90">
        <v>4365.0</v>
      </c>
      <c r="B2247" s="91" t="s">
        <v>58</v>
      </c>
      <c r="C2247" s="49" t="s">
        <v>2598</v>
      </c>
      <c r="D2247" s="91" t="s">
        <v>1307</v>
      </c>
      <c r="E2247" s="41" t="str">
        <f>IFERROR(__xludf.DUMMYFUNCTION("vlookup(D2247,IMPORTRANGE(""https://docs.google.com/spreadsheets/d/1swGwZOEqYlTEUCJLY-eeJM1911Kvaei5oySBIxdgtNo/edit?pli=1#gid=257618397"",""stock untanna!B:C""),2,false)"),"BP E 8805 MULTI WARNA (24)")</f>
        <v>BP E 8805 MULTI WARNA (24)</v>
      </c>
      <c r="F2247" s="49" t="s">
        <v>1307</v>
      </c>
      <c r="G2247" s="71" t="s">
        <v>1308</v>
      </c>
      <c r="H2247" s="41"/>
      <c r="I2247" s="42"/>
      <c r="J2247" s="43"/>
      <c r="K2247" s="72">
        <v>5.0</v>
      </c>
      <c r="L2247" s="53" t="s">
        <v>88</v>
      </c>
      <c r="M2247" s="73">
        <v>156000.0</v>
      </c>
      <c r="N2247" s="74"/>
      <c r="O2247" s="73">
        <v>780000.0</v>
      </c>
      <c r="P2247" s="46" t="str">
        <f t="shared" si="2"/>
        <v>Rp156,000-5 BOX-0.00%</v>
      </c>
      <c r="Q2247" s="75">
        <v>45416.0</v>
      </c>
      <c r="R2247" s="76"/>
      <c r="S2247" s="75">
        <v>45423.0</v>
      </c>
      <c r="T2247" s="49"/>
    </row>
    <row r="2248">
      <c r="A2248" s="90">
        <v>4365.0</v>
      </c>
      <c r="B2248" s="91" t="s">
        <v>58</v>
      </c>
      <c r="C2248" s="49" t="s">
        <v>2598</v>
      </c>
      <c r="D2248" s="91" t="s">
        <v>1868</v>
      </c>
      <c r="E2248" s="41" t="str">
        <f>IFERROR(__xludf.DUMMYFUNCTION("vlookup(D2248,IMPORTRANGE(""https://docs.google.com/spreadsheets/d/1swGwZOEqYlTEUCJLY-eeJM1911Kvaei5oySBIxdgtNo/edit?pli=1#gid=257618397"",""stock untanna!B:C""),2,false)"),"BP 4W TOZCHA 8401")</f>
        <v>BP 4W TOZCHA 8401</v>
      </c>
      <c r="F2248" s="49" t="s">
        <v>1868</v>
      </c>
      <c r="G2248" s="71" t="s">
        <v>1869</v>
      </c>
      <c r="H2248" s="41"/>
      <c r="I2248" s="42"/>
      <c r="J2248" s="43"/>
      <c r="K2248" s="72">
        <v>24.0</v>
      </c>
      <c r="L2248" s="53" t="s">
        <v>62</v>
      </c>
      <c r="M2248" s="73">
        <v>27500.0</v>
      </c>
      <c r="N2248" s="74"/>
      <c r="O2248" s="73">
        <v>660000.0</v>
      </c>
      <c r="P2248" s="46" t="str">
        <f t="shared" si="2"/>
        <v>Rp27,500-24 LSN-0.00%</v>
      </c>
      <c r="Q2248" s="75">
        <v>45416.0</v>
      </c>
      <c r="R2248" s="76"/>
      <c r="S2248" s="75">
        <v>45423.0</v>
      </c>
      <c r="T2248" s="49"/>
    </row>
    <row r="2249">
      <c r="A2249" s="90">
        <v>4365.0</v>
      </c>
      <c r="B2249" s="91" t="s">
        <v>58</v>
      </c>
      <c r="C2249" s="49" t="s">
        <v>2598</v>
      </c>
      <c r="D2249" s="91"/>
      <c r="E2249" s="41" t="s">
        <v>2599</v>
      </c>
      <c r="F2249" s="49"/>
      <c r="G2249" s="71" t="s">
        <v>2599</v>
      </c>
      <c r="H2249" s="41"/>
      <c r="I2249" s="42"/>
      <c r="J2249" s="43"/>
      <c r="K2249" s="72">
        <v>24.0</v>
      </c>
      <c r="L2249" s="53" t="s">
        <v>69</v>
      </c>
      <c r="M2249" s="73">
        <v>32500.0</v>
      </c>
      <c r="N2249" s="74"/>
      <c r="O2249" s="73">
        <v>780000.0</v>
      </c>
      <c r="P2249" s="46" t="str">
        <f t="shared" si="2"/>
        <v>Rp32,500-24 PCS-0.00%</v>
      </c>
      <c r="Q2249" s="75">
        <v>45416.0</v>
      </c>
      <c r="R2249" s="76"/>
      <c r="S2249" s="75">
        <v>45423.0</v>
      </c>
      <c r="T2249" s="49"/>
    </row>
    <row r="2250">
      <c r="A2250" s="90">
        <v>4365.0</v>
      </c>
      <c r="B2250" s="91" t="s">
        <v>58</v>
      </c>
      <c r="C2250" s="49" t="s">
        <v>2598</v>
      </c>
      <c r="D2250" s="91"/>
      <c r="E2250" s="41" t="s">
        <v>2600</v>
      </c>
      <c r="F2250" s="49"/>
      <c r="G2250" s="71" t="s">
        <v>2600</v>
      </c>
      <c r="H2250" s="41"/>
      <c r="I2250" s="42"/>
      <c r="J2250" s="43"/>
      <c r="K2250" s="72">
        <v>15.0</v>
      </c>
      <c r="L2250" s="53" t="s">
        <v>69</v>
      </c>
      <c r="M2250" s="73">
        <v>25500.0</v>
      </c>
      <c r="N2250" s="74"/>
      <c r="O2250" s="73">
        <v>382500.0</v>
      </c>
      <c r="P2250" s="46" t="str">
        <f t="shared" si="2"/>
        <v>Rp25,500-15 PCS-0.00%</v>
      </c>
      <c r="Q2250" s="75">
        <v>45416.0</v>
      </c>
      <c r="R2250" s="76"/>
      <c r="S2250" s="75">
        <v>45423.0</v>
      </c>
      <c r="T2250" s="49"/>
    </row>
    <row r="2251">
      <c r="A2251" s="90">
        <v>4212.0</v>
      </c>
      <c r="B2251" s="91" t="s">
        <v>29</v>
      </c>
      <c r="C2251" s="80" t="s">
        <v>2243</v>
      </c>
      <c r="D2251" s="91" t="s">
        <v>750</v>
      </c>
      <c r="E2251" s="41" t="str">
        <f>IFERROR(__xludf.DUMMYFUNCTION("vlookup(D2251,IMPORTRANGE(""https://docs.google.com/spreadsheets/d/1swGwZOEqYlTEUCJLY-eeJM1911Kvaei5oySBIxdgtNo/edit?pli=1#gid=257618397"",""stock untanna!B:C""),2,false)"),"BP X DATA M1")</f>
        <v>BP X DATA M1</v>
      </c>
      <c r="F2251" s="49" t="s">
        <v>750</v>
      </c>
      <c r="G2251" s="71" t="s">
        <v>751</v>
      </c>
      <c r="H2251" s="41"/>
      <c r="I2251" s="42"/>
      <c r="J2251" s="43"/>
      <c r="K2251" s="72">
        <v>100.0</v>
      </c>
      <c r="L2251" s="53" t="s">
        <v>131</v>
      </c>
      <c r="M2251" s="73">
        <v>75000.0</v>
      </c>
      <c r="N2251" s="74"/>
      <c r="O2251" s="73">
        <v>7500000.0</v>
      </c>
      <c r="P2251" s="46" t="str">
        <f t="shared" si="2"/>
        <v>Rp75,000-100 GRS-0.00%</v>
      </c>
      <c r="Q2251" s="75">
        <v>45416.0</v>
      </c>
      <c r="R2251" s="76"/>
      <c r="S2251" s="75">
        <v>45423.0</v>
      </c>
      <c r="T2251" s="49"/>
    </row>
    <row r="2252">
      <c r="A2252" s="90">
        <v>4367.0</v>
      </c>
      <c r="B2252" s="91" t="s">
        <v>58</v>
      </c>
      <c r="C2252" s="49" t="s">
        <v>643</v>
      </c>
      <c r="D2252" s="91" t="s">
        <v>86</v>
      </c>
      <c r="E2252" s="41" t="str">
        <f>IFERROR(__xludf.DUMMYFUNCTION("vlookup(D2252,IMPORTRANGE(""https://docs.google.com/spreadsheets/d/1swGwZOEqYlTEUCJLY-eeJM1911Kvaei5oySBIxdgtNo/edit?pli=1#gid=257618397"",""stock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2252" s="49" t="s">
        <v>86</v>
      </c>
      <c r="G2252" s="71" t="s">
        <v>87</v>
      </c>
      <c r="H2252" s="41"/>
      <c r="I2252" s="42"/>
      <c r="J2252" s="43"/>
      <c r="K2252" s="72">
        <v>24.0</v>
      </c>
      <c r="L2252" s="53" t="s">
        <v>88</v>
      </c>
      <c r="M2252" s="73">
        <v>96000.0</v>
      </c>
      <c r="N2252" s="74"/>
      <c r="O2252" s="73">
        <v>2304000.0</v>
      </c>
      <c r="P2252" s="46" t="str">
        <f t="shared" si="2"/>
        <v>Rp96,000-24 BOX-0.00%</v>
      </c>
      <c r="Q2252" s="75">
        <v>45416.0</v>
      </c>
      <c r="R2252" s="76"/>
      <c r="S2252" s="75">
        <v>45423.0</v>
      </c>
      <c r="T2252" s="49"/>
    </row>
    <row r="2253">
      <c r="A2253" s="90">
        <v>104.0</v>
      </c>
      <c r="B2253" s="91" t="s">
        <v>65</v>
      </c>
      <c r="C2253" s="49" t="s">
        <v>2601</v>
      </c>
      <c r="D2253" s="91" t="s">
        <v>419</v>
      </c>
      <c r="E2253" s="41" t="str">
        <f>IFERROR(__xludf.DUMMYFUNCTION("vlookup(D2253,IMPORTRANGE(""https://docs.google.com/spreadsheets/d/1swGwZOEqYlTEUCJLY-eeJM1911Kvaei5oySBIxdgtNo/edit?pli=1#gid=257618397"",""stock untanna!B:C""),2,false)"),"BP GEL ZUI XUA HY-1020 HITAM")</f>
        <v>BP GEL ZUI XUA HY-1020 HITAM</v>
      </c>
      <c r="F2253" s="49" t="s">
        <v>419</v>
      </c>
      <c r="G2253" s="71" t="s">
        <v>420</v>
      </c>
      <c r="H2253" s="41"/>
      <c r="I2253" s="42"/>
      <c r="J2253" s="43"/>
      <c r="K2253" s="72">
        <v>192.0</v>
      </c>
      <c r="L2253" s="53" t="s">
        <v>62</v>
      </c>
      <c r="M2253" s="73">
        <v>11000.0</v>
      </c>
      <c r="N2253" s="74"/>
      <c r="O2253" s="73">
        <v>2112000.0</v>
      </c>
      <c r="P2253" s="46" t="str">
        <f t="shared" si="2"/>
        <v>Rp11,000-192 LSN-0.00%</v>
      </c>
      <c r="Q2253" s="75">
        <v>45416.0</v>
      </c>
      <c r="R2253" s="76"/>
      <c r="S2253" s="75">
        <v>45423.0</v>
      </c>
      <c r="T2253" s="49"/>
    </row>
    <row r="2254">
      <c r="A2254" s="90">
        <v>4368.0</v>
      </c>
      <c r="B2254" s="91" t="s">
        <v>58</v>
      </c>
      <c r="C2254" s="49" t="s">
        <v>2602</v>
      </c>
      <c r="D2254" s="91" t="s">
        <v>1577</v>
      </c>
      <c r="E2254" s="41" t="str">
        <f>IFERROR(__xludf.DUMMYFUNCTION("vlookup(D2254,IMPORTRANGE(""https://docs.google.com/spreadsheets/d/1swGwZOEqYlTEUCJLY-eeJM1911Kvaei5oySBIxdgtNo/edit?pli=1#gid=257618397"",""stock untanna!B:C""),2,false)"),"STABILLO TIZO TF610")</f>
        <v>STABILLO TIZO TF610</v>
      </c>
      <c r="F2254" s="49" t="s">
        <v>1577</v>
      </c>
      <c r="G2254" s="71" t="s">
        <v>1578</v>
      </c>
      <c r="H2254" s="41"/>
      <c r="I2254" s="42"/>
      <c r="J2254" s="43"/>
      <c r="K2254" s="72">
        <v>1.0</v>
      </c>
      <c r="L2254" s="53" t="s">
        <v>88</v>
      </c>
      <c r="M2254" s="73">
        <v>121986.0</v>
      </c>
      <c r="N2254" s="74"/>
      <c r="O2254" s="73">
        <v>121986.0</v>
      </c>
      <c r="P2254" s="46" t="str">
        <f t="shared" si="2"/>
        <v>Rp121,986-1 BOX-0.00%</v>
      </c>
      <c r="Q2254" s="75">
        <v>45416.0</v>
      </c>
      <c r="R2254" s="76"/>
      <c r="S2254" s="75">
        <v>45423.0</v>
      </c>
      <c r="T2254" s="49"/>
    </row>
    <row r="2255">
      <c r="A2255" s="90">
        <v>4368.0</v>
      </c>
      <c r="B2255" s="91" t="s">
        <v>58</v>
      </c>
      <c r="C2255" s="49" t="s">
        <v>2602</v>
      </c>
      <c r="D2255" s="91" t="s">
        <v>197</v>
      </c>
      <c r="E2255" s="41" t="str">
        <f>IFERROR(__xludf.DUMMYFUNCTION("vlookup(D2255,IMPORTRANGE(""https://docs.google.com/spreadsheets/d/1swGwZOEqYlTEUCJLY-eeJM1911Kvaei5oySBIxdgtNo/edit?pli=1#gid=257618397"",""stock untanna!B:C""),2,false)"),"BP TF G-3114 0.3MM HIGHTECH KNOCK")</f>
        <v>BP TF G-3114 0.3MM HIGHTECH KNOCK</v>
      </c>
      <c r="F2255" s="49" t="s">
        <v>197</v>
      </c>
      <c r="G2255" s="71" t="s">
        <v>198</v>
      </c>
      <c r="H2255" s="41"/>
      <c r="I2255" s="42"/>
      <c r="J2255" s="43"/>
      <c r="K2255" s="72">
        <v>4.0</v>
      </c>
      <c r="L2255" s="53" t="s">
        <v>62</v>
      </c>
      <c r="M2255" s="73">
        <v>36996.0</v>
      </c>
      <c r="N2255" s="74"/>
      <c r="O2255" s="73">
        <v>147984.0</v>
      </c>
      <c r="P2255" s="46" t="str">
        <f t="shared" si="2"/>
        <v>Rp36,996-4 LSN-0.00%</v>
      </c>
      <c r="Q2255" s="75">
        <v>45416.0</v>
      </c>
      <c r="R2255" s="76"/>
      <c r="S2255" s="75">
        <v>45423.0</v>
      </c>
      <c r="T2255" s="49"/>
    </row>
    <row r="2256">
      <c r="A2256" s="90">
        <v>4368.0</v>
      </c>
      <c r="B2256" s="91" t="s">
        <v>58</v>
      </c>
      <c r="C2256" s="49" t="s">
        <v>2602</v>
      </c>
      <c r="D2256" s="91" t="s">
        <v>195</v>
      </c>
      <c r="E2256" s="41" t="str">
        <f>IFERROR(__xludf.DUMMYFUNCTION("vlookup(D2256,IMPORTRANGE(""https://docs.google.com/spreadsheets/d/1swGwZOEqYlTEUCJLY-eeJM1911Kvaei5oySBIxdgtNo/edit?pli=1#gid=257618397"",""stock untanna!B:C""),2,false)"),"BP TF-3115 HIGHTECH KNOCK")</f>
        <v>BP TF-3115 HIGHTECH KNOCK</v>
      </c>
      <c r="F2256" s="49" t="s">
        <v>195</v>
      </c>
      <c r="G2256" s="71" t="s">
        <v>196</v>
      </c>
      <c r="H2256" s="41"/>
      <c r="I2256" s="42"/>
      <c r="J2256" s="43"/>
      <c r="K2256" s="72">
        <v>4.0</v>
      </c>
      <c r="L2256" s="53" t="s">
        <v>62</v>
      </c>
      <c r="M2256" s="73">
        <v>39600.0</v>
      </c>
      <c r="N2256" s="74"/>
      <c r="O2256" s="73">
        <v>158400.0</v>
      </c>
      <c r="P2256" s="46" t="str">
        <f t="shared" si="2"/>
        <v>Rp39,600-4 LSN-0.00%</v>
      </c>
      <c r="Q2256" s="75">
        <v>45416.0</v>
      </c>
      <c r="R2256" s="76"/>
      <c r="S2256" s="75">
        <v>45423.0</v>
      </c>
      <c r="T2256" s="49"/>
    </row>
    <row r="2257">
      <c r="A2257" s="90">
        <v>4368.0</v>
      </c>
      <c r="B2257" s="91" t="s">
        <v>58</v>
      </c>
      <c r="C2257" s="49" t="s">
        <v>2602</v>
      </c>
      <c r="D2257" s="91" t="s">
        <v>203</v>
      </c>
      <c r="E2257" s="41" t="str">
        <f>IFERROR(__xludf.DUMMYFUNCTION("vlookup(D2257,IMPORTRANGE(""https://docs.google.com/spreadsheets/d/1swGwZOEqYlTEUCJLY-eeJM1911Kvaei5oySBIxdgtNo/edit?pli=1#gid=257618397"",""stock untanna!B:C""),2,false)"),"BP HITECH JOSS GP-168 0.28MM")</f>
        <v>BP HITECH JOSS GP-168 0.28MM</v>
      </c>
      <c r="F2257" s="49" t="s">
        <v>203</v>
      </c>
      <c r="G2257" s="71" t="s">
        <v>204</v>
      </c>
      <c r="H2257" s="41"/>
      <c r="I2257" s="42"/>
      <c r="J2257" s="43"/>
      <c r="K2257" s="72">
        <v>4.0</v>
      </c>
      <c r="L2257" s="53" t="s">
        <v>62</v>
      </c>
      <c r="M2257" s="73">
        <v>24996.0</v>
      </c>
      <c r="N2257" s="74"/>
      <c r="O2257" s="73">
        <v>99984.0</v>
      </c>
      <c r="P2257" s="46" t="str">
        <f t="shared" si="2"/>
        <v>Rp24,996-4 LSN-0.00%</v>
      </c>
      <c r="Q2257" s="75">
        <v>45416.0</v>
      </c>
      <c r="R2257" s="76"/>
      <c r="S2257" s="75">
        <v>45423.0</v>
      </c>
      <c r="T2257" s="49"/>
    </row>
    <row r="2258">
      <c r="A2258" s="90">
        <v>4368.0</v>
      </c>
      <c r="B2258" s="91" t="s">
        <v>58</v>
      </c>
      <c r="C2258" s="49" t="s">
        <v>2602</v>
      </c>
      <c r="D2258" s="77" t="s">
        <v>89</v>
      </c>
      <c r="E2258" s="41" t="str">
        <f>IFERROR(__xludf.DUMMYFUNCTION("vlookup(D2258,IMPORTRANGE(""https://docs.google.com/spreadsheets/d/1swGwZOEqYlTEUCJLY-eeJM1911Kvaei5oySBIxdgtNo/edit?pli=1#gid=257618397"",""stock untanna!B:C""),2,false)"),"ISI GEL DTIAN GR-089 (12PCS TABUNG)")</f>
        <v>ISI GEL DTIAN GR-089 (12PCS TABUNG)</v>
      </c>
      <c r="F2258" s="49" t="s">
        <v>90</v>
      </c>
      <c r="G2258" s="71" t="s">
        <v>91</v>
      </c>
      <c r="H2258" s="41"/>
      <c r="I2258" s="42"/>
      <c r="J2258" s="43"/>
      <c r="K2258" s="72">
        <v>2.0</v>
      </c>
      <c r="L2258" s="53" t="s">
        <v>88</v>
      </c>
      <c r="M2258" s="73">
        <v>200000.0</v>
      </c>
      <c r="N2258" s="74"/>
      <c r="O2258" s="73">
        <v>400000.0</v>
      </c>
      <c r="P2258" s="46" t="str">
        <f t="shared" si="2"/>
        <v>Rp200,000-2 BOX-0.00%</v>
      </c>
      <c r="Q2258" s="75">
        <v>45416.0</v>
      </c>
      <c r="R2258" s="76"/>
      <c r="S2258" s="75">
        <v>45423.0</v>
      </c>
      <c r="T2258" s="49"/>
    </row>
    <row r="2259">
      <c r="A2259" s="90">
        <v>4368.0</v>
      </c>
      <c r="B2259" s="91" t="s">
        <v>58</v>
      </c>
      <c r="C2259" s="49" t="s">
        <v>2602</v>
      </c>
      <c r="D2259" s="91" t="s">
        <v>86</v>
      </c>
      <c r="E2259" s="41" t="str">
        <f>IFERROR(__xludf.DUMMYFUNCTION("vlookup(D2259,IMPORTRANGE(""https://docs.google.com/spreadsheets/d/1swGwZOEqYlTEUCJLY-eeJM1911Kvaei5oySBIxdgtNo/edit?pli=1#gid=257618397"",""stock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2259" s="49" t="s">
        <v>86</v>
      </c>
      <c r="G2259" s="71" t="s">
        <v>87</v>
      </c>
      <c r="H2259" s="41"/>
      <c r="I2259" s="42"/>
      <c r="J2259" s="43"/>
      <c r="K2259" s="72">
        <v>2.0</v>
      </c>
      <c r="L2259" s="53" t="s">
        <v>88</v>
      </c>
      <c r="M2259" s="73">
        <v>114000.0</v>
      </c>
      <c r="N2259" s="74"/>
      <c r="O2259" s="73">
        <v>228000.0</v>
      </c>
      <c r="P2259" s="46" t="str">
        <f t="shared" si="2"/>
        <v>Rp114,000-2 BOX-0.00%</v>
      </c>
      <c r="Q2259" s="75">
        <v>45416.0</v>
      </c>
      <c r="R2259" s="76"/>
      <c r="S2259" s="75">
        <v>45423.0</v>
      </c>
      <c r="T2259" s="49"/>
    </row>
    <row r="2260">
      <c r="A2260" s="90">
        <v>4368.0</v>
      </c>
      <c r="B2260" s="91" t="s">
        <v>58</v>
      </c>
      <c r="C2260" s="49" t="s">
        <v>2602</v>
      </c>
      <c r="D2260" s="91" t="s">
        <v>623</v>
      </c>
      <c r="E2260" s="41" t="str">
        <f>IFERROR(__xludf.DUMMYFUNCTION("vlookup(D2260,IMPORTRANGE(""https://docs.google.com/spreadsheets/d/1swGwZOEqYlTEUCJLY-eeJM1911Kvaei5oySBIxdgtNo/edit?pli=1#gid=257618397"",""stock untanna!B:C""),2,false)"),"BP GEL TF-1190 0.3MM HIGHTECH (H)")</f>
        <v>BP GEL TF-1190 0.3MM HIGHTECH (H)</v>
      </c>
      <c r="F2260" s="49" t="s">
        <v>623</v>
      </c>
      <c r="G2260" s="71" t="s">
        <v>624</v>
      </c>
      <c r="H2260" s="41"/>
      <c r="I2260" s="42"/>
      <c r="J2260" s="43"/>
      <c r="K2260" s="72">
        <v>4.0</v>
      </c>
      <c r="L2260" s="53" t="s">
        <v>62</v>
      </c>
      <c r="M2260" s="73">
        <v>32496.0</v>
      </c>
      <c r="N2260" s="74"/>
      <c r="O2260" s="73">
        <v>129984.0</v>
      </c>
      <c r="P2260" s="46" t="str">
        <f t="shared" si="2"/>
        <v>Rp32,496-4 LSN-0.00%</v>
      </c>
      <c r="Q2260" s="75">
        <v>45416.0</v>
      </c>
      <c r="R2260" s="76"/>
      <c r="S2260" s="75">
        <v>45423.0</v>
      </c>
      <c r="T2260" s="49"/>
    </row>
    <row r="2261">
      <c r="A2261" s="90">
        <v>309.0</v>
      </c>
      <c r="B2261" s="91"/>
      <c r="C2261" s="49" t="s">
        <v>2603</v>
      </c>
      <c r="D2261" s="91" t="s">
        <v>705</v>
      </c>
      <c r="E2261" s="41" t="str">
        <f>IFERROR(__xludf.DUMMYFUNCTION("vlookup(D2261,IMPORTRANGE(""https://docs.google.com/spreadsheets/d/1swGwZOEqYlTEUCJLY-eeJM1911Kvaei5oySBIxdgtNo/edit?pli=1#gid=257618397"",""stock untanna!B:C""),2,false)"),"MAP KANCING SIKA AC-05 PUTIH")</f>
        <v>MAP KANCING SIKA AC-05 PUTIH</v>
      </c>
      <c r="F2261" s="49" t="s">
        <v>705</v>
      </c>
      <c r="G2261" s="71" t="s">
        <v>706</v>
      </c>
      <c r="H2261" s="41"/>
      <c r="I2261" s="42"/>
      <c r="J2261" s="43"/>
      <c r="K2261" s="72">
        <v>1.0</v>
      </c>
      <c r="L2261" s="53" t="s">
        <v>62</v>
      </c>
      <c r="M2261" s="73">
        <v>19500.0</v>
      </c>
      <c r="N2261" s="74"/>
      <c r="O2261" s="73">
        <v>19500.0</v>
      </c>
      <c r="P2261" s="46" t="str">
        <f t="shared" si="2"/>
        <v>Rp19,500-1 LSN-0.00%</v>
      </c>
      <c r="Q2261" s="75">
        <v>45416.0</v>
      </c>
      <c r="R2261" s="76"/>
      <c r="S2261" s="75">
        <v>45423.0</v>
      </c>
      <c r="T2261" s="49"/>
    </row>
    <row r="2262">
      <c r="A2262" s="90">
        <v>4466.0</v>
      </c>
      <c r="B2262" s="91" t="s">
        <v>58</v>
      </c>
      <c r="C2262" s="49" t="s">
        <v>2362</v>
      </c>
      <c r="D2262" s="91" t="s">
        <v>598</v>
      </c>
      <c r="E2262" s="41" t="str">
        <f>IFERROR(__xludf.DUMMYFUNCTION("vlookup(D2262,IMPORTRANGE(""https://docs.google.com/spreadsheets/d/1swGwZOEqYlTEUCJLY-eeJM1911Kvaei5oySBIxdgtNo/edit?pli=1#gid=257618397"",""stock untanna!B:C""),2,false)"),"PENSIL CASE AC-2893-3")</f>
        <v>PENSIL CASE AC-2893-3</v>
      </c>
      <c r="F2262" s="49" t="s">
        <v>598</v>
      </c>
      <c r="G2262" s="71" t="s">
        <v>599</v>
      </c>
      <c r="H2262" s="41"/>
      <c r="I2262" s="42"/>
      <c r="J2262" s="43"/>
      <c r="K2262" s="72">
        <v>24.0</v>
      </c>
      <c r="L2262" s="53" t="s">
        <v>69</v>
      </c>
      <c r="M2262" s="73">
        <v>12500.0</v>
      </c>
      <c r="N2262" s="74"/>
      <c r="O2262" s="73">
        <v>300000.0</v>
      </c>
      <c r="P2262" s="46" t="str">
        <f t="shared" si="2"/>
        <v>Rp12,500-24 PCS-0.00%</v>
      </c>
      <c r="Q2262" s="75">
        <v>45416.0</v>
      </c>
      <c r="R2262" s="76"/>
      <c r="S2262" s="75">
        <v>45423.0</v>
      </c>
      <c r="T2262" s="49"/>
    </row>
    <row r="2263">
      <c r="A2263" s="90">
        <v>4466.0</v>
      </c>
      <c r="B2263" s="91" t="s">
        <v>58</v>
      </c>
      <c r="C2263" s="49" t="s">
        <v>2362</v>
      </c>
      <c r="D2263" s="91" t="s">
        <v>2096</v>
      </c>
      <c r="E2263" s="41" t="str">
        <f>IFERROR(__xludf.DUMMYFUNCTION("vlookup(D2263,IMPORTRANGE(""https://docs.google.com/spreadsheets/d/1swGwZOEqYlTEUCJLY-eeJM1911Kvaei5oySBIxdgtNo/edit?pli=1#gid=257618397"",""stock untanna!B:C""),2,false)"),"PENSIL CASE AC-2860-3")</f>
        <v>PENSIL CASE AC-2860-3</v>
      </c>
      <c r="F2263" s="49" t="s">
        <v>2096</v>
      </c>
      <c r="G2263" s="71" t="s">
        <v>2097</v>
      </c>
      <c r="H2263" s="41"/>
      <c r="I2263" s="42"/>
      <c r="J2263" s="43"/>
      <c r="K2263" s="72">
        <v>24.0</v>
      </c>
      <c r="L2263" s="53" t="s">
        <v>69</v>
      </c>
      <c r="M2263" s="73">
        <v>14583.0</v>
      </c>
      <c r="N2263" s="74"/>
      <c r="O2263" s="73">
        <v>349992.0</v>
      </c>
      <c r="P2263" s="46" t="str">
        <f t="shared" si="2"/>
        <v>Rp14,583-24 PCS-0.00%</v>
      </c>
      <c r="Q2263" s="75">
        <v>45416.0</v>
      </c>
      <c r="R2263" s="76"/>
      <c r="S2263" s="75">
        <v>45423.0</v>
      </c>
      <c r="T2263" s="49"/>
    </row>
    <row r="2264">
      <c r="A2264" s="90">
        <v>4466.0</v>
      </c>
      <c r="B2264" s="91" t="s">
        <v>58</v>
      </c>
      <c r="C2264" s="49" t="s">
        <v>2362</v>
      </c>
      <c r="D2264" s="91" t="s">
        <v>1398</v>
      </c>
      <c r="E2264" s="41" t="str">
        <f>IFERROR(__xludf.DUMMYFUNCTION("vlookup(D2264,IMPORTRANGE(""https://docs.google.com/spreadsheets/d/1swGwZOEqYlTEUCJLY-eeJM1911Kvaei5oySBIxdgtNo/edit?pli=1#gid=257618397"",""stock untanna!B:C""),2,false)"),"PENSIL CASE 6A-28")</f>
        <v>PENSIL CASE 6A-28</v>
      </c>
      <c r="F2264" s="49" t="s">
        <v>1398</v>
      </c>
      <c r="G2264" s="71" t="s">
        <v>1399</v>
      </c>
      <c r="H2264" s="41"/>
      <c r="I2264" s="42"/>
      <c r="J2264" s="43"/>
      <c r="K2264" s="72">
        <v>24.0</v>
      </c>
      <c r="L2264" s="53" t="s">
        <v>69</v>
      </c>
      <c r="M2264" s="73">
        <v>13333.0</v>
      </c>
      <c r="N2264" s="74"/>
      <c r="O2264" s="73">
        <v>319992.0</v>
      </c>
      <c r="P2264" s="46" t="str">
        <f t="shared" si="2"/>
        <v>Rp13,333-24 PCS-0.00%</v>
      </c>
      <c r="Q2264" s="75">
        <v>45416.0</v>
      </c>
      <c r="R2264" s="76"/>
      <c r="S2264" s="75">
        <v>45423.0</v>
      </c>
      <c r="T2264" s="49"/>
    </row>
    <row r="2265">
      <c r="A2265" s="90">
        <v>4466.0</v>
      </c>
      <c r="B2265" s="91" t="s">
        <v>58</v>
      </c>
      <c r="C2265" s="49" t="s">
        <v>2362</v>
      </c>
      <c r="D2265" s="91" t="s">
        <v>584</v>
      </c>
      <c r="E2265" s="41" t="str">
        <f>IFERROR(__xludf.DUMMYFUNCTION("vlookup(D2265,IMPORTRANGE(""https://docs.google.com/spreadsheets/d/1swGwZOEqYlTEUCJLY-eeJM1911Kvaei5oySBIxdgtNo/edit?pli=1#gid=257618397"",""stock untanna!B:C""),2,false)"),"PENSIL CASE 8300AV TIMBUL")</f>
        <v>PENSIL CASE 8300AV TIMBUL</v>
      </c>
      <c r="F2265" s="49" t="s">
        <v>584</v>
      </c>
      <c r="G2265" s="71" t="s">
        <v>585</v>
      </c>
      <c r="H2265" s="41"/>
      <c r="I2265" s="42"/>
      <c r="J2265" s="43"/>
      <c r="K2265" s="72">
        <v>24.0</v>
      </c>
      <c r="L2265" s="53" t="s">
        <v>69</v>
      </c>
      <c r="M2265" s="73">
        <v>33333.0</v>
      </c>
      <c r="N2265" s="74"/>
      <c r="O2265" s="73">
        <v>799992.0</v>
      </c>
      <c r="P2265" s="46" t="str">
        <f t="shared" si="2"/>
        <v>Rp33,333-24 PCS-0.00%</v>
      </c>
      <c r="Q2265" s="75">
        <v>45416.0</v>
      </c>
      <c r="R2265" s="76"/>
      <c r="S2265" s="75">
        <v>45423.0</v>
      </c>
      <c r="T2265" s="49"/>
    </row>
    <row r="2266">
      <c r="A2266" s="90">
        <v>4466.0</v>
      </c>
      <c r="B2266" s="91" t="s">
        <v>58</v>
      </c>
      <c r="C2266" s="49" t="s">
        <v>2362</v>
      </c>
      <c r="D2266" s="91" t="s">
        <v>106</v>
      </c>
      <c r="E2266" s="41" t="str">
        <f>IFERROR(__xludf.DUMMYFUNCTION("vlookup(D2266,IMPORTRANGE(""https://docs.google.com/spreadsheets/d/1swGwZOEqYlTEUCJLY-eeJM1911Kvaei5oySBIxdgtNo/edit?pli=1#gid=257618397"",""stock untanna!B:C""),2,false)"),"PENSIL CASE QY-2023 MOBIL")</f>
        <v>PENSIL CASE QY-2023 MOBIL</v>
      </c>
      <c r="F2266" s="49" t="s">
        <v>106</v>
      </c>
      <c r="G2266" s="71" t="s">
        <v>107</v>
      </c>
      <c r="H2266" s="41"/>
      <c r="I2266" s="42"/>
      <c r="J2266" s="43"/>
      <c r="K2266" s="72">
        <v>24.0</v>
      </c>
      <c r="L2266" s="53" t="s">
        <v>69</v>
      </c>
      <c r="M2266" s="73">
        <v>12500.0</v>
      </c>
      <c r="N2266" s="74"/>
      <c r="O2266" s="73">
        <v>300000.0</v>
      </c>
      <c r="P2266" s="46" t="str">
        <f t="shared" si="2"/>
        <v>Rp12,500-24 PCS-0.00%</v>
      </c>
      <c r="Q2266" s="75">
        <v>45416.0</v>
      </c>
      <c r="R2266" s="76"/>
      <c r="S2266" s="75">
        <v>45423.0</v>
      </c>
      <c r="T2266" s="49"/>
    </row>
    <row r="2267">
      <c r="A2267" s="90">
        <v>4466.0</v>
      </c>
      <c r="B2267" s="91" t="s">
        <v>58</v>
      </c>
      <c r="C2267" s="49" t="s">
        <v>2362</v>
      </c>
      <c r="D2267" s="91" t="s">
        <v>2096</v>
      </c>
      <c r="E2267" s="41" t="str">
        <f>IFERROR(__xludf.DUMMYFUNCTION("vlookup(D2267,IMPORTRANGE(""https://docs.google.com/spreadsheets/d/1swGwZOEqYlTEUCJLY-eeJM1911Kvaei5oySBIxdgtNo/edit?pli=1#gid=257618397"",""stock untanna!B:C""),2,false)"),"PENSIL CASE AC-2860-3")</f>
        <v>PENSIL CASE AC-2860-3</v>
      </c>
      <c r="F2267" s="49" t="s">
        <v>2096</v>
      </c>
      <c r="G2267" s="71" t="s">
        <v>2097</v>
      </c>
      <c r="H2267" s="41"/>
      <c r="I2267" s="42"/>
      <c r="J2267" s="43"/>
      <c r="K2267" s="72">
        <v>24.0</v>
      </c>
      <c r="L2267" s="53" t="s">
        <v>69</v>
      </c>
      <c r="M2267" s="73">
        <v>14583.0</v>
      </c>
      <c r="N2267" s="74"/>
      <c r="O2267" s="73">
        <v>349992.0</v>
      </c>
      <c r="P2267" s="46" t="str">
        <f t="shared" si="2"/>
        <v>Rp14,583-24 PCS-0.00%</v>
      </c>
      <c r="Q2267" s="75">
        <v>45416.0</v>
      </c>
      <c r="R2267" s="76"/>
      <c r="S2267" s="75">
        <v>45423.0</v>
      </c>
      <c r="T2267" s="49"/>
    </row>
    <row r="2268">
      <c r="A2268" s="90">
        <v>4466.0</v>
      </c>
      <c r="B2268" s="91" t="s">
        <v>58</v>
      </c>
      <c r="C2268" s="49" t="s">
        <v>2362</v>
      </c>
      <c r="D2268" s="91" t="s">
        <v>2090</v>
      </c>
      <c r="E2268" s="41" t="str">
        <f>IFERROR(__xludf.DUMMYFUNCTION("vlookup(D2268,IMPORTRANGE(""https://docs.google.com/spreadsheets/d/1swGwZOEqYlTEUCJLY-eeJM1911Kvaei5oySBIxdgtNo/edit?pli=1#gid=257618397"",""stock untanna!B:C""),2,false)"),"PENSIL CASE 168-27")</f>
        <v>PENSIL CASE 168-27</v>
      </c>
      <c r="F2268" s="49" t="s">
        <v>2090</v>
      </c>
      <c r="G2268" s="71" t="s">
        <v>2091</v>
      </c>
      <c r="H2268" s="41"/>
      <c r="I2268" s="42"/>
      <c r="J2268" s="43"/>
      <c r="K2268" s="72">
        <v>24.0</v>
      </c>
      <c r="L2268" s="53" t="s">
        <v>69</v>
      </c>
      <c r="M2268" s="73">
        <v>18750.0</v>
      </c>
      <c r="N2268" s="74"/>
      <c r="O2268" s="73">
        <v>450000.0</v>
      </c>
      <c r="P2268" s="46" t="str">
        <f t="shared" si="2"/>
        <v>Rp18,750-24 PCS-0.00%</v>
      </c>
      <c r="Q2268" s="75">
        <v>45416.0</v>
      </c>
      <c r="R2268" s="76"/>
      <c r="S2268" s="75">
        <v>45423.0</v>
      </c>
      <c r="T2268" s="49"/>
    </row>
    <row r="2269">
      <c r="A2269" s="90">
        <v>4466.0</v>
      </c>
      <c r="B2269" s="91" t="s">
        <v>58</v>
      </c>
      <c r="C2269" s="49" t="s">
        <v>2362</v>
      </c>
      <c r="D2269" s="91" t="s">
        <v>2084</v>
      </c>
      <c r="E2269" s="41" t="str">
        <f>IFERROR(__xludf.DUMMYFUNCTION("vlookup(D2269,IMPORTRANGE(""https://docs.google.com/spreadsheets/d/1swGwZOEqYlTEUCJLY-eeJM1911Kvaei5oySBIxdgtNo/edit?pli=1#gid=257618397"",""stock untanna!B:C""),2,false)"),"PENSIL CASE 168-35")</f>
        <v>PENSIL CASE 168-35</v>
      </c>
      <c r="F2269" s="49" t="s">
        <v>2084</v>
      </c>
      <c r="G2269" s="71" t="s">
        <v>2085</v>
      </c>
      <c r="H2269" s="41"/>
      <c r="I2269" s="42"/>
      <c r="J2269" s="43"/>
      <c r="K2269" s="72">
        <v>24.0</v>
      </c>
      <c r="L2269" s="53" t="s">
        <v>69</v>
      </c>
      <c r="M2269" s="73">
        <v>12500.0</v>
      </c>
      <c r="N2269" s="74"/>
      <c r="O2269" s="73">
        <v>300000.0</v>
      </c>
      <c r="P2269" s="46" t="str">
        <f t="shared" si="2"/>
        <v>Rp12,500-24 PCS-0.00%</v>
      </c>
      <c r="Q2269" s="75">
        <v>45416.0</v>
      </c>
      <c r="R2269" s="76"/>
      <c r="S2269" s="75">
        <v>45423.0</v>
      </c>
      <c r="T2269" s="49"/>
    </row>
    <row r="2270">
      <c r="A2270" s="90">
        <v>4466.0</v>
      </c>
      <c r="B2270" s="91" t="s">
        <v>58</v>
      </c>
      <c r="C2270" s="49" t="s">
        <v>2362</v>
      </c>
      <c r="D2270" s="91" t="s">
        <v>1406</v>
      </c>
      <c r="E2270" s="41" t="str">
        <f>IFERROR(__xludf.DUMMYFUNCTION("vlookup(D2270,IMPORTRANGE(""https://docs.google.com/spreadsheets/d/1swGwZOEqYlTEUCJLY-eeJM1911Kvaei5oySBIxdgtNo/edit?pli=1#gid=257618397"",""stock untanna!B:C""),2,false)"),"PENSIL CASE 8300TK TIMBUL")</f>
        <v>PENSIL CASE 8300TK TIMBUL</v>
      </c>
      <c r="F2270" s="49" t="s">
        <v>1406</v>
      </c>
      <c r="G2270" s="71" t="s">
        <v>1407</v>
      </c>
      <c r="H2270" s="41"/>
      <c r="I2270" s="42"/>
      <c r="J2270" s="43"/>
      <c r="K2270" s="72">
        <v>24.0</v>
      </c>
      <c r="L2270" s="53" t="s">
        <v>69</v>
      </c>
      <c r="M2270" s="73">
        <v>33333.0</v>
      </c>
      <c r="N2270" s="74"/>
      <c r="O2270" s="73">
        <v>799992.0</v>
      </c>
      <c r="P2270" s="46" t="str">
        <f t="shared" si="2"/>
        <v>Rp33,333-24 PCS-0.00%</v>
      </c>
      <c r="Q2270" s="75">
        <v>45416.0</v>
      </c>
      <c r="R2270" s="76"/>
      <c r="S2270" s="75">
        <v>45423.0</v>
      </c>
      <c r="T2270" s="49"/>
    </row>
    <row r="2271">
      <c r="A2271" s="90">
        <v>4466.0</v>
      </c>
      <c r="B2271" s="91" t="s">
        <v>58</v>
      </c>
      <c r="C2271" s="49" t="s">
        <v>2362</v>
      </c>
      <c r="D2271" s="91" t="s">
        <v>2088</v>
      </c>
      <c r="E2271" s="41" t="str">
        <f>IFERROR(__xludf.DUMMYFUNCTION("vlookup(D2271,IMPORTRANGE(""https://docs.google.com/spreadsheets/d/1swGwZOEqYlTEUCJLY-eeJM1911Kvaei5oySBIxdgtNo/edit?pli=1#gid=257618397"",""stock untanna!B:C""),2,false)"),"PENCIL CASE MAGNIT AC 2829-5")</f>
        <v>PENCIL CASE MAGNIT AC 2829-5</v>
      </c>
      <c r="F2271" s="49" t="s">
        <v>2088</v>
      </c>
      <c r="G2271" s="71" t="s">
        <v>2089</v>
      </c>
      <c r="H2271" s="41"/>
      <c r="I2271" s="42"/>
      <c r="J2271" s="43"/>
      <c r="K2271" s="72">
        <v>24.0</v>
      </c>
      <c r="L2271" s="53" t="s">
        <v>69</v>
      </c>
      <c r="M2271" s="73">
        <v>12000.0</v>
      </c>
      <c r="N2271" s="74"/>
      <c r="O2271" s="73">
        <v>288000.0</v>
      </c>
      <c r="P2271" s="46" t="str">
        <f t="shared" si="2"/>
        <v>Rp12,000-24 PCS-0.00%</v>
      </c>
      <c r="Q2271" s="75">
        <v>45416.0</v>
      </c>
      <c r="R2271" s="76"/>
      <c r="S2271" s="75">
        <v>45423.0</v>
      </c>
      <c r="T2271" s="49"/>
    </row>
    <row r="2272">
      <c r="A2272" s="90">
        <v>4466.0</v>
      </c>
      <c r="B2272" s="91" t="s">
        <v>58</v>
      </c>
      <c r="C2272" s="49" t="s">
        <v>2362</v>
      </c>
      <c r="D2272" s="91" t="s">
        <v>210</v>
      </c>
      <c r="E2272" s="41" t="str">
        <f>IFERROR(__xludf.DUMMYFUNCTION("vlookup(D2272,IMPORTRANGE(""https://docs.google.com/spreadsheets/d/1swGwZOEqYlTEUCJLY-eeJM1911Kvaei5oySBIxdgtNo/edit?pli=1#gid=257618397"",""stock untanna!B:C""),2,false)"),"TAS JASMIN TANGGUNG")</f>
        <v>TAS JASMIN TANGGUNG</v>
      </c>
      <c r="F2272" s="49" t="s">
        <v>210</v>
      </c>
      <c r="G2272" s="71" t="s">
        <v>211</v>
      </c>
      <c r="H2272" s="41"/>
      <c r="I2272" s="42"/>
      <c r="J2272" s="43"/>
      <c r="K2272" s="72">
        <v>12.0</v>
      </c>
      <c r="L2272" s="53" t="s">
        <v>62</v>
      </c>
      <c r="M2272" s="73">
        <v>41000.0</v>
      </c>
      <c r="N2272" s="74"/>
      <c r="O2272" s="73">
        <v>492000.0</v>
      </c>
      <c r="P2272" s="46" t="str">
        <f t="shared" si="2"/>
        <v>Rp41,000-12 LSN-0.00%</v>
      </c>
      <c r="Q2272" s="75">
        <v>45416.0</v>
      </c>
      <c r="R2272" s="76"/>
      <c r="S2272" s="75">
        <v>45423.0</v>
      </c>
      <c r="T2272" s="49"/>
    </row>
    <row r="2273">
      <c r="A2273" s="90">
        <v>4466.0</v>
      </c>
      <c r="B2273" s="91" t="s">
        <v>58</v>
      </c>
      <c r="C2273" s="49" t="s">
        <v>2362</v>
      </c>
      <c r="D2273" s="91" t="s">
        <v>212</v>
      </c>
      <c r="E2273" s="41" t="str">
        <f>IFERROR(__xludf.DUMMYFUNCTION("vlookup(D2273,IMPORTRANGE(""https://docs.google.com/spreadsheets/d/1swGwZOEqYlTEUCJLY-eeJM1911Kvaei5oySBIxdgtNo/edit?pli=1#gid=257618397"",""stock untanna!B:C""),2,false)"),"TAS JASMIN BESAR")</f>
        <v>TAS JASMIN BESAR</v>
      </c>
      <c r="F2273" s="49" t="s">
        <v>212</v>
      </c>
      <c r="G2273" s="71" t="s">
        <v>213</v>
      </c>
      <c r="H2273" s="41"/>
      <c r="I2273" s="42"/>
      <c r="J2273" s="43"/>
      <c r="K2273" s="72">
        <v>12.0</v>
      </c>
      <c r="L2273" s="53" t="s">
        <v>62</v>
      </c>
      <c r="M2273" s="73">
        <v>52500.0</v>
      </c>
      <c r="N2273" s="74"/>
      <c r="O2273" s="73">
        <v>630000.0</v>
      </c>
      <c r="P2273" s="46" t="str">
        <f t="shared" si="2"/>
        <v>Rp52,500-12 LSN-0.00%</v>
      </c>
      <c r="Q2273" s="75">
        <v>45416.0</v>
      </c>
      <c r="R2273" s="76"/>
      <c r="S2273" s="75">
        <v>45423.0</v>
      </c>
      <c r="T2273" s="49"/>
    </row>
    <row r="2274">
      <c r="A2274" s="90">
        <v>4466.0</v>
      </c>
      <c r="B2274" s="91" t="s">
        <v>58</v>
      </c>
      <c r="C2274" s="49" t="s">
        <v>2362</v>
      </c>
      <c r="D2274" s="77" t="s">
        <v>1166</v>
      </c>
      <c r="E2274" s="41" t="str">
        <f>IFERROR(__xludf.DUMMYFUNCTION("IFNA(vlookup(D2274,IMPORTRANGE(""https://docs.google.com/spreadsheets/d/1swGwZOEqYlTEUCJLY-eeJM1911Kvaei5oySBIxdgtNo/edit?pli=1#gid=257618397"",""stock untanna!B:C""),2,false),V:V)"),"PC MAGNIT A 6682")</f>
        <v>PC MAGNIT A 6682</v>
      </c>
      <c r="F2274" s="49"/>
      <c r="G2274" s="71" t="s">
        <v>587</v>
      </c>
      <c r="H2274" s="41"/>
      <c r="I2274" s="42"/>
      <c r="J2274" s="85" t="s">
        <v>1319</v>
      </c>
      <c r="K2274" s="72">
        <v>1.0</v>
      </c>
      <c r="L2274" s="53" t="s">
        <v>62</v>
      </c>
      <c r="M2274" s="73">
        <v>350000.0</v>
      </c>
      <c r="N2274" s="74"/>
      <c r="O2274" s="73">
        <v>350000.0</v>
      </c>
      <c r="P2274" s="46" t="str">
        <f t="shared" si="2"/>
        <v>Rp350,000-1 LSN-0.00%</v>
      </c>
      <c r="Q2274" s="75">
        <v>45416.0</v>
      </c>
      <c r="R2274" s="76"/>
      <c r="S2274" s="75">
        <v>45423.0</v>
      </c>
      <c r="T2274" s="80" t="s">
        <v>280</v>
      </c>
    </row>
    <row r="2275">
      <c r="A2275" s="90">
        <v>4466.0</v>
      </c>
      <c r="B2275" s="91" t="s">
        <v>58</v>
      </c>
      <c r="C2275" s="49" t="s">
        <v>2362</v>
      </c>
      <c r="D2275" s="91" t="s">
        <v>2604</v>
      </c>
      <c r="E2275" s="41" t="str">
        <f>IFERROR(__xludf.DUMMYFUNCTION("vlookup(D2275,IMPORTRANGE(""https://docs.google.com/spreadsheets/d/1swGwZOEqYlTEUCJLY-eeJM1911Kvaei5oySBIxdgtNo/edit?pli=1#gid=257618397"",""stock untanna!B:C""),2,false)"),"PENSIL CASE A-6500")</f>
        <v>PENSIL CASE A-6500</v>
      </c>
      <c r="F2275" s="49" t="s">
        <v>2604</v>
      </c>
      <c r="G2275" s="71" t="s">
        <v>2605</v>
      </c>
      <c r="H2275" s="41"/>
      <c r="I2275" s="42"/>
      <c r="J2275" s="43"/>
      <c r="K2275" s="72">
        <v>12.0</v>
      </c>
      <c r="L2275" s="53" t="s">
        <v>69</v>
      </c>
      <c r="M2275" s="73">
        <v>29167.0</v>
      </c>
      <c r="N2275" s="74"/>
      <c r="O2275" s="73">
        <v>350004.0</v>
      </c>
      <c r="P2275" s="46" t="str">
        <f t="shared" si="2"/>
        <v>Rp29,167-12 PCS-0.00%</v>
      </c>
      <c r="Q2275" s="75">
        <v>45416.0</v>
      </c>
      <c r="R2275" s="76"/>
      <c r="S2275" s="75">
        <v>45423.0</v>
      </c>
      <c r="T2275" s="49"/>
    </row>
    <row r="2276">
      <c r="A2276" s="90">
        <v>4467.0</v>
      </c>
      <c r="B2276" s="91" t="s">
        <v>58</v>
      </c>
      <c r="C2276" s="49" t="s">
        <v>2362</v>
      </c>
      <c r="D2276" s="91" t="s">
        <v>2606</v>
      </c>
      <c r="E2276" s="41" t="str">
        <f>IFERROR(__xludf.DUMMYFUNCTION("vlookup(D2276,IMPORTRANGE(""https://docs.google.com/spreadsheets/d/1swGwZOEqYlTEUCJLY-eeJM1911Kvaei5oySBIxdgtNo/edit?pli=1#gid=257618397"",""stock untanna!B:C""),2,false)"),"PITA TARIK/KADO 30 LS")</f>
        <v>PITA TARIK/KADO 30 LS</v>
      </c>
      <c r="F2276" s="49" t="s">
        <v>2606</v>
      </c>
      <c r="G2276" s="71" t="s">
        <v>2607</v>
      </c>
      <c r="H2276" s="41"/>
      <c r="I2276" s="42"/>
      <c r="J2276" s="43"/>
      <c r="K2276" s="72">
        <v>50.0</v>
      </c>
      <c r="L2276" s="53" t="s">
        <v>114</v>
      </c>
      <c r="M2276" s="73">
        <v>6500.0</v>
      </c>
      <c r="N2276" s="74"/>
      <c r="O2276" s="73">
        <v>325000.0</v>
      </c>
      <c r="P2276" s="46" t="str">
        <f t="shared" si="2"/>
        <v>Rp6,500-50 PAK-0.00%</v>
      </c>
      <c r="Q2276" s="75">
        <v>45416.0</v>
      </c>
      <c r="R2276" s="76"/>
      <c r="S2276" s="75">
        <v>45423.0</v>
      </c>
      <c r="T2276" s="49" t="s">
        <v>100</v>
      </c>
    </row>
    <row r="2277">
      <c r="A2277" s="90">
        <v>4467.0</v>
      </c>
      <c r="B2277" s="91" t="s">
        <v>58</v>
      </c>
      <c r="C2277" s="49" t="s">
        <v>2362</v>
      </c>
      <c r="D2277" s="91" t="s">
        <v>2608</v>
      </c>
      <c r="E2277" s="41" t="str">
        <f>IFERROR(__xludf.DUMMYFUNCTION("vlookup(D2277,IMPORTRANGE(""https://docs.google.com/spreadsheets/d/1swGwZOEqYlTEUCJLY-eeJM1911Kvaei5oySBIxdgtNo/edit?pli=1#gid=257618397"",""stock untanna!B:C""),2,false)"),"PITA TARIK/KADO 30 THT -1")</f>
        <v>PITA TARIK/KADO 30 THT -1</v>
      </c>
      <c r="F2277" s="49" t="s">
        <v>2608</v>
      </c>
      <c r="G2277" s="71" t="s">
        <v>2609</v>
      </c>
      <c r="H2277" s="41"/>
      <c r="I2277" s="42"/>
      <c r="J2277" s="43"/>
      <c r="K2277" s="72">
        <v>50.0</v>
      </c>
      <c r="L2277" s="53" t="s">
        <v>114</v>
      </c>
      <c r="M2277" s="73">
        <v>10000.0</v>
      </c>
      <c r="N2277" s="74"/>
      <c r="O2277" s="73">
        <v>500000.0</v>
      </c>
      <c r="P2277" s="46" t="str">
        <f t="shared" si="2"/>
        <v>Rp10,000-50 PAK-0.00%</v>
      </c>
      <c r="Q2277" s="75">
        <v>45416.0</v>
      </c>
      <c r="R2277" s="76"/>
      <c r="S2277" s="75">
        <v>45423.0</v>
      </c>
      <c r="T2277" s="49" t="s">
        <v>100</v>
      </c>
    </row>
    <row r="2278">
      <c r="A2278" s="90">
        <v>4467.0</v>
      </c>
      <c r="B2278" s="91" t="s">
        <v>58</v>
      </c>
      <c r="C2278" s="49" t="s">
        <v>2362</v>
      </c>
      <c r="D2278" s="91"/>
      <c r="E2278" s="41" t="s">
        <v>2610</v>
      </c>
      <c r="F2278" s="49"/>
      <c r="G2278" s="71" t="s">
        <v>2610</v>
      </c>
      <c r="H2278" s="41"/>
      <c r="I2278" s="42"/>
      <c r="J2278" s="43"/>
      <c r="K2278" s="72">
        <v>50.0</v>
      </c>
      <c r="L2278" s="53" t="s">
        <v>114</v>
      </c>
      <c r="M2278" s="73">
        <v>3500.0</v>
      </c>
      <c r="N2278" s="74"/>
      <c r="O2278" s="73">
        <v>175000.0</v>
      </c>
      <c r="P2278" s="46" t="str">
        <f t="shared" si="2"/>
        <v>Rp3,500-50 PAK-0.00%</v>
      </c>
      <c r="Q2278" s="75">
        <v>45416.0</v>
      </c>
      <c r="R2278" s="76"/>
      <c r="S2278" s="75">
        <v>45423.0</v>
      </c>
      <c r="T2278" s="49"/>
    </row>
    <row r="2279">
      <c r="A2279" s="90">
        <v>4467.0</v>
      </c>
      <c r="B2279" s="91" t="s">
        <v>58</v>
      </c>
      <c r="C2279" s="49" t="s">
        <v>2362</v>
      </c>
      <c r="D2279" s="91"/>
      <c r="E2279" s="41" t="s">
        <v>2611</v>
      </c>
      <c r="F2279" s="49"/>
      <c r="G2279" s="71" t="s">
        <v>2611</v>
      </c>
      <c r="H2279" s="41"/>
      <c r="I2279" s="42"/>
      <c r="J2279" s="43"/>
      <c r="K2279" s="72">
        <v>50.0</v>
      </c>
      <c r="L2279" s="53" t="s">
        <v>114</v>
      </c>
      <c r="M2279" s="73">
        <v>2400.0</v>
      </c>
      <c r="N2279" s="74"/>
      <c r="O2279" s="73">
        <v>120000.0</v>
      </c>
      <c r="P2279" s="46" t="str">
        <f t="shared" si="2"/>
        <v>Rp2,400-50 PAK-0.00%</v>
      </c>
      <c r="Q2279" s="75">
        <v>45416.0</v>
      </c>
      <c r="R2279" s="76"/>
      <c r="S2279" s="75">
        <v>45423.0</v>
      </c>
      <c r="T2279" s="49"/>
    </row>
    <row r="2280">
      <c r="A2280" s="90">
        <v>4467.0</v>
      </c>
      <c r="B2280" s="91" t="s">
        <v>58</v>
      </c>
      <c r="C2280" s="49" t="s">
        <v>2362</v>
      </c>
      <c r="D2280" s="77" t="s">
        <v>2612</v>
      </c>
      <c r="E2280" s="41" t="str">
        <f>IFERROR(__xludf.DUMMYFUNCTION("IFNA(vlookup(D2280,IMPORTRANGE(""https://docs.google.com/spreadsheets/d/1swGwZOEqYlTEUCJLY-eeJM1911Kvaei5oySBIxdgtNo/edit?pli=1#gid=257618397"",""stock untanna!B:C""),2,false),V:V)"),"PITA CH-30-1")</f>
        <v>PITA CH-30-1</v>
      </c>
      <c r="F2280" s="49"/>
      <c r="G2280" s="71" t="s">
        <v>2613</v>
      </c>
      <c r="H2280" s="41"/>
      <c r="I2280" s="42"/>
      <c r="J2280" s="85" t="s">
        <v>1319</v>
      </c>
      <c r="K2280" s="72">
        <v>50.0</v>
      </c>
      <c r="L2280" s="53" t="s">
        <v>114</v>
      </c>
      <c r="M2280" s="73">
        <v>10000.0</v>
      </c>
      <c r="N2280" s="74"/>
      <c r="O2280" s="73">
        <v>500000.0</v>
      </c>
      <c r="P2280" s="46" t="str">
        <f t="shared" si="2"/>
        <v>Rp10,000-50 PAK-0.00%</v>
      </c>
      <c r="Q2280" s="75">
        <v>45416.0</v>
      </c>
      <c r="R2280" s="76"/>
      <c r="S2280" s="75">
        <v>45423.0</v>
      </c>
      <c r="T2280" s="80" t="s">
        <v>280</v>
      </c>
    </row>
    <row r="2281">
      <c r="A2281" s="90">
        <v>4467.0</v>
      </c>
      <c r="B2281" s="91" t="s">
        <v>58</v>
      </c>
      <c r="C2281" s="49" t="s">
        <v>2362</v>
      </c>
      <c r="D2281" s="91"/>
      <c r="E2281" s="41" t="s">
        <v>2614</v>
      </c>
      <c r="F2281" s="49"/>
      <c r="G2281" s="71" t="s">
        <v>2614</v>
      </c>
      <c r="H2281" s="41"/>
      <c r="I2281" s="42"/>
      <c r="J2281" s="43"/>
      <c r="K2281" s="72">
        <v>50.0</v>
      </c>
      <c r="L2281" s="53" t="s">
        <v>114</v>
      </c>
      <c r="M2281" s="73">
        <v>4000.0</v>
      </c>
      <c r="N2281" s="74"/>
      <c r="O2281" s="73">
        <v>200000.0</v>
      </c>
      <c r="P2281" s="46" t="str">
        <f t="shared" si="2"/>
        <v>Rp4,000-50 PAK-0.00%</v>
      </c>
      <c r="Q2281" s="75">
        <v>45416.0</v>
      </c>
      <c r="R2281" s="76"/>
      <c r="S2281" s="75">
        <v>45423.0</v>
      </c>
      <c r="T2281" s="49"/>
    </row>
    <row r="2282">
      <c r="A2282" s="90">
        <v>4467.0</v>
      </c>
      <c r="B2282" s="91" t="s">
        <v>58</v>
      </c>
      <c r="C2282" s="49" t="s">
        <v>2362</v>
      </c>
      <c r="D2282" s="91" t="s">
        <v>2615</v>
      </c>
      <c r="E2282" s="41" t="str">
        <f>IFERROR(__xludf.DUMMYFUNCTION("vlookup(D2282,IMPORTRANGE(""https://docs.google.com/spreadsheets/d/1swGwZOEqYlTEUCJLY-eeJM1911Kvaei5oySBIxdgtNo/edit?pli=1#gid=257618397"",""stock untanna!B:C""),2,false)"),"PITA CH-30")</f>
        <v>PITA CH-30</v>
      </c>
      <c r="F2282" s="49" t="s">
        <v>2615</v>
      </c>
      <c r="G2282" s="71" t="s">
        <v>2616</v>
      </c>
      <c r="H2282" s="41"/>
      <c r="I2282" s="42"/>
      <c r="J2282" s="43"/>
      <c r="K2282" s="72">
        <v>50.0</v>
      </c>
      <c r="L2282" s="53" t="s">
        <v>114</v>
      </c>
      <c r="M2282" s="73">
        <v>9000.0</v>
      </c>
      <c r="N2282" s="74"/>
      <c r="O2282" s="73">
        <v>450000.0</v>
      </c>
      <c r="P2282" s="46" t="str">
        <f t="shared" si="2"/>
        <v>Rp9,000-50 PAK-0.00%</v>
      </c>
      <c r="Q2282" s="75">
        <v>45416.0</v>
      </c>
      <c r="R2282" s="76"/>
      <c r="S2282" s="75">
        <v>45423.0</v>
      </c>
      <c r="T2282" s="49" t="s">
        <v>100</v>
      </c>
    </row>
    <row r="2283">
      <c r="A2283" s="90">
        <v>4467.0</v>
      </c>
      <c r="B2283" s="91" t="s">
        <v>58</v>
      </c>
      <c r="C2283" s="49" t="s">
        <v>2362</v>
      </c>
      <c r="D2283" s="91" t="s">
        <v>2617</v>
      </c>
      <c r="E2283" s="41" t="str">
        <f>IFERROR(__xludf.DUMMYFUNCTION("vlookup(D2283,IMPORTRANGE(""https://docs.google.com/spreadsheets/d/1swGwZOEqYlTEUCJLY-eeJM1911Kvaei5oySBIxdgtNo/edit?pli=1#gid=257618397"",""stock untanna!B:C""),2,false)"),"PITA TARIK/KADO 30 JC")</f>
        <v>PITA TARIK/KADO 30 JC</v>
      </c>
      <c r="F2283" s="49" t="s">
        <v>2617</v>
      </c>
      <c r="G2283" s="71" t="s">
        <v>2618</v>
      </c>
      <c r="H2283" s="41"/>
      <c r="I2283" s="42"/>
      <c r="J2283" s="43"/>
      <c r="K2283" s="72">
        <v>50.0</v>
      </c>
      <c r="L2283" s="53" t="s">
        <v>114</v>
      </c>
      <c r="M2283" s="73">
        <v>7500.0</v>
      </c>
      <c r="N2283" s="74"/>
      <c r="O2283" s="73">
        <v>375000.0</v>
      </c>
      <c r="P2283" s="46" t="str">
        <f t="shared" si="2"/>
        <v>Rp7,500-50 PAK-0.00%</v>
      </c>
      <c r="Q2283" s="75">
        <v>45416.0</v>
      </c>
      <c r="R2283" s="76"/>
      <c r="S2283" s="75">
        <v>45423.0</v>
      </c>
      <c r="T2283" s="49" t="s">
        <v>100</v>
      </c>
    </row>
    <row r="2284">
      <c r="A2284" s="90">
        <v>4467.0</v>
      </c>
      <c r="B2284" s="91" t="s">
        <v>58</v>
      </c>
      <c r="C2284" s="49" t="s">
        <v>2362</v>
      </c>
      <c r="D2284" s="91" t="s">
        <v>2619</v>
      </c>
      <c r="E2284" s="41" t="str">
        <f>IFERROR(__xludf.DUMMYFUNCTION("vlookup(D2284,IMPORTRANGE(""https://docs.google.com/spreadsheets/d/1swGwZOEqYlTEUCJLY-eeJM1911Kvaei5oySBIxdgtNo/edit?pli=1#gid=257618397"",""stock untanna!B:C""),2,false)"),"PITA TARIK/KADO 23 LS")</f>
        <v>PITA TARIK/KADO 23 LS</v>
      </c>
      <c r="F2284" s="49" t="s">
        <v>2619</v>
      </c>
      <c r="G2284" s="71" t="s">
        <v>2620</v>
      </c>
      <c r="H2284" s="41"/>
      <c r="I2284" s="42"/>
      <c r="J2284" s="43"/>
      <c r="K2284" s="72">
        <v>50.0</v>
      </c>
      <c r="L2284" s="53" t="s">
        <v>114</v>
      </c>
      <c r="M2284" s="73">
        <v>3750.0</v>
      </c>
      <c r="N2284" s="74"/>
      <c r="O2284" s="73">
        <v>187500.0</v>
      </c>
      <c r="P2284" s="46" t="str">
        <f t="shared" si="2"/>
        <v>Rp3,750-50 PAK-0.00%</v>
      </c>
      <c r="Q2284" s="75">
        <v>45416.0</v>
      </c>
      <c r="R2284" s="76"/>
      <c r="S2284" s="75">
        <v>45423.0</v>
      </c>
      <c r="T2284" s="49" t="s">
        <v>100</v>
      </c>
    </row>
    <row r="2285">
      <c r="A2285" s="90">
        <v>4467.0</v>
      </c>
      <c r="B2285" s="91" t="s">
        <v>58</v>
      </c>
      <c r="C2285" s="49" t="s">
        <v>2362</v>
      </c>
      <c r="D2285" s="91"/>
      <c r="E2285" s="41" t="s">
        <v>2621</v>
      </c>
      <c r="F2285" s="49"/>
      <c r="G2285" s="71" t="s">
        <v>2621</v>
      </c>
      <c r="H2285" s="41"/>
      <c r="I2285" s="42"/>
      <c r="J2285" s="43"/>
      <c r="K2285" s="72">
        <v>50.0</v>
      </c>
      <c r="L2285" s="53" t="s">
        <v>114</v>
      </c>
      <c r="M2285" s="73">
        <v>2400.0</v>
      </c>
      <c r="N2285" s="74"/>
      <c r="O2285" s="73">
        <v>120000.0</v>
      </c>
      <c r="P2285" s="46" t="str">
        <f t="shared" si="2"/>
        <v>Rp2,400-50 PAK-0.00%</v>
      </c>
      <c r="Q2285" s="75">
        <v>45416.0</v>
      </c>
      <c r="R2285" s="76"/>
      <c r="S2285" s="75">
        <v>45423.0</v>
      </c>
      <c r="T2285" s="49"/>
    </row>
    <row r="2286">
      <c r="A2286" s="90">
        <v>4467.0</v>
      </c>
      <c r="B2286" s="91" t="s">
        <v>58</v>
      </c>
      <c r="C2286" s="49" t="s">
        <v>2362</v>
      </c>
      <c r="D2286" s="91"/>
      <c r="E2286" s="41" t="s">
        <v>2622</v>
      </c>
      <c r="F2286" s="49"/>
      <c r="G2286" s="71" t="s">
        <v>2622</v>
      </c>
      <c r="H2286" s="41"/>
      <c r="I2286" s="42"/>
      <c r="J2286" s="43"/>
      <c r="K2286" s="72">
        <v>50.0</v>
      </c>
      <c r="L2286" s="53" t="s">
        <v>114</v>
      </c>
      <c r="M2286" s="73">
        <v>5000.0</v>
      </c>
      <c r="N2286" s="74"/>
      <c r="O2286" s="73">
        <v>250000.0</v>
      </c>
      <c r="P2286" s="46" t="str">
        <f t="shared" si="2"/>
        <v>Rp5,000-50 PAK-0.00%</v>
      </c>
      <c r="Q2286" s="75">
        <v>45416.0</v>
      </c>
      <c r="R2286" s="76"/>
      <c r="S2286" s="75">
        <v>45423.0</v>
      </c>
      <c r="T2286" s="80" t="s">
        <v>280</v>
      </c>
    </row>
    <row r="2287">
      <c r="A2287" s="90">
        <v>4467.0</v>
      </c>
      <c r="B2287" s="91" t="s">
        <v>58</v>
      </c>
      <c r="C2287" s="49" t="s">
        <v>2362</v>
      </c>
      <c r="D2287" s="91"/>
      <c r="E2287" s="41" t="s">
        <v>2623</v>
      </c>
      <c r="F2287" s="49"/>
      <c r="G2287" s="71" t="s">
        <v>2623</v>
      </c>
      <c r="H2287" s="41"/>
      <c r="I2287" s="42"/>
      <c r="J2287" s="43"/>
      <c r="K2287" s="72">
        <v>50.0</v>
      </c>
      <c r="L2287" s="53" t="s">
        <v>114</v>
      </c>
      <c r="M2287" s="73">
        <v>3500.0</v>
      </c>
      <c r="N2287" s="74"/>
      <c r="O2287" s="73">
        <v>175000.0</v>
      </c>
      <c r="P2287" s="46" t="str">
        <f t="shared" si="2"/>
        <v>Rp3,500-50 PAK-0.00%</v>
      </c>
      <c r="Q2287" s="75">
        <v>45416.0</v>
      </c>
      <c r="R2287" s="76"/>
      <c r="S2287" s="75">
        <v>45423.0</v>
      </c>
      <c r="T2287" s="49"/>
    </row>
    <row r="2288">
      <c r="A2288" s="90">
        <v>4467.0</v>
      </c>
      <c r="B2288" s="91" t="s">
        <v>58</v>
      </c>
      <c r="C2288" s="49" t="s">
        <v>2362</v>
      </c>
      <c r="D2288" s="91" t="s">
        <v>2624</v>
      </c>
      <c r="E2288" s="41" t="str">
        <f>IFERROR(__xludf.DUMMYFUNCTION("vlookup(D2288,IMPORTRANGE(""https://docs.google.com/spreadsheets/d/1swGwZOEqYlTEUCJLY-eeJM1911Kvaei5oySBIxdgtNo/edit?pli=1#gid=257618397"",""stock untanna!B:C""),2,false)"),"PITA TARIK/KADO 30 THT")</f>
        <v>PITA TARIK/KADO 30 THT</v>
      </c>
      <c r="F2288" s="49" t="s">
        <v>2624</v>
      </c>
      <c r="G2288" s="71" t="s">
        <v>2625</v>
      </c>
      <c r="H2288" s="41"/>
      <c r="I2288" s="42"/>
      <c r="J2288" s="43"/>
      <c r="K2288" s="72">
        <v>50.0</v>
      </c>
      <c r="L2288" s="53" t="s">
        <v>114</v>
      </c>
      <c r="M2288" s="73">
        <v>9000.0</v>
      </c>
      <c r="N2288" s="74"/>
      <c r="O2288" s="73">
        <v>450000.0</v>
      </c>
      <c r="P2288" s="46" t="str">
        <f t="shared" si="2"/>
        <v>Rp9,000-50 PAK-0.00%</v>
      </c>
      <c r="Q2288" s="75">
        <v>45416.0</v>
      </c>
      <c r="R2288" s="76"/>
      <c r="S2288" s="75">
        <v>45423.0</v>
      </c>
      <c r="T2288" s="49" t="s">
        <v>100</v>
      </c>
    </row>
    <row r="2289">
      <c r="A2289" s="90">
        <v>4467.0</v>
      </c>
      <c r="B2289" s="91" t="s">
        <v>58</v>
      </c>
      <c r="C2289" s="49" t="s">
        <v>2362</v>
      </c>
      <c r="D2289" s="91" t="s">
        <v>1989</v>
      </c>
      <c r="E2289" s="41" t="str">
        <f>IFERROR(__xludf.DUMMYFUNCTION("vlookup(D2289,IMPORTRANGE(""https://docs.google.com/spreadsheets/d/1swGwZOEqYlTEUCJLY-eeJM1911Kvaei5oySBIxdgtNo/edit?pli=1#gid=257618397"",""stock untanna!B:C""),2,false)"),"PITA TARIK/KADO 30 TH -1")</f>
        <v>PITA TARIK/KADO 30 TH -1</v>
      </c>
      <c r="F2289" s="49" t="s">
        <v>1989</v>
      </c>
      <c r="G2289" s="71" t="s">
        <v>1990</v>
      </c>
      <c r="H2289" s="41"/>
      <c r="I2289" s="42"/>
      <c r="J2289" s="43"/>
      <c r="K2289" s="72">
        <v>50.0</v>
      </c>
      <c r="L2289" s="53" t="s">
        <v>114</v>
      </c>
      <c r="M2289" s="73">
        <v>10000.0</v>
      </c>
      <c r="N2289" s="74"/>
      <c r="O2289" s="73">
        <v>500000.0</v>
      </c>
      <c r="P2289" s="46" t="str">
        <f t="shared" si="2"/>
        <v>Rp10,000-50 PAK-0.00%</v>
      </c>
      <c r="Q2289" s="75">
        <v>45416.0</v>
      </c>
      <c r="R2289" s="76"/>
      <c r="S2289" s="75">
        <v>45423.0</v>
      </c>
      <c r="T2289" s="49" t="s">
        <v>100</v>
      </c>
    </row>
    <row r="2290">
      <c r="A2290" s="90">
        <v>4467.0</v>
      </c>
      <c r="B2290" s="91" t="s">
        <v>58</v>
      </c>
      <c r="C2290" s="49" t="s">
        <v>2362</v>
      </c>
      <c r="D2290" s="77" t="s">
        <v>2626</v>
      </c>
      <c r="E2290" s="41" t="str">
        <f>IFERROR(__xludf.DUMMYFUNCTION("IFNA(vlookup(D2290,IMPORTRANGE(""https://docs.google.com/spreadsheets/d/1swGwZOEqYlTEUCJLY-eeJM1911Kvaei5oySBIxdgtNo/edit?pli=1#gid=257618397"",""stock untanna!B:C""),2,false),V:V)"),"PITA TARIK/KADO 30 LS -1")</f>
        <v>PITA TARIK/KADO 30 LS -1</v>
      </c>
      <c r="F2290" s="49"/>
      <c r="G2290" s="71" t="s">
        <v>2627</v>
      </c>
      <c r="H2290" s="41"/>
      <c r="I2290" s="42"/>
      <c r="J2290" s="85" t="s">
        <v>1319</v>
      </c>
      <c r="K2290" s="72">
        <v>50.0</v>
      </c>
      <c r="L2290" s="53" t="s">
        <v>114</v>
      </c>
      <c r="M2290" s="73">
        <v>8500.0</v>
      </c>
      <c r="N2290" s="74"/>
      <c r="O2290" s="73">
        <v>425000.0</v>
      </c>
      <c r="P2290" s="46" t="str">
        <f t="shared" si="2"/>
        <v>Rp8,500-50 PAK-0.00%</v>
      </c>
      <c r="Q2290" s="75">
        <v>45416.0</v>
      </c>
      <c r="R2290" s="76"/>
      <c r="S2290" s="75">
        <v>45423.0</v>
      </c>
      <c r="T2290" s="80" t="s">
        <v>280</v>
      </c>
    </row>
    <row r="2291">
      <c r="A2291" s="90">
        <v>4467.0</v>
      </c>
      <c r="B2291" s="91" t="s">
        <v>58</v>
      </c>
      <c r="C2291" s="49" t="s">
        <v>2362</v>
      </c>
      <c r="D2291" s="91"/>
      <c r="E2291" s="41" t="s">
        <v>2628</v>
      </c>
      <c r="F2291" s="49"/>
      <c r="G2291" s="71" t="s">
        <v>2628</v>
      </c>
      <c r="H2291" s="41"/>
      <c r="I2291" s="42"/>
      <c r="J2291" s="43"/>
      <c r="K2291" s="72">
        <v>24.0</v>
      </c>
      <c r="L2291" s="53" t="s">
        <v>69</v>
      </c>
      <c r="M2291" s="73">
        <v>20000.0</v>
      </c>
      <c r="N2291" s="74"/>
      <c r="O2291" s="73">
        <v>480000.0</v>
      </c>
      <c r="P2291" s="46" t="str">
        <f t="shared" si="2"/>
        <v>Rp20,000-24 PCS-0.00%</v>
      </c>
      <c r="Q2291" s="75">
        <v>45416.0</v>
      </c>
      <c r="R2291" s="76"/>
      <c r="S2291" s="75">
        <v>45423.0</v>
      </c>
      <c r="T2291" s="49"/>
    </row>
    <row r="2292">
      <c r="A2292" s="90">
        <v>4468.0</v>
      </c>
      <c r="B2292" s="91" t="s">
        <v>58</v>
      </c>
      <c r="C2292" s="49" t="s">
        <v>2362</v>
      </c>
      <c r="D2292" s="77" t="s">
        <v>2321</v>
      </c>
      <c r="E2292" s="41" t="str">
        <f>IFERROR(__xludf.DUMMYFUNCTION("IFNA(vlookup(D2292,IMPORTRANGE(""https://docs.google.com/spreadsheets/d/1swGwZOEqYlTEUCJLY-eeJM1911Kvaei5oySBIxdgtNo/edit?pli=1#gid=257618397"",""stock untanna!B:C""),2,false),V:V)"),"PC MAGNIT C 9962")</f>
        <v>PC MAGNIT C 9962</v>
      </c>
      <c r="F2292" s="49"/>
      <c r="G2292" s="71" t="s">
        <v>2322</v>
      </c>
      <c r="H2292" s="41"/>
      <c r="I2292" s="42"/>
      <c r="J2292" s="85" t="s">
        <v>1319</v>
      </c>
      <c r="K2292" s="72">
        <v>1.0</v>
      </c>
      <c r="L2292" s="53" t="s">
        <v>62</v>
      </c>
      <c r="M2292" s="73">
        <v>160000.0</v>
      </c>
      <c r="N2292" s="74"/>
      <c r="O2292" s="73">
        <v>160000.0</v>
      </c>
      <c r="P2292" s="46" t="str">
        <f t="shared" si="2"/>
        <v>Rp160,000-1 LSN-0.00%</v>
      </c>
      <c r="Q2292" s="75">
        <v>45416.0</v>
      </c>
      <c r="R2292" s="76"/>
      <c r="S2292" s="75">
        <v>45423.0</v>
      </c>
      <c r="T2292" s="80" t="s">
        <v>280</v>
      </c>
    </row>
    <row r="2293">
      <c r="A2293" s="90">
        <v>4468.0</v>
      </c>
      <c r="B2293" s="91" t="s">
        <v>58</v>
      </c>
      <c r="C2293" s="49" t="s">
        <v>2362</v>
      </c>
      <c r="D2293" s="91" t="s">
        <v>566</v>
      </c>
      <c r="E2293" s="41" t="str">
        <f>IFERROR(__xludf.DUMMYFUNCTION("vlookup(D2293,IMPORTRANGE(""https://docs.google.com/spreadsheets/d/1swGwZOEqYlTEUCJLY-eeJM1911Kvaei5oySBIxdgtNo/edit?pli=1#gid=257618397"",""stock untanna!B:C""),2,false)"),"PENCIL CASE XLG BD194-B")</f>
        <v>PENCIL CASE XLG BD194-B</v>
      </c>
      <c r="F2293" s="49" t="s">
        <v>566</v>
      </c>
      <c r="G2293" s="71" t="s">
        <v>567</v>
      </c>
      <c r="H2293" s="41"/>
      <c r="I2293" s="42"/>
      <c r="J2293" s="43"/>
      <c r="K2293" s="72">
        <v>30.0</v>
      </c>
      <c r="L2293" s="53" t="s">
        <v>69</v>
      </c>
      <c r="M2293" s="73">
        <v>18500.0</v>
      </c>
      <c r="N2293" s="74"/>
      <c r="O2293" s="73">
        <v>555000.0</v>
      </c>
      <c r="P2293" s="46" t="str">
        <f t="shared" si="2"/>
        <v>Rp18,500-30 PCS-0.00%</v>
      </c>
      <c r="Q2293" s="75">
        <v>45416.0</v>
      </c>
      <c r="R2293" s="76"/>
      <c r="S2293" s="75">
        <v>45423.0</v>
      </c>
      <c r="T2293" s="49"/>
    </row>
    <row r="2294">
      <c r="A2294" s="90">
        <v>4468.0</v>
      </c>
      <c r="B2294" s="91" t="s">
        <v>58</v>
      </c>
      <c r="C2294" s="49" t="s">
        <v>2362</v>
      </c>
      <c r="D2294" s="91" t="s">
        <v>2238</v>
      </c>
      <c r="E2294" s="41" t="str">
        <f>IFERROR(__xludf.DUMMYFUNCTION("vlookup(D2294,IMPORTRANGE(""https://docs.google.com/spreadsheets/d/1swGwZOEqYlTEUCJLY-eeJM1911Kvaei5oySBIxdgtNo/edit?pli=1#gid=257618397"",""stock untanna!B:C""),2,false)"),"BALON DOF 12"" RI PUTIH")</f>
        <v>BALON DOF 12" RI PUTIH</v>
      </c>
      <c r="F2294" s="49" t="s">
        <v>2238</v>
      </c>
      <c r="G2294" s="71" t="s">
        <v>2239</v>
      </c>
      <c r="H2294" s="41"/>
      <c r="I2294" s="42"/>
      <c r="J2294" s="43"/>
      <c r="K2294" s="72">
        <v>5.0</v>
      </c>
      <c r="L2294" s="53" t="s">
        <v>1521</v>
      </c>
      <c r="M2294" s="73">
        <v>42500.0</v>
      </c>
      <c r="N2294" s="74"/>
      <c r="O2294" s="73">
        <v>212500.0</v>
      </c>
      <c r="P2294" s="46" t="str">
        <f t="shared" si="2"/>
        <v>Rp42,500-5 DISP-0.00%</v>
      </c>
      <c r="Q2294" s="75">
        <v>45416.0</v>
      </c>
      <c r="R2294" s="76"/>
      <c r="S2294" s="75">
        <v>45423.0</v>
      </c>
      <c r="T2294" s="49"/>
    </row>
    <row r="2295">
      <c r="A2295" s="90">
        <v>4468.0</v>
      </c>
      <c r="B2295" s="91" t="s">
        <v>58</v>
      </c>
      <c r="C2295" s="49" t="s">
        <v>2362</v>
      </c>
      <c r="D2295" s="91" t="s">
        <v>2236</v>
      </c>
      <c r="E2295" s="41" t="str">
        <f>IFERROR(__xludf.DUMMYFUNCTION("vlookup(D2295,IMPORTRANGE(""https://docs.google.com/spreadsheets/d/1swGwZOEqYlTEUCJLY-eeJM1911Kvaei5oySBIxdgtNo/edit?pli=1#gid=257618397"",""stock untanna!B:C""),2,false)"),"BALON DOF 12'' RI MERAH")</f>
        <v>BALON DOF 12'' RI MERAH</v>
      </c>
      <c r="F2295" s="49" t="s">
        <v>2236</v>
      </c>
      <c r="G2295" s="71" t="s">
        <v>2237</v>
      </c>
      <c r="H2295" s="41"/>
      <c r="I2295" s="42"/>
      <c r="J2295" s="43"/>
      <c r="K2295" s="72">
        <v>5.0</v>
      </c>
      <c r="L2295" s="53" t="s">
        <v>1521</v>
      </c>
      <c r="M2295" s="73">
        <v>42500.0</v>
      </c>
      <c r="N2295" s="74"/>
      <c r="O2295" s="73">
        <v>212500.0</v>
      </c>
      <c r="P2295" s="46" t="str">
        <f t="shared" si="2"/>
        <v>Rp42,500-5 DISP-0.00%</v>
      </c>
      <c r="Q2295" s="75">
        <v>45416.0</v>
      </c>
      <c r="R2295" s="76"/>
      <c r="S2295" s="75">
        <v>45423.0</v>
      </c>
      <c r="T2295" s="49"/>
    </row>
    <row r="2296">
      <c r="A2296" s="90">
        <v>4468.0</v>
      </c>
      <c r="B2296" s="91" t="s">
        <v>58</v>
      </c>
      <c r="C2296" s="49" t="s">
        <v>2362</v>
      </c>
      <c r="D2296" s="91" t="s">
        <v>1630</v>
      </c>
      <c r="E2296" s="41" t="str">
        <f>IFERROR(__xludf.DUMMYFUNCTION("vlookup(D2296,IMPORTRANGE(""https://docs.google.com/spreadsheets/d/1swGwZOEqYlTEUCJLY-eeJM1911Kvaei5oySBIxdgtNo/edit?pli=1#gid=257618397"",""stock untanna!B:C""),2,false)"),"TAS BRANDED KECIL SB 115")</f>
        <v>TAS BRANDED KECIL SB 115</v>
      </c>
      <c r="F2296" s="49" t="s">
        <v>1630</v>
      </c>
      <c r="G2296" s="71" t="s">
        <v>1631</v>
      </c>
      <c r="H2296" s="41"/>
      <c r="I2296" s="42"/>
      <c r="J2296" s="43"/>
      <c r="K2296" s="72">
        <v>7.0</v>
      </c>
      <c r="L2296" s="53" t="s">
        <v>62</v>
      </c>
      <c r="M2296" s="73">
        <v>25000.0</v>
      </c>
      <c r="N2296" s="74"/>
      <c r="O2296" s="73">
        <v>175000.0</v>
      </c>
      <c r="P2296" s="46" t="str">
        <f t="shared" si="2"/>
        <v>Rp25,000-7 LSN-0.00%</v>
      </c>
      <c r="Q2296" s="75">
        <v>45416.0</v>
      </c>
      <c r="R2296" s="76"/>
      <c r="S2296" s="75">
        <v>45423.0</v>
      </c>
      <c r="T2296" s="49"/>
    </row>
    <row r="2297">
      <c r="A2297" s="90">
        <v>4468.0</v>
      </c>
      <c r="B2297" s="91" t="s">
        <v>58</v>
      </c>
      <c r="C2297" s="49" t="s">
        <v>2362</v>
      </c>
      <c r="D2297" s="91"/>
      <c r="E2297" s="41" t="s">
        <v>2629</v>
      </c>
      <c r="F2297" s="49"/>
      <c r="G2297" s="71" t="s">
        <v>2629</v>
      </c>
      <c r="H2297" s="41"/>
      <c r="I2297" s="42"/>
      <c r="J2297" s="43"/>
      <c r="K2297" s="72">
        <v>7.0</v>
      </c>
      <c r="L2297" s="53" t="s">
        <v>62</v>
      </c>
      <c r="M2297" s="73">
        <v>25000.0</v>
      </c>
      <c r="N2297" s="74"/>
      <c r="O2297" s="73">
        <v>175000.0</v>
      </c>
      <c r="P2297" s="46" t="str">
        <f t="shared" si="2"/>
        <v>Rp25,000-7 LSN-0.00%</v>
      </c>
      <c r="Q2297" s="75">
        <v>45416.0</v>
      </c>
      <c r="R2297" s="76"/>
      <c r="S2297" s="75">
        <v>45423.0</v>
      </c>
      <c r="T2297" s="49"/>
    </row>
    <row r="2298">
      <c r="A2298" s="90">
        <v>4468.0</v>
      </c>
      <c r="B2298" s="91" t="s">
        <v>58</v>
      </c>
      <c r="C2298" s="49" t="s">
        <v>2362</v>
      </c>
      <c r="D2298" s="91" t="s">
        <v>1630</v>
      </c>
      <c r="E2298" s="41" t="str">
        <f>IFERROR(__xludf.DUMMYFUNCTION("vlookup(D2298,IMPORTRANGE(""https://docs.google.com/spreadsheets/d/1swGwZOEqYlTEUCJLY-eeJM1911Kvaei5oySBIxdgtNo/edit?pli=1#gid=257618397"",""stock untanna!B:C""),2,false)"),"TAS BRANDED KECIL SB 115")</f>
        <v>TAS BRANDED KECIL SB 115</v>
      </c>
      <c r="F2298" s="49" t="s">
        <v>1630</v>
      </c>
      <c r="G2298" s="71" t="s">
        <v>1631</v>
      </c>
      <c r="H2298" s="41"/>
      <c r="I2298" s="42"/>
      <c r="J2298" s="43"/>
      <c r="K2298" s="72">
        <v>7.0</v>
      </c>
      <c r="L2298" s="53" t="s">
        <v>62</v>
      </c>
      <c r="M2298" s="73">
        <v>25000.0</v>
      </c>
      <c r="N2298" s="74"/>
      <c r="O2298" s="73">
        <v>175000.0</v>
      </c>
      <c r="P2298" s="46" t="str">
        <f t="shared" si="2"/>
        <v>Rp25,000-7 LSN-0.00%</v>
      </c>
      <c r="Q2298" s="75">
        <v>45416.0</v>
      </c>
      <c r="R2298" s="76"/>
      <c r="S2298" s="75">
        <v>45423.0</v>
      </c>
      <c r="T2298" s="49"/>
    </row>
    <row r="2299">
      <c r="A2299" s="90">
        <v>4468.0</v>
      </c>
      <c r="B2299" s="91" t="s">
        <v>58</v>
      </c>
      <c r="C2299" s="49" t="s">
        <v>2362</v>
      </c>
      <c r="D2299" s="91" t="s">
        <v>1630</v>
      </c>
      <c r="E2299" s="41" t="str">
        <f>IFERROR(__xludf.DUMMYFUNCTION("vlookup(D2299,IMPORTRANGE(""https://docs.google.com/spreadsheets/d/1swGwZOEqYlTEUCJLY-eeJM1911Kvaei5oySBIxdgtNo/edit?pli=1#gid=257618397"",""stock untanna!B:C""),2,false)"),"TAS BRANDED KECIL SB 115")</f>
        <v>TAS BRANDED KECIL SB 115</v>
      </c>
      <c r="F2299" s="49" t="s">
        <v>1630</v>
      </c>
      <c r="G2299" s="71" t="s">
        <v>1631</v>
      </c>
      <c r="H2299" s="41"/>
      <c r="I2299" s="42"/>
      <c r="J2299" s="43"/>
      <c r="K2299" s="72">
        <v>7.0</v>
      </c>
      <c r="L2299" s="53" t="s">
        <v>62</v>
      </c>
      <c r="M2299" s="73">
        <v>25000.0</v>
      </c>
      <c r="N2299" s="74"/>
      <c r="O2299" s="73">
        <v>175000.0</v>
      </c>
      <c r="P2299" s="46" t="str">
        <f t="shared" si="2"/>
        <v>Rp25,000-7 LSN-0.00%</v>
      </c>
      <c r="Q2299" s="75">
        <v>45416.0</v>
      </c>
      <c r="R2299" s="76"/>
      <c r="S2299" s="75">
        <v>45423.0</v>
      </c>
      <c r="T2299" s="49"/>
    </row>
    <row r="2300">
      <c r="A2300" s="90">
        <v>4468.0</v>
      </c>
      <c r="B2300" s="91" t="s">
        <v>58</v>
      </c>
      <c r="C2300" s="49" t="s">
        <v>2362</v>
      </c>
      <c r="D2300" s="91"/>
      <c r="E2300" s="41" t="s">
        <v>2630</v>
      </c>
      <c r="F2300" s="49"/>
      <c r="G2300" s="71" t="s">
        <v>2630</v>
      </c>
      <c r="H2300" s="41"/>
      <c r="I2300" s="42"/>
      <c r="J2300" s="43"/>
      <c r="K2300" s="72">
        <v>3.0</v>
      </c>
      <c r="L2300" s="53" t="s">
        <v>62</v>
      </c>
      <c r="M2300" s="73">
        <v>44000.0</v>
      </c>
      <c r="N2300" s="74"/>
      <c r="O2300" s="73">
        <v>132000.0</v>
      </c>
      <c r="P2300" s="46" t="str">
        <f t="shared" si="2"/>
        <v>Rp44,000-3 LSN-0.00%</v>
      </c>
      <c r="Q2300" s="75">
        <v>45416.0</v>
      </c>
      <c r="R2300" s="76"/>
      <c r="S2300" s="75">
        <v>45423.0</v>
      </c>
      <c r="T2300" s="49"/>
    </row>
    <row r="2301">
      <c r="A2301" s="90">
        <v>4468.0</v>
      </c>
      <c r="B2301" s="91" t="s">
        <v>58</v>
      </c>
      <c r="C2301" s="49" t="s">
        <v>2362</v>
      </c>
      <c r="D2301" s="77"/>
      <c r="E2301" s="41" t="s">
        <v>2631</v>
      </c>
      <c r="F2301" s="49"/>
      <c r="G2301" s="71" t="s">
        <v>2631</v>
      </c>
      <c r="H2301" s="41"/>
      <c r="I2301" s="42"/>
      <c r="J2301" s="43"/>
      <c r="K2301" s="72">
        <v>1.0</v>
      </c>
      <c r="L2301" s="53" t="s">
        <v>62</v>
      </c>
      <c r="M2301" s="73">
        <v>140000.0</v>
      </c>
      <c r="N2301" s="74"/>
      <c r="O2301" s="73">
        <v>140000.0</v>
      </c>
      <c r="P2301" s="46" t="str">
        <f t="shared" si="2"/>
        <v>Rp140,000-1 LSN-0.00%</v>
      </c>
      <c r="Q2301" s="75">
        <v>45416.0</v>
      </c>
      <c r="R2301" s="76"/>
      <c r="S2301" s="75">
        <v>45423.0</v>
      </c>
      <c r="T2301" s="80" t="s">
        <v>280</v>
      </c>
    </row>
    <row r="2302">
      <c r="A2302" s="90">
        <v>4468.0</v>
      </c>
      <c r="B2302" s="91" t="s">
        <v>58</v>
      </c>
      <c r="C2302" s="49" t="s">
        <v>2362</v>
      </c>
      <c r="D2302" s="77" t="s">
        <v>1317</v>
      </c>
      <c r="E2302" s="41" t="str">
        <f>IFERROR(__xludf.DUMMYFUNCTION("IFNA(vlookup(D2302,IMPORTRANGE(""https://docs.google.com/spreadsheets/d/1swGwZOEqYlTEUCJLY-eeJM1911Kvaei5oySBIxdgtNo/edit?pli=1#gid=257618397"",""stock untanna!B:C""),2,false),V:V)"),"PC MAGNIT KY 779")</f>
        <v>PC MAGNIT KY 779</v>
      </c>
      <c r="F2302" s="49"/>
      <c r="G2302" s="71" t="s">
        <v>1318</v>
      </c>
      <c r="H2302" s="41"/>
      <c r="I2302" s="42"/>
      <c r="J2302" s="85" t="s">
        <v>1319</v>
      </c>
      <c r="K2302" s="72">
        <v>1.0</v>
      </c>
      <c r="L2302" s="53" t="s">
        <v>62</v>
      </c>
      <c r="M2302" s="73">
        <v>225000.0</v>
      </c>
      <c r="N2302" s="74"/>
      <c r="O2302" s="73">
        <v>225000.0</v>
      </c>
      <c r="P2302" s="46" t="str">
        <f t="shared" si="2"/>
        <v>Rp225,000-1 LSN-0.00%</v>
      </c>
      <c r="Q2302" s="75">
        <v>45416.0</v>
      </c>
      <c r="R2302" s="76"/>
      <c r="S2302" s="75">
        <v>45423.0</v>
      </c>
      <c r="T2302" s="80" t="s">
        <v>280</v>
      </c>
    </row>
    <row r="2303">
      <c r="A2303" s="90">
        <v>4468.0</v>
      </c>
      <c r="B2303" s="91" t="s">
        <v>58</v>
      </c>
      <c r="C2303" s="49" t="s">
        <v>2362</v>
      </c>
      <c r="D2303" s="77" t="s">
        <v>2079</v>
      </c>
      <c r="E2303" s="41" t="str">
        <f>IFERROR(__xludf.DUMMYFUNCTION("IFNA(vlookup(D2303,IMPORTRANGE(""https://docs.google.com/spreadsheets/d/1swGwZOEqYlTEUCJLY-eeJM1911Kvaei5oySBIxdgtNo/edit?pli=1#gid=257618397"",""stock untanna!B:C""),2,false),V:V)"),"PC MAGNIT MC 8088 TIMBUL")</f>
        <v>PC MAGNIT MC 8088 TIMBUL</v>
      </c>
      <c r="F2303" s="49"/>
      <c r="G2303" s="71" t="s">
        <v>2080</v>
      </c>
      <c r="H2303" s="41"/>
      <c r="I2303" s="42"/>
      <c r="J2303" s="85" t="s">
        <v>1319</v>
      </c>
      <c r="K2303" s="72">
        <v>1.0</v>
      </c>
      <c r="L2303" s="53" t="s">
        <v>62</v>
      </c>
      <c r="M2303" s="73">
        <v>140000.0</v>
      </c>
      <c r="N2303" s="74"/>
      <c r="O2303" s="73">
        <v>140000.0</v>
      </c>
      <c r="P2303" s="46" t="str">
        <f t="shared" si="2"/>
        <v>Rp140,000-1 LSN-0.00%</v>
      </c>
      <c r="Q2303" s="75">
        <v>45416.0</v>
      </c>
      <c r="R2303" s="76"/>
      <c r="S2303" s="75">
        <v>45423.0</v>
      </c>
      <c r="T2303" s="80" t="s">
        <v>280</v>
      </c>
    </row>
    <row r="2304">
      <c r="A2304" s="90">
        <v>4468.0</v>
      </c>
      <c r="B2304" s="91" t="s">
        <v>58</v>
      </c>
      <c r="C2304" s="49" t="s">
        <v>2362</v>
      </c>
      <c r="D2304" s="77" t="s">
        <v>2632</v>
      </c>
      <c r="E2304" s="41" t="str">
        <f>IFERROR(__xludf.DUMMYFUNCTION("vlookup(D2304,IMPORTRANGE(""https://docs.google.com/spreadsheets/d/1swGwZOEqYlTEUCJLY-eeJM1911Kvaei5oySBIxdgtNo/edit?pli=1#gid=257618397"",""stock untanna!B:C""),2,false)"),"GUNTING 8 (B 021)")</f>
        <v>GUNTING 8 (B 021)</v>
      </c>
      <c r="F2304" s="49" t="s">
        <v>2633</v>
      </c>
      <c r="G2304" s="71" t="s">
        <v>2634</v>
      </c>
      <c r="H2304" s="41"/>
      <c r="I2304" s="42"/>
      <c r="J2304" s="43"/>
      <c r="K2304" s="72">
        <v>36.0</v>
      </c>
      <c r="L2304" s="53" t="s">
        <v>69</v>
      </c>
      <c r="M2304" s="73">
        <v>12000.0</v>
      </c>
      <c r="N2304" s="74"/>
      <c r="O2304" s="73">
        <v>432000.0</v>
      </c>
      <c r="P2304" s="46" t="str">
        <f t="shared" si="2"/>
        <v>Rp12,000-36 PCS-0.00%</v>
      </c>
      <c r="Q2304" s="75">
        <v>45416.0</v>
      </c>
      <c r="R2304" s="76"/>
      <c r="S2304" s="75">
        <v>45423.0</v>
      </c>
      <c r="T2304" s="49"/>
    </row>
    <row r="2305">
      <c r="A2305" s="90">
        <v>4468.0</v>
      </c>
      <c r="B2305" s="91" t="s">
        <v>58</v>
      </c>
      <c r="C2305" s="49" t="s">
        <v>2362</v>
      </c>
      <c r="D2305" s="91" t="s">
        <v>1630</v>
      </c>
      <c r="E2305" s="41" t="str">
        <f>IFERROR(__xludf.DUMMYFUNCTION("vlookup(D2305,IMPORTRANGE(""https://docs.google.com/spreadsheets/d/1swGwZOEqYlTEUCJLY-eeJM1911Kvaei5oySBIxdgtNo/edit?pli=1#gid=257618397"",""stock untanna!B:C""),2,false)"),"TAS BRANDED KECIL SB 115")</f>
        <v>TAS BRANDED KECIL SB 115</v>
      </c>
      <c r="F2305" s="49" t="s">
        <v>1630</v>
      </c>
      <c r="G2305" s="71" t="s">
        <v>1631</v>
      </c>
      <c r="H2305" s="41"/>
      <c r="I2305" s="42"/>
      <c r="J2305" s="43"/>
      <c r="K2305" s="72">
        <v>6.0</v>
      </c>
      <c r="L2305" s="53" t="s">
        <v>62</v>
      </c>
      <c r="M2305" s="73">
        <v>25000.0</v>
      </c>
      <c r="N2305" s="74"/>
      <c r="O2305" s="73">
        <v>150000.0</v>
      </c>
      <c r="P2305" s="46" t="str">
        <f t="shared" si="2"/>
        <v>Rp25,000-6 LSN-0.00%</v>
      </c>
      <c r="Q2305" s="75">
        <v>45416.0</v>
      </c>
      <c r="R2305" s="76"/>
      <c r="S2305" s="75">
        <v>45423.0</v>
      </c>
      <c r="T2305" s="49"/>
    </row>
    <row r="2306">
      <c r="A2306" s="90">
        <v>4349.0</v>
      </c>
      <c r="B2306" s="91" t="s">
        <v>29</v>
      </c>
      <c r="C2306" s="80" t="s">
        <v>2635</v>
      </c>
      <c r="D2306" s="77" t="s">
        <v>754</v>
      </c>
      <c r="E2306" s="41" t="str">
        <f>IFERROR(__xludf.DUMMYFUNCTION("vlookup(D2306,IMPORTRANGE(""https://docs.google.com/spreadsheets/d/1swGwZOEqYlTEUCJLY-eeJM1911Kvaei5oySBIxdgtNo/edit?pli=1#gid=257618397"",""stock untanna!B:C""),2,false)"),"GARISAN 30 CM ENTER 675")</f>
        <v>GARISAN 30 CM ENTER 675</v>
      </c>
      <c r="F2306" s="49" t="s">
        <v>755</v>
      </c>
      <c r="G2306" s="71" t="s">
        <v>756</v>
      </c>
      <c r="H2306" s="41"/>
      <c r="I2306" s="42"/>
      <c r="J2306" s="43"/>
      <c r="K2306" s="72">
        <v>200.0</v>
      </c>
      <c r="L2306" s="53" t="s">
        <v>62</v>
      </c>
      <c r="M2306" s="73">
        <v>9000.0</v>
      </c>
      <c r="N2306" s="74"/>
      <c r="O2306" s="73">
        <v>1800000.0</v>
      </c>
      <c r="P2306" s="46" t="str">
        <f t="shared" si="2"/>
        <v>Rp9,000-200 LSN-0.00%</v>
      </c>
      <c r="Q2306" s="75">
        <v>45418.0</v>
      </c>
      <c r="R2306" s="76"/>
      <c r="S2306" s="75">
        <v>45423.0</v>
      </c>
      <c r="T2306" s="49"/>
    </row>
    <row r="2307">
      <c r="A2307" s="90">
        <v>4371.0</v>
      </c>
      <c r="B2307" s="91" t="s">
        <v>58</v>
      </c>
      <c r="C2307" s="49" t="s">
        <v>2636</v>
      </c>
      <c r="D2307" s="91" t="s">
        <v>1387</v>
      </c>
      <c r="E2307" s="41" t="str">
        <f>IFERROR(__xludf.DUMMYFUNCTION("vlookup(D2307,IMPORTRANGE(""https://docs.google.com/spreadsheets/d/1swGwZOEqYlTEUCJLY-eeJM1911Kvaei5oySBIxdgtNo/edit?pli=1#gid=257618397"",""stock untanna!B:C""),2,false)"),"MESIN LEM KECIL 20W PACMAN 82")</f>
        <v>MESIN LEM KECIL 20W PACMAN 82</v>
      </c>
      <c r="F2307" s="49" t="s">
        <v>1387</v>
      </c>
      <c r="G2307" s="71" t="s">
        <v>1388</v>
      </c>
      <c r="H2307" s="41"/>
      <c r="I2307" s="42"/>
      <c r="J2307" s="43"/>
      <c r="K2307" s="72">
        <v>240.0</v>
      </c>
      <c r="L2307" s="53" t="s">
        <v>69</v>
      </c>
      <c r="M2307" s="73">
        <v>7500.0</v>
      </c>
      <c r="N2307" s="74"/>
      <c r="O2307" s="73">
        <v>1800000.0</v>
      </c>
      <c r="P2307" s="46" t="str">
        <f t="shared" si="2"/>
        <v>Rp7,500-240 PCS-0.00%</v>
      </c>
      <c r="Q2307" s="75">
        <v>45418.0</v>
      </c>
      <c r="R2307" s="76"/>
      <c r="S2307" s="75">
        <v>45423.0</v>
      </c>
      <c r="T2307" s="49"/>
    </row>
    <row r="2308">
      <c r="A2308" s="90">
        <v>4371.0</v>
      </c>
      <c r="B2308" s="91" t="s">
        <v>58</v>
      </c>
      <c r="C2308" s="49" t="s">
        <v>2636</v>
      </c>
      <c r="D2308" s="91" t="s">
        <v>121</v>
      </c>
      <c r="E2308" s="41" t="str">
        <f>IFERROR(__xludf.DUMMYFUNCTION("vlookup(D2308,IMPORTRANGE(""https://docs.google.com/spreadsheets/d/1swGwZOEqYlTEUCJLY-eeJM1911Kvaei5oySBIxdgtNo/edit?pli=1#gid=257618397"",""stock untanna!B:C""),2,false)"),"LEM BAKAR STIK 7X30 WOMY PUTIH K")</f>
        <v>LEM BAKAR STIK 7X30 WOMY PUTIH K</v>
      </c>
      <c r="F2308" s="49" t="s">
        <v>121</v>
      </c>
      <c r="G2308" s="71" t="s">
        <v>122</v>
      </c>
      <c r="H2308" s="41"/>
      <c r="I2308" s="42"/>
      <c r="J2308" s="43"/>
      <c r="K2308" s="72">
        <v>25.0</v>
      </c>
      <c r="L2308" s="53" t="s">
        <v>69</v>
      </c>
      <c r="M2308" s="73">
        <v>43000.0</v>
      </c>
      <c r="N2308" s="74"/>
      <c r="O2308" s="73">
        <v>1075000.0</v>
      </c>
      <c r="P2308" s="46" t="str">
        <f t="shared" si="2"/>
        <v>Rp43,000-25 PCS-0.00%</v>
      </c>
      <c r="Q2308" s="75">
        <v>45418.0</v>
      </c>
      <c r="R2308" s="76"/>
      <c r="S2308" s="75">
        <v>45423.0</v>
      </c>
      <c r="T2308" s="49" t="s">
        <v>100</v>
      </c>
    </row>
    <row r="2309">
      <c r="A2309" s="90">
        <v>4370.0</v>
      </c>
      <c r="B2309" s="91" t="s">
        <v>58</v>
      </c>
      <c r="C2309" s="49" t="s">
        <v>2637</v>
      </c>
      <c r="D2309" s="77" t="s">
        <v>754</v>
      </c>
      <c r="E2309" s="41" t="str">
        <f>IFERROR(__xludf.DUMMYFUNCTION("vlookup(D2309,IMPORTRANGE(""https://docs.google.com/spreadsheets/d/1swGwZOEqYlTEUCJLY-eeJM1911Kvaei5oySBIxdgtNo/edit?pli=1#gid=257618397"",""stock untanna!B:C""),2,false)"),"GARISAN 30 CM ENTER 675")</f>
        <v>GARISAN 30 CM ENTER 675</v>
      </c>
      <c r="F2309" s="49" t="s">
        <v>755</v>
      </c>
      <c r="G2309" s="71" t="s">
        <v>756</v>
      </c>
      <c r="H2309" s="41"/>
      <c r="I2309" s="42"/>
      <c r="J2309" s="43"/>
      <c r="K2309" s="72">
        <v>82.0</v>
      </c>
      <c r="L2309" s="53" t="s">
        <v>62</v>
      </c>
      <c r="M2309" s="73">
        <v>9000.0</v>
      </c>
      <c r="N2309" s="74"/>
      <c r="O2309" s="73">
        <v>738000.0</v>
      </c>
      <c r="P2309" s="46" t="str">
        <f t="shared" si="2"/>
        <v>Rp9,000-82 LSN-0.00%</v>
      </c>
      <c r="Q2309" s="75">
        <v>45418.0</v>
      </c>
      <c r="R2309" s="76"/>
      <c r="S2309" s="75">
        <v>45423.0</v>
      </c>
      <c r="T2309" s="49"/>
    </row>
    <row r="2310">
      <c r="A2310" s="90">
        <v>4370.0</v>
      </c>
      <c r="B2310" s="91" t="s">
        <v>58</v>
      </c>
      <c r="C2310" s="49" t="s">
        <v>2637</v>
      </c>
      <c r="D2310" s="91"/>
      <c r="E2310" s="41" t="s">
        <v>2638</v>
      </c>
      <c r="F2310" s="49"/>
      <c r="G2310" s="71" t="s">
        <v>2638</v>
      </c>
      <c r="H2310" s="41"/>
      <c r="I2310" s="42"/>
      <c r="J2310" s="43"/>
      <c r="K2310" s="72">
        <v>2.0</v>
      </c>
      <c r="L2310" s="53" t="s">
        <v>114</v>
      </c>
      <c r="M2310" s="73">
        <v>25000.0</v>
      </c>
      <c r="N2310" s="74"/>
      <c r="O2310" s="73">
        <v>50000.0</v>
      </c>
      <c r="P2310" s="46" t="str">
        <f t="shared" si="2"/>
        <v>Rp25,000-2 PAK-0.00%</v>
      </c>
      <c r="Q2310" s="75">
        <v>45418.0</v>
      </c>
      <c r="R2310" s="76"/>
      <c r="S2310" s="75">
        <v>45423.0</v>
      </c>
      <c r="T2310" s="49"/>
    </row>
    <row r="2311">
      <c r="A2311" s="90">
        <v>4370.0</v>
      </c>
      <c r="B2311" s="91" t="s">
        <v>58</v>
      </c>
      <c r="C2311" s="49" t="s">
        <v>2637</v>
      </c>
      <c r="D2311" s="91"/>
      <c r="E2311" s="41" t="s">
        <v>2037</v>
      </c>
      <c r="F2311" s="49"/>
      <c r="G2311" s="71" t="s">
        <v>2037</v>
      </c>
      <c r="H2311" s="41"/>
      <c r="I2311" s="42"/>
      <c r="J2311" s="43"/>
      <c r="K2311" s="72">
        <v>10.0</v>
      </c>
      <c r="L2311" s="53" t="s">
        <v>114</v>
      </c>
      <c r="M2311" s="73">
        <v>6750.0</v>
      </c>
      <c r="N2311" s="74"/>
      <c r="O2311" s="73">
        <v>67500.0</v>
      </c>
      <c r="P2311" s="46" t="str">
        <f t="shared" si="2"/>
        <v>Rp6,750-10 PAK-0.00%</v>
      </c>
      <c r="Q2311" s="75">
        <v>45418.0</v>
      </c>
      <c r="R2311" s="76"/>
      <c r="S2311" s="75">
        <v>45423.0</v>
      </c>
      <c r="T2311" s="49"/>
    </row>
    <row r="2312">
      <c r="A2312" s="90">
        <v>4369.0</v>
      </c>
      <c r="B2312" s="91" t="s">
        <v>58</v>
      </c>
      <c r="C2312" s="49" t="s">
        <v>1430</v>
      </c>
      <c r="D2312" s="77" t="s">
        <v>754</v>
      </c>
      <c r="E2312" s="41" t="str">
        <f>IFERROR(__xludf.DUMMYFUNCTION("vlookup(D2312,IMPORTRANGE(""https://docs.google.com/spreadsheets/d/1swGwZOEqYlTEUCJLY-eeJM1911Kvaei5oySBIxdgtNo/edit?pli=1#gid=257618397"",""stock untanna!B:C""),2,false)"),"GARISAN 30 CM ENTER 675")</f>
        <v>GARISAN 30 CM ENTER 675</v>
      </c>
      <c r="F2312" s="49" t="s">
        <v>755</v>
      </c>
      <c r="G2312" s="71" t="s">
        <v>756</v>
      </c>
      <c r="H2312" s="41"/>
      <c r="I2312" s="42"/>
      <c r="J2312" s="43"/>
      <c r="K2312" s="72">
        <v>1000.0</v>
      </c>
      <c r="L2312" s="53" t="s">
        <v>62</v>
      </c>
      <c r="M2312" s="73">
        <v>8750.0</v>
      </c>
      <c r="N2312" s="74"/>
      <c r="O2312" s="73">
        <v>8750000.0</v>
      </c>
      <c r="P2312" s="46" t="str">
        <f t="shared" si="2"/>
        <v>Rp8,750-1000 LSN-0.00%</v>
      </c>
      <c r="Q2312" s="75">
        <v>45418.0</v>
      </c>
      <c r="R2312" s="76"/>
      <c r="S2312" s="75">
        <v>45423.0</v>
      </c>
      <c r="T2312" s="49"/>
    </row>
    <row r="2313">
      <c r="A2313" s="90">
        <v>14.0</v>
      </c>
      <c r="B2313" s="91" t="s">
        <v>58</v>
      </c>
      <c r="C2313" s="49" t="s">
        <v>2639</v>
      </c>
      <c r="D2313" s="91" t="s">
        <v>419</v>
      </c>
      <c r="E2313" s="41" t="str">
        <f>IFERROR(__xludf.DUMMYFUNCTION("vlookup(D2313,IMPORTRANGE(""https://docs.google.com/spreadsheets/d/1swGwZOEqYlTEUCJLY-eeJM1911Kvaei5oySBIxdgtNo/edit?pli=1#gid=257618397"",""stock untanna!B:C""),2,false)"),"BP GEL ZUI XUA HY-1020 HITAM")</f>
        <v>BP GEL ZUI XUA HY-1020 HITAM</v>
      </c>
      <c r="F2313" s="49" t="s">
        <v>419</v>
      </c>
      <c r="G2313" s="71" t="s">
        <v>420</v>
      </c>
      <c r="H2313" s="41"/>
      <c r="I2313" s="42"/>
      <c r="J2313" s="43"/>
      <c r="K2313" s="72">
        <v>384.0</v>
      </c>
      <c r="L2313" s="53" t="s">
        <v>62</v>
      </c>
      <c r="M2313" s="73">
        <v>12000.0</v>
      </c>
      <c r="N2313" s="74"/>
      <c r="O2313" s="73">
        <v>4608000.0</v>
      </c>
      <c r="P2313" s="46" t="str">
        <f t="shared" si="2"/>
        <v>Rp12,000-384 LSN-0.00%</v>
      </c>
      <c r="Q2313" s="75">
        <v>45418.0</v>
      </c>
      <c r="R2313" s="76"/>
      <c r="S2313" s="75">
        <v>45423.0</v>
      </c>
      <c r="T2313" s="49"/>
    </row>
    <row r="2314">
      <c r="A2314" s="90">
        <v>14.0</v>
      </c>
      <c r="B2314" s="91" t="s">
        <v>58</v>
      </c>
      <c r="C2314" s="49" t="s">
        <v>2639</v>
      </c>
      <c r="D2314" s="91"/>
      <c r="E2314" s="41" t="s">
        <v>2640</v>
      </c>
      <c r="F2314" s="49"/>
      <c r="G2314" s="71" t="s">
        <v>2640</v>
      </c>
      <c r="H2314" s="41"/>
      <c r="I2314" s="42"/>
      <c r="J2314" s="43"/>
      <c r="K2314" s="72">
        <v>25.0</v>
      </c>
      <c r="L2314" s="53" t="s">
        <v>114</v>
      </c>
      <c r="M2314" s="73">
        <v>46000.0</v>
      </c>
      <c r="N2314" s="74"/>
      <c r="O2314" s="73">
        <v>1150000.0</v>
      </c>
      <c r="P2314" s="46" t="str">
        <f t="shared" si="2"/>
        <v>Rp46,000-25 PAK-0.00%</v>
      </c>
      <c r="Q2314" s="75">
        <v>45418.0</v>
      </c>
      <c r="R2314" s="76"/>
      <c r="S2314" s="75">
        <v>45423.0</v>
      </c>
      <c r="T2314" s="49"/>
    </row>
    <row r="2315">
      <c r="A2315" s="90">
        <v>14.0</v>
      </c>
      <c r="B2315" s="91" t="s">
        <v>58</v>
      </c>
      <c r="C2315" s="49" t="s">
        <v>2639</v>
      </c>
      <c r="D2315" s="91" t="s">
        <v>631</v>
      </c>
      <c r="E2315" s="41" t="str">
        <f>IFERROR(__xludf.DUMMYFUNCTION("vlookup(D2315,IMPORTRANGE(""https://docs.google.com/spreadsheets/d/1swGwZOEqYlTEUCJLY-eeJM1911Kvaei5oySBIxdgtNo/edit?pli=1#gid=257618397"",""stock untanna!B:C""),2,false)"),"BP TIZO 31810F FANCY")</f>
        <v>BP TIZO 31810F FANCY</v>
      </c>
      <c r="F2315" s="49" t="s">
        <v>631</v>
      </c>
      <c r="G2315" s="71" t="s">
        <v>632</v>
      </c>
      <c r="H2315" s="41"/>
      <c r="I2315" s="42"/>
      <c r="J2315" s="43"/>
      <c r="K2315" s="72">
        <v>12.0</v>
      </c>
      <c r="L2315" s="53" t="s">
        <v>62</v>
      </c>
      <c r="M2315" s="73">
        <v>18500.0</v>
      </c>
      <c r="N2315" s="74"/>
      <c r="O2315" s="73">
        <v>222000.0</v>
      </c>
      <c r="P2315" s="46" t="str">
        <f t="shared" si="2"/>
        <v>Rp18,500-12 LSN-0.00%</v>
      </c>
      <c r="Q2315" s="75">
        <v>45418.0</v>
      </c>
      <c r="R2315" s="76"/>
      <c r="S2315" s="75">
        <v>45423.0</v>
      </c>
      <c r="T2315" s="49"/>
    </row>
    <row r="2316">
      <c r="A2316" s="90">
        <v>14.0</v>
      </c>
      <c r="B2316" s="91" t="s">
        <v>58</v>
      </c>
      <c r="C2316" s="49" t="s">
        <v>2639</v>
      </c>
      <c r="D2316" s="91" t="s">
        <v>633</v>
      </c>
      <c r="E2316" s="41" t="str">
        <f>IFERROR(__xludf.DUMMYFUNCTION("vlookup(D2316,IMPORTRANGE(""https://docs.google.com/spreadsheets/d/1swGwZOEqYlTEUCJLY-eeJM1911Kvaei5oySBIxdgtNo/edit?pli=1#gid=257618397"",""stock untanna!B:C""),2,false)"),"BP GEL TIZO 30734F FANCY")</f>
        <v>BP GEL TIZO 30734F FANCY</v>
      </c>
      <c r="F2316" s="49" t="s">
        <v>633</v>
      </c>
      <c r="G2316" s="71" t="s">
        <v>634</v>
      </c>
      <c r="H2316" s="41"/>
      <c r="I2316" s="42"/>
      <c r="J2316" s="43"/>
      <c r="K2316" s="72">
        <v>12.0</v>
      </c>
      <c r="L2316" s="53" t="s">
        <v>62</v>
      </c>
      <c r="M2316" s="73">
        <v>18500.0</v>
      </c>
      <c r="N2316" s="74"/>
      <c r="O2316" s="73">
        <v>222000.0</v>
      </c>
      <c r="P2316" s="46" t="str">
        <f t="shared" si="2"/>
        <v>Rp18,500-12 LSN-0.00%</v>
      </c>
      <c r="Q2316" s="75">
        <v>45418.0</v>
      </c>
      <c r="R2316" s="76"/>
      <c r="S2316" s="75">
        <v>45423.0</v>
      </c>
      <c r="T2316" s="49"/>
    </row>
    <row r="2317">
      <c r="A2317" s="90">
        <v>14.0</v>
      </c>
      <c r="B2317" s="91" t="s">
        <v>58</v>
      </c>
      <c r="C2317" s="49" t="s">
        <v>2639</v>
      </c>
      <c r="D2317" s="91" t="s">
        <v>635</v>
      </c>
      <c r="E2317" s="41" t="str">
        <f>IFERROR(__xludf.DUMMYFUNCTION("vlookup(D2317,IMPORTRANGE(""https://docs.google.com/spreadsheets/d/1swGwZOEqYlTEUCJLY-eeJM1911Kvaei5oySBIxdgtNo/edit?pli=1#gid=257618397"",""stock untanna!B:C""),2,false)"),"BP GEL TIZO 31763F FANCY")</f>
        <v>BP GEL TIZO 31763F FANCY</v>
      </c>
      <c r="F2317" s="49" t="s">
        <v>635</v>
      </c>
      <c r="G2317" s="71" t="s">
        <v>636</v>
      </c>
      <c r="H2317" s="41"/>
      <c r="I2317" s="42"/>
      <c r="J2317" s="43"/>
      <c r="K2317" s="72">
        <v>12.0</v>
      </c>
      <c r="L2317" s="53" t="s">
        <v>62</v>
      </c>
      <c r="M2317" s="73">
        <v>18500.0</v>
      </c>
      <c r="N2317" s="74"/>
      <c r="O2317" s="73">
        <v>222000.0</v>
      </c>
      <c r="P2317" s="46" t="str">
        <f t="shared" si="2"/>
        <v>Rp18,500-12 LSN-0.00%</v>
      </c>
      <c r="Q2317" s="75">
        <v>45418.0</v>
      </c>
      <c r="R2317" s="76"/>
      <c r="S2317" s="75">
        <v>45423.0</v>
      </c>
      <c r="T2317" s="49"/>
    </row>
    <row r="2318">
      <c r="A2318" s="90">
        <v>4213.0</v>
      </c>
      <c r="B2318" s="91" t="s">
        <v>29</v>
      </c>
      <c r="C2318" s="80" t="s">
        <v>2641</v>
      </c>
      <c r="D2318" s="91"/>
      <c r="E2318" s="41" t="s">
        <v>2642</v>
      </c>
      <c r="F2318" s="49"/>
      <c r="G2318" s="71" t="s">
        <v>2642</v>
      </c>
      <c r="H2318" s="41"/>
      <c r="I2318" s="42"/>
      <c r="J2318" s="43"/>
      <c r="K2318" s="72">
        <v>180.0</v>
      </c>
      <c r="L2318" s="53" t="s">
        <v>69</v>
      </c>
      <c r="M2318" s="73">
        <v>12500.0</v>
      </c>
      <c r="N2318" s="74"/>
      <c r="O2318" s="73">
        <v>2250000.0</v>
      </c>
      <c r="P2318" s="46" t="str">
        <f t="shared" si="2"/>
        <v>Rp12,500-180 PCS-0.00%</v>
      </c>
      <c r="Q2318" s="75">
        <v>45418.0</v>
      </c>
      <c r="R2318" s="75">
        <v>45416.0</v>
      </c>
      <c r="S2318" s="75">
        <v>45423.0</v>
      </c>
      <c r="T2318" s="49"/>
    </row>
    <row r="2319">
      <c r="A2319" s="90">
        <v>4213.0</v>
      </c>
      <c r="B2319" s="91" t="s">
        <v>29</v>
      </c>
      <c r="C2319" s="80" t="s">
        <v>2641</v>
      </c>
      <c r="D2319" s="91" t="s">
        <v>419</v>
      </c>
      <c r="E2319" s="41" t="str">
        <f>IFERROR(__xludf.DUMMYFUNCTION("vlookup(D2319,IMPORTRANGE(""https://docs.google.com/spreadsheets/d/1swGwZOEqYlTEUCJLY-eeJM1911Kvaei5oySBIxdgtNo/edit?pli=1#gid=257618397"",""stock untanna!B:C""),2,false)"),"BP GEL ZUI XUA HY-1020 HITAM")</f>
        <v>BP GEL ZUI XUA HY-1020 HITAM</v>
      </c>
      <c r="F2319" s="49" t="s">
        <v>419</v>
      </c>
      <c r="G2319" s="71" t="s">
        <v>420</v>
      </c>
      <c r="H2319" s="41"/>
      <c r="I2319" s="42"/>
      <c r="J2319" s="43"/>
      <c r="K2319" s="72">
        <v>72.0</v>
      </c>
      <c r="L2319" s="53" t="s">
        <v>62</v>
      </c>
      <c r="M2319" s="73">
        <v>12500.0</v>
      </c>
      <c r="N2319" s="74"/>
      <c r="O2319" s="73">
        <v>900000.0</v>
      </c>
      <c r="P2319" s="46" t="str">
        <f t="shared" si="2"/>
        <v>Rp12,500-72 LSN-0.00%</v>
      </c>
      <c r="Q2319" s="75">
        <v>45418.0</v>
      </c>
      <c r="R2319" s="75">
        <v>45416.0</v>
      </c>
      <c r="S2319" s="75">
        <v>45423.0</v>
      </c>
      <c r="T2319" s="49"/>
    </row>
    <row r="2320">
      <c r="A2320" s="90">
        <v>4213.0</v>
      </c>
      <c r="B2320" s="91" t="s">
        <v>29</v>
      </c>
      <c r="C2320" s="80" t="s">
        <v>2641</v>
      </c>
      <c r="D2320" s="91"/>
      <c r="E2320" s="41" t="s">
        <v>2643</v>
      </c>
      <c r="F2320" s="49"/>
      <c r="G2320" s="71" t="s">
        <v>2643</v>
      </c>
      <c r="H2320" s="41"/>
      <c r="I2320" s="42"/>
      <c r="J2320" s="43"/>
      <c r="K2320" s="72">
        <v>24.0</v>
      </c>
      <c r="L2320" s="53" t="s">
        <v>69</v>
      </c>
      <c r="M2320" s="73">
        <v>11000.0</v>
      </c>
      <c r="N2320" s="74"/>
      <c r="O2320" s="73">
        <v>264000.0</v>
      </c>
      <c r="P2320" s="46" t="str">
        <f t="shared" si="2"/>
        <v>Rp11,000-24 PCS-0.00%</v>
      </c>
      <c r="Q2320" s="75">
        <v>45418.0</v>
      </c>
      <c r="R2320" s="75">
        <v>45416.0</v>
      </c>
      <c r="S2320" s="75">
        <v>45423.0</v>
      </c>
      <c r="T2320" s="80" t="s">
        <v>280</v>
      </c>
    </row>
    <row r="2321">
      <c r="A2321" s="90">
        <v>4213.0</v>
      </c>
      <c r="B2321" s="91" t="s">
        <v>29</v>
      </c>
      <c r="C2321" s="80" t="s">
        <v>2641</v>
      </c>
      <c r="D2321" s="91"/>
      <c r="E2321" s="41" t="s">
        <v>2407</v>
      </c>
      <c r="F2321" s="49"/>
      <c r="G2321" s="71" t="s">
        <v>2407</v>
      </c>
      <c r="H2321" s="41"/>
      <c r="I2321" s="42"/>
      <c r="J2321" s="43"/>
      <c r="K2321" s="72">
        <v>50.0</v>
      </c>
      <c r="L2321" s="53" t="s">
        <v>69</v>
      </c>
      <c r="M2321" s="73">
        <v>55000.0</v>
      </c>
      <c r="N2321" s="74"/>
      <c r="O2321" s="73">
        <v>2750000.0</v>
      </c>
      <c r="P2321" s="46" t="str">
        <f t="shared" si="2"/>
        <v>Rp55,000-50 PCS-0.00%</v>
      </c>
      <c r="Q2321" s="75">
        <v>45418.0</v>
      </c>
      <c r="R2321" s="75">
        <v>45418.0</v>
      </c>
      <c r="S2321" s="75">
        <v>45423.0</v>
      </c>
      <c r="T2321" s="49"/>
    </row>
    <row r="2322">
      <c r="A2322" s="90">
        <v>4442.0</v>
      </c>
      <c r="B2322" s="91" t="s">
        <v>29</v>
      </c>
      <c r="C2322" s="80" t="s">
        <v>2644</v>
      </c>
      <c r="D2322" s="91" t="s">
        <v>2645</v>
      </c>
      <c r="E2322" s="41" t="str">
        <f>IFERROR(__xludf.DUMMYFUNCTION("vlookup(D2322,IMPORTRANGE(""https://docs.google.com/spreadsheets/d/1swGwZOEqYlTEUCJLY-eeJM1911Kvaei5oySBIxdgtNo/edit?pli=1#gid=257618397"",""stock untanna!B:C""),2,false)"),"MEJA BELAJAR POLOS JUMBO (DOS MERAH)")</f>
        <v>MEJA BELAJAR POLOS JUMBO (DOS MERAH)</v>
      </c>
      <c r="F2322" s="49" t="s">
        <v>2645</v>
      </c>
      <c r="G2322" s="78" t="s">
        <v>2646</v>
      </c>
      <c r="H2322" s="41"/>
      <c r="I2322" s="42"/>
      <c r="J2322" s="43"/>
      <c r="K2322" s="72">
        <v>20.0</v>
      </c>
      <c r="L2322" s="53" t="s">
        <v>69</v>
      </c>
      <c r="M2322" s="73">
        <v>70000.0</v>
      </c>
      <c r="N2322" s="74"/>
      <c r="O2322" s="73">
        <v>1400000.0</v>
      </c>
      <c r="P2322" s="46" t="str">
        <f t="shared" si="2"/>
        <v>Rp70,000-20 PCS-0.00%</v>
      </c>
      <c r="Q2322" s="75">
        <v>45418.0</v>
      </c>
      <c r="R2322" s="76"/>
      <c r="S2322" s="75">
        <v>45423.0</v>
      </c>
      <c r="T2322" s="49"/>
    </row>
    <row r="2323">
      <c r="A2323" s="90">
        <v>4442.0</v>
      </c>
      <c r="B2323" s="91" t="s">
        <v>29</v>
      </c>
      <c r="C2323" s="80" t="s">
        <v>2644</v>
      </c>
      <c r="D2323" s="91"/>
      <c r="E2323" s="41" t="s">
        <v>2407</v>
      </c>
      <c r="F2323" s="49"/>
      <c r="G2323" s="71" t="s">
        <v>2407</v>
      </c>
      <c r="H2323" s="41"/>
      <c r="I2323" s="42"/>
      <c r="J2323" s="43"/>
      <c r="K2323" s="72">
        <v>20.0</v>
      </c>
      <c r="L2323" s="53" t="s">
        <v>69</v>
      </c>
      <c r="M2323" s="73">
        <v>70000.0</v>
      </c>
      <c r="N2323" s="74"/>
      <c r="O2323" s="73">
        <v>1400000.0</v>
      </c>
      <c r="P2323" s="46" t="str">
        <f t="shared" si="2"/>
        <v>Rp70,000-20 PCS-0.00%</v>
      </c>
      <c r="Q2323" s="75">
        <v>45418.0</v>
      </c>
      <c r="R2323" s="76"/>
      <c r="S2323" s="75">
        <v>45423.0</v>
      </c>
      <c r="T2323" s="49"/>
    </row>
    <row r="2324">
      <c r="A2324" s="90">
        <v>105.0</v>
      </c>
      <c r="B2324" s="91" t="s">
        <v>65</v>
      </c>
      <c r="C2324" s="49" t="s">
        <v>2647</v>
      </c>
      <c r="D2324" s="91" t="s">
        <v>661</v>
      </c>
      <c r="E2324" s="41" t="str">
        <f>IFERROR(__xludf.DUMMYFUNCTION("vlookup(D2324,IMPORTRANGE(""https://docs.google.com/spreadsheets/d/1swGwZOEqYlTEUCJLY-eeJM1911Kvaei5oySBIxdgtNo/edit?pli=1#gid=257618397"",""stock untanna!B:C""),2,false)"),"PENCIL CASE KARTON KK 1299 3D/ 3 SUSUN")</f>
        <v>PENCIL CASE KARTON KK 1299 3D/ 3 SUSUN</v>
      </c>
      <c r="F2324" s="49" t="s">
        <v>661</v>
      </c>
      <c r="G2324" s="78" t="s">
        <v>662</v>
      </c>
      <c r="H2324" s="41"/>
      <c r="I2324" s="42"/>
      <c r="J2324" s="43"/>
      <c r="K2324" s="72">
        <v>96.0</v>
      </c>
      <c r="L2324" s="53" t="s">
        <v>69</v>
      </c>
      <c r="M2324" s="73">
        <v>20000.0</v>
      </c>
      <c r="N2324" s="74"/>
      <c r="O2324" s="73">
        <v>1920000.0</v>
      </c>
      <c r="P2324" s="46" t="str">
        <f t="shared" si="2"/>
        <v>Rp20,000-96 PCS-0.00%</v>
      </c>
      <c r="Q2324" s="75">
        <v>45418.0</v>
      </c>
      <c r="R2324" s="76"/>
      <c r="S2324" s="75">
        <v>45423.0</v>
      </c>
      <c r="T2324" s="49"/>
    </row>
    <row r="2325">
      <c r="A2325" s="90">
        <v>106.0</v>
      </c>
      <c r="B2325" s="91" t="s">
        <v>65</v>
      </c>
      <c r="C2325" s="49" t="s">
        <v>2648</v>
      </c>
      <c r="D2325" s="91" t="s">
        <v>197</v>
      </c>
      <c r="E2325" s="41" t="str">
        <f>IFERROR(__xludf.DUMMYFUNCTION("vlookup(D2325,IMPORTRANGE(""https://docs.google.com/spreadsheets/d/1swGwZOEqYlTEUCJLY-eeJM1911Kvaei5oySBIxdgtNo/edit?pli=1#gid=257618397"",""stock untanna!B:C""),2,false)"),"BP TF G-3114 0.3MM HIGHTECH KNOCK")</f>
        <v>BP TF G-3114 0.3MM HIGHTECH KNOCK</v>
      </c>
      <c r="F2325" s="49" t="s">
        <v>197</v>
      </c>
      <c r="G2325" s="71" t="s">
        <v>198</v>
      </c>
      <c r="H2325" s="41"/>
      <c r="I2325" s="42"/>
      <c r="J2325" s="43"/>
      <c r="K2325" s="72">
        <v>12.0</v>
      </c>
      <c r="L2325" s="53" t="s">
        <v>62</v>
      </c>
      <c r="M2325" s="73">
        <v>36500.0</v>
      </c>
      <c r="N2325" s="74"/>
      <c r="O2325" s="73">
        <v>438000.0</v>
      </c>
      <c r="P2325" s="46" t="str">
        <f t="shared" si="2"/>
        <v>Rp36,500-12 LSN-0.00%</v>
      </c>
      <c r="Q2325" s="75">
        <v>45418.0</v>
      </c>
      <c r="R2325" s="75">
        <v>45416.0</v>
      </c>
      <c r="S2325" s="75">
        <v>45423.0</v>
      </c>
      <c r="T2325" s="49"/>
    </row>
    <row r="2326">
      <c r="A2326" s="90">
        <v>106.0</v>
      </c>
      <c r="B2326" s="91" t="s">
        <v>65</v>
      </c>
      <c r="C2326" s="49" t="s">
        <v>2648</v>
      </c>
      <c r="D2326" s="91" t="s">
        <v>698</v>
      </c>
      <c r="E2326" s="41" t="str">
        <f>IFERROR(__xludf.DUMMYFUNCTION("vlookup(D2326,IMPORTRANGE(""https://docs.google.com/spreadsheets/d/1swGwZOEqYlTEUCJLY-eeJM1911Kvaei5oySBIxdgtNo/edit?pli=1#gid=257618397"",""stock untanna!B:C""),2,false)"),"BP GEL TIZO 1.0 TG630-A")</f>
        <v>BP GEL TIZO 1.0 TG630-A</v>
      </c>
      <c r="F2326" s="49" t="s">
        <v>698</v>
      </c>
      <c r="G2326" s="71" t="s">
        <v>699</v>
      </c>
      <c r="H2326" s="41"/>
      <c r="I2326" s="42"/>
      <c r="J2326" s="43"/>
      <c r="K2326" s="72">
        <v>12.0</v>
      </c>
      <c r="L2326" s="53" t="s">
        <v>62</v>
      </c>
      <c r="M2326" s="73">
        <v>48000.0</v>
      </c>
      <c r="N2326" s="74"/>
      <c r="O2326" s="73">
        <v>576000.0</v>
      </c>
      <c r="P2326" s="46" t="str">
        <f t="shared" si="2"/>
        <v>Rp48,000-12 LSN-0.00%</v>
      </c>
      <c r="Q2326" s="75">
        <v>45418.0</v>
      </c>
      <c r="R2326" s="75">
        <v>45416.0</v>
      </c>
      <c r="S2326" s="75">
        <v>45423.0</v>
      </c>
      <c r="T2326" s="49"/>
    </row>
    <row r="2327">
      <c r="A2327" s="90">
        <v>106.0</v>
      </c>
      <c r="B2327" s="91" t="s">
        <v>65</v>
      </c>
      <c r="C2327" s="49" t="s">
        <v>2648</v>
      </c>
      <c r="D2327" s="91" t="s">
        <v>2236</v>
      </c>
      <c r="E2327" s="41" t="str">
        <f>IFERROR(__xludf.DUMMYFUNCTION("vlookup(D2327,IMPORTRANGE(""https://docs.google.com/spreadsheets/d/1swGwZOEqYlTEUCJLY-eeJM1911Kvaei5oySBIxdgtNo/edit?pli=1#gid=257618397"",""stock untanna!B:C""),2,false)"),"BALON DOF 12'' RI MERAH")</f>
        <v>BALON DOF 12'' RI MERAH</v>
      </c>
      <c r="F2327" s="49" t="s">
        <v>2236</v>
      </c>
      <c r="G2327" s="71" t="s">
        <v>2237</v>
      </c>
      <c r="H2327" s="41"/>
      <c r="I2327" s="42"/>
      <c r="J2327" s="43"/>
      <c r="K2327" s="72">
        <v>25.0</v>
      </c>
      <c r="L2327" s="53" t="s">
        <v>1521</v>
      </c>
      <c r="M2327" s="73">
        <v>45000.0</v>
      </c>
      <c r="N2327" s="74"/>
      <c r="O2327" s="73">
        <v>1125000.0</v>
      </c>
      <c r="P2327" s="46" t="str">
        <f t="shared" si="2"/>
        <v>Rp45,000-25 DISP-0.00%</v>
      </c>
      <c r="Q2327" s="75">
        <v>45418.0</v>
      </c>
      <c r="R2327" s="75">
        <v>45415.0</v>
      </c>
      <c r="S2327" s="75">
        <v>45423.0</v>
      </c>
      <c r="T2327" s="49"/>
    </row>
    <row r="2328">
      <c r="A2328" s="90">
        <v>106.0</v>
      </c>
      <c r="B2328" s="91" t="s">
        <v>65</v>
      </c>
      <c r="C2328" s="49" t="s">
        <v>2648</v>
      </c>
      <c r="D2328" s="91" t="s">
        <v>2238</v>
      </c>
      <c r="E2328" s="41" t="str">
        <f>IFERROR(__xludf.DUMMYFUNCTION("vlookup(D2328,IMPORTRANGE(""https://docs.google.com/spreadsheets/d/1swGwZOEqYlTEUCJLY-eeJM1911Kvaei5oySBIxdgtNo/edit?pli=1#gid=257618397"",""stock untanna!B:C""),2,false)"),"BALON DOF 12"" RI PUTIH")</f>
        <v>BALON DOF 12" RI PUTIH</v>
      </c>
      <c r="F2328" s="49" t="s">
        <v>2238</v>
      </c>
      <c r="G2328" s="71" t="s">
        <v>2239</v>
      </c>
      <c r="H2328" s="41"/>
      <c r="I2328" s="42"/>
      <c r="J2328" s="43"/>
      <c r="K2328" s="72">
        <v>25.0</v>
      </c>
      <c r="L2328" s="53" t="s">
        <v>1521</v>
      </c>
      <c r="M2328" s="73">
        <v>45000.0</v>
      </c>
      <c r="N2328" s="74"/>
      <c r="O2328" s="73">
        <v>1125000.0</v>
      </c>
      <c r="P2328" s="46" t="str">
        <f t="shared" si="2"/>
        <v>Rp45,000-25 DISP-0.00%</v>
      </c>
      <c r="Q2328" s="75">
        <v>45418.0</v>
      </c>
      <c r="R2328" s="75">
        <v>45415.0</v>
      </c>
      <c r="S2328" s="75">
        <v>45423.0</v>
      </c>
      <c r="T2328" s="49"/>
    </row>
    <row r="2329">
      <c r="A2329" s="90">
        <v>106.0</v>
      </c>
      <c r="B2329" s="91" t="s">
        <v>65</v>
      </c>
      <c r="C2329" s="49" t="s">
        <v>2648</v>
      </c>
      <c r="D2329" s="91"/>
      <c r="E2329" s="41" t="s">
        <v>1811</v>
      </c>
      <c r="F2329" s="49"/>
      <c r="G2329" s="71" t="s">
        <v>1811</v>
      </c>
      <c r="H2329" s="41"/>
      <c r="I2329" s="42"/>
      <c r="J2329" s="43"/>
      <c r="K2329" s="72">
        <v>50.0</v>
      </c>
      <c r="L2329" s="53" t="s">
        <v>69</v>
      </c>
      <c r="M2329" s="73">
        <v>17500.0</v>
      </c>
      <c r="N2329" s="74"/>
      <c r="O2329" s="73">
        <v>875000.0</v>
      </c>
      <c r="P2329" s="46" t="str">
        <f t="shared" si="2"/>
        <v>Rp17,500-50 PCS-0.00%</v>
      </c>
      <c r="Q2329" s="75">
        <v>45418.0</v>
      </c>
      <c r="R2329" s="75">
        <v>45415.0</v>
      </c>
      <c r="S2329" s="75">
        <v>45423.0</v>
      </c>
      <c r="T2329" s="49"/>
    </row>
    <row r="2330">
      <c r="A2330" s="90">
        <v>106.0</v>
      </c>
      <c r="B2330" s="91" t="s">
        <v>65</v>
      </c>
      <c r="C2330" s="49" t="s">
        <v>2648</v>
      </c>
      <c r="D2330" s="91" t="s">
        <v>1328</v>
      </c>
      <c r="E2330" s="41" t="str">
        <f>IFERROR(__xludf.DUMMYFUNCTION("vlookup(D2330,IMPORTRANGE(""https://docs.google.com/spreadsheets/d/1swGwZOEqYlTEUCJLY-eeJM1911Kvaei5oySBIxdgtNo/edit?pli=1#gid=257618397"",""stock untanna!B:C""),2,false)"),"ASAHAN 007")</f>
        <v>ASAHAN 007</v>
      </c>
      <c r="F2330" s="49" t="s">
        <v>1328</v>
      </c>
      <c r="G2330" s="71" t="s">
        <v>1329</v>
      </c>
      <c r="H2330" s="41"/>
      <c r="I2330" s="42"/>
      <c r="J2330" s="43"/>
      <c r="K2330" s="72">
        <v>12.0</v>
      </c>
      <c r="L2330" s="53" t="s">
        <v>69</v>
      </c>
      <c r="M2330" s="73">
        <v>21000.0</v>
      </c>
      <c r="N2330" s="74"/>
      <c r="O2330" s="73">
        <v>252000.0</v>
      </c>
      <c r="P2330" s="46" t="str">
        <f t="shared" si="2"/>
        <v>Rp21,000-12 PCS-0.00%</v>
      </c>
      <c r="Q2330" s="75">
        <v>45418.0</v>
      </c>
      <c r="R2330" s="75">
        <v>45415.0</v>
      </c>
      <c r="S2330" s="75">
        <v>45423.0</v>
      </c>
      <c r="T2330" s="49"/>
    </row>
    <row r="2331">
      <c r="A2331" s="90">
        <v>106.0</v>
      </c>
      <c r="B2331" s="91" t="s">
        <v>65</v>
      </c>
      <c r="C2331" s="49" t="s">
        <v>2648</v>
      </c>
      <c r="D2331" s="91" t="s">
        <v>1254</v>
      </c>
      <c r="E2331" s="41" t="str">
        <f>IFERROR(__xludf.DUMMYFUNCTION("vlookup(D2331,IMPORTRANGE(""https://docs.google.com/spreadsheets/d/1swGwZOEqYlTEUCJLY-eeJM1911Kvaei5oySBIxdgtNo/edit?pli=1#gid=257618397"",""stock untanna!B:C""),2,false)"),"TAS KARUNG 70X70")</f>
        <v>TAS KARUNG 70X70</v>
      </c>
      <c r="F2331" s="49" t="s">
        <v>1254</v>
      </c>
      <c r="G2331" s="71" t="s">
        <v>1255</v>
      </c>
      <c r="H2331" s="41"/>
      <c r="I2331" s="42"/>
      <c r="J2331" s="43"/>
      <c r="K2331" s="72">
        <v>2.0</v>
      </c>
      <c r="L2331" s="53" t="s">
        <v>62</v>
      </c>
      <c r="M2331" s="73">
        <v>300000.0</v>
      </c>
      <c r="N2331" s="74"/>
      <c r="O2331" s="73">
        <v>600000.0</v>
      </c>
      <c r="P2331" s="46" t="str">
        <f t="shared" si="2"/>
        <v>Rp300,000-2 LSN-0.00%</v>
      </c>
      <c r="Q2331" s="75">
        <v>45418.0</v>
      </c>
      <c r="R2331" s="75">
        <v>45415.0</v>
      </c>
      <c r="S2331" s="75">
        <v>45423.0</v>
      </c>
      <c r="T2331" s="49"/>
    </row>
    <row r="2332">
      <c r="A2332" s="90">
        <v>106.0</v>
      </c>
      <c r="B2332" s="91" t="s">
        <v>65</v>
      </c>
      <c r="C2332" s="49" t="s">
        <v>2648</v>
      </c>
      <c r="D2332" s="91" t="s">
        <v>1258</v>
      </c>
      <c r="E2332" s="41" t="str">
        <f>IFERROR(__xludf.DUMMYFUNCTION("vlookup(D2332,IMPORTRANGE(""https://docs.google.com/spreadsheets/d/1swGwZOEqYlTEUCJLY-eeJM1911Kvaei5oySBIxdgtNo/edit?pli=1#gid=257618397"",""stock untanna!B:C""),2,false)"),"TAS KARUNG 45X50")</f>
        <v>TAS KARUNG 45X50</v>
      </c>
      <c r="F2332" s="49" t="s">
        <v>1258</v>
      </c>
      <c r="G2332" s="71" t="s">
        <v>1259</v>
      </c>
      <c r="H2332" s="41"/>
      <c r="I2332" s="42"/>
      <c r="J2332" s="43"/>
      <c r="K2332" s="72">
        <v>2.0</v>
      </c>
      <c r="L2332" s="53" t="s">
        <v>62</v>
      </c>
      <c r="M2332" s="73">
        <v>156000.0</v>
      </c>
      <c r="N2332" s="74"/>
      <c r="O2332" s="73">
        <v>312000.0</v>
      </c>
      <c r="P2332" s="46" t="str">
        <f t="shared" si="2"/>
        <v>Rp156,000-2 LSN-0.00%</v>
      </c>
      <c r="Q2332" s="75">
        <v>45418.0</v>
      </c>
      <c r="R2332" s="75">
        <v>45415.0</v>
      </c>
      <c r="S2332" s="75">
        <v>45423.0</v>
      </c>
      <c r="T2332" s="49"/>
    </row>
    <row r="2333">
      <c r="A2333" s="90">
        <v>106.0</v>
      </c>
      <c r="B2333" s="91" t="s">
        <v>65</v>
      </c>
      <c r="C2333" s="49" t="s">
        <v>2648</v>
      </c>
      <c r="D2333" s="91" t="s">
        <v>1262</v>
      </c>
      <c r="E2333" s="41" t="str">
        <f>IFERROR(__xludf.DUMMYFUNCTION("vlookup(D2333,IMPORTRANGE(""https://docs.google.com/spreadsheets/d/1swGwZOEqYlTEUCJLY-eeJM1911Kvaei5oySBIxdgtNo/edit?pli=1#gid=257618397"",""stock untanna!B:C""),2,false)"),"TAS KARUNG 50X55")</f>
        <v>TAS KARUNG 50X55</v>
      </c>
      <c r="F2333" s="49" t="s">
        <v>1262</v>
      </c>
      <c r="G2333" s="71" t="s">
        <v>1263</v>
      </c>
      <c r="H2333" s="41"/>
      <c r="I2333" s="42"/>
      <c r="J2333" s="43"/>
      <c r="K2333" s="72">
        <v>2.0</v>
      </c>
      <c r="L2333" s="53" t="s">
        <v>62</v>
      </c>
      <c r="M2333" s="73">
        <v>180000.0</v>
      </c>
      <c r="N2333" s="74"/>
      <c r="O2333" s="73">
        <v>360000.0</v>
      </c>
      <c r="P2333" s="46" t="str">
        <f t="shared" si="2"/>
        <v>Rp180,000-2 LSN-0.00%</v>
      </c>
      <c r="Q2333" s="75">
        <v>45418.0</v>
      </c>
      <c r="R2333" s="75">
        <v>45415.0</v>
      </c>
      <c r="S2333" s="75">
        <v>45423.0</v>
      </c>
      <c r="T2333" s="49"/>
    </row>
    <row r="2334">
      <c r="A2334" s="90">
        <v>106.0</v>
      </c>
      <c r="B2334" s="91" t="s">
        <v>65</v>
      </c>
      <c r="C2334" s="49" t="s">
        <v>2648</v>
      </c>
      <c r="D2334" s="91" t="s">
        <v>2649</v>
      </c>
      <c r="E2334" s="41" t="str">
        <f>IFERROR(__xludf.DUMMYFUNCTION("vlookup(D2334,IMPORTRANGE(""https://docs.google.com/spreadsheets/d/1swGwZOEqYlTEUCJLY-eeJM1911Kvaei5oySBIxdgtNo/edit?pli=1#gid=257618397"",""stock untanna!B:C""),2,false)"),"PW 12W PANJANG DEMO CLASSIC")</f>
        <v>PW 12W PANJANG DEMO CLASSIC</v>
      </c>
      <c r="F2334" s="49" t="s">
        <v>2649</v>
      </c>
      <c r="G2334" s="71" t="s">
        <v>2650</v>
      </c>
      <c r="H2334" s="41"/>
      <c r="I2334" s="42"/>
      <c r="J2334" s="43"/>
      <c r="K2334" s="72">
        <v>1.0</v>
      </c>
      <c r="L2334" s="53" t="s">
        <v>62</v>
      </c>
      <c r="M2334" s="73">
        <v>48000.0</v>
      </c>
      <c r="N2334" s="74"/>
      <c r="O2334" s="73">
        <v>48000.0</v>
      </c>
      <c r="P2334" s="46" t="str">
        <f t="shared" si="2"/>
        <v>Rp48,000-1 LSN-0.00%</v>
      </c>
      <c r="Q2334" s="75">
        <v>45418.0</v>
      </c>
      <c r="R2334" s="75">
        <v>45416.0</v>
      </c>
      <c r="S2334" s="75">
        <v>45423.0</v>
      </c>
      <c r="T2334" s="49"/>
    </row>
    <row r="2335">
      <c r="A2335" s="90">
        <v>106.0</v>
      </c>
      <c r="B2335" s="91" t="s">
        <v>65</v>
      </c>
      <c r="C2335" s="49" t="s">
        <v>2648</v>
      </c>
      <c r="D2335" s="91" t="s">
        <v>2014</v>
      </c>
      <c r="E2335" s="41" t="str">
        <f>IFERROR(__xludf.DUMMYFUNCTION("vlookup(D2335,IMPORTRANGE(""https://docs.google.com/spreadsheets/d/1swGwZOEqYlTEUCJLY-eeJM1911Kvaei5oySBIxdgtNo/edit?pli=1#gid=257618397"",""stock untanna!B:C""),2,false)"),"AGENDA PRO DELUXE PC-121 WK KECIL")</f>
        <v>AGENDA PRO DELUXE PC-121 WK KECIL</v>
      </c>
      <c r="F2335" s="49" t="s">
        <v>2014</v>
      </c>
      <c r="G2335" s="71" t="s">
        <v>2015</v>
      </c>
      <c r="H2335" s="41"/>
      <c r="I2335" s="42"/>
      <c r="J2335" s="43"/>
      <c r="K2335" s="72">
        <v>50.0</v>
      </c>
      <c r="L2335" s="53" t="s">
        <v>69</v>
      </c>
      <c r="M2335" s="73">
        <v>23000.0</v>
      </c>
      <c r="N2335" s="74"/>
      <c r="O2335" s="73">
        <v>1150000.0</v>
      </c>
      <c r="P2335" s="46" t="str">
        <f t="shared" si="2"/>
        <v>Rp23,000-50 PCS-0.00%</v>
      </c>
      <c r="Q2335" s="75">
        <v>45418.0</v>
      </c>
      <c r="R2335" s="75">
        <v>45415.0</v>
      </c>
      <c r="S2335" s="75">
        <v>45423.0</v>
      </c>
      <c r="T2335" s="49"/>
    </row>
    <row r="2336">
      <c r="A2336" s="90">
        <v>106.0</v>
      </c>
      <c r="B2336" s="91" t="s">
        <v>65</v>
      </c>
      <c r="C2336" s="49" t="s">
        <v>2648</v>
      </c>
      <c r="D2336" s="91"/>
      <c r="E2336" s="41" t="s">
        <v>2638</v>
      </c>
      <c r="F2336" s="49"/>
      <c r="G2336" s="71" t="s">
        <v>2638</v>
      </c>
      <c r="H2336" s="41"/>
      <c r="I2336" s="42"/>
      <c r="J2336" s="43"/>
      <c r="K2336" s="72">
        <v>125.0</v>
      </c>
      <c r="L2336" s="53" t="s">
        <v>114</v>
      </c>
      <c r="M2336" s="73">
        <v>23000.0</v>
      </c>
      <c r="N2336" s="74"/>
      <c r="O2336" s="73">
        <v>2875000.0</v>
      </c>
      <c r="P2336" s="46" t="str">
        <f t="shared" si="2"/>
        <v>Rp23,000-125 PAK-0.00%</v>
      </c>
      <c r="Q2336" s="75">
        <v>45418.0</v>
      </c>
      <c r="R2336" s="75">
        <v>45415.0</v>
      </c>
      <c r="S2336" s="75">
        <v>45423.0</v>
      </c>
      <c r="T2336" s="49"/>
    </row>
    <row r="2337">
      <c r="A2337" s="90">
        <v>154.0</v>
      </c>
      <c r="B2337" s="91" t="s">
        <v>29</v>
      </c>
      <c r="C2337" s="49" t="s">
        <v>2413</v>
      </c>
      <c r="D2337" s="91" t="s">
        <v>732</v>
      </c>
      <c r="E2337" s="41" t="str">
        <f>IFERROR(__xludf.DUMMYFUNCTION("vlookup(D2337,IMPORTRANGE(""https://docs.google.com/spreadsheets/d/1swGwZOEqYlTEUCJLY-eeJM1911Kvaei5oySBIxdgtNo/edit?pli=1#gid=257618397"",""stock untanna!B:C""),2,false)"),"MESIN TEMBAK BIXDONE HE E2010 K (65 BLK) KECIL")</f>
        <v>MESIN TEMBAK BIXDONE HE E2010 K (65 BLK) KECIL</v>
      </c>
      <c r="F2337" s="49" t="s">
        <v>732</v>
      </c>
      <c r="G2337" s="78" t="s">
        <v>733</v>
      </c>
      <c r="H2337" s="41"/>
      <c r="I2337" s="42"/>
      <c r="J2337" s="43"/>
      <c r="K2337" s="72">
        <v>12.0</v>
      </c>
      <c r="L2337" s="53" t="s">
        <v>69</v>
      </c>
      <c r="M2337" s="73">
        <v>26000.0</v>
      </c>
      <c r="N2337" s="74"/>
      <c r="O2337" s="73">
        <v>312000.0</v>
      </c>
      <c r="P2337" s="46" t="str">
        <f t="shared" si="2"/>
        <v>Rp26,000-12 PCS-0.00%</v>
      </c>
      <c r="Q2337" s="75">
        <v>45418.0</v>
      </c>
      <c r="R2337" s="76"/>
      <c r="S2337" s="75">
        <v>45423.0</v>
      </c>
      <c r="T2337" s="49"/>
    </row>
    <row r="2338">
      <c r="A2338" s="90">
        <v>154.0</v>
      </c>
      <c r="B2338" s="91" t="s">
        <v>29</v>
      </c>
      <c r="C2338" s="49" t="s">
        <v>2413</v>
      </c>
      <c r="D2338" s="91" t="s">
        <v>2651</v>
      </c>
      <c r="E2338" s="41" t="str">
        <f>IFERROR(__xludf.DUMMYFUNCTION("vlookup(D2338,IMPORTRANGE(""https://docs.google.com/spreadsheets/d/1swGwZOEqYlTEUCJLY-eeJM1911Kvaei5oySBIxdgtNo/edit?pli=1#gid=257618397"",""stock untanna!B:C""),2,false)"),"EXPANDING FILE V-TECH 4511 B5")</f>
        <v>EXPANDING FILE V-TECH 4511 B5</v>
      </c>
      <c r="F2338" s="49" t="s">
        <v>2651</v>
      </c>
      <c r="G2338" s="71" t="s">
        <v>2652</v>
      </c>
      <c r="H2338" s="41"/>
      <c r="I2338" s="42"/>
      <c r="J2338" s="43"/>
      <c r="K2338" s="72">
        <v>1.0</v>
      </c>
      <c r="L2338" s="53" t="s">
        <v>62</v>
      </c>
      <c r="M2338" s="73">
        <v>300000.0</v>
      </c>
      <c r="N2338" s="74"/>
      <c r="O2338" s="73">
        <v>300000.0</v>
      </c>
      <c r="P2338" s="46" t="str">
        <f t="shared" si="2"/>
        <v>Rp300,000-1 LSN-0.00%</v>
      </c>
      <c r="Q2338" s="75">
        <v>45418.0</v>
      </c>
      <c r="R2338" s="76"/>
      <c r="S2338" s="75">
        <v>45423.0</v>
      </c>
      <c r="T2338" s="49"/>
    </row>
    <row r="2339">
      <c r="A2339" s="90">
        <v>154.0</v>
      </c>
      <c r="B2339" s="91" t="s">
        <v>29</v>
      </c>
      <c r="C2339" s="49" t="s">
        <v>2413</v>
      </c>
      <c r="D2339" s="91"/>
      <c r="E2339" s="41" t="s">
        <v>2653</v>
      </c>
      <c r="F2339" s="49"/>
      <c r="G2339" s="71" t="s">
        <v>2653</v>
      </c>
      <c r="H2339" s="41"/>
      <c r="I2339" s="42"/>
      <c r="J2339" s="43"/>
      <c r="K2339" s="72">
        <v>1.0</v>
      </c>
      <c r="L2339" s="53" t="s">
        <v>62</v>
      </c>
      <c r="M2339" s="73">
        <v>95000.0</v>
      </c>
      <c r="N2339" s="74"/>
      <c r="O2339" s="73">
        <v>95000.0</v>
      </c>
      <c r="P2339" s="46" t="str">
        <f t="shared" si="2"/>
        <v>Rp95,000-1 LSN-0.00%</v>
      </c>
      <c r="Q2339" s="75">
        <v>45418.0</v>
      </c>
      <c r="R2339" s="76"/>
      <c r="S2339" s="75">
        <v>45423.0</v>
      </c>
      <c r="T2339" s="49"/>
    </row>
    <row r="2340">
      <c r="A2340" s="90">
        <v>154.0</v>
      </c>
      <c r="B2340" s="91" t="s">
        <v>29</v>
      </c>
      <c r="C2340" s="49" t="s">
        <v>2413</v>
      </c>
      <c r="D2340" s="91" t="s">
        <v>2654</v>
      </c>
      <c r="E2340" s="41" t="str">
        <f>IFERROR(__xludf.DUMMYFUNCTION("vlookup(D2340,IMPORTRANGE(""https://docs.google.com/spreadsheets/d/1swGwZOEqYlTEUCJLY-eeJM1911Kvaei5oySBIxdgtNo/edit?pli=1#gid=257618397"",""stock untanna!B:C""),2,false)"),"MAP ZIPPER KANCING 2 SIKA MERAH")</f>
        <v>MAP ZIPPER KANCING 2 SIKA MERAH</v>
      </c>
      <c r="F2340" s="49" t="s">
        <v>2654</v>
      </c>
      <c r="G2340" s="71" t="s">
        <v>2655</v>
      </c>
      <c r="H2340" s="41"/>
      <c r="I2340" s="42"/>
      <c r="J2340" s="43"/>
      <c r="K2340" s="72">
        <v>2.0</v>
      </c>
      <c r="L2340" s="53" t="s">
        <v>62</v>
      </c>
      <c r="M2340" s="73">
        <v>25000.0</v>
      </c>
      <c r="N2340" s="74"/>
      <c r="O2340" s="73">
        <v>50000.0</v>
      </c>
      <c r="P2340" s="46" t="str">
        <f t="shared" si="2"/>
        <v>Rp25,000-2 LSN-0.00%</v>
      </c>
      <c r="Q2340" s="75">
        <v>45418.0</v>
      </c>
      <c r="R2340" s="76"/>
      <c r="S2340" s="75">
        <v>45423.0</v>
      </c>
      <c r="T2340" s="49"/>
    </row>
    <row r="2341">
      <c r="A2341" s="90">
        <v>154.0</v>
      </c>
      <c r="B2341" s="91" t="s">
        <v>29</v>
      </c>
      <c r="C2341" s="49" t="s">
        <v>2413</v>
      </c>
      <c r="D2341" s="91" t="s">
        <v>2656</v>
      </c>
      <c r="E2341" s="41" t="str">
        <f>IFERROR(__xludf.DUMMYFUNCTION("vlookup(D2341,IMPORTRANGE(""https://docs.google.com/spreadsheets/d/1swGwZOEqYlTEUCJLY-eeJM1911Kvaei5oySBIxdgtNo/edit?pli=1#gid=257618397"",""stock untanna!B:C""),2,false)"),"MAP ZIPPER KANCING 2 SIKA BIRU")</f>
        <v>MAP ZIPPER KANCING 2 SIKA BIRU</v>
      </c>
      <c r="F2341" s="49" t="s">
        <v>2656</v>
      </c>
      <c r="G2341" s="71" t="s">
        <v>2657</v>
      </c>
      <c r="H2341" s="41"/>
      <c r="I2341" s="42"/>
      <c r="J2341" s="43"/>
      <c r="K2341" s="72">
        <v>1.0</v>
      </c>
      <c r="L2341" s="53" t="s">
        <v>62</v>
      </c>
      <c r="M2341" s="73">
        <v>25000.0</v>
      </c>
      <c r="N2341" s="74"/>
      <c r="O2341" s="73">
        <v>25000.0</v>
      </c>
      <c r="P2341" s="46" t="str">
        <f t="shared" si="2"/>
        <v>Rp25,000-1 LSN-0.00%</v>
      </c>
      <c r="Q2341" s="75">
        <v>45418.0</v>
      </c>
      <c r="R2341" s="76"/>
      <c r="S2341" s="75">
        <v>45423.0</v>
      </c>
      <c r="T2341" s="49"/>
    </row>
    <row r="2342">
      <c r="A2342" s="90">
        <v>154.0</v>
      </c>
      <c r="B2342" s="91" t="s">
        <v>29</v>
      </c>
      <c r="C2342" s="49" t="s">
        <v>2413</v>
      </c>
      <c r="D2342" s="91" t="s">
        <v>2658</v>
      </c>
      <c r="E2342" s="41" t="str">
        <f>IFERROR(__xludf.DUMMYFUNCTION("vlookup(D2342,IMPORTRANGE(""https://docs.google.com/spreadsheets/d/1swGwZOEqYlTEUCJLY-eeJM1911Kvaei5oySBIxdgtNo/edit?pli=1#gid=257618397"",""stock untanna!B:C""),2,false)"),"MAP ZIPPER KANCING 2 SIKA HIJAU")</f>
        <v>MAP ZIPPER KANCING 2 SIKA HIJAU</v>
      </c>
      <c r="F2342" s="49" t="s">
        <v>2658</v>
      </c>
      <c r="G2342" s="71" t="s">
        <v>2659</v>
      </c>
      <c r="H2342" s="41"/>
      <c r="I2342" s="42"/>
      <c r="J2342" s="43"/>
      <c r="K2342" s="72">
        <v>2.0</v>
      </c>
      <c r="L2342" s="53" t="s">
        <v>62</v>
      </c>
      <c r="M2342" s="73">
        <v>25000.0</v>
      </c>
      <c r="N2342" s="74"/>
      <c r="O2342" s="73">
        <v>50000.0</v>
      </c>
      <c r="P2342" s="46" t="str">
        <f t="shared" si="2"/>
        <v>Rp25,000-2 LSN-0.00%</v>
      </c>
      <c r="Q2342" s="75">
        <v>45418.0</v>
      </c>
      <c r="R2342" s="76"/>
      <c r="S2342" s="75">
        <v>45423.0</v>
      </c>
      <c r="T2342" s="49"/>
    </row>
    <row r="2343">
      <c r="A2343" s="90">
        <v>154.0</v>
      </c>
      <c r="B2343" s="91" t="s">
        <v>29</v>
      </c>
      <c r="C2343" s="49" t="s">
        <v>2413</v>
      </c>
      <c r="D2343" s="91" t="s">
        <v>1312</v>
      </c>
      <c r="E2343" s="41" t="str">
        <f>IFERROR(__xludf.DUMMYFUNCTION("vlookup(D2343,IMPORTRANGE(""https://docs.google.com/spreadsheets/d/1swGwZOEqYlTEUCJLY-eeJM1911Kvaei5oySBIxdgtNo/edit?pli=1#gid=257618397"",""stock untanna!B:C""),2,false)"),"JANGKA MS-4001 KOALA")</f>
        <v>JANGKA MS-4001 KOALA</v>
      </c>
      <c r="F2343" s="49" t="s">
        <v>1312</v>
      </c>
      <c r="G2343" s="71" t="s">
        <v>1313</v>
      </c>
      <c r="H2343" s="41"/>
      <c r="I2343" s="42"/>
      <c r="J2343" s="43"/>
      <c r="K2343" s="72">
        <v>2.0</v>
      </c>
      <c r="L2343" s="53" t="s">
        <v>62</v>
      </c>
      <c r="M2343" s="73">
        <v>85000.0</v>
      </c>
      <c r="N2343" s="74"/>
      <c r="O2343" s="73">
        <v>170000.0</v>
      </c>
      <c r="P2343" s="46" t="str">
        <f t="shared" si="2"/>
        <v>Rp85,000-2 LSN-0.00%</v>
      </c>
      <c r="Q2343" s="75">
        <v>45418.0</v>
      </c>
      <c r="R2343" s="76"/>
      <c r="S2343" s="75">
        <v>45423.0</v>
      </c>
      <c r="T2343" s="49"/>
    </row>
    <row r="2344">
      <c r="A2344" s="90">
        <v>154.0</v>
      </c>
      <c r="B2344" s="91" t="s">
        <v>29</v>
      </c>
      <c r="C2344" s="49" t="s">
        <v>2413</v>
      </c>
      <c r="D2344" s="77" t="s">
        <v>2536</v>
      </c>
      <c r="E2344" s="41" t="str">
        <f>IFERROR(__xludf.DUMMYFUNCTION("IFNA(vlookup(D2344,IMPORTRANGE(""https://docs.google.com/spreadsheets/d/1swGwZOEqYlTEUCJLY-eeJM1911Kvaei5oySBIxdgtNo/edit?pli=1#gid=257618397"",""stock untanna!B:C""),2,false),V:V)"),"BP DEBOZZ DB G 07")</f>
        <v>BP DEBOZZ DB G 07</v>
      </c>
      <c r="F2344" s="49"/>
      <c r="G2344" s="71" t="s">
        <v>2537</v>
      </c>
      <c r="H2344" s="41"/>
      <c r="I2344" s="42"/>
      <c r="J2344" s="85" t="s">
        <v>1319</v>
      </c>
      <c r="K2344" s="72">
        <v>12.0</v>
      </c>
      <c r="L2344" s="53" t="s">
        <v>62</v>
      </c>
      <c r="M2344" s="73">
        <v>27500.0</v>
      </c>
      <c r="N2344" s="74"/>
      <c r="O2344" s="73">
        <v>330000.0</v>
      </c>
      <c r="P2344" s="46" t="str">
        <f t="shared" si="2"/>
        <v>Rp27,500-12 LSN-0.00%</v>
      </c>
      <c r="Q2344" s="75">
        <v>45418.0</v>
      </c>
      <c r="R2344" s="76"/>
      <c r="S2344" s="75">
        <v>45423.0</v>
      </c>
      <c r="T2344" s="80" t="s">
        <v>280</v>
      </c>
    </row>
    <row r="2345">
      <c r="A2345" s="90">
        <v>154.0</v>
      </c>
      <c r="B2345" s="91" t="s">
        <v>29</v>
      </c>
      <c r="C2345" s="49" t="s">
        <v>2413</v>
      </c>
      <c r="D2345" s="77" t="s">
        <v>2660</v>
      </c>
      <c r="E2345" s="41" t="str">
        <f>IFERROR(__xludf.DUMMYFUNCTION("vlookup(D2345,IMPORTRANGE(""https://docs.google.com/spreadsheets/d/1swGwZOEqYlTEUCJLY-eeJM1911Kvaei5oySBIxdgtNo/edit?pli=1#gid=257618397"",""stock untanna!B:C""),2,false)"),"BP PELNA 05 HT")</f>
        <v>BP PELNA 05 HT</v>
      </c>
      <c r="F2345" s="49" t="s">
        <v>2661</v>
      </c>
      <c r="G2345" s="71" t="s">
        <v>2662</v>
      </c>
      <c r="H2345" s="41"/>
      <c r="I2345" s="42"/>
      <c r="J2345" s="43"/>
      <c r="K2345" s="72">
        <v>12.0</v>
      </c>
      <c r="L2345" s="53" t="s">
        <v>62</v>
      </c>
      <c r="M2345" s="73">
        <v>13500.0</v>
      </c>
      <c r="N2345" s="74"/>
      <c r="O2345" s="73">
        <v>162000.0</v>
      </c>
      <c r="P2345" s="46" t="str">
        <f t="shared" si="2"/>
        <v>Rp13,500-12 LSN-0.00%</v>
      </c>
      <c r="Q2345" s="75">
        <v>45418.0</v>
      </c>
      <c r="R2345" s="76"/>
      <c r="S2345" s="75">
        <v>45423.0</v>
      </c>
      <c r="T2345" s="49"/>
    </row>
    <row r="2346">
      <c r="A2346" s="90">
        <v>154.0</v>
      </c>
      <c r="B2346" s="91" t="s">
        <v>29</v>
      </c>
      <c r="C2346" s="49" t="s">
        <v>2413</v>
      </c>
      <c r="D2346" s="91" t="s">
        <v>419</v>
      </c>
      <c r="E2346" s="41" t="str">
        <f>IFERROR(__xludf.DUMMYFUNCTION("vlookup(D2346,IMPORTRANGE(""https://docs.google.com/spreadsheets/d/1swGwZOEqYlTEUCJLY-eeJM1911Kvaei5oySBIxdgtNo/edit?pli=1#gid=257618397"",""stock untanna!B:C""),2,false)"),"BP GEL ZUI XUA HY-1020 HITAM")</f>
        <v>BP GEL ZUI XUA HY-1020 HITAM</v>
      </c>
      <c r="F2346" s="49" t="s">
        <v>419</v>
      </c>
      <c r="G2346" s="71" t="s">
        <v>420</v>
      </c>
      <c r="H2346" s="41"/>
      <c r="I2346" s="42"/>
      <c r="J2346" s="43"/>
      <c r="K2346" s="72">
        <v>12.0</v>
      </c>
      <c r="L2346" s="53" t="s">
        <v>62</v>
      </c>
      <c r="M2346" s="73">
        <v>12500.0</v>
      </c>
      <c r="N2346" s="74"/>
      <c r="O2346" s="73">
        <v>150000.0</v>
      </c>
      <c r="P2346" s="46" t="str">
        <f t="shared" si="2"/>
        <v>Rp12,500-12 LSN-0.00%</v>
      </c>
      <c r="Q2346" s="75">
        <v>45418.0</v>
      </c>
      <c r="R2346" s="76"/>
      <c r="S2346" s="75">
        <v>45423.0</v>
      </c>
      <c r="T2346" s="49"/>
    </row>
    <row r="2347">
      <c r="A2347" s="90">
        <v>154.0</v>
      </c>
      <c r="B2347" s="91" t="s">
        <v>29</v>
      </c>
      <c r="C2347" s="49" t="s">
        <v>2413</v>
      </c>
      <c r="D2347" s="91" t="s">
        <v>953</v>
      </c>
      <c r="E2347" s="41" t="str">
        <f>IFERROR(__xludf.DUMMYFUNCTION("vlookup(D2347,IMPORTRANGE(""https://docs.google.com/spreadsheets/d/1swGwZOEqYlTEUCJLY-eeJM1911Kvaei5oySBIxdgtNo/edit?pli=1#gid=257618397"",""stock untanna!B:C""),2,false)"),"BP GEL DTIAN DT-612")</f>
        <v>BP GEL DTIAN DT-612</v>
      </c>
      <c r="F2347" s="49" t="s">
        <v>953</v>
      </c>
      <c r="G2347" s="71" t="s">
        <v>954</v>
      </c>
      <c r="H2347" s="41"/>
      <c r="I2347" s="42"/>
      <c r="J2347" s="43"/>
      <c r="K2347" s="72">
        <v>12.0</v>
      </c>
      <c r="L2347" s="53" t="s">
        <v>62</v>
      </c>
      <c r="M2347" s="73">
        <v>12500.0</v>
      </c>
      <c r="N2347" s="74"/>
      <c r="O2347" s="73">
        <v>150000.0</v>
      </c>
      <c r="P2347" s="46" t="str">
        <f t="shared" si="2"/>
        <v>Rp12,500-12 LSN-0.00%</v>
      </c>
      <c r="Q2347" s="75">
        <v>45418.0</v>
      </c>
      <c r="R2347" s="76"/>
      <c r="S2347" s="75">
        <v>45423.0</v>
      </c>
      <c r="T2347" s="49"/>
    </row>
    <row r="2348">
      <c r="A2348" s="90">
        <v>154.0</v>
      </c>
      <c r="B2348" s="91" t="s">
        <v>29</v>
      </c>
      <c r="C2348" s="49" t="s">
        <v>2413</v>
      </c>
      <c r="D2348" s="91" t="s">
        <v>207</v>
      </c>
      <c r="E2348" s="41" t="str">
        <f>IFERROR(__xludf.DUMMYFUNCTION("vlookup(D2348,IMPORTRANGE(""https://docs.google.com/spreadsheets/d/1swGwZOEqYlTEUCJLY-eeJM1911Kvaei5oySBIxdgtNo/edit?pli=1#gid=257618397"",""stock untanna!B:C""),2,false)"),"BP GEL KOALA GP-168")</f>
        <v>BP GEL KOALA GP-168</v>
      </c>
      <c r="F2348" s="49" t="s">
        <v>207</v>
      </c>
      <c r="G2348" s="71" t="s">
        <v>208</v>
      </c>
      <c r="H2348" s="41"/>
      <c r="I2348" s="42"/>
      <c r="J2348" s="43"/>
      <c r="K2348" s="72">
        <v>72.0</v>
      </c>
      <c r="L2348" s="53" t="s">
        <v>62</v>
      </c>
      <c r="M2348" s="73">
        <v>25000.0</v>
      </c>
      <c r="N2348" s="74"/>
      <c r="O2348" s="73">
        <v>1800000.0</v>
      </c>
      <c r="P2348" s="46" t="str">
        <f t="shared" si="2"/>
        <v>Rp25,000-72 LSN-0.00%</v>
      </c>
      <c r="Q2348" s="75">
        <v>45418.0</v>
      </c>
      <c r="R2348" s="76"/>
      <c r="S2348" s="75">
        <v>45423.0</v>
      </c>
      <c r="T2348" s="49"/>
    </row>
    <row r="2349">
      <c r="A2349" s="90">
        <v>154.0</v>
      </c>
      <c r="B2349" s="91" t="s">
        <v>29</v>
      </c>
      <c r="C2349" s="49" t="s">
        <v>2413</v>
      </c>
      <c r="D2349" s="91"/>
      <c r="E2349" s="41" t="s">
        <v>343</v>
      </c>
      <c r="F2349" s="49"/>
      <c r="G2349" s="71" t="s">
        <v>343</v>
      </c>
      <c r="H2349" s="41"/>
      <c r="I2349" s="42"/>
      <c r="J2349" s="43"/>
      <c r="K2349" s="72">
        <v>1.0</v>
      </c>
      <c r="L2349" s="53" t="s">
        <v>62</v>
      </c>
      <c r="M2349" s="73">
        <v>175000.0</v>
      </c>
      <c r="N2349" s="74"/>
      <c r="O2349" s="73">
        <v>175000.0</v>
      </c>
      <c r="P2349" s="46" t="str">
        <f t="shared" si="2"/>
        <v>Rp175,000-1 LSN-0.00%</v>
      </c>
      <c r="Q2349" s="75">
        <v>45418.0</v>
      </c>
      <c r="R2349" s="76"/>
      <c r="S2349" s="75">
        <v>45423.0</v>
      </c>
      <c r="T2349" s="80" t="s">
        <v>280</v>
      </c>
    </row>
    <row r="2350">
      <c r="A2350" s="90">
        <v>154.0</v>
      </c>
      <c r="B2350" s="91" t="s">
        <v>29</v>
      </c>
      <c r="C2350" s="49" t="s">
        <v>2413</v>
      </c>
      <c r="D2350" s="91" t="s">
        <v>2663</v>
      </c>
      <c r="E2350" s="41" t="str">
        <f>IFERROR(__xludf.DUMMYFUNCTION("vlookup(D2350,IMPORTRANGE(""https://docs.google.com/spreadsheets/d/1swGwZOEqYlTEUCJLY-eeJM1911Kvaei5oySBIxdgtNo/edit?pli=1#gid=257618397"",""stock untanna!B:C""),2,false)"),"PENSIL COLLEN 2B")</f>
        <v>PENSIL COLLEN 2B</v>
      </c>
      <c r="F2350" s="49" t="s">
        <v>2663</v>
      </c>
      <c r="G2350" s="71" t="s">
        <v>2664</v>
      </c>
      <c r="H2350" s="41"/>
      <c r="I2350" s="42"/>
      <c r="J2350" s="43"/>
      <c r="K2350" s="72">
        <v>2.0</v>
      </c>
      <c r="L2350" s="53" t="s">
        <v>88</v>
      </c>
      <c r="M2350" s="73">
        <v>225000.0</v>
      </c>
      <c r="N2350" s="74"/>
      <c r="O2350" s="73">
        <v>450000.0</v>
      </c>
      <c r="P2350" s="46" t="str">
        <f t="shared" si="2"/>
        <v>Rp225,000-2 BOX-0.00%</v>
      </c>
      <c r="Q2350" s="75">
        <v>45418.0</v>
      </c>
      <c r="R2350" s="76"/>
      <c r="S2350" s="75">
        <v>45423.0</v>
      </c>
      <c r="T2350" s="49"/>
    </row>
    <row r="2351">
      <c r="A2351" s="90">
        <v>155.0</v>
      </c>
      <c r="B2351" s="91" t="s">
        <v>29</v>
      </c>
      <c r="C2351" s="49" t="s">
        <v>2413</v>
      </c>
      <c r="D2351" s="91" t="s">
        <v>2665</v>
      </c>
      <c r="E2351" s="41" t="str">
        <f>IFERROR(__xludf.DUMMYFUNCTION("vlookup(D2351,IMPORTRANGE(""https://docs.google.com/spreadsheets/d/1swGwZOEqYlTEUCJLY-eeJM1911Kvaei5oySBIxdgtNo/edit?pli=1#gid=257618397"",""stock untanna!B:C""),2,false)"),"PENSIL 2B COWRY FANCY")</f>
        <v>PENSIL 2B COWRY FANCY</v>
      </c>
      <c r="F2351" s="49" t="s">
        <v>2665</v>
      </c>
      <c r="G2351" s="71" t="s">
        <v>2666</v>
      </c>
      <c r="H2351" s="41"/>
      <c r="I2351" s="42"/>
      <c r="J2351" s="43"/>
      <c r="K2351" s="72">
        <v>1.0</v>
      </c>
      <c r="L2351" s="53" t="s">
        <v>131</v>
      </c>
      <c r="M2351" s="73">
        <v>50000.0</v>
      </c>
      <c r="N2351" s="74"/>
      <c r="O2351" s="73">
        <v>50000.0</v>
      </c>
      <c r="P2351" s="46" t="str">
        <f t="shared" si="2"/>
        <v>Rp50,000-1 GRS-0.00%</v>
      </c>
      <c r="Q2351" s="75">
        <v>45418.0</v>
      </c>
      <c r="R2351" s="76"/>
      <c r="S2351" s="75">
        <v>45423.0</v>
      </c>
      <c r="T2351" s="49" t="s">
        <v>2667</v>
      </c>
    </row>
    <row r="2352">
      <c r="A2352" s="90">
        <v>155.0</v>
      </c>
      <c r="B2352" s="91" t="s">
        <v>29</v>
      </c>
      <c r="C2352" s="49" t="s">
        <v>2413</v>
      </c>
      <c r="D2352" s="91" t="s">
        <v>2665</v>
      </c>
      <c r="E2352" s="41" t="str">
        <f>IFERROR(__xludf.DUMMYFUNCTION("vlookup(D2352,IMPORTRANGE(""https://docs.google.com/spreadsheets/d/1swGwZOEqYlTEUCJLY-eeJM1911Kvaei5oySBIxdgtNo/edit?pli=1#gid=257618397"",""stock untanna!B:C""),2,false)"),"PENSIL 2B COWRY FANCY")</f>
        <v>PENSIL 2B COWRY FANCY</v>
      </c>
      <c r="F2352" s="49" t="s">
        <v>2665</v>
      </c>
      <c r="G2352" s="71" t="s">
        <v>2666</v>
      </c>
      <c r="H2352" s="41"/>
      <c r="I2352" s="42"/>
      <c r="J2352" s="43"/>
      <c r="K2352" s="72">
        <v>1.0</v>
      </c>
      <c r="L2352" s="53" t="s">
        <v>131</v>
      </c>
      <c r="M2352" s="73">
        <v>50000.0</v>
      </c>
      <c r="N2352" s="74"/>
      <c r="O2352" s="73">
        <v>50000.0</v>
      </c>
      <c r="P2352" s="46" t="str">
        <f t="shared" si="2"/>
        <v>Rp50,000-1 GRS-0.00%</v>
      </c>
      <c r="Q2352" s="75">
        <v>45418.0</v>
      </c>
      <c r="R2352" s="76"/>
      <c r="S2352" s="75">
        <v>45423.0</v>
      </c>
      <c r="T2352" s="49" t="s">
        <v>2668</v>
      </c>
    </row>
    <row r="2353">
      <c r="A2353" s="90">
        <v>155.0</v>
      </c>
      <c r="B2353" s="91" t="s">
        <v>29</v>
      </c>
      <c r="C2353" s="49" t="s">
        <v>2413</v>
      </c>
      <c r="D2353" s="91" t="s">
        <v>132</v>
      </c>
      <c r="E2353" s="41" t="str">
        <f>IFERROR(__xludf.DUMMYFUNCTION("vlookup(D2353,IMPORTRANGE(""https://docs.google.com/spreadsheets/d/1swGwZOEqYlTEUCJLY-eeJM1911Kvaei5oySBIxdgtNo/edit?pli=1#gid=257618397"",""stock untanna!B:C""),2,false)"),"PENSIL TF 488")</f>
        <v>PENSIL TF 488</v>
      </c>
      <c r="F2353" s="49" t="s">
        <v>132</v>
      </c>
      <c r="G2353" s="71" t="s">
        <v>133</v>
      </c>
      <c r="H2353" s="41"/>
      <c r="I2353" s="42"/>
      <c r="J2353" s="43"/>
      <c r="K2353" s="72">
        <v>1.0</v>
      </c>
      <c r="L2353" s="53" t="s">
        <v>131</v>
      </c>
      <c r="M2353" s="73">
        <v>100000.0</v>
      </c>
      <c r="N2353" s="74"/>
      <c r="O2353" s="73">
        <v>100000.0</v>
      </c>
      <c r="P2353" s="46" t="str">
        <f t="shared" si="2"/>
        <v>Rp100,000-1 GRS-0.00%</v>
      </c>
      <c r="Q2353" s="75">
        <v>45418.0</v>
      </c>
      <c r="R2353" s="76"/>
      <c r="S2353" s="75">
        <v>45423.0</v>
      </c>
      <c r="T2353" s="49"/>
    </row>
    <row r="2354">
      <c r="A2354" s="90">
        <v>155.0</v>
      </c>
      <c r="B2354" s="91" t="s">
        <v>29</v>
      </c>
      <c r="C2354" s="49" t="s">
        <v>2413</v>
      </c>
      <c r="D2354" s="91" t="s">
        <v>635</v>
      </c>
      <c r="E2354" s="41" t="str">
        <f>IFERROR(__xludf.DUMMYFUNCTION("vlookup(D2354,IMPORTRANGE(""https://docs.google.com/spreadsheets/d/1swGwZOEqYlTEUCJLY-eeJM1911Kvaei5oySBIxdgtNo/edit?pli=1#gid=257618397"",""stock untanna!B:C""),2,false)"),"BP GEL TIZO 31763F FANCY")</f>
        <v>BP GEL TIZO 31763F FANCY</v>
      </c>
      <c r="F2354" s="49" t="s">
        <v>635</v>
      </c>
      <c r="G2354" s="71" t="s">
        <v>636</v>
      </c>
      <c r="H2354" s="41"/>
      <c r="I2354" s="42"/>
      <c r="J2354" s="43"/>
      <c r="K2354" s="72">
        <v>12.0</v>
      </c>
      <c r="L2354" s="53" t="s">
        <v>62</v>
      </c>
      <c r="M2354" s="73">
        <v>18500.0</v>
      </c>
      <c r="N2354" s="74"/>
      <c r="O2354" s="73">
        <v>222000.0</v>
      </c>
      <c r="P2354" s="46" t="str">
        <f t="shared" si="2"/>
        <v>Rp18,500-12 LSN-0.00%</v>
      </c>
      <c r="Q2354" s="75">
        <v>45418.0</v>
      </c>
      <c r="R2354" s="76"/>
      <c r="S2354" s="75">
        <v>45423.0</v>
      </c>
      <c r="T2354" s="49"/>
    </row>
    <row r="2355">
      <c r="A2355" s="90">
        <v>155.0</v>
      </c>
      <c r="B2355" s="91" t="s">
        <v>29</v>
      </c>
      <c r="C2355" s="49" t="s">
        <v>2413</v>
      </c>
      <c r="D2355" s="91" t="s">
        <v>639</v>
      </c>
      <c r="E2355" s="41" t="str">
        <f>IFERROR(__xludf.DUMMYFUNCTION("vlookup(D2355,IMPORTRANGE(""https://docs.google.com/spreadsheets/d/1swGwZOEqYlTEUCJLY-eeJM1911Kvaei5oySBIxdgtNo/edit?pli=1#gid=257618397"",""stock untanna!B:C""),2,false)"),"BP GEL TIZO 31035F FANCY")</f>
        <v>BP GEL TIZO 31035F FANCY</v>
      </c>
      <c r="F2355" s="49" t="s">
        <v>639</v>
      </c>
      <c r="G2355" s="71" t="s">
        <v>640</v>
      </c>
      <c r="H2355" s="41"/>
      <c r="I2355" s="42"/>
      <c r="J2355" s="43"/>
      <c r="K2355" s="72">
        <v>10.0</v>
      </c>
      <c r="L2355" s="53" t="s">
        <v>62</v>
      </c>
      <c r="M2355" s="73">
        <v>18500.0</v>
      </c>
      <c r="N2355" s="74"/>
      <c r="O2355" s="73">
        <v>185000.0</v>
      </c>
      <c r="P2355" s="46" t="str">
        <f t="shared" si="2"/>
        <v>Rp18,500-10 LSN-0.00%</v>
      </c>
      <c r="Q2355" s="75">
        <v>45418.0</v>
      </c>
      <c r="R2355" s="76"/>
      <c r="S2355" s="75">
        <v>45423.0</v>
      </c>
      <c r="T2355" s="49"/>
    </row>
    <row r="2356">
      <c r="A2356" s="90">
        <v>155.0</v>
      </c>
      <c r="B2356" s="91" t="s">
        <v>29</v>
      </c>
      <c r="C2356" s="49" t="s">
        <v>2413</v>
      </c>
      <c r="D2356" s="91" t="s">
        <v>2251</v>
      </c>
      <c r="E2356" s="41" t="str">
        <f>IFERROR(__xludf.DUMMYFUNCTION("vlookup(D2356,IMPORTRANGE(""https://docs.google.com/spreadsheets/d/1swGwZOEqYlTEUCJLY-eeJM1911Kvaei5oySBIxdgtNo/edit?pli=1#gid=257618397"",""stock untanna!B:C""),2,false)"),"BP TIZO TG 30802F S3 FANCY")</f>
        <v>BP TIZO TG 30802F S3 FANCY</v>
      </c>
      <c r="F2356" s="49" t="s">
        <v>2251</v>
      </c>
      <c r="G2356" s="71" t="s">
        <v>2252</v>
      </c>
      <c r="H2356" s="41"/>
      <c r="I2356" s="42"/>
      <c r="J2356" s="43"/>
      <c r="K2356" s="72">
        <v>4.0</v>
      </c>
      <c r="L2356" s="53" t="s">
        <v>62</v>
      </c>
      <c r="M2356" s="73">
        <v>18500.0</v>
      </c>
      <c r="N2356" s="74"/>
      <c r="O2356" s="73">
        <v>74000.0</v>
      </c>
      <c r="P2356" s="46" t="str">
        <f t="shared" si="2"/>
        <v>Rp18,500-4 LSN-0.00%</v>
      </c>
      <c r="Q2356" s="75">
        <v>45418.0</v>
      </c>
      <c r="R2356" s="76"/>
      <c r="S2356" s="75">
        <v>45423.0</v>
      </c>
      <c r="T2356" s="49"/>
    </row>
    <row r="2357">
      <c r="A2357" s="90">
        <v>155.0</v>
      </c>
      <c r="B2357" s="91" t="s">
        <v>29</v>
      </c>
      <c r="C2357" s="49" t="s">
        <v>2413</v>
      </c>
      <c r="D2357" s="91" t="s">
        <v>2253</v>
      </c>
      <c r="E2357" s="41" t="str">
        <f>IFERROR(__xludf.DUMMYFUNCTION("vlookup(D2357,IMPORTRANGE(""https://docs.google.com/spreadsheets/d/1swGwZOEqYlTEUCJLY-eeJM1911Kvaei5oySBIxdgtNo/edit?pli=1#gid=257618397"",""stock untanna!B:C""),2,false)"),"BP TIZO TG 31475F FANCY")</f>
        <v>BP TIZO TG 31475F FANCY</v>
      </c>
      <c r="F2357" s="49" t="s">
        <v>2253</v>
      </c>
      <c r="G2357" s="71" t="s">
        <v>2254</v>
      </c>
      <c r="H2357" s="41"/>
      <c r="I2357" s="42"/>
      <c r="J2357" s="43"/>
      <c r="K2357" s="72">
        <v>10.0</v>
      </c>
      <c r="L2357" s="53" t="s">
        <v>62</v>
      </c>
      <c r="M2357" s="73">
        <v>18500.0</v>
      </c>
      <c r="N2357" s="74"/>
      <c r="O2357" s="73">
        <v>185000.0</v>
      </c>
      <c r="P2357" s="46" t="str">
        <f t="shared" si="2"/>
        <v>Rp18,500-10 LSN-0.00%</v>
      </c>
      <c r="Q2357" s="75">
        <v>45418.0</v>
      </c>
      <c r="R2357" s="76"/>
      <c r="S2357" s="75">
        <v>45423.0</v>
      </c>
      <c r="T2357" s="49"/>
    </row>
    <row r="2358">
      <c r="A2358" s="90">
        <v>155.0</v>
      </c>
      <c r="B2358" s="91" t="s">
        <v>29</v>
      </c>
      <c r="C2358" s="49" t="s">
        <v>2413</v>
      </c>
      <c r="D2358" s="91" t="s">
        <v>1333</v>
      </c>
      <c r="E2358" s="41" t="str">
        <f>IFERROR(__xludf.DUMMYFUNCTION("vlookup(D2358,IMPORTRANGE(""https://docs.google.com/spreadsheets/d/1swGwZOEqYlTEUCJLY-eeJM1911Kvaei5oySBIxdgtNo/edit?pli=1#gid=257618397"",""stock untanna!B:C""),2,false)"),"PIANIKA LOVELY BIRU")</f>
        <v>PIANIKA LOVELY BIRU</v>
      </c>
      <c r="F2358" s="49" t="s">
        <v>1333</v>
      </c>
      <c r="G2358" s="71" t="s">
        <v>1334</v>
      </c>
      <c r="H2358" s="41"/>
      <c r="I2358" s="42"/>
      <c r="J2358" s="43"/>
      <c r="K2358" s="72">
        <v>12.0</v>
      </c>
      <c r="L2358" s="53" t="s">
        <v>69</v>
      </c>
      <c r="M2358" s="73">
        <v>90000.0</v>
      </c>
      <c r="N2358" s="74"/>
      <c r="O2358" s="73">
        <v>1080000.0</v>
      </c>
      <c r="P2358" s="46" t="str">
        <f t="shared" si="2"/>
        <v>Rp90,000-12 PCS-0.00%</v>
      </c>
      <c r="Q2358" s="75">
        <v>45418.0</v>
      </c>
      <c r="R2358" s="76"/>
      <c r="S2358" s="75">
        <v>45423.0</v>
      </c>
      <c r="T2358" s="49"/>
    </row>
    <row r="2359">
      <c r="A2359" s="90">
        <v>155.0</v>
      </c>
      <c r="B2359" s="91" t="s">
        <v>29</v>
      </c>
      <c r="C2359" s="49" t="s">
        <v>2413</v>
      </c>
      <c r="D2359" s="91" t="s">
        <v>2604</v>
      </c>
      <c r="E2359" s="41" t="str">
        <f>IFERROR(__xludf.DUMMYFUNCTION("vlookup(D2359,IMPORTRANGE(""https://docs.google.com/spreadsheets/d/1swGwZOEqYlTEUCJLY-eeJM1911Kvaei5oySBIxdgtNo/edit?pli=1#gid=257618397"",""stock untanna!B:C""),2,false)"),"PENSIL CASE A-6500")</f>
        <v>PENSIL CASE A-6500</v>
      </c>
      <c r="F2359" s="49" t="s">
        <v>2604</v>
      </c>
      <c r="G2359" s="71" t="s">
        <v>2605</v>
      </c>
      <c r="H2359" s="41"/>
      <c r="I2359" s="42"/>
      <c r="J2359" s="43"/>
      <c r="K2359" s="72">
        <v>12.0</v>
      </c>
      <c r="L2359" s="53" t="s">
        <v>69</v>
      </c>
      <c r="M2359" s="73">
        <v>29167.0</v>
      </c>
      <c r="N2359" s="74"/>
      <c r="O2359" s="73">
        <v>350004.0</v>
      </c>
      <c r="P2359" s="46" t="str">
        <f t="shared" si="2"/>
        <v>Rp29,167-12 PCS-0.00%</v>
      </c>
      <c r="Q2359" s="75">
        <v>45418.0</v>
      </c>
      <c r="R2359" s="76"/>
      <c r="S2359" s="75">
        <v>45423.0</v>
      </c>
      <c r="T2359" s="49"/>
    </row>
    <row r="2360">
      <c r="A2360" s="90">
        <v>155.0</v>
      </c>
      <c r="B2360" s="91" t="s">
        <v>29</v>
      </c>
      <c r="C2360" s="49" t="s">
        <v>2413</v>
      </c>
      <c r="D2360" s="91" t="s">
        <v>1315</v>
      </c>
      <c r="E2360" s="41" t="str">
        <f>IFERROR(__xludf.DUMMYFUNCTION("vlookup(D2360,IMPORTRANGE(""https://docs.google.com/spreadsheets/d/1swGwZOEqYlTEUCJLY-eeJM1911Kvaei5oySBIxdgtNo/edit?pli=1#gid=257618397"",""stock untanna!B:C""),2,false)"),"PENSIL CASE 168-18")</f>
        <v>PENSIL CASE 168-18</v>
      </c>
      <c r="F2360" s="49" t="s">
        <v>1315</v>
      </c>
      <c r="G2360" s="71" t="s">
        <v>1316</v>
      </c>
      <c r="H2360" s="41"/>
      <c r="I2360" s="42"/>
      <c r="J2360" s="43"/>
      <c r="K2360" s="72">
        <v>12.0</v>
      </c>
      <c r="L2360" s="53" t="s">
        <v>69</v>
      </c>
      <c r="M2360" s="73">
        <v>20833.0</v>
      </c>
      <c r="N2360" s="74"/>
      <c r="O2360" s="73">
        <v>249996.0</v>
      </c>
      <c r="P2360" s="46" t="str">
        <f t="shared" si="2"/>
        <v>Rp20,833-12 PCS-0.00%</v>
      </c>
      <c r="Q2360" s="75">
        <v>45418.0</v>
      </c>
      <c r="R2360" s="76"/>
      <c r="S2360" s="75">
        <v>45423.0</v>
      </c>
      <c r="T2360" s="49"/>
    </row>
    <row r="2361">
      <c r="A2361" s="90">
        <v>155.0</v>
      </c>
      <c r="B2361" s="91" t="s">
        <v>29</v>
      </c>
      <c r="C2361" s="49" t="s">
        <v>2413</v>
      </c>
      <c r="D2361" s="91" t="s">
        <v>2669</v>
      </c>
      <c r="E2361" s="41" t="str">
        <f>IFERROR(__xludf.DUMMYFUNCTION("vlookup(D2361,IMPORTRANGE(""https://docs.google.com/spreadsheets/d/1swGwZOEqYlTEUCJLY-eeJM1911Kvaei5oySBIxdgtNo/edit?pli=1#gid=257618397"",""stock untanna!B:C""),2,false)"),"PENSIL CASE 168-20")</f>
        <v>PENSIL CASE 168-20</v>
      </c>
      <c r="F2361" s="49" t="s">
        <v>2669</v>
      </c>
      <c r="G2361" s="71" t="s">
        <v>2670</v>
      </c>
      <c r="H2361" s="41"/>
      <c r="I2361" s="42"/>
      <c r="J2361" s="43"/>
      <c r="K2361" s="72">
        <v>12.0</v>
      </c>
      <c r="L2361" s="53" t="s">
        <v>69</v>
      </c>
      <c r="M2361" s="73">
        <v>18750.0</v>
      </c>
      <c r="N2361" s="74"/>
      <c r="O2361" s="73">
        <v>225000.0</v>
      </c>
      <c r="P2361" s="46" t="str">
        <f t="shared" si="2"/>
        <v>Rp18,750-12 PCS-0.00%</v>
      </c>
      <c r="Q2361" s="75">
        <v>45418.0</v>
      </c>
      <c r="R2361" s="76"/>
      <c r="S2361" s="75">
        <v>45423.0</v>
      </c>
      <c r="T2361" s="49"/>
    </row>
    <row r="2362">
      <c r="A2362" s="90">
        <v>155.0</v>
      </c>
      <c r="B2362" s="91" t="s">
        <v>29</v>
      </c>
      <c r="C2362" s="49" t="s">
        <v>2413</v>
      </c>
      <c r="D2362" s="91" t="s">
        <v>108</v>
      </c>
      <c r="E2362" s="41" t="str">
        <f>IFERROR(__xludf.DUMMYFUNCTION("vlookup(D2362,IMPORTRANGE(""https://docs.google.com/spreadsheets/d/1swGwZOEqYlTEUCJLY-eeJM1911Kvaei5oySBIxdgtNo/edit?pli=1#gid=257618397"",""stock untanna!B:C""),2,false)"),"PENCIL CASE KALENG BH-20232")</f>
        <v>PENCIL CASE KALENG BH-20232</v>
      </c>
      <c r="F2362" s="49" t="s">
        <v>108</v>
      </c>
      <c r="G2362" s="71" t="s">
        <v>109</v>
      </c>
      <c r="H2362" s="41"/>
      <c r="I2362" s="42"/>
      <c r="J2362" s="43"/>
      <c r="K2362" s="72">
        <v>12.0</v>
      </c>
      <c r="L2362" s="53" t="s">
        <v>69</v>
      </c>
      <c r="M2362" s="73">
        <v>9167.0</v>
      </c>
      <c r="N2362" s="74"/>
      <c r="O2362" s="73">
        <v>110004.0</v>
      </c>
      <c r="P2362" s="46" t="str">
        <f t="shared" si="2"/>
        <v>Rp9,167-12 PCS-0.00%</v>
      </c>
      <c r="Q2362" s="75">
        <v>45418.0</v>
      </c>
      <c r="R2362" s="76"/>
      <c r="S2362" s="75">
        <v>45423.0</v>
      </c>
      <c r="T2362" s="49"/>
    </row>
    <row r="2363">
      <c r="A2363" s="90">
        <v>155.0</v>
      </c>
      <c r="B2363" s="91" t="s">
        <v>29</v>
      </c>
      <c r="C2363" s="49" t="s">
        <v>2413</v>
      </c>
      <c r="D2363" s="91"/>
      <c r="E2363" s="41" t="s">
        <v>2671</v>
      </c>
      <c r="F2363" s="49"/>
      <c r="G2363" s="71" t="s">
        <v>2671</v>
      </c>
      <c r="H2363" s="41"/>
      <c r="I2363" s="42"/>
      <c r="J2363" s="43"/>
      <c r="K2363" s="72">
        <v>1.0</v>
      </c>
      <c r="L2363" s="53" t="s">
        <v>62</v>
      </c>
      <c r="M2363" s="73">
        <v>150000.0</v>
      </c>
      <c r="N2363" s="74"/>
      <c r="O2363" s="73">
        <v>150000.0</v>
      </c>
      <c r="P2363" s="46" t="str">
        <f t="shared" si="2"/>
        <v>Rp150,000-1 LSN-0.00%</v>
      </c>
      <c r="Q2363" s="75">
        <v>45418.0</v>
      </c>
      <c r="R2363" s="76"/>
      <c r="S2363" s="75">
        <v>45423.0</v>
      </c>
      <c r="T2363" s="49"/>
    </row>
    <row r="2364">
      <c r="A2364" s="90">
        <v>155.0</v>
      </c>
      <c r="B2364" s="91" t="s">
        <v>29</v>
      </c>
      <c r="C2364" s="49" t="s">
        <v>2413</v>
      </c>
      <c r="D2364" s="91" t="s">
        <v>560</v>
      </c>
      <c r="E2364" s="41" t="str">
        <f>IFERROR(__xludf.DUMMYFUNCTION("vlookup(D2364,IMPORTRANGE(""https://docs.google.com/spreadsheets/d/1swGwZOEqYlTEUCJLY-eeJM1911Kvaei5oySBIxdgtNo/edit?pli=1#gid=257618397"",""stock untanna!B:C""),2,false)"),"PENSIL CASE 5872")</f>
        <v>PENSIL CASE 5872</v>
      </c>
      <c r="F2364" s="49" t="s">
        <v>560</v>
      </c>
      <c r="G2364" s="71" t="s">
        <v>561</v>
      </c>
      <c r="H2364" s="41"/>
      <c r="I2364" s="42"/>
      <c r="J2364" s="43"/>
      <c r="K2364" s="72">
        <v>12.0</v>
      </c>
      <c r="L2364" s="53" t="s">
        <v>69</v>
      </c>
      <c r="M2364" s="73">
        <v>27083.0</v>
      </c>
      <c r="N2364" s="74"/>
      <c r="O2364" s="73">
        <v>324996.0</v>
      </c>
      <c r="P2364" s="46" t="str">
        <f t="shared" si="2"/>
        <v>Rp27,083-12 PCS-0.00%</v>
      </c>
      <c r="Q2364" s="75">
        <v>45418.0</v>
      </c>
      <c r="R2364" s="76"/>
      <c r="S2364" s="75">
        <v>45423.0</v>
      </c>
      <c r="T2364" s="49"/>
    </row>
    <row r="2365">
      <c r="A2365" s="90">
        <v>155.0</v>
      </c>
      <c r="B2365" s="91" t="s">
        <v>29</v>
      </c>
      <c r="C2365" s="49" t="s">
        <v>2413</v>
      </c>
      <c r="D2365" s="91" t="s">
        <v>1107</v>
      </c>
      <c r="E2365" s="41" t="str">
        <f>IFERROR(__xludf.DUMMYFUNCTION("vlookup(D2365,IMPORTRANGE(""https://docs.google.com/spreadsheets/d/1swGwZOEqYlTEUCJLY-eeJM1911Kvaei5oySBIxdgtNo/edit?pli=1#gid=257618397"",""stock untanna!B:C""),2,false)"),"PENCIL CASE 5866")</f>
        <v>PENCIL CASE 5866</v>
      </c>
      <c r="F2365" s="49" t="s">
        <v>1107</v>
      </c>
      <c r="G2365" s="71" t="s">
        <v>1108</v>
      </c>
      <c r="H2365" s="41"/>
      <c r="I2365" s="42"/>
      <c r="J2365" s="43"/>
      <c r="K2365" s="72">
        <v>12.0</v>
      </c>
      <c r="L2365" s="53" t="s">
        <v>69</v>
      </c>
      <c r="M2365" s="73">
        <v>25000.0</v>
      </c>
      <c r="N2365" s="74"/>
      <c r="O2365" s="73">
        <v>300000.0</v>
      </c>
      <c r="P2365" s="46" t="str">
        <f t="shared" si="2"/>
        <v>Rp25,000-12 PCS-0.00%</v>
      </c>
      <c r="Q2365" s="75">
        <v>45418.0</v>
      </c>
      <c r="R2365" s="76"/>
      <c r="S2365" s="75">
        <v>45423.0</v>
      </c>
      <c r="T2365" s="49"/>
    </row>
    <row r="2366">
      <c r="A2366" s="90">
        <v>155.0</v>
      </c>
      <c r="B2366" s="91" t="s">
        <v>29</v>
      </c>
      <c r="C2366" s="49" t="s">
        <v>2413</v>
      </c>
      <c r="D2366" s="91" t="s">
        <v>2672</v>
      </c>
      <c r="E2366" s="41" t="str">
        <f>IFERROR(__xludf.DUMMYFUNCTION("vlookup(D2366,IMPORTRANGE(""https://docs.google.com/spreadsheets/d/1swGwZOEqYlTEUCJLY-eeJM1911Kvaei5oySBIxdgtNo/edit?pli=1#gid=257618397"",""stock untanna!B:C""),2,false)"),"PENSIL CASE 5850")</f>
        <v>PENSIL CASE 5850</v>
      </c>
      <c r="F2366" s="49" t="s">
        <v>2672</v>
      </c>
      <c r="G2366" s="71" t="s">
        <v>2673</v>
      </c>
      <c r="H2366" s="41"/>
      <c r="I2366" s="42"/>
      <c r="J2366" s="43"/>
      <c r="K2366" s="72">
        <v>12.0</v>
      </c>
      <c r="L2366" s="53" t="s">
        <v>69</v>
      </c>
      <c r="M2366" s="73">
        <v>25000.0</v>
      </c>
      <c r="N2366" s="74"/>
      <c r="O2366" s="73">
        <v>300000.0</v>
      </c>
      <c r="P2366" s="46" t="str">
        <f t="shared" si="2"/>
        <v>Rp25,000-12 PCS-0.00%</v>
      </c>
      <c r="Q2366" s="75">
        <v>45418.0</v>
      </c>
      <c r="R2366" s="76"/>
      <c r="S2366" s="75">
        <v>45423.0</v>
      </c>
      <c r="T2366" s="49"/>
    </row>
    <row r="2367">
      <c r="A2367" s="90">
        <v>156.0</v>
      </c>
      <c r="B2367" s="91" t="s">
        <v>29</v>
      </c>
      <c r="C2367" s="49" t="s">
        <v>2413</v>
      </c>
      <c r="D2367" s="91" t="s">
        <v>18</v>
      </c>
      <c r="E2367" s="41" t="str">
        <f>IFERROR(__xludf.DUMMYFUNCTION("vlookup(D2367,IMPORTRANGE(""https://docs.google.com/spreadsheets/d/1swGwZOEqYlTEUCJLY-eeJM1911Kvaei5oySBIxdgtNo/edit?pli=1#gid=257618397"",""stock untanna!B:C""),2,false)"),"PENCIL CASE 5815")</f>
        <v>PENCIL CASE 5815</v>
      </c>
      <c r="F2367" s="49" t="s">
        <v>18</v>
      </c>
      <c r="G2367" s="71" t="s">
        <v>2674</v>
      </c>
      <c r="H2367" s="41"/>
      <c r="I2367" s="42"/>
      <c r="J2367" s="43"/>
      <c r="K2367" s="72">
        <v>12.0</v>
      </c>
      <c r="L2367" s="53" t="s">
        <v>69</v>
      </c>
      <c r="M2367" s="73">
        <v>25000.0</v>
      </c>
      <c r="N2367" s="74"/>
      <c r="O2367" s="73">
        <v>300000.0</v>
      </c>
      <c r="P2367" s="46" t="str">
        <f t="shared" si="2"/>
        <v>Rp25,000-12 PCS-0.00%</v>
      </c>
      <c r="Q2367" s="75">
        <v>45418.0</v>
      </c>
      <c r="R2367" s="76"/>
      <c r="S2367" s="75">
        <v>45423.0</v>
      </c>
      <c r="T2367" s="49"/>
    </row>
    <row r="2368">
      <c r="A2368" s="90">
        <v>156.0</v>
      </c>
      <c r="B2368" s="91" t="s">
        <v>29</v>
      </c>
      <c r="C2368" s="49" t="s">
        <v>2413</v>
      </c>
      <c r="D2368" s="91" t="s">
        <v>1113</v>
      </c>
      <c r="E2368" s="41" t="str">
        <f>IFERROR(__xludf.DUMMYFUNCTION("vlookup(D2368,IMPORTRANGE(""https://docs.google.com/spreadsheets/d/1swGwZOEqYlTEUCJLY-eeJM1911Kvaei5oySBIxdgtNo/edit?pli=1#gid=257618397"",""stock untanna!B:C""),2,false)"),"PENCIL CASE 5864")</f>
        <v>PENCIL CASE 5864</v>
      </c>
      <c r="F2368" s="49" t="s">
        <v>1113</v>
      </c>
      <c r="G2368" s="71" t="s">
        <v>1114</v>
      </c>
      <c r="H2368" s="41"/>
      <c r="I2368" s="42"/>
      <c r="J2368" s="43"/>
      <c r="K2368" s="72">
        <v>12.0</v>
      </c>
      <c r="L2368" s="53" t="s">
        <v>69</v>
      </c>
      <c r="M2368" s="73">
        <v>25000.0</v>
      </c>
      <c r="N2368" s="74"/>
      <c r="O2368" s="73">
        <v>300000.0</v>
      </c>
      <c r="P2368" s="46" t="str">
        <f t="shared" si="2"/>
        <v>Rp25,000-12 PCS-0.00%</v>
      </c>
      <c r="Q2368" s="75">
        <v>45418.0</v>
      </c>
      <c r="R2368" s="76"/>
      <c r="S2368" s="75">
        <v>45423.0</v>
      </c>
      <c r="T2368" s="49"/>
    </row>
    <row r="2369">
      <c r="A2369" s="90">
        <v>156.0</v>
      </c>
      <c r="B2369" s="91" t="s">
        <v>29</v>
      </c>
      <c r="C2369" s="49" t="s">
        <v>2413</v>
      </c>
      <c r="D2369" s="91"/>
      <c r="E2369" s="41" t="s">
        <v>2675</v>
      </c>
      <c r="F2369" s="49"/>
      <c r="G2369" s="71" t="s">
        <v>2675</v>
      </c>
      <c r="H2369" s="41"/>
      <c r="I2369" s="42"/>
      <c r="J2369" s="43"/>
      <c r="K2369" s="72">
        <v>1.0</v>
      </c>
      <c r="L2369" s="53" t="s">
        <v>62</v>
      </c>
      <c r="M2369" s="73">
        <v>150000.0</v>
      </c>
      <c r="N2369" s="74"/>
      <c r="O2369" s="73">
        <v>150000.0</v>
      </c>
      <c r="P2369" s="46" t="str">
        <f t="shared" si="2"/>
        <v>Rp150,000-1 LSN-0.00%</v>
      </c>
      <c r="Q2369" s="75">
        <v>45418.0</v>
      </c>
      <c r="R2369" s="76"/>
      <c r="S2369" s="75">
        <v>45423.0</v>
      </c>
      <c r="T2369" s="49"/>
    </row>
    <row r="2370">
      <c r="A2370" s="90">
        <v>156.0</v>
      </c>
      <c r="B2370" s="91" t="s">
        <v>29</v>
      </c>
      <c r="C2370" s="49" t="s">
        <v>2413</v>
      </c>
      <c r="D2370" s="91" t="s">
        <v>1155</v>
      </c>
      <c r="E2370" s="41" t="str">
        <f>IFERROR(__xludf.DUMMYFUNCTION("vlookup(D2370,IMPORTRANGE(""https://docs.google.com/spreadsheets/d/1swGwZOEqYlTEUCJLY-eeJM1911Kvaei5oySBIxdgtNo/edit?pli=1#gid=257618397"",""stock untanna!B:C""),2,false)"),"PENSIL CASE PC-619-3 MOBIL + KODE")</f>
        <v>PENSIL CASE PC-619-3 MOBIL + KODE</v>
      </c>
      <c r="F2370" s="49" t="s">
        <v>1155</v>
      </c>
      <c r="G2370" s="71" t="s">
        <v>1156</v>
      </c>
      <c r="H2370" s="41"/>
      <c r="I2370" s="42"/>
      <c r="J2370" s="43"/>
      <c r="K2370" s="72">
        <v>12.0</v>
      </c>
      <c r="L2370" s="53" t="s">
        <v>69</v>
      </c>
      <c r="M2370" s="73">
        <v>16667.0</v>
      </c>
      <c r="N2370" s="74"/>
      <c r="O2370" s="73">
        <v>200004.0</v>
      </c>
      <c r="P2370" s="46" t="str">
        <f t="shared" si="2"/>
        <v>Rp16,667-12 PCS-0.00%</v>
      </c>
      <c r="Q2370" s="75">
        <v>45418.0</v>
      </c>
      <c r="R2370" s="76"/>
      <c r="S2370" s="75">
        <v>45423.0</v>
      </c>
      <c r="T2370" s="49"/>
    </row>
    <row r="2371">
      <c r="A2371" s="90">
        <v>156.0</v>
      </c>
      <c r="B2371" s="91" t="s">
        <v>29</v>
      </c>
      <c r="C2371" s="49" t="s">
        <v>2413</v>
      </c>
      <c r="D2371" s="91" t="s">
        <v>2676</v>
      </c>
      <c r="E2371" s="41" t="str">
        <f>IFERROR(__xludf.DUMMYFUNCTION("vlookup(D2371,IMPORTRANGE(""https://docs.google.com/spreadsheets/d/1swGwZOEqYlTEUCJLY-eeJM1911Kvaei5oySBIxdgtNo/edit?pli=1#gid=257618397"",""stock untanna!B:C""),2,false)"),"PENSIL CASE PC-613-7 KALENG")</f>
        <v>PENSIL CASE PC-613-7 KALENG</v>
      </c>
      <c r="F2371" s="49" t="s">
        <v>2676</v>
      </c>
      <c r="G2371" s="71" t="s">
        <v>2677</v>
      </c>
      <c r="H2371" s="41"/>
      <c r="I2371" s="42"/>
      <c r="J2371" s="43"/>
      <c r="K2371" s="72">
        <v>12.0</v>
      </c>
      <c r="L2371" s="53" t="s">
        <v>69</v>
      </c>
      <c r="M2371" s="73">
        <v>9167.0</v>
      </c>
      <c r="N2371" s="74"/>
      <c r="O2371" s="73">
        <v>110004.0</v>
      </c>
      <c r="P2371" s="46" t="str">
        <f t="shared" si="2"/>
        <v>Rp9,167-12 PCS-0.00%</v>
      </c>
      <c r="Q2371" s="75">
        <v>45418.0</v>
      </c>
      <c r="R2371" s="76"/>
      <c r="S2371" s="75">
        <v>45423.0</v>
      </c>
      <c r="T2371" s="49"/>
    </row>
    <row r="2372">
      <c r="A2372" s="90">
        <v>156.0</v>
      </c>
      <c r="B2372" s="91" t="s">
        <v>29</v>
      </c>
      <c r="C2372" s="49" t="s">
        <v>2413</v>
      </c>
      <c r="D2372" s="91" t="s">
        <v>2356</v>
      </c>
      <c r="E2372" s="41" t="str">
        <f>IFERROR(__xludf.DUMMYFUNCTION("vlookup(D2372,IMPORTRANGE(""https://docs.google.com/spreadsheets/d/1swGwZOEqYlTEUCJLY-eeJM1911Kvaei5oySBIxdgtNo/edit?pli=1#gid=257618397"",""stock untanna!B:C""),2,false)"),"PENSIL CASE AD-062")</f>
        <v>PENSIL CASE AD-062</v>
      </c>
      <c r="F2372" s="49" t="s">
        <v>2356</v>
      </c>
      <c r="G2372" s="71" t="s">
        <v>2357</v>
      </c>
      <c r="H2372" s="41"/>
      <c r="I2372" s="42"/>
      <c r="J2372" s="43"/>
      <c r="K2372" s="72">
        <v>12.0</v>
      </c>
      <c r="L2372" s="53" t="s">
        <v>69</v>
      </c>
      <c r="M2372" s="73">
        <v>16667.0</v>
      </c>
      <c r="N2372" s="74"/>
      <c r="O2372" s="73">
        <v>200004.0</v>
      </c>
      <c r="P2372" s="46" t="str">
        <f t="shared" si="2"/>
        <v>Rp16,667-12 PCS-0.00%</v>
      </c>
      <c r="Q2372" s="75">
        <v>45418.0</v>
      </c>
      <c r="R2372" s="76"/>
      <c r="S2372" s="75">
        <v>45423.0</v>
      </c>
      <c r="T2372" s="49"/>
    </row>
    <row r="2373">
      <c r="A2373" s="90">
        <v>156.0</v>
      </c>
      <c r="B2373" s="91" t="s">
        <v>29</v>
      </c>
      <c r="C2373" s="49" t="s">
        <v>2413</v>
      </c>
      <c r="D2373" s="91" t="s">
        <v>1394</v>
      </c>
      <c r="E2373" s="41" t="str">
        <f>IFERROR(__xludf.DUMMYFUNCTION("vlookup(D2373,IMPORTRANGE(""https://docs.google.com/spreadsheets/d/1swGwZOEqYlTEUCJLY-eeJM1911Kvaei5oySBIxdgtNo/edit?pli=1#gid=257618397"",""stock untanna!B:C""),2,false)"),"PENCIL CASE H-9905 KLG")</f>
        <v>PENCIL CASE H-9905 KLG</v>
      </c>
      <c r="F2373" s="49" t="s">
        <v>1394</v>
      </c>
      <c r="G2373" s="71" t="s">
        <v>1395</v>
      </c>
      <c r="H2373" s="41"/>
      <c r="I2373" s="42"/>
      <c r="J2373" s="43"/>
      <c r="K2373" s="72">
        <v>12.0</v>
      </c>
      <c r="L2373" s="53" t="s">
        <v>69</v>
      </c>
      <c r="M2373" s="73">
        <v>10500.0</v>
      </c>
      <c r="N2373" s="74"/>
      <c r="O2373" s="73">
        <v>126000.0</v>
      </c>
      <c r="P2373" s="46" t="str">
        <f t="shared" si="2"/>
        <v>Rp10,500-12 PCS-0.00%</v>
      </c>
      <c r="Q2373" s="75">
        <v>45418.0</v>
      </c>
      <c r="R2373" s="76"/>
      <c r="S2373" s="75">
        <v>45423.0</v>
      </c>
      <c r="T2373" s="49"/>
    </row>
    <row r="2374">
      <c r="A2374" s="90">
        <v>156.0</v>
      </c>
      <c r="B2374" s="91" t="s">
        <v>29</v>
      </c>
      <c r="C2374" s="49" t="s">
        <v>2413</v>
      </c>
      <c r="D2374" s="77" t="s">
        <v>1192</v>
      </c>
      <c r="E2374" s="41" t="str">
        <f>IFERROR(__xludf.DUMMYFUNCTION("vlookup(D2374,IMPORTRANGE(""https://docs.google.com/spreadsheets/d/1swGwZOEqYlTEUCJLY-eeJM1911Kvaei5oySBIxdgtNo/edit?pli=1#gid=257618397"",""stock untanna!B:C""),2,false)"),"ISI GEL DTIAN DT-090 (20PCS TABUNG)")</f>
        <v>ISI GEL DTIAN DT-090 (20PCS TABUNG)</v>
      </c>
      <c r="F2374" s="49" t="s">
        <v>1193</v>
      </c>
      <c r="G2374" s="71" t="s">
        <v>1194</v>
      </c>
      <c r="H2374" s="41"/>
      <c r="I2374" s="42"/>
      <c r="J2374" s="43"/>
      <c r="K2374" s="72">
        <v>12.0</v>
      </c>
      <c r="L2374" s="53" t="s">
        <v>88</v>
      </c>
      <c r="M2374" s="73">
        <v>216000.0</v>
      </c>
      <c r="N2374" s="74"/>
      <c r="O2374" s="73">
        <v>2592000.0</v>
      </c>
      <c r="P2374" s="46" t="str">
        <f t="shared" si="2"/>
        <v>Rp216,000-12 BOX-0.00%</v>
      </c>
      <c r="Q2374" s="75">
        <v>45418.0</v>
      </c>
      <c r="R2374" s="76"/>
      <c r="S2374" s="75">
        <v>45423.0</v>
      </c>
      <c r="T2374" s="49"/>
    </row>
    <row r="2375">
      <c r="A2375" s="90">
        <v>156.0</v>
      </c>
      <c r="B2375" s="91" t="s">
        <v>29</v>
      </c>
      <c r="C2375" s="49" t="s">
        <v>2413</v>
      </c>
      <c r="D2375" s="77" t="s">
        <v>2678</v>
      </c>
      <c r="E2375" s="41" t="str">
        <f>IFERROR(__xludf.DUMMYFUNCTION("IFNA(vlookup(D2375,IMPORTRANGE(""https://docs.google.com/spreadsheets/d/1swGwZOEqYlTEUCJLY-eeJM1911Kvaei5oySBIxdgtNo/edit?pli=1#gid=257618397"",""stock untanna!B:C""),2,false),V:V)"),"BP ZHIXIN ZH 102")</f>
        <v>BP ZHIXIN ZH 102</v>
      </c>
      <c r="F2375" s="49"/>
      <c r="G2375" s="71" t="s">
        <v>2679</v>
      </c>
      <c r="H2375" s="41"/>
      <c r="I2375" s="42"/>
      <c r="J2375" s="85" t="s">
        <v>1319</v>
      </c>
      <c r="K2375" s="72">
        <v>12.0</v>
      </c>
      <c r="L2375" s="53" t="s">
        <v>62</v>
      </c>
      <c r="M2375" s="73">
        <v>18500.0</v>
      </c>
      <c r="N2375" s="74"/>
      <c r="O2375" s="73">
        <v>222000.0</v>
      </c>
      <c r="P2375" s="46" t="str">
        <f t="shared" si="2"/>
        <v>Rp18,500-12 LSN-0.00%</v>
      </c>
      <c r="Q2375" s="75">
        <v>45418.0</v>
      </c>
      <c r="R2375" s="76"/>
      <c r="S2375" s="75">
        <v>45423.0</v>
      </c>
      <c r="T2375" s="80" t="s">
        <v>280</v>
      </c>
    </row>
    <row r="2376">
      <c r="A2376" s="90">
        <v>107.0</v>
      </c>
      <c r="B2376" s="91" t="s">
        <v>65</v>
      </c>
      <c r="C2376" s="49" t="s">
        <v>2680</v>
      </c>
      <c r="D2376" s="91" t="s">
        <v>82</v>
      </c>
      <c r="E2376" s="41" t="str">
        <f>IFERROR(__xludf.DUMMYFUNCTION("vlookup(D2376,IMPORTRANGE(""https://docs.google.com/spreadsheets/d/1swGwZOEqYlTEUCJLY-eeJM1911Kvaei5oySBIxdgtNo/edit?pli=1#gid=257618397"",""stock untanna!B:C""),2,false)"),"STABILLO BRUSH MARKER PEN WB TF-1050 12W")</f>
        <v>STABILLO BRUSH MARKER PEN WB TF-1050 12W</v>
      </c>
      <c r="F2376" s="49" t="s">
        <v>82</v>
      </c>
      <c r="G2376" s="78" t="s">
        <v>83</v>
      </c>
      <c r="H2376" s="41"/>
      <c r="I2376" s="42"/>
      <c r="J2376" s="43"/>
      <c r="K2376" s="72">
        <v>36.0</v>
      </c>
      <c r="L2376" s="53" t="s">
        <v>84</v>
      </c>
      <c r="M2376" s="73">
        <v>15000.0</v>
      </c>
      <c r="N2376" s="74"/>
      <c r="O2376" s="73">
        <v>540000.0</v>
      </c>
      <c r="P2376" s="46" t="str">
        <f t="shared" si="2"/>
        <v>Rp15,000-36 SET-0.00%</v>
      </c>
      <c r="Q2376" s="75">
        <v>45418.0</v>
      </c>
      <c r="R2376" s="75">
        <v>45415.0</v>
      </c>
      <c r="S2376" s="75">
        <v>45425.0</v>
      </c>
      <c r="T2376" s="49"/>
    </row>
    <row r="2377">
      <c r="A2377" s="90">
        <v>107.0</v>
      </c>
      <c r="B2377" s="91" t="s">
        <v>65</v>
      </c>
      <c r="C2377" s="49" t="s">
        <v>2680</v>
      </c>
      <c r="D2377" s="91" t="s">
        <v>2241</v>
      </c>
      <c r="E2377" s="41" t="str">
        <f>IFERROR(__xludf.DUMMYFUNCTION("vlookup(D2377,IMPORTRANGE(""https://docs.google.com/spreadsheets/d/1swGwZOEqYlTEUCJLY-eeJM1911Kvaei5oySBIxdgtNo/edit?pli=1#gid=257618397"",""stock untanna!B:C""),2,false)"),"DIARY CK64-6031 HAHA (112LBR)")</f>
        <v>DIARY CK64-6031 HAHA (112LBR)</v>
      </c>
      <c r="F2377" s="49" t="s">
        <v>2241</v>
      </c>
      <c r="G2377" s="71" t="s">
        <v>2242</v>
      </c>
      <c r="H2377" s="41"/>
      <c r="I2377" s="42"/>
      <c r="J2377" s="43"/>
      <c r="K2377" s="72">
        <v>50.0</v>
      </c>
      <c r="L2377" s="53" t="s">
        <v>69</v>
      </c>
      <c r="M2377" s="73">
        <v>13500.0</v>
      </c>
      <c r="N2377" s="74"/>
      <c r="O2377" s="73">
        <v>675000.0</v>
      </c>
      <c r="P2377" s="46" t="str">
        <f t="shared" si="2"/>
        <v>Rp13,500-50 PCS-0.00%</v>
      </c>
      <c r="Q2377" s="75">
        <v>45418.0</v>
      </c>
      <c r="R2377" s="75">
        <v>45415.0</v>
      </c>
      <c r="S2377" s="75">
        <v>45425.0</v>
      </c>
      <c r="T2377" s="49"/>
    </row>
    <row r="2378">
      <c r="A2378" s="90">
        <v>107.0</v>
      </c>
      <c r="B2378" s="91" t="s">
        <v>65</v>
      </c>
      <c r="C2378" s="49" t="s">
        <v>2680</v>
      </c>
      <c r="D2378" s="91" t="s">
        <v>2681</v>
      </c>
      <c r="E2378" s="41" t="str">
        <f>IFERROR(__xludf.DUMMYFUNCTION("vlookup(D2378,IMPORTRANGE(""https://docs.google.com/spreadsheets/d/1swGwZOEqYlTEUCJLY-eeJM1911Kvaei5oySBIxdgtNo/edit?pli=1#gid=257618397"",""stock untanna!B:C""),2,false)"),"STICK NOTE TF 654-8C-M")</f>
        <v>STICK NOTE TF 654-8C-M</v>
      </c>
      <c r="F2378" s="49" t="s">
        <v>2681</v>
      </c>
      <c r="G2378" s="71" t="s">
        <v>2682</v>
      </c>
      <c r="H2378" s="41"/>
      <c r="I2378" s="42"/>
      <c r="J2378" s="43"/>
      <c r="K2378" s="72">
        <v>50.0</v>
      </c>
      <c r="L2378" s="53" t="s">
        <v>69</v>
      </c>
      <c r="M2378" s="73">
        <v>16500.0</v>
      </c>
      <c r="N2378" s="74"/>
      <c r="O2378" s="73">
        <v>825000.0</v>
      </c>
      <c r="P2378" s="46" t="str">
        <f t="shared" si="2"/>
        <v>Rp16,500-50 PCS-0.00%</v>
      </c>
      <c r="Q2378" s="75">
        <v>45418.0</v>
      </c>
      <c r="R2378" s="75">
        <v>45415.0</v>
      </c>
      <c r="S2378" s="75">
        <v>45425.0</v>
      </c>
      <c r="T2378" s="49"/>
    </row>
    <row r="2379">
      <c r="A2379" s="90">
        <v>107.0</v>
      </c>
      <c r="B2379" s="91" t="s">
        <v>65</v>
      </c>
      <c r="C2379" s="49" t="s">
        <v>2680</v>
      </c>
      <c r="D2379" s="91" t="s">
        <v>2327</v>
      </c>
      <c r="E2379" s="41" t="str">
        <f>IFERROR(__xludf.DUMMYFUNCTION("vlookup(D2379,IMPORTRANGE(""https://docs.google.com/spreadsheets/d/1swGwZOEqYlTEUCJLY-eeJM1911Kvaei5oySBIxdgtNo/edit?pli=1#gid=257618397"",""stock untanna!B:C""),2,false)"),"STICK NOTE TF 654 5C")</f>
        <v>STICK NOTE TF 654 5C</v>
      </c>
      <c r="F2379" s="49" t="s">
        <v>2327</v>
      </c>
      <c r="G2379" s="71" t="s">
        <v>2328</v>
      </c>
      <c r="H2379" s="41"/>
      <c r="I2379" s="42"/>
      <c r="J2379" s="43"/>
      <c r="K2379" s="72">
        <v>50.0</v>
      </c>
      <c r="L2379" s="53" t="s">
        <v>69</v>
      </c>
      <c r="M2379" s="73">
        <v>8500.0</v>
      </c>
      <c r="N2379" s="74"/>
      <c r="O2379" s="73">
        <v>425000.0</v>
      </c>
      <c r="P2379" s="46" t="str">
        <f t="shared" si="2"/>
        <v>Rp8,500-50 PCS-0.00%</v>
      </c>
      <c r="Q2379" s="75">
        <v>45418.0</v>
      </c>
      <c r="R2379" s="75">
        <v>45415.0</v>
      </c>
      <c r="S2379" s="75">
        <v>45425.0</v>
      </c>
      <c r="T2379" s="49"/>
    </row>
    <row r="2380">
      <c r="A2380" s="90">
        <v>107.0</v>
      </c>
      <c r="B2380" s="91" t="s">
        <v>65</v>
      </c>
      <c r="C2380" s="49" t="s">
        <v>2680</v>
      </c>
      <c r="D2380" s="91" t="s">
        <v>1341</v>
      </c>
      <c r="E2380" s="41" t="str">
        <f>IFERROR(__xludf.DUMMYFUNCTION("vlookup(D2380,IMPORTRANGE(""https://docs.google.com/spreadsheets/d/1swGwZOEqYlTEUCJLY-eeJM1911Kvaei5oySBIxdgtNo/edit?pli=1#gid=257618397"",""stock untanna!B:C""),2,false)"),"STABILLO TF-1145 LIVE COLOUR PASTEL")</f>
        <v>STABILLO TF-1145 LIVE COLOUR PASTEL</v>
      </c>
      <c r="F2380" s="49" t="s">
        <v>1341</v>
      </c>
      <c r="G2380" s="71" t="s">
        <v>1342</v>
      </c>
      <c r="H2380" s="41"/>
      <c r="I2380" s="42"/>
      <c r="J2380" s="43"/>
      <c r="K2380" s="72">
        <v>24.0</v>
      </c>
      <c r="L2380" s="53" t="s">
        <v>62</v>
      </c>
      <c r="M2380" s="73">
        <v>25000.0</v>
      </c>
      <c r="N2380" s="74"/>
      <c r="O2380" s="73">
        <v>600000.0</v>
      </c>
      <c r="P2380" s="46" t="str">
        <f t="shared" si="2"/>
        <v>Rp25,000-24 LSN-0.00%</v>
      </c>
      <c r="Q2380" s="75">
        <v>45418.0</v>
      </c>
      <c r="R2380" s="75">
        <v>45416.0</v>
      </c>
      <c r="S2380" s="75">
        <v>45425.0</v>
      </c>
      <c r="T2380" s="49"/>
    </row>
    <row r="2381">
      <c r="A2381" s="90">
        <v>107.0</v>
      </c>
      <c r="B2381" s="91" t="s">
        <v>65</v>
      </c>
      <c r="C2381" s="49" t="s">
        <v>2680</v>
      </c>
      <c r="D2381" s="91"/>
      <c r="E2381" s="41" t="s">
        <v>2683</v>
      </c>
      <c r="F2381" s="49"/>
      <c r="G2381" s="71" t="s">
        <v>2683</v>
      </c>
      <c r="H2381" s="41"/>
      <c r="I2381" s="42"/>
      <c r="J2381" s="43"/>
      <c r="K2381" s="72">
        <v>60.0</v>
      </c>
      <c r="L2381" s="53" t="s">
        <v>62</v>
      </c>
      <c r="M2381" s="73">
        <v>8500.0</v>
      </c>
      <c r="N2381" s="74"/>
      <c r="O2381" s="73">
        <v>510000.0</v>
      </c>
      <c r="P2381" s="46" t="str">
        <f t="shared" si="2"/>
        <v>Rp8,500-60 LSN-0.00%</v>
      </c>
      <c r="Q2381" s="75">
        <v>45418.0</v>
      </c>
      <c r="R2381" s="75">
        <v>45416.0</v>
      </c>
      <c r="S2381" s="75">
        <v>45425.0</v>
      </c>
      <c r="T2381" s="49"/>
    </row>
    <row r="2382">
      <c r="A2382" s="90">
        <v>107.0</v>
      </c>
      <c r="B2382" s="91" t="s">
        <v>65</v>
      </c>
      <c r="C2382" s="49" t="s">
        <v>2680</v>
      </c>
      <c r="D2382" s="91"/>
      <c r="E2382" s="41" t="s">
        <v>986</v>
      </c>
      <c r="F2382" s="49"/>
      <c r="G2382" s="71" t="s">
        <v>986</v>
      </c>
      <c r="H2382" s="41"/>
      <c r="I2382" s="42"/>
      <c r="J2382" s="43"/>
      <c r="K2382" s="72">
        <v>60.0</v>
      </c>
      <c r="L2382" s="53" t="s">
        <v>62</v>
      </c>
      <c r="M2382" s="73">
        <v>13500.0</v>
      </c>
      <c r="N2382" s="74"/>
      <c r="O2382" s="73">
        <v>810000.0</v>
      </c>
      <c r="P2382" s="46" t="str">
        <f t="shared" si="2"/>
        <v>Rp13,500-60 LSN-0.00%</v>
      </c>
      <c r="Q2382" s="75">
        <v>45418.0</v>
      </c>
      <c r="R2382" s="75">
        <v>45416.0</v>
      </c>
      <c r="S2382" s="75">
        <v>45425.0</v>
      </c>
      <c r="T2382" s="80" t="s">
        <v>986</v>
      </c>
    </row>
    <row r="2383">
      <c r="A2383" s="90">
        <v>107.0</v>
      </c>
      <c r="B2383" s="91" t="s">
        <v>65</v>
      </c>
      <c r="C2383" s="49" t="s">
        <v>2680</v>
      </c>
      <c r="D2383" s="91" t="s">
        <v>1307</v>
      </c>
      <c r="E2383" s="41" t="str">
        <f>IFERROR(__xludf.DUMMYFUNCTION("vlookup(D2383,IMPORTRANGE(""https://docs.google.com/spreadsheets/d/1swGwZOEqYlTEUCJLY-eeJM1911Kvaei5oySBIxdgtNo/edit?pli=1#gid=257618397"",""stock untanna!B:C""),2,false)"),"BP E 8805 MULTI WARNA (24)")</f>
        <v>BP E 8805 MULTI WARNA (24)</v>
      </c>
      <c r="F2383" s="49" t="s">
        <v>1307</v>
      </c>
      <c r="G2383" s="71" t="s">
        <v>1308</v>
      </c>
      <c r="H2383" s="41"/>
      <c r="I2383" s="42"/>
      <c r="J2383" s="43"/>
      <c r="K2383" s="72">
        <v>6.0</v>
      </c>
      <c r="L2383" s="53" t="s">
        <v>88</v>
      </c>
      <c r="M2383" s="73">
        <v>144000.0</v>
      </c>
      <c r="N2383" s="74"/>
      <c r="O2383" s="73">
        <v>864000.0</v>
      </c>
      <c r="P2383" s="46" t="str">
        <f t="shared" si="2"/>
        <v>Rp144,000-6 BOX-0.00%</v>
      </c>
      <c r="Q2383" s="75">
        <v>45418.0</v>
      </c>
      <c r="R2383" s="75">
        <v>45416.0</v>
      </c>
      <c r="S2383" s="75">
        <v>45425.0</v>
      </c>
      <c r="T2383" s="49"/>
    </row>
    <row r="2384">
      <c r="A2384" s="90">
        <v>107.0</v>
      </c>
      <c r="B2384" s="91" t="s">
        <v>65</v>
      </c>
      <c r="C2384" s="49" t="s">
        <v>2680</v>
      </c>
      <c r="D2384" s="91" t="s">
        <v>774</v>
      </c>
      <c r="E2384" s="41" t="str">
        <f>IFERROR(__xludf.DUMMYFUNCTION("vlookup(D2384,IMPORTRANGE(""https://docs.google.com/spreadsheets/d/1swGwZOEqYlTEUCJLY-eeJM1911Kvaei5oySBIxdgtNo/edit?pli=1#gid=257618397"",""stock untanna!B:C""),2,false)"),"MECHPEN TIZO G 9001 A")</f>
        <v>MECHPEN TIZO G 9001 A</v>
      </c>
      <c r="F2384" s="49" t="s">
        <v>774</v>
      </c>
      <c r="G2384" s="71" t="s">
        <v>775</v>
      </c>
      <c r="H2384" s="41"/>
      <c r="I2384" s="42"/>
      <c r="J2384" s="43"/>
      <c r="K2384" s="72">
        <v>4.0</v>
      </c>
      <c r="L2384" s="53" t="s">
        <v>62</v>
      </c>
      <c r="M2384" s="73">
        <v>15000.0</v>
      </c>
      <c r="N2384" s="74"/>
      <c r="O2384" s="73">
        <v>60000.0</v>
      </c>
      <c r="P2384" s="46" t="str">
        <f t="shared" si="2"/>
        <v>Rp15,000-4 LSN-0.00%</v>
      </c>
      <c r="Q2384" s="75">
        <v>45418.0</v>
      </c>
      <c r="R2384" s="75">
        <v>45416.0</v>
      </c>
      <c r="S2384" s="75">
        <v>45425.0</v>
      </c>
      <c r="T2384" s="49"/>
    </row>
    <row r="2385">
      <c r="A2385" s="90">
        <v>107.0</v>
      </c>
      <c r="B2385" s="91" t="s">
        <v>65</v>
      </c>
      <c r="C2385" s="49" t="s">
        <v>2680</v>
      </c>
      <c r="D2385" s="91"/>
      <c r="E2385" s="41" t="s">
        <v>1865</v>
      </c>
      <c r="F2385" s="49"/>
      <c r="G2385" s="71" t="s">
        <v>1865</v>
      </c>
      <c r="H2385" s="41"/>
      <c r="I2385" s="42"/>
      <c r="J2385" s="43"/>
      <c r="K2385" s="72">
        <v>2.0</v>
      </c>
      <c r="L2385" s="53" t="s">
        <v>62</v>
      </c>
      <c r="M2385" s="73">
        <v>15000.0</v>
      </c>
      <c r="N2385" s="74"/>
      <c r="O2385" s="73">
        <v>30000.0</v>
      </c>
      <c r="P2385" s="46" t="str">
        <f t="shared" si="2"/>
        <v>Rp15,000-2 LSN-0.00%</v>
      </c>
      <c r="Q2385" s="75">
        <v>45418.0</v>
      </c>
      <c r="R2385" s="75">
        <v>45416.0</v>
      </c>
      <c r="S2385" s="75">
        <v>45425.0</v>
      </c>
      <c r="T2385" s="80" t="s">
        <v>280</v>
      </c>
    </row>
    <row r="2386">
      <c r="A2386" s="90">
        <v>107.0</v>
      </c>
      <c r="B2386" s="91" t="s">
        <v>65</v>
      </c>
      <c r="C2386" s="49" t="s">
        <v>2680</v>
      </c>
      <c r="D2386" s="91"/>
      <c r="E2386" s="41" t="s">
        <v>2128</v>
      </c>
      <c r="F2386" s="49"/>
      <c r="G2386" s="71" t="s">
        <v>2128</v>
      </c>
      <c r="H2386" s="41"/>
      <c r="I2386" s="42"/>
      <c r="J2386" s="43"/>
      <c r="K2386" s="72">
        <v>36.0</v>
      </c>
      <c r="L2386" s="53" t="s">
        <v>62</v>
      </c>
      <c r="M2386" s="73">
        <v>15000.0</v>
      </c>
      <c r="N2386" s="74"/>
      <c r="O2386" s="73">
        <v>540000.0</v>
      </c>
      <c r="P2386" s="46" t="str">
        <f t="shared" si="2"/>
        <v>Rp15,000-36 LSN-0.00%</v>
      </c>
      <c r="Q2386" s="75">
        <v>45418.0</v>
      </c>
      <c r="R2386" s="75">
        <v>45416.0</v>
      </c>
      <c r="S2386" s="75">
        <v>45425.0</v>
      </c>
      <c r="T2386" s="49"/>
    </row>
    <row r="2387">
      <c r="A2387" s="90">
        <v>107.0</v>
      </c>
      <c r="B2387" s="91" t="s">
        <v>65</v>
      </c>
      <c r="C2387" s="49" t="s">
        <v>2680</v>
      </c>
      <c r="D2387" s="91"/>
      <c r="E2387" s="41" t="s">
        <v>2130</v>
      </c>
      <c r="F2387" s="49"/>
      <c r="G2387" s="71" t="s">
        <v>2130</v>
      </c>
      <c r="H2387" s="41"/>
      <c r="I2387" s="42"/>
      <c r="J2387" s="43"/>
      <c r="K2387" s="72">
        <v>32.0</v>
      </c>
      <c r="L2387" s="53" t="s">
        <v>62</v>
      </c>
      <c r="M2387" s="73">
        <v>15000.0</v>
      </c>
      <c r="N2387" s="74"/>
      <c r="O2387" s="73">
        <v>480000.0</v>
      </c>
      <c r="P2387" s="46" t="str">
        <f t="shared" si="2"/>
        <v>Rp15,000-32 LSN-0.00%</v>
      </c>
      <c r="Q2387" s="75">
        <v>45418.0</v>
      </c>
      <c r="R2387" s="75">
        <v>45416.0</v>
      </c>
      <c r="S2387" s="75">
        <v>45425.0</v>
      </c>
      <c r="T2387" s="49"/>
    </row>
    <row r="2388">
      <c r="A2388" s="90">
        <v>107.0</v>
      </c>
      <c r="B2388" s="91" t="s">
        <v>65</v>
      </c>
      <c r="C2388" s="49" t="s">
        <v>2680</v>
      </c>
      <c r="D2388" s="91"/>
      <c r="E2388" s="41" t="s">
        <v>2133</v>
      </c>
      <c r="F2388" s="49"/>
      <c r="G2388" s="71" t="s">
        <v>2133</v>
      </c>
      <c r="H2388" s="41"/>
      <c r="I2388" s="42"/>
      <c r="J2388" s="43"/>
      <c r="K2388" s="72">
        <v>26.0</v>
      </c>
      <c r="L2388" s="53" t="s">
        <v>62</v>
      </c>
      <c r="M2388" s="73">
        <v>15000.0</v>
      </c>
      <c r="N2388" s="74"/>
      <c r="O2388" s="73">
        <v>390000.0</v>
      </c>
      <c r="P2388" s="46" t="str">
        <f t="shared" si="2"/>
        <v>Rp15,000-26 LSN-0.00%</v>
      </c>
      <c r="Q2388" s="75">
        <v>45418.0</v>
      </c>
      <c r="R2388" s="75">
        <v>45416.0</v>
      </c>
      <c r="S2388" s="75">
        <v>45425.0</v>
      </c>
      <c r="T2388" s="49"/>
    </row>
    <row r="2389">
      <c r="A2389" s="90">
        <v>107.0</v>
      </c>
      <c r="B2389" s="91" t="s">
        <v>65</v>
      </c>
      <c r="C2389" s="49" t="s">
        <v>2680</v>
      </c>
      <c r="D2389" s="91"/>
      <c r="E2389" s="41" t="s">
        <v>2684</v>
      </c>
      <c r="F2389" s="49"/>
      <c r="G2389" s="71" t="s">
        <v>2684</v>
      </c>
      <c r="H2389" s="41"/>
      <c r="I2389" s="42"/>
      <c r="J2389" s="43"/>
      <c r="K2389" s="72">
        <v>50.0</v>
      </c>
      <c r="L2389" s="53" t="s">
        <v>69</v>
      </c>
      <c r="M2389" s="73">
        <v>1700.0</v>
      </c>
      <c r="N2389" s="74"/>
      <c r="O2389" s="73">
        <v>85000.0</v>
      </c>
      <c r="P2389" s="46" t="str">
        <f t="shared" si="2"/>
        <v>Rp1,700-50 PCS-0.00%</v>
      </c>
      <c r="Q2389" s="75">
        <v>45418.0</v>
      </c>
      <c r="R2389" s="75">
        <v>45416.0</v>
      </c>
      <c r="S2389" s="75">
        <v>45425.0</v>
      </c>
      <c r="T2389" s="49"/>
    </row>
    <row r="2390">
      <c r="A2390" s="90">
        <v>107.0</v>
      </c>
      <c r="B2390" s="91" t="s">
        <v>65</v>
      </c>
      <c r="C2390" s="49" t="s">
        <v>2680</v>
      </c>
      <c r="D2390" s="91" t="s">
        <v>2685</v>
      </c>
      <c r="E2390" s="41" t="str">
        <f>IFERROR(__xludf.DUMMYFUNCTION("vlookup(D2390,IMPORTRANGE(""https://docs.google.com/spreadsheets/d/1swGwZOEqYlTEUCJLY-eeJM1911Kvaei5oySBIxdgtNo/edit?pli=1#gid=257618397"",""stock untanna!B:C""),2,false)"),"BENSIA 909")</f>
        <v>BENSIA 909</v>
      </c>
      <c r="F2390" s="49" t="s">
        <v>2685</v>
      </c>
      <c r="G2390" s="71" t="s">
        <v>2686</v>
      </c>
      <c r="H2390" s="41"/>
      <c r="I2390" s="42"/>
      <c r="J2390" s="43"/>
      <c r="K2390" s="72">
        <v>240.0</v>
      </c>
      <c r="L2390" s="53" t="s">
        <v>69</v>
      </c>
      <c r="M2390" s="73">
        <v>1800.0</v>
      </c>
      <c r="N2390" s="74"/>
      <c r="O2390" s="73">
        <v>432000.0</v>
      </c>
      <c r="P2390" s="46" t="str">
        <f t="shared" si="2"/>
        <v>Rp1,800-240 PCS-0.00%</v>
      </c>
      <c r="Q2390" s="75">
        <v>45418.0</v>
      </c>
      <c r="R2390" s="75">
        <v>45416.0</v>
      </c>
      <c r="S2390" s="75">
        <v>45425.0</v>
      </c>
      <c r="T2390" s="49"/>
    </row>
    <row r="2391">
      <c r="A2391" s="90">
        <v>107.0</v>
      </c>
      <c r="B2391" s="91" t="s">
        <v>65</v>
      </c>
      <c r="C2391" s="49" t="s">
        <v>2680</v>
      </c>
      <c r="D2391" s="91"/>
      <c r="E2391" s="41" t="s">
        <v>441</v>
      </c>
      <c r="F2391" s="49"/>
      <c r="G2391" s="71" t="s">
        <v>441</v>
      </c>
      <c r="H2391" s="41"/>
      <c r="I2391" s="42"/>
      <c r="J2391" s="43"/>
      <c r="K2391" s="72">
        <v>5.0</v>
      </c>
      <c r="L2391" s="53" t="s">
        <v>88</v>
      </c>
      <c r="M2391" s="73">
        <v>86400.0</v>
      </c>
      <c r="N2391" s="74"/>
      <c r="O2391" s="73">
        <v>432000.0</v>
      </c>
      <c r="P2391" s="46" t="str">
        <f t="shared" si="2"/>
        <v>Rp86,400-5 BOX-0.00%</v>
      </c>
      <c r="Q2391" s="75">
        <v>45418.0</v>
      </c>
      <c r="R2391" s="75">
        <v>45416.0</v>
      </c>
      <c r="S2391" s="75">
        <v>45425.0</v>
      </c>
      <c r="T2391" s="49"/>
    </row>
    <row r="2392">
      <c r="A2392" s="90">
        <v>108.0</v>
      </c>
      <c r="B2392" s="91" t="s">
        <v>65</v>
      </c>
      <c r="C2392" s="49" t="s">
        <v>2680</v>
      </c>
      <c r="D2392" s="91"/>
      <c r="E2392" s="41" t="s">
        <v>1617</v>
      </c>
      <c r="F2392" s="49"/>
      <c r="G2392" s="71" t="s">
        <v>1617</v>
      </c>
      <c r="H2392" s="41"/>
      <c r="I2392" s="42"/>
      <c r="J2392" s="43"/>
      <c r="K2392" s="72">
        <v>5.0</v>
      </c>
      <c r="L2392" s="53" t="s">
        <v>88</v>
      </c>
      <c r="M2392" s="73">
        <v>86400.0</v>
      </c>
      <c r="N2392" s="74"/>
      <c r="O2392" s="73">
        <v>432000.0</v>
      </c>
      <c r="P2392" s="46" t="str">
        <f t="shared" si="2"/>
        <v>Rp86,400-5 BOX-0.00%</v>
      </c>
      <c r="Q2392" s="75">
        <v>45418.0</v>
      </c>
      <c r="R2392" s="75">
        <v>45416.0</v>
      </c>
      <c r="S2392" s="75">
        <v>45425.0</v>
      </c>
      <c r="T2392" s="49"/>
    </row>
    <row r="2393">
      <c r="A2393" s="90">
        <v>108.0</v>
      </c>
      <c r="B2393" s="91" t="s">
        <v>65</v>
      </c>
      <c r="C2393" s="49" t="s">
        <v>2680</v>
      </c>
      <c r="D2393" s="91"/>
      <c r="E2393" s="41" t="s">
        <v>439</v>
      </c>
      <c r="F2393" s="49"/>
      <c r="G2393" s="71" t="s">
        <v>439</v>
      </c>
      <c r="H2393" s="41"/>
      <c r="I2393" s="42"/>
      <c r="J2393" s="43"/>
      <c r="K2393" s="72">
        <v>5.0</v>
      </c>
      <c r="L2393" s="53" t="s">
        <v>88</v>
      </c>
      <c r="M2393" s="73">
        <v>86400.0</v>
      </c>
      <c r="N2393" s="74"/>
      <c r="O2393" s="73">
        <v>432000.0</v>
      </c>
      <c r="P2393" s="46" t="str">
        <f t="shared" si="2"/>
        <v>Rp86,400-5 BOX-0.00%</v>
      </c>
      <c r="Q2393" s="75">
        <v>45418.0</v>
      </c>
      <c r="R2393" s="75">
        <v>45416.0</v>
      </c>
      <c r="S2393" s="75">
        <v>45425.0</v>
      </c>
      <c r="T2393" s="49"/>
    </row>
    <row r="2394">
      <c r="A2394" s="90">
        <v>108.0</v>
      </c>
      <c r="B2394" s="91" t="s">
        <v>65</v>
      </c>
      <c r="C2394" s="49" t="s">
        <v>2680</v>
      </c>
      <c r="D2394" s="91"/>
      <c r="E2394" s="41" t="s">
        <v>1615</v>
      </c>
      <c r="F2394" s="49"/>
      <c r="G2394" s="71" t="s">
        <v>1615</v>
      </c>
      <c r="H2394" s="41"/>
      <c r="I2394" s="42"/>
      <c r="J2394" s="43"/>
      <c r="K2394" s="72">
        <v>5.0</v>
      </c>
      <c r="L2394" s="53" t="s">
        <v>88</v>
      </c>
      <c r="M2394" s="73">
        <v>86400.0</v>
      </c>
      <c r="N2394" s="74"/>
      <c r="O2394" s="73">
        <v>432000.0</v>
      </c>
      <c r="P2394" s="46" t="str">
        <f t="shared" si="2"/>
        <v>Rp86,400-5 BOX-0.00%</v>
      </c>
      <c r="Q2394" s="75">
        <v>45418.0</v>
      </c>
      <c r="R2394" s="75">
        <v>45416.0</v>
      </c>
      <c r="S2394" s="75">
        <v>45425.0</v>
      </c>
      <c r="T2394" s="49"/>
    </row>
    <row r="2395">
      <c r="A2395" s="90">
        <v>108.0</v>
      </c>
      <c r="B2395" s="91" t="s">
        <v>65</v>
      </c>
      <c r="C2395" s="49" t="s">
        <v>2680</v>
      </c>
      <c r="D2395" s="91"/>
      <c r="E2395" s="41" t="s">
        <v>1616</v>
      </c>
      <c r="F2395" s="49"/>
      <c r="G2395" s="71" t="s">
        <v>1616</v>
      </c>
      <c r="H2395" s="41"/>
      <c r="I2395" s="42"/>
      <c r="J2395" s="43"/>
      <c r="K2395" s="72">
        <v>5.0</v>
      </c>
      <c r="L2395" s="53" t="s">
        <v>88</v>
      </c>
      <c r="M2395" s="73">
        <v>86400.0</v>
      </c>
      <c r="N2395" s="74"/>
      <c r="O2395" s="73">
        <v>432000.0</v>
      </c>
      <c r="P2395" s="46" t="str">
        <f t="shared" si="2"/>
        <v>Rp86,400-5 BOX-0.00%</v>
      </c>
      <c r="Q2395" s="75">
        <v>45418.0</v>
      </c>
      <c r="R2395" s="75">
        <v>45416.0</v>
      </c>
      <c r="S2395" s="75">
        <v>45425.0</v>
      </c>
      <c r="T2395" s="49"/>
    </row>
    <row r="2396">
      <c r="A2396" s="90">
        <v>108.0</v>
      </c>
      <c r="B2396" s="91" t="s">
        <v>65</v>
      </c>
      <c r="C2396" s="49" t="s">
        <v>2680</v>
      </c>
      <c r="D2396" s="91"/>
      <c r="E2396" s="41" t="s">
        <v>2687</v>
      </c>
      <c r="F2396" s="49"/>
      <c r="G2396" s="71" t="s">
        <v>2687</v>
      </c>
      <c r="H2396" s="41"/>
      <c r="I2396" s="42"/>
      <c r="J2396" s="43"/>
      <c r="K2396" s="72">
        <v>5.0</v>
      </c>
      <c r="L2396" s="53" t="s">
        <v>88</v>
      </c>
      <c r="M2396" s="73">
        <v>86400.0</v>
      </c>
      <c r="N2396" s="74"/>
      <c r="O2396" s="73">
        <v>432000.0</v>
      </c>
      <c r="P2396" s="46" t="str">
        <f t="shared" si="2"/>
        <v>Rp86,400-5 BOX-0.00%</v>
      </c>
      <c r="Q2396" s="75">
        <v>45418.0</v>
      </c>
      <c r="R2396" s="75">
        <v>45416.0</v>
      </c>
      <c r="S2396" s="75">
        <v>45425.0</v>
      </c>
      <c r="T2396" s="49"/>
    </row>
    <row r="2397">
      <c r="A2397" s="90">
        <v>108.0</v>
      </c>
      <c r="B2397" s="91" t="s">
        <v>65</v>
      </c>
      <c r="C2397" s="49" t="s">
        <v>2680</v>
      </c>
      <c r="D2397" s="91"/>
      <c r="E2397" s="41" t="s">
        <v>2131</v>
      </c>
      <c r="F2397" s="49"/>
      <c r="G2397" s="71" t="s">
        <v>2131</v>
      </c>
      <c r="H2397" s="41"/>
      <c r="I2397" s="42"/>
      <c r="J2397" s="43"/>
      <c r="K2397" s="72">
        <v>36.0</v>
      </c>
      <c r="L2397" s="53" t="s">
        <v>62</v>
      </c>
      <c r="M2397" s="73">
        <v>15000.0</v>
      </c>
      <c r="N2397" s="74"/>
      <c r="O2397" s="73">
        <v>540000.0</v>
      </c>
      <c r="P2397" s="46" t="str">
        <f t="shared" si="2"/>
        <v>Rp15,000-36 LSN-0.00%</v>
      </c>
      <c r="Q2397" s="75">
        <v>45418.0</v>
      </c>
      <c r="R2397" s="75">
        <v>45416.0</v>
      </c>
      <c r="S2397" s="75">
        <v>45425.0</v>
      </c>
      <c r="T2397" s="80" t="s">
        <v>280</v>
      </c>
    </row>
    <row r="2398">
      <c r="A2398" s="90">
        <v>108.0</v>
      </c>
      <c r="B2398" s="91" t="s">
        <v>65</v>
      </c>
      <c r="C2398" s="49" t="s">
        <v>2680</v>
      </c>
      <c r="D2398" s="91"/>
      <c r="E2398" s="41" t="s">
        <v>2688</v>
      </c>
      <c r="F2398" s="49"/>
      <c r="G2398" s="71" t="s">
        <v>2688</v>
      </c>
      <c r="H2398" s="41"/>
      <c r="I2398" s="42"/>
      <c r="J2398" s="43"/>
      <c r="K2398" s="72">
        <v>96.0</v>
      </c>
      <c r="L2398" s="53" t="s">
        <v>69</v>
      </c>
      <c r="M2398" s="73">
        <v>16500.0</v>
      </c>
      <c r="N2398" s="74"/>
      <c r="O2398" s="73">
        <v>1584000.0</v>
      </c>
      <c r="P2398" s="46" t="str">
        <f t="shared" si="2"/>
        <v>Rp16,500-96 PCS-0.00%</v>
      </c>
      <c r="Q2398" s="75">
        <v>45418.0</v>
      </c>
      <c r="R2398" s="76"/>
      <c r="S2398" s="75">
        <v>45425.0</v>
      </c>
      <c r="T2398" s="49"/>
    </row>
    <row r="2399">
      <c r="A2399" s="90">
        <v>108.0</v>
      </c>
      <c r="B2399" s="91" t="s">
        <v>65</v>
      </c>
      <c r="C2399" s="49" t="s">
        <v>2680</v>
      </c>
      <c r="D2399" s="91" t="s">
        <v>1333</v>
      </c>
      <c r="E2399" s="41" t="str">
        <f>IFERROR(__xludf.DUMMYFUNCTION("vlookup(D2399,IMPORTRANGE(""https://docs.google.com/spreadsheets/d/1swGwZOEqYlTEUCJLY-eeJM1911Kvaei5oySBIxdgtNo/edit?pli=1#gid=257618397"",""stock untanna!B:C""),2,false)"),"PIANIKA LOVELY BIRU")</f>
        <v>PIANIKA LOVELY BIRU</v>
      </c>
      <c r="F2399" s="49" t="s">
        <v>1333</v>
      </c>
      <c r="G2399" s="71" t="s">
        <v>1334</v>
      </c>
      <c r="H2399" s="41"/>
      <c r="I2399" s="42"/>
      <c r="J2399" s="43"/>
      <c r="K2399" s="72">
        <v>60.0</v>
      </c>
      <c r="L2399" s="53" t="s">
        <v>69</v>
      </c>
      <c r="M2399" s="73">
        <v>100000.0</v>
      </c>
      <c r="N2399" s="83">
        <v>0.1</v>
      </c>
      <c r="O2399" s="73">
        <v>5400000.0</v>
      </c>
      <c r="P2399" s="46" t="str">
        <f t="shared" si="2"/>
        <v>Rp100,000-60 PCS-10.00%</v>
      </c>
      <c r="Q2399" s="75">
        <v>45418.0</v>
      </c>
      <c r="R2399" s="76"/>
      <c r="S2399" s="75">
        <v>45425.0</v>
      </c>
      <c r="T2399" s="49"/>
    </row>
    <row r="2400">
      <c r="A2400" s="90">
        <v>108.0</v>
      </c>
      <c r="B2400" s="91" t="s">
        <v>65</v>
      </c>
      <c r="C2400" s="49" t="s">
        <v>2680</v>
      </c>
      <c r="D2400" s="91" t="s">
        <v>125</v>
      </c>
      <c r="E2400" s="41" t="str">
        <f>IFERROR(__xludf.DUMMYFUNCTION("vlookup(D2400,IMPORTRANGE(""https://docs.google.com/spreadsheets/d/1swGwZOEqYlTEUCJLY-eeJM1911Kvaei5oySBIxdgtNo/edit?pli=1#gid=257618397"",""stock untanna!B:C""),2,false)"),"GARISAN BESI V-TRO 30CM")</f>
        <v>GARISAN BESI V-TRO 30CM</v>
      </c>
      <c r="F2400" s="49" t="s">
        <v>125</v>
      </c>
      <c r="G2400" s="71" t="s">
        <v>126</v>
      </c>
      <c r="H2400" s="41"/>
      <c r="I2400" s="42"/>
      <c r="J2400" s="43"/>
      <c r="K2400" s="72">
        <v>50.0</v>
      </c>
      <c r="L2400" s="53" t="s">
        <v>62</v>
      </c>
      <c r="M2400" s="73">
        <v>16500.0</v>
      </c>
      <c r="N2400" s="74"/>
      <c r="O2400" s="73">
        <v>825000.0</v>
      </c>
      <c r="P2400" s="46" t="str">
        <f t="shared" si="2"/>
        <v>Rp16,500-50 LSN-0.00%</v>
      </c>
      <c r="Q2400" s="75">
        <v>45418.0</v>
      </c>
      <c r="R2400" s="76"/>
      <c r="S2400" s="75">
        <v>45425.0</v>
      </c>
      <c r="T2400" s="49"/>
    </row>
    <row r="2401">
      <c r="A2401" s="90">
        <v>108.0</v>
      </c>
      <c r="B2401" s="91" t="s">
        <v>65</v>
      </c>
      <c r="C2401" s="49" t="s">
        <v>2680</v>
      </c>
      <c r="D2401" s="91" t="s">
        <v>1088</v>
      </c>
      <c r="E2401" s="41" t="str">
        <f>IFERROR(__xludf.DUMMYFUNCTION("vlookup(D2401,IMPORTRANGE(""https://docs.google.com/spreadsheets/d/1swGwZOEqYlTEUCJLY-eeJM1911Kvaei5oySBIxdgtNo/edit?pli=1#gid=257618397"",""stock untanna!B:C""),2,false)"),"ASAHAN TOPLES GOLDEN (24)")</f>
        <v>ASAHAN TOPLES GOLDEN (24)</v>
      </c>
      <c r="F2401" s="49" t="s">
        <v>1088</v>
      </c>
      <c r="G2401" s="71" t="s">
        <v>1089</v>
      </c>
      <c r="H2401" s="41"/>
      <c r="I2401" s="42"/>
      <c r="J2401" s="43"/>
      <c r="K2401" s="72">
        <v>432.0</v>
      </c>
      <c r="L2401" s="53" t="s">
        <v>88</v>
      </c>
      <c r="M2401" s="73">
        <v>12000.0</v>
      </c>
      <c r="N2401" s="74"/>
      <c r="O2401" s="73">
        <v>5184000.0</v>
      </c>
      <c r="P2401" s="46" t="str">
        <f t="shared" si="2"/>
        <v>Rp12,000-432 BOX-0.00%</v>
      </c>
      <c r="Q2401" s="75">
        <v>45418.0</v>
      </c>
      <c r="R2401" s="76"/>
      <c r="S2401" s="75">
        <v>45425.0</v>
      </c>
      <c r="T2401" s="49"/>
    </row>
    <row r="2402">
      <c r="A2402" s="90">
        <v>3347.0</v>
      </c>
      <c r="B2402" s="91" t="s">
        <v>29</v>
      </c>
      <c r="C2402" s="49" t="s">
        <v>2689</v>
      </c>
      <c r="D2402" s="91"/>
      <c r="E2402" s="41" t="s">
        <v>2690</v>
      </c>
      <c r="F2402" s="49"/>
      <c r="G2402" s="71" t="s">
        <v>2690</v>
      </c>
      <c r="H2402" s="41"/>
      <c r="I2402" s="42"/>
      <c r="J2402" s="43"/>
      <c r="K2402" s="72">
        <v>1.0</v>
      </c>
      <c r="L2402" s="53" t="s">
        <v>62</v>
      </c>
      <c r="M2402" s="73">
        <v>200000.0</v>
      </c>
      <c r="N2402" s="74"/>
      <c r="O2402" s="73">
        <v>200000.0</v>
      </c>
      <c r="P2402" s="46" t="str">
        <f t="shared" si="2"/>
        <v>Rp200,000-1 LSN-0.00%</v>
      </c>
      <c r="Q2402" s="75">
        <v>45418.0</v>
      </c>
      <c r="R2402" s="75">
        <v>45418.0</v>
      </c>
      <c r="S2402" s="75">
        <v>45425.0</v>
      </c>
      <c r="T2402" s="49"/>
    </row>
    <row r="2403">
      <c r="A2403" s="90">
        <v>3347.0</v>
      </c>
      <c r="B2403" s="91" t="s">
        <v>29</v>
      </c>
      <c r="C2403" s="49" t="s">
        <v>2689</v>
      </c>
      <c r="D2403" s="91" t="s">
        <v>2691</v>
      </c>
      <c r="E2403" s="41" t="str">
        <f>IFERROR(__xludf.DUMMYFUNCTION("vlookup(D2403,IMPORTRANGE(""https://docs.google.com/spreadsheets/d/1swGwZOEqYlTEUCJLY-eeJM1911Kvaei5oySBIxdgtNo/edit?pli=1#gid=257618397"",""stock untanna!B:C""),2,false)"),"WATER COLOR TF 1331 PP")</f>
        <v>WATER COLOR TF 1331 PP</v>
      </c>
      <c r="F2403" s="49" t="s">
        <v>2691</v>
      </c>
      <c r="G2403" s="71" t="s">
        <v>2692</v>
      </c>
      <c r="H2403" s="41"/>
      <c r="I2403" s="42"/>
      <c r="J2403" s="43"/>
      <c r="K2403" s="72">
        <v>1.0</v>
      </c>
      <c r="L2403" s="53" t="s">
        <v>62</v>
      </c>
      <c r="M2403" s="73">
        <v>350000.0</v>
      </c>
      <c r="N2403" s="74"/>
      <c r="O2403" s="73">
        <v>350000.0</v>
      </c>
      <c r="P2403" s="46" t="str">
        <f t="shared" si="2"/>
        <v>Rp350,000-1 LSN-0.00%</v>
      </c>
      <c r="Q2403" s="75">
        <v>45418.0</v>
      </c>
      <c r="R2403" s="75">
        <v>45418.0</v>
      </c>
      <c r="S2403" s="75">
        <v>45425.0</v>
      </c>
      <c r="T2403" s="49"/>
    </row>
    <row r="2404">
      <c r="A2404" s="90">
        <v>3347.0</v>
      </c>
      <c r="B2404" s="91" t="s">
        <v>29</v>
      </c>
      <c r="C2404" s="49" t="s">
        <v>2689</v>
      </c>
      <c r="D2404" s="91" t="s">
        <v>2693</v>
      </c>
      <c r="E2404" s="41" t="str">
        <f>IFERROR(__xludf.DUMMYFUNCTION("vlookup(D2404,IMPORTRANGE(""https://docs.google.com/spreadsheets/d/1swGwZOEqYlTEUCJLY-eeJM1911Kvaei5oySBIxdgtNo/edit?pli=1#gid=257618397"",""stock untanna!B:C""),2,false)"),"STICKER JN-H")</f>
        <v>STICKER JN-H</v>
      </c>
      <c r="F2404" s="49" t="s">
        <v>2693</v>
      </c>
      <c r="G2404" s="71" t="s">
        <v>2694</v>
      </c>
      <c r="H2404" s="41"/>
      <c r="I2404" s="42"/>
      <c r="J2404" s="43"/>
      <c r="K2404" s="72">
        <v>50.0</v>
      </c>
      <c r="L2404" s="53" t="s">
        <v>69</v>
      </c>
      <c r="M2404" s="73">
        <v>7000.0</v>
      </c>
      <c r="N2404" s="74"/>
      <c r="O2404" s="73">
        <v>350000.0</v>
      </c>
      <c r="P2404" s="46" t="str">
        <f t="shared" si="2"/>
        <v>Rp7,000-50 PCS-0.00%</v>
      </c>
      <c r="Q2404" s="75">
        <v>45418.0</v>
      </c>
      <c r="R2404" s="75">
        <v>45416.0</v>
      </c>
      <c r="S2404" s="75">
        <v>45425.0</v>
      </c>
      <c r="T2404" s="49"/>
    </row>
    <row r="2405">
      <c r="A2405" s="90">
        <v>3347.0</v>
      </c>
      <c r="B2405" s="91" t="s">
        <v>29</v>
      </c>
      <c r="C2405" s="49" t="s">
        <v>2689</v>
      </c>
      <c r="D2405" s="91" t="s">
        <v>2695</v>
      </c>
      <c r="E2405" s="41" t="str">
        <f>IFERROR(__xludf.DUMMYFUNCTION("vlookup(D2405,IMPORTRANGE(""https://docs.google.com/spreadsheets/d/1swGwZOEqYlTEUCJLY-eeJM1911Kvaei5oySBIxdgtNo/edit?pli=1#gid=257618397"",""stock untanna!B:C""),2,false)"),"STICKER YLD")</f>
        <v>STICKER YLD</v>
      </c>
      <c r="F2405" s="49" t="s">
        <v>2695</v>
      </c>
      <c r="G2405" s="71" t="s">
        <v>2696</v>
      </c>
      <c r="H2405" s="41"/>
      <c r="I2405" s="42"/>
      <c r="J2405" s="43"/>
      <c r="K2405" s="72">
        <v>50.0</v>
      </c>
      <c r="L2405" s="53" t="s">
        <v>69</v>
      </c>
      <c r="M2405" s="73">
        <v>7000.0</v>
      </c>
      <c r="N2405" s="74"/>
      <c r="O2405" s="73">
        <v>350000.0</v>
      </c>
      <c r="P2405" s="46" t="str">
        <f t="shared" si="2"/>
        <v>Rp7,000-50 PCS-0.00%</v>
      </c>
      <c r="Q2405" s="75">
        <v>45418.0</v>
      </c>
      <c r="R2405" s="75">
        <v>45416.0</v>
      </c>
      <c r="S2405" s="75">
        <v>45425.0</v>
      </c>
      <c r="T2405" s="49" t="s">
        <v>100</v>
      </c>
    </row>
    <row r="2406">
      <c r="A2406" s="90">
        <v>3347.0</v>
      </c>
      <c r="B2406" s="91" t="s">
        <v>29</v>
      </c>
      <c r="C2406" s="49" t="s">
        <v>2689</v>
      </c>
      <c r="D2406" s="91" t="s">
        <v>2697</v>
      </c>
      <c r="E2406" s="41" t="str">
        <f>IFERROR(__xludf.DUMMYFUNCTION("vlookup(D2406,IMPORTRANGE(""https://docs.google.com/spreadsheets/d/1swGwZOEqYlTEUCJLY-eeJM1911Kvaei5oySBIxdgtNo/edit?pli=1#gid=257618397"",""stock untanna!B:C""),2,false)"),"DISPENSER PLAKBAND BESI A 806 MOSHI-MOSHI")</f>
        <v>DISPENSER PLAKBAND BESI A 806 MOSHI-MOSHI</v>
      </c>
      <c r="F2406" s="49" t="s">
        <v>2697</v>
      </c>
      <c r="G2406" s="78" t="s">
        <v>2698</v>
      </c>
      <c r="H2406" s="41"/>
      <c r="I2406" s="42"/>
      <c r="J2406" s="43"/>
      <c r="K2406" s="72">
        <v>6.0</v>
      </c>
      <c r="L2406" s="53" t="s">
        <v>69</v>
      </c>
      <c r="M2406" s="73">
        <v>17500.0</v>
      </c>
      <c r="N2406" s="74"/>
      <c r="O2406" s="73">
        <v>105000.0</v>
      </c>
      <c r="P2406" s="46" t="str">
        <f t="shared" si="2"/>
        <v>Rp17,500-6 PCS-0.00%</v>
      </c>
      <c r="Q2406" s="75">
        <v>45418.0</v>
      </c>
      <c r="R2406" s="75">
        <v>45416.0</v>
      </c>
      <c r="S2406" s="75">
        <v>45425.0</v>
      </c>
      <c r="T2406" s="49"/>
    </row>
    <row r="2407">
      <c r="A2407" s="90">
        <v>3347.0</v>
      </c>
      <c r="B2407" s="91" t="s">
        <v>29</v>
      </c>
      <c r="C2407" s="49" t="s">
        <v>2689</v>
      </c>
      <c r="D2407" s="91" t="s">
        <v>2699</v>
      </c>
      <c r="E2407" s="41" t="str">
        <f>IFERROR(__xludf.DUMMYFUNCTION("vlookup(D2407,IMPORTRANGE(""https://docs.google.com/spreadsheets/d/1swGwZOEqYlTEUCJLY-eeJM1911Kvaei5oySBIxdgtNo/edit?pli=1#gid=257618397"",""stock untanna!B:C""),2,false)"),"DISPENSER PLAKBAND PLASTIK A 805 MOSHI-MOSHI")</f>
        <v>DISPENSER PLAKBAND PLASTIK A 805 MOSHI-MOSHI</v>
      </c>
      <c r="F2407" s="49" t="s">
        <v>2699</v>
      </c>
      <c r="G2407" s="78" t="s">
        <v>2700</v>
      </c>
      <c r="H2407" s="41"/>
      <c r="I2407" s="42"/>
      <c r="J2407" s="43"/>
      <c r="K2407" s="72">
        <v>6.0</v>
      </c>
      <c r="L2407" s="53" t="s">
        <v>69</v>
      </c>
      <c r="M2407" s="73">
        <v>10000.0</v>
      </c>
      <c r="N2407" s="74"/>
      <c r="O2407" s="73">
        <v>60000.0</v>
      </c>
      <c r="P2407" s="46" t="str">
        <f t="shared" si="2"/>
        <v>Rp10,000-6 PCS-0.00%</v>
      </c>
      <c r="Q2407" s="75">
        <v>45418.0</v>
      </c>
      <c r="R2407" s="75">
        <v>45416.0</v>
      </c>
      <c r="S2407" s="75">
        <v>45425.0</v>
      </c>
      <c r="T2407" s="49"/>
    </row>
    <row r="2408">
      <c r="A2408" s="90">
        <v>3347.0</v>
      </c>
      <c r="B2408" s="91" t="s">
        <v>29</v>
      </c>
      <c r="C2408" s="49" t="s">
        <v>2689</v>
      </c>
      <c r="D2408" s="91" t="s">
        <v>2701</v>
      </c>
      <c r="E2408" s="41" t="str">
        <f>IFERROR(__xludf.DUMMYFUNCTION("vlookup(D2408,IMPORTRANGE(""https://docs.google.com/spreadsheets/d/1swGwZOEqYlTEUCJLY-eeJM1911Kvaei5oySBIxdgtNo/edit?pli=1#gid=257618397"",""stock untanna!B:C""),2,false)"),"ELEVATED TRAY MICROTOP 602 BESI")</f>
        <v>ELEVATED TRAY MICROTOP 602 BESI</v>
      </c>
      <c r="F2408" s="49" t="s">
        <v>2701</v>
      </c>
      <c r="G2408" s="71" t="s">
        <v>2702</v>
      </c>
      <c r="H2408" s="41"/>
      <c r="I2408" s="42"/>
      <c r="J2408" s="43"/>
      <c r="K2408" s="72">
        <v>3.0</v>
      </c>
      <c r="L2408" s="53" t="s">
        <v>69</v>
      </c>
      <c r="M2408" s="73">
        <v>67500.0</v>
      </c>
      <c r="N2408" s="74"/>
      <c r="O2408" s="73">
        <v>202500.0</v>
      </c>
      <c r="P2408" s="46" t="str">
        <f t="shared" si="2"/>
        <v>Rp67,500-3 PCS-0.00%</v>
      </c>
      <c r="Q2408" s="75">
        <v>45418.0</v>
      </c>
      <c r="R2408" s="75">
        <v>45418.0</v>
      </c>
      <c r="S2408" s="75">
        <v>45425.0</v>
      </c>
      <c r="T2408" s="49"/>
    </row>
    <row r="2409">
      <c r="A2409" s="90">
        <v>3347.0</v>
      </c>
      <c r="B2409" s="91" t="s">
        <v>29</v>
      </c>
      <c r="C2409" s="49" t="s">
        <v>2689</v>
      </c>
      <c r="D2409" s="91" t="s">
        <v>2703</v>
      </c>
      <c r="E2409" s="41" t="str">
        <f>IFERROR(__xludf.DUMMYFUNCTION("vlookup(D2409,IMPORTRANGE(""https://docs.google.com/spreadsheets/d/1swGwZOEqYlTEUCJLY-eeJM1911Kvaei5oySBIxdgtNo/edit?pli=1#gid=257618397"",""stock untanna!B:C""),2,false)"),"ELEVATED TRAY MICROTOP 603")</f>
        <v>ELEVATED TRAY MICROTOP 603</v>
      </c>
      <c r="F2409" s="49" t="s">
        <v>2703</v>
      </c>
      <c r="G2409" s="71" t="s">
        <v>2704</v>
      </c>
      <c r="H2409" s="41"/>
      <c r="I2409" s="42"/>
      <c r="J2409" s="43"/>
      <c r="K2409" s="72">
        <v>3.0</v>
      </c>
      <c r="L2409" s="53" t="s">
        <v>69</v>
      </c>
      <c r="M2409" s="73">
        <v>85000.0</v>
      </c>
      <c r="N2409" s="74"/>
      <c r="O2409" s="73">
        <v>255000.0</v>
      </c>
      <c r="P2409" s="46" t="str">
        <f t="shared" si="2"/>
        <v>Rp85,000-3 PCS-0.00%</v>
      </c>
      <c r="Q2409" s="75">
        <v>45418.0</v>
      </c>
      <c r="R2409" s="75">
        <v>45418.0</v>
      </c>
      <c r="S2409" s="75">
        <v>45425.0</v>
      </c>
      <c r="T2409" s="49"/>
    </row>
    <row r="2410">
      <c r="A2410" s="90">
        <v>3347.0</v>
      </c>
      <c r="B2410" s="91" t="s">
        <v>29</v>
      </c>
      <c r="C2410" s="49" t="s">
        <v>2689</v>
      </c>
      <c r="D2410" s="91" t="s">
        <v>2705</v>
      </c>
      <c r="E2410" s="41" t="str">
        <f>IFERROR(__xludf.DUMMYFUNCTION("vlookup(D2410,IMPORTRANGE(""https://docs.google.com/spreadsheets/d/1swGwZOEqYlTEUCJLY-eeJM1911Kvaei5oySBIxdgtNo/edit?pli=1#gid=257618397"",""stock untanna!B:C""),2,false)"),"ELEVATED TRAY MICROTOP 604")</f>
        <v>ELEVATED TRAY MICROTOP 604</v>
      </c>
      <c r="F2410" s="49" t="s">
        <v>2705</v>
      </c>
      <c r="G2410" s="71" t="s">
        <v>2706</v>
      </c>
      <c r="H2410" s="41"/>
      <c r="I2410" s="42"/>
      <c r="J2410" s="43"/>
      <c r="K2410" s="72">
        <v>3.0</v>
      </c>
      <c r="L2410" s="53" t="s">
        <v>69</v>
      </c>
      <c r="M2410" s="73">
        <v>150000.0</v>
      </c>
      <c r="N2410" s="74"/>
      <c r="O2410" s="73">
        <v>450000.0</v>
      </c>
      <c r="P2410" s="46" t="str">
        <f t="shared" si="2"/>
        <v>Rp150,000-3 PCS-0.00%</v>
      </c>
      <c r="Q2410" s="75">
        <v>45418.0</v>
      </c>
      <c r="R2410" s="75">
        <v>45418.0</v>
      </c>
      <c r="S2410" s="75">
        <v>45425.0</v>
      </c>
      <c r="T2410" s="49"/>
    </row>
    <row r="2411">
      <c r="A2411" s="90">
        <v>3347.0</v>
      </c>
      <c r="B2411" s="91" t="s">
        <v>29</v>
      </c>
      <c r="C2411" s="49" t="s">
        <v>2689</v>
      </c>
      <c r="D2411" s="91"/>
      <c r="E2411" s="41" t="s">
        <v>2707</v>
      </c>
      <c r="F2411" s="49"/>
      <c r="G2411" s="71" t="s">
        <v>2707</v>
      </c>
      <c r="H2411" s="41"/>
      <c r="I2411" s="42"/>
      <c r="J2411" s="43"/>
      <c r="K2411" s="72">
        <v>25.0</v>
      </c>
      <c r="L2411" s="53" t="s">
        <v>69</v>
      </c>
      <c r="M2411" s="73">
        <v>6000.0</v>
      </c>
      <c r="N2411" s="74"/>
      <c r="O2411" s="73">
        <v>150000.0</v>
      </c>
      <c r="P2411" s="46" t="str">
        <f t="shared" si="2"/>
        <v>Rp6,000-25 PCS-0.00%</v>
      </c>
      <c r="Q2411" s="75">
        <v>45418.0</v>
      </c>
      <c r="R2411" s="75">
        <v>45418.0</v>
      </c>
      <c r="S2411" s="75">
        <v>45425.0</v>
      </c>
      <c r="T2411" s="49"/>
    </row>
    <row r="2412">
      <c r="A2412" s="90">
        <v>3347.0</v>
      </c>
      <c r="B2412" s="91" t="s">
        <v>29</v>
      </c>
      <c r="C2412" s="49" t="s">
        <v>2689</v>
      </c>
      <c r="D2412" s="91"/>
      <c r="E2412" s="41" t="s">
        <v>1464</v>
      </c>
      <c r="F2412" s="49"/>
      <c r="G2412" s="71" t="s">
        <v>1464</v>
      </c>
      <c r="H2412" s="41"/>
      <c r="I2412" s="42"/>
      <c r="J2412" s="43"/>
      <c r="K2412" s="72">
        <v>25.0</v>
      </c>
      <c r="L2412" s="53" t="s">
        <v>69</v>
      </c>
      <c r="M2412" s="73">
        <v>7000.0</v>
      </c>
      <c r="N2412" s="74"/>
      <c r="O2412" s="73">
        <v>175000.0</v>
      </c>
      <c r="P2412" s="46" t="str">
        <f t="shared" si="2"/>
        <v>Rp7,000-25 PCS-0.00%</v>
      </c>
      <c r="Q2412" s="75">
        <v>45418.0</v>
      </c>
      <c r="R2412" s="75">
        <v>45418.0</v>
      </c>
      <c r="S2412" s="75">
        <v>45425.0</v>
      </c>
      <c r="T2412" s="49"/>
    </row>
    <row r="2413">
      <c r="A2413" s="90">
        <v>3347.0</v>
      </c>
      <c r="B2413" s="91" t="s">
        <v>29</v>
      </c>
      <c r="C2413" s="49" t="s">
        <v>2689</v>
      </c>
      <c r="D2413" s="91"/>
      <c r="E2413" s="41" t="s">
        <v>1465</v>
      </c>
      <c r="F2413" s="49"/>
      <c r="G2413" s="71" t="s">
        <v>1465</v>
      </c>
      <c r="H2413" s="41"/>
      <c r="I2413" s="42"/>
      <c r="J2413" s="43"/>
      <c r="K2413" s="72">
        <v>25.0</v>
      </c>
      <c r="L2413" s="53" t="s">
        <v>69</v>
      </c>
      <c r="M2413" s="73">
        <v>10000.0</v>
      </c>
      <c r="N2413" s="74"/>
      <c r="O2413" s="73">
        <v>250000.0</v>
      </c>
      <c r="P2413" s="46" t="str">
        <f t="shared" si="2"/>
        <v>Rp10,000-25 PCS-0.00%</v>
      </c>
      <c r="Q2413" s="75">
        <v>45418.0</v>
      </c>
      <c r="R2413" s="75">
        <v>45418.0</v>
      </c>
      <c r="S2413" s="75">
        <v>45425.0</v>
      </c>
      <c r="T2413" s="49"/>
    </row>
    <row r="2414">
      <c r="A2414" s="90">
        <v>3347.0</v>
      </c>
      <c r="B2414" s="91" t="s">
        <v>29</v>
      </c>
      <c r="C2414" s="49" t="s">
        <v>2689</v>
      </c>
      <c r="D2414" s="91" t="s">
        <v>2389</v>
      </c>
      <c r="E2414" s="41" t="str">
        <f>IFERROR(__xludf.DUMMYFUNCTION("vlookup(D2414,IMPORTRANGE(""https://docs.google.com/spreadsheets/d/1swGwZOEqYlTEUCJLY-eeJM1911Kvaei5oySBIxdgtNo/edit?pli=1#gid=257618397"",""stock untanna!B:C""),2,false)"),"ID CARD B3 IMPORT")</f>
        <v>ID CARD B3 IMPORT</v>
      </c>
      <c r="F2414" s="49" t="s">
        <v>2389</v>
      </c>
      <c r="G2414" s="71" t="s">
        <v>2390</v>
      </c>
      <c r="H2414" s="41"/>
      <c r="I2414" s="42"/>
      <c r="J2414" s="43"/>
      <c r="K2414" s="72">
        <v>120.0</v>
      </c>
      <c r="L2414" s="53" t="s">
        <v>69</v>
      </c>
      <c r="M2414" s="73">
        <v>650.0</v>
      </c>
      <c r="N2414" s="74"/>
      <c r="O2414" s="73">
        <v>78000.0</v>
      </c>
      <c r="P2414" s="46" t="str">
        <f t="shared" si="2"/>
        <v>Rp650-120 PCS-0.00%</v>
      </c>
      <c r="Q2414" s="75">
        <v>45418.0</v>
      </c>
      <c r="R2414" s="75">
        <v>45416.0</v>
      </c>
      <c r="S2414" s="75">
        <v>45425.0</v>
      </c>
      <c r="T2414" s="49"/>
    </row>
    <row r="2415">
      <c r="A2415" s="90">
        <v>3347.0</v>
      </c>
      <c r="B2415" s="91" t="s">
        <v>29</v>
      </c>
      <c r="C2415" s="49" t="s">
        <v>2689</v>
      </c>
      <c r="D2415" s="91" t="s">
        <v>77</v>
      </c>
      <c r="E2415" s="41" t="str">
        <f>IFERROR(__xludf.DUMMYFUNCTION("vlookup(D2415,IMPORTRANGE(""https://docs.google.com/spreadsheets/d/1swGwZOEqYlTEUCJLY-eeJM1911Kvaei5oySBIxdgtNo/edit?pli=1#gid=257618397"",""stock untanna!B:C""),2,false)"),"ID CARD B4 IMPORT")</f>
        <v>ID CARD B4 IMPORT</v>
      </c>
      <c r="F2415" s="49" t="s">
        <v>77</v>
      </c>
      <c r="G2415" s="71" t="s">
        <v>78</v>
      </c>
      <c r="H2415" s="41"/>
      <c r="I2415" s="42"/>
      <c r="J2415" s="43"/>
      <c r="K2415" s="72">
        <v>120.0</v>
      </c>
      <c r="L2415" s="53" t="s">
        <v>69</v>
      </c>
      <c r="M2415" s="73">
        <v>750.0</v>
      </c>
      <c r="N2415" s="74"/>
      <c r="O2415" s="73">
        <v>90000.0</v>
      </c>
      <c r="P2415" s="46" t="str">
        <f t="shared" si="2"/>
        <v>Rp750-120 PCS-0.00%</v>
      </c>
      <c r="Q2415" s="75">
        <v>45418.0</v>
      </c>
      <c r="R2415" s="75">
        <v>45416.0</v>
      </c>
      <c r="S2415" s="75">
        <v>45425.0</v>
      </c>
      <c r="T2415" s="49"/>
    </row>
    <row r="2416">
      <c r="A2416" s="90">
        <v>3347.0</v>
      </c>
      <c r="B2416" s="91" t="s">
        <v>29</v>
      </c>
      <c r="C2416" s="49" t="s">
        <v>2689</v>
      </c>
      <c r="D2416" s="91" t="s">
        <v>2515</v>
      </c>
      <c r="E2416" s="41" t="str">
        <f>IFERROR(__xludf.DUMMYFUNCTION("vlookup(D2416,IMPORTRANGE(""https://docs.google.com/spreadsheets/d/1swGwZOEqYlTEUCJLY-eeJM1911Kvaei5oySBIxdgtNo/edit?pli=1#gid=257618397"",""stock untanna!B:C""),2,false)"),"SLIDE BINDER 7MM K PUTIH")</f>
        <v>SLIDE BINDER 7MM K PUTIH</v>
      </c>
      <c r="F2416" s="49" t="s">
        <v>2515</v>
      </c>
      <c r="G2416" s="71" t="s">
        <v>2516</v>
      </c>
      <c r="H2416" s="41"/>
      <c r="I2416" s="42"/>
      <c r="J2416" s="43"/>
      <c r="K2416" s="72">
        <v>25.0</v>
      </c>
      <c r="L2416" s="53" t="s">
        <v>69</v>
      </c>
      <c r="M2416" s="73">
        <v>1850.0</v>
      </c>
      <c r="N2416" s="74"/>
      <c r="O2416" s="73">
        <v>46250.0</v>
      </c>
      <c r="P2416" s="46" t="str">
        <f t="shared" si="2"/>
        <v>Rp1,850-25 PCS-0.00%</v>
      </c>
      <c r="Q2416" s="75">
        <v>45418.0</v>
      </c>
      <c r="R2416" s="75">
        <v>45416.0</v>
      </c>
      <c r="S2416" s="75">
        <v>45425.0</v>
      </c>
      <c r="T2416" s="49"/>
    </row>
    <row r="2417">
      <c r="A2417" s="90">
        <v>4348.0</v>
      </c>
      <c r="B2417" s="91" t="s">
        <v>29</v>
      </c>
      <c r="C2417" s="49" t="s">
        <v>2689</v>
      </c>
      <c r="D2417" s="91"/>
      <c r="E2417" s="41" t="s">
        <v>2708</v>
      </c>
      <c r="F2417" s="49"/>
      <c r="G2417" s="71" t="s">
        <v>2708</v>
      </c>
      <c r="H2417" s="41"/>
      <c r="I2417" s="42"/>
      <c r="J2417" s="43"/>
      <c r="K2417" s="72">
        <v>200.0</v>
      </c>
      <c r="L2417" s="53" t="s">
        <v>69</v>
      </c>
      <c r="M2417" s="73">
        <v>475.0</v>
      </c>
      <c r="N2417" s="74"/>
      <c r="O2417" s="73">
        <v>95000.0</v>
      </c>
      <c r="P2417" s="46" t="str">
        <f t="shared" si="2"/>
        <v>Rp475-200 PCS-0.00%</v>
      </c>
      <c r="Q2417" s="75">
        <v>45418.0</v>
      </c>
      <c r="R2417" s="76"/>
      <c r="S2417" s="75">
        <v>45425.0</v>
      </c>
      <c r="T2417" s="80" t="s">
        <v>280</v>
      </c>
    </row>
    <row r="2418">
      <c r="A2418" s="90">
        <v>4348.0</v>
      </c>
      <c r="B2418" s="91" t="s">
        <v>29</v>
      </c>
      <c r="C2418" s="49" t="s">
        <v>2689</v>
      </c>
      <c r="D2418" s="91" t="s">
        <v>757</v>
      </c>
      <c r="E2418" s="41" t="str">
        <f>IFERROR(__xludf.DUMMYFUNCTION("vlookup(D2418,IMPORTRANGE(""https://docs.google.com/spreadsheets/d/1swGwZOEqYlTEUCJLY-eeJM1911Kvaei5oySBIxdgtNo/edit?pli=1#gid=257618397"",""stock untanna!B:C""),2,false)"),"TIPEX MICROTOP MT 737")</f>
        <v>TIPEX MICROTOP MT 737</v>
      </c>
      <c r="F2418" s="49" t="s">
        <v>757</v>
      </c>
      <c r="G2418" s="71" t="s">
        <v>758</v>
      </c>
      <c r="H2418" s="41"/>
      <c r="I2418" s="42"/>
      <c r="J2418" s="43"/>
      <c r="K2418" s="72">
        <v>1.0</v>
      </c>
      <c r="L2418" s="53" t="s">
        <v>62</v>
      </c>
      <c r="M2418" s="73">
        <v>100000.0</v>
      </c>
      <c r="N2418" s="74"/>
      <c r="O2418" s="73">
        <v>100000.0</v>
      </c>
      <c r="P2418" s="46" t="str">
        <f t="shared" si="2"/>
        <v>Rp100,000-1 LSN-0.00%</v>
      </c>
      <c r="Q2418" s="75">
        <v>45418.0</v>
      </c>
      <c r="R2418" s="76"/>
      <c r="S2418" s="75">
        <v>45425.0</v>
      </c>
      <c r="T2418" s="49"/>
    </row>
    <row r="2419">
      <c r="A2419" s="90">
        <v>4348.0</v>
      </c>
      <c r="B2419" s="91" t="s">
        <v>29</v>
      </c>
      <c r="C2419" s="49" t="s">
        <v>2689</v>
      </c>
      <c r="D2419" s="91" t="s">
        <v>1605</v>
      </c>
      <c r="E2419" s="41" t="str">
        <f>IFERROR(__xludf.DUMMYFUNCTION("vlookup(D2419,IMPORTRANGE(""https://docs.google.com/spreadsheets/d/1swGwZOEqYlTEUCJLY-eeJM1911Kvaei5oySBIxdgtNo/edit?pli=1#gid=257618397"",""stock untanna!B:C""),2,false)"),"TIPEX MICROTOP MT-767")</f>
        <v>TIPEX MICROTOP MT-767</v>
      </c>
      <c r="F2419" s="49" t="s">
        <v>1605</v>
      </c>
      <c r="G2419" s="71" t="s">
        <v>1606</v>
      </c>
      <c r="H2419" s="41"/>
      <c r="I2419" s="42"/>
      <c r="J2419" s="43"/>
      <c r="K2419" s="72">
        <v>1.0</v>
      </c>
      <c r="L2419" s="53" t="s">
        <v>62</v>
      </c>
      <c r="M2419" s="73">
        <v>60000.0</v>
      </c>
      <c r="N2419" s="74"/>
      <c r="O2419" s="73">
        <v>60000.0</v>
      </c>
      <c r="P2419" s="46" t="str">
        <f t="shared" si="2"/>
        <v>Rp60,000-1 LSN-0.00%</v>
      </c>
      <c r="Q2419" s="75">
        <v>45418.0</v>
      </c>
      <c r="R2419" s="76"/>
      <c r="S2419" s="75">
        <v>45425.0</v>
      </c>
      <c r="T2419" s="49" t="s">
        <v>100</v>
      </c>
    </row>
    <row r="2420">
      <c r="A2420" s="90">
        <v>4348.0</v>
      </c>
      <c r="B2420" s="91" t="s">
        <v>29</v>
      </c>
      <c r="C2420" s="49" t="s">
        <v>2689</v>
      </c>
      <c r="D2420" s="91" t="s">
        <v>165</v>
      </c>
      <c r="E2420" s="41" t="str">
        <f>IFERROR(__xludf.DUMMYFUNCTION("vlookup(D2420,IMPORTRANGE(""https://docs.google.com/spreadsheets/d/1swGwZOEqYlTEUCJLY-eeJM1911Kvaei5oySBIxdgtNo/edit?pli=1#gid=257618397"",""stock untanna!B:C""),2,false)"),"BOX FILE MICROTOP A.618/ 3 SUSUN")</f>
        <v>BOX FILE MICROTOP A.618/ 3 SUSUN</v>
      </c>
      <c r="F2420" s="49" t="s">
        <v>165</v>
      </c>
      <c r="G2420" s="71" t="s">
        <v>166</v>
      </c>
      <c r="H2420" s="41"/>
      <c r="I2420" s="42"/>
      <c r="J2420" s="43"/>
      <c r="K2420" s="72">
        <v>6.0</v>
      </c>
      <c r="L2420" s="53" t="s">
        <v>69</v>
      </c>
      <c r="M2420" s="73">
        <v>37500.0</v>
      </c>
      <c r="N2420" s="74"/>
      <c r="O2420" s="73">
        <v>225000.0</v>
      </c>
      <c r="P2420" s="46" t="str">
        <f t="shared" si="2"/>
        <v>Rp37,500-6 PCS-0.00%</v>
      </c>
      <c r="Q2420" s="75">
        <v>45418.0</v>
      </c>
      <c r="R2420" s="76"/>
      <c r="S2420" s="75">
        <v>45425.0</v>
      </c>
      <c r="T2420" s="49"/>
    </row>
    <row r="2421">
      <c r="A2421" s="90">
        <v>4348.0</v>
      </c>
      <c r="B2421" s="91" t="s">
        <v>29</v>
      </c>
      <c r="C2421" s="49" t="s">
        <v>2689</v>
      </c>
      <c r="D2421" s="91"/>
      <c r="E2421" s="41" t="s">
        <v>2709</v>
      </c>
      <c r="F2421" s="49"/>
      <c r="G2421" s="71" t="s">
        <v>2709</v>
      </c>
      <c r="H2421" s="41"/>
      <c r="I2421" s="42"/>
      <c r="J2421" s="43"/>
      <c r="K2421" s="72">
        <v>50.0</v>
      </c>
      <c r="L2421" s="53" t="s">
        <v>69</v>
      </c>
      <c r="M2421" s="73">
        <v>15750.0</v>
      </c>
      <c r="N2421" s="74"/>
      <c r="O2421" s="73">
        <v>787500.0</v>
      </c>
      <c r="P2421" s="46" t="str">
        <f t="shared" si="2"/>
        <v>Rp15,750-50 PCS-0.00%</v>
      </c>
      <c r="Q2421" s="75">
        <v>45418.0</v>
      </c>
      <c r="R2421" s="76"/>
      <c r="S2421" s="75">
        <v>45425.0</v>
      </c>
      <c r="T2421" s="49"/>
    </row>
    <row r="2422">
      <c r="A2422" s="90">
        <v>4348.0</v>
      </c>
      <c r="B2422" s="91" t="s">
        <v>29</v>
      </c>
      <c r="C2422" s="49" t="s">
        <v>2689</v>
      </c>
      <c r="D2422" s="91"/>
      <c r="E2422" s="41" t="s">
        <v>2710</v>
      </c>
      <c r="F2422" s="49"/>
      <c r="G2422" s="71" t="s">
        <v>2710</v>
      </c>
      <c r="H2422" s="41"/>
      <c r="I2422" s="42"/>
      <c r="J2422" s="43"/>
      <c r="K2422" s="72">
        <v>1.0</v>
      </c>
      <c r="L2422" s="53" t="s">
        <v>62</v>
      </c>
      <c r="M2422" s="73">
        <v>190000.0</v>
      </c>
      <c r="N2422" s="74"/>
      <c r="O2422" s="73">
        <v>190000.0</v>
      </c>
      <c r="P2422" s="46" t="str">
        <f t="shared" si="2"/>
        <v>Rp190,000-1 LSN-0.00%</v>
      </c>
      <c r="Q2422" s="75">
        <v>45418.0</v>
      </c>
      <c r="R2422" s="76"/>
      <c r="S2422" s="75">
        <v>45425.0</v>
      </c>
      <c r="T2422" s="80" t="s">
        <v>280</v>
      </c>
    </row>
    <row r="2423">
      <c r="A2423" s="90">
        <v>67.0</v>
      </c>
      <c r="B2423" s="91" t="s">
        <v>29</v>
      </c>
      <c r="C2423" s="49" t="s">
        <v>2711</v>
      </c>
      <c r="D2423" s="91" t="s">
        <v>1307</v>
      </c>
      <c r="E2423" s="41" t="str">
        <f>IFERROR(__xludf.DUMMYFUNCTION("vlookup(D2423,IMPORTRANGE(""https://docs.google.com/spreadsheets/d/1swGwZOEqYlTEUCJLY-eeJM1911Kvaei5oySBIxdgtNo/edit?pli=1#gid=257618397"",""stock untanna!B:C""),2,false)"),"BP E 8805 MULTI WARNA (24)")</f>
        <v>BP E 8805 MULTI WARNA (24)</v>
      </c>
      <c r="F2423" s="49" t="s">
        <v>1307</v>
      </c>
      <c r="G2423" s="71" t="s">
        <v>1308</v>
      </c>
      <c r="H2423" s="41"/>
      <c r="I2423" s="42"/>
      <c r="J2423" s="43"/>
      <c r="K2423" s="72">
        <v>1.0</v>
      </c>
      <c r="L2423" s="53" t="s">
        <v>88</v>
      </c>
      <c r="M2423" s="73">
        <v>168000.0</v>
      </c>
      <c r="N2423" s="74"/>
      <c r="O2423" s="73">
        <v>168000.0</v>
      </c>
      <c r="P2423" s="46" t="str">
        <f t="shared" si="2"/>
        <v>Rp168,000-1 BOX-0.00%</v>
      </c>
      <c r="Q2423" s="75">
        <v>45418.0</v>
      </c>
      <c r="R2423" s="75">
        <v>45418.0</v>
      </c>
      <c r="S2423" s="75">
        <v>45425.0</v>
      </c>
      <c r="T2423" s="49"/>
    </row>
    <row r="2424">
      <c r="A2424" s="90">
        <v>67.0</v>
      </c>
      <c r="B2424" s="91" t="s">
        <v>29</v>
      </c>
      <c r="C2424" s="49" t="s">
        <v>2711</v>
      </c>
      <c r="D2424" s="91" t="s">
        <v>978</v>
      </c>
      <c r="E2424" s="41" t="str">
        <f>IFERROR(__xludf.DUMMYFUNCTION("vlookup(D2424,IMPORTRANGE(""https://docs.google.com/spreadsheets/d/1swGwZOEqYlTEUCJLY-eeJM1911Kvaei5oySBIxdgtNo/edit?pli=1#gid=257618397"",""stock untanna!B:C""),2,false)"),"GUNTING JUNIOR J-300")</f>
        <v>GUNTING JUNIOR J-300</v>
      </c>
      <c r="F2424" s="49" t="s">
        <v>978</v>
      </c>
      <c r="G2424" s="71" t="s">
        <v>979</v>
      </c>
      <c r="H2424" s="41"/>
      <c r="I2424" s="42"/>
      <c r="J2424" s="43"/>
      <c r="K2424" s="72">
        <v>3.0</v>
      </c>
      <c r="L2424" s="53" t="s">
        <v>62</v>
      </c>
      <c r="M2424" s="73">
        <v>52500.0</v>
      </c>
      <c r="N2424" s="74"/>
      <c r="O2424" s="73">
        <v>157500.0</v>
      </c>
      <c r="P2424" s="46" t="str">
        <f t="shared" si="2"/>
        <v>Rp52,500-3 LSN-0.00%</v>
      </c>
      <c r="Q2424" s="75">
        <v>45418.0</v>
      </c>
      <c r="R2424" s="75">
        <v>45418.0</v>
      </c>
      <c r="S2424" s="75">
        <v>45425.0</v>
      </c>
      <c r="T2424" s="49"/>
    </row>
    <row r="2425">
      <c r="A2425" s="90">
        <v>67.0</v>
      </c>
      <c r="B2425" s="91" t="s">
        <v>29</v>
      </c>
      <c r="C2425" s="49" t="s">
        <v>2711</v>
      </c>
      <c r="D2425" s="91" t="s">
        <v>2712</v>
      </c>
      <c r="E2425" s="41" t="str">
        <f>IFERROR(__xludf.DUMMYFUNCTION("vlookup(D2425,IMPORTRANGE(""https://docs.google.com/spreadsheets/d/1swGwZOEqYlTEUCJLY-eeJM1911Kvaei5oySBIxdgtNo/edit?pli=1#gid=257618397"",""stock untanna!B:C""),2,false)"),"GUNTING JUNIOR J 400")</f>
        <v>GUNTING JUNIOR J 400</v>
      </c>
      <c r="F2425" s="49" t="s">
        <v>2712</v>
      </c>
      <c r="G2425" s="71" t="s">
        <v>2713</v>
      </c>
      <c r="H2425" s="41"/>
      <c r="I2425" s="42"/>
      <c r="J2425" s="43"/>
      <c r="K2425" s="72">
        <v>3.0</v>
      </c>
      <c r="L2425" s="53" t="s">
        <v>62</v>
      </c>
      <c r="M2425" s="73">
        <v>51500.0</v>
      </c>
      <c r="N2425" s="74"/>
      <c r="O2425" s="73">
        <v>154500.0</v>
      </c>
      <c r="P2425" s="46" t="str">
        <f t="shared" si="2"/>
        <v>Rp51,500-3 LSN-0.00%</v>
      </c>
      <c r="Q2425" s="75">
        <v>45418.0</v>
      </c>
      <c r="R2425" s="75">
        <v>45418.0</v>
      </c>
      <c r="S2425" s="75">
        <v>45425.0</v>
      </c>
      <c r="T2425" s="49"/>
    </row>
    <row r="2426">
      <c r="A2426" s="90">
        <v>67.0</v>
      </c>
      <c r="B2426" s="91" t="s">
        <v>29</v>
      </c>
      <c r="C2426" s="49" t="s">
        <v>2711</v>
      </c>
      <c r="D2426" s="91" t="s">
        <v>1960</v>
      </c>
      <c r="E2426" s="41" t="str">
        <f>IFERROR(__xludf.DUMMYFUNCTION("vlookup(D2426,IMPORTRANGE(""https://docs.google.com/spreadsheets/d/1swGwZOEqYlTEUCJLY-eeJM1911Kvaei5oySBIxdgtNo/edit?pli=1#gid=257618397"",""stock untanna!B:C""),2,false)"),"GUNTING JUNIOR J 200")</f>
        <v>GUNTING JUNIOR J 200</v>
      </c>
      <c r="F2426" s="49" t="s">
        <v>1960</v>
      </c>
      <c r="G2426" s="71" t="s">
        <v>1961</v>
      </c>
      <c r="H2426" s="41"/>
      <c r="I2426" s="42"/>
      <c r="J2426" s="43"/>
      <c r="K2426" s="72">
        <v>3.0</v>
      </c>
      <c r="L2426" s="53" t="s">
        <v>62</v>
      </c>
      <c r="M2426" s="73">
        <v>42500.0</v>
      </c>
      <c r="N2426" s="74"/>
      <c r="O2426" s="73">
        <v>127500.0</v>
      </c>
      <c r="P2426" s="46" t="str">
        <f t="shared" si="2"/>
        <v>Rp42,500-3 LSN-0.00%</v>
      </c>
      <c r="Q2426" s="75">
        <v>45418.0</v>
      </c>
      <c r="R2426" s="75">
        <v>45418.0</v>
      </c>
      <c r="S2426" s="75">
        <v>45425.0</v>
      </c>
      <c r="T2426" s="49"/>
    </row>
    <row r="2427">
      <c r="A2427" s="90">
        <v>67.0</v>
      </c>
      <c r="B2427" s="91" t="s">
        <v>29</v>
      </c>
      <c r="C2427" s="49" t="s">
        <v>2711</v>
      </c>
      <c r="D2427" s="91" t="s">
        <v>976</v>
      </c>
      <c r="E2427" s="41" t="str">
        <f>IFERROR(__xludf.DUMMYFUNCTION("vlookup(D2427,IMPORTRANGE(""https://docs.google.com/spreadsheets/d/1swGwZOEqYlTEUCJLY-eeJM1911Kvaei5oySBIxdgtNo/edit?pli=1#gid=257618397"",""stock untanna!B:C""),2,false)"),"GUNTING JUNIOR J 100")</f>
        <v>GUNTING JUNIOR J 100</v>
      </c>
      <c r="F2427" s="49" t="s">
        <v>976</v>
      </c>
      <c r="G2427" s="71" t="s">
        <v>977</v>
      </c>
      <c r="H2427" s="41"/>
      <c r="I2427" s="42"/>
      <c r="J2427" s="43"/>
      <c r="K2427" s="72">
        <v>3.0</v>
      </c>
      <c r="L2427" s="53" t="s">
        <v>62</v>
      </c>
      <c r="M2427" s="73">
        <v>40000.0</v>
      </c>
      <c r="N2427" s="74"/>
      <c r="O2427" s="73">
        <v>120000.0</v>
      </c>
      <c r="P2427" s="46" t="str">
        <f t="shared" si="2"/>
        <v>Rp40,000-3 LSN-0.00%</v>
      </c>
      <c r="Q2427" s="75">
        <v>45418.0</v>
      </c>
      <c r="R2427" s="75">
        <v>45418.0</v>
      </c>
      <c r="S2427" s="75">
        <v>45425.0</v>
      </c>
      <c r="T2427" s="49"/>
    </row>
    <row r="2428">
      <c r="A2428" s="90">
        <v>67.0</v>
      </c>
      <c r="B2428" s="91" t="s">
        <v>29</v>
      </c>
      <c r="C2428" s="49" t="s">
        <v>2711</v>
      </c>
      <c r="D2428" s="77" t="s">
        <v>2632</v>
      </c>
      <c r="E2428" s="41" t="str">
        <f>IFERROR(__xludf.DUMMYFUNCTION("vlookup(D2428,IMPORTRANGE(""https://docs.google.com/spreadsheets/d/1swGwZOEqYlTEUCJLY-eeJM1911Kvaei5oySBIxdgtNo/edit?pli=1#gid=257618397"",""stock untanna!B:C""),2,false)"),"GUNTING 8 (B 021)")</f>
        <v>GUNTING 8 (B 021)</v>
      </c>
      <c r="F2428" s="49" t="s">
        <v>2633</v>
      </c>
      <c r="G2428" s="71" t="s">
        <v>2634</v>
      </c>
      <c r="H2428" s="41"/>
      <c r="I2428" s="42"/>
      <c r="J2428" s="43"/>
      <c r="K2428" s="72">
        <v>12.0</v>
      </c>
      <c r="L2428" s="53" t="s">
        <v>69</v>
      </c>
      <c r="M2428" s="73">
        <v>13333.0</v>
      </c>
      <c r="N2428" s="74"/>
      <c r="O2428" s="73">
        <v>159996.0</v>
      </c>
      <c r="P2428" s="46" t="str">
        <f t="shared" si="2"/>
        <v>Rp13,333-12 PCS-0.00%</v>
      </c>
      <c r="Q2428" s="75">
        <v>45418.0</v>
      </c>
      <c r="R2428" s="75">
        <v>45418.0</v>
      </c>
      <c r="S2428" s="75">
        <v>45425.0</v>
      </c>
      <c r="T2428" s="49"/>
    </row>
    <row r="2429">
      <c r="A2429" s="90">
        <v>67.0</v>
      </c>
      <c r="B2429" s="91" t="s">
        <v>29</v>
      </c>
      <c r="C2429" s="49" t="s">
        <v>2711</v>
      </c>
      <c r="D2429" s="91" t="s">
        <v>2714</v>
      </c>
      <c r="E2429" s="41" t="str">
        <f>IFERROR(__xludf.DUMMYFUNCTION("vlookup(D2429,IMPORTRANGE(""https://docs.google.com/spreadsheets/d/1swGwZOEqYlTEUCJLY-eeJM1911Kvaei5oySBIxdgtNo/edit?pli=1#gid=257618397"",""stock untanna!B:C""),2,false)"),"GUNTING 6 (B 023)")</f>
        <v>GUNTING 6 (B 023)</v>
      </c>
      <c r="F2429" s="49" t="s">
        <v>2714</v>
      </c>
      <c r="G2429" s="71" t="s">
        <v>2715</v>
      </c>
      <c r="H2429" s="41"/>
      <c r="I2429" s="42"/>
      <c r="J2429" s="43"/>
      <c r="K2429" s="72">
        <v>1.0</v>
      </c>
      <c r="L2429" s="53" t="s">
        <v>62</v>
      </c>
      <c r="M2429" s="73">
        <v>135000.0</v>
      </c>
      <c r="N2429" s="74"/>
      <c r="O2429" s="73">
        <v>135000.0</v>
      </c>
      <c r="P2429" s="46" t="str">
        <f t="shared" si="2"/>
        <v>Rp135,000-1 LSN-0.00%</v>
      </c>
      <c r="Q2429" s="75">
        <v>45418.0</v>
      </c>
      <c r="R2429" s="75">
        <v>45418.0</v>
      </c>
      <c r="S2429" s="75">
        <v>45425.0</v>
      </c>
      <c r="T2429" s="49"/>
    </row>
    <row r="2430">
      <c r="A2430" s="90">
        <v>67.0</v>
      </c>
      <c r="B2430" s="91" t="s">
        <v>29</v>
      </c>
      <c r="C2430" s="49" t="s">
        <v>2711</v>
      </c>
      <c r="D2430" s="91" t="s">
        <v>2716</v>
      </c>
      <c r="E2430" s="41" t="str">
        <f>IFERROR(__xludf.DUMMYFUNCTION("vlookup(D2430,IMPORTRANGE(""https://docs.google.com/spreadsheets/d/1swGwZOEqYlTEUCJLY-eeJM1911Kvaei5oySBIxdgtNo/edit?pli=1#gid=257618397"",""stock untanna!B:C""),2,false)"),"STAPLER (GUN TACKER) 1008F JOSS")</f>
        <v>STAPLER (GUN TACKER) 1008F JOSS</v>
      </c>
      <c r="F2430" s="49" t="s">
        <v>2716</v>
      </c>
      <c r="G2430" s="71" t="s">
        <v>2717</v>
      </c>
      <c r="H2430" s="41"/>
      <c r="I2430" s="42"/>
      <c r="J2430" s="43"/>
      <c r="K2430" s="72">
        <v>6.0</v>
      </c>
      <c r="L2430" s="53" t="s">
        <v>69</v>
      </c>
      <c r="M2430" s="73">
        <v>70000.0</v>
      </c>
      <c r="N2430" s="74"/>
      <c r="O2430" s="73">
        <v>420000.0</v>
      </c>
      <c r="P2430" s="46" t="str">
        <f t="shared" si="2"/>
        <v>Rp70,000-6 PCS-0.00%</v>
      </c>
      <c r="Q2430" s="75">
        <v>45418.0</v>
      </c>
      <c r="R2430" s="75">
        <v>45418.0</v>
      </c>
      <c r="S2430" s="75">
        <v>45425.0</v>
      </c>
      <c r="T2430" s="49"/>
    </row>
    <row r="2431">
      <c r="A2431" s="90">
        <v>67.0</v>
      </c>
      <c r="B2431" s="91" t="s">
        <v>29</v>
      </c>
      <c r="C2431" s="49" t="s">
        <v>2711</v>
      </c>
      <c r="D2431" s="91"/>
      <c r="E2431" s="41" t="s">
        <v>2718</v>
      </c>
      <c r="F2431" s="49"/>
      <c r="G2431" s="71" t="s">
        <v>2718</v>
      </c>
      <c r="H2431" s="41"/>
      <c r="I2431" s="42"/>
      <c r="J2431" s="43"/>
      <c r="K2431" s="72">
        <v>1.0</v>
      </c>
      <c r="L2431" s="53" t="s">
        <v>62</v>
      </c>
      <c r="M2431" s="73">
        <v>97500.0</v>
      </c>
      <c r="N2431" s="74"/>
      <c r="O2431" s="73">
        <v>97500.0</v>
      </c>
      <c r="P2431" s="46" t="str">
        <f t="shared" si="2"/>
        <v>Rp97,500-1 LSN-0.00%</v>
      </c>
      <c r="Q2431" s="75">
        <v>45418.0</v>
      </c>
      <c r="R2431" s="75">
        <v>45418.0</v>
      </c>
      <c r="S2431" s="75">
        <v>45425.0</v>
      </c>
      <c r="T2431" s="49"/>
    </row>
    <row r="2432">
      <c r="A2432" s="90">
        <v>67.0</v>
      </c>
      <c r="B2432" s="91" t="s">
        <v>29</v>
      </c>
      <c r="C2432" s="49" t="s">
        <v>2711</v>
      </c>
      <c r="D2432" s="91"/>
      <c r="E2432" s="41" t="s">
        <v>2719</v>
      </c>
      <c r="F2432" s="49"/>
      <c r="G2432" s="71" t="s">
        <v>2719</v>
      </c>
      <c r="H2432" s="41"/>
      <c r="I2432" s="42"/>
      <c r="J2432" s="43"/>
      <c r="K2432" s="72">
        <v>1.0</v>
      </c>
      <c r="L2432" s="53" t="s">
        <v>62</v>
      </c>
      <c r="M2432" s="73">
        <v>97500.0</v>
      </c>
      <c r="N2432" s="74"/>
      <c r="O2432" s="73">
        <v>97500.0</v>
      </c>
      <c r="P2432" s="46" t="str">
        <f t="shared" si="2"/>
        <v>Rp97,500-1 LSN-0.00%</v>
      </c>
      <c r="Q2432" s="75">
        <v>45418.0</v>
      </c>
      <c r="R2432" s="75">
        <v>45418.0</v>
      </c>
      <c r="S2432" s="75">
        <v>45425.0</v>
      </c>
      <c r="T2432" s="49"/>
    </row>
    <row r="2433">
      <c r="A2433" s="90">
        <v>67.0</v>
      </c>
      <c r="B2433" s="91" t="s">
        <v>29</v>
      </c>
      <c r="C2433" s="49" t="s">
        <v>2711</v>
      </c>
      <c r="D2433" s="91"/>
      <c r="E2433" s="41" t="s">
        <v>2720</v>
      </c>
      <c r="F2433" s="49"/>
      <c r="G2433" s="71" t="s">
        <v>2720</v>
      </c>
      <c r="H2433" s="41"/>
      <c r="I2433" s="42"/>
      <c r="J2433" s="43"/>
      <c r="K2433" s="72">
        <v>1.0</v>
      </c>
      <c r="L2433" s="53" t="s">
        <v>62</v>
      </c>
      <c r="M2433" s="73">
        <v>75000.0</v>
      </c>
      <c r="N2433" s="74"/>
      <c r="O2433" s="73">
        <v>75000.0</v>
      </c>
      <c r="P2433" s="46" t="str">
        <f t="shared" si="2"/>
        <v>Rp75,000-1 LSN-0.00%</v>
      </c>
      <c r="Q2433" s="75">
        <v>45418.0</v>
      </c>
      <c r="R2433" s="75">
        <v>45418.0</v>
      </c>
      <c r="S2433" s="75">
        <v>45425.0</v>
      </c>
      <c r="T2433" s="49"/>
    </row>
    <row r="2434">
      <c r="A2434" s="90">
        <v>67.0</v>
      </c>
      <c r="B2434" s="91" t="s">
        <v>29</v>
      </c>
      <c r="C2434" s="49" t="s">
        <v>2711</v>
      </c>
      <c r="D2434" s="91" t="s">
        <v>1009</v>
      </c>
      <c r="E2434" s="41" t="str">
        <f>IFERROR(__xludf.DUMMYFUNCTION("vlookup(D2434,IMPORTRANGE(""https://docs.google.com/spreadsheets/d/1swGwZOEqYlTEUCJLY-eeJM1911Kvaei5oySBIxdgtNo/edit?pli=1#gid=257618397"",""stock untanna!B:C""),2,false)"),"MAGNIFIER LW-60")</f>
        <v>MAGNIFIER LW-60</v>
      </c>
      <c r="F2434" s="49" t="s">
        <v>1009</v>
      </c>
      <c r="G2434" s="71" t="s">
        <v>1010</v>
      </c>
      <c r="H2434" s="41"/>
      <c r="I2434" s="42"/>
      <c r="J2434" s="43"/>
      <c r="K2434" s="72">
        <v>12.0</v>
      </c>
      <c r="L2434" s="53" t="s">
        <v>69</v>
      </c>
      <c r="M2434" s="73">
        <v>7083.0</v>
      </c>
      <c r="N2434" s="74"/>
      <c r="O2434" s="73">
        <v>84996.0</v>
      </c>
      <c r="P2434" s="46" t="str">
        <f t="shared" si="2"/>
        <v>Rp7,083-12 PCS-0.00%</v>
      </c>
      <c r="Q2434" s="75">
        <v>45418.0</v>
      </c>
      <c r="R2434" s="75">
        <v>45418.0</v>
      </c>
      <c r="S2434" s="75">
        <v>45425.0</v>
      </c>
      <c r="T2434" s="49"/>
    </row>
    <row r="2435">
      <c r="A2435" s="90">
        <v>67.0</v>
      </c>
      <c r="B2435" s="91" t="s">
        <v>29</v>
      </c>
      <c r="C2435" s="49" t="s">
        <v>2711</v>
      </c>
      <c r="D2435" s="91"/>
      <c r="E2435" s="41" t="s">
        <v>2721</v>
      </c>
      <c r="F2435" s="49"/>
      <c r="G2435" s="71" t="s">
        <v>2721</v>
      </c>
      <c r="H2435" s="41"/>
      <c r="I2435" s="42"/>
      <c r="J2435" s="43"/>
      <c r="K2435" s="72">
        <v>1.0</v>
      </c>
      <c r="L2435" s="53" t="s">
        <v>62</v>
      </c>
      <c r="M2435" s="73">
        <v>95000.0</v>
      </c>
      <c r="N2435" s="74"/>
      <c r="O2435" s="73">
        <v>95000.0</v>
      </c>
      <c r="P2435" s="46" t="str">
        <f t="shared" si="2"/>
        <v>Rp95,000-1 LSN-0.00%</v>
      </c>
      <c r="Q2435" s="75">
        <v>45418.0</v>
      </c>
      <c r="R2435" s="75">
        <v>45418.0</v>
      </c>
      <c r="S2435" s="75">
        <v>45425.0</v>
      </c>
      <c r="T2435" s="49"/>
    </row>
    <row r="2436">
      <c r="A2436" s="90">
        <v>67.0</v>
      </c>
      <c r="B2436" s="91" t="s">
        <v>29</v>
      </c>
      <c r="C2436" s="49" t="s">
        <v>2711</v>
      </c>
      <c r="D2436" s="91" t="s">
        <v>1015</v>
      </c>
      <c r="E2436" s="41" t="str">
        <f>IFERROR(__xludf.DUMMYFUNCTION("vlookup(D2436,IMPORTRANGE(""https://docs.google.com/spreadsheets/d/1swGwZOEqYlTEUCJLY-eeJM1911Kvaei5oySBIxdgtNo/edit?pli=1#gid=257618397"",""stock untanna!B:C""),2,false)"),"MAGNIFIER LW-90")</f>
        <v>MAGNIFIER LW-90</v>
      </c>
      <c r="F2436" s="49" t="s">
        <v>1015</v>
      </c>
      <c r="G2436" s="71" t="s">
        <v>1016</v>
      </c>
      <c r="H2436" s="41"/>
      <c r="I2436" s="42"/>
      <c r="J2436" s="43"/>
      <c r="K2436" s="72">
        <v>12.0</v>
      </c>
      <c r="L2436" s="53" t="s">
        <v>69</v>
      </c>
      <c r="M2436" s="73">
        <v>9583.0</v>
      </c>
      <c r="N2436" s="74"/>
      <c r="O2436" s="73">
        <v>114996.0</v>
      </c>
      <c r="P2436" s="46" t="str">
        <f t="shared" si="2"/>
        <v>Rp9,583-12 PCS-0.00%</v>
      </c>
      <c r="Q2436" s="75">
        <v>45418.0</v>
      </c>
      <c r="R2436" s="75">
        <v>45418.0</v>
      </c>
      <c r="S2436" s="75">
        <v>45425.0</v>
      </c>
      <c r="T2436" s="49"/>
    </row>
    <row r="2437">
      <c r="A2437" s="90">
        <v>67.0</v>
      </c>
      <c r="B2437" s="91" t="s">
        <v>29</v>
      </c>
      <c r="C2437" s="49" t="s">
        <v>2711</v>
      </c>
      <c r="D2437" s="91"/>
      <c r="E2437" s="41" t="s">
        <v>2722</v>
      </c>
      <c r="F2437" s="49"/>
      <c r="G2437" s="71" t="s">
        <v>2722</v>
      </c>
      <c r="H2437" s="41"/>
      <c r="I2437" s="42"/>
      <c r="J2437" s="43"/>
      <c r="K2437" s="72">
        <v>1.0</v>
      </c>
      <c r="L2437" s="53" t="s">
        <v>62</v>
      </c>
      <c r="M2437" s="73">
        <v>150000.0</v>
      </c>
      <c r="N2437" s="74"/>
      <c r="O2437" s="73">
        <v>150000.0</v>
      </c>
      <c r="P2437" s="46" t="str">
        <f t="shared" si="2"/>
        <v>Rp150,000-1 LSN-0.00%</v>
      </c>
      <c r="Q2437" s="75">
        <v>45418.0</v>
      </c>
      <c r="R2437" s="75">
        <v>45418.0</v>
      </c>
      <c r="S2437" s="75">
        <v>45425.0</v>
      </c>
      <c r="T2437" s="49"/>
    </row>
    <row r="2438">
      <c r="A2438" s="90">
        <v>67.0</v>
      </c>
      <c r="B2438" s="91" t="s">
        <v>29</v>
      </c>
      <c r="C2438" s="49" t="s">
        <v>2711</v>
      </c>
      <c r="D2438" s="91" t="s">
        <v>398</v>
      </c>
      <c r="E2438" s="41" t="str">
        <f>IFERROR(__xludf.DUMMYFUNCTION("vlookup(D2438,IMPORTRANGE(""https://docs.google.com/spreadsheets/d/1swGwZOEqYlTEUCJLY-eeJM1911Kvaei5oySBIxdgtNo/edit?pli=1#gid=257618397"",""stock untanna!B:C""),2,false)"),"GUNTING TREND SS")</f>
        <v>GUNTING TREND SS</v>
      </c>
      <c r="F2438" s="49" t="s">
        <v>398</v>
      </c>
      <c r="G2438" s="71" t="s">
        <v>399</v>
      </c>
      <c r="H2438" s="41"/>
      <c r="I2438" s="42"/>
      <c r="J2438" s="43"/>
      <c r="K2438" s="72">
        <v>10.0</v>
      </c>
      <c r="L2438" s="53" t="s">
        <v>62</v>
      </c>
      <c r="M2438" s="73">
        <v>29000.0</v>
      </c>
      <c r="N2438" s="74"/>
      <c r="O2438" s="73">
        <v>290000.0</v>
      </c>
      <c r="P2438" s="46" t="str">
        <f t="shared" si="2"/>
        <v>Rp29,000-10 LSN-0.00%</v>
      </c>
      <c r="Q2438" s="75">
        <v>45418.0</v>
      </c>
      <c r="R2438" s="75">
        <v>45418.0</v>
      </c>
      <c r="S2438" s="75">
        <v>45425.0</v>
      </c>
      <c r="T2438" s="49"/>
    </row>
    <row r="2439">
      <c r="A2439" s="90">
        <v>68.0</v>
      </c>
      <c r="B2439" s="91" t="s">
        <v>29</v>
      </c>
      <c r="C2439" s="49" t="s">
        <v>2711</v>
      </c>
      <c r="D2439" s="91" t="s">
        <v>2723</v>
      </c>
      <c r="E2439" s="41" t="str">
        <f>IFERROR(__xludf.DUMMYFUNCTION("vlookup(D2439,IMPORTRANGE(""https://docs.google.com/spreadsheets/d/1swGwZOEqYlTEUCJLY-eeJM1911Kvaei5oySBIxdgtNo/edit?pli=1#gid=257618397"",""stock untanna!B:C""),2,false)"),"GARISAN SET ACRYLIC 30CM GR-180456")</f>
        <v>GARISAN SET ACRYLIC 30CM GR-180456</v>
      </c>
      <c r="F2439" s="49" t="s">
        <v>2723</v>
      </c>
      <c r="G2439" s="71" t="s">
        <v>2724</v>
      </c>
      <c r="H2439" s="41"/>
      <c r="I2439" s="42"/>
      <c r="J2439" s="43"/>
      <c r="K2439" s="72">
        <v>12.0</v>
      </c>
      <c r="L2439" s="53" t="s">
        <v>84</v>
      </c>
      <c r="M2439" s="73">
        <v>16667.0</v>
      </c>
      <c r="N2439" s="74"/>
      <c r="O2439" s="73">
        <v>200004.0</v>
      </c>
      <c r="P2439" s="46" t="str">
        <f t="shared" si="2"/>
        <v>Rp16,667-12 SET-0.00%</v>
      </c>
      <c r="Q2439" s="75">
        <v>45418.0</v>
      </c>
      <c r="R2439" s="75">
        <v>45418.0</v>
      </c>
      <c r="S2439" s="75">
        <v>45425.0</v>
      </c>
      <c r="T2439" s="49"/>
    </row>
    <row r="2440">
      <c r="A2440" s="90">
        <v>68.0</v>
      </c>
      <c r="B2440" s="91" t="s">
        <v>29</v>
      </c>
      <c r="C2440" s="49" t="s">
        <v>2711</v>
      </c>
      <c r="D2440" s="91" t="s">
        <v>2725</v>
      </c>
      <c r="E2440" s="41" t="str">
        <f>IFERROR(__xludf.DUMMYFUNCTION("vlookup(D2440,IMPORTRANGE(""https://docs.google.com/spreadsheets/d/1swGwZOEqYlTEUCJLY-eeJM1911Kvaei5oySBIxdgtNo/edit?pli=1#gid=257618397"",""stock untanna!B:C""),2,false)"),"GARISAN SET ACRYLIC 20CM GR-180455")</f>
        <v>GARISAN SET ACRYLIC 20CM GR-180455</v>
      </c>
      <c r="F2440" s="49" t="s">
        <v>2725</v>
      </c>
      <c r="G2440" s="71" t="s">
        <v>2726</v>
      </c>
      <c r="H2440" s="41"/>
      <c r="I2440" s="42"/>
      <c r="J2440" s="43"/>
      <c r="K2440" s="72">
        <v>12.0</v>
      </c>
      <c r="L2440" s="53" t="s">
        <v>84</v>
      </c>
      <c r="M2440" s="73">
        <v>13333.0</v>
      </c>
      <c r="N2440" s="74"/>
      <c r="O2440" s="73">
        <v>159996.0</v>
      </c>
      <c r="P2440" s="46" t="str">
        <f t="shared" si="2"/>
        <v>Rp13,333-12 SET-0.00%</v>
      </c>
      <c r="Q2440" s="75">
        <v>45418.0</v>
      </c>
      <c r="R2440" s="75">
        <v>45418.0</v>
      </c>
      <c r="S2440" s="75">
        <v>45425.0</v>
      </c>
      <c r="T2440" s="49"/>
    </row>
    <row r="2441">
      <c r="A2441" s="90">
        <v>68.0</v>
      </c>
      <c r="B2441" s="91" t="s">
        <v>29</v>
      </c>
      <c r="C2441" s="49" t="s">
        <v>2711</v>
      </c>
      <c r="D2441" s="77" t="s">
        <v>2727</v>
      </c>
      <c r="E2441" s="41" t="str">
        <f>IFERROR(__xludf.DUMMYFUNCTION("vlookup(D2441,IMPORTRANGE(""https://docs.google.com/spreadsheets/d/1swGwZOEqYlTEUCJLY-eeJM1911Kvaei5oySBIxdgtNo/edit?pli=1#gid=257618397"",""stock untanna!B:C""),2,false)"),"LETTER TRAY BESI 3 SUSUN (2003)")</f>
        <v>LETTER TRAY BESI 3 SUSUN (2003)</v>
      </c>
      <c r="F2441" s="49" t="s">
        <v>2728</v>
      </c>
      <c r="G2441" s="71" t="s">
        <v>2729</v>
      </c>
      <c r="H2441" s="41"/>
      <c r="I2441" s="42"/>
      <c r="J2441" s="43"/>
      <c r="K2441" s="72">
        <v>6.0</v>
      </c>
      <c r="L2441" s="53" t="s">
        <v>69</v>
      </c>
      <c r="M2441" s="73">
        <v>80000.0</v>
      </c>
      <c r="N2441" s="74"/>
      <c r="O2441" s="73">
        <v>480000.0</v>
      </c>
      <c r="P2441" s="46" t="str">
        <f t="shared" si="2"/>
        <v>Rp80,000-6 PCS-0.00%</v>
      </c>
      <c r="Q2441" s="75">
        <v>45418.0</v>
      </c>
      <c r="R2441" s="75">
        <v>45418.0</v>
      </c>
      <c r="S2441" s="75">
        <v>45425.0</v>
      </c>
      <c r="T2441" s="49"/>
    </row>
    <row r="2442">
      <c r="A2442" s="90">
        <v>68.0</v>
      </c>
      <c r="B2442" s="91" t="s">
        <v>29</v>
      </c>
      <c r="C2442" s="49" t="s">
        <v>2711</v>
      </c>
      <c r="D2442" s="77" t="s">
        <v>2730</v>
      </c>
      <c r="E2442" s="41" t="str">
        <f>IFERROR(__xludf.DUMMYFUNCTION("vlookup(D2442,IMPORTRANGE(""https://docs.google.com/spreadsheets/d/1swGwZOEqYlTEUCJLY-eeJM1911Kvaei5oySBIxdgtNo/edit?pli=1#gid=257618397"",""stock untanna!B:C""),2,false)"),"LETTER TRAY SUSUN 4 (2004) BESI")</f>
        <v>LETTER TRAY SUSUN 4 (2004) BESI</v>
      </c>
      <c r="F2442" s="49" t="s">
        <v>2731</v>
      </c>
      <c r="G2442" s="71" t="s">
        <v>2732</v>
      </c>
      <c r="H2442" s="41"/>
      <c r="I2442" s="42"/>
      <c r="J2442" s="43"/>
      <c r="K2442" s="72">
        <v>6.0</v>
      </c>
      <c r="L2442" s="53" t="s">
        <v>69</v>
      </c>
      <c r="M2442" s="73">
        <v>105000.0</v>
      </c>
      <c r="N2442" s="74"/>
      <c r="O2442" s="73">
        <v>630000.0</v>
      </c>
      <c r="P2442" s="46" t="str">
        <f t="shared" si="2"/>
        <v>Rp105,000-6 PCS-0.00%</v>
      </c>
      <c r="Q2442" s="75">
        <v>45418.0</v>
      </c>
      <c r="R2442" s="75">
        <v>45418.0</v>
      </c>
      <c r="S2442" s="75">
        <v>45425.0</v>
      </c>
      <c r="T2442" s="49"/>
    </row>
    <row r="2443">
      <c r="A2443" s="90">
        <v>68.0</v>
      </c>
      <c r="B2443" s="91" t="s">
        <v>29</v>
      </c>
      <c r="C2443" s="49" t="s">
        <v>2711</v>
      </c>
      <c r="D2443" s="77" t="s">
        <v>2536</v>
      </c>
      <c r="E2443" s="41" t="str">
        <f>IFERROR(__xludf.DUMMYFUNCTION("IFNA(vlookup(D2443,IMPORTRANGE(""https://docs.google.com/spreadsheets/d/1swGwZOEqYlTEUCJLY-eeJM1911Kvaei5oySBIxdgtNo/edit?pli=1#gid=257618397"",""stock untanna!B:C""),2,false),V:V)"),"BP DEBOZZ DB G 07")</f>
        <v>BP DEBOZZ DB G 07</v>
      </c>
      <c r="F2443" s="49"/>
      <c r="G2443" s="71" t="s">
        <v>2537</v>
      </c>
      <c r="H2443" s="41"/>
      <c r="I2443" s="42"/>
      <c r="J2443" s="85" t="s">
        <v>1319</v>
      </c>
      <c r="K2443" s="72">
        <v>6.0</v>
      </c>
      <c r="L2443" s="53" t="s">
        <v>62</v>
      </c>
      <c r="M2443" s="73">
        <v>30000.0</v>
      </c>
      <c r="N2443" s="74"/>
      <c r="O2443" s="73">
        <v>180000.0</v>
      </c>
      <c r="P2443" s="46" t="str">
        <f t="shared" si="2"/>
        <v>Rp30,000-6 LSN-0.00%</v>
      </c>
      <c r="Q2443" s="75">
        <v>45418.0</v>
      </c>
      <c r="R2443" s="75">
        <v>45418.0</v>
      </c>
      <c r="S2443" s="75">
        <v>45425.0</v>
      </c>
      <c r="T2443" s="80" t="s">
        <v>280</v>
      </c>
    </row>
    <row r="2444">
      <c r="A2444" s="90">
        <v>68.0</v>
      </c>
      <c r="B2444" s="91" t="s">
        <v>29</v>
      </c>
      <c r="C2444" s="49" t="s">
        <v>2711</v>
      </c>
      <c r="D2444" s="91"/>
      <c r="E2444" s="41" t="s">
        <v>141</v>
      </c>
      <c r="F2444" s="49"/>
      <c r="G2444" s="71" t="s">
        <v>141</v>
      </c>
      <c r="H2444" s="41"/>
      <c r="I2444" s="42"/>
      <c r="J2444" s="43"/>
      <c r="K2444" s="72">
        <v>12.0</v>
      </c>
      <c r="L2444" s="53" t="s">
        <v>69</v>
      </c>
      <c r="M2444" s="73">
        <v>17000.0</v>
      </c>
      <c r="N2444" s="74"/>
      <c r="O2444" s="73">
        <v>204000.0</v>
      </c>
      <c r="P2444" s="46" t="str">
        <f t="shared" si="2"/>
        <v>Rp17,000-12 PCS-0.00%</v>
      </c>
      <c r="Q2444" s="75">
        <v>45418.0</v>
      </c>
      <c r="R2444" s="75">
        <v>45418.0</v>
      </c>
      <c r="S2444" s="75">
        <v>45425.0</v>
      </c>
      <c r="T2444" s="80" t="s">
        <v>280</v>
      </c>
    </row>
    <row r="2445">
      <c r="A2445" s="90">
        <v>68.0</v>
      </c>
      <c r="B2445" s="91" t="s">
        <v>29</v>
      </c>
      <c r="C2445" s="49" t="s">
        <v>2711</v>
      </c>
      <c r="D2445" s="91" t="s">
        <v>2733</v>
      </c>
      <c r="E2445" s="41" t="str">
        <f>IFERROR(__xludf.DUMMYFUNCTION("vlookup(D2445,IMPORTRANGE(""https://docs.google.com/spreadsheets/d/1swGwZOEqYlTEUCJLY-eeJM1911Kvaei5oySBIxdgtNo/edit?pli=1#gid=257618397"",""stock untanna!B:C""),2,false)"),"DISPENSER CAMAT")</f>
        <v>DISPENSER CAMAT</v>
      </c>
      <c r="F2445" s="49" t="s">
        <v>2733</v>
      </c>
      <c r="G2445" s="71" t="s">
        <v>2734</v>
      </c>
      <c r="H2445" s="41"/>
      <c r="I2445" s="42"/>
      <c r="J2445" s="43"/>
      <c r="K2445" s="72">
        <v>2.0</v>
      </c>
      <c r="L2445" s="53" t="s">
        <v>62</v>
      </c>
      <c r="M2445" s="73">
        <v>50000.0</v>
      </c>
      <c r="N2445" s="74"/>
      <c r="O2445" s="73">
        <v>100000.0</v>
      </c>
      <c r="P2445" s="46" t="str">
        <f t="shared" si="2"/>
        <v>Rp50,000-2 LSN-0.00%</v>
      </c>
      <c r="Q2445" s="75">
        <v>45418.0</v>
      </c>
      <c r="R2445" s="75">
        <v>45418.0</v>
      </c>
      <c r="S2445" s="75">
        <v>45425.0</v>
      </c>
      <c r="T2445" s="49"/>
    </row>
    <row r="2446">
      <c r="A2446" s="90">
        <v>68.0</v>
      </c>
      <c r="B2446" s="91" t="s">
        <v>29</v>
      </c>
      <c r="C2446" s="49" t="s">
        <v>2711</v>
      </c>
      <c r="D2446" s="91" t="s">
        <v>2697</v>
      </c>
      <c r="E2446" s="41" t="str">
        <f>IFERROR(__xludf.DUMMYFUNCTION("vlookup(D2446,IMPORTRANGE(""https://docs.google.com/spreadsheets/d/1swGwZOEqYlTEUCJLY-eeJM1911Kvaei5oySBIxdgtNo/edit?pli=1#gid=257618397"",""stock untanna!B:C""),2,false)"),"DISPENSER PLAKBAND BESI A 806 MOSHI-MOSHI")</f>
        <v>DISPENSER PLAKBAND BESI A 806 MOSHI-MOSHI</v>
      </c>
      <c r="F2446" s="49" t="s">
        <v>2697</v>
      </c>
      <c r="G2446" s="78" t="s">
        <v>2698</v>
      </c>
      <c r="H2446" s="41"/>
      <c r="I2446" s="42"/>
      <c r="J2446" s="43"/>
      <c r="K2446" s="72">
        <v>12.0</v>
      </c>
      <c r="L2446" s="53" t="s">
        <v>69</v>
      </c>
      <c r="M2446" s="73">
        <v>14000.0</v>
      </c>
      <c r="N2446" s="74"/>
      <c r="O2446" s="73">
        <v>168000.0</v>
      </c>
      <c r="P2446" s="46" t="str">
        <f t="shared" si="2"/>
        <v>Rp14,000-12 PCS-0.00%</v>
      </c>
      <c r="Q2446" s="75">
        <v>45418.0</v>
      </c>
      <c r="R2446" s="75">
        <v>45418.0</v>
      </c>
      <c r="S2446" s="75">
        <v>45425.0</v>
      </c>
      <c r="T2446" s="49"/>
    </row>
    <row r="2447">
      <c r="A2447" s="90">
        <v>68.0</v>
      </c>
      <c r="B2447" s="91" t="s">
        <v>29</v>
      </c>
      <c r="C2447" s="49" t="s">
        <v>2711</v>
      </c>
      <c r="D2447" s="91" t="s">
        <v>2735</v>
      </c>
      <c r="E2447" s="41" t="str">
        <f>IFERROR(__xludf.DUMMYFUNCTION("vlookup(D2447,IMPORTRANGE(""https://docs.google.com/spreadsheets/d/1swGwZOEqYlTEUCJLY-eeJM1911Kvaei5oySBIxdgtNo/edit?pli=1#gid=257618397"",""stock untanna!B:C""),2,false)"),"BULDOG CLIP 3 V-TECH (24) 0024")</f>
        <v>BULDOG CLIP 3 V-TECH (24) 0024</v>
      </c>
      <c r="F2447" s="49" t="s">
        <v>2735</v>
      </c>
      <c r="G2447" s="71" t="s">
        <v>2736</v>
      </c>
      <c r="H2447" s="41"/>
      <c r="I2447" s="42"/>
      <c r="J2447" s="43"/>
      <c r="K2447" s="72">
        <v>2.0</v>
      </c>
      <c r="L2447" s="53" t="s">
        <v>62</v>
      </c>
      <c r="M2447" s="73">
        <v>90000.0</v>
      </c>
      <c r="N2447" s="74"/>
      <c r="O2447" s="73">
        <v>180000.0</v>
      </c>
      <c r="P2447" s="46" t="str">
        <f t="shared" si="2"/>
        <v>Rp90,000-2 LSN-0.00%</v>
      </c>
      <c r="Q2447" s="75">
        <v>45418.0</v>
      </c>
      <c r="R2447" s="75">
        <v>45418.0</v>
      </c>
      <c r="S2447" s="75">
        <v>45425.0</v>
      </c>
      <c r="T2447" s="49"/>
    </row>
    <row r="2448">
      <c r="A2448" s="90">
        <v>68.0</v>
      </c>
      <c r="B2448" s="91" t="s">
        <v>29</v>
      </c>
      <c r="C2448" s="49" t="s">
        <v>2711</v>
      </c>
      <c r="D2448" s="91" t="s">
        <v>2737</v>
      </c>
      <c r="E2448" s="41" t="str">
        <f>IFERROR(__xludf.DUMMYFUNCTION("vlookup(D2448,IMPORTRANGE(""https://docs.google.com/spreadsheets/d/1swGwZOEqYlTEUCJLY-eeJM1911Kvaei5oySBIxdgtNo/edit?pli=1#gid=257618397"",""stock untanna!B:C""),2,false)"),"BULDOG CLIP 4 V-TECH (18) 0023")</f>
        <v>BULDOG CLIP 4 V-TECH (18) 0023</v>
      </c>
      <c r="F2448" s="49" t="s">
        <v>2737</v>
      </c>
      <c r="G2448" s="71" t="s">
        <v>2738</v>
      </c>
      <c r="H2448" s="41"/>
      <c r="I2448" s="42"/>
      <c r="J2448" s="43"/>
      <c r="K2448" s="72">
        <v>2.0</v>
      </c>
      <c r="L2448" s="53" t="s">
        <v>62</v>
      </c>
      <c r="M2448" s="73">
        <v>95000.0</v>
      </c>
      <c r="N2448" s="74"/>
      <c r="O2448" s="73">
        <v>190000.0</v>
      </c>
      <c r="P2448" s="46" t="str">
        <f t="shared" si="2"/>
        <v>Rp95,000-2 LSN-0.00%</v>
      </c>
      <c r="Q2448" s="75">
        <v>45418.0</v>
      </c>
      <c r="R2448" s="75">
        <v>45418.0</v>
      </c>
      <c r="S2448" s="75">
        <v>45425.0</v>
      </c>
      <c r="T2448" s="49"/>
    </row>
    <row r="2449">
      <c r="A2449" s="90">
        <v>68.0</v>
      </c>
      <c r="B2449" s="91" t="s">
        <v>29</v>
      </c>
      <c r="C2449" s="49" t="s">
        <v>2711</v>
      </c>
      <c r="D2449" s="91"/>
      <c r="E2449" s="41" t="s">
        <v>2739</v>
      </c>
      <c r="F2449" s="49"/>
      <c r="G2449" s="71" t="s">
        <v>2739</v>
      </c>
      <c r="H2449" s="41"/>
      <c r="I2449" s="42"/>
      <c r="J2449" s="43"/>
      <c r="K2449" s="72">
        <v>2.0</v>
      </c>
      <c r="L2449" s="53" t="s">
        <v>62</v>
      </c>
      <c r="M2449" s="73">
        <v>105000.0</v>
      </c>
      <c r="N2449" s="74"/>
      <c r="O2449" s="73">
        <v>210000.0</v>
      </c>
      <c r="P2449" s="46" t="str">
        <f t="shared" si="2"/>
        <v>Rp105,000-2 LSN-0.00%</v>
      </c>
      <c r="Q2449" s="75">
        <v>45418.0</v>
      </c>
      <c r="R2449" s="75">
        <v>45418.0</v>
      </c>
      <c r="S2449" s="75">
        <v>45425.0</v>
      </c>
      <c r="T2449" s="49"/>
    </row>
    <row r="2450">
      <c r="A2450" s="90">
        <v>68.0</v>
      </c>
      <c r="B2450" s="91" t="s">
        <v>29</v>
      </c>
      <c r="C2450" s="49" t="s">
        <v>2711</v>
      </c>
      <c r="D2450" s="91" t="s">
        <v>2031</v>
      </c>
      <c r="E2450" s="41" t="str">
        <f>IFERROR(__xludf.DUMMYFUNCTION("vlookup(D2450,IMPORTRANGE(""https://docs.google.com/spreadsheets/d/1swGwZOEqYlTEUCJLY-eeJM1911Kvaei5oySBIxdgtNo/edit?pli=1#gid=257618397"",""stock untanna!B:C""),2,false)"),"ID CARD 2 SISI TRANSPARANT PUTIH")</f>
        <v>ID CARD 2 SISI TRANSPARANT PUTIH</v>
      </c>
      <c r="F2450" s="49" t="s">
        <v>2031</v>
      </c>
      <c r="G2450" s="71" t="s">
        <v>2032</v>
      </c>
      <c r="H2450" s="41"/>
      <c r="I2450" s="42"/>
      <c r="J2450" s="43"/>
      <c r="K2450" s="72">
        <v>50.0</v>
      </c>
      <c r="L2450" s="53" t="s">
        <v>69</v>
      </c>
      <c r="M2450" s="73">
        <v>1500.0</v>
      </c>
      <c r="N2450" s="74"/>
      <c r="O2450" s="73">
        <v>75000.0</v>
      </c>
      <c r="P2450" s="46" t="str">
        <f t="shared" si="2"/>
        <v>Rp1,500-50 PCS-0.00%</v>
      </c>
      <c r="Q2450" s="75">
        <v>45418.0</v>
      </c>
      <c r="R2450" s="75">
        <v>45418.0</v>
      </c>
      <c r="S2450" s="75">
        <v>45425.0</v>
      </c>
      <c r="T2450" s="49"/>
    </row>
    <row r="2451">
      <c r="A2451" s="90">
        <v>68.0</v>
      </c>
      <c r="B2451" s="91" t="s">
        <v>29</v>
      </c>
      <c r="C2451" s="49" t="s">
        <v>2711</v>
      </c>
      <c r="D2451" s="91" t="s">
        <v>2033</v>
      </c>
      <c r="E2451" s="41" t="str">
        <f>IFERROR(__xludf.DUMMYFUNCTION("vlookup(D2451,IMPORTRANGE(""https://docs.google.com/spreadsheets/d/1swGwZOEqYlTEUCJLY-eeJM1911Kvaei5oySBIxdgtNo/edit?pli=1#gid=257618397"",""stock untanna!B:C""),2,false)"),"ID CARD 2 SISI TRANSPARANT HITAM")</f>
        <v>ID CARD 2 SISI TRANSPARANT HITAM</v>
      </c>
      <c r="F2451" s="49" t="s">
        <v>2033</v>
      </c>
      <c r="G2451" s="71" t="s">
        <v>2034</v>
      </c>
      <c r="H2451" s="41"/>
      <c r="I2451" s="42"/>
      <c r="J2451" s="43"/>
      <c r="K2451" s="72">
        <v>50.0</v>
      </c>
      <c r="L2451" s="53" t="s">
        <v>69</v>
      </c>
      <c r="M2451" s="73">
        <v>1500.0</v>
      </c>
      <c r="N2451" s="74"/>
      <c r="O2451" s="73">
        <v>75000.0</v>
      </c>
      <c r="P2451" s="46" t="str">
        <f t="shared" si="2"/>
        <v>Rp1,500-50 PCS-0.00%</v>
      </c>
      <c r="Q2451" s="75">
        <v>45418.0</v>
      </c>
      <c r="R2451" s="75">
        <v>45418.0</v>
      </c>
      <c r="S2451" s="75">
        <v>45425.0</v>
      </c>
      <c r="T2451" s="49"/>
    </row>
    <row r="2452">
      <c r="A2452" s="90">
        <v>68.0</v>
      </c>
      <c r="B2452" s="91" t="s">
        <v>29</v>
      </c>
      <c r="C2452" s="49" t="s">
        <v>2711</v>
      </c>
      <c r="D2452" s="91" t="s">
        <v>2025</v>
      </c>
      <c r="E2452" s="41" t="str">
        <f>IFERROR(__xludf.DUMMYFUNCTION("vlookup(D2452,IMPORTRANGE(""https://docs.google.com/spreadsheets/d/1swGwZOEqYlTEUCJLY-eeJM1911Kvaei5oySBIxdgtNo/edit?pli=1#gid=257618397"",""stock untanna!B:C""),2,false)"),"ID CARD 2 SISI TRANSPARANT MERAH")</f>
        <v>ID CARD 2 SISI TRANSPARANT MERAH</v>
      </c>
      <c r="F2452" s="49" t="s">
        <v>2025</v>
      </c>
      <c r="G2452" s="71" t="s">
        <v>2026</v>
      </c>
      <c r="H2452" s="41"/>
      <c r="I2452" s="42"/>
      <c r="J2452" s="43"/>
      <c r="K2452" s="72">
        <v>50.0</v>
      </c>
      <c r="L2452" s="53" t="s">
        <v>69</v>
      </c>
      <c r="M2452" s="73">
        <v>1500.0</v>
      </c>
      <c r="N2452" s="74"/>
      <c r="O2452" s="73">
        <v>75000.0</v>
      </c>
      <c r="P2452" s="46" t="str">
        <f t="shared" si="2"/>
        <v>Rp1,500-50 PCS-0.00%</v>
      </c>
      <c r="Q2452" s="75">
        <v>45418.0</v>
      </c>
      <c r="R2452" s="75">
        <v>45418.0</v>
      </c>
      <c r="S2452" s="75">
        <v>45425.0</v>
      </c>
      <c r="T2452" s="49"/>
    </row>
    <row r="2453">
      <c r="A2453" s="90">
        <v>68.0</v>
      </c>
      <c r="B2453" s="91" t="s">
        <v>29</v>
      </c>
      <c r="C2453" s="49" t="s">
        <v>2711</v>
      </c>
      <c r="D2453" s="91" t="s">
        <v>1083</v>
      </c>
      <c r="E2453" s="41" t="str">
        <f>IFERROR(__xludf.DUMMYFUNCTION("vlookup(D2453,IMPORTRANGE(""https://docs.google.com/spreadsheets/d/1swGwZOEqYlTEUCJLY-eeJM1911Kvaei5oySBIxdgtNo/edit?pli=1#gid=257618397"",""stock untanna!B:C""),2,false)"),"KEY RING KC-008")</f>
        <v>KEY RING KC-008</v>
      </c>
      <c r="F2453" s="49" t="s">
        <v>1083</v>
      </c>
      <c r="G2453" s="71" t="s">
        <v>1084</v>
      </c>
      <c r="H2453" s="41"/>
      <c r="I2453" s="42"/>
      <c r="J2453" s="43"/>
      <c r="K2453" s="72">
        <v>6.0</v>
      </c>
      <c r="L2453" s="53" t="s">
        <v>88</v>
      </c>
      <c r="M2453" s="73">
        <v>25000.0</v>
      </c>
      <c r="N2453" s="74"/>
      <c r="O2453" s="73">
        <v>150000.0</v>
      </c>
      <c r="P2453" s="46" t="str">
        <f t="shared" si="2"/>
        <v>Rp25,000-6 BOX-0.00%</v>
      </c>
      <c r="Q2453" s="75">
        <v>45418.0</v>
      </c>
      <c r="R2453" s="75">
        <v>45418.0</v>
      </c>
      <c r="S2453" s="75">
        <v>45425.0</v>
      </c>
      <c r="T2453" s="49"/>
    </row>
    <row r="2454">
      <c r="A2454" s="90">
        <v>68.0</v>
      </c>
      <c r="B2454" s="91" t="s">
        <v>29</v>
      </c>
      <c r="C2454" s="49" t="s">
        <v>2711</v>
      </c>
      <c r="D2454" s="77" t="s">
        <v>985</v>
      </c>
      <c r="E2454" s="41" t="str">
        <f>IFERROR(__xludf.DUMMYFUNCTION("IFNA(vlookup(D2454,IMPORTRANGE(""https://docs.google.com/spreadsheets/d/1swGwZOEqYlTEUCJLY-eeJM1911Kvaei5oySBIxdgtNo/edit?pli=1#gid=257618397"",""stock untanna!B:C""),2,false),V:V)"),"ISI PENSIL KNOW 2270")</f>
        <v>ISI PENSIL KNOW 2270</v>
      </c>
      <c r="F2454" s="49"/>
      <c r="G2454" s="71" t="s">
        <v>986</v>
      </c>
      <c r="H2454" s="41"/>
      <c r="I2454" s="42"/>
      <c r="J2454" s="43" t="str">
        <f>IF(D2454="","TIDAK ADA","ADA")</f>
        <v>ADA</v>
      </c>
      <c r="K2454" s="72">
        <v>12.0</v>
      </c>
      <c r="L2454" s="53" t="s">
        <v>62</v>
      </c>
      <c r="M2454" s="73">
        <v>12500.0</v>
      </c>
      <c r="N2454" s="74"/>
      <c r="O2454" s="73">
        <v>150000.0</v>
      </c>
      <c r="P2454" s="46" t="str">
        <f t="shared" si="2"/>
        <v>Rp12,500-12 LSN-0.00%</v>
      </c>
      <c r="Q2454" s="75">
        <v>45418.0</v>
      </c>
      <c r="R2454" s="75">
        <v>45418.0</v>
      </c>
      <c r="S2454" s="75">
        <v>45425.0</v>
      </c>
      <c r="T2454" s="80" t="s">
        <v>280</v>
      </c>
    </row>
    <row r="2455">
      <c r="A2455" s="90">
        <v>69.0</v>
      </c>
      <c r="B2455" s="91" t="s">
        <v>29</v>
      </c>
      <c r="C2455" s="49" t="s">
        <v>2711</v>
      </c>
      <c r="D2455" s="91" t="s">
        <v>2740</v>
      </c>
      <c r="E2455" s="41" t="str">
        <f>IFERROR(__xludf.DUMMYFUNCTION("vlookup(D2455,IMPORTRANGE(""https://docs.google.com/spreadsheets/d/1swGwZOEqYlTEUCJLY-eeJM1911Kvaei5oySBIxdgtNo/edit?pli=1#gid=257618397"",""stock untanna!B:C""),2,false)"),"PENSIL CASE A-1301")</f>
        <v>PENSIL CASE A-1301</v>
      </c>
      <c r="F2455" s="49" t="s">
        <v>2740</v>
      </c>
      <c r="G2455" s="71" t="s">
        <v>2741</v>
      </c>
      <c r="H2455" s="41"/>
      <c r="I2455" s="42"/>
      <c r="J2455" s="43"/>
      <c r="K2455" s="72">
        <v>12.0</v>
      </c>
      <c r="L2455" s="53" t="s">
        <v>69</v>
      </c>
      <c r="M2455" s="73">
        <v>18750.0</v>
      </c>
      <c r="N2455" s="74"/>
      <c r="O2455" s="73">
        <v>225000.0</v>
      </c>
      <c r="P2455" s="46" t="str">
        <f t="shared" si="2"/>
        <v>Rp18,750-12 PCS-0.00%</v>
      </c>
      <c r="Q2455" s="75">
        <v>45418.0</v>
      </c>
      <c r="R2455" s="75">
        <v>45418.0</v>
      </c>
      <c r="S2455" s="75">
        <v>45425.0</v>
      </c>
      <c r="T2455" s="49"/>
    </row>
    <row r="2456">
      <c r="A2456" s="90">
        <v>69.0</v>
      </c>
      <c r="B2456" s="91" t="s">
        <v>29</v>
      </c>
      <c r="C2456" s="49" t="s">
        <v>2711</v>
      </c>
      <c r="D2456" s="91" t="s">
        <v>2098</v>
      </c>
      <c r="E2456" s="41" t="str">
        <f>IFERROR(__xludf.DUMMYFUNCTION("vlookup(D2456,IMPORTRANGE(""https://docs.google.com/spreadsheets/d/1swGwZOEqYlTEUCJLY-eeJM1911Kvaei5oySBIxdgtNo/edit?pli=1#gid=257618397"",""stock untanna!B:C""),2,false)"),"PENSIL CASE BH-278")</f>
        <v>PENSIL CASE BH-278</v>
      </c>
      <c r="F2456" s="49" t="s">
        <v>2098</v>
      </c>
      <c r="G2456" s="71" t="s">
        <v>2099</v>
      </c>
      <c r="H2456" s="41"/>
      <c r="I2456" s="42"/>
      <c r="J2456" s="43"/>
      <c r="K2456" s="72">
        <v>12.0</v>
      </c>
      <c r="L2456" s="53" t="s">
        <v>69</v>
      </c>
      <c r="M2456" s="73">
        <v>37500.0</v>
      </c>
      <c r="N2456" s="74"/>
      <c r="O2456" s="73">
        <v>450000.0</v>
      </c>
      <c r="P2456" s="46" t="str">
        <f t="shared" si="2"/>
        <v>Rp37,500-12 PCS-0.00%</v>
      </c>
      <c r="Q2456" s="75">
        <v>45418.0</v>
      </c>
      <c r="R2456" s="75">
        <v>45418.0</v>
      </c>
      <c r="S2456" s="75">
        <v>45425.0</v>
      </c>
      <c r="T2456" s="49"/>
    </row>
    <row r="2457">
      <c r="A2457" s="90">
        <v>69.0</v>
      </c>
      <c r="B2457" s="91" t="s">
        <v>29</v>
      </c>
      <c r="C2457" s="49" t="s">
        <v>2711</v>
      </c>
      <c r="D2457" s="91" t="s">
        <v>584</v>
      </c>
      <c r="E2457" s="41" t="str">
        <f>IFERROR(__xludf.DUMMYFUNCTION("vlookup(D2457,IMPORTRANGE(""https://docs.google.com/spreadsheets/d/1swGwZOEqYlTEUCJLY-eeJM1911Kvaei5oySBIxdgtNo/edit?pli=1#gid=257618397"",""stock untanna!B:C""),2,false)"),"PENSIL CASE 8300AV TIMBUL")</f>
        <v>PENSIL CASE 8300AV TIMBUL</v>
      </c>
      <c r="F2457" s="49" t="s">
        <v>584</v>
      </c>
      <c r="G2457" s="71" t="s">
        <v>585</v>
      </c>
      <c r="H2457" s="41"/>
      <c r="I2457" s="42"/>
      <c r="J2457" s="43"/>
      <c r="K2457" s="72">
        <v>12.0</v>
      </c>
      <c r="L2457" s="53" t="s">
        <v>69</v>
      </c>
      <c r="M2457" s="73">
        <v>33333.0</v>
      </c>
      <c r="N2457" s="74"/>
      <c r="O2457" s="73">
        <v>399996.0</v>
      </c>
      <c r="P2457" s="46" t="str">
        <f t="shared" si="2"/>
        <v>Rp33,333-12 PCS-0.00%</v>
      </c>
      <c r="Q2457" s="75">
        <v>45418.0</v>
      </c>
      <c r="R2457" s="75">
        <v>45418.0</v>
      </c>
      <c r="S2457" s="75">
        <v>45425.0</v>
      </c>
      <c r="T2457" s="49"/>
    </row>
    <row r="2458">
      <c r="A2458" s="90">
        <v>69.0</v>
      </c>
      <c r="B2458" s="91" t="s">
        <v>29</v>
      </c>
      <c r="C2458" s="49" t="s">
        <v>2711</v>
      </c>
      <c r="D2458" s="91" t="s">
        <v>2742</v>
      </c>
      <c r="E2458" s="41" t="str">
        <f>IFERROR(__xludf.DUMMYFUNCTION("vlookup(D2458,IMPORTRANGE(""https://docs.google.com/spreadsheets/d/1swGwZOEqYlTEUCJLY-eeJM1911Kvaei5oySBIxdgtNo/edit?pli=1#gid=257618397"",""stock untanna!B:C""),2,false)"),"PENSIL CASE BX-3971")</f>
        <v>PENSIL CASE BX-3971</v>
      </c>
      <c r="F2458" s="49" t="s">
        <v>2742</v>
      </c>
      <c r="G2458" s="71" t="s">
        <v>2743</v>
      </c>
      <c r="H2458" s="41"/>
      <c r="I2458" s="42"/>
      <c r="J2458" s="43"/>
      <c r="K2458" s="72">
        <v>12.0</v>
      </c>
      <c r="L2458" s="53" t="s">
        <v>69</v>
      </c>
      <c r="M2458" s="73">
        <v>15500.0</v>
      </c>
      <c r="N2458" s="74"/>
      <c r="O2458" s="73">
        <v>186000.0</v>
      </c>
      <c r="P2458" s="46" t="str">
        <f t="shared" si="2"/>
        <v>Rp15,500-12 PCS-0.00%</v>
      </c>
      <c r="Q2458" s="75">
        <v>45418.0</v>
      </c>
      <c r="R2458" s="75">
        <v>45418.0</v>
      </c>
      <c r="S2458" s="75">
        <v>45425.0</v>
      </c>
      <c r="T2458" s="49"/>
    </row>
    <row r="2459">
      <c r="A2459" s="90">
        <v>69.0</v>
      </c>
      <c r="B2459" s="91" t="s">
        <v>29</v>
      </c>
      <c r="C2459" s="49" t="s">
        <v>2711</v>
      </c>
      <c r="D2459" s="77" t="s">
        <v>2744</v>
      </c>
      <c r="E2459" s="41" t="str">
        <f>IFERROR(__xludf.DUMMYFUNCTION("IFNA(vlookup(D2459,IMPORTRANGE(""https://docs.google.com/spreadsheets/d/1swGwZOEqYlTEUCJLY-eeJM1911Kvaei5oySBIxdgtNo/edit?pli=1#gid=257618397"",""stock untanna!B:C""),2,false),V:V)"),"PC MAGNIT JUMBO KALKULATOR PB33")</f>
        <v>PC MAGNIT JUMBO KALKULATOR PB33</v>
      </c>
      <c r="F2459" s="49"/>
      <c r="G2459" s="71" t="s">
        <v>2745</v>
      </c>
      <c r="H2459" s="41"/>
      <c r="I2459" s="42"/>
      <c r="J2459" s="85" t="s">
        <v>1319</v>
      </c>
      <c r="K2459" s="72">
        <v>1.0</v>
      </c>
      <c r="L2459" s="53" t="s">
        <v>62</v>
      </c>
      <c r="M2459" s="73">
        <v>275000.0</v>
      </c>
      <c r="N2459" s="74"/>
      <c r="O2459" s="73">
        <v>275000.0</v>
      </c>
      <c r="P2459" s="46" t="str">
        <f t="shared" si="2"/>
        <v>Rp275,000-1 LSN-0.00%</v>
      </c>
      <c r="Q2459" s="75">
        <v>45418.0</v>
      </c>
      <c r="R2459" s="75">
        <v>45418.0</v>
      </c>
      <c r="S2459" s="75">
        <v>45425.0</v>
      </c>
      <c r="T2459" s="80" t="s">
        <v>280</v>
      </c>
    </row>
    <row r="2460">
      <c r="A2460" s="90">
        <v>69.0</v>
      </c>
      <c r="B2460" s="91" t="s">
        <v>29</v>
      </c>
      <c r="C2460" s="49" t="s">
        <v>2711</v>
      </c>
      <c r="D2460" s="91" t="s">
        <v>2604</v>
      </c>
      <c r="E2460" s="41" t="str">
        <f>IFERROR(__xludf.DUMMYFUNCTION("vlookup(D2460,IMPORTRANGE(""https://docs.google.com/spreadsheets/d/1swGwZOEqYlTEUCJLY-eeJM1911Kvaei5oySBIxdgtNo/edit?pli=1#gid=257618397"",""stock untanna!B:C""),2,false)"),"PENSIL CASE A-6500")</f>
        <v>PENSIL CASE A-6500</v>
      </c>
      <c r="F2460" s="49" t="s">
        <v>2604</v>
      </c>
      <c r="G2460" s="71" t="s">
        <v>2605</v>
      </c>
      <c r="H2460" s="41"/>
      <c r="I2460" s="42"/>
      <c r="J2460" s="43"/>
      <c r="K2460" s="72">
        <v>12.0</v>
      </c>
      <c r="L2460" s="53" t="s">
        <v>69</v>
      </c>
      <c r="M2460" s="73">
        <v>29167.0</v>
      </c>
      <c r="N2460" s="74"/>
      <c r="O2460" s="73">
        <v>350004.0</v>
      </c>
      <c r="P2460" s="46" t="str">
        <f t="shared" si="2"/>
        <v>Rp29,167-12 PCS-0.00%</v>
      </c>
      <c r="Q2460" s="75">
        <v>45418.0</v>
      </c>
      <c r="R2460" s="75">
        <v>45418.0</v>
      </c>
      <c r="S2460" s="75">
        <v>45425.0</v>
      </c>
      <c r="T2460" s="49"/>
    </row>
    <row r="2461">
      <c r="A2461" s="90">
        <v>69.0</v>
      </c>
      <c r="B2461" s="91" t="s">
        <v>29</v>
      </c>
      <c r="C2461" s="49" t="s">
        <v>2711</v>
      </c>
      <c r="D2461" s="91" t="s">
        <v>1406</v>
      </c>
      <c r="E2461" s="41" t="str">
        <f>IFERROR(__xludf.DUMMYFUNCTION("vlookup(D2461,IMPORTRANGE(""https://docs.google.com/spreadsheets/d/1swGwZOEqYlTEUCJLY-eeJM1911Kvaei5oySBIxdgtNo/edit?pli=1#gid=257618397"",""stock untanna!B:C""),2,false)"),"PENSIL CASE 8300TK TIMBUL")</f>
        <v>PENSIL CASE 8300TK TIMBUL</v>
      </c>
      <c r="F2461" s="49" t="s">
        <v>1406</v>
      </c>
      <c r="G2461" s="71" t="s">
        <v>1407</v>
      </c>
      <c r="H2461" s="41"/>
      <c r="I2461" s="42"/>
      <c r="J2461" s="43"/>
      <c r="K2461" s="72">
        <v>12.0</v>
      </c>
      <c r="L2461" s="53" t="s">
        <v>69</v>
      </c>
      <c r="M2461" s="73">
        <v>33333.0</v>
      </c>
      <c r="N2461" s="74"/>
      <c r="O2461" s="73">
        <v>399996.0</v>
      </c>
      <c r="P2461" s="46" t="str">
        <f t="shared" si="2"/>
        <v>Rp33,333-12 PCS-0.00%</v>
      </c>
      <c r="Q2461" s="75">
        <v>45418.0</v>
      </c>
      <c r="R2461" s="75">
        <v>45418.0</v>
      </c>
      <c r="S2461" s="75">
        <v>45425.0</v>
      </c>
      <c r="T2461" s="49"/>
    </row>
    <row r="2462">
      <c r="A2462" s="90">
        <v>69.0</v>
      </c>
      <c r="B2462" s="91" t="s">
        <v>29</v>
      </c>
      <c r="C2462" s="49" t="s">
        <v>2711</v>
      </c>
      <c r="D2462" s="77" t="s">
        <v>2746</v>
      </c>
      <c r="E2462" s="41" t="str">
        <f>IFERROR(__xludf.DUMMYFUNCTION("IFNA(vlookup(D2462,IMPORTRANGE(""https://docs.google.com/spreadsheets/d/1swGwZOEqYlTEUCJLY-eeJM1911Kvaei5oySBIxdgtNo/edit?pli=1#gid=257618397"",""stock untanna!B:C""),2,false),V:V)"),"PC MAGNIT B 3513-24")</f>
        <v>PC MAGNIT B 3513-24</v>
      </c>
      <c r="F2462" s="49"/>
      <c r="G2462" s="71" t="s">
        <v>2747</v>
      </c>
      <c r="H2462" s="41"/>
      <c r="I2462" s="42"/>
      <c r="J2462" s="85" t="s">
        <v>1319</v>
      </c>
      <c r="K2462" s="72">
        <v>1.0</v>
      </c>
      <c r="L2462" s="53" t="s">
        <v>62</v>
      </c>
      <c r="M2462" s="73">
        <v>325000.0</v>
      </c>
      <c r="N2462" s="74"/>
      <c r="O2462" s="73">
        <v>325000.0</v>
      </c>
      <c r="P2462" s="46" t="str">
        <f t="shared" si="2"/>
        <v>Rp325,000-1 LSN-0.00%</v>
      </c>
      <c r="Q2462" s="75">
        <v>45418.0</v>
      </c>
      <c r="R2462" s="75">
        <v>45418.0</v>
      </c>
      <c r="S2462" s="75">
        <v>45425.0</v>
      </c>
      <c r="T2462" s="80" t="s">
        <v>280</v>
      </c>
    </row>
    <row r="2463">
      <c r="A2463" s="90">
        <v>69.0</v>
      </c>
      <c r="B2463" s="91" t="s">
        <v>29</v>
      </c>
      <c r="C2463" s="49" t="s">
        <v>2711</v>
      </c>
      <c r="D2463" s="91" t="s">
        <v>1404</v>
      </c>
      <c r="E2463" s="41" t="str">
        <f>IFERROR(__xludf.DUMMYFUNCTION("vlookup(D2463,IMPORTRANGE(""https://docs.google.com/spreadsheets/d/1swGwZOEqYlTEUCJLY-eeJM1911Kvaei5oySBIxdgtNo/edit?pli=1#gid=257618397"",""stock untanna!B:C""),2,false)"),"PENSIL CASE 8300SG TIMBUL")</f>
        <v>PENSIL CASE 8300SG TIMBUL</v>
      </c>
      <c r="F2463" s="49" t="s">
        <v>1404</v>
      </c>
      <c r="G2463" s="71" t="s">
        <v>1405</v>
      </c>
      <c r="H2463" s="41"/>
      <c r="I2463" s="42"/>
      <c r="J2463" s="43"/>
      <c r="K2463" s="72">
        <v>12.0</v>
      </c>
      <c r="L2463" s="53" t="s">
        <v>69</v>
      </c>
      <c r="M2463" s="73">
        <v>33333.0</v>
      </c>
      <c r="N2463" s="74"/>
      <c r="O2463" s="73">
        <v>399996.0</v>
      </c>
      <c r="P2463" s="46" t="str">
        <f t="shared" si="2"/>
        <v>Rp33,333-12 PCS-0.00%</v>
      </c>
      <c r="Q2463" s="75">
        <v>45418.0</v>
      </c>
      <c r="R2463" s="75">
        <v>45418.0</v>
      </c>
      <c r="S2463" s="75">
        <v>45425.0</v>
      </c>
      <c r="T2463" s="49"/>
    </row>
    <row r="2464">
      <c r="A2464" s="90">
        <v>69.0</v>
      </c>
      <c r="B2464" s="91" t="s">
        <v>29</v>
      </c>
      <c r="C2464" s="49" t="s">
        <v>2711</v>
      </c>
      <c r="D2464" s="91" t="s">
        <v>598</v>
      </c>
      <c r="E2464" s="41" t="str">
        <f>IFERROR(__xludf.DUMMYFUNCTION("vlookup(D2464,IMPORTRANGE(""https://docs.google.com/spreadsheets/d/1swGwZOEqYlTEUCJLY-eeJM1911Kvaei5oySBIxdgtNo/edit?pli=1#gid=257618397"",""stock untanna!B:C""),2,false)"),"PENSIL CASE AC-2893-3")</f>
        <v>PENSIL CASE AC-2893-3</v>
      </c>
      <c r="F2464" s="49" t="s">
        <v>598</v>
      </c>
      <c r="G2464" s="71" t="s">
        <v>599</v>
      </c>
      <c r="H2464" s="41"/>
      <c r="I2464" s="42"/>
      <c r="J2464" s="43"/>
      <c r="K2464" s="72">
        <v>12.0</v>
      </c>
      <c r="L2464" s="53" t="s">
        <v>69</v>
      </c>
      <c r="M2464" s="73">
        <v>12000.0</v>
      </c>
      <c r="N2464" s="74"/>
      <c r="O2464" s="73">
        <v>144000.0</v>
      </c>
      <c r="P2464" s="46" t="str">
        <f t="shared" si="2"/>
        <v>Rp12,000-12 PCS-0.00%</v>
      </c>
      <c r="Q2464" s="75">
        <v>45418.0</v>
      </c>
      <c r="R2464" s="75">
        <v>45418.0</v>
      </c>
      <c r="S2464" s="75">
        <v>45425.0</v>
      </c>
      <c r="T2464" s="49"/>
    </row>
    <row r="2465">
      <c r="A2465" s="90">
        <v>69.0</v>
      </c>
      <c r="B2465" s="91" t="s">
        <v>29</v>
      </c>
      <c r="C2465" s="49" t="s">
        <v>2711</v>
      </c>
      <c r="D2465" s="91" t="s">
        <v>2748</v>
      </c>
      <c r="E2465" s="41" t="str">
        <f>IFERROR(__xludf.DUMMYFUNCTION("vlookup(D2465,IMPORTRANGE(""https://docs.google.com/spreadsheets/d/1swGwZOEqYlTEUCJLY-eeJM1911Kvaei5oySBIxdgtNo/edit?pli=1#gid=257618397"",""stock untanna!B:C""),2,false)"),"LOOSE LEAF BIASA HELLO KITTY A5 (100GSM)")</f>
        <v>LOOSE LEAF BIASA HELLO KITTY A5 (100GSM)</v>
      </c>
      <c r="F2465" s="49" t="s">
        <v>2748</v>
      </c>
      <c r="G2465" s="78" t="s">
        <v>2749</v>
      </c>
      <c r="H2465" s="41"/>
      <c r="I2465" s="42"/>
      <c r="J2465" s="43"/>
      <c r="K2465" s="72">
        <v>50.0</v>
      </c>
      <c r="L2465" s="53" t="s">
        <v>114</v>
      </c>
      <c r="M2465" s="73">
        <v>3250.0</v>
      </c>
      <c r="N2465" s="74"/>
      <c r="O2465" s="73">
        <v>162500.0</v>
      </c>
      <c r="P2465" s="46" t="str">
        <f t="shared" si="2"/>
        <v>Rp3,250-50 PAK-0.00%</v>
      </c>
      <c r="Q2465" s="75">
        <v>45418.0</v>
      </c>
      <c r="R2465" s="75">
        <v>45416.0</v>
      </c>
      <c r="S2465" s="75">
        <v>45425.0</v>
      </c>
      <c r="T2465" s="49"/>
    </row>
    <row r="2466">
      <c r="A2466" s="90">
        <v>69.0</v>
      </c>
      <c r="B2466" s="91" t="s">
        <v>29</v>
      </c>
      <c r="C2466" s="49" t="s">
        <v>2711</v>
      </c>
      <c r="D2466" s="91" t="s">
        <v>2360</v>
      </c>
      <c r="E2466" s="41" t="str">
        <f>IFERROR(__xludf.DUMMYFUNCTION("vlookup(D2466,IMPORTRANGE(""https://docs.google.com/spreadsheets/d/1swGwZOEqYlTEUCJLY-eeJM1911Kvaei5oySBIxdgtNo/edit?pli=1#gid=257618397"",""stock untanna!B:C""),2,false)"),"LOOSE LEAF HOLO BEE SMART A5 MIX")</f>
        <v>LOOSE LEAF HOLO BEE SMART A5 MIX</v>
      </c>
      <c r="F2466" s="49" t="s">
        <v>2360</v>
      </c>
      <c r="G2466" s="71" t="s">
        <v>2361</v>
      </c>
      <c r="H2466" s="41"/>
      <c r="I2466" s="42"/>
      <c r="J2466" s="43"/>
      <c r="K2466" s="72">
        <v>50.0</v>
      </c>
      <c r="L2466" s="53" t="s">
        <v>114</v>
      </c>
      <c r="M2466" s="73">
        <v>3250.0</v>
      </c>
      <c r="N2466" s="74"/>
      <c r="O2466" s="73">
        <v>162500.0</v>
      </c>
      <c r="P2466" s="46" t="str">
        <f t="shared" si="2"/>
        <v>Rp3,250-50 PAK-0.00%</v>
      </c>
      <c r="Q2466" s="75">
        <v>45418.0</v>
      </c>
      <c r="R2466" s="75">
        <v>45416.0</v>
      </c>
      <c r="S2466" s="75">
        <v>45425.0</v>
      </c>
      <c r="T2466" s="49"/>
    </row>
    <row r="2467">
      <c r="A2467" s="90">
        <v>69.0</v>
      </c>
      <c r="B2467" s="91" t="s">
        <v>29</v>
      </c>
      <c r="C2467" s="49" t="s">
        <v>2711</v>
      </c>
      <c r="D2467" s="91" t="s">
        <v>2750</v>
      </c>
      <c r="E2467" s="41" t="str">
        <f>IFERROR(__xludf.DUMMYFUNCTION("vlookup(D2467,IMPORTRANGE(""https://docs.google.com/spreadsheets/d/1swGwZOEqYlTEUCJLY-eeJM1911Kvaei5oySBIxdgtNo/edit?pli=1#gid=257618397"",""stock untanna!B:C""),2,false)"),"LOOSE LEAF BIASA FROZEN A5 (100GSM) ")</f>
        <v>LOOSE LEAF BIASA FROZEN A5 (100GSM) </v>
      </c>
      <c r="F2467" s="49" t="s">
        <v>2750</v>
      </c>
      <c r="G2467" s="78" t="s">
        <v>2751</v>
      </c>
      <c r="H2467" s="41"/>
      <c r="I2467" s="42"/>
      <c r="J2467" s="43"/>
      <c r="K2467" s="72">
        <v>50.0</v>
      </c>
      <c r="L2467" s="53" t="s">
        <v>114</v>
      </c>
      <c r="M2467" s="73">
        <v>3250.0</v>
      </c>
      <c r="N2467" s="74"/>
      <c r="O2467" s="73">
        <v>162500.0</v>
      </c>
      <c r="P2467" s="46" t="str">
        <f t="shared" si="2"/>
        <v>Rp3,250-50 PAK-0.00%</v>
      </c>
      <c r="Q2467" s="75">
        <v>45418.0</v>
      </c>
      <c r="R2467" s="75">
        <v>45416.0</v>
      </c>
      <c r="S2467" s="75">
        <v>45425.0</v>
      </c>
      <c r="T2467" s="49"/>
    </row>
    <row r="2468">
      <c r="A2468" s="90">
        <v>69.0</v>
      </c>
      <c r="B2468" s="91" t="s">
        <v>29</v>
      </c>
      <c r="C2468" s="49" t="s">
        <v>2711</v>
      </c>
      <c r="D2468" s="91" t="s">
        <v>1217</v>
      </c>
      <c r="E2468" s="41" t="str">
        <f>IFERROR(__xludf.DUMMYFUNCTION("vlookup(D2468,IMPORTRANGE(""https://docs.google.com/spreadsheets/d/1swGwZOEqYlTEUCJLY-eeJM1911Kvaei5oySBIxdgtNo/edit?pli=1#gid=257618397"",""stock untanna!B:C""),2,false)"),"LOOSE LEAF BIASA TSUM A5 (100GSM)")</f>
        <v>LOOSE LEAF BIASA TSUM A5 (100GSM)</v>
      </c>
      <c r="F2468" s="49" t="s">
        <v>1217</v>
      </c>
      <c r="G2468" s="71" t="s">
        <v>1218</v>
      </c>
      <c r="H2468" s="41"/>
      <c r="I2468" s="42"/>
      <c r="J2468" s="43"/>
      <c r="K2468" s="72">
        <v>50.0</v>
      </c>
      <c r="L2468" s="53" t="s">
        <v>114</v>
      </c>
      <c r="M2468" s="73">
        <v>3250.0</v>
      </c>
      <c r="N2468" s="74"/>
      <c r="O2468" s="73">
        <v>162500.0</v>
      </c>
      <c r="P2468" s="46" t="str">
        <f t="shared" si="2"/>
        <v>Rp3,250-50 PAK-0.00%</v>
      </c>
      <c r="Q2468" s="75">
        <v>45418.0</v>
      </c>
      <c r="R2468" s="75">
        <v>45416.0</v>
      </c>
      <c r="S2468" s="75">
        <v>45425.0</v>
      </c>
      <c r="T2468" s="49"/>
    </row>
    <row r="2469">
      <c r="A2469" s="90">
        <v>69.0</v>
      </c>
      <c r="B2469" s="91" t="s">
        <v>29</v>
      </c>
      <c r="C2469" s="49" t="s">
        <v>2711</v>
      </c>
      <c r="D2469" s="91" t="s">
        <v>847</v>
      </c>
      <c r="E2469" s="41" t="str">
        <f>IFERROR(__xludf.DUMMYFUNCTION("vlookup(D2469,IMPORTRANGE(""https://docs.google.com/spreadsheets/d/1swGwZOEqYlTEUCJLY-eeJM1911Kvaei5oySBIxdgtNo/edit?pli=1#gid=257618397"",""stock untanna!B:C""),2,false)"),"LOOSE LEAF HOLO ALFA A5 ZODIAK")</f>
        <v>LOOSE LEAF HOLO ALFA A5 ZODIAK</v>
      </c>
      <c r="F2469" s="49" t="s">
        <v>847</v>
      </c>
      <c r="G2469" s="71" t="s">
        <v>848</v>
      </c>
      <c r="H2469" s="41"/>
      <c r="I2469" s="42"/>
      <c r="J2469" s="43"/>
      <c r="K2469" s="72">
        <v>60.0</v>
      </c>
      <c r="L2469" s="53" t="s">
        <v>114</v>
      </c>
      <c r="M2469" s="73">
        <v>2250.0</v>
      </c>
      <c r="N2469" s="74"/>
      <c r="O2469" s="73">
        <v>135000.0</v>
      </c>
      <c r="P2469" s="46" t="str">
        <f t="shared" si="2"/>
        <v>Rp2,250-60 PAK-0.00%</v>
      </c>
      <c r="Q2469" s="75">
        <v>45418.0</v>
      </c>
      <c r="R2469" s="75">
        <v>45416.0</v>
      </c>
      <c r="S2469" s="75">
        <v>45425.0</v>
      </c>
      <c r="T2469" s="49"/>
    </row>
    <row r="2470">
      <c r="A2470" s="90">
        <v>69.0</v>
      </c>
      <c r="B2470" s="91" t="s">
        <v>29</v>
      </c>
      <c r="C2470" s="49" t="s">
        <v>2711</v>
      </c>
      <c r="D2470" s="91" t="s">
        <v>163</v>
      </c>
      <c r="E2470" s="41" t="str">
        <f>IFERROR(__xludf.DUMMYFUNCTION("vlookup(D2470,IMPORTRANGE(""https://docs.google.com/spreadsheets/d/1swGwZOEqYlTEUCJLY-eeJM1911Kvaei5oySBIxdgtNo/edit?pli=1#gid=257618397"",""stock untanna!B:C""),2,false)"),"KARTU ABSENSI KOJIKO DUS MERAH")</f>
        <v>KARTU ABSENSI KOJIKO DUS MERAH</v>
      </c>
      <c r="F2470" s="49" t="s">
        <v>163</v>
      </c>
      <c r="G2470" s="71" t="s">
        <v>164</v>
      </c>
      <c r="H2470" s="41"/>
      <c r="I2470" s="42"/>
      <c r="J2470" s="43"/>
      <c r="K2470" s="72">
        <v>10.0</v>
      </c>
      <c r="L2470" s="53" t="s">
        <v>114</v>
      </c>
      <c r="M2470" s="73">
        <v>20000.0</v>
      </c>
      <c r="N2470" s="74"/>
      <c r="O2470" s="73">
        <v>200000.0</v>
      </c>
      <c r="P2470" s="46" t="str">
        <f t="shared" si="2"/>
        <v>Rp20,000-10 PAK-0.00%</v>
      </c>
      <c r="Q2470" s="75">
        <v>45418.0</v>
      </c>
      <c r="R2470" s="75">
        <v>45416.0</v>
      </c>
      <c r="S2470" s="75">
        <v>45425.0</v>
      </c>
      <c r="T2470" s="49"/>
    </row>
    <row r="2471">
      <c r="A2471" s="90">
        <v>70.0</v>
      </c>
      <c r="B2471" s="91" t="s">
        <v>29</v>
      </c>
      <c r="C2471" s="49" t="s">
        <v>2711</v>
      </c>
      <c r="D2471" s="91"/>
      <c r="E2471" s="41" t="s">
        <v>2752</v>
      </c>
      <c r="F2471" s="49"/>
      <c r="G2471" s="71" t="s">
        <v>2752</v>
      </c>
      <c r="H2471" s="41"/>
      <c r="I2471" s="42"/>
      <c r="J2471" s="43"/>
      <c r="K2471" s="72">
        <v>2.0</v>
      </c>
      <c r="L2471" s="53" t="s">
        <v>114</v>
      </c>
      <c r="M2471" s="73">
        <v>31500.0</v>
      </c>
      <c r="N2471" s="74"/>
      <c r="O2471" s="73">
        <v>63000.0</v>
      </c>
      <c r="P2471" s="46" t="str">
        <f t="shared" si="2"/>
        <v>Rp31,500-2 PAK-0.00%</v>
      </c>
      <c r="Q2471" s="75">
        <v>45418.0</v>
      </c>
      <c r="R2471" s="75">
        <v>45416.0</v>
      </c>
      <c r="S2471" s="75">
        <v>45425.0</v>
      </c>
      <c r="T2471" s="80" t="s">
        <v>280</v>
      </c>
    </row>
    <row r="2472">
      <c r="A2472" s="90">
        <v>70.0</v>
      </c>
      <c r="B2472" s="91" t="s">
        <v>29</v>
      </c>
      <c r="C2472" s="49" t="s">
        <v>2711</v>
      </c>
      <c r="D2472" s="91"/>
      <c r="E2472" s="41" t="s">
        <v>2753</v>
      </c>
      <c r="F2472" s="49"/>
      <c r="G2472" s="71" t="s">
        <v>2753</v>
      </c>
      <c r="H2472" s="41"/>
      <c r="I2472" s="42"/>
      <c r="J2472" s="43"/>
      <c r="K2472" s="72">
        <v>2.0</v>
      </c>
      <c r="L2472" s="53" t="s">
        <v>114</v>
      </c>
      <c r="M2472" s="73">
        <v>34000.0</v>
      </c>
      <c r="N2472" s="74"/>
      <c r="O2472" s="73">
        <v>68000.0</v>
      </c>
      <c r="P2472" s="46" t="str">
        <f t="shared" si="2"/>
        <v>Rp34,000-2 PAK-0.00%</v>
      </c>
      <c r="Q2472" s="75">
        <v>45418.0</v>
      </c>
      <c r="R2472" s="75">
        <v>45416.0</v>
      </c>
      <c r="S2472" s="75">
        <v>45425.0</v>
      </c>
      <c r="T2472" s="80" t="s">
        <v>280</v>
      </c>
    </row>
    <row r="2473">
      <c r="A2473" s="90">
        <v>70.0</v>
      </c>
      <c r="B2473" s="91" t="s">
        <v>29</v>
      </c>
      <c r="C2473" s="49" t="s">
        <v>2711</v>
      </c>
      <c r="D2473" s="91"/>
      <c r="E2473" s="41" t="s">
        <v>2754</v>
      </c>
      <c r="F2473" s="49"/>
      <c r="G2473" s="71" t="s">
        <v>2754</v>
      </c>
      <c r="H2473" s="41"/>
      <c r="I2473" s="42"/>
      <c r="J2473" s="43"/>
      <c r="K2473" s="72">
        <v>2.0</v>
      </c>
      <c r="L2473" s="53" t="s">
        <v>114</v>
      </c>
      <c r="M2473" s="73">
        <v>37500.0</v>
      </c>
      <c r="N2473" s="74"/>
      <c r="O2473" s="73">
        <v>75000.0</v>
      </c>
      <c r="P2473" s="46" t="str">
        <f t="shared" si="2"/>
        <v>Rp37,500-2 PAK-0.00%</v>
      </c>
      <c r="Q2473" s="75">
        <v>45418.0</v>
      </c>
      <c r="R2473" s="75">
        <v>45416.0</v>
      </c>
      <c r="S2473" s="75">
        <v>45425.0</v>
      </c>
      <c r="T2473" s="80" t="s">
        <v>280</v>
      </c>
    </row>
    <row r="2474">
      <c r="A2474" s="90">
        <v>70.0</v>
      </c>
      <c r="B2474" s="91" t="s">
        <v>29</v>
      </c>
      <c r="C2474" s="49" t="s">
        <v>2711</v>
      </c>
      <c r="D2474" s="91"/>
      <c r="E2474" s="41" t="s">
        <v>2755</v>
      </c>
      <c r="F2474" s="49"/>
      <c r="G2474" s="71" t="s">
        <v>2755</v>
      </c>
      <c r="H2474" s="41"/>
      <c r="I2474" s="42"/>
      <c r="J2474" s="43"/>
      <c r="K2474" s="72">
        <v>2.0</v>
      </c>
      <c r="L2474" s="53" t="s">
        <v>114</v>
      </c>
      <c r="M2474" s="73">
        <v>42500.0</v>
      </c>
      <c r="N2474" s="74"/>
      <c r="O2474" s="73">
        <v>85000.0</v>
      </c>
      <c r="P2474" s="46" t="str">
        <f t="shared" si="2"/>
        <v>Rp42,500-2 PAK-0.00%</v>
      </c>
      <c r="Q2474" s="75">
        <v>45418.0</v>
      </c>
      <c r="R2474" s="75">
        <v>45416.0</v>
      </c>
      <c r="S2474" s="75">
        <v>45425.0</v>
      </c>
      <c r="T2474" s="80" t="s">
        <v>280</v>
      </c>
    </row>
    <row r="2475">
      <c r="A2475" s="90">
        <v>70.0</v>
      </c>
      <c r="B2475" s="91" t="s">
        <v>29</v>
      </c>
      <c r="C2475" s="49" t="s">
        <v>2711</v>
      </c>
      <c r="D2475" s="91"/>
      <c r="E2475" s="41" t="s">
        <v>2756</v>
      </c>
      <c r="F2475" s="49"/>
      <c r="G2475" s="71" t="s">
        <v>2756</v>
      </c>
      <c r="H2475" s="41"/>
      <c r="I2475" s="42"/>
      <c r="J2475" s="43"/>
      <c r="K2475" s="72">
        <v>2.0</v>
      </c>
      <c r="L2475" s="53" t="s">
        <v>114</v>
      </c>
      <c r="M2475" s="73">
        <v>45000.0</v>
      </c>
      <c r="N2475" s="74"/>
      <c r="O2475" s="73">
        <v>90000.0</v>
      </c>
      <c r="P2475" s="46" t="str">
        <f t="shared" si="2"/>
        <v>Rp45,000-2 PAK-0.00%</v>
      </c>
      <c r="Q2475" s="75">
        <v>45418.0</v>
      </c>
      <c r="R2475" s="75">
        <v>45416.0</v>
      </c>
      <c r="S2475" s="75">
        <v>45425.0</v>
      </c>
      <c r="T2475" s="80" t="s">
        <v>280</v>
      </c>
    </row>
    <row r="2476">
      <c r="A2476" s="90">
        <v>70.0</v>
      </c>
      <c r="B2476" s="91" t="s">
        <v>29</v>
      </c>
      <c r="C2476" s="49" t="s">
        <v>2711</v>
      </c>
      <c r="D2476" s="91"/>
      <c r="E2476" s="41" t="s">
        <v>2757</v>
      </c>
      <c r="F2476" s="49"/>
      <c r="G2476" s="71" t="s">
        <v>2757</v>
      </c>
      <c r="H2476" s="41"/>
      <c r="I2476" s="42"/>
      <c r="J2476" s="43"/>
      <c r="K2476" s="72">
        <v>2.0</v>
      </c>
      <c r="L2476" s="53" t="s">
        <v>114</v>
      </c>
      <c r="M2476" s="73">
        <v>47500.0</v>
      </c>
      <c r="N2476" s="74"/>
      <c r="O2476" s="73">
        <v>95000.0</v>
      </c>
      <c r="P2476" s="46" t="str">
        <f t="shared" si="2"/>
        <v>Rp47,500-2 PAK-0.00%</v>
      </c>
      <c r="Q2476" s="75">
        <v>45418.0</v>
      </c>
      <c r="R2476" s="75">
        <v>45416.0</v>
      </c>
      <c r="S2476" s="75">
        <v>45425.0</v>
      </c>
      <c r="T2476" s="80" t="s">
        <v>280</v>
      </c>
    </row>
    <row r="2477">
      <c r="A2477" s="90">
        <v>70.0</v>
      </c>
      <c r="B2477" s="91" t="s">
        <v>29</v>
      </c>
      <c r="C2477" s="49" t="s">
        <v>2711</v>
      </c>
      <c r="D2477" s="91"/>
      <c r="E2477" s="41" t="s">
        <v>2758</v>
      </c>
      <c r="F2477" s="49"/>
      <c r="G2477" s="71" t="s">
        <v>2758</v>
      </c>
      <c r="H2477" s="41"/>
      <c r="I2477" s="42"/>
      <c r="J2477" s="43"/>
      <c r="K2477" s="72">
        <v>2.0</v>
      </c>
      <c r="L2477" s="53" t="s">
        <v>114</v>
      </c>
      <c r="M2477" s="73">
        <v>52500.0</v>
      </c>
      <c r="N2477" s="74"/>
      <c r="O2477" s="73">
        <v>105000.0</v>
      </c>
      <c r="P2477" s="46" t="str">
        <f t="shared" si="2"/>
        <v>Rp52,500-2 PAK-0.00%</v>
      </c>
      <c r="Q2477" s="75">
        <v>45418.0</v>
      </c>
      <c r="R2477" s="75">
        <v>45416.0</v>
      </c>
      <c r="S2477" s="75">
        <v>45425.0</v>
      </c>
      <c r="T2477" s="80" t="s">
        <v>280</v>
      </c>
    </row>
    <row r="2478">
      <c r="A2478" s="90">
        <v>70.0</v>
      </c>
      <c r="B2478" s="91" t="s">
        <v>29</v>
      </c>
      <c r="C2478" s="49" t="s">
        <v>2711</v>
      </c>
      <c r="D2478" s="91"/>
      <c r="E2478" s="41" t="s">
        <v>2759</v>
      </c>
      <c r="F2478" s="49"/>
      <c r="G2478" s="71" t="s">
        <v>2759</v>
      </c>
      <c r="H2478" s="41"/>
      <c r="I2478" s="42"/>
      <c r="J2478" s="43"/>
      <c r="K2478" s="72">
        <v>2.0</v>
      </c>
      <c r="L2478" s="53" t="s">
        <v>114</v>
      </c>
      <c r="M2478" s="73">
        <v>55000.0</v>
      </c>
      <c r="N2478" s="74"/>
      <c r="O2478" s="73">
        <v>110000.0</v>
      </c>
      <c r="P2478" s="46" t="str">
        <f t="shared" si="2"/>
        <v>Rp55,000-2 PAK-0.00%</v>
      </c>
      <c r="Q2478" s="75">
        <v>45418.0</v>
      </c>
      <c r="R2478" s="75">
        <v>45416.0</v>
      </c>
      <c r="S2478" s="75">
        <v>45425.0</v>
      </c>
      <c r="T2478" s="80" t="s">
        <v>280</v>
      </c>
    </row>
    <row r="2479">
      <c r="A2479" s="90">
        <v>70.0</v>
      </c>
      <c r="B2479" s="91" t="s">
        <v>29</v>
      </c>
      <c r="C2479" s="49" t="s">
        <v>2711</v>
      </c>
      <c r="D2479" s="91"/>
      <c r="E2479" s="41" t="s">
        <v>2760</v>
      </c>
      <c r="F2479" s="49"/>
      <c r="G2479" s="71" t="s">
        <v>2760</v>
      </c>
      <c r="H2479" s="41"/>
      <c r="I2479" s="42"/>
      <c r="J2479" s="43"/>
      <c r="K2479" s="72">
        <v>2.0</v>
      </c>
      <c r="L2479" s="53" t="s">
        <v>114</v>
      </c>
      <c r="M2479" s="73">
        <v>57500.0</v>
      </c>
      <c r="N2479" s="74"/>
      <c r="O2479" s="73">
        <v>115000.0</v>
      </c>
      <c r="P2479" s="46" t="str">
        <f t="shared" si="2"/>
        <v>Rp57,500-2 PAK-0.00%</v>
      </c>
      <c r="Q2479" s="75">
        <v>45418.0</v>
      </c>
      <c r="R2479" s="75">
        <v>45416.0</v>
      </c>
      <c r="S2479" s="75">
        <v>45425.0</v>
      </c>
      <c r="T2479" s="80" t="s">
        <v>280</v>
      </c>
    </row>
    <row r="2480">
      <c r="A2480" s="90">
        <v>70.0</v>
      </c>
      <c r="B2480" s="91" t="s">
        <v>29</v>
      </c>
      <c r="C2480" s="49" t="s">
        <v>2711</v>
      </c>
      <c r="D2480" s="91"/>
      <c r="E2480" s="41" t="s">
        <v>2761</v>
      </c>
      <c r="F2480" s="49"/>
      <c r="G2480" s="71" t="s">
        <v>2761</v>
      </c>
      <c r="H2480" s="41"/>
      <c r="I2480" s="42"/>
      <c r="J2480" s="43"/>
      <c r="K2480" s="72">
        <v>2.0</v>
      </c>
      <c r="L2480" s="53" t="s">
        <v>114</v>
      </c>
      <c r="M2480" s="73">
        <v>62500.0</v>
      </c>
      <c r="N2480" s="74"/>
      <c r="O2480" s="73">
        <v>125000.0</v>
      </c>
      <c r="P2480" s="46" t="str">
        <f t="shared" si="2"/>
        <v>Rp62,500-2 PAK-0.00%</v>
      </c>
      <c r="Q2480" s="75">
        <v>45418.0</v>
      </c>
      <c r="R2480" s="75">
        <v>45416.0</v>
      </c>
      <c r="S2480" s="75">
        <v>45425.0</v>
      </c>
      <c r="T2480" s="80" t="s">
        <v>280</v>
      </c>
    </row>
    <row r="2481">
      <c r="A2481" s="90">
        <v>70.0</v>
      </c>
      <c r="B2481" s="91" t="s">
        <v>29</v>
      </c>
      <c r="C2481" s="49" t="s">
        <v>2711</v>
      </c>
      <c r="D2481" s="91"/>
      <c r="E2481" s="41" t="s">
        <v>2762</v>
      </c>
      <c r="F2481" s="49"/>
      <c r="G2481" s="71" t="s">
        <v>2762</v>
      </c>
      <c r="H2481" s="41"/>
      <c r="I2481" s="42"/>
      <c r="J2481" s="43"/>
      <c r="K2481" s="72">
        <v>2.0</v>
      </c>
      <c r="L2481" s="53" t="s">
        <v>114</v>
      </c>
      <c r="M2481" s="73">
        <v>67500.0</v>
      </c>
      <c r="N2481" s="74"/>
      <c r="O2481" s="73">
        <v>135000.0</v>
      </c>
      <c r="P2481" s="46" t="str">
        <f t="shared" si="2"/>
        <v>Rp67,500-2 PAK-0.00%</v>
      </c>
      <c r="Q2481" s="75">
        <v>45418.0</v>
      </c>
      <c r="R2481" s="75">
        <v>45416.0</v>
      </c>
      <c r="S2481" s="75">
        <v>45425.0</v>
      </c>
      <c r="T2481" s="80" t="s">
        <v>280</v>
      </c>
    </row>
    <row r="2482">
      <c r="A2482" s="90">
        <v>70.0</v>
      </c>
      <c r="B2482" s="91" t="s">
        <v>29</v>
      </c>
      <c r="C2482" s="49" t="s">
        <v>2711</v>
      </c>
      <c r="D2482" s="91"/>
      <c r="E2482" s="41" t="s">
        <v>2763</v>
      </c>
      <c r="F2482" s="49"/>
      <c r="G2482" s="71" t="s">
        <v>2763</v>
      </c>
      <c r="H2482" s="41"/>
      <c r="I2482" s="42"/>
      <c r="J2482" s="43"/>
      <c r="K2482" s="72">
        <v>2.0</v>
      </c>
      <c r="L2482" s="53" t="s">
        <v>114</v>
      </c>
      <c r="M2482" s="73">
        <v>72500.0</v>
      </c>
      <c r="N2482" s="74"/>
      <c r="O2482" s="73">
        <v>145000.0</v>
      </c>
      <c r="P2482" s="46" t="str">
        <f t="shared" si="2"/>
        <v>Rp72,500-2 PAK-0.00%</v>
      </c>
      <c r="Q2482" s="75">
        <v>45418.0</v>
      </c>
      <c r="R2482" s="75">
        <v>45416.0</v>
      </c>
      <c r="S2482" s="75">
        <v>45425.0</v>
      </c>
      <c r="T2482" s="80" t="s">
        <v>280</v>
      </c>
    </row>
    <row r="2483">
      <c r="A2483" s="90">
        <v>70.0</v>
      </c>
      <c r="B2483" s="91" t="s">
        <v>29</v>
      </c>
      <c r="C2483" s="49" t="s">
        <v>2711</v>
      </c>
      <c r="D2483" s="77" t="s">
        <v>694</v>
      </c>
      <c r="E2483" s="41" t="str">
        <f>IFERROR(__xludf.DUMMYFUNCTION("vlookup(D2483,IMPORTRANGE(""https://docs.google.com/spreadsheets/d/1swGwZOEqYlTEUCJLY-eeJM1911Kvaei5oySBIxdgtNo/edit?pli=1#gid=257618397"",""stock untanna!B:C""),2,false)"),"CLIPBOARD ACRYLIC TF-012")</f>
        <v>CLIPBOARD ACRYLIC TF-012</v>
      </c>
      <c r="F2483" s="49" t="s">
        <v>2764</v>
      </c>
      <c r="G2483" s="71" t="s">
        <v>695</v>
      </c>
      <c r="H2483" s="41"/>
      <c r="I2483" s="42"/>
      <c r="J2483" s="43"/>
      <c r="K2483" s="72">
        <v>6.0</v>
      </c>
      <c r="L2483" s="53" t="s">
        <v>69</v>
      </c>
      <c r="M2483" s="73">
        <v>18750.0</v>
      </c>
      <c r="N2483" s="74"/>
      <c r="O2483" s="73">
        <v>112500.0</v>
      </c>
      <c r="P2483" s="46" t="str">
        <f t="shared" si="2"/>
        <v>Rp18,750-6 PCS-0.00%</v>
      </c>
      <c r="Q2483" s="75">
        <v>45418.0</v>
      </c>
      <c r="R2483" s="75">
        <v>45416.0</v>
      </c>
      <c r="S2483" s="75">
        <v>45425.0</v>
      </c>
      <c r="T2483" s="49"/>
    </row>
    <row r="2484">
      <c r="A2484" s="90">
        <v>70.0</v>
      </c>
      <c r="B2484" s="91" t="s">
        <v>29</v>
      </c>
      <c r="C2484" s="49" t="s">
        <v>2711</v>
      </c>
      <c r="D2484" s="77" t="s">
        <v>692</v>
      </c>
      <c r="E2484" s="41" t="str">
        <f>IFERROR(__xludf.DUMMYFUNCTION("vlookup(D2484,IMPORTRANGE(""https://docs.google.com/spreadsheets/d/1swGwZOEqYlTEUCJLY-eeJM1911Kvaei5oySBIxdgtNo/edit?pli=1#gid=257618397"",""stock untanna!B:C""),2,false)"),"CLIPBOARD ACRYLIC TF-013")</f>
        <v>CLIPBOARD ACRYLIC TF-013</v>
      </c>
      <c r="F2484" s="49" t="s">
        <v>2765</v>
      </c>
      <c r="G2484" s="71" t="s">
        <v>2766</v>
      </c>
      <c r="H2484" s="41"/>
      <c r="I2484" s="42"/>
      <c r="J2484" s="43"/>
      <c r="K2484" s="72">
        <v>6.0</v>
      </c>
      <c r="L2484" s="53" t="s">
        <v>69</v>
      </c>
      <c r="M2484" s="73">
        <v>18750.0</v>
      </c>
      <c r="N2484" s="74"/>
      <c r="O2484" s="73">
        <v>112500.0</v>
      </c>
      <c r="P2484" s="46" t="str">
        <f t="shared" si="2"/>
        <v>Rp18,750-6 PCS-0.00%</v>
      </c>
      <c r="Q2484" s="75">
        <v>45418.0</v>
      </c>
      <c r="R2484" s="75">
        <v>45416.0</v>
      </c>
      <c r="S2484" s="75">
        <v>45425.0</v>
      </c>
      <c r="T2484" s="49"/>
    </row>
    <row r="2485">
      <c r="A2485" s="90">
        <v>70.0</v>
      </c>
      <c r="B2485" s="91" t="s">
        <v>29</v>
      </c>
      <c r="C2485" s="49" t="s">
        <v>2711</v>
      </c>
      <c r="D2485" s="77" t="s">
        <v>696</v>
      </c>
      <c r="E2485" s="41" t="str">
        <f>IFERROR(__xludf.DUMMYFUNCTION("vlookup(D2485,IMPORTRANGE(""https://docs.google.com/spreadsheets/d/1swGwZOEqYlTEUCJLY-eeJM1911Kvaei5oySBIxdgtNo/edit?pli=1#gid=257618397"",""stock untanna!B:C""),2,false)"),"CLIPBOARD ACRYLIC TF-015")</f>
        <v>CLIPBOARD ACRYLIC TF-015</v>
      </c>
      <c r="F2485" s="49" t="s">
        <v>2767</v>
      </c>
      <c r="G2485" s="71" t="s">
        <v>697</v>
      </c>
      <c r="H2485" s="41"/>
      <c r="I2485" s="42"/>
      <c r="J2485" s="43"/>
      <c r="K2485" s="72">
        <v>6.0</v>
      </c>
      <c r="L2485" s="53" t="s">
        <v>69</v>
      </c>
      <c r="M2485" s="73">
        <v>18750.0</v>
      </c>
      <c r="N2485" s="74"/>
      <c r="O2485" s="73">
        <v>112500.0</v>
      </c>
      <c r="P2485" s="46" t="str">
        <f t="shared" si="2"/>
        <v>Rp18,750-6 PCS-0.00%</v>
      </c>
      <c r="Q2485" s="75">
        <v>45418.0</v>
      </c>
      <c r="R2485" s="75">
        <v>45416.0</v>
      </c>
      <c r="S2485" s="75">
        <v>45425.0</v>
      </c>
      <c r="T2485" s="49"/>
    </row>
    <row r="2486">
      <c r="A2486" s="90">
        <v>70.0</v>
      </c>
      <c r="B2486" s="91" t="s">
        <v>29</v>
      </c>
      <c r="C2486" s="49" t="s">
        <v>2711</v>
      </c>
      <c r="D2486" s="77" t="s">
        <v>690</v>
      </c>
      <c r="E2486" s="41" t="str">
        <f>IFERROR(__xludf.DUMMYFUNCTION("vlookup(D2486,IMPORTRANGE(""https://docs.google.com/spreadsheets/d/1swGwZOEqYlTEUCJLY-eeJM1911Kvaei5oySBIxdgtNo/edit?pli=1#gid=257618397"",""stock untanna!B:C""),2,false)"),"CLIPBOARD ACRYLIC TF-016")</f>
        <v>CLIPBOARD ACRYLIC TF-016</v>
      </c>
      <c r="F2486" s="49" t="s">
        <v>2768</v>
      </c>
      <c r="G2486" s="71" t="s">
        <v>691</v>
      </c>
      <c r="H2486" s="41"/>
      <c r="I2486" s="42"/>
      <c r="J2486" s="43"/>
      <c r="K2486" s="72">
        <v>6.0</v>
      </c>
      <c r="L2486" s="53" t="s">
        <v>69</v>
      </c>
      <c r="M2486" s="73">
        <v>18750.0</v>
      </c>
      <c r="N2486" s="74"/>
      <c r="O2486" s="73">
        <v>112500.0</v>
      </c>
      <c r="P2486" s="46" t="str">
        <f t="shared" si="2"/>
        <v>Rp18,750-6 PCS-0.00%</v>
      </c>
      <c r="Q2486" s="75">
        <v>45418.0</v>
      </c>
      <c r="R2486" s="75">
        <v>45416.0</v>
      </c>
      <c r="S2486" s="75">
        <v>45425.0</v>
      </c>
      <c r="T2486" s="49"/>
    </row>
    <row r="2487">
      <c r="A2487" s="90">
        <v>71.0</v>
      </c>
      <c r="B2487" s="91" t="s">
        <v>29</v>
      </c>
      <c r="C2487" s="49" t="s">
        <v>2711</v>
      </c>
      <c r="D2487" s="91" t="s">
        <v>2769</v>
      </c>
      <c r="E2487" s="41" t="str">
        <f>IFERROR(__xludf.DUMMYFUNCTION("vlookup(D2487,IMPORTRANGE(""https://docs.google.com/spreadsheets/d/1swGwZOEqYlTEUCJLY-eeJM1911Kvaei5oySBIxdgtNo/edit?pli=1#gid=257618397"",""stock untanna!B:C""),2,false)"),"KUAS SET B-6636")</f>
        <v>KUAS SET B-6636</v>
      </c>
      <c r="F2487" s="49" t="s">
        <v>2769</v>
      </c>
      <c r="G2487" s="71" t="s">
        <v>2770</v>
      </c>
      <c r="H2487" s="41"/>
      <c r="I2487" s="42"/>
      <c r="J2487" s="43"/>
      <c r="K2487" s="72">
        <v>12.0</v>
      </c>
      <c r="L2487" s="53" t="s">
        <v>84</v>
      </c>
      <c r="M2487" s="73">
        <v>17000.0</v>
      </c>
      <c r="N2487" s="74"/>
      <c r="O2487" s="73">
        <v>204000.0</v>
      </c>
      <c r="P2487" s="46" t="str">
        <f t="shared" si="2"/>
        <v>Rp17,000-12 SET-0.00%</v>
      </c>
      <c r="Q2487" s="75">
        <v>45418.0</v>
      </c>
      <c r="R2487" s="75">
        <v>45416.0</v>
      </c>
      <c r="S2487" s="75">
        <v>45425.0</v>
      </c>
      <c r="T2487" s="49"/>
    </row>
    <row r="2488">
      <c r="A2488" s="90">
        <v>71.0</v>
      </c>
      <c r="B2488" s="91" t="s">
        <v>29</v>
      </c>
      <c r="C2488" s="49" t="s">
        <v>2711</v>
      </c>
      <c r="D2488" s="91" t="s">
        <v>2771</v>
      </c>
      <c r="E2488" s="41" t="str">
        <f>IFERROR(__xludf.DUMMYFUNCTION("vlookup(D2488,IMPORTRANGE(""https://docs.google.com/spreadsheets/d/1swGwZOEqYlTEUCJLY-eeJM1911Kvaei5oySBIxdgtNo/edit?pli=1#gid=257618397"",""stock untanna!B:C""),2,false)"),"KUAS 21839-7")</f>
        <v>KUAS 21839-7</v>
      </c>
      <c r="F2488" s="49" t="s">
        <v>2771</v>
      </c>
      <c r="G2488" s="71" t="s">
        <v>2772</v>
      </c>
      <c r="H2488" s="41"/>
      <c r="I2488" s="42"/>
      <c r="J2488" s="43"/>
      <c r="K2488" s="72">
        <v>12.0</v>
      </c>
      <c r="L2488" s="53" t="s">
        <v>84</v>
      </c>
      <c r="M2488" s="73">
        <v>23000.0</v>
      </c>
      <c r="N2488" s="74"/>
      <c r="O2488" s="73">
        <v>276000.0</v>
      </c>
      <c r="P2488" s="46" t="str">
        <f t="shared" si="2"/>
        <v>Rp23,000-12 SET-0.00%</v>
      </c>
      <c r="Q2488" s="75">
        <v>45418.0</v>
      </c>
      <c r="R2488" s="75">
        <v>45416.0</v>
      </c>
      <c r="S2488" s="75">
        <v>45425.0</v>
      </c>
      <c r="T2488" s="49"/>
    </row>
    <row r="2489">
      <c r="A2489" s="90">
        <v>71.0</v>
      </c>
      <c r="B2489" s="91" t="s">
        <v>29</v>
      </c>
      <c r="C2489" s="49" t="s">
        <v>2711</v>
      </c>
      <c r="D2489" s="91"/>
      <c r="E2489" s="41" t="s">
        <v>2773</v>
      </c>
      <c r="F2489" s="49"/>
      <c r="G2489" s="71" t="s">
        <v>2773</v>
      </c>
      <c r="H2489" s="41"/>
      <c r="I2489" s="42"/>
      <c r="J2489" s="43"/>
      <c r="K2489" s="72">
        <v>12.0</v>
      </c>
      <c r="L2489" s="53" t="s">
        <v>84</v>
      </c>
      <c r="M2489" s="73">
        <v>13500.0</v>
      </c>
      <c r="N2489" s="74"/>
      <c r="O2489" s="73">
        <v>162000.0</v>
      </c>
      <c r="P2489" s="46" t="str">
        <f t="shared" si="2"/>
        <v>Rp13,500-12 SET-0.00%</v>
      </c>
      <c r="Q2489" s="75">
        <v>45418.0</v>
      </c>
      <c r="R2489" s="75">
        <v>45416.0</v>
      </c>
      <c r="S2489" s="75">
        <v>45425.0</v>
      </c>
      <c r="T2489" s="49"/>
    </row>
    <row r="2490">
      <c r="A2490" s="90">
        <v>71.0</v>
      </c>
      <c r="B2490" s="91" t="s">
        <v>29</v>
      </c>
      <c r="C2490" s="49" t="s">
        <v>2711</v>
      </c>
      <c r="D2490" s="91"/>
      <c r="E2490" s="41" t="s">
        <v>191</v>
      </c>
      <c r="F2490" s="49"/>
      <c r="G2490" s="71" t="s">
        <v>191</v>
      </c>
      <c r="H2490" s="41"/>
      <c r="I2490" s="42"/>
      <c r="J2490" s="43"/>
      <c r="K2490" s="72">
        <v>12.0</v>
      </c>
      <c r="L2490" s="53" t="s">
        <v>84</v>
      </c>
      <c r="M2490" s="73">
        <v>16000.0</v>
      </c>
      <c r="N2490" s="74"/>
      <c r="O2490" s="73">
        <v>192000.0</v>
      </c>
      <c r="P2490" s="46" t="str">
        <f t="shared" si="2"/>
        <v>Rp16,000-12 SET-0.00%</v>
      </c>
      <c r="Q2490" s="75">
        <v>45418.0</v>
      </c>
      <c r="R2490" s="75">
        <v>45416.0</v>
      </c>
      <c r="S2490" s="75">
        <v>45425.0</v>
      </c>
      <c r="T2490" s="80" t="s">
        <v>280</v>
      </c>
    </row>
    <row r="2491">
      <c r="A2491" s="90">
        <v>71.0</v>
      </c>
      <c r="B2491" s="91" t="s">
        <v>29</v>
      </c>
      <c r="C2491" s="49" t="s">
        <v>2711</v>
      </c>
      <c r="D2491" s="91"/>
      <c r="E2491" s="41" t="s">
        <v>2774</v>
      </c>
      <c r="F2491" s="49"/>
      <c r="G2491" s="71" t="s">
        <v>2774</v>
      </c>
      <c r="H2491" s="41"/>
      <c r="I2491" s="42"/>
      <c r="J2491" s="43"/>
      <c r="K2491" s="72">
        <v>12.0</v>
      </c>
      <c r="L2491" s="53" t="s">
        <v>84</v>
      </c>
      <c r="M2491" s="73">
        <v>19000.0</v>
      </c>
      <c r="N2491" s="74"/>
      <c r="O2491" s="73">
        <v>228000.0</v>
      </c>
      <c r="P2491" s="46" t="str">
        <f t="shared" si="2"/>
        <v>Rp19,000-12 SET-0.00%</v>
      </c>
      <c r="Q2491" s="75">
        <v>45418.0</v>
      </c>
      <c r="R2491" s="75">
        <v>45416.0</v>
      </c>
      <c r="S2491" s="75">
        <v>45425.0</v>
      </c>
      <c r="T2491" s="80" t="s">
        <v>280</v>
      </c>
    </row>
    <row r="2492">
      <c r="A2492" s="90">
        <v>71.0</v>
      </c>
      <c r="B2492" s="91" t="s">
        <v>29</v>
      </c>
      <c r="C2492" s="49" t="s">
        <v>2711</v>
      </c>
      <c r="D2492" s="91"/>
      <c r="E2492" s="41" t="s">
        <v>2775</v>
      </c>
      <c r="F2492" s="49"/>
      <c r="G2492" s="71" t="s">
        <v>2775</v>
      </c>
      <c r="H2492" s="41"/>
      <c r="I2492" s="42"/>
      <c r="J2492" s="43"/>
      <c r="K2492" s="72">
        <v>12.0</v>
      </c>
      <c r="L2492" s="53" t="s">
        <v>84</v>
      </c>
      <c r="M2492" s="73">
        <v>24000.0</v>
      </c>
      <c r="N2492" s="74"/>
      <c r="O2492" s="73">
        <v>288000.0</v>
      </c>
      <c r="P2492" s="46" t="str">
        <f t="shared" si="2"/>
        <v>Rp24,000-12 SET-0.00%</v>
      </c>
      <c r="Q2492" s="75">
        <v>45418.0</v>
      </c>
      <c r="R2492" s="75">
        <v>45416.0</v>
      </c>
      <c r="S2492" s="75">
        <v>45425.0</v>
      </c>
      <c r="T2492" s="49"/>
    </row>
    <row r="2493">
      <c r="A2493" s="90">
        <v>71.0</v>
      </c>
      <c r="B2493" s="91" t="s">
        <v>29</v>
      </c>
      <c r="C2493" s="49" t="s">
        <v>2711</v>
      </c>
      <c r="D2493" s="91" t="s">
        <v>296</v>
      </c>
      <c r="E2493" s="41" t="str">
        <f>IFERROR(__xludf.DUMMYFUNCTION("vlookup(D2493,IMPORTRANGE(""https://docs.google.com/spreadsheets/d/1swGwZOEqYlTEUCJLY-eeJM1911Kvaei5oySBIxdgtNo/edit?pli=1#gid=257618397"",""stock untanna!B:C""),2,false)"),"NOTEBOOK B1012 (A5）")</f>
        <v>NOTEBOOK B1012 (A5）</v>
      </c>
      <c r="F2493" s="49" t="s">
        <v>296</v>
      </c>
      <c r="G2493" s="71" t="s">
        <v>2776</v>
      </c>
      <c r="H2493" s="41"/>
      <c r="I2493" s="42"/>
      <c r="J2493" s="43"/>
      <c r="K2493" s="72">
        <v>12.0</v>
      </c>
      <c r="L2493" s="53" t="s">
        <v>69</v>
      </c>
      <c r="M2493" s="73">
        <v>28000.0</v>
      </c>
      <c r="N2493" s="74"/>
      <c r="O2493" s="73">
        <v>336000.0</v>
      </c>
      <c r="P2493" s="46" t="str">
        <f t="shared" si="2"/>
        <v>Rp28,000-12 PCS-0.00%</v>
      </c>
      <c r="Q2493" s="75">
        <v>45418.0</v>
      </c>
      <c r="R2493" s="75">
        <v>45416.0</v>
      </c>
      <c r="S2493" s="75">
        <v>45425.0</v>
      </c>
      <c r="T2493" s="49"/>
    </row>
    <row r="2494">
      <c r="A2494" s="90">
        <v>71.0</v>
      </c>
      <c r="B2494" s="91" t="s">
        <v>29</v>
      </c>
      <c r="C2494" s="49" t="s">
        <v>2711</v>
      </c>
      <c r="D2494" s="91" t="s">
        <v>2777</v>
      </c>
      <c r="E2494" s="41" t="str">
        <f>IFERROR(__xludf.DUMMYFUNCTION("vlookup(D2494,IMPORTRANGE(""https://docs.google.com/spreadsheets/d/1swGwZOEqYlTEUCJLY-eeJM1911Kvaei5oySBIxdgtNo/edit?pli=1#gid=257618397"",""stock untanna!B:C""),2,false)"),"BINDER NOTE GASTA HP 2008 A5")</f>
        <v>BINDER NOTE GASTA HP 2008 A5</v>
      </c>
      <c r="F2494" s="49" t="s">
        <v>2777</v>
      </c>
      <c r="G2494" s="71" t="s">
        <v>2778</v>
      </c>
      <c r="H2494" s="41"/>
      <c r="I2494" s="42"/>
      <c r="J2494" s="43"/>
      <c r="K2494" s="72">
        <v>24.0</v>
      </c>
      <c r="L2494" s="53" t="s">
        <v>69</v>
      </c>
      <c r="M2494" s="73">
        <v>15000.0</v>
      </c>
      <c r="N2494" s="74"/>
      <c r="O2494" s="73">
        <v>360000.0</v>
      </c>
      <c r="P2494" s="46" t="str">
        <f t="shared" si="2"/>
        <v>Rp15,000-24 PCS-0.00%</v>
      </c>
      <c r="Q2494" s="75">
        <v>45418.0</v>
      </c>
      <c r="R2494" s="75">
        <v>45416.0</v>
      </c>
      <c r="S2494" s="75">
        <v>45425.0</v>
      </c>
      <c r="T2494" s="49"/>
    </row>
    <row r="2495">
      <c r="A2495" s="90">
        <v>71.0</v>
      </c>
      <c r="B2495" s="91" t="s">
        <v>29</v>
      </c>
      <c r="C2495" s="49" t="s">
        <v>2711</v>
      </c>
      <c r="D2495" s="91"/>
      <c r="E2495" s="41" t="s">
        <v>2779</v>
      </c>
      <c r="F2495" s="49"/>
      <c r="G2495" s="71" t="s">
        <v>2779</v>
      </c>
      <c r="H2495" s="41"/>
      <c r="I2495" s="42"/>
      <c r="J2495" s="43"/>
      <c r="K2495" s="72">
        <v>10.0</v>
      </c>
      <c r="L2495" s="53" t="s">
        <v>69</v>
      </c>
      <c r="M2495" s="73">
        <v>20000.0</v>
      </c>
      <c r="N2495" s="74"/>
      <c r="O2495" s="73">
        <v>200000.0</v>
      </c>
      <c r="P2495" s="46" t="str">
        <f t="shared" si="2"/>
        <v>Rp20,000-10 PCS-0.00%</v>
      </c>
      <c r="Q2495" s="75">
        <v>45418.0</v>
      </c>
      <c r="R2495" s="75">
        <v>45416.0</v>
      </c>
      <c r="S2495" s="75">
        <v>45425.0</v>
      </c>
      <c r="T2495" s="80" t="s">
        <v>280</v>
      </c>
    </row>
    <row r="2496">
      <c r="A2496" s="90">
        <v>71.0</v>
      </c>
      <c r="B2496" s="91" t="s">
        <v>29</v>
      </c>
      <c r="C2496" s="49" t="s">
        <v>2711</v>
      </c>
      <c r="D2496" s="91"/>
      <c r="E2496" s="41" t="s">
        <v>2780</v>
      </c>
      <c r="F2496" s="49"/>
      <c r="G2496" s="71" t="s">
        <v>2780</v>
      </c>
      <c r="H2496" s="41"/>
      <c r="I2496" s="42"/>
      <c r="J2496" s="43"/>
      <c r="K2496" s="72">
        <v>24.0</v>
      </c>
      <c r="L2496" s="53" t="s">
        <v>69</v>
      </c>
      <c r="M2496" s="73">
        <v>10000.0</v>
      </c>
      <c r="N2496" s="74"/>
      <c r="O2496" s="73">
        <v>240000.0</v>
      </c>
      <c r="P2496" s="46" t="str">
        <f t="shared" si="2"/>
        <v>Rp10,000-24 PCS-0.00%</v>
      </c>
      <c r="Q2496" s="75">
        <v>45418.0</v>
      </c>
      <c r="R2496" s="75">
        <v>45416.0</v>
      </c>
      <c r="S2496" s="75">
        <v>45425.0</v>
      </c>
      <c r="T2496" s="49"/>
    </row>
    <row r="2497">
      <c r="A2497" s="90">
        <v>71.0</v>
      </c>
      <c r="B2497" s="91" t="s">
        <v>29</v>
      </c>
      <c r="C2497" s="49" t="s">
        <v>2711</v>
      </c>
      <c r="D2497" s="91"/>
      <c r="E2497" s="41" t="s">
        <v>2781</v>
      </c>
      <c r="F2497" s="49"/>
      <c r="G2497" s="71" t="s">
        <v>2781</v>
      </c>
      <c r="H2497" s="41"/>
      <c r="I2497" s="42"/>
      <c r="J2497" s="43"/>
      <c r="K2497" s="72">
        <v>12.0</v>
      </c>
      <c r="L2497" s="53" t="s">
        <v>69</v>
      </c>
      <c r="M2497" s="73">
        <v>17500.0</v>
      </c>
      <c r="N2497" s="74"/>
      <c r="O2497" s="73">
        <v>210000.0</v>
      </c>
      <c r="P2497" s="46" t="str">
        <f t="shared" si="2"/>
        <v>Rp17,500-12 PCS-0.00%</v>
      </c>
      <c r="Q2497" s="75">
        <v>45418.0</v>
      </c>
      <c r="R2497" s="75">
        <v>45416.0</v>
      </c>
      <c r="S2497" s="75">
        <v>45425.0</v>
      </c>
      <c r="T2497" s="49"/>
    </row>
    <row r="2498">
      <c r="A2498" s="90">
        <v>71.0</v>
      </c>
      <c r="B2498" s="91" t="s">
        <v>29</v>
      </c>
      <c r="C2498" s="49" t="s">
        <v>2711</v>
      </c>
      <c r="D2498" s="91" t="s">
        <v>2782</v>
      </c>
      <c r="E2498" s="41" t="str">
        <f>IFERROR(__xludf.DUMMYFUNCTION("vlookup(D2498,IMPORTRANGE(""https://docs.google.com/spreadsheets/d/1swGwZOEqYlTEUCJLY-eeJM1911Kvaei5oySBIxdgtNo/edit?pli=1#gid=257618397"",""stock untanna!B:C""),2,false)"),"BALON BL 1007")</f>
        <v>BALON BL 1007</v>
      </c>
      <c r="F2498" s="49" t="s">
        <v>2782</v>
      </c>
      <c r="G2498" s="71" t="s">
        <v>2783</v>
      </c>
      <c r="H2498" s="41"/>
      <c r="I2498" s="42"/>
      <c r="J2498" s="43"/>
      <c r="K2498" s="72">
        <v>5.0</v>
      </c>
      <c r="L2498" s="53" t="s">
        <v>1521</v>
      </c>
      <c r="M2498" s="73">
        <v>70000.0</v>
      </c>
      <c r="N2498" s="74"/>
      <c r="O2498" s="73">
        <v>350000.0</v>
      </c>
      <c r="P2498" s="46" t="str">
        <f t="shared" si="2"/>
        <v>Rp70,000-5 DISP-0.00%</v>
      </c>
      <c r="Q2498" s="75">
        <v>45418.0</v>
      </c>
      <c r="R2498" s="75">
        <v>45416.0</v>
      </c>
      <c r="S2498" s="75">
        <v>45425.0</v>
      </c>
      <c r="T2498" s="49"/>
    </row>
    <row r="2499">
      <c r="A2499" s="90">
        <v>71.0</v>
      </c>
      <c r="B2499" s="91" t="s">
        <v>29</v>
      </c>
      <c r="C2499" s="49" t="s">
        <v>2711</v>
      </c>
      <c r="D2499" s="91" t="s">
        <v>2784</v>
      </c>
      <c r="E2499" s="41" t="str">
        <f>IFERROR(__xludf.DUMMYFUNCTION("vlookup(D2499,IMPORTRANGE(""https://docs.google.com/spreadsheets/d/1swGwZOEqYlTEUCJLY-eeJM1911Kvaei5oySBIxdgtNo/edit?pli=1#gid=257618397"",""stock untanna!B:C""),2,false)"),"BALON LKP 3200")</f>
        <v>BALON LKP 3200</v>
      </c>
      <c r="F2499" s="49" t="s">
        <v>2784</v>
      </c>
      <c r="G2499" s="71" t="s">
        <v>2785</v>
      </c>
      <c r="H2499" s="41"/>
      <c r="I2499" s="42"/>
      <c r="J2499" s="43"/>
      <c r="K2499" s="72">
        <v>5.0</v>
      </c>
      <c r="L2499" s="53" t="s">
        <v>1521</v>
      </c>
      <c r="M2499" s="73">
        <v>130000.0</v>
      </c>
      <c r="N2499" s="74"/>
      <c r="O2499" s="73">
        <v>650000.0</v>
      </c>
      <c r="P2499" s="46" t="str">
        <f t="shared" si="2"/>
        <v>Rp130,000-5 DISP-0.00%</v>
      </c>
      <c r="Q2499" s="75">
        <v>45418.0</v>
      </c>
      <c r="R2499" s="75">
        <v>45416.0</v>
      </c>
      <c r="S2499" s="75">
        <v>45425.0</v>
      </c>
      <c r="T2499" s="49"/>
    </row>
    <row r="2500">
      <c r="A2500" s="90">
        <v>71.0</v>
      </c>
      <c r="B2500" s="91" t="s">
        <v>29</v>
      </c>
      <c r="C2500" s="49" t="s">
        <v>2711</v>
      </c>
      <c r="D2500" s="91" t="s">
        <v>1535</v>
      </c>
      <c r="E2500" s="41" t="str">
        <f>IFERROR(__xludf.DUMMYFUNCTION("vlookup(D2500,IMPORTRANGE(""https://docs.google.com/spreadsheets/d/1swGwZOEqYlTEUCJLY-eeJM1911Kvaei5oySBIxdgtNo/edit?pli=1#gid=257618397"",""stock untanna!B:C""),2,false)"),"BALON BL 1009")</f>
        <v>BALON BL 1009</v>
      </c>
      <c r="F2500" s="49" t="s">
        <v>1535</v>
      </c>
      <c r="G2500" s="71" t="s">
        <v>1536</v>
      </c>
      <c r="H2500" s="41"/>
      <c r="I2500" s="42"/>
      <c r="J2500" s="43"/>
      <c r="K2500" s="72">
        <v>5.0</v>
      </c>
      <c r="L2500" s="53" t="s">
        <v>1521</v>
      </c>
      <c r="M2500" s="73">
        <v>90000.0</v>
      </c>
      <c r="N2500" s="74"/>
      <c r="O2500" s="73">
        <v>450000.0</v>
      </c>
      <c r="P2500" s="46" t="str">
        <f t="shared" si="2"/>
        <v>Rp90,000-5 DISP-0.00%</v>
      </c>
      <c r="Q2500" s="75">
        <v>45418.0</v>
      </c>
      <c r="R2500" s="75">
        <v>45416.0</v>
      </c>
      <c r="S2500" s="75">
        <v>45425.0</v>
      </c>
      <c r="T2500" s="49"/>
    </row>
    <row r="2501">
      <c r="A2501" s="90">
        <v>71.0</v>
      </c>
      <c r="B2501" s="91" t="s">
        <v>29</v>
      </c>
      <c r="C2501" s="49" t="s">
        <v>2711</v>
      </c>
      <c r="D2501" s="91"/>
      <c r="E2501" s="41" t="s">
        <v>2786</v>
      </c>
      <c r="F2501" s="49"/>
      <c r="G2501" s="71" t="s">
        <v>2786</v>
      </c>
      <c r="H2501" s="41"/>
      <c r="I2501" s="42"/>
      <c r="J2501" s="43"/>
      <c r="K2501" s="72">
        <v>1.0</v>
      </c>
      <c r="L2501" s="53" t="s">
        <v>1521</v>
      </c>
      <c r="M2501" s="73">
        <v>130000.0</v>
      </c>
      <c r="N2501" s="74"/>
      <c r="O2501" s="73">
        <v>130000.0</v>
      </c>
      <c r="P2501" s="46" t="str">
        <f t="shared" si="2"/>
        <v>Rp130,000-1 DISP-0.00%</v>
      </c>
      <c r="Q2501" s="75">
        <v>45418.0</v>
      </c>
      <c r="R2501" s="75">
        <v>45416.0</v>
      </c>
      <c r="S2501" s="75">
        <v>45425.0</v>
      </c>
      <c r="T2501" s="49"/>
    </row>
    <row r="2502">
      <c r="A2502" s="90">
        <v>71.0</v>
      </c>
      <c r="B2502" s="91" t="s">
        <v>29</v>
      </c>
      <c r="C2502" s="49" t="s">
        <v>2711</v>
      </c>
      <c r="D2502" s="91" t="s">
        <v>1524</v>
      </c>
      <c r="E2502" s="41" t="str">
        <f>IFERROR(__xludf.DUMMYFUNCTION("vlookup(D2502,IMPORTRANGE(""https://docs.google.com/spreadsheets/d/1swGwZOEqYlTEUCJLY-eeJM1911Kvaei5oySBIxdgtNo/edit?pli=1#gid=257618397"",""stock untanna!B:C""),2,false)"),"BALON LOVE 1022 20X5 LKL 2200")</f>
        <v>BALON LOVE 1022 20X5 LKL 2200</v>
      </c>
      <c r="F2502" s="49" t="s">
        <v>1524</v>
      </c>
      <c r="G2502" s="71" t="s">
        <v>1525</v>
      </c>
      <c r="H2502" s="41"/>
      <c r="I2502" s="42"/>
      <c r="J2502" s="43"/>
      <c r="K2502" s="72">
        <v>5.0</v>
      </c>
      <c r="L2502" s="53" t="s">
        <v>1521</v>
      </c>
      <c r="M2502" s="73">
        <v>85000.0</v>
      </c>
      <c r="N2502" s="74"/>
      <c r="O2502" s="73">
        <v>425000.0</v>
      </c>
      <c r="P2502" s="46" t="str">
        <f t="shared" si="2"/>
        <v>Rp85,000-5 DISP-0.00%</v>
      </c>
      <c r="Q2502" s="75">
        <v>45418.0</v>
      </c>
      <c r="R2502" s="75">
        <v>45416.0</v>
      </c>
      <c r="S2502" s="75">
        <v>45425.0</v>
      </c>
      <c r="T2502" s="49"/>
    </row>
    <row r="2503">
      <c r="A2503" s="90">
        <v>72.0</v>
      </c>
      <c r="B2503" s="91" t="s">
        <v>29</v>
      </c>
      <c r="C2503" s="49" t="s">
        <v>2711</v>
      </c>
      <c r="D2503" s="91"/>
      <c r="E2503" s="41" t="s">
        <v>2787</v>
      </c>
      <c r="F2503" s="49"/>
      <c r="G2503" s="71" t="s">
        <v>2787</v>
      </c>
      <c r="H2503" s="41"/>
      <c r="I2503" s="42"/>
      <c r="J2503" s="43"/>
      <c r="K2503" s="72">
        <v>1.0</v>
      </c>
      <c r="L2503" s="53" t="s">
        <v>62</v>
      </c>
      <c r="M2503" s="73">
        <v>100000.0</v>
      </c>
      <c r="N2503" s="74"/>
      <c r="O2503" s="73">
        <v>100000.0</v>
      </c>
      <c r="P2503" s="46" t="str">
        <f t="shared" si="2"/>
        <v>Rp100,000-1 LSN-0.00%</v>
      </c>
      <c r="Q2503" s="75">
        <v>45418.0</v>
      </c>
      <c r="R2503" s="75">
        <v>45416.0</v>
      </c>
      <c r="S2503" s="75">
        <v>45425.0</v>
      </c>
      <c r="T2503" s="49"/>
    </row>
    <row r="2504">
      <c r="A2504" s="90">
        <v>72.0</v>
      </c>
      <c r="B2504" s="91" t="s">
        <v>29</v>
      </c>
      <c r="C2504" s="49" t="s">
        <v>2711</v>
      </c>
      <c r="D2504" s="91"/>
      <c r="E2504" s="41" t="s">
        <v>927</v>
      </c>
      <c r="F2504" s="49"/>
      <c r="G2504" s="71" t="s">
        <v>927</v>
      </c>
      <c r="H2504" s="41"/>
      <c r="I2504" s="42"/>
      <c r="J2504" s="43"/>
      <c r="K2504" s="72">
        <v>1.0</v>
      </c>
      <c r="L2504" s="53" t="s">
        <v>62</v>
      </c>
      <c r="M2504" s="73">
        <v>80000.0</v>
      </c>
      <c r="N2504" s="74"/>
      <c r="O2504" s="73">
        <v>80000.0</v>
      </c>
      <c r="P2504" s="46" t="str">
        <f t="shared" si="2"/>
        <v>Rp80,000-1 LSN-0.00%</v>
      </c>
      <c r="Q2504" s="75">
        <v>45418.0</v>
      </c>
      <c r="R2504" s="75">
        <v>45416.0</v>
      </c>
      <c r="S2504" s="75">
        <v>45425.0</v>
      </c>
      <c r="T2504" s="80" t="s">
        <v>280</v>
      </c>
    </row>
    <row r="2505">
      <c r="A2505" s="90">
        <v>72.0</v>
      </c>
      <c r="B2505" s="91" t="s">
        <v>29</v>
      </c>
      <c r="C2505" s="49" t="s">
        <v>2711</v>
      </c>
      <c r="D2505" s="91" t="s">
        <v>2788</v>
      </c>
      <c r="E2505" s="41" t="str">
        <f>IFERROR(__xludf.DUMMYFUNCTION("vlookup(D2505,IMPORTRANGE(""https://docs.google.com/spreadsheets/d/1swGwZOEqYlTEUCJLY-eeJM1911Kvaei5oySBIxdgtNo/edit?pli=1#gid=257618397"",""stock untanna!B:C""),2,false)"),"NOTEBOOK 25100-62")</f>
        <v>NOTEBOOK 25100-62</v>
      </c>
      <c r="F2505" s="49" t="s">
        <v>2788</v>
      </c>
      <c r="G2505" s="71" t="s">
        <v>2789</v>
      </c>
      <c r="H2505" s="41"/>
      <c r="I2505" s="42"/>
      <c r="J2505" s="43"/>
      <c r="K2505" s="72">
        <v>12.0</v>
      </c>
      <c r="L2505" s="53" t="s">
        <v>69</v>
      </c>
      <c r="M2505" s="73">
        <v>12500.0</v>
      </c>
      <c r="N2505" s="74"/>
      <c r="O2505" s="73">
        <v>150000.0</v>
      </c>
      <c r="P2505" s="46" t="str">
        <f t="shared" si="2"/>
        <v>Rp12,500-12 PCS-0.00%</v>
      </c>
      <c r="Q2505" s="75">
        <v>45418.0</v>
      </c>
      <c r="R2505" s="75">
        <v>45416.0</v>
      </c>
      <c r="S2505" s="75">
        <v>45425.0</v>
      </c>
      <c r="T2505" s="49"/>
    </row>
    <row r="2506">
      <c r="A2506" s="90">
        <v>72.0</v>
      </c>
      <c r="B2506" s="91" t="s">
        <v>29</v>
      </c>
      <c r="C2506" s="49" t="s">
        <v>2711</v>
      </c>
      <c r="D2506" s="91" t="s">
        <v>2790</v>
      </c>
      <c r="E2506" s="41" t="str">
        <f>IFERROR(__xludf.DUMMYFUNCTION("vlookup(D2506,IMPORTRANGE(""https://docs.google.com/spreadsheets/d/1swGwZOEqYlTEUCJLY-eeJM1911Kvaei5oySBIxdgtNo/edit?pli=1#gid=257618397"",""stock untanna!B:C""),2,false)"),"NOTEBOOK 28825-63")</f>
        <v>NOTEBOOK 28825-63</v>
      </c>
      <c r="F2506" s="49" t="s">
        <v>2790</v>
      </c>
      <c r="G2506" s="71" t="s">
        <v>2791</v>
      </c>
      <c r="H2506" s="41"/>
      <c r="I2506" s="42"/>
      <c r="J2506" s="43"/>
      <c r="K2506" s="72">
        <v>12.0</v>
      </c>
      <c r="L2506" s="53" t="s">
        <v>69</v>
      </c>
      <c r="M2506" s="73">
        <v>12500.0</v>
      </c>
      <c r="N2506" s="74"/>
      <c r="O2506" s="73">
        <v>150000.0</v>
      </c>
      <c r="P2506" s="46" t="str">
        <f t="shared" si="2"/>
        <v>Rp12,500-12 PCS-0.00%</v>
      </c>
      <c r="Q2506" s="75">
        <v>45418.0</v>
      </c>
      <c r="R2506" s="75">
        <v>45416.0</v>
      </c>
      <c r="S2506" s="75">
        <v>45425.0</v>
      </c>
      <c r="T2506" s="49"/>
    </row>
    <row r="2507">
      <c r="A2507" s="90">
        <v>72.0</v>
      </c>
      <c r="B2507" s="91" t="s">
        <v>29</v>
      </c>
      <c r="C2507" s="49" t="s">
        <v>2711</v>
      </c>
      <c r="D2507" s="91" t="s">
        <v>183</v>
      </c>
      <c r="E2507" s="41" t="str">
        <f>IFERROR(__xludf.DUMMYFUNCTION("vlookup(D2507,IMPORTRANGE(""https://docs.google.com/spreadsheets/d/1swGwZOEqYlTEUCJLY-eeJM1911Kvaei5oySBIxdgtNo/edit?pli=1#gid=257618397"",""stock untanna!B:C""),2,false)"),"NOTEBOOK SPIRAL 28850-65")</f>
        <v>NOTEBOOK SPIRAL 28850-65</v>
      </c>
      <c r="F2507" s="49" t="s">
        <v>183</v>
      </c>
      <c r="G2507" s="71" t="s">
        <v>184</v>
      </c>
      <c r="H2507" s="41"/>
      <c r="I2507" s="42"/>
      <c r="J2507" s="43"/>
      <c r="K2507" s="72">
        <v>1.0</v>
      </c>
      <c r="L2507" s="53" t="s">
        <v>62</v>
      </c>
      <c r="M2507" s="73">
        <v>90000.0</v>
      </c>
      <c r="N2507" s="74"/>
      <c r="O2507" s="73">
        <v>90000.0</v>
      </c>
      <c r="P2507" s="46" t="str">
        <f t="shared" si="2"/>
        <v>Rp90,000-1 LSN-0.00%</v>
      </c>
      <c r="Q2507" s="75">
        <v>45418.0</v>
      </c>
      <c r="R2507" s="75">
        <v>45416.0</v>
      </c>
      <c r="S2507" s="75">
        <v>45425.0</v>
      </c>
      <c r="T2507" s="49"/>
    </row>
    <row r="2508">
      <c r="A2508" s="90">
        <v>72.0</v>
      </c>
      <c r="B2508" s="91" t="s">
        <v>29</v>
      </c>
      <c r="C2508" s="49" t="s">
        <v>2711</v>
      </c>
      <c r="D2508" s="91"/>
      <c r="E2508" s="41" t="s">
        <v>2792</v>
      </c>
      <c r="F2508" s="49"/>
      <c r="G2508" s="71" t="s">
        <v>2792</v>
      </c>
      <c r="H2508" s="41"/>
      <c r="I2508" s="42"/>
      <c r="J2508" s="43"/>
      <c r="K2508" s="72">
        <v>1.0</v>
      </c>
      <c r="L2508" s="53" t="s">
        <v>62</v>
      </c>
      <c r="M2508" s="73">
        <v>150000.0</v>
      </c>
      <c r="N2508" s="74"/>
      <c r="O2508" s="73">
        <v>150000.0</v>
      </c>
      <c r="P2508" s="46" t="str">
        <f t="shared" si="2"/>
        <v>Rp150,000-1 LSN-0.00%</v>
      </c>
      <c r="Q2508" s="75">
        <v>45418.0</v>
      </c>
      <c r="R2508" s="75">
        <v>45416.0</v>
      </c>
      <c r="S2508" s="75">
        <v>45425.0</v>
      </c>
      <c r="T2508" s="80" t="s">
        <v>280</v>
      </c>
    </row>
    <row r="2509">
      <c r="A2509" s="90">
        <v>72.0</v>
      </c>
      <c r="B2509" s="91" t="s">
        <v>29</v>
      </c>
      <c r="C2509" s="49" t="s">
        <v>2711</v>
      </c>
      <c r="D2509" s="91" t="s">
        <v>1512</v>
      </c>
      <c r="E2509" s="41" t="str">
        <f>IFERROR(__xludf.DUMMYFUNCTION("vlookup(D2509,IMPORTRANGE(""https://docs.google.com/spreadsheets/d/1swGwZOEqYlTEUCJLY-eeJM1911Kvaei5oySBIxdgtNo/edit?pli=1#gid=257618397"",""stock untanna!B:C""),2,false)"),"NOTEBOOK 25100-71")</f>
        <v>NOTEBOOK 25100-71</v>
      </c>
      <c r="F2509" s="49" t="s">
        <v>1512</v>
      </c>
      <c r="G2509" s="71" t="s">
        <v>1513</v>
      </c>
      <c r="H2509" s="41"/>
      <c r="I2509" s="42"/>
      <c r="J2509" s="43"/>
      <c r="K2509" s="72">
        <v>12.0</v>
      </c>
      <c r="L2509" s="53" t="s">
        <v>69</v>
      </c>
      <c r="M2509" s="73">
        <v>12500.0</v>
      </c>
      <c r="N2509" s="74"/>
      <c r="O2509" s="73">
        <v>150000.0</v>
      </c>
      <c r="P2509" s="46" t="str">
        <f t="shared" si="2"/>
        <v>Rp12,500-12 PCS-0.00%</v>
      </c>
      <c r="Q2509" s="75">
        <v>45418.0</v>
      </c>
      <c r="R2509" s="75">
        <v>45416.0</v>
      </c>
      <c r="S2509" s="75">
        <v>45425.0</v>
      </c>
      <c r="T2509" s="49"/>
    </row>
    <row r="2510">
      <c r="A2510" s="90">
        <v>72.0</v>
      </c>
      <c r="B2510" s="91" t="s">
        <v>29</v>
      </c>
      <c r="C2510" s="49" t="s">
        <v>2711</v>
      </c>
      <c r="D2510" s="91" t="s">
        <v>908</v>
      </c>
      <c r="E2510" s="41" t="str">
        <f>IFERROR(__xludf.DUMMYFUNCTION("vlookup(D2510,IMPORTRANGE(""https://docs.google.com/spreadsheets/d/1swGwZOEqYlTEUCJLY-eeJM1911Kvaei5oySBIxdgtNo/edit?pli=1#gid=257618397"",""stock untanna!B:C""),2,false)"),"NOTEBOOK SPIRAL 28850-67")</f>
        <v>NOTEBOOK SPIRAL 28850-67</v>
      </c>
      <c r="F2510" s="49" t="s">
        <v>908</v>
      </c>
      <c r="G2510" s="71" t="s">
        <v>909</v>
      </c>
      <c r="H2510" s="41"/>
      <c r="I2510" s="42"/>
      <c r="J2510" s="43"/>
      <c r="K2510" s="72">
        <v>1.0</v>
      </c>
      <c r="L2510" s="53" t="s">
        <v>62</v>
      </c>
      <c r="M2510" s="73">
        <v>90000.0</v>
      </c>
      <c r="N2510" s="74"/>
      <c r="O2510" s="73">
        <v>90000.0</v>
      </c>
      <c r="P2510" s="46" t="str">
        <f t="shared" si="2"/>
        <v>Rp90,000-1 LSN-0.00%</v>
      </c>
      <c r="Q2510" s="75">
        <v>45418.0</v>
      </c>
      <c r="R2510" s="75">
        <v>45416.0</v>
      </c>
      <c r="S2510" s="75">
        <v>45425.0</v>
      </c>
      <c r="T2510" s="49"/>
    </row>
    <row r="2511">
      <c r="A2511" s="90">
        <v>72.0</v>
      </c>
      <c r="B2511" s="91" t="s">
        <v>29</v>
      </c>
      <c r="C2511" s="49" t="s">
        <v>2711</v>
      </c>
      <c r="D2511" s="91" t="s">
        <v>2793</v>
      </c>
      <c r="E2511" s="41" t="str">
        <f>IFERROR(__xludf.DUMMYFUNCTION("vlookup(D2511,IMPORTRANGE(""https://docs.google.com/spreadsheets/d/1swGwZOEqYlTEUCJLY-eeJM1911Kvaei5oySBIxdgtNo/edit?pli=1#gid=257618397"",""stock untanna!B:C""),2,false)"),"NOTEBOOK 25100-56")</f>
        <v>NOTEBOOK 25100-56</v>
      </c>
      <c r="F2511" s="49" t="s">
        <v>2793</v>
      </c>
      <c r="G2511" s="71" t="s">
        <v>2794</v>
      </c>
      <c r="H2511" s="41"/>
      <c r="I2511" s="42"/>
      <c r="J2511" s="43"/>
      <c r="K2511" s="72">
        <v>12.0</v>
      </c>
      <c r="L2511" s="53" t="s">
        <v>69</v>
      </c>
      <c r="M2511" s="73">
        <v>12500.0</v>
      </c>
      <c r="N2511" s="74"/>
      <c r="O2511" s="73">
        <v>150000.0</v>
      </c>
      <c r="P2511" s="46" t="str">
        <f t="shared" si="2"/>
        <v>Rp12,500-12 PCS-0.00%</v>
      </c>
      <c r="Q2511" s="75">
        <v>45418.0</v>
      </c>
      <c r="R2511" s="75">
        <v>45416.0</v>
      </c>
      <c r="S2511" s="75">
        <v>45425.0</v>
      </c>
      <c r="T2511" s="49"/>
    </row>
    <row r="2512">
      <c r="A2512" s="90">
        <v>72.0</v>
      </c>
      <c r="B2512" s="91" t="s">
        <v>29</v>
      </c>
      <c r="C2512" s="49" t="s">
        <v>2711</v>
      </c>
      <c r="D2512" s="91" t="s">
        <v>2795</v>
      </c>
      <c r="E2512" s="41" t="str">
        <f>IFERROR(__xludf.DUMMYFUNCTION("vlookup(D2512,IMPORTRANGE(""https://docs.google.com/spreadsheets/d/1swGwZOEqYlTEUCJLY-eeJM1911Kvaei5oySBIxdgtNo/edit?pli=1#gid=257618397"",""stock untanna!B:C""),2,false)"),"NB SPIRAL A6 SQY 190402")</f>
        <v>NB SPIRAL A6 SQY 190402</v>
      </c>
      <c r="F2512" s="49" t="s">
        <v>2795</v>
      </c>
      <c r="G2512" s="71" t="s">
        <v>2796</v>
      </c>
      <c r="H2512" s="41"/>
      <c r="I2512" s="42"/>
      <c r="J2512" s="43"/>
      <c r="K2512" s="72">
        <v>12.0</v>
      </c>
      <c r="L2512" s="53" t="s">
        <v>69</v>
      </c>
      <c r="M2512" s="73">
        <v>7500.0</v>
      </c>
      <c r="N2512" s="74"/>
      <c r="O2512" s="73">
        <v>90000.0</v>
      </c>
      <c r="P2512" s="46" t="str">
        <f t="shared" si="2"/>
        <v>Rp7,500-12 PCS-0.00%</v>
      </c>
      <c r="Q2512" s="75">
        <v>45418.0</v>
      </c>
      <c r="R2512" s="75">
        <v>45416.0</v>
      </c>
      <c r="S2512" s="75">
        <v>45425.0</v>
      </c>
      <c r="T2512" s="49"/>
    </row>
    <row r="2513">
      <c r="A2513" s="90">
        <v>72.0</v>
      </c>
      <c r="B2513" s="91" t="s">
        <v>29</v>
      </c>
      <c r="C2513" s="49" t="s">
        <v>2711</v>
      </c>
      <c r="D2513" s="91" t="s">
        <v>2797</v>
      </c>
      <c r="E2513" s="41" t="str">
        <f>IFERROR(__xludf.DUMMYFUNCTION("vlookup(D2513,IMPORTRANGE(""https://docs.google.com/spreadsheets/d/1swGwZOEqYlTEUCJLY-eeJM1911Kvaei5oySBIxdgtNo/edit?pli=1#gid=257618397"",""stock untanna!B:C""),2,false)"),"NB SPIRAL A6-801 LUCKY NOTE")</f>
        <v>NB SPIRAL A6-801 LUCKY NOTE</v>
      </c>
      <c r="F2513" s="49" t="s">
        <v>2797</v>
      </c>
      <c r="G2513" s="71" t="s">
        <v>2798</v>
      </c>
      <c r="H2513" s="41"/>
      <c r="I2513" s="42"/>
      <c r="J2513" s="43"/>
      <c r="K2513" s="72">
        <v>12.0</v>
      </c>
      <c r="L2513" s="53" t="s">
        <v>69</v>
      </c>
      <c r="M2513" s="73">
        <v>7500.0</v>
      </c>
      <c r="N2513" s="74"/>
      <c r="O2513" s="73">
        <v>90000.0</v>
      </c>
      <c r="P2513" s="46" t="str">
        <f t="shared" si="2"/>
        <v>Rp7,500-12 PCS-0.00%</v>
      </c>
      <c r="Q2513" s="75">
        <v>45418.0</v>
      </c>
      <c r="R2513" s="75">
        <v>45416.0</v>
      </c>
      <c r="S2513" s="75">
        <v>45425.0</v>
      </c>
      <c r="T2513" s="49"/>
    </row>
    <row r="2514">
      <c r="A2514" s="90">
        <v>72.0</v>
      </c>
      <c r="B2514" s="91" t="s">
        <v>29</v>
      </c>
      <c r="C2514" s="49" t="s">
        <v>2711</v>
      </c>
      <c r="D2514" s="91"/>
      <c r="E2514" s="41" t="s">
        <v>1509</v>
      </c>
      <c r="F2514" s="49"/>
      <c r="G2514" s="71" t="s">
        <v>1509</v>
      </c>
      <c r="H2514" s="41"/>
      <c r="I2514" s="42"/>
      <c r="J2514" s="43"/>
      <c r="K2514" s="72">
        <v>1.0</v>
      </c>
      <c r="L2514" s="53" t="s">
        <v>62</v>
      </c>
      <c r="M2514" s="73">
        <v>90000.0</v>
      </c>
      <c r="N2514" s="74"/>
      <c r="O2514" s="73">
        <v>90000.0</v>
      </c>
      <c r="P2514" s="46" t="str">
        <f t="shared" si="2"/>
        <v>Rp90,000-1 LSN-0.00%</v>
      </c>
      <c r="Q2514" s="75">
        <v>45418.0</v>
      </c>
      <c r="R2514" s="75">
        <v>45416.0</v>
      </c>
      <c r="S2514" s="75">
        <v>45425.0</v>
      </c>
      <c r="T2514" s="80" t="s">
        <v>280</v>
      </c>
    </row>
    <row r="2515">
      <c r="A2515" s="90">
        <v>72.0</v>
      </c>
      <c r="B2515" s="91" t="s">
        <v>29</v>
      </c>
      <c r="C2515" s="49" t="s">
        <v>2711</v>
      </c>
      <c r="D2515" s="91" t="s">
        <v>906</v>
      </c>
      <c r="E2515" s="41" t="str">
        <f>IFERROR(__xludf.DUMMYFUNCTION("vlookup(D2515,IMPORTRANGE(""https://docs.google.com/spreadsheets/d/1swGwZOEqYlTEUCJLY-eeJM1911Kvaei5oySBIxdgtNo/edit?pli=1#gid=257618397"",""stock untanna!B:C""),2,false)"),"NOTEBOOK 18100-36")</f>
        <v>NOTEBOOK 18100-36</v>
      </c>
      <c r="F2515" s="49" t="s">
        <v>906</v>
      </c>
      <c r="G2515" s="71" t="s">
        <v>907</v>
      </c>
      <c r="H2515" s="41"/>
      <c r="I2515" s="42"/>
      <c r="J2515" s="43"/>
      <c r="K2515" s="72">
        <v>1.0</v>
      </c>
      <c r="L2515" s="53" t="s">
        <v>62</v>
      </c>
      <c r="M2515" s="73">
        <v>225000.0</v>
      </c>
      <c r="N2515" s="74"/>
      <c r="O2515" s="73">
        <v>225000.0</v>
      </c>
      <c r="P2515" s="46" t="str">
        <f t="shared" si="2"/>
        <v>Rp225,000-1 LSN-0.00%</v>
      </c>
      <c r="Q2515" s="75">
        <v>45418.0</v>
      </c>
      <c r="R2515" s="75">
        <v>45416.0</v>
      </c>
      <c r="S2515" s="75">
        <v>45425.0</v>
      </c>
      <c r="T2515" s="49"/>
    </row>
    <row r="2516">
      <c r="A2516" s="90">
        <v>72.0</v>
      </c>
      <c r="B2516" s="91" t="s">
        <v>29</v>
      </c>
      <c r="C2516" s="49" t="s">
        <v>2711</v>
      </c>
      <c r="D2516" s="91"/>
      <c r="E2516" s="41" t="s">
        <v>2799</v>
      </c>
      <c r="F2516" s="49"/>
      <c r="G2516" s="71" t="s">
        <v>2799</v>
      </c>
      <c r="H2516" s="41"/>
      <c r="I2516" s="42"/>
      <c r="J2516" s="43"/>
      <c r="K2516" s="72">
        <v>1.0</v>
      </c>
      <c r="L2516" s="53" t="s">
        <v>62</v>
      </c>
      <c r="M2516" s="73">
        <v>225000.0</v>
      </c>
      <c r="N2516" s="74"/>
      <c r="O2516" s="73">
        <v>225000.0</v>
      </c>
      <c r="P2516" s="46" t="str">
        <f t="shared" si="2"/>
        <v>Rp225,000-1 LSN-0.00%</v>
      </c>
      <c r="Q2516" s="75">
        <v>45418.0</v>
      </c>
      <c r="R2516" s="75">
        <v>45416.0</v>
      </c>
      <c r="S2516" s="75">
        <v>45425.0</v>
      </c>
      <c r="T2516" s="80" t="s">
        <v>280</v>
      </c>
    </row>
    <row r="2517">
      <c r="A2517" s="90">
        <v>72.0</v>
      </c>
      <c r="B2517" s="91" t="s">
        <v>29</v>
      </c>
      <c r="C2517" s="49" t="s">
        <v>2711</v>
      </c>
      <c r="D2517" s="91"/>
      <c r="E2517" s="41" t="s">
        <v>2800</v>
      </c>
      <c r="F2517" s="49"/>
      <c r="G2517" s="71" t="s">
        <v>2800</v>
      </c>
      <c r="H2517" s="41"/>
      <c r="I2517" s="42"/>
      <c r="J2517" s="43"/>
      <c r="K2517" s="72">
        <v>50.0</v>
      </c>
      <c r="L2517" s="53" t="s">
        <v>69</v>
      </c>
      <c r="M2517" s="73">
        <v>5250.0</v>
      </c>
      <c r="N2517" s="74"/>
      <c r="O2517" s="73">
        <v>262500.0</v>
      </c>
      <c r="P2517" s="46" t="str">
        <f t="shared" si="2"/>
        <v>Rp5,250-50 PCS-0.00%</v>
      </c>
      <c r="Q2517" s="75">
        <v>45418.0</v>
      </c>
      <c r="R2517" s="75">
        <v>45416.0</v>
      </c>
      <c r="S2517" s="75">
        <v>45425.0</v>
      </c>
      <c r="T2517" s="49"/>
    </row>
    <row r="2518">
      <c r="A2518" s="90">
        <v>72.0</v>
      </c>
      <c r="B2518" s="91" t="s">
        <v>29</v>
      </c>
      <c r="C2518" s="49" t="s">
        <v>2711</v>
      </c>
      <c r="D2518" s="91"/>
      <c r="E2518" s="41" t="s">
        <v>2801</v>
      </c>
      <c r="F2518" s="49"/>
      <c r="G2518" s="71" t="s">
        <v>2801</v>
      </c>
      <c r="H2518" s="41"/>
      <c r="I2518" s="42"/>
      <c r="J2518" s="43"/>
      <c r="K2518" s="72">
        <v>24.0</v>
      </c>
      <c r="L2518" s="53" t="s">
        <v>69</v>
      </c>
      <c r="M2518" s="73">
        <v>7750.0</v>
      </c>
      <c r="N2518" s="74"/>
      <c r="O2518" s="73">
        <v>186000.0</v>
      </c>
      <c r="P2518" s="46" t="str">
        <f t="shared" si="2"/>
        <v>Rp7,750-24 PCS-0.00%</v>
      </c>
      <c r="Q2518" s="75">
        <v>45418.0</v>
      </c>
      <c r="R2518" s="75">
        <v>45416.0</v>
      </c>
      <c r="S2518" s="75">
        <v>45425.0</v>
      </c>
      <c r="T2518" s="49"/>
    </row>
    <row r="2519">
      <c r="A2519" s="90">
        <v>73.0</v>
      </c>
      <c r="B2519" s="91" t="s">
        <v>29</v>
      </c>
      <c r="C2519" s="49" t="s">
        <v>2711</v>
      </c>
      <c r="D2519" s="91" t="s">
        <v>1557</v>
      </c>
      <c r="E2519" s="41" t="str">
        <f>IFERROR(__xludf.DUMMYFUNCTION("vlookup(D2519,IMPORTRANGE(""https://docs.google.com/spreadsheets/d/1swGwZOEqYlTEUCJLY-eeJM1911Kvaei5oySBIxdgtNo/edit?pli=1#gid=257618397"",""stock untanna!B:C""),2,false)"),"NOTEBOOK  A5-103")</f>
        <v>NOTEBOOK  A5-103</v>
      </c>
      <c r="F2519" s="49" t="s">
        <v>1557</v>
      </c>
      <c r="G2519" s="71" t="s">
        <v>1558</v>
      </c>
      <c r="H2519" s="41"/>
      <c r="I2519" s="42"/>
      <c r="J2519" s="43"/>
      <c r="K2519" s="72">
        <v>1.0</v>
      </c>
      <c r="L2519" s="53" t="s">
        <v>62</v>
      </c>
      <c r="M2519" s="73">
        <v>222000.0</v>
      </c>
      <c r="N2519" s="74"/>
      <c r="O2519" s="73">
        <v>222000.0</v>
      </c>
      <c r="P2519" s="46" t="str">
        <f t="shared" si="2"/>
        <v>Rp222,000-1 LSN-0.00%</v>
      </c>
      <c r="Q2519" s="75">
        <v>45418.0</v>
      </c>
      <c r="R2519" s="75">
        <v>45416.0</v>
      </c>
      <c r="S2519" s="75">
        <v>45425.0</v>
      </c>
      <c r="T2519" s="49"/>
    </row>
    <row r="2520">
      <c r="A2520" s="90">
        <v>73.0</v>
      </c>
      <c r="B2520" s="91" t="s">
        <v>29</v>
      </c>
      <c r="C2520" s="49" t="s">
        <v>2711</v>
      </c>
      <c r="D2520" s="91" t="s">
        <v>2402</v>
      </c>
      <c r="E2520" s="41" t="str">
        <f>IFERROR(__xludf.DUMMYFUNCTION("vlookup(D2520,IMPORTRANGE(""https://docs.google.com/spreadsheets/d/1swGwZOEqYlTEUCJLY-eeJM1911Kvaei5oySBIxdgtNo/edit?pli=1#gid=257618397"",""stock untanna!B:C""),2,false)"),"NOTEBOOK  A5-521")</f>
        <v>NOTEBOOK  A5-521</v>
      </c>
      <c r="F2520" s="49" t="s">
        <v>2402</v>
      </c>
      <c r="G2520" s="71" t="s">
        <v>2403</v>
      </c>
      <c r="H2520" s="41"/>
      <c r="I2520" s="42"/>
      <c r="J2520" s="43"/>
      <c r="K2520" s="72">
        <v>1.0</v>
      </c>
      <c r="L2520" s="53" t="s">
        <v>62</v>
      </c>
      <c r="M2520" s="73">
        <v>222000.0</v>
      </c>
      <c r="N2520" s="74"/>
      <c r="O2520" s="73">
        <v>222000.0</v>
      </c>
      <c r="P2520" s="46" t="str">
        <f t="shared" si="2"/>
        <v>Rp222,000-1 LSN-0.00%</v>
      </c>
      <c r="Q2520" s="75">
        <v>45418.0</v>
      </c>
      <c r="R2520" s="75">
        <v>45416.0</v>
      </c>
      <c r="S2520" s="75">
        <v>45425.0</v>
      </c>
      <c r="T2520" s="49"/>
    </row>
    <row r="2521">
      <c r="A2521" s="90">
        <v>73.0</v>
      </c>
      <c r="B2521" s="91" t="s">
        <v>29</v>
      </c>
      <c r="C2521" s="49" t="s">
        <v>2711</v>
      </c>
      <c r="D2521" s="91" t="s">
        <v>1370</v>
      </c>
      <c r="E2521" s="41" t="str">
        <f>IFERROR(__xludf.DUMMYFUNCTION("vlookup(D2521,IMPORTRANGE(""https://docs.google.com/spreadsheets/d/1swGwZOEqYlTEUCJLY-eeJM1911Kvaei5oySBIxdgtNo/edit?pli=1#gid=257618397"",""stock untanna!B:C""),2,false)"),"NOTEBOOK  A5-UN")</f>
        <v>NOTEBOOK  A5-UN</v>
      </c>
      <c r="F2521" s="49" t="s">
        <v>1370</v>
      </c>
      <c r="G2521" s="71" t="s">
        <v>1371</v>
      </c>
      <c r="H2521" s="41"/>
      <c r="I2521" s="42"/>
      <c r="J2521" s="43"/>
      <c r="K2521" s="72">
        <v>1.0</v>
      </c>
      <c r="L2521" s="53" t="s">
        <v>62</v>
      </c>
      <c r="M2521" s="73">
        <v>222000.0</v>
      </c>
      <c r="N2521" s="74"/>
      <c r="O2521" s="73">
        <v>222000.0</v>
      </c>
      <c r="P2521" s="46" t="str">
        <f t="shared" si="2"/>
        <v>Rp222,000-1 LSN-0.00%</v>
      </c>
      <c r="Q2521" s="75">
        <v>45418.0</v>
      </c>
      <c r="R2521" s="75">
        <v>45416.0</v>
      </c>
      <c r="S2521" s="75">
        <v>45425.0</v>
      </c>
      <c r="T2521" s="49"/>
    </row>
    <row r="2522">
      <c r="A2522" s="90">
        <v>73.0</v>
      </c>
      <c r="B2522" s="91" t="s">
        <v>29</v>
      </c>
      <c r="C2522" s="49" t="s">
        <v>2711</v>
      </c>
      <c r="D2522" s="91" t="s">
        <v>2400</v>
      </c>
      <c r="E2522" s="41" t="str">
        <f>IFERROR(__xludf.DUMMYFUNCTION("vlookup(D2522,IMPORTRANGE(""https://docs.google.com/spreadsheets/d/1swGwZOEqYlTEUCJLY-eeJM1911Kvaei5oySBIxdgtNo/edit?pli=1#gid=257618397"",""stock untanna!B:C""),2,false)"),"NOTEBOOK  A5-104")</f>
        <v>NOTEBOOK  A5-104</v>
      </c>
      <c r="F2522" s="49" t="s">
        <v>2400</v>
      </c>
      <c r="G2522" s="71" t="s">
        <v>2401</v>
      </c>
      <c r="H2522" s="41"/>
      <c r="I2522" s="42"/>
      <c r="J2522" s="43"/>
      <c r="K2522" s="72">
        <v>12.0</v>
      </c>
      <c r="L2522" s="53" t="s">
        <v>69</v>
      </c>
      <c r="M2522" s="73">
        <v>18500.0</v>
      </c>
      <c r="N2522" s="74"/>
      <c r="O2522" s="73">
        <v>222000.0</v>
      </c>
      <c r="P2522" s="46" t="str">
        <f t="shared" si="2"/>
        <v>Rp18,500-12 PCS-0.00%</v>
      </c>
      <c r="Q2522" s="75">
        <v>45418.0</v>
      </c>
      <c r="R2522" s="75">
        <v>45416.0</v>
      </c>
      <c r="S2522" s="75">
        <v>45425.0</v>
      </c>
      <c r="T2522" s="49"/>
    </row>
    <row r="2523">
      <c r="A2523" s="90">
        <v>73.0</v>
      </c>
      <c r="B2523" s="91" t="s">
        <v>29</v>
      </c>
      <c r="C2523" s="49" t="s">
        <v>2711</v>
      </c>
      <c r="D2523" s="91"/>
      <c r="E2523" s="41" t="s">
        <v>2802</v>
      </c>
      <c r="F2523" s="49"/>
      <c r="G2523" s="71" t="s">
        <v>2802</v>
      </c>
      <c r="H2523" s="41"/>
      <c r="I2523" s="42"/>
      <c r="J2523" s="43"/>
      <c r="K2523" s="72">
        <v>12.0</v>
      </c>
      <c r="L2523" s="53" t="s">
        <v>69</v>
      </c>
      <c r="M2523" s="73">
        <v>13500.0</v>
      </c>
      <c r="N2523" s="74"/>
      <c r="O2523" s="73">
        <v>162000.0</v>
      </c>
      <c r="P2523" s="46" t="str">
        <f t="shared" si="2"/>
        <v>Rp13,500-12 PCS-0.00%</v>
      </c>
      <c r="Q2523" s="75">
        <v>45418.0</v>
      </c>
      <c r="R2523" s="75">
        <v>45416.0</v>
      </c>
      <c r="S2523" s="75">
        <v>45425.0</v>
      </c>
      <c r="T2523" s="49"/>
    </row>
    <row r="2524">
      <c r="A2524" s="90">
        <v>73.0</v>
      </c>
      <c r="B2524" s="91" t="s">
        <v>29</v>
      </c>
      <c r="C2524" s="49" t="s">
        <v>2711</v>
      </c>
      <c r="D2524" s="91"/>
      <c r="E2524" s="41" t="s">
        <v>2374</v>
      </c>
      <c r="F2524" s="49"/>
      <c r="G2524" s="71" t="s">
        <v>2374</v>
      </c>
      <c r="H2524" s="41"/>
      <c r="I2524" s="42"/>
      <c r="J2524" s="43"/>
      <c r="K2524" s="72">
        <v>10.0</v>
      </c>
      <c r="L2524" s="53" t="s">
        <v>114</v>
      </c>
      <c r="M2524" s="73">
        <v>25000.0</v>
      </c>
      <c r="N2524" s="74"/>
      <c r="O2524" s="73">
        <v>250000.0</v>
      </c>
      <c r="P2524" s="46" t="str">
        <f t="shared" si="2"/>
        <v>Rp25,000-10 PAK-0.00%</v>
      </c>
      <c r="Q2524" s="75">
        <v>45418.0</v>
      </c>
      <c r="R2524" s="75">
        <v>45416.0</v>
      </c>
      <c r="S2524" s="75">
        <v>45425.0</v>
      </c>
      <c r="T2524" s="49"/>
    </row>
    <row r="2525">
      <c r="A2525" s="90">
        <v>73.0</v>
      </c>
      <c r="B2525" s="91" t="s">
        <v>29</v>
      </c>
      <c r="C2525" s="49" t="s">
        <v>2711</v>
      </c>
      <c r="D2525" s="91"/>
      <c r="E2525" s="41" t="s">
        <v>2013</v>
      </c>
      <c r="F2525" s="49"/>
      <c r="G2525" s="71" t="s">
        <v>2013</v>
      </c>
      <c r="H2525" s="41"/>
      <c r="I2525" s="42"/>
      <c r="J2525" s="43"/>
      <c r="K2525" s="72">
        <v>50.0</v>
      </c>
      <c r="L2525" s="53" t="s">
        <v>114</v>
      </c>
      <c r="M2525" s="73">
        <v>18000.0</v>
      </c>
      <c r="N2525" s="74"/>
      <c r="O2525" s="73">
        <v>900000.0</v>
      </c>
      <c r="P2525" s="46" t="str">
        <f t="shared" si="2"/>
        <v>Rp18,000-50 PAK-0.00%</v>
      </c>
      <c r="Q2525" s="75">
        <v>45418.0</v>
      </c>
      <c r="R2525" s="75">
        <v>45418.0</v>
      </c>
      <c r="S2525" s="75">
        <v>45425.0</v>
      </c>
      <c r="T2525" s="80" t="s">
        <v>280</v>
      </c>
    </row>
    <row r="2526">
      <c r="A2526" s="90">
        <v>73.0</v>
      </c>
      <c r="B2526" s="91" t="s">
        <v>29</v>
      </c>
      <c r="C2526" s="49" t="s">
        <v>2711</v>
      </c>
      <c r="D2526" s="91" t="s">
        <v>31</v>
      </c>
      <c r="E2526" s="41" t="str">
        <f>IFERROR(__xludf.DUMMYFUNCTION("vlookup(D2526,IMPORTRANGE(""https://docs.google.com/spreadsheets/d/1swGwZOEqYlTEUCJLY-eeJM1911Kvaei5oySBIxdgtNo/edit?pli=1#gid=257618397"",""stock untanna!B:C""),2,false)"),"ISI STAPLER 13/8 JOSS")</f>
        <v>ISI STAPLER 13/8 JOSS</v>
      </c>
      <c r="F2526" s="49" t="s">
        <v>31</v>
      </c>
      <c r="G2526" s="71" t="s">
        <v>113</v>
      </c>
      <c r="H2526" s="41"/>
      <c r="I2526" s="42"/>
      <c r="J2526" s="43"/>
      <c r="K2526" s="72">
        <v>100.0</v>
      </c>
      <c r="L2526" s="53" t="s">
        <v>114</v>
      </c>
      <c r="M2526" s="73">
        <v>18500.0</v>
      </c>
      <c r="N2526" s="74"/>
      <c r="O2526" s="73">
        <v>1850000.0</v>
      </c>
      <c r="P2526" s="46" t="str">
        <f t="shared" si="2"/>
        <v>Rp18,500-100 PAK-0.00%</v>
      </c>
      <c r="Q2526" s="75">
        <v>45418.0</v>
      </c>
      <c r="R2526" s="75">
        <v>45418.0</v>
      </c>
      <c r="S2526" s="75">
        <v>45425.0</v>
      </c>
      <c r="T2526" s="49"/>
    </row>
    <row r="2527">
      <c r="A2527" s="90">
        <v>4436.0</v>
      </c>
      <c r="B2527" s="91" t="s">
        <v>29</v>
      </c>
      <c r="C2527" s="49" t="s">
        <v>2803</v>
      </c>
      <c r="D2527" s="91" t="s">
        <v>86</v>
      </c>
      <c r="E2527" s="41" t="str">
        <f>IFERROR(__xludf.DUMMYFUNCTION("vlookup(D2527,IMPORTRANGE(""https://docs.google.com/spreadsheets/d/1swGwZOEqYlTEUCJLY-eeJM1911Kvaei5oySBIxdgtNo/edit?pli=1#gid=257618397"",""stock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2527" s="49" t="s">
        <v>86</v>
      </c>
      <c r="G2527" s="71" t="s">
        <v>87</v>
      </c>
      <c r="H2527" s="41"/>
      <c r="I2527" s="42"/>
      <c r="J2527" s="43"/>
      <c r="K2527" s="72">
        <v>2.0</v>
      </c>
      <c r="L2527" s="53" t="s">
        <v>88</v>
      </c>
      <c r="M2527" s="73">
        <v>138000.0</v>
      </c>
      <c r="N2527" s="74"/>
      <c r="O2527" s="73">
        <v>276000.0</v>
      </c>
      <c r="P2527" s="46" t="str">
        <f t="shared" si="2"/>
        <v>Rp138,000-2 BOX-0.00%</v>
      </c>
      <c r="Q2527" s="75">
        <v>45418.0</v>
      </c>
      <c r="R2527" s="76"/>
      <c r="S2527" s="75">
        <v>45425.0</v>
      </c>
      <c r="T2527" s="49"/>
    </row>
    <row r="2528">
      <c r="A2528" s="90">
        <v>4436.0</v>
      </c>
      <c r="B2528" s="91" t="s">
        <v>29</v>
      </c>
      <c r="C2528" s="49" t="s">
        <v>2803</v>
      </c>
      <c r="D2528" s="77" t="s">
        <v>89</v>
      </c>
      <c r="E2528" s="41" t="str">
        <f>IFERROR(__xludf.DUMMYFUNCTION("vlookup(D2528,IMPORTRANGE(""https://docs.google.com/spreadsheets/d/1swGwZOEqYlTEUCJLY-eeJM1911Kvaei5oySBIxdgtNo/edit?pli=1#gid=257618397"",""stock untanna!B:C""),2,false)"),"ISI GEL DTIAN GR-089 (12PCS TABUNG)")</f>
        <v>ISI GEL DTIAN GR-089 (12PCS TABUNG)</v>
      </c>
      <c r="F2528" s="49" t="s">
        <v>90</v>
      </c>
      <c r="G2528" s="71" t="s">
        <v>91</v>
      </c>
      <c r="H2528" s="41"/>
      <c r="I2528" s="42"/>
      <c r="J2528" s="43"/>
      <c r="K2528" s="72">
        <v>2.0</v>
      </c>
      <c r="L2528" s="53" t="s">
        <v>88</v>
      </c>
      <c r="M2528" s="73">
        <v>277200.0</v>
      </c>
      <c r="N2528" s="74"/>
      <c r="O2528" s="73">
        <v>554400.0</v>
      </c>
      <c r="P2528" s="46" t="str">
        <f t="shared" si="2"/>
        <v>Rp277,200-2 BOX-0.00%</v>
      </c>
      <c r="Q2528" s="75">
        <v>45418.0</v>
      </c>
      <c r="R2528" s="76"/>
      <c r="S2528" s="75">
        <v>45425.0</v>
      </c>
      <c r="T2528" s="49"/>
    </row>
    <row r="2529">
      <c r="A2529" s="90">
        <v>4436.0</v>
      </c>
      <c r="B2529" s="91" t="s">
        <v>29</v>
      </c>
      <c r="C2529" s="49" t="s">
        <v>2803</v>
      </c>
      <c r="D2529" s="91" t="s">
        <v>1039</v>
      </c>
      <c r="E2529" s="41" t="str">
        <f>IFERROR(__xludf.DUMMYFUNCTION("vlookup(D2529,IMPORTRANGE(""https://docs.google.com/spreadsheets/d/1swGwZOEqYlTEUCJLY-eeJM1911Kvaei5oySBIxdgtNo/edit?pli=1#gid=257618397"",""stock untanna!B:C""),2,false)"),"TIPEX KERTAS NO.5031")</f>
        <v>TIPEX KERTAS NO.5031</v>
      </c>
      <c r="F2529" s="49" t="s">
        <v>1039</v>
      </c>
      <c r="G2529" s="71" t="s">
        <v>1040</v>
      </c>
      <c r="H2529" s="41"/>
      <c r="I2529" s="42"/>
      <c r="J2529" s="43"/>
      <c r="K2529" s="72">
        <v>4.0</v>
      </c>
      <c r="L2529" s="53" t="s">
        <v>62</v>
      </c>
      <c r="M2529" s="73">
        <v>60000.0</v>
      </c>
      <c r="N2529" s="74"/>
      <c r="O2529" s="73">
        <v>240000.0</v>
      </c>
      <c r="P2529" s="46" t="str">
        <f t="shared" si="2"/>
        <v>Rp60,000-4 LSN-0.00%</v>
      </c>
      <c r="Q2529" s="75">
        <v>45418.0</v>
      </c>
      <c r="R2529" s="76"/>
      <c r="S2529" s="75">
        <v>45425.0</v>
      </c>
      <c r="T2529" s="49"/>
    </row>
    <row r="2530">
      <c r="A2530" s="90">
        <v>4436.0</v>
      </c>
      <c r="B2530" s="91" t="s">
        <v>29</v>
      </c>
      <c r="C2530" s="49" t="s">
        <v>2803</v>
      </c>
      <c r="D2530" s="91" t="s">
        <v>1605</v>
      </c>
      <c r="E2530" s="41" t="str">
        <f>IFERROR(__xludf.DUMMYFUNCTION("vlookup(D2530,IMPORTRANGE(""https://docs.google.com/spreadsheets/d/1swGwZOEqYlTEUCJLY-eeJM1911Kvaei5oySBIxdgtNo/edit?pli=1#gid=257618397"",""stock untanna!B:C""),2,false)"),"TIPEX MICROTOP MT-767")</f>
        <v>TIPEX MICROTOP MT-767</v>
      </c>
      <c r="F2530" s="49" t="s">
        <v>1605</v>
      </c>
      <c r="G2530" s="71" t="s">
        <v>1606</v>
      </c>
      <c r="H2530" s="41"/>
      <c r="I2530" s="42"/>
      <c r="J2530" s="43"/>
      <c r="K2530" s="72">
        <v>4.0</v>
      </c>
      <c r="L2530" s="53" t="s">
        <v>62</v>
      </c>
      <c r="M2530" s="73">
        <v>52500.0</v>
      </c>
      <c r="N2530" s="74"/>
      <c r="O2530" s="73">
        <v>210000.0</v>
      </c>
      <c r="P2530" s="46" t="str">
        <f t="shared" si="2"/>
        <v>Rp52,500-4 LSN-0.00%</v>
      </c>
      <c r="Q2530" s="75">
        <v>45418.0</v>
      </c>
      <c r="R2530" s="76"/>
      <c r="S2530" s="75">
        <v>45425.0</v>
      </c>
      <c r="T2530" s="49" t="s">
        <v>100</v>
      </c>
    </row>
    <row r="2531">
      <c r="A2531" s="90">
        <v>4436.0</v>
      </c>
      <c r="B2531" s="91" t="s">
        <v>29</v>
      </c>
      <c r="C2531" s="49" t="s">
        <v>2803</v>
      </c>
      <c r="D2531" s="91" t="s">
        <v>2804</v>
      </c>
      <c r="E2531" s="41" t="str">
        <f>IFERROR(__xludf.DUMMYFUNCTION("vlookup(D2531,IMPORTRANGE(""https://docs.google.com/spreadsheets/d/1swGwZOEqYlTEUCJLY-eeJM1911Kvaei5oySBIxdgtNo/edit?pli=1#gid=257618397"",""stock untanna!B:C""),2,false)"),"GARISAN DB P 072 30CM")</f>
        <v>GARISAN DB P 072 30CM</v>
      </c>
      <c r="F2531" s="49" t="s">
        <v>2804</v>
      </c>
      <c r="G2531" s="71" t="s">
        <v>2805</v>
      </c>
      <c r="H2531" s="41"/>
      <c r="I2531" s="42"/>
      <c r="J2531" s="43"/>
      <c r="K2531" s="72">
        <v>2.0</v>
      </c>
      <c r="L2531" s="53" t="s">
        <v>62</v>
      </c>
      <c r="M2531" s="73">
        <v>35000.0</v>
      </c>
      <c r="N2531" s="74"/>
      <c r="O2531" s="73">
        <v>70000.0</v>
      </c>
      <c r="P2531" s="46" t="str">
        <f t="shared" si="2"/>
        <v>Rp35,000-2 LSN-0.00%</v>
      </c>
      <c r="Q2531" s="75">
        <v>45418.0</v>
      </c>
      <c r="R2531" s="76"/>
      <c r="S2531" s="75">
        <v>45425.0</v>
      </c>
      <c r="T2531" s="49"/>
    </row>
    <row r="2532">
      <c r="A2532" s="90">
        <v>4436.0</v>
      </c>
      <c r="B2532" s="91" t="s">
        <v>29</v>
      </c>
      <c r="C2532" s="49" t="s">
        <v>2803</v>
      </c>
      <c r="D2532" s="91" t="s">
        <v>389</v>
      </c>
      <c r="E2532" s="41" t="str">
        <f>IFERROR(__xludf.DUMMYFUNCTION("vlookup(D2532,IMPORTRANGE(""https://docs.google.com/spreadsheets/d/1swGwZOEqYlTEUCJLY-eeJM1911Kvaei5oySBIxdgtNo/edit?pli=1#gid=257618397"",""stock untanna!B:C""),2,false)"),"GARISAN ZH-251 20 CM")</f>
        <v>GARISAN ZH-251 20 CM</v>
      </c>
      <c r="F2532" s="49" t="s">
        <v>389</v>
      </c>
      <c r="G2532" s="71" t="s">
        <v>390</v>
      </c>
      <c r="H2532" s="41"/>
      <c r="I2532" s="42"/>
      <c r="J2532" s="43"/>
      <c r="K2532" s="72">
        <v>80.0</v>
      </c>
      <c r="L2532" s="53" t="s">
        <v>69</v>
      </c>
      <c r="M2532" s="73">
        <v>1750.0</v>
      </c>
      <c r="N2532" s="74"/>
      <c r="O2532" s="73">
        <v>140000.0</v>
      </c>
      <c r="P2532" s="46" t="str">
        <f t="shared" si="2"/>
        <v>Rp1,750-80 PCS-0.00%</v>
      </c>
      <c r="Q2532" s="75">
        <v>45418.0</v>
      </c>
      <c r="R2532" s="76"/>
      <c r="S2532" s="75">
        <v>45425.0</v>
      </c>
      <c r="T2532" s="49"/>
    </row>
    <row r="2533">
      <c r="A2533" s="90">
        <v>4436.0</v>
      </c>
      <c r="B2533" s="91" t="s">
        <v>29</v>
      </c>
      <c r="C2533" s="49" t="s">
        <v>2803</v>
      </c>
      <c r="D2533" s="91" t="s">
        <v>419</v>
      </c>
      <c r="E2533" s="41" t="str">
        <f>IFERROR(__xludf.DUMMYFUNCTION("vlookup(D2533,IMPORTRANGE(""https://docs.google.com/spreadsheets/d/1swGwZOEqYlTEUCJLY-eeJM1911Kvaei5oySBIxdgtNo/edit?pli=1#gid=257618397"",""stock untanna!B:C""),2,false)"),"BP GEL ZUI XUA HY-1020 HITAM")</f>
        <v>BP GEL ZUI XUA HY-1020 HITAM</v>
      </c>
      <c r="F2533" s="49" t="s">
        <v>419</v>
      </c>
      <c r="G2533" s="71" t="s">
        <v>420</v>
      </c>
      <c r="H2533" s="41"/>
      <c r="I2533" s="42"/>
      <c r="J2533" s="43"/>
      <c r="K2533" s="72">
        <v>24.0</v>
      </c>
      <c r="L2533" s="53" t="s">
        <v>62</v>
      </c>
      <c r="M2533" s="73">
        <v>14500.0</v>
      </c>
      <c r="N2533" s="74"/>
      <c r="O2533" s="73">
        <v>348000.0</v>
      </c>
      <c r="P2533" s="46" t="str">
        <f t="shared" si="2"/>
        <v>Rp14,500-24 LSN-0.00%</v>
      </c>
      <c r="Q2533" s="75">
        <v>45418.0</v>
      </c>
      <c r="R2533" s="76"/>
      <c r="S2533" s="75">
        <v>45425.0</v>
      </c>
      <c r="T2533" s="49"/>
    </row>
    <row r="2534">
      <c r="A2534" s="90">
        <v>4436.0</v>
      </c>
      <c r="B2534" s="91" t="s">
        <v>29</v>
      </c>
      <c r="C2534" s="49" t="s">
        <v>2803</v>
      </c>
      <c r="D2534" s="91" t="s">
        <v>953</v>
      </c>
      <c r="E2534" s="41" t="str">
        <f>IFERROR(__xludf.DUMMYFUNCTION("vlookup(D2534,IMPORTRANGE(""https://docs.google.com/spreadsheets/d/1swGwZOEqYlTEUCJLY-eeJM1911Kvaei5oySBIxdgtNo/edit?pli=1#gid=257618397"",""stock untanna!B:C""),2,false)"),"BP GEL DTIAN DT-612")</f>
        <v>BP GEL DTIAN DT-612</v>
      </c>
      <c r="F2534" s="49" t="s">
        <v>953</v>
      </c>
      <c r="G2534" s="71" t="s">
        <v>954</v>
      </c>
      <c r="H2534" s="41"/>
      <c r="I2534" s="42"/>
      <c r="J2534" s="43"/>
      <c r="K2534" s="72">
        <v>12.0</v>
      </c>
      <c r="L2534" s="53" t="s">
        <v>62</v>
      </c>
      <c r="M2534" s="73">
        <v>13500.0</v>
      </c>
      <c r="N2534" s="74"/>
      <c r="O2534" s="73">
        <v>162000.0</v>
      </c>
      <c r="P2534" s="46" t="str">
        <f t="shared" si="2"/>
        <v>Rp13,500-12 LSN-0.00%</v>
      </c>
      <c r="Q2534" s="75">
        <v>45418.0</v>
      </c>
      <c r="R2534" s="76"/>
      <c r="S2534" s="75">
        <v>45425.0</v>
      </c>
      <c r="T2534" s="49"/>
    </row>
    <row r="2535">
      <c r="A2535" s="90">
        <v>4436.0</v>
      </c>
      <c r="B2535" s="91" t="s">
        <v>29</v>
      </c>
      <c r="C2535" s="49" t="s">
        <v>2803</v>
      </c>
      <c r="D2535" s="91" t="s">
        <v>2806</v>
      </c>
      <c r="E2535" s="41" t="str">
        <f>IFERROR(__xludf.DUMMYFUNCTION("vlookup(D2535,IMPORTRANGE(""https://docs.google.com/spreadsheets/d/1swGwZOEqYlTEUCJLY-eeJM1911Kvaei5oySBIxdgtNo/edit?pli=1#gid=257618397"",""stock untanna!B:C""),2,false)"),"GARISAN ELASTIS 15CM GR-2301 (WALITO)")</f>
        <v>GARISAN ELASTIS 15CM GR-2301 (WALITO)</v>
      </c>
      <c r="F2535" s="49" t="s">
        <v>2806</v>
      </c>
      <c r="G2535" s="78" t="s">
        <v>2807</v>
      </c>
      <c r="H2535" s="41"/>
      <c r="I2535" s="42"/>
      <c r="J2535" s="43"/>
      <c r="K2535" s="72">
        <v>3.0</v>
      </c>
      <c r="L2535" s="53" t="s">
        <v>62</v>
      </c>
      <c r="M2535" s="73">
        <v>57500.0</v>
      </c>
      <c r="N2535" s="74"/>
      <c r="O2535" s="73">
        <v>172500.0</v>
      </c>
      <c r="P2535" s="46" t="str">
        <f t="shared" si="2"/>
        <v>Rp57,500-3 LSN-0.00%</v>
      </c>
      <c r="Q2535" s="75">
        <v>45418.0</v>
      </c>
      <c r="R2535" s="76"/>
      <c r="S2535" s="75">
        <v>45425.0</v>
      </c>
      <c r="T2535" s="49"/>
    </row>
    <row r="2536">
      <c r="A2536" s="90">
        <v>4436.0</v>
      </c>
      <c r="B2536" s="91" t="s">
        <v>29</v>
      </c>
      <c r="C2536" s="49" t="s">
        <v>2803</v>
      </c>
      <c r="D2536" s="91" t="s">
        <v>2808</v>
      </c>
      <c r="E2536" s="41" t="str">
        <f>IFERROR(__xludf.DUMMYFUNCTION("vlookup(D2536,IMPORTRANGE(""https://docs.google.com/spreadsheets/d/1swGwZOEqYlTEUCJLY-eeJM1911Kvaei5oySBIxdgtNo/edit?pli=1#gid=257618397"",""stock untanna!B:C""),2,false)"),"GARISAN ELASTIS 30CM GR-2303 (WALITO)")</f>
        <v>GARISAN ELASTIS 30CM GR-2303 (WALITO)</v>
      </c>
      <c r="F2536" s="49" t="s">
        <v>2808</v>
      </c>
      <c r="G2536" s="78" t="s">
        <v>2809</v>
      </c>
      <c r="H2536" s="41"/>
      <c r="I2536" s="42"/>
      <c r="J2536" s="43"/>
      <c r="K2536" s="72">
        <v>3.0</v>
      </c>
      <c r="L2536" s="53" t="s">
        <v>62</v>
      </c>
      <c r="M2536" s="73">
        <v>85000.0</v>
      </c>
      <c r="N2536" s="74"/>
      <c r="O2536" s="73">
        <v>255000.0</v>
      </c>
      <c r="P2536" s="46" t="str">
        <f t="shared" si="2"/>
        <v>Rp85,000-3 LSN-0.00%</v>
      </c>
      <c r="Q2536" s="75">
        <v>45418.0</v>
      </c>
      <c r="R2536" s="76"/>
      <c r="S2536" s="75">
        <v>45425.0</v>
      </c>
      <c r="T2536" s="49"/>
    </row>
    <row r="2537">
      <c r="A2537" s="90">
        <v>4436.0</v>
      </c>
      <c r="B2537" s="91" t="s">
        <v>29</v>
      </c>
      <c r="C2537" s="49" t="s">
        <v>2803</v>
      </c>
      <c r="D2537" s="77" t="s">
        <v>2810</v>
      </c>
      <c r="E2537" s="41" t="str">
        <f>IFERROR(__xludf.DUMMYFUNCTION("vlookup(D2537,IMPORTRANGE(""https://docs.google.com/spreadsheets/d/1swGwZOEqYlTEUCJLY-eeJM1911Kvaei5oySBIxdgtNo/edit?pli=1#gid=257618397"",""stock untanna!B:C""),2,false)"),"GARISAN UMPTN (50)")</f>
        <v>GARISAN UMPTN (50)</v>
      </c>
      <c r="F2537" s="49" t="s">
        <v>2811</v>
      </c>
      <c r="G2537" s="71" t="s">
        <v>2812</v>
      </c>
      <c r="H2537" s="41"/>
      <c r="I2537" s="42"/>
      <c r="J2537" s="43"/>
      <c r="K2537" s="72">
        <v>50.0</v>
      </c>
      <c r="L2537" s="53" t="s">
        <v>69</v>
      </c>
      <c r="M2537" s="73">
        <v>300.0</v>
      </c>
      <c r="N2537" s="74"/>
      <c r="O2537" s="73">
        <v>15000.0</v>
      </c>
      <c r="P2537" s="46" t="str">
        <f t="shared" si="2"/>
        <v>Rp300-50 PCS-0.00%</v>
      </c>
      <c r="Q2537" s="75">
        <v>45418.0</v>
      </c>
      <c r="R2537" s="76"/>
      <c r="S2537" s="75">
        <v>45425.0</v>
      </c>
      <c r="T2537" s="49"/>
    </row>
    <row r="2538">
      <c r="A2538" s="90">
        <v>4436.0</v>
      </c>
      <c r="B2538" s="91" t="s">
        <v>29</v>
      </c>
      <c r="C2538" s="49" t="s">
        <v>2803</v>
      </c>
      <c r="D2538" s="91" t="s">
        <v>659</v>
      </c>
      <c r="E2538" s="41" t="str">
        <f>IFERROR(__xludf.DUMMYFUNCTION("vlookup(D2538,IMPORTRANGE(""https://docs.google.com/spreadsheets/d/1swGwZOEqYlTEUCJLY-eeJM1911Kvaei5oySBIxdgtNo/edit?pli=1#gid=257618397"",""stock untanna!B:C""),2,false)"),"CAT ACRYLIC V-TECH")</f>
        <v>CAT ACRYLIC V-TECH</v>
      </c>
      <c r="F2538" s="49" t="s">
        <v>659</v>
      </c>
      <c r="G2538" s="71" t="s">
        <v>660</v>
      </c>
      <c r="H2538" s="41"/>
      <c r="I2538" s="42"/>
      <c r="J2538" s="43"/>
      <c r="K2538" s="72">
        <v>1.0</v>
      </c>
      <c r="L2538" s="53" t="s">
        <v>62</v>
      </c>
      <c r="M2538" s="73">
        <v>252000.0</v>
      </c>
      <c r="N2538" s="74"/>
      <c r="O2538" s="73">
        <v>252000.0</v>
      </c>
      <c r="P2538" s="46" t="str">
        <f t="shared" si="2"/>
        <v>Rp252,000-1 LSN-0.00%</v>
      </c>
      <c r="Q2538" s="75">
        <v>45418.0</v>
      </c>
      <c r="R2538" s="76"/>
      <c r="S2538" s="75">
        <v>45425.0</v>
      </c>
      <c r="T2538" s="49"/>
    </row>
    <row r="2539">
      <c r="A2539" s="90">
        <v>4436.0</v>
      </c>
      <c r="B2539" s="91" t="s">
        <v>29</v>
      </c>
      <c r="C2539" s="49" t="s">
        <v>2803</v>
      </c>
      <c r="D2539" s="91" t="s">
        <v>428</v>
      </c>
      <c r="E2539" s="41" t="str">
        <f>IFERROR(__xludf.DUMMYFUNCTION("vlookup(D2539,IMPORTRANGE(""https://docs.google.com/spreadsheets/d/1swGwZOEqYlTEUCJLY-eeJM1911Kvaei5oySBIxdgtNo/edit?pli=1#gid=257618397"",""stock untanna!B:C""),2,false)"),"CAT ACRYLIC TF 001")</f>
        <v>CAT ACRYLIC TF 001</v>
      </c>
      <c r="F2539" s="49" t="s">
        <v>428</v>
      </c>
      <c r="G2539" s="71" t="s">
        <v>429</v>
      </c>
      <c r="H2539" s="41"/>
      <c r="I2539" s="42"/>
      <c r="J2539" s="43"/>
      <c r="K2539" s="72">
        <v>1.0</v>
      </c>
      <c r="L2539" s="53" t="s">
        <v>62</v>
      </c>
      <c r="M2539" s="73">
        <v>250000.0</v>
      </c>
      <c r="N2539" s="74"/>
      <c r="O2539" s="73">
        <v>250000.0</v>
      </c>
      <c r="P2539" s="46" t="str">
        <f t="shared" si="2"/>
        <v>Rp250,000-1 LSN-0.00%</v>
      </c>
      <c r="Q2539" s="75">
        <v>45418.0</v>
      </c>
      <c r="R2539" s="76"/>
      <c r="S2539" s="75">
        <v>45425.0</v>
      </c>
      <c r="T2539" s="49"/>
    </row>
    <row r="2540">
      <c r="A2540" s="90">
        <v>4436.0</v>
      </c>
      <c r="B2540" s="91" t="s">
        <v>29</v>
      </c>
      <c r="C2540" s="49" t="s">
        <v>2803</v>
      </c>
      <c r="D2540" s="91"/>
      <c r="E2540" s="41" t="s">
        <v>2813</v>
      </c>
      <c r="F2540" s="49"/>
      <c r="G2540" s="71" t="s">
        <v>2813</v>
      </c>
      <c r="H2540" s="41"/>
      <c r="I2540" s="42"/>
      <c r="J2540" s="43"/>
      <c r="K2540" s="72">
        <v>11.0</v>
      </c>
      <c r="L2540" s="53" t="s">
        <v>69</v>
      </c>
      <c r="M2540" s="73">
        <v>18750.0</v>
      </c>
      <c r="N2540" s="74"/>
      <c r="O2540" s="73">
        <v>206250.0</v>
      </c>
      <c r="P2540" s="46" t="str">
        <f t="shared" si="2"/>
        <v>Rp18,750-11 PCS-0.00%</v>
      </c>
      <c r="Q2540" s="75">
        <v>45418.0</v>
      </c>
      <c r="R2540" s="76"/>
      <c r="S2540" s="75">
        <v>45425.0</v>
      </c>
      <c r="T2540" s="49"/>
    </row>
    <row r="2541">
      <c r="A2541" s="90">
        <v>4436.0</v>
      </c>
      <c r="B2541" s="91" t="s">
        <v>29</v>
      </c>
      <c r="C2541" s="49" t="s">
        <v>2803</v>
      </c>
      <c r="D2541" s="91" t="s">
        <v>1522</v>
      </c>
      <c r="E2541" s="41" t="str">
        <f>IFERROR(__xludf.DUMMYFUNCTION("vlookup(D2541,IMPORTRANGE(""https://docs.google.com/spreadsheets/d/1swGwZOEqYlTEUCJLY-eeJM1911Kvaei5oySBIxdgtNo/edit?pli=1#gid=257618397"",""stock untanna!B:C""),2,false)"),"BALON LKM 2800")</f>
        <v>BALON LKM 2800</v>
      </c>
      <c r="F2541" s="49" t="s">
        <v>1522</v>
      </c>
      <c r="G2541" s="71" t="s">
        <v>1523</v>
      </c>
      <c r="H2541" s="41"/>
      <c r="I2541" s="42"/>
      <c r="J2541" s="43"/>
      <c r="K2541" s="72">
        <v>1.0</v>
      </c>
      <c r="L2541" s="53" t="s">
        <v>1521</v>
      </c>
      <c r="M2541" s="73">
        <v>80000.0</v>
      </c>
      <c r="N2541" s="74"/>
      <c r="O2541" s="73">
        <v>80000.0</v>
      </c>
      <c r="P2541" s="46" t="str">
        <f t="shared" si="2"/>
        <v>Rp80,000-1 DISP-0.00%</v>
      </c>
      <c r="Q2541" s="75">
        <v>45418.0</v>
      </c>
      <c r="R2541" s="76"/>
      <c r="S2541" s="75">
        <v>45425.0</v>
      </c>
      <c r="T2541" s="49"/>
    </row>
    <row r="2542">
      <c r="A2542" s="90">
        <v>4436.0</v>
      </c>
      <c r="B2542" s="91" t="s">
        <v>29</v>
      </c>
      <c r="C2542" s="49" t="s">
        <v>2803</v>
      </c>
      <c r="D2542" s="91" t="s">
        <v>2782</v>
      </c>
      <c r="E2542" s="41" t="str">
        <f>IFERROR(__xludf.DUMMYFUNCTION("vlookup(D2542,IMPORTRANGE(""https://docs.google.com/spreadsheets/d/1swGwZOEqYlTEUCJLY-eeJM1911Kvaei5oySBIxdgtNo/edit?pli=1#gid=257618397"",""stock untanna!B:C""),2,false)"),"BALON BL 1007")</f>
        <v>BALON BL 1007</v>
      </c>
      <c r="F2542" s="49" t="s">
        <v>2782</v>
      </c>
      <c r="G2542" s="71" t="s">
        <v>2783</v>
      </c>
      <c r="H2542" s="41"/>
      <c r="I2542" s="42"/>
      <c r="J2542" s="43"/>
      <c r="K2542" s="72">
        <v>1.0</v>
      </c>
      <c r="L2542" s="53" t="s">
        <v>1521</v>
      </c>
      <c r="M2542" s="73">
        <v>80000.0</v>
      </c>
      <c r="N2542" s="74"/>
      <c r="O2542" s="73">
        <v>80000.0</v>
      </c>
      <c r="P2542" s="46" t="str">
        <f t="shared" si="2"/>
        <v>Rp80,000-1 DISP-0.00%</v>
      </c>
      <c r="Q2542" s="75">
        <v>45418.0</v>
      </c>
      <c r="R2542" s="76"/>
      <c r="S2542" s="75">
        <v>45425.0</v>
      </c>
      <c r="T2542" s="49"/>
    </row>
    <row r="2543">
      <c r="A2543" s="90">
        <v>4437.0</v>
      </c>
      <c r="B2543" s="91" t="s">
        <v>29</v>
      </c>
      <c r="C2543" s="49" t="s">
        <v>2803</v>
      </c>
      <c r="D2543" s="91" t="s">
        <v>902</v>
      </c>
      <c r="E2543" s="41" t="str">
        <f>IFERROR(__xludf.DUMMYFUNCTION("vlookup(D2543,IMPORTRANGE(""https://docs.google.com/spreadsheets/d/1swGwZOEqYlTEUCJLY-eeJM1911Kvaei5oySBIxdgtNo/edit?pli=1#gid=257618397"",""stock untanna!B:C""),2,false)"),"BLOCK NOTE SPIRAL ENTER 403")</f>
        <v>BLOCK NOTE SPIRAL ENTER 403</v>
      </c>
      <c r="F2543" s="49" t="s">
        <v>902</v>
      </c>
      <c r="G2543" s="71" t="s">
        <v>903</v>
      </c>
      <c r="H2543" s="41"/>
      <c r="I2543" s="42"/>
      <c r="J2543" s="43"/>
      <c r="K2543" s="72">
        <v>12.0</v>
      </c>
      <c r="L2543" s="53" t="s">
        <v>69</v>
      </c>
      <c r="M2543" s="73">
        <v>7000.0</v>
      </c>
      <c r="N2543" s="74"/>
      <c r="O2543" s="73">
        <v>84000.0</v>
      </c>
      <c r="P2543" s="46" t="str">
        <f t="shared" si="2"/>
        <v>Rp7,000-12 PCS-0.00%</v>
      </c>
      <c r="Q2543" s="75">
        <v>45418.0</v>
      </c>
      <c r="R2543" s="76"/>
      <c r="S2543" s="75">
        <v>45425.0</v>
      </c>
      <c r="T2543" s="49"/>
    </row>
    <row r="2544">
      <c r="A2544" s="90">
        <v>4437.0</v>
      </c>
      <c r="B2544" s="91" t="s">
        <v>29</v>
      </c>
      <c r="C2544" s="49" t="s">
        <v>2803</v>
      </c>
      <c r="D2544" s="91" t="s">
        <v>904</v>
      </c>
      <c r="E2544" s="41" t="str">
        <f>IFERROR(__xludf.DUMMYFUNCTION("vlookup(D2544,IMPORTRANGE(""https://docs.google.com/spreadsheets/d/1swGwZOEqYlTEUCJLY-eeJM1911Kvaei5oySBIxdgtNo/edit?pli=1#gid=257618397"",""stock untanna!B:C""),2,false)"),"BLOCK NOTE SPIRAL ENTER 404")</f>
        <v>BLOCK NOTE SPIRAL ENTER 404</v>
      </c>
      <c r="F2544" s="49" t="s">
        <v>904</v>
      </c>
      <c r="G2544" s="71" t="s">
        <v>905</v>
      </c>
      <c r="H2544" s="41"/>
      <c r="I2544" s="42"/>
      <c r="J2544" s="43"/>
      <c r="K2544" s="72">
        <v>12.0</v>
      </c>
      <c r="L2544" s="53" t="s">
        <v>69</v>
      </c>
      <c r="M2544" s="73">
        <v>5250.0</v>
      </c>
      <c r="N2544" s="74"/>
      <c r="O2544" s="73">
        <v>63000.0</v>
      </c>
      <c r="P2544" s="46" t="str">
        <f t="shared" si="2"/>
        <v>Rp5,250-12 PCS-0.00%</v>
      </c>
      <c r="Q2544" s="75">
        <v>45418.0</v>
      </c>
      <c r="R2544" s="76"/>
      <c r="S2544" s="75">
        <v>45425.0</v>
      </c>
      <c r="T2544" s="49"/>
    </row>
    <row r="2545">
      <c r="A2545" s="90">
        <v>4437.0</v>
      </c>
      <c r="B2545" s="91" t="s">
        <v>29</v>
      </c>
      <c r="C2545" s="49" t="s">
        <v>2803</v>
      </c>
      <c r="D2545" s="91" t="s">
        <v>804</v>
      </c>
      <c r="E2545" s="41" t="str">
        <f>IFERROR(__xludf.DUMMYFUNCTION("vlookup(D2545,IMPORTRANGE(""https://docs.google.com/spreadsheets/d/1swGwZOEqYlTEUCJLY-eeJM1911Kvaei5oySBIxdgtNo/edit?pli=1#gid=257618397"",""stock untanna!B:C""),2,false)"),"NOTES 156-80")</f>
        <v>NOTES 156-80</v>
      </c>
      <c r="F2545" s="49" t="s">
        <v>804</v>
      </c>
      <c r="G2545" s="71" t="s">
        <v>805</v>
      </c>
      <c r="H2545" s="41"/>
      <c r="I2545" s="42"/>
      <c r="J2545" s="43"/>
      <c r="K2545" s="72">
        <v>1.0</v>
      </c>
      <c r="L2545" s="53" t="s">
        <v>62</v>
      </c>
      <c r="M2545" s="73">
        <v>37000.0</v>
      </c>
      <c r="N2545" s="74"/>
      <c r="O2545" s="73">
        <v>37000.0</v>
      </c>
      <c r="P2545" s="46" t="str">
        <f t="shared" si="2"/>
        <v>Rp37,000-1 LSN-0.00%</v>
      </c>
      <c r="Q2545" s="75">
        <v>45418.0</v>
      </c>
      <c r="R2545" s="76"/>
      <c r="S2545" s="75">
        <v>45425.0</v>
      </c>
      <c r="T2545" s="49"/>
    </row>
    <row r="2546">
      <c r="A2546" s="90">
        <v>4437.0</v>
      </c>
      <c r="B2546" s="91" t="s">
        <v>29</v>
      </c>
      <c r="C2546" s="49" t="s">
        <v>2803</v>
      </c>
      <c r="D2546" s="91" t="s">
        <v>2814</v>
      </c>
      <c r="E2546" s="41" t="str">
        <f>IFERROR(__xludf.DUMMYFUNCTION("vlookup(D2546,IMPORTRANGE(""https://docs.google.com/spreadsheets/d/1swGwZOEqYlTEUCJLY-eeJM1911Kvaei5oySBIxdgtNo/edit?pli=1#gid=257618397"",""stock untanna!B:C""),2,false)"),"NB MINI POCKET MB 120 WARNA KULIT")</f>
        <v>NB MINI POCKET MB 120 WARNA KULIT</v>
      </c>
      <c r="F2546" s="49" t="s">
        <v>2814</v>
      </c>
      <c r="G2546" s="71" t="s">
        <v>2815</v>
      </c>
      <c r="H2546" s="41"/>
      <c r="I2546" s="42"/>
      <c r="J2546" s="43"/>
      <c r="K2546" s="72">
        <v>1.0</v>
      </c>
      <c r="L2546" s="53" t="s">
        <v>62</v>
      </c>
      <c r="M2546" s="73">
        <v>55000.0</v>
      </c>
      <c r="N2546" s="74"/>
      <c r="O2546" s="73">
        <v>55000.0</v>
      </c>
      <c r="P2546" s="46" t="str">
        <f t="shared" si="2"/>
        <v>Rp55,000-1 LSN-0.00%</v>
      </c>
      <c r="Q2546" s="75">
        <v>45418.0</v>
      </c>
      <c r="R2546" s="76"/>
      <c r="S2546" s="75">
        <v>45425.0</v>
      </c>
      <c r="T2546" s="49"/>
    </row>
    <row r="2547">
      <c r="A2547" s="90">
        <v>4437.0</v>
      </c>
      <c r="B2547" s="91" t="s">
        <v>29</v>
      </c>
      <c r="C2547" s="49" t="s">
        <v>2803</v>
      </c>
      <c r="D2547" s="91" t="s">
        <v>1802</v>
      </c>
      <c r="E2547" s="41" t="str">
        <f>IFERROR(__xludf.DUMMYFUNCTION("vlookup(D2547,IMPORTRANGE(""https://docs.google.com/spreadsheets/d/1swGwZOEqYlTEUCJLY-eeJM1911Kvaei5oySBIxdgtNo/edit?pli=1#gid=257618397"",""stock untanna!B:C""),2,false)"),"NOTEBOOK 7050-18")</f>
        <v>NOTEBOOK 7050-18</v>
      </c>
      <c r="F2547" s="49" t="s">
        <v>1802</v>
      </c>
      <c r="G2547" s="71" t="s">
        <v>1803</v>
      </c>
      <c r="H2547" s="41"/>
      <c r="I2547" s="42"/>
      <c r="J2547" s="43"/>
      <c r="K2547" s="72">
        <v>12.0</v>
      </c>
      <c r="L2547" s="53" t="s">
        <v>69</v>
      </c>
      <c r="M2547" s="73">
        <v>7917.0</v>
      </c>
      <c r="N2547" s="74"/>
      <c r="O2547" s="73">
        <v>95004.0</v>
      </c>
      <c r="P2547" s="46" t="str">
        <f t="shared" si="2"/>
        <v>Rp7,917-12 PCS-0.00%</v>
      </c>
      <c r="Q2547" s="75">
        <v>45418.0</v>
      </c>
      <c r="R2547" s="76"/>
      <c r="S2547" s="75">
        <v>45425.0</v>
      </c>
      <c r="T2547" s="49"/>
    </row>
    <row r="2548">
      <c r="A2548" s="90">
        <v>4437.0</v>
      </c>
      <c r="B2548" s="91" t="s">
        <v>29</v>
      </c>
      <c r="C2548" s="49" t="s">
        <v>2803</v>
      </c>
      <c r="D2548" s="91" t="s">
        <v>1804</v>
      </c>
      <c r="E2548" s="41" t="str">
        <f>IFERROR(__xludf.DUMMYFUNCTION("vlookup(D2548,IMPORTRANGE(""https://docs.google.com/spreadsheets/d/1swGwZOEqYlTEUCJLY-eeJM1911Kvaei5oySBIxdgtNo/edit?pli=1#gid=257618397"",""stock untanna!B:C""),2,false)"),"NOTEBOOK 7050-20")</f>
        <v>NOTEBOOK 7050-20</v>
      </c>
      <c r="F2548" s="49" t="s">
        <v>1804</v>
      </c>
      <c r="G2548" s="71" t="s">
        <v>1805</v>
      </c>
      <c r="H2548" s="41"/>
      <c r="I2548" s="42"/>
      <c r="J2548" s="43"/>
      <c r="K2548" s="72">
        <v>12.0</v>
      </c>
      <c r="L2548" s="53" t="s">
        <v>69</v>
      </c>
      <c r="M2548" s="73">
        <v>7917.0</v>
      </c>
      <c r="N2548" s="74"/>
      <c r="O2548" s="73">
        <v>95004.0</v>
      </c>
      <c r="P2548" s="46" t="str">
        <f t="shared" si="2"/>
        <v>Rp7,917-12 PCS-0.00%</v>
      </c>
      <c r="Q2548" s="75">
        <v>45418.0</v>
      </c>
      <c r="R2548" s="76"/>
      <c r="S2548" s="75">
        <v>45425.0</v>
      </c>
      <c r="T2548" s="49"/>
    </row>
    <row r="2549">
      <c r="A2549" s="90">
        <v>4437.0</v>
      </c>
      <c r="B2549" s="91" t="s">
        <v>29</v>
      </c>
      <c r="C2549" s="49" t="s">
        <v>2803</v>
      </c>
      <c r="D2549" s="91" t="s">
        <v>1376</v>
      </c>
      <c r="E2549" s="41" t="str">
        <f>IFERROR(__xludf.DUMMYFUNCTION("vlookup(D2549,IMPORTRANGE(""https://docs.google.com/spreadsheets/d/1swGwZOEqYlTEUCJLY-eeJM1911Kvaei5oySBIxdgtNo/edit?pli=1#gid=257618397"",""stock untanna!B:C""),2,false)"),"NOTEBOOK  707-44")</f>
        <v>NOTEBOOK  707-44</v>
      </c>
      <c r="F2549" s="49" t="s">
        <v>1376</v>
      </c>
      <c r="G2549" s="71" t="s">
        <v>1377</v>
      </c>
      <c r="H2549" s="41"/>
      <c r="I2549" s="42"/>
      <c r="J2549" s="43"/>
      <c r="K2549" s="72">
        <v>0.5</v>
      </c>
      <c r="L2549" s="53" t="s">
        <v>62</v>
      </c>
      <c r="M2549" s="73">
        <v>222000.0</v>
      </c>
      <c r="N2549" s="74"/>
      <c r="O2549" s="73">
        <v>111000.0</v>
      </c>
      <c r="P2549" s="46" t="str">
        <f t="shared" si="2"/>
        <v>Rp222,000-0.5 LSN-0.00%</v>
      </c>
      <c r="Q2549" s="75">
        <v>45418.0</v>
      </c>
      <c r="R2549" s="76"/>
      <c r="S2549" s="75">
        <v>45425.0</v>
      </c>
      <c r="T2549" s="49"/>
    </row>
    <row r="2550">
      <c r="A2550" s="90">
        <v>4437.0</v>
      </c>
      <c r="B2550" s="91" t="s">
        <v>29</v>
      </c>
      <c r="C2550" s="49" t="s">
        <v>2803</v>
      </c>
      <c r="D2550" s="91" t="s">
        <v>1889</v>
      </c>
      <c r="E2550" s="41" t="str">
        <f>IFERROR(__xludf.DUMMYFUNCTION("vlookup(D2550,IMPORTRANGE(""https://docs.google.com/spreadsheets/d/1swGwZOEqYlTEUCJLY-eeJM1911Kvaei5oySBIxdgtNo/edit?pli=1#gid=257618397"",""stock untanna!B:C""),2,false)"),"NOTEBOOK  A5-107")</f>
        <v>NOTEBOOK  A5-107</v>
      </c>
      <c r="F2550" s="49" t="s">
        <v>1889</v>
      </c>
      <c r="G2550" s="71" t="s">
        <v>1890</v>
      </c>
      <c r="H2550" s="41"/>
      <c r="I2550" s="42"/>
      <c r="J2550" s="43"/>
      <c r="K2550" s="72">
        <v>0.5</v>
      </c>
      <c r="L2550" s="53" t="s">
        <v>62</v>
      </c>
      <c r="M2550" s="73">
        <v>222000.0</v>
      </c>
      <c r="N2550" s="74"/>
      <c r="O2550" s="73">
        <v>111000.0</v>
      </c>
      <c r="P2550" s="46" t="str">
        <f t="shared" si="2"/>
        <v>Rp222,000-0.5 LSN-0.00%</v>
      </c>
      <c r="Q2550" s="75">
        <v>45418.0</v>
      </c>
      <c r="R2550" s="76"/>
      <c r="S2550" s="75">
        <v>45425.0</v>
      </c>
      <c r="T2550" s="49"/>
    </row>
    <row r="2551">
      <c r="A2551" s="90">
        <v>4437.0</v>
      </c>
      <c r="B2551" s="91" t="s">
        <v>29</v>
      </c>
      <c r="C2551" s="49" t="s">
        <v>2803</v>
      </c>
      <c r="D2551" s="91" t="s">
        <v>1792</v>
      </c>
      <c r="E2551" s="41" t="str">
        <f>IFERROR(__xludf.DUMMYFUNCTION("vlookup(D2551,IMPORTRANGE(""https://docs.google.com/spreadsheets/d/1swGwZOEqYlTEUCJLY-eeJM1911Kvaei5oySBIxdgtNo/edit?pli=1#gid=257618397"",""stock untanna!B:C""),2,false)"),"NOTEBOOK  A5-105")</f>
        <v>NOTEBOOK  A5-105</v>
      </c>
      <c r="F2551" s="49" t="s">
        <v>1792</v>
      </c>
      <c r="G2551" s="71" t="s">
        <v>1793</v>
      </c>
      <c r="H2551" s="41"/>
      <c r="I2551" s="42"/>
      <c r="J2551" s="43"/>
      <c r="K2551" s="72">
        <v>0.5</v>
      </c>
      <c r="L2551" s="53" t="s">
        <v>62</v>
      </c>
      <c r="M2551" s="73">
        <v>222000.0</v>
      </c>
      <c r="N2551" s="74"/>
      <c r="O2551" s="73">
        <v>111000.0</v>
      </c>
      <c r="P2551" s="46" t="str">
        <f t="shared" si="2"/>
        <v>Rp222,000-0.5 LSN-0.00%</v>
      </c>
      <c r="Q2551" s="75">
        <v>45418.0</v>
      </c>
      <c r="R2551" s="76"/>
      <c r="S2551" s="75">
        <v>45425.0</v>
      </c>
      <c r="T2551" s="49"/>
    </row>
    <row r="2552">
      <c r="A2552" s="90">
        <v>4437.0</v>
      </c>
      <c r="B2552" s="91" t="s">
        <v>29</v>
      </c>
      <c r="C2552" s="49" t="s">
        <v>2803</v>
      </c>
      <c r="D2552" s="91" t="s">
        <v>1557</v>
      </c>
      <c r="E2552" s="41" t="str">
        <f>IFERROR(__xludf.DUMMYFUNCTION("vlookup(D2552,IMPORTRANGE(""https://docs.google.com/spreadsheets/d/1swGwZOEqYlTEUCJLY-eeJM1911Kvaei5oySBIxdgtNo/edit?pli=1#gid=257618397"",""stock untanna!B:C""),2,false)"),"NOTEBOOK  A5-103")</f>
        <v>NOTEBOOK  A5-103</v>
      </c>
      <c r="F2552" s="49" t="s">
        <v>1557</v>
      </c>
      <c r="G2552" s="71" t="s">
        <v>1558</v>
      </c>
      <c r="H2552" s="41"/>
      <c r="I2552" s="42"/>
      <c r="J2552" s="43"/>
      <c r="K2552" s="72">
        <v>0.5</v>
      </c>
      <c r="L2552" s="53" t="s">
        <v>62</v>
      </c>
      <c r="M2552" s="73">
        <v>222000.0</v>
      </c>
      <c r="N2552" s="74"/>
      <c r="O2552" s="73">
        <v>111000.0</v>
      </c>
      <c r="P2552" s="46" t="str">
        <f t="shared" si="2"/>
        <v>Rp222,000-0.5 LSN-0.00%</v>
      </c>
      <c r="Q2552" s="75">
        <v>45418.0</v>
      </c>
      <c r="R2552" s="76"/>
      <c r="S2552" s="75">
        <v>45425.0</v>
      </c>
      <c r="T2552" s="49"/>
    </row>
    <row r="2553">
      <c r="A2553" s="90">
        <v>4437.0</v>
      </c>
      <c r="B2553" s="91" t="s">
        <v>29</v>
      </c>
      <c r="C2553" s="49" t="s">
        <v>2803</v>
      </c>
      <c r="D2553" s="91"/>
      <c r="E2553" s="41" t="s">
        <v>2816</v>
      </c>
      <c r="F2553" s="49"/>
      <c r="G2553" s="71" t="s">
        <v>2816</v>
      </c>
      <c r="H2553" s="41"/>
      <c r="I2553" s="42"/>
      <c r="J2553" s="43"/>
      <c r="K2553" s="72">
        <v>1.0</v>
      </c>
      <c r="L2553" s="53" t="s">
        <v>62</v>
      </c>
      <c r="M2553" s="73">
        <v>125000.0</v>
      </c>
      <c r="N2553" s="74"/>
      <c r="O2553" s="73">
        <v>125000.0</v>
      </c>
      <c r="P2553" s="46" t="str">
        <f t="shared" si="2"/>
        <v>Rp125,000-1 LSN-0.00%</v>
      </c>
      <c r="Q2553" s="75">
        <v>45418.0</v>
      </c>
      <c r="R2553" s="76"/>
      <c r="S2553" s="75">
        <v>45425.0</v>
      </c>
      <c r="T2553" s="49"/>
    </row>
    <row r="2554">
      <c r="A2554" s="90">
        <v>4437.0</v>
      </c>
      <c r="B2554" s="91" t="s">
        <v>29</v>
      </c>
      <c r="C2554" s="49" t="s">
        <v>2803</v>
      </c>
      <c r="D2554" s="91"/>
      <c r="E2554" s="41" t="s">
        <v>2817</v>
      </c>
      <c r="F2554" s="49"/>
      <c r="G2554" s="71" t="s">
        <v>2817</v>
      </c>
      <c r="H2554" s="41"/>
      <c r="I2554" s="42"/>
      <c r="J2554" s="43"/>
      <c r="K2554" s="72">
        <v>1.0</v>
      </c>
      <c r="L2554" s="53" t="s">
        <v>62</v>
      </c>
      <c r="M2554" s="73">
        <v>75000.0</v>
      </c>
      <c r="N2554" s="74"/>
      <c r="O2554" s="73">
        <v>75000.0</v>
      </c>
      <c r="P2554" s="46" t="str">
        <f t="shared" si="2"/>
        <v>Rp75,000-1 LSN-0.00%</v>
      </c>
      <c r="Q2554" s="75">
        <v>45418.0</v>
      </c>
      <c r="R2554" s="76"/>
      <c r="S2554" s="75">
        <v>45425.0</v>
      </c>
      <c r="T2554" s="49"/>
    </row>
    <row r="2555">
      <c r="A2555" s="90">
        <v>4437.0</v>
      </c>
      <c r="B2555" s="91" t="s">
        <v>29</v>
      </c>
      <c r="C2555" s="49" t="s">
        <v>2803</v>
      </c>
      <c r="D2555" s="91" t="s">
        <v>2818</v>
      </c>
      <c r="E2555" s="41" t="str">
        <f>IFERROR(__xludf.DUMMYFUNCTION("vlookup(D2555,IMPORTRANGE(""https://docs.google.com/spreadsheets/d/1swGwZOEqYlTEUCJLY-eeJM1911Kvaei5oySBIxdgtNo/edit?pli=1#gid=257618397"",""stock untanna!B:C""),2,false)"),"LILIN TY 018 MAGIC")</f>
        <v>LILIN TY 018 MAGIC</v>
      </c>
      <c r="F2555" s="49" t="s">
        <v>2818</v>
      </c>
      <c r="G2555" s="71" t="s">
        <v>2819</v>
      </c>
      <c r="H2555" s="41"/>
      <c r="I2555" s="42"/>
      <c r="J2555" s="43"/>
      <c r="K2555" s="72">
        <v>1.0</v>
      </c>
      <c r="L2555" s="53" t="s">
        <v>62</v>
      </c>
      <c r="M2555" s="73">
        <v>22000.0</v>
      </c>
      <c r="N2555" s="74"/>
      <c r="O2555" s="73">
        <v>22000.0</v>
      </c>
      <c r="P2555" s="46" t="str">
        <f t="shared" si="2"/>
        <v>Rp22,000-1 LSN-0.00%</v>
      </c>
      <c r="Q2555" s="75">
        <v>45418.0</v>
      </c>
      <c r="R2555" s="76"/>
      <c r="S2555" s="75">
        <v>45425.0</v>
      </c>
      <c r="T2555" s="49"/>
    </row>
    <row r="2556">
      <c r="A2556" s="90">
        <v>4437.0</v>
      </c>
      <c r="B2556" s="91" t="s">
        <v>29</v>
      </c>
      <c r="C2556" s="49" t="s">
        <v>2803</v>
      </c>
      <c r="D2556" s="91" t="s">
        <v>1460</v>
      </c>
      <c r="E2556" s="41" t="str">
        <f>IFERROR(__xludf.DUMMYFUNCTION("vlookup(D2556,IMPORTRANGE(""https://docs.google.com/spreadsheets/d/1swGwZOEqYlTEUCJLY-eeJM1911Kvaei5oySBIxdgtNo/edit?pli=1#gid=257618397"",""stock untanna!B:C""),2,false)"),"CLIP CANDY NO 1")</f>
        <v>CLIP CANDY NO 1</v>
      </c>
      <c r="F2556" s="49" t="s">
        <v>1460</v>
      </c>
      <c r="G2556" s="71" t="s">
        <v>94</v>
      </c>
      <c r="H2556" s="41"/>
      <c r="I2556" s="42"/>
      <c r="J2556" s="43"/>
      <c r="K2556" s="72">
        <v>24.0</v>
      </c>
      <c r="L2556" s="53" t="s">
        <v>69</v>
      </c>
      <c r="M2556" s="73">
        <v>3750.0</v>
      </c>
      <c r="N2556" s="74"/>
      <c r="O2556" s="73">
        <v>90000.0</v>
      </c>
      <c r="P2556" s="46" t="str">
        <f t="shared" si="2"/>
        <v>Rp3,750-24 PCS-0.00%</v>
      </c>
      <c r="Q2556" s="75">
        <v>45418.0</v>
      </c>
      <c r="R2556" s="76"/>
      <c r="S2556" s="75">
        <v>45425.0</v>
      </c>
      <c r="T2556" s="80" t="s">
        <v>2820</v>
      </c>
    </row>
    <row r="2557">
      <c r="A2557" s="90">
        <v>4437.0</v>
      </c>
      <c r="B2557" s="91" t="s">
        <v>29</v>
      </c>
      <c r="C2557" s="49" t="s">
        <v>2803</v>
      </c>
      <c r="D2557" s="77" t="s">
        <v>871</v>
      </c>
      <c r="E2557" s="41" t="str">
        <f>IFERROR(__xludf.DUMMYFUNCTION("vlookup(D2557,IMPORTRANGE(""https://docs.google.com/spreadsheets/d/1swGwZOEqYlTEUCJLY-eeJM1911Kvaei5oySBIxdgtNo/edit?pli=1#gid=257618397"",""stock untanna!B:C""),2,false)"),"CLIPBOARD SQ FANCY HOLO 2 MUKA")</f>
        <v>CLIPBOARD SQ FANCY HOLO 2 MUKA</v>
      </c>
      <c r="F2557" s="49" t="s">
        <v>2821</v>
      </c>
      <c r="G2557" s="71" t="s">
        <v>872</v>
      </c>
      <c r="H2557" s="41"/>
      <c r="I2557" s="42"/>
      <c r="J2557" s="43"/>
      <c r="K2557" s="72">
        <v>1.0</v>
      </c>
      <c r="L2557" s="53" t="s">
        <v>62</v>
      </c>
      <c r="M2557" s="73">
        <v>100000.0</v>
      </c>
      <c r="N2557" s="74"/>
      <c r="O2557" s="73">
        <v>100000.0</v>
      </c>
      <c r="P2557" s="46" t="str">
        <f t="shared" si="2"/>
        <v>Rp100,000-1 LSN-0.00%</v>
      </c>
      <c r="Q2557" s="75">
        <v>45418.0</v>
      </c>
      <c r="R2557" s="76"/>
      <c r="S2557" s="75">
        <v>45425.0</v>
      </c>
      <c r="T2557" s="49"/>
    </row>
    <row r="2558">
      <c r="A2558" s="90">
        <v>4437.0</v>
      </c>
      <c r="B2558" s="91" t="s">
        <v>29</v>
      </c>
      <c r="C2558" s="49" t="s">
        <v>2803</v>
      </c>
      <c r="D2558" s="91" t="s">
        <v>1467</v>
      </c>
      <c r="E2558" s="41" t="str">
        <f>IFERROR(__xludf.DUMMYFUNCTION("vlookup(D2558,IMPORTRANGE(""https://docs.google.com/spreadsheets/d/1swGwZOEqYlTEUCJLY-eeJM1911Kvaei5oySBIxdgtNo/edit?pli=1#gid=257618397"",""stock untanna!B:C""),2,false)"),"BK TABUNGAN ENTER")</f>
        <v>BK TABUNGAN ENTER</v>
      </c>
      <c r="F2558" s="49" t="s">
        <v>1467</v>
      </c>
      <c r="G2558" s="71" t="s">
        <v>1468</v>
      </c>
      <c r="H2558" s="41"/>
      <c r="I2558" s="42"/>
      <c r="J2558" s="43"/>
      <c r="K2558" s="72">
        <v>1000.0</v>
      </c>
      <c r="L2558" s="53" t="s">
        <v>69</v>
      </c>
      <c r="M2558" s="73">
        <v>750.0</v>
      </c>
      <c r="N2558" s="74"/>
      <c r="O2558" s="73">
        <v>750000.0</v>
      </c>
      <c r="P2558" s="46" t="str">
        <f t="shared" si="2"/>
        <v>Rp750-1000 PCS-0.00%</v>
      </c>
      <c r="Q2558" s="75">
        <v>45418.0</v>
      </c>
      <c r="R2558" s="76"/>
      <c r="S2558" s="75">
        <v>45425.0</v>
      </c>
      <c r="T2558" s="49"/>
    </row>
    <row r="2559">
      <c r="A2559" s="90">
        <v>4438.0</v>
      </c>
      <c r="B2559" s="91" t="s">
        <v>29</v>
      </c>
      <c r="C2559" s="49" t="s">
        <v>2822</v>
      </c>
      <c r="D2559" s="91" t="s">
        <v>300</v>
      </c>
      <c r="E2559" s="41" t="str">
        <f>IFERROR(__xludf.DUMMYFUNCTION("vlookup(D2559,IMPORTRANGE(""https://docs.google.com/spreadsheets/d/1swGwZOEqYlTEUCJLY-eeJM1911Kvaei5oySBIxdgtNo/edit?pli=1#gid=257618397"",""stock untanna!B:C""),2,false)"),"NOTEBOOK B1019 (B5）")</f>
        <v>NOTEBOOK B1019 (B5）</v>
      </c>
      <c r="F2559" s="49" t="s">
        <v>300</v>
      </c>
      <c r="G2559" s="71" t="s">
        <v>1545</v>
      </c>
      <c r="H2559" s="41"/>
      <c r="I2559" s="42"/>
      <c r="J2559" s="43"/>
      <c r="K2559" s="72">
        <v>12.0</v>
      </c>
      <c r="L2559" s="53" t="s">
        <v>69</v>
      </c>
      <c r="M2559" s="73">
        <v>35000.0</v>
      </c>
      <c r="N2559" s="74"/>
      <c r="O2559" s="73">
        <v>420000.0</v>
      </c>
      <c r="P2559" s="46" t="str">
        <f t="shared" si="2"/>
        <v>Rp35,000-12 PCS-0.00%</v>
      </c>
      <c r="Q2559" s="75">
        <v>45418.0</v>
      </c>
      <c r="R2559" s="76"/>
      <c r="S2559" s="75">
        <v>45425.0</v>
      </c>
      <c r="T2559" s="49"/>
    </row>
    <row r="2560">
      <c r="A2560" s="90">
        <v>4438.0</v>
      </c>
      <c r="B2560" s="91" t="s">
        <v>29</v>
      </c>
      <c r="C2560" s="49" t="s">
        <v>2822</v>
      </c>
      <c r="D2560" s="91" t="s">
        <v>266</v>
      </c>
      <c r="E2560" s="41" t="str">
        <f>IFERROR(__xludf.DUMMYFUNCTION("vlookup(D2560,IMPORTRANGE(""https://docs.google.com/spreadsheets/d/1swGwZOEqYlTEUCJLY-eeJM1911Kvaei5oySBIxdgtNo/edit?pli=1#gid=257618397"",""stock untanna!B:C""),2,false)"),"BINDER NOTE B5-60 FPHY 002")</f>
        <v>BINDER NOTE B5-60 FPHY 002</v>
      </c>
      <c r="F2560" s="49" t="s">
        <v>266</v>
      </c>
      <c r="G2560" s="71" t="s">
        <v>267</v>
      </c>
      <c r="H2560" s="41"/>
      <c r="I2560" s="42"/>
      <c r="J2560" s="43"/>
      <c r="K2560" s="72">
        <v>12.0</v>
      </c>
      <c r="L2560" s="53" t="s">
        <v>69</v>
      </c>
      <c r="M2560" s="73">
        <v>37000.0</v>
      </c>
      <c r="N2560" s="74"/>
      <c r="O2560" s="73">
        <v>444000.0</v>
      </c>
      <c r="P2560" s="46" t="str">
        <f t="shared" si="2"/>
        <v>Rp37,000-12 PCS-0.00%</v>
      </c>
      <c r="Q2560" s="75">
        <v>45418.0</v>
      </c>
      <c r="R2560" s="76"/>
      <c r="S2560" s="75">
        <v>45425.0</v>
      </c>
      <c r="T2560" s="49"/>
    </row>
    <row r="2561">
      <c r="A2561" s="90">
        <v>4438.0</v>
      </c>
      <c r="B2561" s="91" t="s">
        <v>29</v>
      </c>
      <c r="C2561" s="49" t="s">
        <v>2822</v>
      </c>
      <c r="D2561" s="91"/>
      <c r="E2561" s="41" t="s">
        <v>279</v>
      </c>
      <c r="F2561" s="49"/>
      <c r="G2561" s="71" t="s">
        <v>279</v>
      </c>
      <c r="H2561" s="41"/>
      <c r="I2561" s="42"/>
      <c r="J2561" s="43"/>
      <c r="K2561" s="72">
        <v>12.0</v>
      </c>
      <c r="L2561" s="53" t="s">
        <v>69</v>
      </c>
      <c r="M2561" s="73">
        <v>30000.0</v>
      </c>
      <c r="N2561" s="74"/>
      <c r="O2561" s="73">
        <v>360000.0</v>
      </c>
      <c r="P2561" s="46" t="str">
        <f t="shared" si="2"/>
        <v>Rp30,000-12 PCS-0.00%</v>
      </c>
      <c r="Q2561" s="75">
        <v>45418.0</v>
      </c>
      <c r="R2561" s="76"/>
      <c r="S2561" s="75">
        <v>45425.0</v>
      </c>
      <c r="T2561" s="80" t="s">
        <v>280</v>
      </c>
    </row>
    <row r="2562">
      <c r="A2562" s="90">
        <v>4438.0</v>
      </c>
      <c r="B2562" s="91" t="s">
        <v>29</v>
      </c>
      <c r="C2562" s="49" t="s">
        <v>2822</v>
      </c>
      <c r="D2562" s="91" t="s">
        <v>1479</v>
      </c>
      <c r="E2562" s="41" t="str">
        <f>IFERROR(__xludf.DUMMYFUNCTION("vlookup(D2562,IMPORTRANGE(""https://docs.google.com/spreadsheets/d/1swGwZOEqYlTEUCJLY-eeJM1911Kvaei5oySBIxdgtNo/edit?pli=1#gid=257618397"",""stock untanna!B:C""),2,false)"),"TAS H-4007-M BIASA KECIL")</f>
        <v>TAS H-4007-M BIASA KECIL</v>
      </c>
      <c r="F2562" s="49" t="s">
        <v>1479</v>
      </c>
      <c r="G2562" s="71" t="s">
        <v>1480</v>
      </c>
      <c r="H2562" s="41"/>
      <c r="I2562" s="42"/>
      <c r="J2562" s="43"/>
      <c r="K2562" s="72">
        <v>12.0</v>
      </c>
      <c r="L2562" s="53" t="s">
        <v>69</v>
      </c>
      <c r="M2562" s="73">
        <v>5500.0</v>
      </c>
      <c r="N2562" s="74"/>
      <c r="O2562" s="73">
        <v>66000.0</v>
      </c>
      <c r="P2562" s="46" t="str">
        <f t="shared" si="2"/>
        <v>Rp5,500-12 PCS-0.00%</v>
      </c>
      <c r="Q2562" s="75">
        <v>45418.0</v>
      </c>
      <c r="R2562" s="76"/>
      <c r="S2562" s="75">
        <v>45425.0</v>
      </c>
      <c r="T2562" s="49"/>
    </row>
    <row r="2563">
      <c r="A2563" s="90">
        <v>4438.0</v>
      </c>
      <c r="B2563" s="91" t="s">
        <v>29</v>
      </c>
      <c r="C2563" s="49" t="s">
        <v>2822</v>
      </c>
      <c r="D2563" s="91"/>
      <c r="E2563" s="41" t="s">
        <v>2823</v>
      </c>
      <c r="F2563" s="49"/>
      <c r="G2563" s="71" t="s">
        <v>2823</v>
      </c>
      <c r="H2563" s="41"/>
      <c r="I2563" s="42"/>
      <c r="J2563" s="43"/>
      <c r="K2563" s="72">
        <v>1.0</v>
      </c>
      <c r="L2563" s="53" t="s">
        <v>62</v>
      </c>
      <c r="M2563" s="73">
        <v>66000.0</v>
      </c>
      <c r="N2563" s="74"/>
      <c r="O2563" s="73">
        <v>66000.0</v>
      </c>
      <c r="P2563" s="46" t="str">
        <f t="shared" si="2"/>
        <v>Rp66,000-1 LSN-0.00%</v>
      </c>
      <c r="Q2563" s="75">
        <v>45418.0</v>
      </c>
      <c r="R2563" s="76"/>
      <c r="S2563" s="75">
        <v>45425.0</v>
      </c>
      <c r="T2563" s="49"/>
    </row>
    <row r="2564">
      <c r="A2564" s="90">
        <v>4438.0</v>
      </c>
      <c r="B2564" s="91" t="s">
        <v>29</v>
      </c>
      <c r="C2564" s="49" t="s">
        <v>2822</v>
      </c>
      <c r="D2564" s="91"/>
      <c r="E2564" s="41" t="s">
        <v>2824</v>
      </c>
      <c r="F2564" s="49"/>
      <c r="G2564" s="71" t="s">
        <v>2824</v>
      </c>
      <c r="H2564" s="41"/>
      <c r="I2564" s="42"/>
      <c r="J2564" s="43"/>
      <c r="K2564" s="72">
        <v>1.0</v>
      </c>
      <c r="L2564" s="53" t="s">
        <v>62</v>
      </c>
      <c r="M2564" s="73">
        <v>66000.0</v>
      </c>
      <c r="N2564" s="74"/>
      <c r="O2564" s="73">
        <v>66000.0</v>
      </c>
      <c r="P2564" s="46" t="str">
        <f t="shared" si="2"/>
        <v>Rp66,000-1 LSN-0.00%</v>
      </c>
      <c r="Q2564" s="75">
        <v>45418.0</v>
      </c>
      <c r="R2564" s="76"/>
      <c r="S2564" s="75">
        <v>45425.0</v>
      </c>
      <c r="T2564" s="49"/>
    </row>
    <row r="2565">
      <c r="A2565" s="90">
        <v>4438.0</v>
      </c>
      <c r="B2565" s="91" t="s">
        <v>29</v>
      </c>
      <c r="C2565" s="49" t="s">
        <v>2822</v>
      </c>
      <c r="D2565" s="91"/>
      <c r="E2565" s="41" t="s">
        <v>2825</v>
      </c>
      <c r="F2565" s="49"/>
      <c r="G2565" s="71" t="s">
        <v>2825</v>
      </c>
      <c r="H2565" s="41"/>
      <c r="I2565" s="42"/>
      <c r="J2565" s="43"/>
      <c r="K2565" s="72">
        <v>1.0</v>
      </c>
      <c r="L2565" s="53" t="s">
        <v>62</v>
      </c>
      <c r="M2565" s="73">
        <v>142000.0</v>
      </c>
      <c r="N2565" s="74"/>
      <c r="O2565" s="73">
        <v>142000.0</v>
      </c>
      <c r="P2565" s="46" t="str">
        <f t="shared" si="2"/>
        <v>Rp142,000-1 LSN-0.00%</v>
      </c>
      <c r="Q2565" s="75">
        <v>45418.0</v>
      </c>
      <c r="R2565" s="76"/>
      <c r="S2565" s="75">
        <v>45425.0</v>
      </c>
      <c r="T2565" s="49"/>
    </row>
    <row r="2566">
      <c r="A2566" s="90">
        <v>4438.0</v>
      </c>
      <c r="B2566" s="91" t="s">
        <v>29</v>
      </c>
      <c r="C2566" s="49" t="s">
        <v>2822</v>
      </c>
      <c r="D2566" s="77" t="s">
        <v>223</v>
      </c>
      <c r="E2566" s="41" t="str">
        <f>IFERROR(__xludf.DUMMYFUNCTION("vlookup(D2566,IMPORTRANGE(""https://docs.google.com/spreadsheets/d/1swGwZOEqYlTEUCJLY-eeJM1911Kvaei5oySBIxdgtNo/edit?pli=1#gid=257618397"",""stock untanna!B:C""),2,false)"),"TAS LY HD 148 B")</f>
        <v>TAS LY HD 148 B</v>
      </c>
      <c r="F2566" s="49" t="s">
        <v>224</v>
      </c>
      <c r="G2566" s="71" t="s">
        <v>225</v>
      </c>
      <c r="H2566" s="41"/>
      <c r="I2566" s="42"/>
      <c r="J2566" s="43"/>
      <c r="K2566" s="72">
        <v>12.0</v>
      </c>
      <c r="L2566" s="53" t="s">
        <v>69</v>
      </c>
      <c r="M2566" s="73">
        <v>8750.0</v>
      </c>
      <c r="N2566" s="74"/>
      <c r="O2566" s="73">
        <v>105000.0</v>
      </c>
      <c r="P2566" s="46" t="str">
        <f t="shared" si="2"/>
        <v>Rp8,750-12 PCS-0.00%</v>
      </c>
      <c r="Q2566" s="75">
        <v>45418.0</v>
      </c>
      <c r="R2566" s="76"/>
      <c r="S2566" s="75">
        <v>45425.0</v>
      </c>
      <c r="T2566" s="49"/>
    </row>
    <row r="2567">
      <c r="A2567" s="90">
        <v>4438.0</v>
      </c>
      <c r="B2567" s="91" t="s">
        <v>29</v>
      </c>
      <c r="C2567" s="49" t="s">
        <v>2822</v>
      </c>
      <c r="D2567" s="91"/>
      <c r="E2567" s="41" t="s">
        <v>2826</v>
      </c>
      <c r="F2567" s="49"/>
      <c r="G2567" s="71" t="s">
        <v>2826</v>
      </c>
      <c r="H2567" s="41"/>
      <c r="I2567" s="42"/>
      <c r="J2567" s="43"/>
      <c r="K2567" s="72">
        <v>1.0</v>
      </c>
      <c r="L2567" s="53" t="s">
        <v>62</v>
      </c>
      <c r="M2567" s="73">
        <v>105000.0</v>
      </c>
      <c r="N2567" s="74"/>
      <c r="O2567" s="73">
        <v>105000.0</v>
      </c>
      <c r="P2567" s="46" t="str">
        <f t="shared" si="2"/>
        <v>Rp105,000-1 LSN-0.00%</v>
      </c>
      <c r="Q2567" s="75">
        <v>45418.0</v>
      </c>
      <c r="R2567" s="76"/>
      <c r="S2567" s="75">
        <v>45425.0</v>
      </c>
      <c r="T2567" s="49"/>
    </row>
    <row r="2568">
      <c r="A2568" s="90">
        <v>4438.0</v>
      </c>
      <c r="B2568" s="91" t="s">
        <v>29</v>
      </c>
      <c r="C2568" s="49" t="s">
        <v>2822</v>
      </c>
      <c r="D2568" s="91" t="s">
        <v>247</v>
      </c>
      <c r="E2568" s="41" t="str">
        <f>IFERROR(__xludf.DUMMYFUNCTION("vlookup(D2568,IMPORTRANGE(""https://docs.google.com/spreadsheets/d/1swGwZOEqYlTEUCJLY-eeJM1911Kvaei5oySBIxdgtNo/edit?pli=1#gid=257618397"",""stock untanna!B:C""),2,false)"),"TAS TUTUP PITA KADO FG-201 TANGGUNG")</f>
        <v>TAS TUTUP PITA KADO FG-201 TANGGUNG</v>
      </c>
      <c r="F2568" s="49" t="s">
        <v>247</v>
      </c>
      <c r="G2568" s="78" t="s">
        <v>248</v>
      </c>
      <c r="H2568" s="41"/>
      <c r="I2568" s="42"/>
      <c r="J2568" s="43"/>
      <c r="K2568" s="72">
        <v>1.0</v>
      </c>
      <c r="L2568" s="53" t="s">
        <v>62</v>
      </c>
      <c r="M2568" s="73">
        <v>100000.0</v>
      </c>
      <c r="N2568" s="74"/>
      <c r="O2568" s="73">
        <v>100000.0</v>
      </c>
      <c r="P2568" s="46" t="str">
        <f t="shared" si="2"/>
        <v>Rp100,000-1 LSN-0.00%</v>
      </c>
      <c r="Q2568" s="75">
        <v>45418.0</v>
      </c>
      <c r="R2568" s="76"/>
      <c r="S2568" s="75">
        <v>45425.0</v>
      </c>
      <c r="T2568" s="49"/>
    </row>
    <row r="2569">
      <c r="A2569" s="90">
        <v>4438.0</v>
      </c>
      <c r="B2569" s="91" t="s">
        <v>29</v>
      </c>
      <c r="C2569" s="49" t="s">
        <v>2822</v>
      </c>
      <c r="D2569" s="91" t="s">
        <v>247</v>
      </c>
      <c r="E2569" s="41" t="str">
        <f>IFERROR(__xludf.DUMMYFUNCTION("vlookup(D2569,IMPORTRANGE(""https://docs.google.com/spreadsheets/d/1swGwZOEqYlTEUCJLY-eeJM1911Kvaei5oySBIxdgtNo/edit?pli=1#gid=257618397"",""stock untanna!B:C""),2,false)"),"TAS TUTUP PITA KADO FG-201 TANGGUNG")</f>
        <v>TAS TUTUP PITA KADO FG-201 TANGGUNG</v>
      </c>
      <c r="F2569" s="49" t="s">
        <v>247</v>
      </c>
      <c r="G2569" s="78" t="s">
        <v>248</v>
      </c>
      <c r="H2569" s="41"/>
      <c r="I2569" s="42"/>
      <c r="J2569" s="43"/>
      <c r="K2569" s="72">
        <v>1.0</v>
      </c>
      <c r="L2569" s="53" t="s">
        <v>62</v>
      </c>
      <c r="M2569" s="73">
        <v>100000.0</v>
      </c>
      <c r="N2569" s="74"/>
      <c r="O2569" s="73">
        <v>100000.0</v>
      </c>
      <c r="P2569" s="46" t="str">
        <f t="shared" si="2"/>
        <v>Rp100,000-1 LSN-0.00%</v>
      </c>
      <c r="Q2569" s="75">
        <v>45418.0</v>
      </c>
      <c r="R2569" s="76"/>
      <c r="S2569" s="75">
        <v>45425.0</v>
      </c>
      <c r="T2569" s="49"/>
    </row>
    <row r="2570">
      <c r="A2570" s="90">
        <v>4438.0</v>
      </c>
      <c r="B2570" s="91" t="s">
        <v>29</v>
      </c>
      <c r="C2570" s="49" t="s">
        <v>2822</v>
      </c>
      <c r="D2570" s="91" t="s">
        <v>247</v>
      </c>
      <c r="E2570" s="41" t="str">
        <f>IFERROR(__xludf.DUMMYFUNCTION("vlookup(D2570,IMPORTRANGE(""https://docs.google.com/spreadsheets/d/1swGwZOEqYlTEUCJLY-eeJM1911Kvaei5oySBIxdgtNo/edit?pli=1#gid=257618397"",""stock untanna!B:C""),2,false)"),"TAS TUTUP PITA KADO FG-201 TANGGUNG")</f>
        <v>TAS TUTUP PITA KADO FG-201 TANGGUNG</v>
      </c>
      <c r="F2570" s="49" t="s">
        <v>247</v>
      </c>
      <c r="G2570" s="78" t="s">
        <v>248</v>
      </c>
      <c r="H2570" s="41"/>
      <c r="I2570" s="42"/>
      <c r="J2570" s="43"/>
      <c r="K2570" s="72">
        <v>1.0</v>
      </c>
      <c r="L2570" s="53" t="s">
        <v>62</v>
      </c>
      <c r="M2570" s="73">
        <v>100000.0</v>
      </c>
      <c r="N2570" s="74"/>
      <c r="O2570" s="73">
        <v>100000.0</v>
      </c>
      <c r="P2570" s="46" t="str">
        <f t="shared" si="2"/>
        <v>Rp100,000-1 LSN-0.00%</v>
      </c>
      <c r="Q2570" s="75">
        <v>45418.0</v>
      </c>
      <c r="R2570" s="76"/>
      <c r="S2570" s="75">
        <v>45425.0</v>
      </c>
      <c r="T2570" s="49"/>
    </row>
    <row r="2571">
      <c r="A2571" s="90">
        <v>4438.0</v>
      </c>
      <c r="B2571" s="91" t="s">
        <v>29</v>
      </c>
      <c r="C2571" s="49" t="s">
        <v>2822</v>
      </c>
      <c r="D2571" s="91"/>
      <c r="E2571" s="41" t="s">
        <v>2827</v>
      </c>
      <c r="F2571" s="49"/>
      <c r="G2571" s="71" t="s">
        <v>2827</v>
      </c>
      <c r="H2571" s="41"/>
      <c r="I2571" s="42"/>
      <c r="J2571" s="43"/>
      <c r="K2571" s="72">
        <v>2.0</v>
      </c>
      <c r="L2571" s="53" t="s">
        <v>62</v>
      </c>
      <c r="M2571" s="73">
        <v>45000.0</v>
      </c>
      <c r="N2571" s="74"/>
      <c r="O2571" s="73">
        <v>90000.0</v>
      </c>
      <c r="P2571" s="46" t="str">
        <f t="shared" si="2"/>
        <v>Rp45,000-2 LSN-0.00%</v>
      </c>
      <c r="Q2571" s="75">
        <v>45418.0</v>
      </c>
      <c r="R2571" s="76"/>
      <c r="S2571" s="75">
        <v>45425.0</v>
      </c>
      <c r="T2571" s="49"/>
    </row>
    <row r="2572">
      <c r="A2572" s="90">
        <v>4438.0</v>
      </c>
      <c r="B2572" s="91" t="s">
        <v>29</v>
      </c>
      <c r="C2572" s="49" t="s">
        <v>2822</v>
      </c>
      <c r="D2572" s="91"/>
      <c r="E2572" s="41" t="s">
        <v>2828</v>
      </c>
      <c r="F2572" s="49"/>
      <c r="G2572" s="71" t="s">
        <v>2828</v>
      </c>
      <c r="H2572" s="41"/>
      <c r="I2572" s="42"/>
      <c r="J2572" s="43"/>
      <c r="K2572" s="72">
        <v>2.0</v>
      </c>
      <c r="L2572" s="53" t="s">
        <v>62</v>
      </c>
      <c r="M2572" s="73">
        <v>22500.0</v>
      </c>
      <c r="N2572" s="74"/>
      <c r="O2572" s="73">
        <v>45000.0</v>
      </c>
      <c r="P2572" s="46" t="str">
        <f t="shared" si="2"/>
        <v>Rp22,500-2 LSN-0.00%</v>
      </c>
      <c r="Q2572" s="75">
        <v>45418.0</v>
      </c>
      <c r="R2572" s="76"/>
      <c r="S2572" s="75">
        <v>45425.0</v>
      </c>
      <c r="T2572" s="49"/>
    </row>
    <row r="2573">
      <c r="A2573" s="90">
        <v>4438.0</v>
      </c>
      <c r="B2573" s="91" t="s">
        <v>29</v>
      </c>
      <c r="C2573" s="49" t="s">
        <v>2822</v>
      </c>
      <c r="D2573" s="91"/>
      <c r="E2573" s="41" t="s">
        <v>2829</v>
      </c>
      <c r="F2573" s="49"/>
      <c r="G2573" s="71" t="s">
        <v>2829</v>
      </c>
      <c r="H2573" s="41"/>
      <c r="I2573" s="42"/>
      <c r="J2573" s="43"/>
      <c r="K2573" s="72">
        <v>2.0</v>
      </c>
      <c r="L2573" s="53" t="s">
        <v>62</v>
      </c>
      <c r="M2573" s="73">
        <v>32500.0</v>
      </c>
      <c r="N2573" s="74"/>
      <c r="O2573" s="73">
        <v>65000.0</v>
      </c>
      <c r="P2573" s="46" t="str">
        <f t="shared" si="2"/>
        <v>Rp32,500-2 LSN-0.00%</v>
      </c>
      <c r="Q2573" s="75">
        <v>45418.0</v>
      </c>
      <c r="R2573" s="76"/>
      <c r="S2573" s="75">
        <v>45425.0</v>
      </c>
      <c r="T2573" s="49"/>
    </row>
    <row r="2574">
      <c r="A2574" s="90">
        <v>4439.0</v>
      </c>
      <c r="B2574" s="91" t="s">
        <v>29</v>
      </c>
      <c r="C2574" s="49" t="s">
        <v>2803</v>
      </c>
      <c r="D2574" s="91" t="s">
        <v>656</v>
      </c>
      <c r="E2574" s="41" t="str">
        <f>IFERROR(__xludf.DUMMYFUNCTION("vlookup(D2574,IMPORTRANGE(""https://docs.google.com/spreadsheets/d/1swGwZOEqYlTEUCJLY-eeJM1911Kvaei5oySBIxdgtNo/edit?pli=1#gid=257618397"",""stock untanna!B:C""),2,false)"),"TAS BATIK T ALPINDO ")</f>
        <v>TAS BATIK T ALPINDO </v>
      </c>
      <c r="F2574" s="49" t="s">
        <v>656</v>
      </c>
      <c r="G2574" s="71" t="s">
        <v>1240</v>
      </c>
      <c r="H2574" s="41"/>
      <c r="I2574" s="42"/>
      <c r="J2574" s="43"/>
      <c r="K2574" s="72">
        <v>2.0</v>
      </c>
      <c r="L2574" s="53" t="s">
        <v>62</v>
      </c>
      <c r="M2574" s="73">
        <v>35000.0</v>
      </c>
      <c r="N2574" s="74"/>
      <c r="O2574" s="73">
        <v>70000.0</v>
      </c>
      <c r="P2574" s="46" t="str">
        <f t="shared" si="2"/>
        <v>Rp35,000-2 LSN-0.00%</v>
      </c>
      <c r="Q2574" s="75">
        <v>45418.0</v>
      </c>
      <c r="R2574" s="76"/>
      <c r="S2574" s="75">
        <v>45426.0</v>
      </c>
      <c r="T2574" s="49"/>
    </row>
    <row r="2575">
      <c r="A2575" s="90">
        <v>4439.0</v>
      </c>
      <c r="B2575" s="91" t="s">
        <v>29</v>
      </c>
      <c r="C2575" s="49" t="s">
        <v>2803</v>
      </c>
      <c r="D2575" s="91" t="s">
        <v>1336</v>
      </c>
      <c r="E2575" s="41" t="str">
        <f>IFERROR(__xludf.DUMMYFUNCTION("vlookup(D2575,IMPORTRANGE(""https://docs.google.com/spreadsheets/d/1swGwZOEqYlTEUCJLY-eeJM1911Kvaei5oySBIxdgtNo/edit?pli=1#gid=257618397"",""stock untanna!B:C""),2,false)"),"TAS BATIK B ALPINDO")</f>
        <v>TAS BATIK B ALPINDO</v>
      </c>
      <c r="F2575" s="49" t="s">
        <v>1336</v>
      </c>
      <c r="G2575" s="71" t="s">
        <v>1337</v>
      </c>
      <c r="H2575" s="41"/>
      <c r="I2575" s="42"/>
      <c r="J2575" s="43"/>
      <c r="K2575" s="72">
        <v>2.0</v>
      </c>
      <c r="L2575" s="53" t="s">
        <v>62</v>
      </c>
      <c r="M2575" s="73">
        <v>40000.0</v>
      </c>
      <c r="N2575" s="74"/>
      <c r="O2575" s="73">
        <v>80000.0</v>
      </c>
      <c r="P2575" s="46" t="str">
        <f t="shared" si="2"/>
        <v>Rp40,000-2 LSN-0.00%</v>
      </c>
      <c r="Q2575" s="75">
        <v>45418.0</v>
      </c>
      <c r="R2575" s="76"/>
      <c r="S2575" s="75">
        <v>45426.0</v>
      </c>
      <c r="T2575" s="49"/>
    </row>
    <row r="2576">
      <c r="A2576" s="82">
        <v>4439.0</v>
      </c>
      <c r="B2576" s="69" t="s">
        <v>29</v>
      </c>
      <c r="C2576" s="70" t="s">
        <v>2803</v>
      </c>
      <c r="D2576" s="91" t="s">
        <v>2830</v>
      </c>
      <c r="E2576" s="41" t="str">
        <f>IFERROR(__xludf.DUMMYFUNCTION("vlookup(D2576,IMPORTRANGE(""https://docs.google.com/spreadsheets/d/1swGwZOEqYlTEUCJLY-eeJM1911Kvaei5oySBIxdgtNo/edit?pli=1#gid=257618397"",""stock untanna!B:C""),2,false)"),"TAS 30X23")</f>
        <v>TAS 30X23</v>
      </c>
      <c r="F2576" s="49" t="s">
        <v>2830</v>
      </c>
      <c r="G2576" s="71" t="s">
        <v>2831</v>
      </c>
      <c r="H2576" s="41"/>
      <c r="I2576" s="42"/>
      <c r="J2576" s="43"/>
      <c r="K2576" s="72">
        <v>1.0</v>
      </c>
      <c r="L2576" s="53" t="s">
        <v>62</v>
      </c>
      <c r="M2576" s="73">
        <v>110000.0</v>
      </c>
      <c r="N2576" s="74"/>
      <c r="O2576" s="73">
        <v>110000.0</v>
      </c>
      <c r="P2576" s="46" t="str">
        <f t="shared" si="2"/>
        <v>Rp110,000-1 LSN-0.00%</v>
      </c>
      <c r="Q2576" s="75">
        <v>45418.0</v>
      </c>
      <c r="R2576" s="76"/>
      <c r="S2576" s="75">
        <v>45426.0</v>
      </c>
      <c r="T2576" s="49"/>
    </row>
    <row r="2577">
      <c r="A2577" s="90">
        <v>4439.0</v>
      </c>
      <c r="B2577" s="91" t="s">
        <v>29</v>
      </c>
      <c r="C2577" s="49" t="s">
        <v>2803</v>
      </c>
      <c r="D2577" s="91"/>
      <c r="E2577" s="41" t="s">
        <v>2832</v>
      </c>
      <c r="F2577" s="49"/>
      <c r="G2577" s="71" t="s">
        <v>2832</v>
      </c>
      <c r="H2577" s="41"/>
      <c r="I2577" s="42"/>
      <c r="J2577" s="43"/>
      <c r="K2577" s="72">
        <v>1.0</v>
      </c>
      <c r="L2577" s="53" t="s">
        <v>62</v>
      </c>
      <c r="M2577" s="73">
        <v>132000.0</v>
      </c>
      <c r="N2577" s="74"/>
      <c r="O2577" s="73">
        <v>132000.0</v>
      </c>
      <c r="P2577" s="46" t="str">
        <f t="shared" si="2"/>
        <v>Rp132,000-1 LSN-0.00%</v>
      </c>
      <c r="Q2577" s="75">
        <v>45418.0</v>
      </c>
      <c r="R2577" s="76"/>
      <c r="S2577" s="75">
        <v>45426.0</v>
      </c>
      <c r="T2577" s="49"/>
    </row>
    <row r="2578">
      <c r="A2578" s="90">
        <v>4439.0</v>
      </c>
      <c r="B2578" s="91" t="s">
        <v>29</v>
      </c>
      <c r="C2578" s="49" t="s">
        <v>2803</v>
      </c>
      <c r="D2578" s="91"/>
      <c r="E2578" s="41" t="s">
        <v>2833</v>
      </c>
      <c r="F2578" s="49"/>
      <c r="G2578" s="71" t="s">
        <v>2833</v>
      </c>
      <c r="H2578" s="41"/>
      <c r="I2578" s="42"/>
      <c r="J2578" s="43"/>
      <c r="K2578" s="72">
        <v>1.0</v>
      </c>
      <c r="L2578" s="53" t="s">
        <v>62</v>
      </c>
      <c r="M2578" s="73">
        <v>55000.0</v>
      </c>
      <c r="N2578" s="74"/>
      <c r="O2578" s="73">
        <v>55000.0</v>
      </c>
      <c r="P2578" s="46" t="str">
        <f t="shared" si="2"/>
        <v>Rp55,000-1 LSN-0.00%</v>
      </c>
      <c r="Q2578" s="75">
        <v>45418.0</v>
      </c>
      <c r="R2578" s="76"/>
      <c r="S2578" s="75">
        <v>45426.0</v>
      </c>
      <c r="T2578" s="49"/>
    </row>
    <row r="2579">
      <c r="A2579" s="90">
        <v>4439.0</v>
      </c>
      <c r="B2579" s="91" t="s">
        <v>29</v>
      </c>
      <c r="C2579" s="49" t="s">
        <v>2803</v>
      </c>
      <c r="D2579" s="91" t="s">
        <v>1226</v>
      </c>
      <c r="E2579" s="41" t="str">
        <f>IFERROR(__xludf.DUMMYFUNCTION("vlookup(D2579,IMPORTRANGE(""https://docs.google.com/spreadsheets/d/1swGwZOEqYlTEUCJLY-eeJM1911Kvaei5oySBIxdgtNo/edit?pli=1#gid=257618397"",""stock untanna!B:C""),2,false)"),"KUAS 21839-4Q")</f>
        <v>KUAS 21839-4Q</v>
      </c>
      <c r="F2579" s="49" t="s">
        <v>1226</v>
      </c>
      <c r="G2579" s="71" t="s">
        <v>194</v>
      </c>
      <c r="H2579" s="41"/>
      <c r="I2579" s="42"/>
      <c r="J2579" s="43"/>
      <c r="K2579" s="72">
        <v>12.0</v>
      </c>
      <c r="L2579" s="53" t="s">
        <v>69</v>
      </c>
      <c r="M2579" s="73">
        <v>7000.0</v>
      </c>
      <c r="N2579" s="74"/>
      <c r="O2579" s="73">
        <v>84000.0</v>
      </c>
      <c r="P2579" s="46" t="str">
        <f t="shared" si="2"/>
        <v>Rp7,000-12 PCS-0.00%</v>
      </c>
      <c r="Q2579" s="75">
        <v>45418.0</v>
      </c>
      <c r="R2579" s="76"/>
      <c r="S2579" s="75">
        <v>45426.0</v>
      </c>
      <c r="T2579" s="49"/>
    </row>
    <row r="2580">
      <c r="A2580" s="90">
        <v>4439.0</v>
      </c>
      <c r="B2580" s="91" t="s">
        <v>29</v>
      </c>
      <c r="C2580" s="49" t="s">
        <v>2803</v>
      </c>
      <c r="D2580" s="91" t="s">
        <v>2834</v>
      </c>
      <c r="E2580" s="41" t="str">
        <f>IFERROR(__xludf.DUMMYFUNCTION("vlookup(D2580,IMPORTRANGE(""https://docs.google.com/spreadsheets/d/1swGwZOEqYlTEUCJLY-eeJM1911Kvaei5oySBIxdgtNo/edit?pli=1#gid=257618397"",""stock untanna!B:C""),2,false)"),"KUAS 21839-6Q")</f>
        <v>KUAS 21839-6Q</v>
      </c>
      <c r="F2580" s="49" t="s">
        <v>2834</v>
      </c>
      <c r="G2580" s="71" t="s">
        <v>2835</v>
      </c>
      <c r="H2580" s="41"/>
      <c r="I2580" s="42"/>
      <c r="J2580" s="43"/>
      <c r="K2580" s="72">
        <v>12.0</v>
      </c>
      <c r="L2580" s="53" t="s">
        <v>84</v>
      </c>
      <c r="M2580" s="73">
        <v>11000.0</v>
      </c>
      <c r="N2580" s="74"/>
      <c r="O2580" s="73">
        <v>132000.0</v>
      </c>
      <c r="P2580" s="46" t="str">
        <f t="shared" si="2"/>
        <v>Rp11,000-12 SET-0.00%</v>
      </c>
      <c r="Q2580" s="75">
        <v>45418.0</v>
      </c>
      <c r="R2580" s="76"/>
      <c r="S2580" s="75">
        <v>45426.0</v>
      </c>
      <c r="T2580" s="49"/>
    </row>
    <row r="2581">
      <c r="A2581" s="90">
        <v>4439.0</v>
      </c>
      <c r="B2581" s="91" t="s">
        <v>29</v>
      </c>
      <c r="C2581" s="49" t="s">
        <v>2803</v>
      </c>
      <c r="D2581" s="91" t="s">
        <v>2836</v>
      </c>
      <c r="E2581" s="41" t="str">
        <f>IFERROR(__xludf.DUMMYFUNCTION("vlookup(D2581,IMPORTRANGE(""https://docs.google.com/spreadsheets/d/1swGwZOEqYlTEUCJLY-eeJM1911Kvaei5oySBIxdgtNo/edit?pli=1#gid=257618397"",""stock untanna!B:C""),2,false)"),"STICKY XTQ（333）")</f>
        <v>STICKY XTQ（333）</v>
      </c>
      <c r="F2581" s="49" t="s">
        <v>2836</v>
      </c>
      <c r="G2581" s="71" t="s">
        <v>2837</v>
      </c>
      <c r="H2581" s="41"/>
      <c r="I2581" s="42"/>
      <c r="J2581" s="43"/>
      <c r="K2581" s="72">
        <v>24.0</v>
      </c>
      <c r="L2581" s="53" t="s">
        <v>69</v>
      </c>
      <c r="M2581" s="73">
        <v>7500.0</v>
      </c>
      <c r="N2581" s="74"/>
      <c r="O2581" s="73">
        <v>180000.0</v>
      </c>
      <c r="P2581" s="46" t="str">
        <f t="shared" si="2"/>
        <v>Rp7,500-24 PCS-0.00%</v>
      </c>
      <c r="Q2581" s="75">
        <v>45418.0</v>
      </c>
      <c r="R2581" s="76"/>
      <c r="S2581" s="75">
        <v>45426.0</v>
      </c>
      <c r="T2581" s="49"/>
    </row>
    <row r="2582">
      <c r="A2582" s="90">
        <v>4439.0</v>
      </c>
      <c r="B2582" s="91" t="s">
        <v>29</v>
      </c>
      <c r="C2582" s="49" t="s">
        <v>2803</v>
      </c>
      <c r="D2582" s="91" t="s">
        <v>1498</v>
      </c>
      <c r="E2582" s="41" t="str">
        <f>IFERROR(__xludf.DUMMYFUNCTION("vlookup(D2582,IMPORTRANGE(""https://docs.google.com/spreadsheets/d/1swGwZOEqYlTEUCJLY-eeJM1911Kvaei5oySBIxdgtNo/edit?pli=1#gid=257618397"",""stock untanna!B:C""),2,false)"),"STICKER JBE-24")</f>
        <v>STICKER JBE-24</v>
      </c>
      <c r="F2582" s="49" t="s">
        <v>1498</v>
      </c>
      <c r="G2582" s="71" t="s">
        <v>1499</v>
      </c>
      <c r="H2582" s="41"/>
      <c r="I2582" s="42"/>
      <c r="J2582" s="43"/>
      <c r="K2582" s="72">
        <v>12.0</v>
      </c>
      <c r="L2582" s="53" t="s">
        <v>69</v>
      </c>
      <c r="M2582" s="73">
        <v>12500.0</v>
      </c>
      <c r="N2582" s="74"/>
      <c r="O2582" s="73">
        <v>150000.0</v>
      </c>
      <c r="P2582" s="46" t="str">
        <f t="shared" si="2"/>
        <v>Rp12,500-12 PCS-0.00%</v>
      </c>
      <c r="Q2582" s="75">
        <v>45418.0</v>
      </c>
      <c r="R2582" s="76"/>
      <c r="S2582" s="75">
        <v>45426.0</v>
      </c>
      <c r="T2582" s="49"/>
    </row>
    <row r="2583">
      <c r="A2583" s="90">
        <v>4439.0</v>
      </c>
      <c r="B2583" s="91" t="s">
        <v>29</v>
      </c>
      <c r="C2583" s="49" t="s">
        <v>2803</v>
      </c>
      <c r="D2583" s="91"/>
      <c r="E2583" s="41" t="s">
        <v>2838</v>
      </c>
      <c r="F2583" s="49"/>
      <c r="G2583" s="71" t="s">
        <v>2838</v>
      </c>
      <c r="H2583" s="41"/>
      <c r="I2583" s="42"/>
      <c r="J2583" s="43"/>
      <c r="K2583" s="72">
        <v>1.0</v>
      </c>
      <c r="L2583" s="53" t="s">
        <v>62</v>
      </c>
      <c r="M2583" s="73">
        <v>175000.0</v>
      </c>
      <c r="N2583" s="74"/>
      <c r="O2583" s="73">
        <v>175000.0</v>
      </c>
      <c r="P2583" s="46" t="str">
        <f t="shared" si="2"/>
        <v>Rp175,000-1 LSN-0.00%</v>
      </c>
      <c r="Q2583" s="75">
        <v>45418.0</v>
      </c>
      <c r="R2583" s="76"/>
      <c r="S2583" s="75">
        <v>45426.0</v>
      </c>
      <c r="T2583" s="80" t="s">
        <v>280</v>
      </c>
    </row>
    <row r="2584">
      <c r="A2584" s="90">
        <v>4439.0</v>
      </c>
      <c r="B2584" s="91" t="s">
        <v>29</v>
      </c>
      <c r="C2584" s="49" t="s">
        <v>2803</v>
      </c>
      <c r="D2584" s="91"/>
      <c r="E2584" s="41" t="s">
        <v>2839</v>
      </c>
      <c r="F2584" s="49"/>
      <c r="G2584" s="71" t="s">
        <v>2839</v>
      </c>
      <c r="H2584" s="41"/>
      <c r="I2584" s="42"/>
      <c r="J2584" s="43"/>
      <c r="K2584" s="72">
        <v>1.0</v>
      </c>
      <c r="L2584" s="53" t="s">
        <v>62</v>
      </c>
      <c r="M2584" s="73">
        <v>250000.0</v>
      </c>
      <c r="N2584" s="74"/>
      <c r="O2584" s="73">
        <v>250000.0</v>
      </c>
      <c r="P2584" s="46" t="str">
        <f t="shared" si="2"/>
        <v>Rp250,000-1 LSN-0.00%</v>
      </c>
      <c r="Q2584" s="75">
        <v>45418.0</v>
      </c>
      <c r="R2584" s="76"/>
      <c r="S2584" s="75">
        <v>45426.0</v>
      </c>
      <c r="T2584" s="80" t="s">
        <v>280</v>
      </c>
    </row>
    <row r="2585">
      <c r="A2585" s="90">
        <v>4439.0</v>
      </c>
      <c r="B2585" s="91" t="s">
        <v>29</v>
      </c>
      <c r="C2585" s="49" t="s">
        <v>2803</v>
      </c>
      <c r="D2585" s="91" t="s">
        <v>2840</v>
      </c>
      <c r="E2585" s="41" t="str">
        <f>IFERROR(__xludf.DUMMYFUNCTION("vlookup(D2585,IMPORTRANGE(""https://docs.google.com/spreadsheets/d/1swGwZOEqYlTEUCJLY-eeJM1911Kvaei5oySBIxdgtNo/edit?pli=1#gid=257618397"",""stock untanna!B:C""),2,false)"),"DOKUMEN HD62")</f>
        <v>DOKUMEN HD62</v>
      </c>
      <c r="F2585" s="49" t="s">
        <v>2840</v>
      </c>
      <c r="G2585" s="71" t="s">
        <v>2841</v>
      </c>
      <c r="H2585" s="41"/>
      <c r="I2585" s="42"/>
      <c r="J2585" s="43"/>
      <c r="K2585" s="72">
        <v>1.0</v>
      </c>
      <c r="L2585" s="53" t="s">
        <v>62</v>
      </c>
      <c r="M2585" s="73">
        <v>325000.0</v>
      </c>
      <c r="N2585" s="74"/>
      <c r="O2585" s="73">
        <v>325000.0</v>
      </c>
      <c r="P2585" s="46" t="str">
        <f t="shared" si="2"/>
        <v>Rp325,000-1 LSN-0.00%</v>
      </c>
      <c r="Q2585" s="75">
        <v>45418.0</v>
      </c>
      <c r="R2585" s="76"/>
      <c r="S2585" s="75">
        <v>45426.0</v>
      </c>
      <c r="T2585" s="49"/>
    </row>
    <row r="2586">
      <c r="A2586" s="90">
        <v>4439.0</v>
      </c>
      <c r="B2586" s="91" t="s">
        <v>29</v>
      </c>
      <c r="C2586" s="49" t="s">
        <v>2803</v>
      </c>
      <c r="D2586" s="91" t="s">
        <v>1295</v>
      </c>
      <c r="E2586" s="41" t="str">
        <f>IFERROR(__xludf.DUMMYFUNCTION("vlookup(D2586,IMPORTRANGE(""https://docs.google.com/spreadsheets/d/1swGwZOEqYlTEUCJLY-eeJM1911Kvaei5oySBIxdgtNo/edit?pli=1#gid=257618397"",""stock untanna!B:C""),2,false)"),"DOKUMEN RISLETING STATEMENT")</f>
        <v>DOKUMEN RISLETING STATEMENT</v>
      </c>
      <c r="F2586" s="49" t="s">
        <v>1295</v>
      </c>
      <c r="G2586" s="71" t="s">
        <v>1296</v>
      </c>
      <c r="H2586" s="41"/>
      <c r="I2586" s="42"/>
      <c r="J2586" s="43"/>
      <c r="K2586" s="72">
        <v>1.0</v>
      </c>
      <c r="L2586" s="53" t="s">
        <v>62</v>
      </c>
      <c r="M2586" s="73">
        <v>350000.0</v>
      </c>
      <c r="N2586" s="74"/>
      <c r="O2586" s="73">
        <v>350000.0</v>
      </c>
      <c r="P2586" s="46" t="str">
        <f t="shared" si="2"/>
        <v>Rp350,000-1 LSN-0.00%</v>
      </c>
      <c r="Q2586" s="75">
        <v>45418.0</v>
      </c>
      <c r="R2586" s="76"/>
      <c r="S2586" s="75">
        <v>45426.0</v>
      </c>
      <c r="T2586" s="49"/>
    </row>
    <row r="2587">
      <c r="A2587" s="90">
        <v>4439.0</v>
      </c>
      <c r="B2587" s="91" t="s">
        <v>29</v>
      </c>
      <c r="C2587" s="49" t="s">
        <v>2803</v>
      </c>
      <c r="D2587" s="91" t="s">
        <v>2236</v>
      </c>
      <c r="E2587" s="41" t="str">
        <f>IFERROR(__xludf.DUMMYFUNCTION("vlookup(D2587,IMPORTRANGE(""https://docs.google.com/spreadsheets/d/1swGwZOEqYlTEUCJLY-eeJM1911Kvaei5oySBIxdgtNo/edit?pli=1#gid=257618397"",""stock untanna!B:C""),2,false)"),"BALON DOF 12'' RI MERAH")</f>
        <v>BALON DOF 12'' RI MERAH</v>
      </c>
      <c r="F2587" s="49" t="s">
        <v>2236</v>
      </c>
      <c r="G2587" s="71" t="s">
        <v>2237</v>
      </c>
      <c r="H2587" s="41"/>
      <c r="I2587" s="42"/>
      <c r="J2587" s="43"/>
      <c r="K2587" s="72">
        <v>1.0</v>
      </c>
      <c r="L2587" s="53" t="s">
        <v>1521</v>
      </c>
      <c r="M2587" s="73">
        <v>50000.0</v>
      </c>
      <c r="N2587" s="74"/>
      <c r="O2587" s="73">
        <v>50000.0</v>
      </c>
      <c r="P2587" s="46" t="str">
        <f t="shared" si="2"/>
        <v>Rp50,000-1 DISP-0.00%</v>
      </c>
      <c r="Q2587" s="75">
        <v>45418.0</v>
      </c>
      <c r="R2587" s="76"/>
      <c r="S2587" s="75">
        <v>45426.0</v>
      </c>
      <c r="T2587" s="49"/>
    </row>
    <row r="2588">
      <c r="A2588" s="90">
        <v>4439.0</v>
      </c>
      <c r="B2588" s="91" t="s">
        <v>29</v>
      </c>
      <c r="C2588" s="49" t="s">
        <v>2803</v>
      </c>
      <c r="D2588" s="91" t="s">
        <v>2238</v>
      </c>
      <c r="E2588" s="41" t="str">
        <f>IFERROR(__xludf.DUMMYFUNCTION("vlookup(D2588,IMPORTRANGE(""https://docs.google.com/spreadsheets/d/1swGwZOEqYlTEUCJLY-eeJM1911Kvaei5oySBIxdgtNo/edit?pli=1#gid=257618397"",""stock untanna!B:C""),2,false)"),"BALON DOF 12"" RI PUTIH")</f>
        <v>BALON DOF 12" RI PUTIH</v>
      </c>
      <c r="F2588" s="49" t="s">
        <v>2238</v>
      </c>
      <c r="G2588" s="71" t="s">
        <v>2239</v>
      </c>
      <c r="H2588" s="41"/>
      <c r="I2588" s="42"/>
      <c r="J2588" s="43"/>
      <c r="K2588" s="72">
        <v>1.0</v>
      </c>
      <c r="L2588" s="53" t="s">
        <v>1521</v>
      </c>
      <c r="M2588" s="73">
        <v>50000.0</v>
      </c>
      <c r="N2588" s="74"/>
      <c r="O2588" s="73">
        <v>50000.0</v>
      </c>
      <c r="P2588" s="46" t="str">
        <f t="shared" si="2"/>
        <v>Rp50,000-1 DISP-0.00%</v>
      </c>
      <c r="Q2588" s="75">
        <v>45418.0</v>
      </c>
      <c r="R2588" s="76"/>
      <c r="S2588" s="75">
        <v>45426.0</v>
      </c>
      <c r="T2588" s="49"/>
    </row>
    <row r="2589">
      <c r="A2589" s="90">
        <v>4439.0</v>
      </c>
      <c r="B2589" s="91" t="s">
        <v>29</v>
      </c>
      <c r="C2589" s="49" t="s">
        <v>2803</v>
      </c>
      <c r="D2589" s="91" t="s">
        <v>2842</v>
      </c>
      <c r="E2589" s="41" t="str">
        <f>IFERROR(__xludf.DUMMYFUNCTION("vlookup(D2589,IMPORTRANGE(""https://docs.google.com/spreadsheets/d/1swGwZOEqYlTEUCJLY-eeJM1911Kvaei5oySBIxdgtNo/edit?pli=1#gid=257618397"",""stock untanna!B:C""),2,false)"),"BALON BL 10025")</f>
        <v>BALON BL 10025</v>
      </c>
      <c r="F2589" s="49" t="s">
        <v>2842</v>
      </c>
      <c r="G2589" s="71" t="s">
        <v>2843</v>
      </c>
      <c r="H2589" s="41"/>
      <c r="I2589" s="42"/>
      <c r="J2589" s="43"/>
      <c r="K2589" s="72">
        <v>1.0</v>
      </c>
      <c r="L2589" s="53" t="s">
        <v>1521</v>
      </c>
      <c r="M2589" s="73">
        <v>80000.0</v>
      </c>
      <c r="N2589" s="74"/>
      <c r="O2589" s="73">
        <v>80000.0</v>
      </c>
      <c r="P2589" s="46" t="str">
        <f t="shared" si="2"/>
        <v>Rp80,000-1 DISP-0.00%</v>
      </c>
      <c r="Q2589" s="75">
        <v>45418.0</v>
      </c>
      <c r="R2589" s="76"/>
      <c r="S2589" s="75">
        <v>45426.0</v>
      </c>
      <c r="T2589" s="49"/>
    </row>
    <row r="2590">
      <c r="A2590" s="90">
        <v>4440.0</v>
      </c>
      <c r="B2590" s="91" t="s">
        <v>29</v>
      </c>
      <c r="C2590" s="49" t="s">
        <v>2803</v>
      </c>
      <c r="D2590" s="91" t="s">
        <v>1275</v>
      </c>
      <c r="E2590" s="41" t="str">
        <f>IFERROR(__xludf.DUMMYFUNCTION("vlookup(D2590,IMPORTRANGE(""https://docs.google.com/spreadsheets/d/1swGwZOEqYlTEUCJLY-eeJM1911Kvaei5oySBIxdgtNo/edit?pli=1#gid=257618397"",""stock untanna!B:C""),2,false)"),"BALON FS POLKADOT LKF 3200 PP")</f>
        <v>BALON FS POLKADOT LKF 3200 PP</v>
      </c>
      <c r="F2590" s="49" t="s">
        <v>1275</v>
      </c>
      <c r="G2590" s="71" t="s">
        <v>1276</v>
      </c>
      <c r="H2590" s="41"/>
      <c r="I2590" s="42"/>
      <c r="J2590" s="43"/>
      <c r="K2590" s="72">
        <v>1.0</v>
      </c>
      <c r="L2590" s="53" t="s">
        <v>1521</v>
      </c>
      <c r="M2590" s="73">
        <v>135000.0</v>
      </c>
      <c r="N2590" s="74"/>
      <c r="O2590" s="73">
        <v>135000.0</v>
      </c>
      <c r="P2590" s="46" t="str">
        <f t="shared" si="2"/>
        <v>Rp135,000-1 DISP-0.00%</v>
      </c>
      <c r="Q2590" s="75">
        <v>45418.0</v>
      </c>
      <c r="R2590" s="76"/>
      <c r="S2590" s="75">
        <v>45426.0</v>
      </c>
      <c r="T2590" s="49"/>
    </row>
    <row r="2591">
      <c r="A2591" s="90">
        <v>4440.0</v>
      </c>
      <c r="B2591" s="91" t="s">
        <v>29</v>
      </c>
      <c r="C2591" s="49" t="s">
        <v>2803</v>
      </c>
      <c r="D2591" s="91" t="s">
        <v>1029</v>
      </c>
      <c r="E2591" s="41" t="str">
        <f>IFERROR(__xludf.DUMMYFUNCTION("vlookup(D2591,IMPORTRANGE(""https://docs.google.com/spreadsheets/d/1swGwZOEqYlTEUCJLY-eeJM1911Kvaei5oySBIxdgtNo/edit?pli=1#gid=257618397"",""stock untanna!B:C""),2,false)"),"TIPEX KERTAS NO.5026")</f>
        <v>TIPEX KERTAS NO.5026</v>
      </c>
      <c r="F2591" s="49" t="s">
        <v>1029</v>
      </c>
      <c r="G2591" s="71" t="s">
        <v>1030</v>
      </c>
      <c r="H2591" s="41"/>
      <c r="I2591" s="42"/>
      <c r="J2591" s="43"/>
      <c r="K2591" s="72">
        <v>4.0</v>
      </c>
      <c r="L2591" s="53" t="s">
        <v>62</v>
      </c>
      <c r="M2591" s="73">
        <v>60000.0</v>
      </c>
      <c r="N2591" s="74"/>
      <c r="O2591" s="73">
        <v>240000.0</v>
      </c>
      <c r="P2591" s="46" t="str">
        <f t="shared" si="2"/>
        <v>Rp60,000-4 LSN-0.00%</v>
      </c>
      <c r="Q2591" s="75">
        <v>45418.0</v>
      </c>
      <c r="R2591" s="76"/>
      <c r="S2591" s="75">
        <v>45426.0</v>
      </c>
      <c r="T2591" s="49"/>
    </row>
    <row r="2592">
      <c r="A2592" s="90">
        <v>4440.0</v>
      </c>
      <c r="B2592" s="91" t="s">
        <v>29</v>
      </c>
      <c r="C2592" s="49" t="s">
        <v>2803</v>
      </c>
      <c r="D2592" s="91" t="s">
        <v>750</v>
      </c>
      <c r="E2592" s="41" t="str">
        <f>IFERROR(__xludf.DUMMYFUNCTION("vlookup(D2592,IMPORTRANGE(""https://docs.google.com/spreadsheets/d/1swGwZOEqYlTEUCJLY-eeJM1911Kvaei5oySBIxdgtNo/edit?pli=1#gid=257618397"",""stock untanna!B:C""),2,false)"),"BP X DATA M1")</f>
        <v>BP X DATA M1</v>
      </c>
      <c r="F2592" s="49" t="s">
        <v>750</v>
      </c>
      <c r="G2592" s="71" t="s">
        <v>751</v>
      </c>
      <c r="H2592" s="41"/>
      <c r="I2592" s="42"/>
      <c r="J2592" s="43"/>
      <c r="K2592" s="72">
        <v>2.0</v>
      </c>
      <c r="L2592" s="53" t="s">
        <v>131</v>
      </c>
      <c r="M2592" s="73">
        <v>90000.0</v>
      </c>
      <c r="N2592" s="74"/>
      <c r="O2592" s="73">
        <v>180000.0</v>
      </c>
      <c r="P2592" s="46" t="str">
        <f t="shared" si="2"/>
        <v>Rp90,000-2 GRS-0.00%</v>
      </c>
      <c r="Q2592" s="75">
        <v>45418.0</v>
      </c>
      <c r="R2592" s="76"/>
      <c r="S2592" s="75">
        <v>45426.0</v>
      </c>
      <c r="T2592" s="49"/>
    </row>
    <row r="2593">
      <c r="A2593" s="90">
        <v>4440.0</v>
      </c>
      <c r="B2593" s="91" t="s">
        <v>29</v>
      </c>
      <c r="C2593" s="49" t="s">
        <v>2803</v>
      </c>
      <c r="D2593" s="91" t="s">
        <v>2170</v>
      </c>
      <c r="E2593" s="41" t="str">
        <f>IFERROR(__xludf.DUMMYFUNCTION("vlookup(D2593,IMPORTRANGE(""https://docs.google.com/spreadsheets/d/1swGwZOEqYlTEUCJLY-eeJM1911Kvaei5oySBIxdgtNo/edit?pli=1#gid=257618397"",""stock untanna!B:C""),2,false)"),"ID CARD B2 IMPORT")</f>
        <v>ID CARD B2 IMPORT</v>
      </c>
      <c r="F2593" s="49" t="s">
        <v>2170</v>
      </c>
      <c r="G2593" s="71" t="s">
        <v>2171</v>
      </c>
      <c r="H2593" s="41"/>
      <c r="I2593" s="42"/>
      <c r="J2593" s="43"/>
      <c r="K2593" s="72">
        <v>200.0</v>
      </c>
      <c r="L2593" s="53" t="s">
        <v>69</v>
      </c>
      <c r="M2593" s="73">
        <v>650.0</v>
      </c>
      <c r="N2593" s="74"/>
      <c r="O2593" s="73">
        <v>130000.0</v>
      </c>
      <c r="P2593" s="46" t="str">
        <f t="shared" si="2"/>
        <v>Rp650-200 PCS-0.00%</v>
      </c>
      <c r="Q2593" s="75">
        <v>45418.0</v>
      </c>
      <c r="R2593" s="76"/>
      <c r="S2593" s="75">
        <v>45426.0</v>
      </c>
      <c r="T2593" s="49"/>
    </row>
    <row r="2594">
      <c r="A2594" s="90">
        <v>4440.0</v>
      </c>
      <c r="B2594" s="91" t="s">
        <v>29</v>
      </c>
      <c r="C2594" s="49" t="s">
        <v>2803</v>
      </c>
      <c r="D2594" s="91" t="s">
        <v>2389</v>
      </c>
      <c r="E2594" s="41" t="str">
        <f>IFERROR(__xludf.DUMMYFUNCTION("vlookup(D2594,IMPORTRANGE(""https://docs.google.com/spreadsheets/d/1swGwZOEqYlTEUCJLY-eeJM1911Kvaei5oySBIxdgtNo/edit?pli=1#gid=257618397"",""stock untanna!B:C""),2,false)"),"ID CARD B3 IMPORT")</f>
        <v>ID CARD B3 IMPORT</v>
      </c>
      <c r="F2594" s="49" t="s">
        <v>2389</v>
      </c>
      <c r="G2594" s="71" t="s">
        <v>2390</v>
      </c>
      <c r="H2594" s="41"/>
      <c r="I2594" s="42"/>
      <c r="J2594" s="43"/>
      <c r="K2594" s="72">
        <v>200.0</v>
      </c>
      <c r="L2594" s="53" t="s">
        <v>69</v>
      </c>
      <c r="M2594" s="73">
        <v>750.0</v>
      </c>
      <c r="N2594" s="74"/>
      <c r="O2594" s="73">
        <v>150000.0</v>
      </c>
      <c r="P2594" s="46" t="str">
        <f t="shared" si="2"/>
        <v>Rp750-200 PCS-0.00%</v>
      </c>
      <c r="Q2594" s="75">
        <v>45418.0</v>
      </c>
      <c r="R2594" s="76"/>
      <c r="S2594" s="75">
        <v>45426.0</v>
      </c>
      <c r="T2594" s="49"/>
    </row>
    <row r="2595">
      <c r="A2595" s="90">
        <v>4440.0</v>
      </c>
      <c r="B2595" s="91" t="s">
        <v>29</v>
      </c>
      <c r="C2595" s="49" t="s">
        <v>2803</v>
      </c>
      <c r="D2595" s="91"/>
      <c r="E2595" s="41" t="s">
        <v>2844</v>
      </c>
      <c r="F2595" s="49"/>
      <c r="G2595" s="71" t="s">
        <v>2844</v>
      </c>
      <c r="H2595" s="41"/>
      <c r="I2595" s="42"/>
      <c r="J2595" s="43"/>
      <c r="K2595" s="72">
        <v>500.0</v>
      </c>
      <c r="L2595" s="53" t="s">
        <v>69</v>
      </c>
      <c r="M2595" s="73">
        <v>650.0</v>
      </c>
      <c r="N2595" s="74"/>
      <c r="O2595" s="73">
        <v>325000.0</v>
      </c>
      <c r="P2595" s="46" t="str">
        <f t="shared" si="2"/>
        <v>Rp650-500 PCS-0.00%</v>
      </c>
      <c r="Q2595" s="75">
        <v>45418.0</v>
      </c>
      <c r="R2595" s="76"/>
      <c r="S2595" s="75">
        <v>45426.0</v>
      </c>
      <c r="T2595" s="49"/>
    </row>
    <row r="2596">
      <c r="A2596" s="90">
        <v>4440.0</v>
      </c>
      <c r="B2596" s="91" t="s">
        <v>29</v>
      </c>
      <c r="C2596" s="49" t="s">
        <v>2803</v>
      </c>
      <c r="D2596" s="91" t="s">
        <v>121</v>
      </c>
      <c r="E2596" s="41" t="str">
        <f>IFERROR(__xludf.DUMMYFUNCTION("vlookup(D2596,IMPORTRANGE(""https://docs.google.com/spreadsheets/d/1swGwZOEqYlTEUCJLY-eeJM1911Kvaei5oySBIxdgtNo/edit?pli=1#gid=257618397"",""stock untanna!B:C""),2,false)"),"LEM BAKAR STIK 7X30 WOMY PUTIH K")</f>
        <v>LEM BAKAR STIK 7X30 WOMY PUTIH K</v>
      </c>
      <c r="F2596" s="49" t="s">
        <v>121</v>
      </c>
      <c r="G2596" s="71" t="s">
        <v>122</v>
      </c>
      <c r="H2596" s="41"/>
      <c r="I2596" s="42"/>
      <c r="J2596" s="43"/>
      <c r="K2596" s="72">
        <v>3.0</v>
      </c>
      <c r="L2596" s="53" t="s">
        <v>114</v>
      </c>
      <c r="M2596" s="73">
        <v>72000.0</v>
      </c>
      <c r="N2596" s="74"/>
      <c r="O2596" s="73">
        <v>216000.0</v>
      </c>
      <c r="P2596" s="46" t="str">
        <f t="shared" si="2"/>
        <v>Rp72,000-3 PAK-0.00%</v>
      </c>
      <c r="Q2596" s="75">
        <v>45418.0</v>
      </c>
      <c r="R2596" s="76"/>
      <c r="S2596" s="75">
        <v>45426.0</v>
      </c>
      <c r="T2596" s="49"/>
    </row>
    <row r="2597">
      <c r="A2597" s="90">
        <v>4440.0</v>
      </c>
      <c r="B2597" s="91" t="s">
        <v>29</v>
      </c>
      <c r="C2597" s="49" t="s">
        <v>2803</v>
      </c>
      <c r="D2597" s="91" t="s">
        <v>123</v>
      </c>
      <c r="E2597" s="41" t="str">
        <f>IFERROR(__xludf.DUMMYFUNCTION("vlookup(D2597,IMPORTRANGE(""https://docs.google.com/spreadsheets/d/1swGwZOEqYlTEUCJLY-eeJM1911Kvaei5oySBIxdgtNo/edit?pli=1#gid=257618397"",""stock untanna!B:C""),2,false)"),"LEM BAKAR STIK 11X29 WOMY PUTIH B")</f>
        <v>LEM BAKAR STIK 11X29 WOMY PUTIH B</v>
      </c>
      <c r="F2597" s="49" t="s">
        <v>123</v>
      </c>
      <c r="G2597" s="71" t="s">
        <v>124</v>
      </c>
      <c r="H2597" s="41"/>
      <c r="I2597" s="42"/>
      <c r="J2597" s="43"/>
      <c r="K2597" s="72">
        <v>1.0</v>
      </c>
      <c r="L2597" s="53" t="s">
        <v>114</v>
      </c>
      <c r="M2597" s="73">
        <v>72000.0</v>
      </c>
      <c r="N2597" s="74"/>
      <c r="O2597" s="73">
        <v>72000.0</v>
      </c>
      <c r="P2597" s="46" t="str">
        <f t="shared" si="2"/>
        <v>Rp72,000-1 PAK-0.00%</v>
      </c>
      <c r="Q2597" s="75">
        <v>45418.0</v>
      </c>
      <c r="R2597" s="76"/>
      <c r="S2597" s="75">
        <v>45426.0</v>
      </c>
      <c r="T2597" s="49"/>
    </row>
    <row r="2598">
      <c r="A2598" s="90">
        <v>4440.0</v>
      </c>
      <c r="B2598" s="91" t="s">
        <v>29</v>
      </c>
      <c r="C2598" s="49" t="s">
        <v>2803</v>
      </c>
      <c r="D2598" s="91" t="s">
        <v>2404</v>
      </c>
      <c r="E2598" s="41" t="str">
        <f>IFERROR(__xludf.DUMMYFUNCTION("vlookup(D2598,IMPORTRANGE(""https://docs.google.com/spreadsheets/d/1swGwZOEqYlTEUCJLY-eeJM1911Kvaei5oySBIxdgtNo/edit?pli=1#gid=257618397"",""stock untanna!B:C""),2,false)"),"ISOLASI WARNA POLOS KECIL (BO 5076)")</f>
        <v>ISOLASI WARNA POLOS KECIL (BO 5076)</v>
      </c>
      <c r="F2598" s="49" t="s">
        <v>2404</v>
      </c>
      <c r="G2598" s="71" t="s">
        <v>2405</v>
      </c>
      <c r="H2598" s="41"/>
      <c r="I2598" s="42"/>
      <c r="J2598" s="43"/>
      <c r="K2598" s="72">
        <v>50.0</v>
      </c>
      <c r="L2598" s="53" t="s">
        <v>69</v>
      </c>
      <c r="M2598" s="73">
        <v>650.0</v>
      </c>
      <c r="N2598" s="74"/>
      <c r="O2598" s="73">
        <v>32500.0</v>
      </c>
      <c r="P2598" s="46" t="str">
        <f t="shared" si="2"/>
        <v>Rp650-50 PCS-0.00%</v>
      </c>
      <c r="Q2598" s="75">
        <v>45418.0</v>
      </c>
      <c r="R2598" s="76"/>
      <c r="S2598" s="75">
        <v>45426.0</v>
      </c>
      <c r="T2598" s="49"/>
    </row>
    <row r="2599">
      <c r="A2599" s="90">
        <v>4440.0</v>
      </c>
      <c r="B2599" s="91" t="s">
        <v>29</v>
      </c>
      <c r="C2599" s="49" t="s">
        <v>2803</v>
      </c>
      <c r="D2599" s="91"/>
      <c r="E2599" s="41" t="s">
        <v>2845</v>
      </c>
      <c r="F2599" s="49"/>
      <c r="G2599" s="71" t="s">
        <v>2845</v>
      </c>
      <c r="H2599" s="41"/>
      <c r="I2599" s="42"/>
      <c r="J2599" s="43"/>
      <c r="K2599" s="72">
        <v>5.0</v>
      </c>
      <c r="L2599" s="53" t="s">
        <v>114</v>
      </c>
      <c r="M2599" s="73">
        <v>9000.0</v>
      </c>
      <c r="N2599" s="74"/>
      <c r="O2599" s="73">
        <v>45000.0</v>
      </c>
      <c r="P2599" s="46" t="str">
        <f t="shared" si="2"/>
        <v>Rp9,000-5 PAK-0.00%</v>
      </c>
      <c r="Q2599" s="75">
        <v>45418.0</v>
      </c>
      <c r="R2599" s="76"/>
      <c r="S2599" s="75">
        <v>45426.0</v>
      </c>
      <c r="T2599" s="49"/>
    </row>
    <row r="2600">
      <c r="A2600" s="90">
        <v>4440.0</v>
      </c>
      <c r="B2600" s="91" t="s">
        <v>29</v>
      </c>
      <c r="C2600" s="49" t="s">
        <v>2803</v>
      </c>
      <c r="D2600" s="91"/>
      <c r="E2600" s="41" t="s">
        <v>1759</v>
      </c>
      <c r="F2600" s="49"/>
      <c r="G2600" s="71" t="s">
        <v>1759</v>
      </c>
      <c r="H2600" s="41"/>
      <c r="I2600" s="42"/>
      <c r="J2600" s="43"/>
      <c r="K2600" s="72">
        <v>5.0</v>
      </c>
      <c r="L2600" s="53" t="s">
        <v>114</v>
      </c>
      <c r="M2600" s="73">
        <v>9500.0</v>
      </c>
      <c r="N2600" s="74"/>
      <c r="O2600" s="73">
        <v>47500.0</v>
      </c>
      <c r="P2600" s="46" t="str">
        <f t="shared" si="2"/>
        <v>Rp9,500-5 PAK-0.00%</v>
      </c>
      <c r="Q2600" s="75">
        <v>45418.0</v>
      </c>
      <c r="R2600" s="76"/>
      <c r="S2600" s="75">
        <v>45426.0</v>
      </c>
      <c r="T2600" s="80" t="s">
        <v>280</v>
      </c>
    </row>
    <row r="2601">
      <c r="A2601" s="90">
        <v>4440.0</v>
      </c>
      <c r="B2601" s="91" t="s">
        <v>29</v>
      </c>
      <c r="C2601" s="49" t="s">
        <v>2803</v>
      </c>
      <c r="D2601" s="91" t="s">
        <v>511</v>
      </c>
      <c r="E2601" s="41" t="str">
        <f>IFERROR(__xludf.DUMMYFUNCTION("vlookup(D2601,IMPORTRANGE(""https://docs.google.com/spreadsheets/d/1swGwZOEqYlTEUCJLY-eeJM1911Kvaei5oySBIxdgtNo/edit?pli=1#gid=257618397"",""stock untanna!B:C""),2,false)"),"TAPE 1505 FANCY")</f>
        <v>TAPE 1505 FANCY</v>
      </c>
      <c r="F2601" s="49" t="s">
        <v>511</v>
      </c>
      <c r="G2601" s="71" t="s">
        <v>512</v>
      </c>
      <c r="H2601" s="41"/>
      <c r="I2601" s="42"/>
      <c r="J2601" s="43"/>
      <c r="K2601" s="72">
        <v>50.0</v>
      </c>
      <c r="L2601" s="53" t="s">
        <v>69</v>
      </c>
      <c r="M2601" s="73">
        <v>950.0</v>
      </c>
      <c r="N2601" s="74"/>
      <c r="O2601" s="73">
        <v>47500.0</v>
      </c>
      <c r="P2601" s="46" t="str">
        <f t="shared" si="2"/>
        <v>Rp950-50 PCS-0.00%</v>
      </c>
      <c r="Q2601" s="75">
        <v>45418.0</v>
      </c>
      <c r="R2601" s="76"/>
      <c r="S2601" s="75">
        <v>45426.0</v>
      </c>
      <c r="T2601" s="49"/>
    </row>
    <row r="2602">
      <c r="A2602" s="90">
        <v>4440.0</v>
      </c>
      <c r="B2602" s="91" t="s">
        <v>29</v>
      </c>
      <c r="C2602" s="49" t="s">
        <v>2803</v>
      </c>
      <c r="D2602" s="91" t="s">
        <v>2846</v>
      </c>
      <c r="E2602" s="41" t="str">
        <f>IFERROR(__xludf.DUMMYFUNCTION("vlookup(D2602,IMPORTRANGE(""https://docs.google.com/spreadsheets/d/1swGwZOEqYlTEUCJLY-eeJM1911Kvaei5oySBIxdgtNo/edit?pli=1#gid=257618397"",""stock untanna!B:C""),2,false)"),"TUSUK SURAT XINGLI XL-001")</f>
        <v>TUSUK SURAT XINGLI XL-001</v>
      </c>
      <c r="F2602" s="49" t="s">
        <v>2846</v>
      </c>
      <c r="G2602" s="71" t="s">
        <v>2847</v>
      </c>
      <c r="H2602" s="41"/>
      <c r="I2602" s="42"/>
      <c r="J2602" s="43"/>
      <c r="K2602" s="72">
        <v>1.0</v>
      </c>
      <c r="L2602" s="53" t="s">
        <v>62</v>
      </c>
      <c r="M2602" s="73">
        <v>90000.0</v>
      </c>
      <c r="N2602" s="74"/>
      <c r="O2602" s="73">
        <v>90000.0</v>
      </c>
      <c r="P2602" s="46" t="str">
        <f t="shared" si="2"/>
        <v>Rp90,000-1 LSN-0.00%</v>
      </c>
      <c r="Q2602" s="75">
        <v>45418.0</v>
      </c>
      <c r="R2602" s="76"/>
      <c r="S2602" s="75">
        <v>45426.0</v>
      </c>
      <c r="T2602" s="49"/>
    </row>
    <row r="2603">
      <c r="A2603" s="90">
        <v>4440.0</v>
      </c>
      <c r="B2603" s="91" t="s">
        <v>29</v>
      </c>
      <c r="C2603" s="49" t="s">
        <v>2803</v>
      </c>
      <c r="D2603" s="91"/>
      <c r="E2603" s="41" t="s">
        <v>2848</v>
      </c>
      <c r="F2603" s="49"/>
      <c r="G2603" s="71" t="s">
        <v>2848</v>
      </c>
      <c r="H2603" s="41"/>
      <c r="I2603" s="42"/>
      <c r="J2603" s="43"/>
      <c r="K2603" s="72">
        <v>3.0</v>
      </c>
      <c r="L2603" s="53" t="s">
        <v>114</v>
      </c>
      <c r="M2603" s="73">
        <v>48000.0</v>
      </c>
      <c r="N2603" s="74"/>
      <c r="O2603" s="73">
        <v>144000.0</v>
      </c>
      <c r="P2603" s="46" t="str">
        <f t="shared" si="2"/>
        <v>Rp48,000-3 PAK-0.00%</v>
      </c>
      <c r="Q2603" s="75">
        <v>45418.0</v>
      </c>
      <c r="R2603" s="76"/>
      <c r="S2603" s="75">
        <v>45426.0</v>
      </c>
      <c r="T2603" s="49"/>
    </row>
    <row r="2604">
      <c r="A2604" s="90">
        <v>4440.0</v>
      </c>
      <c r="B2604" s="91" t="s">
        <v>29</v>
      </c>
      <c r="C2604" s="49" t="s">
        <v>2803</v>
      </c>
      <c r="D2604" s="91"/>
      <c r="E2604" s="41" t="s">
        <v>819</v>
      </c>
      <c r="F2604" s="49"/>
      <c r="G2604" s="71" t="s">
        <v>819</v>
      </c>
      <c r="H2604" s="41"/>
      <c r="I2604" s="42"/>
      <c r="J2604" s="43"/>
      <c r="K2604" s="72">
        <v>3.0</v>
      </c>
      <c r="L2604" s="53" t="s">
        <v>114</v>
      </c>
      <c r="M2604" s="73">
        <v>22000.0</v>
      </c>
      <c r="N2604" s="74"/>
      <c r="O2604" s="73">
        <v>66000.0</v>
      </c>
      <c r="P2604" s="46" t="str">
        <f t="shared" si="2"/>
        <v>Rp22,000-3 PAK-0.00%</v>
      </c>
      <c r="Q2604" s="75">
        <v>45418.0</v>
      </c>
      <c r="R2604" s="76"/>
      <c r="S2604" s="75">
        <v>45426.0</v>
      </c>
      <c r="T2604" s="49"/>
    </row>
    <row r="2605">
      <c r="A2605" s="90">
        <v>4440.0</v>
      </c>
      <c r="B2605" s="91" t="s">
        <v>29</v>
      </c>
      <c r="C2605" s="49" t="s">
        <v>2803</v>
      </c>
      <c r="D2605" s="91"/>
      <c r="E2605" s="41" t="s">
        <v>2849</v>
      </c>
      <c r="F2605" s="49"/>
      <c r="G2605" s="71" t="s">
        <v>2849</v>
      </c>
      <c r="H2605" s="41"/>
      <c r="I2605" s="42"/>
      <c r="J2605" s="43"/>
      <c r="K2605" s="72">
        <v>1.0</v>
      </c>
      <c r="L2605" s="53" t="s">
        <v>62</v>
      </c>
      <c r="M2605" s="73">
        <v>41000.0</v>
      </c>
      <c r="N2605" s="74"/>
      <c r="O2605" s="73">
        <v>41000.0</v>
      </c>
      <c r="P2605" s="46" t="str">
        <f t="shared" si="2"/>
        <v>Rp41,000-1 LSN-0.00%</v>
      </c>
      <c r="Q2605" s="75">
        <v>45418.0</v>
      </c>
      <c r="R2605" s="76"/>
      <c r="S2605" s="75">
        <v>45426.0</v>
      </c>
      <c r="T2605" s="49"/>
    </row>
    <row r="2606">
      <c r="A2606" s="90">
        <v>4441.0</v>
      </c>
      <c r="B2606" s="91" t="s">
        <v>29</v>
      </c>
      <c r="C2606" s="49" t="s">
        <v>2803</v>
      </c>
      <c r="D2606" s="91" t="s">
        <v>1092</v>
      </c>
      <c r="E2606" s="41" t="str">
        <f>IFERROR(__xludf.DUMMYFUNCTION("vlookup(D2606,IMPORTRANGE(""https://docs.google.com/spreadsheets/d/1swGwZOEqYlTEUCJLY-eeJM1911Kvaei5oySBIxdgtNo/edit?pli=1#gid=257618397"",""stock untanna!B:C""),2,false)"),"TAPE LK-22305")</f>
        <v>TAPE LK-22305</v>
      </c>
      <c r="F2606" s="49" t="s">
        <v>1092</v>
      </c>
      <c r="G2606" s="71" t="s">
        <v>1093</v>
      </c>
      <c r="H2606" s="41"/>
      <c r="I2606" s="42"/>
      <c r="J2606" s="43"/>
      <c r="K2606" s="72">
        <v>1.0</v>
      </c>
      <c r="L2606" s="53" t="s">
        <v>88</v>
      </c>
      <c r="M2606" s="73">
        <v>120000.0</v>
      </c>
      <c r="N2606" s="74"/>
      <c r="O2606" s="73">
        <v>120000.0</v>
      </c>
      <c r="P2606" s="46" t="str">
        <f t="shared" si="2"/>
        <v>Rp120,000-1 BOX-0.00%</v>
      </c>
      <c r="Q2606" s="75">
        <v>45418.0</v>
      </c>
      <c r="R2606" s="76"/>
      <c r="S2606" s="75">
        <v>45426.0</v>
      </c>
      <c r="T2606" s="49"/>
    </row>
    <row r="2607">
      <c r="A2607" s="90">
        <v>4441.0</v>
      </c>
      <c r="B2607" s="91" t="s">
        <v>29</v>
      </c>
      <c r="C2607" s="49" t="s">
        <v>2803</v>
      </c>
      <c r="D2607" s="91" t="s">
        <v>2850</v>
      </c>
      <c r="E2607" s="41" t="str">
        <f>IFERROR(__xludf.DUMMYFUNCTION("vlookup(D2607,IMPORTRANGE(""https://docs.google.com/spreadsheets/d/1swGwZOEqYlTEUCJLY-eeJM1911Kvaei5oySBIxdgtNo/edit?pli=1#gid=257618397"",""stock untanna!B:C""),2,false)"),"MAGNET 009")</f>
        <v>MAGNET 009</v>
      </c>
      <c r="F2607" s="49" t="s">
        <v>2850</v>
      </c>
      <c r="G2607" s="71" t="s">
        <v>2851</v>
      </c>
      <c r="H2607" s="41"/>
      <c r="I2607" s="42"/>
      <c r="J2607" s="43"/>
      <c r="K2607" s="72">
        <v>12.0</v>
      </c>
      <c r="L2607" s="53" t="s">
        <v>69</v>
      </c>
      <c r="M2607" s="73">
        <v>18750.0</v>
      </c>
      <c r="N2607" s="74"/>
      <c r="O2607" s="73">
        <v>225000.0</v>
      </c>
      <c r="P2607" s="46" t="str">
        <f t="shared" si="2"/>
        <v>Rp18,750-12 PCS-0.00%</v>
      </c>
      <c r="Q2607" s="75">
        <v>45418.0</v>
      </c>
      <c r="R2607" s="76"/>
      <c r="S2607" s="75">
        <v>45426.0</v>
      </c>
      <c r="T2607" s="49"/>
    </row>
    <row r="2608">
      <c r="A2608" s="90">
        <v>4441.0</v>
      </c>
      <c r="B2608" s="91" t="s">
        <v>29</v>
      </c>
      <c r="C2608" s="49" t="s">
        <v>2803</v>
      </c>
      <c r="D2608" s="91" t="s">
        <v>2852</v>
      </c>
      <c r="E2608" s="41" t="str">
        <f>IFERROR(__xludf.DUMMYFUNCTION("vlookup(D2608,IMPORTRANGE(""https://docs.google.com/spreadsheets/d/1swGwZOEqYlTEUCJLY-eeJM1911Kvaei5oySBIxdgtNo/edit?pli=1#gid=257618397"",""stock untanna!B:C""),2,false)"),"PALET KEPITING DOP PKD 202")</f>
        <v>PALET KEPITING DOP PKD 202</v>
      </c>
      <c r="F2608" s="49" t="s">
        <v>2852</v>
      </c>
      <c r="G2608" s="71" t="s">
        <v>2853</v>
      </c>
      <c r="H2608" s="41"/>
      <c r="I2608" s="42"/>
      <c r="J2608" s="43"/>
      <c r="K2608" s="72">
        <v>1.0</v>
      </c>
      <c r="L2608" s="53" t="s">
        <v>62</v>
      </c>
      <c r="M2608" s="73">
        <v>10000.0</v>
      </c>
      <c r="N2608" s="74"/>
      <c r="O2608" s="73">
        <v>10000.0</v>
      </c>
      <c r="P2608" s="46" t="str">
        <f t="shared" si="2"/>
        <v>Rp10,000-1 LSN-0.00%</v>
      </c>
      <c r="Q2608" s="75">
        <v>45418.0</v>
      </c>
      <c r="R2608" s="76"/>
      <c r="S2608" s="75">
        <v>45426.0</v>
      </c>
      <c r="T2608" s="49"/>
    </row>
    <row r="2609">
      <c r="A2609" s="90">
        <v>4441.0</v>
      </c>
      <c r="B2609" s="91" t="s">
        <v>29</v>
      </c>
      <c r="C2609" s="49" t="s">
        <v>2803</v>
      </c>
      <c r="D2609" s="91" t="s">
        <v>2854</v>
      </c>
      <c r="E2609" s="41" t="str">
        <f>IFERROR(__xludf.DUMMYFUNCTION("vlookup(D2609,IMPORTRANGE(""https://docs.google.com/spreadsheets/d/1swGwZOEqYlTEUCJLY-eeJM1911Kvaei5oySBIxdgtNo/edit?pli=1#gid=257618397"",""stock untanna!B:C""),2,false)"),"TAS COKLAT TEBAL TANGGUNG ")</f>
        <v>TAS COKLAT TEBAL TANGGUNG </v>
      </c>
      <c r="F2609" s="49" t="s">
        <v>2854</v>
      </c>
      <c r="G2609" s="71" t="s">
        <v>2855</v>
      </c>
      <c r="H2609" s="41"/>
      <c r="I2609" s="42"/>
      <c r="J2609" s="43"/>
      <c r="K2609" s="72">
        <v>2.0</v>
      </c>
      <c r="L2609" s="53" t="s">
        <v>62</v>
      </c>
      <c r="M2609" s="73">
        <v>28500.0</v>
      </c>
      <c r="N2609" s="74"/>
      <c r="O2609" s="73">
        <v>57000.0</v>
      </c>
      <c r="P2609" s="46" t="str">
        <f t="shared" si="2"/>
        <v>Rp28,500-2 LSN-0.00%</v>
      </c>
      <c r="Q2609" s="75">
        <v>45418.0</v>
      </c>
      <c r="R2609" s="76"/>
      <c r="S2609" s="75">
        <v>45426.0</v>
      </c>
      <c r="T2609" s="49"/>
    </row>
    <row r="2610">
      <c r="A2610" s="90">
        <v>4441.0</v>
      </c>
      <c r="B2610" s="91" t="s">
        <v>29</v>
      </c>
      <c r="C2610" s="49" t="s">
        <v>2803</v>
      </c>
      <c r="D2610" s="91"/>
      <c r="E2610" s="41" t="s">
        <v>2856</v>
      </c>
      <c r="F2610" s="49"/>
      <c r="G2610" s="71" t="s">
        <v>2856</v>
      </c>
      <c r="H2610" s="41"/>
      <c r="I2610" s="42"/>
      <c r="J2610" s="43"/>
      <c r="K2610" s="72">
        <v>2.0</v>
      </c>
      <c r="L2610" s="53" t="s">
        <v>62</v>
      </c>
      <c r="M2610" s="73">
        <v>19500.0</v>
      </c>
      <c r="N2610" s="74"/>
      <c r="O2610" s="73">
        <v>39000.0</v>
      </c>
      <c r="P2610" s="46" t="str">
        <f t="shared" si="2"/>
        <v>Rp19,500-2 LSN-0.00%</v>
      </c>
      <c r="Q2610" s="75">
        <v>45418.0</v>
      </c>
      <c r="R2610" s="76"/>
      <c r="S2610" s="75">
        <v>45426.0</v>
      </c>
      <c r="T2610" s="49"/>
    </row>
    <row r="2611">
      <c r="A2611" s="90">
        <v>4441.0</v>
      </c>
      <c r="B2611" s="91" t="s">
        <v>29</v>
      </c>
      <c r="C2611" s="49" t="s">
        <v>2803</v>
      </c>
      <c r="D2611" s="91" t="s">
        <v>2645</v>
      </c>
      <c r="E2611" s="41" t="str">
        <f>IFERROR(__xludf.DUMMYFUNCTION("vlookup(D2611,IMPORTRANGE(""https://docs.google.com/spreadsheets/d/1swGwZOEqYlTEUCJLY-eeJM1911Kvaei5oySBIxdgtNo/edit?pli=1#gid=257618397"",""stock untanna!B:C""),2,false)"),"MEJA BELAJAR POLOS JUMBO (DOS MERAH)")</f>
        <v>MEJA BELAJAR POLOS JUMBO (DOS MERAH)</v>
      </c>
      <c r="F2611" s="49" t="s">
        <v>2645</v>
      </c>
      <c r="G2611" s="78" t="s">
        <v>2646</v>
      </c>
      <c r="H2611" s="41"/>
      <c r="I2611" s="42"/>
      <c r="J2611" s="43"/>
      <c r="K2611" s="72">
        <v>10.0</v>
      </c>
      <c r="L2611" s="53" t="s">
        <v>69</v>
      </c>
      <c r="M2611" s="73">
        <v>80000.0</v>
      </c>
      <c r="N2611" s="74"/>
      <c r="O2611" s="73">
        <v>800000.0</v>
      </c>
      <c r="P2611" s="46" t="str">
        <f t="shared" si="2"/>
        <v>Rp80,000-10 PCS-0.00%</v>
      </c>
      <c r="Q2611" s="75">
        <v>45418.0</v>
      </c>
      <c r="R2611" s="76"/>
      <c r="S2611" s="75">
        <v>45426.0</v>
      </c>
      <c r="T2611" s="49"/>
    </row>
    <row r="2612">
      <c r="A2612" s="90">
        <v>4441.0</v>
      </c>
      <c r="B2612" s="91" t="s">
        <v>29</v>
      </c>
      <c r="C2612" s="49" t="s">
        <v>2803</v>
      </c>
      <c r="D2612" s="91"/>
      <c r="E2612" s="41" t="s">
        <v>2857</v>
      </c>
      <c r="F2612" s="49"/>
      <c r="G2612" s="71" t="s">
        <v>2857</v>
      </c>
      <c r="H2612" s="41"/>
      <c r="I2612" s="42"/>
      <c r="J2612" s="43"/>
      <c r="K2612" s="72">
        <v>1.0</v>
      </c>
      <c r="L2612" s="53" t="s">
        <v>62</v>
      </c>
      <c r="M2612" s="73">
        <v>162000.0</v>
      </c>
      <c r="N2612" s="74"/>
      <c r="O2612" s="73">
        <v>162000.0</v>
      </c>
      <c r="P2612" s="46" t="str">
        <f t="shared" si="2"/>
        <v>Rp162,000-1 LSN-0.00%</v>
      </c>
      <c r="Q2612" s="75">
        <v>45418.0</v>
      </c>
      <c r="R2612" s="76"/>
      <c r="S2612" s="75">
        <v>45426.0</v>
      </c>
      <c r="T2612" s="49"/>
    </row>
    <row r="2613">
      <c r="A2613" s="90">
        <v>4441.0</v>
      </c>
      <c r="B2613" s="91" t="s">
        <v>29</v>
      </c>
      <c r="C2613" s="49" t="s">
        <v>2803</v>
      </c>
      <c r="D2613" s="91" t="s">
        <v>566</v>
      </c>
      <c r="E2613" s="41" t="str">
        <f>IFERROR(__xludf.DUMMYFUNCTION("vlookup(D2613,IMPORTRANGE(""https://docs.google.com/spreadsheets/d/1swGwZOEqYlTEUCJLY-eeJM1911Kvaei5oySBIxdgtNo/edit?pli=1#gid=257618397"",""stock untanna!B:C""),2,false)"),"PENCIL CASE XLG BD194-B")</f>
        <v>PENCIL CASE XLG BD194-B</v>
      </c>
      <c r="F2613" s="49" t="s">
        <v>566</v>
      </c>
      <c r="G2613" s="71" t="s">
        <v>567</v>
      </c>
      <c r="H2613" s="41"/>
      <c r="I2613" s="42"/>
      <c r="J2613" s="43"/>
      <c r="K2613" s="72">
        <v>12.0</v>
      </c>
      <c r="L2613" s="53" t="s">
        <v>69</v>
      </c>
      <c r="M2613" s="73">
        <v>22917.0</v>
      </c>
      <c r="N2613" s="74"/>
      <c r="O2613" s="73">
        <v>275004.0</v>
      </c>
      <c r="P2613" s="46" t="str">
        <f t="shared" si="2"/>
        <v>Rp22,917-12 PCS-0.00%</v>
      </c>
      <c r="Q2613" s="75">
        <v>45418.0</v>
      </c>
      <c r="R2613" s="76"/>
      <c r="S2613" s="75">
        <v>45426.0</v>
      </c>
      <c r="T2613" s="49"/>
    </row>
    <row r="2614">
      <c r="A2614" s="90">
        <v>4441.0</v>
      </c>
      <c r="B2614" s="91" t="s">
        <v>29</v>
      </c>
      <c r="C2614" s="49" t="s">
        <v>2803</v>
      </c>
      <c r="D2614" s="91"/>
      <c r="E2614" s="41" t="s">
        <v>2381</v>
      </c>
      <c r="F2614" s="49"/>
      <c r="G2614" s="71" t="s">
        <v>2381</v>
      </c>
      <c r="H2614" s="41"/>
      <c r="I2614" s="42"/>
      <c r="J2614" s="43"/>
      <c r="K2614" s="72">
        <v>1.0</v>
      </c>
      <c r="L2614" s="53" t="s">
        <v>62</v>
      </c>
      <c r="M2614" s="73">
        <v>340000.0</v>
      </c>
      <c r="N2614" s="74"/>
      <c r="O2614" s="73">
        <v>340000.0</v>
      </c>
      <c r="P2614" s="46" t="str">
        <f t="shared" si="2"/>
        <v>Rp340,000-1 LSN-0.00%</v>
      </c>
      <c r="Q2614" s="75">
        <v>45418.0</v>
      </c>
      <c r="R2614" s="76"/>
      <c r="S2614" s="75">
        <v>45426.0</v>
      </c>
      <c r="T2614" s="80" t="s">
        <v>280</v>
      </c>
    </row>
    <row r="2615">
      <c r="A2615" s="90">
        <v>4441.0</v>
      </c>
      <c r="B2615" s="91" t="s">
        <v>29</v>
      </c>
      <c r="C2615" s="49" t="s">
        <v>2803</v>
      </c>
      <c r="D2615" s="91" t="s">
        <v>1102</v>
      </c>
      <c r="E2615" s="41" t="str">
        <f>IFERROR(__xludf.DUMMYFUNCTION("vlookup(D2615,IMPORTRANGE(""https://docs.google.com/spreadsheets/d/1swGwZOEqYlTEUCJLY-eeJM1911Kvaei5oySBIxdgtNo/edit?pli=1#gid=257618397"",""stock untanna!B:C""),2,false)"),"PENCIL CASE XLG BD860")</f>
        <v>PENCIL CASE XLG BD860</v>
      </c>
      <c r="F2615" s="49" t="s">
        <v>1102</v>
      </c>
      <c r="G2615" s="71" t="s">
        <v>1103</v>
      </c>
      <c r="H2615" s="41"/>
      <c r="I2615" s="42"/>
      <c r="J2615" s="43"/>
      <c r="K2615" s="72">
        <v>12.0</v>
      </c>
      <c r="L2615" s="53" t="s">
        <v>69</v>
      </c>
      <c r="M2615" s="73">
        <v>29167.0</v>
      </c>
      <c r="N2615" s="74"/>
      <c r="O2615" s="73">
        <v>350004.0</v>
      </c>
      <c r="P2615" s="46" t="str">
        <f t="shared" si="2"/>
        <v>Rp29,167-12 PCS-0.00%</v>
      </c>
      <c r="Q2615" s="75">
        <v>45418.0</v>
      </c>
      <c r="R2615" s="76"/>
      <c r="S2615" s="75">
        <v>45426.0</v>
      </c>
      <c r="T2615" s="49"/>
    </row>
    <row r="2616">
      <c r="A2616" s="90">
        <v>4441.0</v>
      </c>
      <c r="B2616" s="91" t="s">
        <v>29</v>
      </c>
      <c r="C2616" s="49" t="s">
        <v>2803</v>
      </c>
      <c r="D2616" s="91" t="s">
        <v>1104</v>
      </c>
      <c r="E2616" s="41" t="str">
        <f>IFERROR(__xludf.DUMMYFUNCTION("vlookup(D2616,IMPORTRANGE(""https://docs.google.com/spreadsheets/d/1swGwZOEqYlTEUCJLY-eeJM1911Kvaei5oySBIxdgtNo/edit?pli=1#gid=257618397"",""stock untanna!B:C""),2,false)"),"PENCIL CASE XLG BD954")</f>
        <v>PENCIL CASE XLG BD954</v>
      </c>
      <c r="F2616" s="49" t="s">
        <v>1104</v>
      </c>
      <c r="G2616" s="71" t="s">
        <v>1105</v>
      </c>
      <c r="H2616" s="41"/>
      <c r="I2616" s="42"/>
      <c r="J2616" s="43"/>
      <c r="K2616" s="72">
        <v>12.0</v>
      </c>
      <c r="L2616" s="53" t="s">
        <v>69</v>
      </c>
      <c r="M2616" s="73">
        <v>31250.0</v>
      </c>
      <c r="N2616" s="74"/>
      <c r="O2616" s="73">
        <v>375000.0</v>
      </c>
      <c r="P2616" s="46" t="str">
        <f t="shared" si="2"/>
        <v>Rp31,250-12 PCS-0.00%</v>
      </c>
      <c r="Q2616" s="75">
        <v>45418.0</v>
      </c>
      <c r="R2616" s="76"/>
      <c r="S2616" s="75">
        <v>45426.0</v>
      </c>
      <c r="T2616" s="49"/>
    </row>
    <row r="2617">
      <c r="A2617" s="90">
        <v>4441.0</v>
      </c>
      <c r="B2617" s="91" t="s">
        <v>29</v>
      </c>
      <c r="C2617" s="49" t="s">
        <v>2803</v>
      </c>
      <c r="D2617" s="91" t="s">
        <v>95</v>
      </c>
      <c r="E2617" s="41" t="str">
        <f>IFERROR(__xludf.DUMMYFUNCTION("vlookup(D2617,IMPORTRANGE(""https://docs.google.com/spreadsheets/d/1swGwZOEqYlTEUCJLY-eeJM1911Kvaei5oySBIxdgtNo/edit?pli=1#gid=257618397"",""stock untanna!B:C""),2,false)"),"PENCIL CASE MAGNET 8631 + CALL")</f>
        <v>PENCIL CASE MAGNET 8631 + CALL</v>
      </c>
      <c r="F2617" s="49" t="s">
        <v>95</v>
      </c>
      <c r="G2617" s="71" t="s">
        <v>96</v>
      </c>
      <c r="H2617" s="41"/>
      <c r="I2617" s="42"/>
      <c r="J2617" s="43"/>
      <c r="K2617" s="72">
        <v>12.0</v>
      </c>
      <c r="L2617" s="53" t="s">
        <v>69</v>
      </c>
      <c r="M2617" s="73">
        <v>17500.0</v>
      </c>
      <c r="N2617" s="74"/>
      <c r="O2617" s="73">
        <v>210000.0</v>
      </c>
      <c r="P2617" s="46" t="str">
        <f t="shared" si="2"/>
        <v>Rp17,500-12 PCS-0.00%</v>
      </c>
      <c r="Q2617" s="75">
        <v>45418.0</v>
      </c>
      <c r="R2617" s="76"/>
      <c r="S2617" s="75">
        <v>45426.0</v>
      </c>
      <c r="T2617" s="49"/>
    </row>
    <row r="2618">
      <c r="A2618" s="90">
        <v>4441.0</v>
      </c>
      <c r="B2618" s="91" t="s">
        <v>29</v>
      </c>
      <c r="C2618" s="49" t="s">
        <v>2803</v>
      </c>
      <c r="D2618" s="91" t="s">
        <v>106</v>
      </c>
      <c r="E2618" s="41" t="str">
        <f>IFERROR(__xludf.DUMMYFUNCTION("vlookup(D2618,IMPORTRANGE(""https://docs.google.com/spreadsheets/d/1swGwZOEqYlTEUCJLY-eeJM1911Kvaei5oySBIxdgtNo/edit?pli=1#gid=257618397"",""stock untanna!B:C""),2,false)"),"PENSIL CASE QY-2023 MOBIL")</f>
        <v>PENSIL CASE QY-2023 MOBIL</v>
      </c>
      <c r="F2618" s="49" t="s">
        <v>106</v>
      </c>
      <c r="G2618" s="71" t="s">
        <v>107</v>
      </c>
      <c r="H2618" s="41"/>
      <c r="I2618" s="42"/>
      <c r="J2618" s="43"/>
      <c r="K2618" s="72">
        <v>10.0</v>
      </c>
      <c r="L2618" s="53" t="s">
        <v>69</v>
      </c>
      <c r="M2618" s="73">
        <v>13333.0</v>
      </c>
      <c r="N2618" s="74"/>
      <c r="O2618" s="73">
        <v>133330.0</v>
      </c>
      <c r="P2618" s="46" t="str">
        <f t="shared" si="2"/>
        <v>Rp13,333-10 PCS-0.00%</v>
      </c>
      <c r="Q2618" s="75">
        <v>45418.0</v>
      </c>
      <c r="R2618" s="76"/>
      <c r="S2618" s="75">
        <v>45426.0</v>
      </c>
      <c r="T2618" s="49"/>
    </row>
    <row r="2619">
      <c r="A2619" s="90">
        <v>74.0</v>
      </c>
      <c r="B2619" s="91" t="s">
        <v>29</v>
      </c>
      <c r="C2619" s="49" t="s">
        <v>2418</v>
      </c>
      <c r="D2619" s="91" t="s">
        <v>757</v>
      </c>
      <c r="E2619" s="41" t="str">
        <f>IFERROR(__xludf.DUMMYFUNCTION("vlookup(D2619,IMPORTRANGE(""https://docs.google.com/spreadsheets/d/1swGwZOEqYlTEUCJLY-eeJM1911Kvaei5oySBIxdgtNo/edit?pli=1#gid=257618397"",""stock untanna!B:C""),2,false)"),"TIPEX MICROTOP MT 737")</f>
        <v>TIPEX MICROTOP MT 737</v>
      </c>
      <c r="F2619" s="49" t="s">
        <v>757</v>
      </c>
      <c r="G2619" s="71" t="s">
        <v>758</v>
      </c>
      <c r="H2619" s="41"/>
      <c r="I2619" s="42"/>
      <c r="J2619" s="43"/>
      <c r="K2619" s="72">
        <v>2.0</v>
      </c>
      <c r="L2619" s="53" t="s">
        <v>62</v>
      </c>
      <c r="M2619" s="73">
        <v>95000.0</v>
      </c>
      <c r="N2619" s="74"/>
      <c r="O2619" s="73">
        <v>190000.0</v>
      </c>
      <c r="P2619" s="46" t="str">
        <f t="shared" si="2"/>
        <v>Rp95,000-2 LSN-0.00%</v>
      </c>
      <c r="Q2619" s="75">
        <v>45419.0</v>
      </c>
      <c r="R2619" s="75">
        <v>45418.0</v>
      </c>
      <c r="S2619" s="75">
        <v>45426.0</v>
      </c>
      <c r="T2619" s="49"/>
    </row>
    <row r="2620">
      <c r="A2620" s="90">
        <v>74.0</v>
      </c>
      <c r="B2620" s="91" t="s">
        <v>29</v>
      </c>
      <c r="C2620" s="49" t="s">
        <v>2418</v>
      </c>
      <c r="D2620" s="91" t="s">
        <v>2858</v>
      </c>
      <c r="E2620" s="41" t="str">
        <f>IFERROR(__xludf.DUMMYFUNCTION("vlookup(D2620,IMPORTRANGE(""https://docs.google.com/spreadsheets/d/1swGwZOEqYlTEUCJLY-eeJM1911Kvaei5oySBIxdgtNo/edit?pli=1#gid=257618397"",""stock untanna!B:C""),2,false)"),"TIPEX KERTAS NO.9461")</f>
        <v>TIPEX KERTAS NO.9461</v>
      </c>
      <c r="F2620" s="49" t="s">
        <v>2858</v>
      </c>
      <c r="G2620" s="71" t="s">
        <v>2859</v>
      </c>
      <c r="H2620" s="41"/>
      <c r="I2620" s="42"/>
      <c r="J2620" s="43"/>
      <c r="K2620" s="72">
        <v>4.0</v>
      </c>
      <c r="L2620" s="53" t="s">
        <v>62</v>
      </c>
      <c r="M2620" s="73">
        <v>52500.0</v>
      </c>
      <c r="N2620" s="74"/>
      <c r="O2620" s="73">
        <v>210000.0</v>
      </c>
      <c r="P2620" s="46" t="str">
        <f t="shared" si="2"/>
        <v>Rp52,500-4 LSN-0.00%</v>
      </c>
      <c r="Q2620" s="75">
        <v>45419.0</v>
      </c>
      <c r="R2620" s="75">
        <v>45418.0</v>
      </c>
      <c r="S2620" s="75">
        <v>45426.0</v>
      </c>
      <c r="T2620" s="49"/>
    </row>
    <row r="2621">
      <c r="A2621" s="90">
        <v>74.0</v>
      </c>
      <c r="B2621" s="91" t="s">
        <v>29</v>
      </c>
      <c r="C2621" s="49" t="s">
        <v>2418</v>
      </c>
      <c r="D2621" s="91" t="s">
        <v>2860</v>
      </c>
      <c r="E2621" s="41" t="str">
        <f>IFERROR(__xludf.DUMMYFUNCTION("vlookup(D2621,IMPORTRANGE(""https://docs.google.com/spreadsheets/d/1swGwZOEqYlTEUCJLY-eeJM1911Kvaei5oySBIxdgtNo/edit?pli=1#gid=257618397"",""stock untanna!B:C""),2,false)"),"TIPEX KERTAS NO.9459")</f>
        <v>TIPEX KERTAS NO.9459</v>
      </c>
      <c r="F2621" s="49" t="s">
        <v>2860</v>
      </c>
      <c r="G2621" s="71" t="s">
        <v>2861</v>
      </c>
      <c r="H2621" s="41"/>
      <c r="I2621" s="42"/>
      <c r="J2621" s="43"/>
      <c r="K2621" s="72">
        <v>4.0</v>
      </c>
      <c r="L2621" s="53" t="s">
        <v>62</v>
      </c>
      <c r="M2621" s="73">
        <v>52500.0</v>
      </c>
      <c r="N2621" s="74"/>
      <c r="O2621" s="73">
        <v>210000.0</v>
      </c>
      <c r="P2621" s="46" t="str">
        <f t="shared" si="2"/>
        <v>Rp52,500-4 LSN-0.00%</v>
      </c>
      <c r="Q2621" s="75">
        <v>45419.0</v>
      </c>
      <c r="R2621" s="75">
        <v>45418.0</v>
      </c>
      <c r="S2621" s="75">
        <v>45426.0</v>
      </c>
      <c r="T2621" s="49"/>
    </row>
    <row r="2622">
      <c r="A2622" s="90">
        <v>74.0</v>
      </c>
      <c r="B2622" s="91" t="s">
        <v>29</v>
      </c>
      <c r="C2622" s="49" t="s">
        <v>2418</v>
      </c>
      <c r="D2622" s="91" t="s">
        <v>118</v>
      </c>
      <c r="E2622" s="41" t="str">
        <f>IFERROR(__xludf.DUMMYFUNCTION("vlookup(D2622,IMPORTRANGE(""https://docs.google.com/spreadsheets/d/1swGwZOEqYlTEUCJLY-eeJM1911Kvaei5oySBIxdgtNo/edit?pli=1#gid=257618397"",""stock untanna!B:C""),2,false)"),"TIPEX KERTAS NO.9443")</f>
        <v>TIPEX KERTAS NO.9443</v>
      </c>
      <c r="F2622" s="49" t="s">
        <v>118</v>
      </c>
      <c r="G2622" s="71" t="s">
        <v>119</v>
      </c>
      <c r="H2622" s="41"/>
      <c r="I2622" s="42"/>
      <c r="J2622" s="43"/>
      <c r="K2622" s="72">
        <v>4.0</v>
      </c>
      <c r="L2622" s="53" t="s">
        <v>62</v>
      </c>
      <c r="M2622" s="73">
        <v>52500.0</v>
      </c>
      <c r="N2622" s="74"/>
      <c r="O2622" s="73">
        <v>210000.0</v>
      </c>
      <c r="P2622" s="46" t="str">
        <f t="shared" si="2"/>
        <v>Rp52,500-4 LSN-0.00%</v>
      </c>
      <c r="Q2622" s="75">
        <v>45419.0</v>
      </c>
      <c r="R2622" s="75">
        <v>45418.0</v>
      </c>
      <c r="S2622" s="75">
        <v>45426.0</v>
      </c>
      <c r="T2622" s="49"/>
    </row>
    <row r="2623">
      <c r="A2623" s="90">
        <v>74.0</v>
      </c>
      <c r="B2623" s="91" t="s">
        <v>29</v>
      </c>
      <c r="C2623" s="49" t="s">
        <v>2418</v>
      </c>
      <c r="D2623" s="91" t="s">
        <v>1043</v>
      </c>
      <c r="E2623" s="41" t="str">
        <f>IFERROR(__xludf.DUMMYFUNCTION("vlookup(D2623,IMPORTRANGE(""https://docs.google.com/spreadsheets/d/1swGwZOEqYlTEUCJLY-eeJM1911Kvaei5oySBIxdgtNo/edit?pli=1#gid=257618397"",""stock untanna!B:C""),2,false)"),"TIPEX KERTAS NO.6080")</f>
        <v>TIPEX KERTAS NO.6080</v>
      </c>
      <c r="F2623" s="49" t="s">
        <v>1043</v>
      </c>
      <c r="G2623" s="71" t="s">
        <v>1044</v>
      </c>
      <c r="H2623" s="41"/>
      <c r="I2623" s="42"/>
      <c r="J2623" s="43"/>
      <c r="K2623" s="72">
        <v>4.0</v>
      </c>
      <c r="L2623" s="53" t="s">
        <v>62</v>
      </c>
      <c r="M2623" s="73">
        <v>62500.0</v>
      </c>
      <c r="N2623" s="74"/>
      <c r="O2623" s="73">
        <v>250000.0</v>
      </c>
      <c r="P2623" s="46" t="str">
        <f t="shared" si="2"/>
        <v>Rp62,500-4 LSN-0.00%</v>
      </c>
      <c r="Q2623" s="75">
        <v>45419.0</v>
      </c>
      <c r="R2623" s="75">
        <v>45418.0</v>
      </c>
      <c r="S2623" s="75">
        <v>45426.0</v>
      </c>
      <c r="T2623" s="49"/>
    </row>
    <row r="2624">
      <c r="A2624" s="90">
        <v>74.0</v>
      </c>
      <c r="B2624" s="91" t="s">
        <v>29</v>
      </c>
      <c r="C2624" s="49" t="s">
        <v>2418</v>
      </c>
      <c r="D2624" s="91" t="s">
        <v>2862</v>
      </c>
      <c r="E2624" s="41" t="str">
        <f>IFERROR(__xludf.DUMMYFUNCTION("vlookup(D2624,IMPORTRANGE(""https://docs.google.com/spreadsheets/d/1swGwZOEqYlTEUCJLY-eeJM1911Kvaei5oySBIxdgtNo/edit?pli=1#gid=257618397"",""stock untanna!B:C""),2,false)"),"TIPEX KERTAS NO.9442")</f>
        <v>TIPEX KERTAS NO.9442</v>
      </c>
      <c r="F2624" s="49" t="s">
        <v>2862</v>
      </c>
      <c r="G2624" s="71" t="s">
        <v>2863</v>
      </c>
      <c r="H2624" s="41"/>
      <c r="I2624" s="42"/>
      <c r="J2624" s="43"/>
      <c r="K2624" s="72">
        <v>4.0</v>
      </c>
      <c r="L2624" s="53" t="s">
        <v>62</v>
      </c>
      <c r="M2624" s="73">
        <v>52500.0</v>
      </c>
      <c r="N2624" s="74"/>
      <c r="O2624" s="73">
        <v>210000.0</v>
      </c>
      <c r="P2624" s="46" t="str">
        <f t="shared" si="2"/>
        <v>Rp52,500-4 LSN-0.00%</v>
      </c>
      <c r="Q2624" s="75">
        <v>45419.0</v>
      </c>
      <c r="R2624" s="75">
        <v>45418.0</v>
      </c>
      <c r="S2624" s="75">
        <v>45426.0</v>
      </c>
      <c r="T2624" s="49"/>
    </row>
    <row r="2625">
      <c r="A2625" s="90">
        <v>74.0</v>
      </c>
      <c r="B2625" s="91" t="s">
        <v>29</v>
      </c>
      <c r="C2625" s="49" t="s">
        <v>2418</v>
      </c>
      <c r="D2625" s="91" t="s">
        <v>2864</v>
      </c>
      <c r="E2625" s="41" t="str">
        <f>IFERROR(__xludf.DUMMYFUNCTION("vlookup(D2625,IMPORTRANGE(""https://docs.google.com/spreadsheets/d/1swGwZOEqYlTEUCJLY-eeJM1911Kvaei5oySBIxdgtNo/edit?pli=1#gid=257618397"",""stock untanna!B:C""),2,false)"),"TIPEX KERTAS NO.9473")</f>
        <v>TIPEX KERTAS NO.9473</v>
      </c>
      <c r="F2625" s="49" t="s">
        <v>2864</v>
      </c>
      <c r="G2625" s="71" t="s">
        <v>2865</v>
      </c>
      <c r="H2625" s="41"/>
      <c r="I2625" s="42"/>
      <c r="J2625" s="43"/>
      <c r="K2625" s="72">
        <v>4.0</v>
      </c>
      <c r="L2625" s="53" t="s">
        <v>62</v>
      </c>
      <c r="M2625" s="73">
        <v>52500.0</v>
      </c>
      <c r="N2625" s="74"/>
      <c r="O2625" s="73">
        <v>210000.0</v>
      </c>
      <c r="P2625" s="46" t="str">
        <f t="shared" si="2"/>
        <v>Rp52,500-4 LSN-0.00%</v>
      </c>
      <c r="Q2625" s="75">
        <v>45419.0</v>
      </c>
      <c r="R2625" s="75">
        <v>45418.0</v>
      </c>
      <c r="S2625" s="75">
        <v>45426.0</v>
      </c>
      <c r="T2625" s="49"/>
    </row>
    <row r="2626">
      <c r="A2626" s="90">
        <v>74.0</v>
      </c>
      <c r="B2626" s="91" t="s">
        <v>29</v>
      </c>
      <c r="C2626" s="49" t="s">
        <v>2418</v>
      </c>
      <c r="D2626" s="91" t="s">
        <v>1602</v>
      </c>
      <c r="E2626" s="41" t="str">
        <f>IFERROR(__xludf.DUMMYFUNCTION("vlookup(D2626,IMPORTRANGE(""https://docs.google.com/spreadsheets/d/1swGwZOEqYlTEUCJLY-eeJM1911Kvaei5oySBIxdgtNo/edit?pli=1#gid=257618397"",""stock untanna!B:C""),2,false)"),"TIPEX KERTAS NO.9304")</f>
        <v>TIPEX KERTAS NO.9304</v>
      </c>
      <c r="F2626" s="49" t="s">
        <v>1602</v>
      </c>
      <c r="G2626" s="71" t="s">
        <v>1603</v>
      </c>
      <c r="H2626" s="41"/>
      <c r="I2626" s="42"/>
      <c r="J2626" s="43"/>
      <c r="K2626" s="72">
        <v>4.0</v>
      </c>
      <c r="L2626" s="53" t="s">
        <v>62</v>
      </c>
      <c r="M2626" s="73">
        <v>52500.0</v>
      </c>
      <c r="N2626" s="74"/>
      <c r="O2626" s="73">
        <v>210000.0</v>
      </c>
      <c r="P2626" s="46" t="str">
        <f t="shared" si="2"/>
        <v>Rp52,500-4 LSN-0.00%</v>
      </c>
      <c r="Q2626" s="75">
        <v>45419.0</v>
      </c>
      <c r="R2626" s="75">
        <v>45418.0</v>
      </c>
      <c r="S2626" s="75">
        <v>45426.0</v>
      </c>
      <c r="T2626" s="49"/>
    </row>
    <row r="2627">
      <c r="A2627" s="90">
        <v>74.0</v>
      </c>
      <c r="B2627" s="91" t="s">
        <v>29</v>
      </c>
      <c r="C2627" s="49" t="s">
        <v>2418</v>
      </c>
      <c r="D2627" s="91" t="s">
        <v>463</v>
      </c>
      <c r="E2627" s="41" t="str">
        <f>IFERROR(__xludf.DUMMYFUNCTION("vlookup(D2627,IMPORTRANGE(""https://docs.google.com/spreadsheets/d/1swGwZOEqYlTEUCJLY-eeJM1911Kvaei5oySBIxdgtNo/edit?pli=1#gid=257618397"",""stock untanna!B:C""),2,false)"),"TIPEX KERTAS NO.8546")</f>
        <v>TIPEX KERTAS NO.8546</v>
      </c>
      <c r="F2627" s="49" t="s">
        <v>463</v>
      </c>
      <c r="G2627" s="71" t="s">
        <v>464</v>
      </c>
      <c r="H2627" s="41"/>
      <c r="I2627" s="42"/>
      <c r="J2627" s="43"/>
      <c r="K2627" s="72">
        <v>4.0</v>
      </c>
      <c r="L2627" s="53" t="s">
        <v>62</v>
      </c>
      <c r="M2627" s="73">
        <v>120000.0</v>
      </c>
      <c r="N2627" s="74"/>
      <c r="O2627" s="73">
        <v>480000.0</v>
      </c>
      <c r="P2627" s="46" t="str">
        <f t="shared" si="2"/>
        <v>Rp120,000-4 LSN-0.00%</v>
      </c>
      <c r="Q2627" s="75">
        <v>45419.0</v>
      </c>
      <c r="R2627" s="75">
        <v>45418.0</v>
      </c>
      <c r="S2627" s="75">
        <v>45426.0</v>
      </c>
      <c r="T2627" s="49"/>
    </row>
    <row r="2628">
      <c r="A2628" s="90">
        <v>74.0</v>
      </c>
      <c r="B2628" s="91" t="s">
        <v>29</v>
      </c>
      <c r="C2628" s="49" t="s">
        <v>2418</v>
      </c>
      <c r="D2628" s="91" t="s">
        <v>1021</v>
      </c>
      <c r="E2628" s="41" t="str">
        <f>IFERROR(__xludf.DUMMYFUNCTION("vlookup(D2628,IMPORTRANGE(""https://docs.google.com/spreadsheets/d/1swGwZOEqYlTEUCJLY-eeJM1911Kvaei5oySBIxdgtNo/edit?pli=1#gid=257618397"",""stock untanna!B:C""),2,false)"),"TIPEX KERTAS NO.8528")</f>
        <v>TIPEX KERTAS NO.8528</v>
      </c>
      <c r="F2628" s="49" t="s">
        <v>1021</v>
      </c>
      <c r="G2628" s="71" t="s">
        <v>1022</v>
      </c>
      <c r="H2628" s="41"/>
      <c r="I2628" s="42"/>
      <c r="J2628" s="43"/>
      <c r="K2628" s="72">
        <v>4.0</v>
      </c>
      <c r="L2628" s="53" t="s">
        <v>62</v>
      </c>
      <c r="M2628" s="73">
        <v>120000.0</v>
      </c>
      <c r="N2628" s="74"/>
      <c r="O2628" s="73">
        <v>480000.0</v>
      </c>
      <c r="P2628" s="46" t="str">
        <f t="shared" si="2"/>
        <v>Rp120,000-4 LSN-0.00%</v>
      </c>
      <c r="Q2628" s="75">
        <v>45419.0</v>
      </c>
      <c r="R2628" s="75">
        <v>45418.0</v>
      </c>
      <c r="S2628" s="75">
        <v>45426.0</v>
      </c>
      <c r="T2628" s="49"/>
    </row>
    <row r="2629">
      <c r="A2629" s="90">
        <v>74.0</v>
      </c>
      <c r="B2629" s="91" t="s">
        <v>29</v>
      </c>
      <c r="C2629" s="49" t="s">
        <v>2418</v>
      </c>
      <c r="D2629" s="77" t="s">
        <v>752</v>
      </c>
      <c r="E2629" s="41" t="str">
        <f>IFERROR(__xludf.DUMMYFUNCTION("vlookup(D2629,IMPORTRANGE(""https://docs.google.com/spreadsheets/d/1swGwZOEqYlTEUCJLY-eeJM1911Kvaei5oySBIxdgtNo/edit?pli=1#gid=257618397"",""stock untanna!B:C""),2,false)"),"BP X DATA M2")</f>
        <v>BP X DATA M2</v>
      </c>
      <c r="F2629" s="49" t="s">
        <v>1859</v>
      </c>
      <c r="G2629" s="71" t="s">
        <v>1860</v>
      </c>
      <c r="H2629" s="41"/>
      <c r="I2629" s="42"/>
      <c r="J2629" s="43"/>
      <c r="K2629" s="72">
        <v>3.0</v>
      </c>
      <c r="L2629" s="53" t="s">
        <v>131</v>
      </c>
      <c r="M2629" s="73">
        <v>105000.0</v>
      </c>
      <c r="N2629" s="74"/>
      <c r="O2629" s="73">
        <v>315000.0</v>
      </c>
      <c r="P2629" s="46" t="str">
        <f t="shared" si="2"/>
        <v>Rp105,000-3 GRS-0.00%</v>
      </c>
      <c r="Q2629" s="75">
        <v>45419.0</v>
      </c>
      <c r="R2629" s="75">
        <v>45418.0</v>
      </c>
      <c r="S2629" s="75">
        <v>45426.0</v>
      </c>
      <c r="T2629" s="49"/>
    </row>
    <row r="2630">
      <c r="A2630" s="90">
        <v>74.0</v>
      </c>
      <c r="B2630" s="91" t="s">
        <v>29</v>
      </c>
      <c r="C2630" s="49" t="s">
        <v>2418</v>
      </c>
      <c r="D2630" s="91" t="s">
        <v>750</v>
      </c>
      <c r="E2630" s="41" t="str">
        <f>IFERROR(__xludf.DUMMYFUNCTION("vlookup(D2630,IMPORTRANGE(""https://docs.google.com/spreadsheets/d/1swGwZOEqYlTEUCJLY-eeJM1911Kvaei5oySBIxdgtNo/edit?pli=1#gid=257618397"",""stock untanna!B:C""),2,false)"),"BP X DATA M1")</f>
        <v>BP X DATA M1</v>
      </c>
      <c r="F2630" s="49" t="s">
        <v>750</v>
      </c>
      <c r="G2630" s="71" t="s">
        <v>751</v>
      </c>
      <c r="H2630" s="41"/>
      <c r="I2630" s="42"/>
      <c r="J2630" s="43"/>
      <c r="K2630" s="72">
        <v>6.0</v>
      </c>
      <c r="L2630" s="53" t="s">
        <v>131</v>
      </c>
      <c r="M2630" s="73">
        <v>90000.0</v>
      </c>
      <c r="N2630" s="74"/>
      <c r="O2630" s="73">
        <v>540000.0</v>
      </c>
      <c r="P2630" s="46" t="str">
        <f t="shared" si="2"/>
        <v>Rp90,000-6 GRS-0.00%</v>
      </c>
      <c r="Q2630" s="75">
        <v>45419.0</v>
      </c>
      <c r="R2630" s="75">
        <v>45418.0</v>
      </c>
      <c r="S2630" s="75">
        <v>45426.0</v>
      </c>
      <c r="T2630" s="49"/>
    </row>
    <row r="2631">
      <c r="A2631" s="90">
        <v>74.0</v>
      </c>
      <c r="B2631" s="91" t="s">
        <v>29</v>
      </c>
      <c r="C2631" s="49" t="s">
        <v>2418</v>
      </c>
      <c r="D2631" s="91" t="s">
        <v>479</v>
      </c>
      <c r="E2631" s="41" t="str">
        <f>IFERROR(__xludf.DUMMYFUNCTION("vlookup(D2631,IMPORTRANGE(""https://docs.google.com/spreadsheets/d/1swGwZOEqYlTEUCJLY-eeJM1911Kvaei5oySBIxdgtNo/edit?pli=1#gid=257618397"",""stock untanna!B:C""),2,false)"),"BP GEL DTIAN A 93")</f>
        <v>BP GEL DTIAN A 93</v>
      </c>
      <c r="F2631" s="49" t="s">
        <v>479</v>
      </c>
      <c r="G2631" s="71" t="s">
        <v>480</v>
      </c>
      <c r="H2631" s="41"/>
      <c r="I2631" s="42"/>
      <c r="J2631" s="43"/>
      <c r="K2631" s="72">
        <v>24.0</v>
      </c>
      <c r="L2631" s="53" t="s">
        <v>62</v>
      </c>
      <c r="M2631" s="73">
        <v>13500.0</v>
      </c>
      <c r="N2631" s="74"/>
      <c r="O2631" s="73">
        <v>324000.0</v>
      </c>
      <c r="P2631" s="46" t="str">
        <f t="shared" si="2"/>
        <v>Rp13,500-24 LSN-0.00%</v>
      </c>
      <c r="Q2631" s="75">
        <v>45419.0</v>
      </c>
      <c r="R2631" s="75">
        <v>45418.0</v>
      </c>
      <c r="S2631" s="75">
        <v>45426.0</v>
      </c>
      <c r="T2631" s="49"/>
    </row>
    <row r="2632">
      <c r="A2632" s="90">
        <v>74.0</v>
      </c>
      <c r="B2632" s="91" t="s">
        <v>29</v>
      </c>
      <c r="C2632" s="49" t="s">
        <v>2418</v>
      </c>
      <c r="D2632" s="91" t="s">
        <v>953</v>
      </c>
      <c r="E2632" s="41" t="str">
        <f>IFERROR(__xludf.DUMMYFUNCTION("vlookup(D2632,IMPORTRANGE(""https://docs.google.com/spreadsheets/d/1swGwZOEqYlTEUCJLY-eeJM1911Kvaei5oySBIxdgtNo/edit?pli=1#gid=257618397"",""stock untanna!B:C""),2,false)"),"BP GEL DTIAN DT-612")</f>
        <v>BP GEL DTIAN DT-612</v>
      </c>
      <c r="F2632" s="49" t="s">
        <v>953</v>
      </c>
      <c r="G2632" s="71" t="s">
        <v>954</v>
      </c>
      <c r="H2632" s="41"/>
      <c r="I2632" s="42"/>
      <c r="J2632" s="43"/>
      <c r="K2632" s="72">
        <v>24.0</v>
      </c>
      <c r="L2632" s="53" t="s">
        <v>62</v>
      </c>
      <c r="M2632" s="73">
        <v>13500.0</v>
      </c>
      <c r="N2632" s="74"/>
      <c r="O2632" s="73">
        <v>324000.0</v>
      </c>
      <c r="P2632" s="46" t="str">
        <f t="shared" si="2"/>
        <v>Rp13,500-24 LSN-0.00%</v>
      </c>
      <c r="Q2632" s="75">
        <v>45419.0</v>
      </c>
      <c r="R2632" s="75">
        <v>45418.0</v>
      </c>
      <c r="S2632" s="75">
        <v>45426.0</v>
      </c>
      <c r="T2632" s="49"/>
    </row>
    <row r="2633">
      <c r="A2633" s="90">
        <v>74.0</v>
      </c>
      <c r="B2633" s="91" t="s">
        <v>29</v>
      </c>
      <c r="C2633" s="49" t="s">
        <v>2418</v>
      </c>
      <c r="D2633" s="91" t="s">
        <v>477</v>
      </c>
      <c r="E2633" s="41" t="str">
        <f>IFERROR(__xludf.DUMMYFUNCTION("vlookup(D2633,IMPORTRANGE(""https://docs.google.com/spreadsheets/d/1swGwZOEqYlTEUCJLY-eeJM1911Kvaei5oySBIxdgtNo/edit?pli=1#gid=257618397"",""stock untanna!B:C""),2,false)"),"BP ST 500 LIGHT")</f>
        <v>BP ST 500 LIGHT</v>
      </c>
      <c r="F2633" s="49" t="s">
        <v>477</v>
      </c>
      <c r="G2633" s="71" t="s">
        <v>478</v>
      </c>
      <c r="H2633" s="41"/>
      <c r="I2633" s="42"/>
      <c r="J2633" s="43"/>
      <c r="K2633" s="72">
        <v>12.0</v>
      </c>
      <c r="L2633" s="53" t="s">
        <v>62</v>
      </c>
      <c r="M2633" s="73">
        <v>15000.0</v>
      </c>
      <c r="N2633" s="74"/>
      <c r="O2633" s="73">
        <v>180000.0</v>
      </c>
      <c r="P2633" s="46" t="str">
        <f t="shared" si="2"/>
        <v>Rp15,000-12 LSN-0.00%</v>
      </c>
      <c r="Q2633" s="75">
        <v>45419.0</v>
      </c>
      <c r="R2633" s="75">
        <v>45418.0</v>
      </c>
      <c r="S2633" s="75">
        <v>45426.0</v>
      </c>
      <c r="T2633" s="49"/>
    </row>
    <row r="2634">
      <c r="A2634" s="90">
        <v>74.0</v>
      </c>
      <c r="B2634" s="91" t="s">
        <v>29</v>
      </c>
      <c r="C2634" s="49" t="s">
        <v>2418</v>
      </c>
      <c r="D2634" s="91"/>
      <c r="E2634" s="41" t="s">
        <v>2866</v>
      </c>
      <c r="F2634" s="49"/>
      <c r="G2634" s="71" t="s">
        <v>2866</v>
      </c>
      <c r="H2634" s="41"/>
      <c r="I2634" s="42"/>
      <c r="J2634" s="43"/>
      <c r="K2634" s="72">
        <v>24.0</v>
      </c>
      <c r="L2634" s="53" t="s">
        <v>62</v>
      </c>
      <c r="M2634" s="73">
        <v>9500.0</v>
      </c>
      <c r="N2634" s="74"/>
      <c r="O2634" s="73">
        <v>228000.0</v>
      </c>
      <c r="P2634" s="46" t="str">
        <f t="shared" si="2"/>
        <v>Rp9,500-24 LSN-0.00%</v>
      </c>
      <c r="Q2634" s="75">
        <v>45419.0</v>
      </c>
      <c r="R2634" s="75">
        <v>45418.0</v>
      </c>
      <c r="S2634" s="75">
        <v>45426.0</v>
      </c>
      <c r="T2634" s="49"/>
    </row>
    <row r="2635">
      <c r="A2635" s="90">
        <v>75.0</v>
      </c>
      <c r="B2635" s="91" t="s">
        <v>29</v>
      </c>
      <c r="C2635" s="49" t="s">
        <v>2418</v>
      </c>
      <c r="D2635" s="91" t="s">
        <v>203</v>
      </c>
      <c r="E2635" s="41" t="str">
        <f>IFERROR(__xludf.DUMMYFUNCTION("vlookup(D2635,IMPORTRANGE(""https://docs.google.com/spreadsheets/d/1swGwZOEqYlTEUCJLY-eeJM1911Kvaei5oySBIxdgtNo/edit?pli=1#gid=257618397"",""stock untanna!B:C""),2,false)"),"BP HITECH JOSS GP-168 0.28MM")</f>
        <v>BP HITECH JOSS GP-168 0.28MM</v>
      </c>
      <c r="F2635" s="49" t="s">
        <v>203</v>
      </c>
      <c r="G2635" s="71" t="s">
        <v>204</v>
      </c>
      <c r="H2635" s="41"/>
      <c r="I2635" s="42"/>
      <c r="J2635" s="43"/>
      <c r="K2635" s="72">
        <v>12.0</v>
      </c>
      <c r="L2635" s="53" t="s">
        <v>62</v>
      </c>
      <c r="M2635" s="73">
        <v>28000.0</v>
      </c>
      <c r="N2635" s="74"/>
      <c r="O2635" s="73">
        <v>336000.0</v>
      </c>
      <c r="P2635" s="46" t="str">
        <f t="shared" si="2"/>
        <v>Rp28,000-12 LSN-0.00%</v>
      </c>
      <c r="Q2635" s="75">
        <v>45419.0</v>
      </c>
      <c r="R2635" s="75">
        <v>45418.0</v>
      </c>
      <c r="S2635" s="75">
        <v>45426.0</v>
      </c>
      <c r="T2635" s="49"/>
    </row>
    <row r="2636">
      <c r="A2636" s="90">
        <v>75.0</v>
      </c>
      <c r="B2636" s="91" t="s">
        <v>29</v>
      </c>
      <c r="C2636" s="49" t="s">
        <v>2418</v>
      </c>
      <c r="D2636" s="91" t="s">
        <v>205</v>
      </c>
      <c r="E2636" s="41" t="str">
        <f>IFERROR(__xludf.DUMMYFUNCTION("vlookup(D2636,IMPORTRANGE(""https://docs.google.com/spreadsheets/d/1swGwZOEqYlTEUCJLY-eeJM1911Kvaei5oySBIxdgtNo/edit?pli=1#gid=257618397"",""stock untanna!B:C""),2,false)"),"BP HITECH JOSS-188 B 0.28MM BIRU")</f>
        <v>BP HITECH JOSS-188 B 0.28MM BIRU</v>
      </c>
      <c r="F2636" s="49" t="s">
        <v>205</v>
      </c>
      <c r="G2636" s="71" t="s">
        <v>206</v>
      </c>
      <c r="H2636" s="41"/>
      <c r="I2636" s="42"/>
      <c r="J2636" s="43"/>
      <c r="K2636" s="72">
        <v>12.0</v>
      </c>
      <c r="L2636" s="53" t="s">
        <v>62</v>
      </c>
      <c r="M2636" s="73">
        <v>28000.0</v>
      </c>
      <c r="N2636" s="74"/>
      <c r="O2636" s="73">
        <v>336000.0</v>
      </c>
      <c r="P2636" s="46" t="str">
        <f t="shared" si="2"/>
        <v>Rp28,000-12 LSN-0.00%</v>
      </c>
      <c r="Q2636" s="75">
        <v>45419.0</v>
      </c>
      <c r="R2636" s="75">
        <v>45418.0</v>
      </c>
      <c r="S2636" s="75">
        <v>45426.0</v>
      </c>
      <c r="T2636" s="49"/>
    </row>
    <row r="2637">
      <c r="A2637" s="90">
        <v>75.0</v>
      </c>
      <c r="B2637" s="91" t="s">
        <v>29</v>
      </c>
      <c r="C2637" s="49" t="s">
        <v>2418</v>
      </c>
      <c r="D2637" s="91" t="s">
        <v>1428</v>
      </c>
      <c r="E2637" s="41" t="str">
        <f>IFERROR(__xludf.DUMMYFUNCTION("vlookup(D2637,IMPORTRANGE(""https://docs.google.com/spreadsheets/d/1swGwZOEqYlTEUCJLY-eeJM1911Kvaei5oySBIxdgtNo/edit?pli=1#gid=257618397"",""stock untanna!B:C""),2,false)"),"MECHPEN TIZO TM 01500")</f>
        <v>MECHPEN TIZO TM 01500</v>
      </c>
      <c r="F2637" s="49" t="s">
        <v>1428</v>
      </c>
      <c r="G2637" s="71" t="s">
        <v>1429</v>
      </c>
      <c r="H2637" s="41"/>
      <c r="I2637" s="42"/>
      <c r="J2637" s="43"/>
      <c r="K2637" s="72">
        <v>6.0</v>
      </c>
      <c r="L2637" s="53" t="s">
        <v>62</v>
      </c>
      <c r="M2637" s="73">
        <v>20000.0</v>
      </c>
      <c r="N2637" s="74"/>
      <c r="O2637" s="73">
        <v>120000.0</v>
      </c>
      <c r="P2637" s="46" t="str">
        <f t="shared" si="2"/>
        <v>Rp20,000-6 LSN-0.00%</v>
      </c>
      <c r="Q2637" s="75">
        <v>45419.0</v>
      </c>
      <c r="R2637" s="75">
        <v>45418.0</v>
      </c>
      <c r="S2637" s="75">
        <v>45426.0</v>
      </c>
      <c r="T2637" s="49"/>
    </row>
    <row r="2638">
      <c r="A2638" s="90">
        <v>75.0</v>
      </c>
      <c r="B2638" s="91" t="s">
        <v>29</v>
      </c>
      <c r="C2638" s="49" t="s">
        <v>2418</v>
      </c>
      <c r="D2638" s="91" t="s">
        <v>762</v>
      </c>
      <c r="E2638" s="41" t="str">
        <f>IFERROR(__xludf.DUMMYFUNCTION("vlookup(D2638,IMPORTRANGE(""https://docs.google.com/spreadsheets/d/1swGwZOEqYlTEUCJLY-eeJM1911Kvaei5oySBIxdgtNo/edit?pli=1#gid=257618397"",""stock untanna!B:C""),2,false)"),"BP TIZO TG340 BIRU")</f>
        <v>BP TIZO TG340 BIRU</v>
      </c>
      <c r="F2638" s="49" t="s">
        <v>762</v>
      </c>
      <c r="G2638" s="71" t="s">
        <v>763</v>
      </c>
      <c r="H2638" s="41"/>
      <c r="I2638" s="42"/>
      <c r="J2638" s="43"/>
      <c r="K2638" s="72">
        <v>24.0</v>
      </c>
      <c r="L2638" s="53" t="s">
        <v>62</v>
      </c>
      <c r="M2638" s="73">
        <v>37000.0</v>
      </c>
      <c r="N2638" s="74"/>
      <c r="O2638" s="73">
        <v>888000.0</v>
      </c>
      <c r="P2638" s="46" t="str">
        <f t="shared" si="2"/>
        <v>Rp37,000-24 LSN-0.00%</v>
      </c>
      <c r="Q2638" s="75">
        <v>45419.0</v>
      </c>
      <c r="R2638" s="75">
        <v>45418.0</v>
      </c>
      <c r="S2638" s="75">
        <v>45426.0</v>
      </c>
      <c r="T2638" s="49"/>
    </row>
    <row r="2639">
      <c r="A2639" s="90">
        <v>75.0</v>
      </c>
      <c r="B2639" s="91" t="s">
        <v>29</v>
      </c>
      <c r="C2639" s="49" t="s">
        <v>2418</v>
      </c>
      <c r="D2639" s="91" t="s">
        <v>199</v>
      </c>
      <c r="E2639" s="41" t="str">
        <f>IFERROR(__xludf.DUMMYFUNCTION("vlookup(D2639,IMPORTRANGE(""https://docs.google.com/spreadsheets/d/1swGwZOEqYlTEUCJLY-eeJM1911Kvaei5oySBIxdgtNo/edit?pli=1#gid=257618397"",""stock untanna!B:C""),2,false)"),"BP TF 1022")</f>
        <v>BP TF 1022</v>
      </c>
      <c r="F2639" s="49" t="s">
        <v>199</v>
      </c>
      <c r="G2639" s="71" t="s">
        <v>200</v>
      </c>
      <c r="H2639" s="41"/>
      <c r="I2639" s="42"/>
      <c r="J2639" s="43"/>
      <c r="K2639" s="72">
        <v>12.0</v>
      </c>
      <c r="L2639" s="53" t="s">
        <v>62</v>
      </c>
      <c r="M2639" s="73">
        <v>17500.0</v>
      </c>
      <c r="N2639" s="74"/>
      <c r="O2639" s="73">
        <v>210000.0</v>
      </c>
      <c r="P2639" s="46" t="str">
        <f t="shared" si="2"/>
        <v>Rp17,500-12 LSN-0.00%</v>
      </c>
      <c r="Q2639" s="75">
        <v>45419.0</v>
      </c>
      <c r="R2639" s="75">
        <v>45418.0</v>
      </c>
      <c r="S2639" s="75">
        <v>45426.0</v>
      </c>
      <c r="T2639" s="49"/>
    </row>
    <row r="2640">
      <c r="A2640" s="90">
        <v>75.0</v>
      </c>
      <c r="B2640" s="91" t="s">
        <v>29</v>
      </c>
      <c r="C2640" s="49" t="s">
        <v>2418</v>
      </c>
      <c r="D2640" s="91" t="s">
        <v>840</v>
      </c>
      <c r="E2640" s="41" t="str">
        <f>IFERROR(__xludf.DUMMYFUNCTION("vlookup(D2640,IMPORTRANGE(""https://docs.google.com/spreadsheets/d/1swGwZOEqYlTEUCJLY-eeJM1911Kvaei5oySBIxdgtNo/edit?pli=1#gid=257618397"",""stock untanna!B:C""),2,false)"),"CAT ACRYLIC TF 003")</f>
        <v>CAT ACRYLIC TF 003</v>
      </c>
      <c r="F2640" s="49" t="s">
        <v>840</v>
      </c>
      <c r="G2640" s="71" t="s">
        <v>841</v>
      </c>
      <c r="H2640" s="41"/>
      <c r="I2640" s="42"/>
      <c r="J2640" s="43"/>
      <c r="K2640" s="72">
        <v>1.0</v>
      </c>
      <c r="L2640" s="53" t="s">
        <v>62</v>
      </c>
      <c r="M2640" s="73">
        <v>375000.0</v>
      </c>
      <c r="N2640" s="74"/>
      <c r="O2640" s="73">
        <v>375000.0</v>
      </c>
      <c r="P2640" s="46" t="str">
        <f t="shared" si="2"/>
        <v>Rp375,000-1 LSN-0.00%</v>
      </c>
      <c r="Q2640" s="75">
        <v>45419.0</v>
      </c>
      <c r="R2640" s="75">
        <v>45418.0</v>
      </c>
      <c r="S2640" s="75">
        <v>45426.0</v>
      </c>
      <c r="T2640" s="49"/>
    </row>
    <row r="2641">
      <c r="A2641" s="90">
        <v>75.0</v>
      </c>
      <c r="B2641" s="91" t="s">
        <v>29</v>
      </c>
      <c r="C2641" s="49" t="s">
        <v>2418</v>
      </c>
      <c r="D2641" s="91" t="s">
        <v>1766</v>
      </c>
      <c r="E2641" s="41" t="str">
        <f>IFERROR(__xludf.DUMMYFUNCTION("vlookup(D2641,IMPORTRANGE(""https://docs.google.com/spreadsheets/d/1swGwZOEqYlTEUCJLY-eeJM1911Kvaei5oySBIxdgtNo/edit?pli=1#gid=257618397"",""stock untanna!B:C""),2,false)"),"CAT ACRYLIC PACMAN")</f>
        <v>CAT ACRYLIC PACMAN</v>
      </c>
      <c r="F2641" s="49" t="s">
        <v>1766</v>
      </c>
      <c r="G2641" s="71" t="s">
        <v>1767</v>
      </c>
      <c r="H2641" s="41"/>
      <c r="I2641" s="42"/>
      <c r="J2641" s="43"/>
      <c r="K2641" s="72">
        <v>12.0</v>
      </c>
      <c r="L2641" s="53" t="s">
        <v>69</v>
      </c>
      <c r="M2641" s="73">
        <v>18750.0</v>
      </c>
      <c r="N2641" s="74"/>
      <c r="O2641" s="73">
        <v>225000.0</v>
      </c>
      <c r="P2641" s="46" t="str">
        <f t="shared" si="2"/>
        <v>Rp18,750-12 PCS-0.00%</v>
      </c>
      <c r="Q2641" s="75">
        <v>45419.0</v>
      </c>
      <c r="R2641" s="75">
        <v>45418.0</v>
      </c>
      <c r="S2641" s="75">
        <v>45426.0</v>
      </c>
      <c r="T2641" s="49"/>
    </row>
    <row r="2642">
      <c r="A2642" s="90">
        <v>75.0</v>
      </c>
      <c r="B2642" s="91" t="s">
        <v>29</v>
      </c>
      <c r="C2642" s="49" t="s">
        <v>2418</v>
      </c>
      <c r="D2642" s="91"/>
      <c r="E2642" s="41" t="s">
        <v>1632</v>
      </c>
      <c r="F2642" s="49"/>
      <c r="G2642" s="71" t="s">
        <v>1632</v>
      </c>
      <c r="H2642" s="41"/>
      <c r="I2642" s="42"/>
      <c r="J2642" s="43"/>
      <c r="K2642" s="72">
        <v>2.0</v>
      </c>
      <c r="L2642" s="53" t="s">
        <v>114</v>
      </c>
      <c r="M2642" s="73">
        <v>32500.0</v>
      </c>
      <c r="N2642" s="74"/>
      <c r="O2642" s="73">
        <v>65000.0</v>
      </c>
      <c r="P2642" s="46" t="str">
        <f t="shared" si="2"/>
        <v>Rp32,500-2 PAK-0.00%</v>
      </c>
      <c r="Q2642" s="75">
        <v>45419.0</v>
      </c>
      <c r="R2642" s="75">
        <v>45418.0</v>
      </c>
      <c r="S2642" s="75">
        <v>45426.0</v>
      </c>
      <c r="T2642" s="49"/>
    </row>
    <row r="2643">
      <c r="A2643" s="90">
        <v>75.0</v>
      </c>
      <c r="B2643" s="91" t="s">
        <v>29</v>
      </c>
      <c r="C2643" s="49" t="s">
        <v>2418</v>
      </c>
      <c r="D2643" s="77" t="s">
        <v>985</v>
      </c>
      <c r="E2643" s="41" t="str">
        <f>IFERROR(__xludf.DUMMYFUNCTION("IFNA(vlookup(D2643,IMPORTRANGE(""https://docs.google.com/spreadsheets/d/1swGwZOEqYlTEUCJLY-eeJM1911Kvaei5oySBIxdgtNo/edit?pli=1#gid=257618397"",""stock untanna!B:C""),2,false),V:V)"),"ISI PENSIL KNOW 2270")</f>
        <v>ISI PENSIL KNOW 2270</v>
      </c>
      <c r="F2643" s="49"/>
      <c r="G2643" s="71" t="s">
        <v>986</v>
      </c>
      <c r="H2643" s="41"/>
      <c r="I2643" s="42"/>
      <c r="J2643" s="43" t="str">
        <f>IF(D2643="","TIDAK ADA","ADA")</f>
        <v>ADA</v>
      </c>
      <c r="K2643" s="72">
        <v>12.0</v>
      </c>
      <c r="L2643" s="53" t="s">
        <v>62</v>
      </c>
      <c r="M2643" s="73">
        <v>22500.0</v>
      </c>
      <c r="N2643" s="74"/>
      <c r="O2643" s="73">
        <v>270000.0</v>
      </c>
      <c r="P2643" s="46" t="str">
        <f t="shared" si="2"/>
        <v>Rp22,500-12 LSN-0.00%</v>
      </c>
      <c r="Q2643" s="75">
        <v>45419.0</v>
      </c>
      <c r="R2643" s="75">
        <v>45418.0</v>
      </c>
      <c r="S2643" s="75">
        <v>45426.0</v>
      </c>
      <c r="T2643" s="80" t="s">
        <v>280</v>
      </c>
    </row>
    <row r="2644">
      <c r="A2644" s="90">
        <v>75.0</v>
      </c>
      <c r="B2644" s="91" t="s">
        <v>29</v>
      </c>
      <c r="C2644" s="49" t="s">
        <v>2418</v>
      </c>
      <c r="D2644" s="91" t="s">
        <v>2725</v>
      </c>
      <c r="E2644" s="41" t="str">
        <f>IFERROR(__xludf.DUMMYFUNCTION("vlookup(D2644,IMPORTRANGE(""https://docs.google.com/spreadsheets/d/1swGwZOEqYlTEUCJLY-eeJM1911Kvaei5oySBIxdgtNo/edit?pli=1#gid=257618397"",""stock untanna!B:C""),2,false)"),"GARISAN SET ACRYLIC 20CM GR-180455")</f>
        <v>GARISAN SET ACRYLIC 20CM GR-180455</v>
      </c>
      <c r="F2644" s="49" t="s">
        <v>2725</v>
      </c>
      <c r="G2644" s="71" t="s">
        <v>2726</v>
      </c>
      <c r="H2644" s="41"/>
      <c r="I2644" s="42"/>
      <c r="J2644" s="43"/>
      <c r="K2644" s="72">
        <v>12.0</v>
      </c>
      <c r="L2644" s="53" t="s">
        <v>84</v>
      </c>
      <c r="M2644" s="73">
        <v>14583.0</v>
      </c>
      <c r="N2644" s="74"/>
      <c r="O2644" s="73">
        <v>174996.0</v>
      </c>
      <c r="P2644" s="46" t="str">
        <f t="shared" si="2"/>
        <v>Rp14,583-12 SET-0.00%</v>
      </c>
      <c r="Q2644" s="75">
        <v>45419.0</v>
      </c>
      <c r="R2644" s="75">
        <v>45418.0</v>
      </c>
      <c r="S2644" s="75">
        <v>45426.0</v>
      </c>
      <c r="T2644" s="49"/>
    </row>
    <row r="2645">
      <c r="A2645" s="90">
        <v>75.0</v>
      </c>
      <c r="B2645" s="91" t="s">
        <v>29</v>
      </c>
      <c r="C2645" s="49" t="s">
        <v>2418</v>
      </c>
      <c r="D2645" s="91" t="s">
        <v>700</v>
      </c>
      <c r="E2645" s="41" t="str">
        <f>IFERROR(__xludf.DUMMYFUNCTION("vlookup(D2645,IMPORTRANGE(""https://docs.google.com/spreadsheets/d/1swGwZOEqYlTEUCJLY-eeJM1911Kvaei5oySBIxdgtNo/edit?pli=1#gid=257618397"",""stock untanna!B:C""),2,false)"),"BP TIZO KLIK TG 3300")</f>
        <v>BP TIZO KLIK TG 3300</v>
      </c>
      <c r="F2645" s="49" t="s">
        <v>700</v>
      </c>
      <c r="G2645" s="71" t="s">
        <v>701</v>
      </c>
      <c r="H2645" s="41"/>
      <c r="I2645" s="42"/>
      <c r="J2645" s="43"/>
      <c r="K2645" s="72">
        <v>6.0</v>
      </c>
      <c r="L2645" s="53" t="s">
        <v>62</v>
      </c>
      <c r="M2645" s="73">
        <v>35000.0</v>
      </c>
      <c r="N2645" s="74"/>
      <c r="O2645" s="73">
        <v>210000.0</v>
      </c>
      <c r="P2645" s="46" t="str">
        <f t="shared" si="2"/>
        <v>Rp35,000-6 LSN-0.00%</v>
      </c>
      <c r="Q2645" s="75">
        <v>45419.0</v>
      </c>
      <c r="R2645" s="75">
        <v>45418.0</v>
      </c>
      <c r="S2645" s="75">
        <v>45426.0</v>
      </c>
      <c r="T2645" s="49"/>
    </row>
    <row r="2646">
      <c r="A2646" s="90">
        <v>75.0</v>
      </c>
      <c r="B2646" s="91" t="s">
        <v>29</v>
      </c>
      <c r="C2646" s="49" t="s">
        <v>2418</v>
      </c>
      <c r="D2646" s="77" t="s">
        <v>2632</v>
      </c>
      <c r="E2646" s="41" t="str">
        <f>IFERROR(__xludf.DUMMYFUNCTION("vlookup(D2646,IMPORTRANGE(""https://docs.google.com/spreadsheets/d/1swGwZOEqYlTEUCJLY-eeJM1911Kvaei5oySBIxdgtNo/edit?pli=1#gid=257618397"",""stock untanna!B:C""),2,false)"),"GUNTING 8 (B 021)")</f>
        <v>GUNTING 8 (B 021)</v>
      </c>
      <c r="F2646" s="49" t="s">
        <v>2633</v>
      </c>
      <c r="G2646" s="71" t="s">
        <v>2634</v>
      </c>
      <c r="H2646" s="41"/>
      <c r="I2646" s="42"/>
      <c r="J2646" s="43"/>
      <c r="K2646" s="72">
        <v>12.0</v>
      </c>
      <c r="L2646" s="53" t="s">
        <v>69</v>
      </c>
      <c r="M2646" s="73">
        <v>13333.0</v>
      </c>
      <c r="N2646" s="74"/>
      <c r="O2646" s="73">
        <v>159996.0</v>
      </c>
      <c r="P2646" s="46" t="str">
        <f t="shared" si="2"/>
        <v>Rp13,333-12 PCS-0.00%</v>
      </c>
      <c r="Q2646" s="75">
        <v>45419.0</v>
      </c>
      <c r="R2646" s="75">
        <v>45418.0</v>
      </c>
      <c r="S2646" s="75">
        <v>45426.0</v>
      </c>
      <c r="T2646" s="49"/>
    </row>
    <row r="2647">
      <c r="A2647" s="90">
        <v>75.0</v>
      </c>
      <c r="B2647" s="91" t="s">
        <v>29</v>
      </c>
      <c r="C2647" s="49" t="s">
        <v>2418</v>
      </c>
      <c r="D2647" s="91" t="s">
        <v>2867</v>
      </c>
      <c r="E2647" s="41" t="str">
        <f>IFERROR(__xludf.DUMMYFUNCTION("vlookup(D2647,IMPORTRANGE(""https://docs.google.com/spreadsheets/d/1swGwZOEqYlTEUCJLY-eeJM1911Kvaei5oySBIxdgtNo/edit?pli=1#gid=257618397"",""stock untanna!B:C""),2,false)"),"GUNTING HY011")</f>
        <v>GUNTING HY011</v>
      </c>
      <c r="F2647" s="49" t="s">
        <v>2867</v>
      </c>
      <c r="G2647" s="71" t="s">
        <v>2868</v>
      </c>
      <c r="H2647" s="41"/>
      <c r="I2647" s="42"/>
      <c r="J2647" s="43"/>
      <c r="K2647" s="72">
        <v>12.0</v>
      </c>
      <c r="L2647" s="53" t="s">
        <v>69</v>
      </c>
      <c r="M2647" s="73">
        <v>15000.0</v>
      </c>
      <c r="N2647" s="74"/>
      <c r="O2647" s="73">
        <v>180000.0</v>
      </c>
      <c r="P2647" s="46" t="str">
        <f t="shared" si="2"/>
        <v>Rp15,000-12 PCS-0.00%</v>
      </c>
      <c r="Q2647" s="75">
        <v>45419.0</v>
      </c>
      <c r="R2647" s="75">
        <v>45418.0</v>
      </c>
      <c r="S2647" s="75">
        <v>45426.0</v>
      </c>
      <c r="T2647" s="49"/>
    </row>
    <row r="2648">
      <c r="A2648" s="90">
        <v>75.0</v>
      </c>
      <c r="B2648" s="91" t="s">
        <v>29</v>
      </c>
      <c r="C2648" s="49" t="s">
        <v>2418</v>
      </c>
      <c r="D2648" s="77" t="s">
        <v>2121</v>
      </c>
      <c r="E2648" s="41" t="str">
        <f>IFERROR(__xludf.DUMMYFUNCTION("vlookup(D2648,IMPORTRANGE(""https://docs.google.com/spreadsheets/d/1swGwZOEqYlTEUCJLY-eeJM1911Kvaei5oySBIxdgtNo/edit?pli=1#gid=257618397"",""stock untanna!B:C""),2,false)"),"GUNTING LIPAT HT KECIL")</f>
        <v>GUNTING LIPAT HT KECIL</v>
      </c>
      <c r="F2648" s="49" t="s">
        <v>2122</v>
      </c>
      <c r="G2648" s="71" t="s">
        <v>2123</v>
      </c>
      <c r="H2648" s="41"/>
      <c r="I2648" s="42"/>
      <c r="J2648" s="43"/>
      <c r="K2648" s="72">
        <v>1.0</v>
      </c>
      <c r="L2648" s="53" t="s">
        <v>62</v>
      </c>
      <c r="M2648" s="73">
        <v>30000.0</v>
      </c>
      <c r="N2648" s="74"/>
      <c r="O2648" s="73">
        <v>30000.0</v>
      </c>
      <c r="P2648" s="46" t="str">
        <f t="shared" si="2"/>
        <v>Rp30,000-1 LSN-0.00%</v>
      </c>
      <c r="Q2648" s="75">
        <v>45419.0</v>
      </c>
      <c r="R2648" s="75">
        <v>45418.0</v>
      </c>
      <c r="S2648" s="75">
        <v>45426.0</v>
      </c>
      <c r="T2648" s="49"/>
    </row>
    <row r="2649">
      <c r="A2649" s="90">
        <v>75.0</v>
      </c>
      <c r="B2649" s="91" t="s">
        <v>29</v>
      </c>
      <c r="C2649" s="49" t="s">
        <v>2418</v>
      </c>
      <c r="D2649" s="91" t="s">
        <v>2530</v>
      </c>
      <c r="E2649" s="41" t="str">
        <f>IFERROR(__xludf.DUMMYFUNCTION("vlookup(D2649,IMPORTRANGE(""https://docs.google.com/spreadsheets/d/1swGwZOEqYlTEUCJLY-eeJM1911Kvaei5oySBIxdgtNo/edit?pli=1#gid=257618397"",""stock untanna!B:C""),2,false)"),"GUNTING LIPAT TANGGUNG")</f>
        <v>GUNTING LIPAT TANGGUNG</v>
      </c>
      <c r="F2649" s="49" t="s">
        <v>2530</v>
      </c>
      <c r="G2649" s="71" t="s">
        <v>2531</v>
      </c>
      <c r="H2649" s="41"/>
      <c r="I2649" s="42"/>
      <c r="J2649" s="43"/>
      <c r="K2649" s="72">
        <v>1.0</v>
      </c>
      <c r="L2649" s="53" t="s">
        <v>62</v>
      </c>
      <c r="M2649" s="73">
        <v>37500.0</v>
      </c>
      <c r="N2649" s="74"/>
      <c r="O2649" s="73">
        <v>37500.0</v>
      </c>
      <c r="P2649" s="46" t="str">
        <f t="shared" si="2"/>
        <v>Rp37,500-1 LSN-0.00%</v>
      </c>
      <c r="Q2649" s="75">
        <v>45419.0</v>
      </c>
      <c r="R2649" s="75">
        <v>45418.0</v>
      </c>
      <c r="S2649" s="75">
        <v>45426.0</v>
      </c>
      <c r="T2649" s="49"/>
    </row>
    <row r="2650">
      <c r="A2650" s="90">
        <v>75.0</v>
      </c>
      <c r="B2650" s="91" t="s">
        <v>29</v>
      </c>
      <c r="C2650" s="49" t="s">
        <v>2418</v>
      </c>
      <c r="D2650" s="91" t="s">
        <v>2124</v>
      </c>
      <c r="E2650" s="41" t="str">
        <f>IFERROR(__xludf.DUMMYFUNCTION("vlookup(D2650,IMPORTRANGE(""https://docs.google.com/spreadsheets/d/1swGwZOEqYlTEUCJLY-eeJM1911Kvaei5oySBIxdgtNo/edit?pli=1#gid=257618397"",""stock untanna!B:C""),2,false)"),"GUNTING LIPAT BESAR")</f>
        <v>GUNTING LIPAT BESAR</v>
      </c>
      <c r="F2650" s="49" t="s">
        <v>2124</v>
      </c>
      <c r="G2650" s="71" t="s">
        <v>2125</v>
      </c>
      <c r="H2650" s="41"/>
      <c r="I2650" s="42"/>
      <c r="J2650" s="43"/>
      <c r="K2650" s="72">
        <v>1.0</v>
      </c>
      <c r="L2650" s="53" t="s">
        <v>62</v>
      </c>
      <c r="M2650" s="73">
        <v>47500.0</v>
      </c>
      <c r="N2650" s="74"/>
      <c r="O2650" s="73">
        <v>47500.0</v>
      </c>
      <c r="P2650" s="46" t="str">
        <f t="shared" si="2"/>
        <v>Rp47,500-1 LSN-0.00%</v>
      </c>
      <c r="Q2650" s="75">
        <v>45419.0</v>
      </c>
      <c r="R2650" s="75">
        <v>45418.0</v>
      </c>
      <c r="S2650" s="75">
        <v>45426.0</v>
      </c>
      <c r="T2650" s="49"/>
    </row>
    <row r="2651">
      <c r="A2651" s="90">
        <v>76.0</v>
      </c>
      <c r="B2651" s="91" t="s">
        <v>29</v>
      </c>
      <c r="C2651" s="49" t="s">
        <v>2418</v>
      </c>
      <c r="D2651" s="77" t="s">
        <v>405</v>
      </c>
      <c r="E2651" s="41" t="str">
        <f>IFERROR(__xludf.DUMMYFUNCTION("vlookup(D2651,IMPORTRANGE(""https://docs.google.com/spreadsheets/d/1swGwZOEqYlTEUCJLY-eeJM1911Kvaei5oySBIxdgtNo/edit?pli=1#gid=257618397"",""stock untanna!B:C""),2,false)"),"GUNTING STAINLESS SQ 05 B HITAM")</f>
        <v>GUNTING STAINLESS SQ 05 B HITAM</v>
      </c>
      <c r="F2651" s="49" t="s">
        <v>406</v>
      </c>
      <c r="G2651" s="71" t="s">
        <v>407</v>
      </c>
      <c r="H2651" s="41"/>
      <c r="I2651" s="42"/>
      <c r="J2651" s="43"/>
      <c r="K2651" s="72">
        <v>3.0</v>
      </c>
      <c r="L2651" s="53" t="s">
        <v>62</v>
      </c>
      <c r="M2651" s="73">
        <v>40000.0</v>
      </c>
      <c r="N2651" s="74"/>
      <c r="O2651" s="73">
        <v>120000.0</v>
      </c>
      <c r="P2651" s="46" t="str">
        <f t="shared" si="2"/>
        <v>Rp40,000-3 LSN-0.00%</v>
      </c>
      <c r="Q2651" s="75">
        <v>45419.0</v>
      </c>
      <c r="R2651" s="75">
        <v>45418.0</v>
      </c>
      <c r="S2651" s="75">
        <v>45426.0</v>
      </c>
      <c r="T2651" s="49"/>
    </row>
    <row r="2652">
      <c r="A2652" s="90">
        <v>76.0</v>
      </c>
      <c r="B2652" s="91" t="s">
        <v>29</v>
      </c>
      <c r="C2652" s="49" t="s">
        <v>2418</v>
      </c>
      <c r="D2652" s="91"/>
      <c r="E2652" s="41" t="s">
        <v>2869</v>
      </c>
      <c r="F2652" s="49"/>
      <c r="G2652" s="71" t="s">
        <v>2869</v>
      </c>
      <c r="H2652" s="41"/>
      <c r="I2652" s="42"/>
      <c r="J2652" s="43"/>
      <c r="K2652" s="72">
        <v>6.0</v>
      </c>
      <c r="L2652" s="53" t="s">
        <v>114</v>
      </c>
      <c r="M2652" s="73">
        <v>40000.0</v>
      </c>
      <c r="N2652" s="74"/>
      <c r="O2652" s="73">
        <v>240000.0</v>
      </c>
      <c r="P2652" s="46" t="str">
        <f t="shared" si="2"/>
        <v>Rp40,000-6 PAK-0.00%</v>
      </c>
      <c r="Q2652" s="75">
        <v>45419.0</v>
      </c>
      <c r="R2652" s="75">
        <v>45418.0</v>
      </c>
      <c r="S2652" s="75">
        <v>45426.0</v>
      </c>
      <c r="T2652" s="49"/>
    </row>
    <row r="2653">
      <c r="A2653" s="90">
        <v>76.0</v>
      </c>
      <c r="B2653" s="91" t="s">
        <v>29</v>
      </c>
      <c r="C2653" s="49" t="s">
        <v>2418</v>
      </c>
      <c r="D2653" s="91" t="s">
        <v>138</v>
      </c>
      <c r="E2653" s="41" t="str">
        <f>IFERROR(__xludf.DUMMYFUNCTION("vlookup(D2653,IMPORTRANGE(""https://docs.google.com/spreadsheets/d/1swGwZOEqYlTEUCJLY-eeJM1911Kvaei5oySBIxdgtNo/edit?pli=1#gid=257618397"",""stock untanna!B:C""),2,false)"),"GARISAN LIPAT 008 (40) 30 CM FANCY")</f>
        <v>GARISAN LIPAT 008 (40) 30 CM FANCY</v>
      </c>
      <c r="F2653" s="49" t="s">
        <v>138</v>
      </c>
      <c r="G2653" s="71" t="s">
        <v>139</v>
      </c>
      <c r="H2653" s="41"/>
      <c r="I2653" s="42"/>
      <c r="J2653" s="43"/>
      <c r="K2653" s="72">
        <v>2.0</v>
      </c>
      <c r="L2653" s="53" t="s">
        <v>88</v>
      </c>
      <c r="M2653" s="73">
        <v>65000.0</v>
      </c>
      <c r="N2653" s="74"/>
      <c r="O2653" s="73">
        <v>130000.0</v>
      </c>
      <c r="P2653" s="46" t="str">
        <f t="shared" si="2"/>
        <v>Rp65,000-2 BOX-0.00%</v>
      </c>
      <c r="Q2653" s="75">
        <v>45419.0</v>
      </c>
      <c r="R2653" s="75">
        <v>45418.0</v>
      </c>
      <c r="S2653" s="75">
        <v>45426.0</v>
      </c>
      <c r="T2653" s="49"/>
    </row>
    <row r="2654">
      <c r="A2654" s="90">
        <v>76.0</v>
      </c>
      <c r="B2654" s="91" t="s">
        <v>29</v>
      </c>
      <c r="C2654" s="49" t="s">
        <v>2418</v>
      </c>
      <c r="D2654" s="77" t="s">
        <v>2870</v>
      </c>
      <c r="E2654" s="41" t="str">
        <f>IFERROR(__xludf.DUMMYFUNCTION("IFNA(vlookup(D2654,IMPORTRANGE(""https://docs.google.com/spreadsheets/d/1swGwZOEqYlTEUCJLY-eeJM1911Kvaei5oySBIxdgtNo/edit?pli=1#gid=257618397"",""stock untanna!B:C""),2,false),V:V)"),"ISI GELL RETRACT DB GR-900")</f>
        <v>ISI GELL RETRACT DB GR-900</v>
      </c>
      <c r="F2654" s="49"/>
      <c r="G2654" s="71" t="s">
        <v>2871</v>
      </c>
      <c r="H2654" s="41"/>
      <c r="I2654" s="42"/>
      <c r="J2654" s="43" t="str">
        <f t="shared" ref="J2654:J2655" si="8">IF(D2654="","TIDAK ADA","ADA")</f>
        <v>ADA</v>
      </c>
      <c r="K2654" s="72">
        <v>6.0</v>
      </c>
      <c r="L2654" s="53" t="s">
        <v>88</v>
      </c>
      <c r="M2654" s="73">
        <v>28000.0</v>
      </c>
      <c r="N2654" s="74"/>
      <c r="O2654" s="73">
        <v>168000.0</v>
      </c>
      <c r="P2654" s="46" t="str">
        <f t="shared" si="2"/>
        <v>Rp28,000-6 BOX-0.00%</v>
      </c>
      <c r="Q2654" s="75">
        <v>45419.0</v>
      </c>
      <c r="R2654" s="75">
        <v>45418.0</v>
      </c>
      <c r="S2654" s="75">
        <v>45426.0</v>
      </c>
      <c r="T2654" s="80" t="s">
        <v>280</v>
      </c>
    </row>
    <row r="2655">
      <c r="A2655" s="90">
        <v>76.0</v>
      </c>
      <c r="B2655" s="91" t="s">
        <v>29</v>
      </c>
      <c r="C2655" s="49" t="s">
        <v>2418</v>
      </c>
      <c r="D2655" s="77" t="s">
        <v>988</v>
      </c>
      <c r="E2655" s="41" t="str">
        <f>IFERROR(__xludf.DUMMYFUNCTION("IFNA(vlookup(D2655,IMPORTRANGE(""https://docs.google.com/spreadsheets/d/1swGwZOEqYlTEUCJLY-eeJM1911Kvaei5oySBIxdgtNo/edit?pli=1#gid=257618397"",""stock untanna!B:C""),2,false),V:V)"),"ISI GELL DEBOZZ DB GR 550 (24)")</f>
        <v>ISI GELL DEBOZZ DB GR 550 (24)</v>
      </c>
      <c r="F2655" s="49"/>
      <c r="G2655" s="71" t="s">
        <v>989</v>
      </c>
      <c r="H2655" s="41"/>
      <c r="I2655" s="42"/>
      <c r="J2655" s="43" t="str">
        <f t="shared" si="8"/>
        <v>ADA</v>
      </c>
      <c r="K2655" s="72">
        <v>3.0</v>
      </c>
      <c r="L2655" s="53" t="s">
        <v>88</v>
      </c>
      <c r="M2655" s="73">
        <v>20000.0</v>
      </c>
      <c r="N2655" s="74"/>
      <c r="O2655" s="73">
        <v>60000.0</v>
      </c>
      <c r="P2655" s="46" t="str">
        <f t="shared" si="2"/>
        <v>Rp20,000-3 BOX-0.00%</v>
      </c>
      <c r="Q2655" s="75">
        <v>45419.0</v>
      </c>
      <c r="R2655" s="75">
        <v>45418.0</v>
      </c>
      <c r="S2655" s="75">
        <v>45426.0</v>
      </c>
      <c r="T2655" s="80" t="s">
        <v>280</v>
      </c>
    </row>
    <row r="2656">
      <c r="A2656" s="90">
        <v>76.0</v>
      </c>
      <c r="B2656" s="91" t="s">
        <v>29</v>
      </c>
      <c r="C2656" s="49" t="s">
        <v>2418</v>
      </c>
      <c r="D2656" s="91" t="s">
        <v>2872</v>
      </c>
      <c r="E2656" s="41" t="str">
        <f>IFERROR(__xludf.DUMMYFUNCTION("vlookup(D2656,IMPORTRANGE(""https://docs.google.com/spreadsheets/d/1swGwZOEqYlTEUCJLY-eeJM1911Kvaei5oySBIxdgtNo/edit?pli=1#gid=257618397"",""stock untanna!B:C""),2,false)"),"BP 7026")</f>
        <v>BP 7026</v>
      </c>
      <c r="F2656" s="49" t="s">
        <v>2872</v>
      </c>
      <c r="G2656" s="71" t="s">
        <v>2873</v>
      </c>
      <c r="H2656" s="41"/>
      <c r="I2656" s="42"/>
      <c r="J2656" s="43"/>
      <c r="K2656" s="72">
        <v>6.0</v>
      </c>
      <c r="L2656" s="53" t="s">
        <v>62</v>
      </c>
      <c r="M2656" s="73">
        <v>15000.0</v>
      </c>
      <c r="N2656" s="74"/>
      <c r="O2656" s="73">
        <v>90000.0</v>
      </c>
      <c r="P2656" s="46" t="str">
        <f t="shared" si="2"/>
        <v>Rp15,000-6 LSN-0.00%</v>
      </c>
      <c r="Q2656" s="75">
        <v>45419.0</v>
      </c>
      <c r="R2656" s="75">
        <v>45418.0</v>
      </c>
      <c r="S2656" s="75">
        <v>45426.0</v>
      </c>
      <c r="T2656" s="49"/>
    </row>
    <row r="2657">
      <c r="A2657" s="90">
        <v>76.0</v>
      </c>
      <c r="B2657" s="91" t="s">
        <v>29</v>
      </c>
      <c r="C2657" s="49" t="s">
        <v>2418</v>
      </c>
      <c r="D2657" s="77" t="s">
        <v>2874</v>
      </c>
      <c r="E2657" s="41" t="str">
        <f>IFERROR(__xludf.DUMMYFUNCTION("IFNA(vlookup(D2657,IMPORTRANGE(""https://docs.google.com/spreadsheets/d/1swGwZOEqYlTEUCJLY-eeJM1911Kvaei5oySBIxdgtNo/edit?pli=1#gid=257618397"",""stock untanna!B:C""),2,false),V:V)"),"BP B155 (0366)")</f>
        <v>BP B155 (0366)</v>
      </c>
      <c r="F2657" s="49"/>
      <c r="G2657" s="71" t="s">
        <v>2875</v>
      </c>
      <c r="H2657" s="41"/>
      <c r="I2657" s="42"/>
      <c r="J2657" s="85" t="s">
        <v>1319</v>
      </c>
      <c r="K2657" s="72">
        <v>6.0</v>
      </c>
      <c r="L2657" s="53" t="s">
        <v>62</v>
      </c>
      <c r="M2657" s="73">
        <v>22500.0</v>
      </c>
      <c r="N2657" s="74"/>
      <c r="O2657" s="73">
        <v>135000.0</v>
      </c>
      <c r="P2657" s="46" t="str">
        <f t="shared" si="2"/>
        <v>Rp22,500-6 LSN-0.00%</v>
      </c>
      <c r="Q2657" s="75">
        <v>45419.0</v>
      </c>
      <c r="R2657" s="75">
        <v>45418.0</v>
      </c>
      <c r="S2657" s="75">
        <v>45426.0</v>
      </c>
      <c r="T2657" s="80" t="s">
        <v>280</v>
      </c>
    </row>
    <row r="2658">
      <c r="A2658" s="90">
        <v>76.0</v>
      </c>
      <c r="B2658" s="91" t="s">
        <v>29</v>
      </c>
      <c r="C2658" s="49" t="s">
        <v>2418</v>
      </c>
      <c r="D2658" s="77" t="s">
        <v>2876</v>
      </c>
      <c r="E2658" s="41" t="str">
        <f>IFERROR(__xludf.DUMMYFUNCTION("IFNA(vlookup(D2658,IMPORTRANGE(""https://docs.google.com/spreadsheets/d/1swGwZOEqYlTEUCJLY-eeJM1911Kvaei5oySBIxdgtNo/edit?pli=1#gid=257618397"",""stock untanna!B:C""),2,false),V:V)"),"BP 9892")</f>
        <v>BP 9892</v>
      </c>
      <c r="F2658" s="49"/>
      <c r="G2658" s="71" t="s">
        <v>2877</v>
      </c>
      <c r="H2658" s="41"/>
      <c r="I2658" s="42"/>
      <c r="J2658" s="85" t="s">
        <v>1319</v>
      </c>
      <c r="K2658" s="72">
        <v>6.0</v>
      </c>
      <c r="L2658" s="53" t="s">
        <v>62</v>
      </c>
      <c r="M2658" s="73">
        <v>22500.0</v>
      </c>
      <c r="N2658" s="74"/>
      <c r="O2658" s="73">
        <v>135000.0</v>
      </c>
      <c r="P2658" s="46" t="str">
        <f t="shared" si="2"/>
        <v>Rp22,500-6 LSN-0.00%</v>
      </c>
      <c r="Q2658" s="75">
        <v>45419.0</v>
      </c>
      <c r="R2658" s="75">
        <v>45418.0</v>
      </c>
      <c r="S2658" s="75">
        <v>45426.0</v>
      </c>
      <c r="T2658" s="80" t="s">
        <v>280</v>
      </c>
    </row>
    <row r="2659">
      <c r="A2659" s="90">
        <v>76.0</v>
      </c>
      <c r="B2659" s="91" t="s">
        <v>29</v>
      </c>
      <c r="C2659" s="49" t="s">
        <v>2418</v>
      </c>
      <c r="D2659" s="91"/>
      <c r="E2659" s="41" t="s">
        <v>2878</v>
      </c>
      <c r="F2659" s="49"/>
      <c r="G2659" s="71" t="s">
        <v>2878</v>
      </c>
      <c r="H2659" s="41"/>
      <c r="I2659" s="42"/>
      <c r="J2659" s="43"/>
      <c r="K2659" s="72">
        <v>6.0</v>
      </c>
      <c r="L2659" s="53" t="s">
        <v>62</v>
      </c>
      <c r="M2659" s="73">
        <v>24000.0</v>
      </c>
      <c r="N2659" s="74"/>
      <c r="O2659" s="73">
        <v>144000.0</v>
      </c>
      <c r="P2659" s="46" t="str">
        <f t="shared" si="2"/>
        <v>Rp24,000-6 LSN-0.00%</v>
      </c>
      <c r="Q2659" s="75">
        <v>45419.0</v>
      </c>
      <c r="R2659" s="75">
        <v>45418.0</v>
      </c>
      <c r="S2659" s="75">
        <v>45426.0</v>
      </c>
      <c r="T2659" s="49"/>
    </row>
    <row r="2660">
      <c r="A2660" s="90">
        <v>76.0</v>
      </c>
      <c r="B2660" s="91" t="s">
        <v>29</v>
      </c>
      <c r="C2660" s="49" t="s">
        <v>2418</v>
      </c>
      <c r="D2660" s="91" t="s">
        <v>2879</v>
      </c>
      <c r="E2660" s="41" t="str">
        <f>IFERROR(__xludf.DUMMYFUNCTION("vlookup(D2660,IMPORTRANGE(""https://docs.google.com/spreadsheets/d/1swGwZOEqYlTEUCJLY-eeJM1911Kvaei5oySBIxdgtNo/edit?pli=1#gid=257618397"",""stock untanna!B:C""),2,false)"),"BP 7064")</f>
        <v>BP 7064</v>
      </c>
      <c r="F2660" s="49" t="s">
        <v>2879</v>
      </c>
      <c r="G2660" s="71" t="s">
        <v>2880</v>
      </c>
      <c r="H2660" s="41"/>
      <c r="I2660" s="42"/>
      <c r="J2660" s="43"/>
      <c r="K2660" s="72">
        <v>6.0</v>
      </c>
      <c r="L2660" s="53" t="s">
        <v>62</v>
      </c>
      <c r="M2660" s="73">
        <v>15000.0</v>
      </c>
      <c r="N2660" s="74"/>
      <c r="O2660" s="73">
        <v>90000.0</v>
      </c>
      <c r="P2660" s="46" t="str">
        <f t="shared" si="2"/>
        <v>Rp15,000-6 LSN-0.00%</v>
      </c>
      <c r="Q2660" s="75">
        <v>45419.0</v>
      </c>
      <c r="R2660" s="75">
        <v>45418.0</v>
      </c>
      <c r="S2660" s="75">
        <v>45426.0</v>
      </c>
      <c r="T2660" s="49"/>
    </row>
    <row r="2661">
      <c r="A2661" s="90">
        <v>76.0</v>
      </c>
      <c r="B2661" s="91" t="s">
        <v>29</v>
      </c>
      <c r="C2661" s="49" t="s">
        <v>2418</v>
      </c>
      <c r="D2661" s="91" t="s">
        <v>2881</v>
      </c>
      <c r="E2661" s="41" t="str">
        <f>IFERROR(__xludf.DUMMYFUNCTION("vlookup(D2661,IMPORTRANGE(""https://docs.google.com/spreadsheets/d/1swGwZOEqYlTEUCJLY-eeJM1911Kvaei5oySBIxdgtNo/edit?pli=1#gid=257618397"",""stock untanna!B:C""),2,false)"),"BP GELL 585")</f>
        <v>BP GELL 585</v>
      </c>
      <c r="F2661" s="49" t="s">
        <v>2881</v>
      </c>
      <c r="G2661" s="71" t="s">
        <v>2882</v>
      </c>
      <c r="H2661" s="41"/>
      <c r="I2661" s="42"/>
      <c r="J2661" s="43"/>
      <c r="K2661" s="72">
        <v>6.0</v>
      </c>
      <c r="L2661" s="53" t="s">
        <v>62</v>
      </c>
      <c r="M2661" s="73">
        <v>22500.0</v>
      </c>
      <c r="N2661" s="74"/>
      <c r="O2661" s="73">
        <v>135000.0</v>
      </c>
      <c r="P2661" s="46" t="str">
        <f t="shared" si="2"/>
        <v>Rp22,500-6 LSN-0.00%</v>
      </c>
      <c r="Q2661" s="75">
        <v>45419.0</v>
      </c>
      <c r="R2661" s="75">
        <v>45418.0</v>
      </c>
      <c r="S2661" s="75">
        <v>45426.0</v>
      </c>
      <c r="T2661" s="49"/>
    </row>
    <row r="2662">
      <c r="A2662" s="90">
        <v>76.0</v>
      </c>
      <c r="B2662" s="91" t="s">
        <v>29</v>
      </c>
      <c r="C2662" s="49" t="s">
        <v>2418</v>
      </c>
      <c r="D2662" s="91"/>
      <c r="E2662" s="41" t="s">
        <v>2883</v>
      </c>
      <c r="F2662" s="49"/>
      <c r="G2662" s="71" t="s">
        <v>2883</v>
      </c>
      <c r="H2662" s="41"/>
      <c r="I2662" s="42"/>
      <c r="J2662" s="43"/>
      <c r="K2662" s="72">
        <v>6.0</v>
      </c>
      <c r="L2662" s="53" t="s">
        <v>62</v>
      </c>
      <c r="M2662" s="73">
        <v>20000.0</v>
      </c>
      <c r="N2662" s="74"/>
      <c r="O2662" s="73">
        <v>120000.0</v>
      </c>
      <c r="P2662" s="46" t="str">
        <f t="shared" si="2"/>
        <v>Rp20,000-6 LSN-0.00%</v>
      </c>
      <c r="Q2662" s="75">
        <v>45419.0</v>
      </c>
      <c r="R2662" s="75">
        <v>45418.0</v>
      </c>
      <c r="S2662" s="75">
        <v>45426.0</v>
      </c>
      <c r="T2662" s="49"/>
    </row>
    <row r="2663">
      <c r="A2663" s="90">
        <v>76.0</v>
      </c>
      <c r="B2663" s="91" t="s">
        <v>29</v>
      </c>
      <c r="C2663" s="49" t="s">
        <v>2418</v>
      </c>
      <c r="D2663" s="91"/>
      <c r="E2663" s="41" t="s">
        <v>2884</v>
      </c>
      <c r="F2663" s="49"/>
      <c r="G2663" s="71" t="s">
        <v>2884</v>
      </c>
      <c r="H2663" s="41"/>
      <c r="I2663" s="42"/>
      <c r="J2663" s="43"/>
      <c r="K2663" s="72">
        <v>6.0</v>
      </c>
      <c r="L2663" s="53" t="s">
        <v>62</v>
      </c>
      <c r="M2663" s="73">
        <v>22500.0</v>
      </c>
      <c r="N2663" s="74"/>
      <c r="O2663" s="73">
        <v>135000.0</v>
      </c>
      <c r="P2663" s="46" t="str">
        <f t="shared" si="2"/>
        <v>Rp22,500-6 LSN-0.00%</v>
      </c>
      <c r="Q2663" s="75">
        <v>45419.0</v>
      </c>
      <c r="R2663" s="75">
        <v>45418.0</v>
      </c>
      <c r="S2663" s="75">
        <v>45426.0</v>
      </c>
      <c r="T2663" s="49"/>
    </row>
    <row r="2664">
      <c r="A2664" s="90">
        <v>76.0</v>
      </c>
      <c r="B2664" s="91" t="s">
        <v>29</v>
      </c>
      <c r="C2664" s="49" t="s">
        <v>2418</v>
      </c>
      <c r="D2664" s="91" t="s">
        <v>2885</v>
      </c>
      <c r="E2664" s="41" t="str">
        <f>IFERROR(__xludf.DUMMYFUNCTION("vlookup(D2664,IMPORTRANGE(""https://docs.google.com/spreadsheets/d/1swGwZOEqYlTEUCJLY-eeJM1911Kvaei5oySBIxdgtNo/edit?pli=1#gid=257618397"",""stock untanna!B:C""),2,false)"),"JANGKA BESI 4001 BOFA")</f>
        <v>JANGKA BESI 4001 BOFA</v>
      </c>
      <c r="F2664" s="49" t="s">
        <v>2885</v>
      </c>
      <c r="G2664" s="71" t="s">
        <v>2886</v>
      </c>
      <c r="H2664" s="41"/>
      <c r="I2664" s="42"/>
      <c r="J2664" s="43"/>
      <c r="K2664" s="72">
        <v>1.0</v>
      </c>
      <c r="L2664" s="53" t="s">
        <v>62</v>
      </c>
      <c r="M2664" s="73">
        <v>175000.0</v>
      </c>
      <c r="N2664" s="74"/>
      <c r="O2664" s="73">
        <v>175000.0</v>
      </c>
      <c r="P2664" s="46" t="str">
        <f t="shared" si="2"/>
        <v>Rp175,000-1 LSN-0.00%</v>
      </c>
      <c r="Q2664" s="75">
        <v>45419.0</v>
      </c>
      <c r="R2664" s="75">
        <v>45418.0</v>
      </c>
      <c r="S2664" s="75">
        <v>45426.0</v>
      </c>
      <c r="T2664" s="49"/>
    </row>
    <row r="2665">
      <c r="A2665" s="90">
        <v>76.0</v>
      </c>
      <c r="B2665" s="91" t="s">
        <v>29</v>
      </c>
      <c r="C2665" s="49" t="s">
        <v>2418</v>
      </c>
      <c r="D2665" s="91" t="s">
        <v>2887</v>
      </c>
      <c r="E2665" s="41" t="str">
        <f>IFERROR(__xludf.DUMMYFUNCTION("vlookup(D2665,IMPORTRANGE(""https://docs.google.com/spreadsheets/d/1swGwZOEqYlTEUCJLY-eeJM1911Kvaei5oySBIxdgtNo/edit?pli=1#gid=257618397"",""stock untanna!B:C""),2,false)"),"JANGKA TOZCHA TZ 8186")</f>
        <v>JANGKA TOZCHA TZ 8186</v>
      </c>
      <c r="F2665" s="49" t="s">
        <v>2887</v>
      </c>
      <c r="G2665" s="71" t="s">
        <v>2888</v>
      </c>
      <c r="H2665" s="41"/>
      <c r="I2665" s="42"/>
      <c r="J2665" s="43"/>
      <c r="K2665" s="72">
        <v>1.0</v>
      </c>
      <c r="L2665" s="53" t="s">
        <v>62</v>
      </c>
      <c r="M2665" s="73">
        <v>65000.0</v>
      </c>
      <c r="N2665" s="74"/>
      <c r="O2665" s="73">
        <v>65000.0</v>
      </c>
      <c r="P2665" s="46" t="str">
        <f t="shared" si="2"/>
        <v>Rp65,000-1 LSN-0.00%</v>
      </c>
      <c r="Q2665" s="75">
        <v>45419.0</v>
      </c>
      <c r="R2665" s="75">
        <v>45418.0</v>
      </c>
      <c r="S2665" s="75">
        <v>45426.0</v>
      </c>
      <c r="T2665" s="49"/>
    </row>
    <row r="2666">
      <c r="A2666" s="90">
        <v>76.0</v>
      </c>
      <c r="B2666" s="91" t="s">
        <v>29</v>
      </c>
      <c r="C2666" s="49" t="s">
        <v>2418</v>
      </c>
      <c r="D2666" s="91"/>
      <c r="E2666" s="41" t="s">
        <v>333</v>
      </c>
      <c r="F2666" s="49"/>
      <c r="G2666" s="71" t="s">
        <v>333</v>
      </c>
      <c r="H2666" s="41"/>
      <c r="I2666" s="42"/>
      <c r="J2666" s="43"/>
      <c r="K2666" s="72">
        <v>10.0</v>
      </c>
      <c r="L2666" s="53" t="s">
        <v>69</v>
      </c>
      <c r="M2666" s="73">
        <v>50000.0</v>
      </c>
      <c r="N2666" s="74"/>
      <c r="O2666" s="73">
        <v>500000.0</v>
      </c>
      <c r="P2666" s="46" t="str">
        <f t="shared" si="2"/>
        <v>Rp50,000-10 PCS-0.00%</v>
      </c>
      <c r="Q2666" s="75">
        <v>45419.0</v>
      </c>
      <c r="R2666" s="75">
        <v>45418.0</v>
      </c>
      <c r="S2666" s="75">
        <v>45426.0</v>
      </c>
      <c r="T2666" s="80" t="s">
        <v>280</v>
      </c>
    </row>
    <row r="2667">
      <c r="A2667" s="90">
        <v>77.0</v>
      </c>
      <c r="B2667" s="91" t="s">
        <v>29</v>
      </c>
      <c r="C2667" s="49" t="s">
        <v>2418</v>
      </c>
      <c r="D2667" s="91" t="s">
        <v>197</v>
      </c>
      <c r="E2667" s="41" t="str">
        <f>IFERROR(__xludf.DUMMYFUNCTION("vlookup(D2667,IMPORTRANGE(""https://docs.google.com/spreadsheets/d/1swGwZOEqYlTEUCJLY-eeJM1911Kvaei5oySBIxdgtNo/edit?pli=1#gid=257618397"",""stock untanna!B:C""),2,false)"),"BP TF G-3114 0.3MM HIGHTECH KNOCK")</f>
        <v>BP TF G-3114 0.3MM HIGHTECH KNOCK</v>
      </c>
      <c r="F2667" s="49" t="s">
        <v>197</v>
      </c>
      <c r="G2667" s="71" t="s">
        <v>198</v>
      </c>
      <c r="H2667" s="41"/>
      <c r="I2667" s="42"/>
      <c r="J2667" s="43"/>
      <c r="K2667" s="72">
        <v>12.0</v>
      </c>
      <c r="L2667" s="53" t="s">
        <v>62</v>
      </c>
      <c r="M2667" s="73">
        <v>40000.0</v>
      </c>
      <c r="N2667" s="74"/>
      <c r="O2667" s="73">
        <v>480000.0</v>
      </c>
      <c r="P2667" s="46" t="str">
        <f t="shared" si="2"/>
        <v>Rp40,000-12 LSN-0.00%</v>
      </c>
      <c r="Q2667" s="75">
        <v>45419.0</v>
      </c>
      <c r="R2667" s="75">
        <v>45418.0</v>
      </c>
      <c r="S2667" s="75">
        <v>45426.0</v>
      </c>
      <c r="T2667" s="49"/>
    </row>
    <row r="2668">
      <c r="A2668" s="90">
        <v>77.0</v>
      </c>
      <c r="B2668" s="91" t="s">
        <v>29</v>
      </c>
      <c r="C2668" s="49" t="s">
        <v>2418</v>
      </c>
      <c r="D2668" s="91" t="s">
        <v>772</v>
      </c>
      <c r="E2668" s="41" t="str">
        <f>IFERROR(__xludf.DUMMYFUNCTION("vlookup(D2668,IMPORTRANGE(""https://docs.google.com/spreadsheets/d/1swGwZOEqYlTEUCJLY-eeJM1911Kvaei5oySBIxdgtNo/edit?pli=1#gid=257618397"",""stock untanna!B:C""),2,false)"),"MECHPEN DF 125")</f>
        <v>MECHPEN DF 125</v>
      </c>
      <c r="F2668" s="49" t="s">
        <v>772</v>
      </c>
      <c r="G2668" s="71" t="s">
        <v>773</v>
      </c>
      <c r="H2668" s="41"/>
      <c r="I2668" s="42"/>
      <c r="J2668" s="43"/>
      <c r="K2668" s="72">
        <v>6.0</v>
      </c>
      <c r="L2668" s="53" t="s">
        <v>62</v>
      </c>
      <c r="M2668" s="73">
        <v>25000.0</v>
      </c>
      <c r="N2668" s="74"/>
      <c r="O2668" s="73">
        <v>150000.0</v>
      </c>
      <c r="P2668" s="46" t="str">
        <f t="shared" si="2"/>
        <v>Rp25,000-6 LSN-0.00%</v>
      </c>
      <c r="Q2668" s="75">
        <v>45419.0</v>
      </c>
      <c r="R2668" s="75">
        <v>45418.0</v>
      </c>
      <c r="S2668" s="75">
        <v>45426.0</v>
      </c>
      <c r="T2668" s="49"/>
    </row>
    <row r="2669">
      <c r="A2669" s="90">
        <v>77.0</v>
      </c>
      <c r="B2669" s="91" t="s">
        <v>29</v>
      </c>
      <c r="C2669" s="49" t="s">
        <v>2418</v>
      </c>
      <c r="D2669" s="91"/>
      <c r="E2669" s="41" t="s">
        <v>135</v>
      </c>
      <c r="F2669" s="49"/>
      <c r="G2669" s="71" t="s">
        <v>135</v>
      </c>
      <c r="H2669" s="41"/>
      <c r="I2669" s="42"/>
      <c r="J2669" s="43"/>
      <c r="K2669" s="72">
        <v>1.0</v>
      </c>
      <c r="L2669" s="53" t="s">
        <v>131</v>
      </c>
      <c r="M2669" s="73">
        <v>110000.0</v>
      </c>
      <c r="N2669" s="74"/>
      <c r="O2669" s="73">
        <v>110000.0</v>
      </c>
      <c r="P2669" s="46" t="str">
        <f t="shared" si="2"/>
        <v>Rp110,000-1 GRS-0.00%</v>
      </c>
      <c r="Q2669" s="75">
        <v>45419.0</v>
      </c>
      <c r="R2669" s="75">
        <v>45418.0</v>
      </c>
      <c r="S2669" s="75">
        <v>45426.0</v>
      </c>
      <c r="T2669" s="49"/>
    </row>
    <row r="2670">
      <c r="A2670" s="90">
        <v>77.0</v>
      </c>
      <c r="B2670" s="91" t="s">
        <v>29</v>
      </c>
      <c r="C2670" s="49" t="s">
        <v>2418</v>
      </c>
      <c r="D2670" s="91" t="s">
        <v>132</v>
      </c>
      <c r="E2670" s="41" t="str">
        <f>IFERROR(__xludf.DUMMYFUNCTION("vlookup(D2670,IMPORTRANGE(""https://docs.google.com/spreadsheets/d/1swGwZOEqYlTEUCJLY-eeJM1911Kvaei5oySBIxdgtNo/edit?pli=1#gid=257618397"",""stock untanna!B:C""),2,false)"),"PENSIL TF 488")</f>
        <v>PENSIL TF 488</v>
      </c>
      <c r="F2670" s="49" t="s">
        <v>132</v>
      </c>
      <c r="G2670" s="71" t="s">
        <v>133</v>
      </c>
      <c r="H2670" s="41"/>
      <c r="I2670" s="42"/>
      <c r="J2670" s="43"/>
      <c r="K2670" s="72">
        <v>1.0</v>
      </c>
      <c r="L2670" s="53" t="s">
        <v>131</v>
      </c>
      <c r="M2670" s="73">
        <v>110000.0</v>
      </c>
      <c r="N2670" s="74"/>
      <c r="O2670" s="73">
        <v>110000.0</v>
      </c>
      <c r="P2670" s="46" t="str">
        <f t="shared" si="2"/>
        <v>Rp110,000-1 GRS-0.00%</v>
      </c>
      <c r="Q2670" s="75">
        <v>45419.0</v>
      </c>
      <c r="R2670" s="75">
        <v>45418.0</v>
      </c>
      <c r="S2670" s="75">
        <v>45426.0</v>
      </c>
      <c r="T2670" s="49"/>
    </row>
    <row r="2671">
      <c r="A2671" s="90">
        <v>77.0</v>
      </c>
      <c r="B2671" s="91" t="s">
        <v>29</v>
      </c>
      <c r="C2671" s="49" t="s">
        <v>2418</v>
      </c>
      <c r="D2671" s="91" t="s">
        <v>2889</v>
      </c>
      <c r="E2671" s="41" t="str">
        <f>IFERROR(__xludf.DUMMYFUNCTION("vlookup(D2671,IMPORTRANGE(""https://docs.google.com/spreadsheets/d/1swGwZOEqYlTEUCJLY-eeJM1911Kvaei5oySBIxdgtNo/edit?pli=1#gid=257618397"",""stock untanna!B:C""),2,false)"),"PENSIL TF 288")</f>
        <v>PENSIL TF 288</v>
      </c>
      <c r="F2671" s="49" t="s">
        <v>2889</v>
      </c>
      <c r="G2671" s="71" t="s">
        <v>2890</v>
      </c>
      <c r="H2671" s="41"/>
      <c r="I2671" s="42"/>
      <c r="J2671" s="43"/>
      <c r="K2671" s="72">
        <v>1.0</v>
      </c>
      <c r="L2671" s="53" t="s">
        <v>131</v>
      </c>
      <c r="M2671" s="73">
        <v>110000.0</v>
      </c>
      <c r="N2671" s="74"/>
      <c r="O2671" s="73">
        <v>110000.0</v>
      </c>
      <c r="P2671" s="46" t="str">
        <f t="shared" si="2"/>
        <v>Rp110,000-1 GRS-0.00%</v>
      </c>
      <c r="Q2671" s="75">
        <v>45419.0</v>
      </c>
      <c r="R2671" s="75">
        <v>45418.0</v>
      </c>
      <c r="S2671" s="75">
        <v>45426.0</v>
      </c>
      <c r="T2671" s="49"/>
    </row>
    <row r="2672">
      <c r="A2672" s="90">
        <v>77.0</v>
      </c>
      <c r="B2672" s="91" t="s">
        <v>29</v>
      </c>
      <c r="C2672" s="49" t="s">
        <v>2418</v>
      </c>
      <c r="D2672" s="77" t="s">
        <v>136</v>
      </c>
      <c r="E2672" s="41" t="str">
        <f>IFERROR(__xludf.DUMMYFUNCTION("IFNA(vlookup(D2672,IMPORTRANGE(""https://docs.google.com/spreadsheets/d/1swGwZOEqYlTEUCJLY-eeJM1911Kvaei5oySBIxdgtNo/edit?pli=1#gid=257618397"",""stock untanna!B:C""),2,false),V:V)"),"PENSIL TF 168")</f>
        <v>PENSIL TF 168</v>
      </c>
      <c r="F2672" s="49"/>
      <c r="G2672" s="71" t="s">
        <v>137</v>
      </c>
      <c r="H2672" s="41"/>
      <c r="I2672" s="42"/>
      <c r="J2672" s="43" t="str">
        <f>IF(D2672="","TIDAK ADA","ADA")</f>
        <v>ADA</v>
      </c>
      <c r="K2672" s="72">
        <v>1.0</v>
      </c>
      <c r="L2672" s="53" t="s">
        <v>131</v>
      </c>
      <c r="M2672" s="73">
        <v>110000.0</v>
      </c>
      <c r="N2672" s="74"/>
      <c r="O2672" s="73">
        <v>110000.0</v>
      </c>
      <c r="P2672" s="46" t="str">
        <f t="shared" si="2"/>
        <v>Rp110,000-1 GRS-0.00%</v>
      </c>
      <c r="Q2672" s="75">
        <v>45419.0</v>
      </c>
      <c r="R2672" s="75">
        <v>45418.0</v>
      </c>
      <c r="S2672" s="75">
        <v>45426.0</v>
      </c>
      <c r="T2672" s="80" t="s">
        <v>280</v>
      </c>
    </row>
    <row r="2673">
      <c r="A2673" s="90">
        <v>77.0</v>
      </c>
      <c r="B2673" s="91" t="s">
        <v>29</v>
      </c>
      <c r="C2673" s="49" t="s">
        <v>2418</v>
      </c>
      <c r="D2673" s="91" t="s">
        <v>2665</v>
      </c>
      <c r="E2673" s="41" t="str">
        <f>IFERROR(__xludf.DUMMYFUNCTION("vlookup(D2673,IMPORTRANGE(""https://docs.google.com/spreadsheets/d/1swGwZOEqYlTEUCJLY-eeJM1911Kvaei5oySBIxdgtNo/edit?pli=1#gid=257618397"",""stock untanna!B:C""),2,false)"),"PENSIL 2B COWRY FANCY")</f>
        <v>PENSIL 2B COWRY FANCY</v>
      </c>
      <c r="F2673" s="49" t="s">
        <v>2665</v>
      </c>
      <c r="G2673" s="71" t="s">
        <v>2666</v>
      </c>
      <c r="H2673" s="41"/>
      <c r="I2673" s="42"/>
      <c r="J2673" s="43"/>
      <c r="K2673" s="72">
        <v>1.0</v>
      </c>
      <c r="L2673" s="53" t="s">
        <v>131</v>
      </c>
      <c r="M2673" s="73">
        <v>50000.0</v>
      </c>
      <c r="N2673" s="74"/>
      <c r="O2673" s="73">
        <v>50000.0</v>
      </c>
      <c r="P2673" s="46" t="str">
        <f t="shared" si="2"/>
        <v>Rp50,000-1 GRS-0.00%</v>
      </c>
      <c r="Q2673" s="75">
        <v>45419.0</v>
      </c>
      <c r="R2673" s="75">
        <v>45418.0</v>
      </c>
      <c r="S2673" s="75">
        <v>45426.0</v>
      </c>
      <c r="T2673" s="49"/>
    </row>
    <row r="2674">
      <c r="A2674" s="90">
        <v>77.0</v>
      </c>
      <c r="B2674" s="91" t="s">
        <v>29</v>
      </c>
      <c r="C2674" s="49" t="s">
        <v>2418</v>
      </c>
      <c r="D2674" s="91" t="s">
        <v>1656</v>
      </c>
      <c r="E2674" s="41" t="str">
        <f>IFERROR(__xludf.DUMMYFUNCTION("vlookup(D2674,IMPORTRANGE(""https://docs.google.com/spreadsheets/d/1swGwZOEqYlTEUCJLY-eeJM1911Kvaei5oySBIxdgtNo/edit?pli=1#gid=257618397"",""stock untanna!B:C""),2,false)"),"PENSIL 2B KAYAGI 3041")</f>
        <v>PENSIL 2B KAYAGI 3041</v>
      </c>
      <c r="F2674" s="49" t="s">
        <v>1656</v>
      </c>
      <c r="G2674" s="71" t="s">
        <v>1657</v>
      </c>
      <c r="H2674" s="41"/>
      <c r="I2674" s="42"/>
      <c r="J2674" s="43"/>
      <c r="K2674" s="72">
        <v>1.0</v>
      </c>
      <c r="L2674" s="53" t="s">
        <v>131</v>
      </c>
      <c r="M2674" s="73">
        <v>115000.0</v>
      </c>
      <c r="N2674" s="74"/>
      <c r="O2674" s="73">
        <v>115000.0</v>
      </c>
      <c r="P2674" s="46" t="str">
        <f t="shared" si="2"/>
        <v>Rp115,000-1 GRS-0.00%</v>
      </c>
      <c r="Q2674" s="75">
        <v>45419.0</v>
      </c>
      <c r="R2674" s="75">
        <v>45418.0</v>
      </c>
      <c r="S2674" s="75">
        <v>45426.0</v>
      </c>
      <c r="T2674" s="49"/>
    </row>
    <row r="2675">
      <c r="A2675" s="90">
        <v>77.0</v>
      </c>
      <c r="B2675" s="91" t="s">
        <v>29</v>
      </c>
      <c r="C2675" s="49" t="s">
        <v>2418</v>
      </c>
      <c r="D2675" s="91" t="s">
        <v>969</v>
      </c>
      <c r="E2675" s="41" t="str">
        <f>IFERROR(__xludf.DUMMYFUNCTION("vlookup(D2675,IMPORTRANGE(""https://docs.google.com/spreadsheets/d/1swGwZOEqYlTEUCJLY-eeJM1911Kvaei5oySBIxdgtNo/edit?pli=1#gid=257618397"",""stock untanna!B:C""),2,false)"),"PENSIL 2B KAYAGI PF3051L")</f>
        <v>PENSIL 2B KAYAGI PF3051L</v>
      </c>
      <c r="F2675" s="49" t="s">
        <v>969</v>
      </c>
      <c r="G2675" s="71" t="s">
        <v>970</v>
      </c>
      <c r="H2675" s="41"/>
      <c r="I2675" s="42"/>
      <c r="J2675" s="43"/>
      <c r="K2675" s="72">
        <v>1.0</v>
      </c>
      <c r="L2675" s="53" t="s">
        <v>131</v>
      </c>
      <c r="M2675" s="73">
        <v>115000.0</v>
      </c>
      <c r="N2675" s="74"/>
      <c r="O2675" s="73">
        <v>115000.0</v>
      </c>
      <c r="P2675" s="46" t="str">
        <f t="shared" si="2"/>
        <v>Rp115,000-1 GRS-0.00%</v>
      </c>
      <c r="Q2675" s="75">
        <v>45419.0</v>
      </c>
      <c r="R2675" s="75">
        <v>45418.0</v>
      </c>
      <c r="S2675" s="75">
        <v>45426.0</v>
      </c>
      <c r="T2675" s="49"/>
    </row>
    <row r="2676">
      <c r="A2676" s="90">
        <v>77.0</v>
      </c>
      <c r="B2676" s="91" t="s">
        <v>29</v>
      </c>
      <c r="C2676" s="49" t="s">
        <v>2418</v>
      </c>
      <c r="D2676" s="91"/>
      <c r="E2676" s="41" t="s">
        <v>2891</v>
      </c>
      <c r="F2676" s="49"/>
      <c r="G2676" s="71" t="s">
        <v>2891</v>
      </c>
      <c r="H2676" s="41"/>
      <c r="I2676" s="42"/>
      <c r="J2676" s="43"/>
      <c r="K2676" s="72">
        <v>1.0</v>
      </c>
      <c r="L2676" s="53" t="s">
        <v>131</v>
      </c>
      <c r="M2676" s="73">
        <v>60000.0</v>
      </c>
      <c r="N2676" s="74"/>
      <c r="O2676" s="73">
        <v>60000.0</v>
      </c>
      <c r="P2676" s="46" t="str">
        <f t="shared" si="2"/>
        <v>Rp60,000-1 GRS-0.00%</v>
      </c>
      <c r="Q2676" s="75">
        <v>45419.0</v>
      </c>
      <c r="R2676" s="75">
        <v>45418.0</v>
      </c>
      <c r="S2676" s="75">
        <v>45426.0</v>
      </c>
      <c r="T2676" s="49"/>
    </row>
    <row r="2677">
      <c r="A2677" s="90">
        <v>77.0</v>
      </c>
      <c r="B2677" s="91" t="s">
        <v>29</v>
      </c>
      <c r="C2677" s="49" t="s">
        <v>2418</v>
      </c>
      <c r="D2677" s="91"/>
      <c r="E2677" s="41" t="s">
        <v>2892</v>
      </c>
      <c r="F2677" s="49"/>
      <c r="G2677" s="71" t="s">
        <v>2892</v>
      </c>
      <c r="H2677" s="41"/>
      <c r="I2677" s="42"/>
      <c r="J2677" s="43"/>
      <c r="K2677" s="72">
        <v>12.0</v>
      </c>
      <c r="L2677" s="53" t="s">
        <v>62</v>
      </c>
      <c r="M2677" s="73">
        <v>25000.0</v>
      </c>
      <c r="N2677" s="74"/>
      <c r="O2677" s="73">
        <v>300000.0</v>
      </c>
      <c r="P2677" s="46" t="str">
        <f t="shared" si="2"/>
        <v>Rp25,000-12 LSN-0.00%</v>
      </c>
      <c r="Q2677" s="75">
        <v>45419.0</v>
      </c>
      <c r="R2677" s="75">
        <v>45418.0</v>
      </c>
      <c r="S2677" s="75">
        <v>45426.0</v>
      </c>
      <c r="T2677" s="49"/>
    </row>
    <row r="2678">
      <c r="A2678" s="90">
        <v>77.0</v>
      </c>
      <c r="B2678" s="91" t="s">
        <v>29</v>
      </c>
      <c r="C2678" s="49" t="s">
        <v>2418</v>
      </c>
      <c r="D2678" s="77" t="s">
        <v>2893</v>
      </c>
      <c r="E2678" s="41" t="str">
        <f>IFERROR(__xludf.DUMMYFUNCTION("vlookup(D2678,IMPORTRANGE(""https://docs.google.com/spreadsheets/d/1swGwZOEqYlTEUCJLY-eeJM1911Kvaei5oySBIxdgtNo/edit?pli=1#gid=257618397"",""stock untanna!B:C""),2,false)"),"GARISAN ALUMINIUM 30CM 1530")</f>
        <v>GARISAN ALUMINIUM 30CM 1530</v>
      </c>
      <c r="F2678" s="49" t="s">
        <v>2894</v>
      </c>
      <c r="G2678" s="71" t="s">
        <v>2895</v>
      </c>
      <c r="H2678" s="41"/>
      <c r="I2678" s="42"/>
      <c r="J2678" s="43"/>
      <c r="K2678" s="72">
        <v>24.0</v>
      </c>
      <c r="L2678" s="53" t="s">
        <v>69</v>
      </c>
      <c r="M2678" s="73">
        <v>5833.0</v>
      </c>
      <c r="N2678" s="74"/>
      <c r="O2678" s="73">
        <v>139992.0</v>
      </c>
      <c r="P2678" s="46" t="str">
        <f t="shared" si="2"/>
        <v>Rp5,833-24 PCS-0.00%</v>
      </c>
      <c r="Q2678" s="75">
        <v>45419.0</v>
      </c>
      <c r="R2678" s="75">
        <v>45418.0</v>
      </c>
      <c r="S2678" s="75">
        <v>45426.0</v>
      </c>
      <c r="T2678" s="49"/>
    </row>
    <row r="2679">
      <c r="A2679" s="90">
        <v>77.0</v>
      </c>
      <c r="B2679" s="91" t="s">
        <v>29</v>
      </c>
      <c r="C2679" s="49" t="s">
        <v>2418</v>
      </c>
      <c r="D2679" s="77" t="s">
        <v>344</v>
      </c>
      <c r="E2679" s="41" t="str">
        <f>IFERROR(__xludf.DUMMYFUNCTION("vlookup(D2679,IMPORTRANGE(""https://docs.google.com/spreadsheets/d/1swGwZOEqYlTEUCJLY-eeJM1911Kvaei5oySBIxdgtNo/edit?pli=1#gid=257618397"",""stock untanna!B:C""),2,false)"),"GARISAN BESI 30CM 5030 YOEKER ORANGE")</f>
        <v>GARISAN BESI 30CM 5030 YOEKER ORANGE</v>
      </c>
      <c r="F2679" s="49" t="s">
        <v>345</v>
      </c>
      <c r="G2679" s="78" t="s">
        <v>346</v>
      </c>
      <c r="H2679" s="41"/>
      <c r="I2679" s="42"/>
      <c r="J2679" s="43"/>
      <c r="K2679" s="72">
        <v>3.0</v>
      </c>
      <c r="L2679" s="53" t="s">
        <v>62</v>
      </c>
      <c r="M2679" s="73">
        <v>35000.0</v>
      </c>
      <c r="N2679" s="74"/>
      <c r="O2679" s="73">
        <v>105000.0</v>
      </c>
      <c r="P2679" s="46" t="str">
        <f t="shared" si="2"/>
        <v>Rp35,000-3 LSN-0.00%</v>
      </c>
      <c r="Q2679" s="75">
        <v>45419.0</v>
      </c>
      <c r="R2679" s="75">
        <v>45418.0</v>
      </c>
      <c r="S2679" s="75">
        <v>45426.0</v>
      </c>
      <c r="T2679" s="49"/>
    </row>
    <row r="2680">
      <c r="A2680" s="90">
        <v>77.0</v>
      </c>
      <c r="B2680" s="91" t="s">
        <v>29</v>
      </c>
      <c r="C2680" s="49" t="s">
        <v>2418</v>
      </c>
      <c r="D2680" s="91" t="s">
        <v>389</v>
      </c>
      <c r="E2680" s="41" t="str">
        <f>IFERROR(__xludf.DUMMYFUNCTION("vlookup(D2680,IMPORTRANGE(""https://docs.google.com/spreadsheets/d/1swGwZOEqYlTEUCJLY-eeJM1911Kvaei5oySBIxdgtNo/edit?pli=1#gid=257618397"",""stock untanna!B:C""),2,false)"),"GARISAN ZH-251 20 CM")</f>
        <v>GARISAN ZH-251 20 CM</v>
      </c>
      <c r="F2680" s="49" t="s">
        <v>389</v>
      </c>
      <c r="G2680" s="71" t="s">
        <v>390</v>
      </c>
      <c r="H2680" s="41"/>
      <c r="I2680" s="42"/>
      <c r="J2680" s="43"/>
      <c r="K2680" s="72">
        <v>80.0</v>
      </c>
      <c r="L2680" s="53" t="s">
        <v>69</v>
      </c>
      <c r="M2680" s="73">
        <v>1750.0</v>
      </c>
      <c r="N2680" s="74"/>
      <c r="O2680" s="73">
        <v>140000.0</v>
      </c>
      <c r="P2680" s="46" t="str">
        <f t="shared" si="2"/>
        <v>Rp1,750-80 PCS-0.00%</v>
      </c>
      <c r="Q2680" s="75">
        <v>45419.0</v>
      </c>
      <c r="R2680" s="75">
        <v>45418.0</v>
      </c>
      <c r="S2680" s="75">
        <v>45426.0</v>
      </c>
      <c r="T2680" s="49"/>
    </row>
    <row r="2681">
      <c r="A2681" s="90">
        <v>77.0</v>
      </c>
      <c r="B2681" s="91" t="s">
        <v>29</v>
      </c>
      <c r="C2681" s="49" t="s">
        <v>2418</v>
      </c>
      <c r="D2681" s="91" t="s">
        <v>383</v>
      </c>
      <c r="E2681" s="41" t="str">
        <f>IFERROR(__xludf.DUMMYFUNCTION("vlookup(D2681,IMPORTRANGE(""https://docs.google.com/spreadsheets/d/1swGwZOEqYlTEUCJLY-eeJM1911Kvaei5oySBIxdgtNo/edit?pli=1#gid=257618397"",""stock untanna!B:C""),2,false)"),"GARISAN BC-6018")</f>
        <v>GARISAN BC-6018</v>
      </c>
      <c r="F2681" s="49" t="s">
        <v>383</v>
      </c>
      <c r="G2681" s="71" t="s">
        <v>384</v>
      </c>
      <c r="H2681" s="41"/>
      <c r="I2681" s="42"/>
      <c r="J2681" s="43"/>
      <c r="K2681" s="72">
        <v>50.0</v>
      </c>
      <c r="L2681" s="53" t="s">
        <v>69</v>
      </c>
      <c r="M2681" s="73">
        <v>4375.0</v>
      </c>
      <c r="N2681" s="74"/>
      <c r="O2681" s="73">
        <v>218750.0</v>
      </c>
      <c r="P2681" s="46" t="str">
        <f t="shared" si="2"/>
        <v>Rp4,375-50 PCS-0.00%</v>
      </c>
      <c r="Q2681" s="75">
        <v>45419.0</v>
      </c>
      <c r="R2681" s="75">
        <v>45418.0</v>
      </c>
      <c r="S2681" s="75">
        <v>45426.0</v>
      </c>
      <c r="T2681" s="49"/>
    </row>
    <row r="2682">
      <c r="A2682" s="90">
        <v>77.0</v>
      </c>
      <c r="B2682" s="91" t="s">
        <v>29</v>
      </c>
      <c r="C2682" s="49" t="s">
        <v>2418</v>
      </c>
      <c r="D2682" s="91" t="s">
        <v>125</v>
      </c>
      <c r="E2682" s="41" t="str">
        <f>IFERROR(__xludf.DUMMYFUNCTION("vlookup(D2682,IMPORTRANGE(""https://docs.google.com/spreadsheets/d/1swGwZOEqYlTEUCJLY-eeJM1911Kvaei5oySBIxdgtNo/edit?pli=1#gid=257618397"",""stock untanna!B:C""),2,false)"),"GARISAN BESI V-TRO 30CM")</f>
        <v>GARISAN BESI V-TRO 30CM</v>
      </c>
      <c r="F2682" s="49" t="s">
        <v>125</v>
      </c>
      <c r="G2682" s="71" t="s">
        <v>126</v>
      </c>
      <c r="H2682" s="41"/>
      <c r="I2682" s="42"/>
      <c r="J2682" s="43"/>
      <c r="K2682" s="72">
        <v>3.0</v>
      </c>
      <c r="L2682" s="53" t="s">
        <v>62</v>
      </c>
      <c r="M2682" s="73">
        <v>35000.0</v>
      </c>
      <c r="N2682" s="74"/>
      <c r="O2682" s="73">
        <v>105000.0</v>
      </c>
      <c r="P2682" s="46" t="str">
        <f t="shared" si="2"/>
        <v>Rp35,000-3 LSN-0.00%</v>
      </c>
      <c r="Q2682" s="75">
        <v>45419.0</v>
      </c>
      <c r="R2682" s="75">
        <v>45418.0</v>
      </c>
      <c r="S2682" s="75">
        <v>45426.0</v>
      </c>
      <c r="T2682" s="49"/>
    </row>
    <row r="2683">
      <c r="A2683" s="90">
        <v>78.0</v>
      </c>
      <c r="B2683" s="91" t="s">
        <v>29</v>
      </c>
      <c r="C2683" s="49" t="s">
        <v>2418</v>
      </c>
      <c r="D2683" s="91"/>
      <c r="E2683" s="41" t="s">
        <v>2896</v>
      </c>
      <c r="F2683" s="49"/>
      <c r="G2683" s="71" t="s">
        <v>2896</v>
      </c>
      <c r="H2683" s="41"/>
      <c r="I2683" s="42"/>
      <c r="J2683" s="43"/>
      <c r="K2683" s="72">
        <v>3.0</v>
      </c>
      <c r="L2683" s="53" t="s">
        <v>88</v>
      </c>
      <c r="M2683" s="73">
        <v>35000.0</v>
      </c>
      <c r="N2683" s="74"/>
      <c r="O2683" s="73">
        <v>105000.0</v>
      </c>
      <c r="P2683" s="46" t="str">
        <f t="shared" si="2"/>
        <v>Rp35,000-3 BOX-0.00%</v>
      </c>
      <c r="Q2683" s="75">
        <v>45419.0</v>
      </c>
      <c r="R2683" s="75">
        <v>45418.0</v>
      </c>
      <c r="S2683" s="75">
        <v>45426.0</v>
      </c>
      <c r="T2683" s="49"/>
    </row>
    <row r="2684">
      <c r="A2684" s="90">
        <v>78.0</v>
      </c>
      <c r="B2684" s="91" t="s">
        <v>29</v>
      </c>
      <c r="C2684" s="49" t="s">
        <v>2418</v>
      </c>
      <c r="D2684" s="91"/>
      <c r="E2684" s="41" t="s">
        <v>446</v>
      </c>
      <c r="F2684" s="49"/>
      <c r="G2684" s="71" t="s">
        <v>446</v>
      </c>
      <c r="H2684" s="41"/>
      <c r="I2684" s="42"/>
      <c r="J2684" s="43"/>
      <c r="K2684" s="72">
        <v>48.0</v>
      </c>
      <c r="L2684" s="53" t="s">
        <v>69</v>
      </c>
      <c r="M2684" s="73">
        <v>2600.0</v>
      </c>
      <c r="N2684" s="74"/>
      <c r="O2684" s="73">
        <v>124800.0</v>
      </c>
      <c r="P2684" s="46" t="str">
        <f t="shared" si="2"/>
        <v>Rp2,600-48 PCS-0.00%</v>
      </c>
      <c r="Q2684" s="75">
        <v>45419.0</v>
      </c>
      <c r="R2684" s="75">
        <v>45418.0</v>
      </c>
      <c r="S2684" s="75">
        <v>45426.0</v>
      </c>
      <c r="T2684" s="49"/>
    </row>
    <row r="2685">
      <c r="A2685" s="90">
        <v>78.0</v>
      </c>
      <c r="B2685" s="91" t="s">
        <v>29</v>
      </c>
      <c r="C2685" s="49" t="s">
        <v>2418</v>
      </c>
      <c r="D2685" s="91"/>
      <c r="E2685" s="41" t="s">
        <v>2897</v>
      </c>
      <c r="F2685" s="49"/>
      <c r="G2685" s="71" t="s">
        <v>2897</v>
      </c>
      <c r="H2685" s="41"/>
      <c r="I2685" s="42"/>
      <c r="J2685" s="43"/>
      <c r="K2685" s="72">
        <v>1.0</v>
      </c>
      <c r="L2685" s="53" t="s">
        <v>62</v>
      </c>
      <c r="M2685" s="73">
        <v>325000.0</v>
      </c>
      <c r="N2685" s="74"/>
      <c r="O2685" s="73">
        <v>325000.0</v>
      </c>
      <c r="P2685" s="46" t="str">
        <f t="shared" si="2"/>
        <v>Rp325,000-1 LSN-0.00%</v>
      </c>
      <c r="Q2685" s="75">
        <v>45419.0</v>
      </c>
      <c r="R2685" s="75">
        <v>45418.0</v>
      </c>
      <c r="S2685" s="75">
        <v>45426.0</v>
      </c>
      <c r="T2685" s="49"/>
    </row>
    <row r="2686">
      <c r="A2686" s="90">
        <v>78.0</v>
      </c>
      <c r="B2686" s="91" t="s">
        <v>29</v>
      </c>
      <c r="C2686" s="49" t="s">
        <v>2418</v>
      </c>
      <c r="D2686" s="91" t="s">
        <v>1190</v>
      </c>
      <c r="E2686" s="41" t="str">
        <f>IFERROR(__xludf.DUMMYFUNCTION("vlookup(D2686,IMPORTRANGE(""https://docs.google.com/spreadsheets/d/1swGwZOEqYlTEUCJLY-eeJM1911Kvaei5oySBIxdgtNo/edit?pli=1#gid=257618397"",""stock untanna!B:C""),2,false)"),"BENSIA 10LM1 (6209)")</f>
        <v>BENSIA 10LM1 (6209)</v>
      </c>
      <c r="F2686" s="49" t="s">
        <v>1190</v>
      </c>
      <c r="G2686" s="71" t="s">
        <v>1191</v>
      </c>
      <c r="H2686" s="41"/>
      <c r="I2686" s="42"/>
      <c r="J2686" s="43"/>
      <c r="K2686" s="72">
        <v>1.0</v>
      </c>
      <c r="L2686" s="53" t="s">
        <v>88</v>
      </c>
      <c r="M2686" s="73">
        <v>130000.0</v>
      </c>
      <c r="N2686" s="74"/>
      <c r="O2686" s="73">
        <v>130000.0</v>
      </c>
      <c r="P2686" s="46" t="str">
        <f t="shared" si="2"/>
        <v>Rp130,000-1 BOX-0.00%</v>
      </c>
      <c r="Q2686" s="75">
        <v>45419.0</v>
      </c>
      <c r="R2686" s="75">
        <v>45418.0</v>
      </c>
      <c r="S2686" s="75">
        <v>45426.0</v>
      </c>
      <c r="T2686" s="49"/>
    </row>
    <row r="2687">
      <c r="A2687" s="90">
        <v>78.0</v>
      </c>
      <c r="B2687" s="91" t="s">
        <v>29</v>
      </c>
      <c r="C2687" s="49" t="s">
        <v>2418</v>
      </c>
      <c r="D2687" s="91" t="s">
        <v>1438</v>
      </c>
      <c r="E2687" s="41" t="str">
        <f>IFERROR(__xludf.DUMMYFUNCTION("vlookup(D2687,IMPORTRANGE(""https://docs.google.com/spreadsheets/d/1swGwZOEqYlTEUCJLY-eeJM1911Kvaei5oySBIxdgtNo/edit?pli=1#gid=257618397"",""stock untanna!B:C""),2,false)"),"MECHPEN G-09309")</f>
        <v>MECHPEN G-09309</v>
      </c>
      <c r="F2687" s="49" t="s">
        <v>1438</v>
      </c>
      <c r="G2687" s="71" t="s">
        <v>1439</v>
      </c>
      <c r="H2687" s="41"/>
      <c r="I2687" s="42"/>
      <c r="J2687" s="43"/>
      <c r="K2687" s="72">
        <v>1.0</v>
      </c>
      <c r="L2687" s="53" t="s">
        <v>114</v>
      </c>
      <c r="M2687" s="73">
        <v>32500.0</v>
      </c>
      <c r="N2687" s="74"/>
      <c r="O2687" s="73">
        <v>32500.0</v>
      </c>
      <c r="P2687" s="46" t="str">
        <f t="shared" si="2"/>
        <v>Rp32,500-1 PAK-0.00%</v>
      </c>
      <c r="Q2687" s="75">
        <v>45419.0</v>
      </c>
      <c r="R2687" s="75">
        <v>45418.0</v>
      </c>
      <c r="S2687" s="75">
        <v>45426.0</v>
      </c>
      <c r="T2687" s="49"/>
    </row>
    <row r="2688">
      <c r="A2688" s="90">
        <v>78.0</v>
      </c>
      <c r="B2688" s="91" t="s">
        <v>29</v>
      </c>
      <c r="C2688" s="49" t="s">
        <v>2418</v>
      </c>
      <c r="D2688" s="91" t="s">
        <v>2898</v>
      </c>
      <c r="E2688" s="41" t="str">
        <f>IFERROR(__xludf.DUMMYFUNCTION("vlookup(D2688,IMPORTRANGE(""https://docs.google.com/spreadsheets/d/1swGwZOEqYlTEUCJLY-eeJM1911Kvaei5oySBIxdgtNo/edit?pli=1#gid=257618397"",""stock untanna!B:C""),2,false)"),"STICKER JN-S")</f>
        <v>STICKER JN-S</v>
      </c>
      <c r="F2688" s="49" t="s">
        <v>2898</v>
      </c>
      <c r="G2688" s="71" t="s">
        <v>2899</v>
      </c>
      <c r="H2688" s="41"/>
      <c r="I2688" s="42"/>
      <c r="J2688" s="43"/>
      <c r="K2688" s="72">
        <v>50.0</v>
      </c>
      <c r="L2688" s="53" t="s">
        <v>69</v>
      </c>
      <c r="M2688" s="73">
        <v>5500.0</v>
      </c>
      <c r="N2688" s="74"/>
      <c r="O2688" s="73">
        <v>275000.0</v>
      </c>
      <c r="P2688" s="46" t="str">
        <f t="shared" si="2"/>
        <v>Rp5,500-50 PCS-0.00%</v>
      </c>
      <c r="Q2688" s="75">
        <v>45419.0</v>
      </c>
      <c r="R2688" s="75">
        <v>45416.0</v>
      </c>
      <c r="S2688" s="75">
        <v>45426.0</v>
      </c>
      <c r="T2688" s="49"/>
    </row>
    <row r="2689">
      <c r="A2689" s="90">
        <v>78.0</v>
      </c>
      <c r="B2689" s="91" t="s">
        <v>29</v>
      </c>
      <c r="C2689" s="49" t="s">
        <v>2418</v>
      </c>
      <c r="D2689" s="91" t="s">
        <v>2693</v>
      </c>
      <c r="E2689" s="41" t="str">
        <f>IFERROR(__xludf.DUMMYFUNCTION("vlookup(D2689,IMPORTRANGE(""https://docs.google.com/spreadsheets/d/1swGwZOEqYlTEUCJLY-eeJM1911Kvaei5oySBIxdgtNo/edit?pli=1#gid=257618397"",""stock untanna!B:C""),2,false)"),"STICKER JN-H")</f>
        <v>STICKER JN-H</v>
      </c>
      <c r="F2689" s="49" t="s">
        <v>2693</v>
      </c>
      <c r="G2689" s="71" t="s">
        <v>2694</v>
      </c>
      <c r="H2689" s="41"/>
      <c r="I2689" s="42"/>
      <c r="J2689" s="43"/>
      <c r="K2689" s="72">
        <v>50.0</v>
      </c>
      <c r="L2689" s="53" t="s">
        <v>69</v>
      </c>
      <c r="M2689" s="73">
        <v>6750.0</v>
      </c>
      <c r="N2689" s="74"/>
      <c r="O2689" s="73">
        <v>337500.0</v>
      </c>
      <c r="P2689" s="46" t="str">
        <f t="shared" si="2"/>
        <v>Rp6,750-50 PCS-0.00%</v>
      </c>
      <c r="Q2689" s="75">
        <v>45419.0</v>
      </c>
      <c r="R2689" s="75">
        <v>45416.0</v>
      </c>
      <c r="S2689" s="75">
        <v>45426.0</v>
      </c>
      <c r="T2689" s="49"/>
    </row>
    <row r="2690">
      <c r="A2690" s="90">
        <v>78.0</v>
      </c>
      <c r="B2690" s="91" t="s">
        <v>29</v>
      </c>
      <c r="C2690" s="49" t="s">
        <v>2418</v>
      </c>
      <c r="D2690" s="91" t="s">
        <v>2695</v>
      </c>
      <c r="E2690" s="41" t="str">
        <f>IFERROR(__xludf.DUMMYFUNCTION("vlookup(D2690,IMPORTRANGE(""https://docs.google.com/spreadsheets/d/1swGwZOEqYlTEUCJLY-eeJM1911Kvaei5oySBIxdgtNo/edit?pli=1#gid=257618397"",""stock untanna!B:C""),2,false)"),"STICKER YLD")</f>
        <v>STICKER YLD</v>
      </c>
      <c r="F2690" s="49" t="s">
        <v>2695</v>
      </c>
      <c r="G2690" s="71" t="s">
        <v>2696</v>
      </c>
      <c r="H2690" s="41"/>
      <c r="I2690" s="42"/>
      <c r="J2690" s="43"/>
      <c r="K2690" s="72">
        <v>50.0</v>
      </c>
      <c r="L2690" s="53" t="s">
        <v>69</v>
      </c>
      <c r="M2690" s="73">
        <v>5000.0</v>
      </c>
      <c r="N2690" s="74"/>
      <c r="O2690" s="73">
        <v>250000.0</v>
      </c>
      <c r="P2690" s="46" t="str">
        <f t="shared" si="2"/>
        <v>Rp5,000-50 PCS-0.00%</v>
      </c>
      <c r="Q2690" s="75">
        <v>45419.0</v>
      </c>
      <c r="R2690" s="75">
        <v>45416.0</v>
      </c>
      <c r="S2690" s="75">
        <v>45426.0</v>
      </c>
      <c r="T2690" s="49" t="s">
        <v>100</v>
      </c>
    </row>
    <row r="2691">
      <c r="A2691" s="90">
        <v>78.0</v>
      </c>
      <c r="B2691" s="91" t="s">
        <v>29</v>
      </c>
      <c r="C2691" s="49" t="s">
        <v>2418</v>
      </c>
      <c r="D2691" s="91" t="s">
        <v>1494</v>
      </c>
      <c r="E2691" s="41" t="str">
        <f>IFERROR(__xludf.DUMMYFUNCTION("vlookup(D2691,IMPORTRANGE(""https://docs.google.com/spreadsheets/d/1swGwZOEqYlTEUCJLY-eeJM1911Kvaei5oySBIxdgtNo/edit?pli=1#gid=257618397"",""stock untanna!B:C""),2,false)"),"STICKER JBE-35")</f>
        <v>STICKER JBE-35</v>
      </c>
      <c r="F2691" s="49" t="s">
        <v>1494</v>
      </c>
      <c r="G2691" s="71" t="s">
        <v>1495</v>
      </c>
      <c r="H2691" s="41"/>
      <c r="I2691" s="42"/>
      <c r="J2691" s="43"/>
      <c r="K2691" s="72">
        <v>144.0</v>
      </c>
      <c r="L2691" s="53" t="s">
        <v>69</v>
      </c>
      <c r="M2691" s="73">
        <v>4000.0</v>
      </c>
      <c r="N2691" s="74"/>
      <c r="O2691" s="73">
        <v>576000.0</v>
      </c>
      <c r="P2691" s="46" t="str">
        <f t="shared" si="2"/>
        <v>Rp4,000-144 PCS-0.00%</v>
      </c>
      <c r="Q2691" s="75">
        <v>45419.0</v>
      </c>
      <c r="R2691" s="75">
        <v>45416.0</v>
      </c>
      <c r="S2691" s="75">
        <v>45426.0</v>
      </c>
      <c r="T2691" s="49"/>
    </row>
    <row r="2692">
      <c r="A2692" s="90">
        <v>78.0</v>
      </c>
      <c r="B2692" s="91" t="s">
        <v>29</v>
      </c>
      <c r="C2692" s="49" t="s">
        <v>2418</v>
      </c>
      <c r="D2692" s="91" t="s">
        <v>179</v>
      </c>
      <c r="E2692" s="41" t="str">
        <f>IFERROR(__xludf.DUMMYFUNCTION("vlookup(D2692,IMPORTRANGE(""https://docs.google.com/spreadsheets/d/1swGwZOEqYlTEUCJLY-eeJM1911Kvaei5oySBIxdgtNo/edit?pli=1#gid=257618397"",""stock untanna!B:C""),2,false)"),"MAP FILE EN 1020")</f>
        <v>MAP FILE EN 1020</v>
      </c>
      <c r="F2692" s="49" t="s">
        <v>179</v>
      </c>
      <c r="G2692" s="71" t="s">
        <v>180</v>
      </c>
      <c r="H2692" s="41"/>
      <c r="I2692" s="42"/>
      <c r="J2692" s="43"/>
      <c r="K2692" s="72">
        <v>3.0</v>
      </c>
      <c r="L2692" s="53" t="s">
        <v>62</v>
      </c>
      <c r="M2692" s="73">
        <v>50000.0</v>
      </c>
      <c r="N2692" s="74"/>
      <c r="O2692" s="73">
        <v>150000.0</v>
      </c>
      <c r="P2692" s="46" t="str">
        <f t="shared" si="2"/>
        <v>Rp50,000-3 LSN-0.00%</v>
      </c>
      <c r="Q2692" s="75">
        <v>45419.0</v>
      </c>
      <c r="R2692" s="75">
        <v>45416.0</v>
      </c>
      <c r="S2692" s="75">
        <v>45426.0</v>
      </c>
      <c r="T2692" s="49"/>
    </row>
    <row r="2693">
      <c r="A2693" s="90">
        <v>78.0</v>
      </c>
      <c r="B2693" s="91" t="s">
        <v>29</v>
      </c>
      <c r="C2693" s="49" t="s">
        <v>2418</v>
      </c>
      <c r="D2693" s="77" t="s">
        <v>1282</v>
      </c>
      <c r="E2693" s="41" t="str">
        <f>IFERROR(__xludf.DUMMYFUNCTION("vlookup(D2693,IMPORTRANGE(""https://docs.google.com/spreadsheets/d/1swGwZOEqYlTEUCJLY-eeJM1911Kvaei5oySBIxdgtNo/edit?pli=1#gid=257618397"",""stock untanna!B:C""),2,false)"),"MAP/ ZIPPER BAG TRIX EN 1101")</f>
        <v>MAP/ ZIPPER BAG TRIX EN 1101</v>
      </c>
      <c r="F2693" s="49" t="s">
        <v>1283</v>
      </c>
      <c r="G2693" s="71" t="s">
        <v>1284</v>
      </c>
      <c r="H2693" s="41"/>
      <c r="I2693" s="42"/>
      <c r="J2693" s="43"/>
      <c r="K2693" s="72">
        <v>3.0</v>
      </c>
      <c r="L2693" s="53" t="s">
        <v>62</v>
      </c>
      <c r="M2693" s="73">
        <v>50000.0</v>
      </c>
      <c r="N2693" s="74"/>
      <c r="O2693" s="73">
        <v>150000.0</v>
      </c>
      <c r="P2693" s="46" t="str">
        <f t="shared" si="2"/>
        <v>Rp50,000-3 LSN-0.00%</v>
      </c>
      <c r="Q2693" s="75">
        <v>45419.0</v>
      </c>
      <c r="R2693" s="75">
        <v>45416.0</v>
      </c>
      <c r="S2693" s="75">
        <v>45426.0</v>
      </c>
      <c r="T2693" s="49"/>
    </row>
    <row r="2694">
      <c r="A2694" s="90">
        <v>78.0</v>
      </c>
      <c r="B2694" s="91" t="s">
        <v>29</v>
      </c>
      <c r="C2694" s="49" t="s">
        <v>2418</v>
      </c>
      <c r="D2694" s="91" t="s">
        <v>2900</v>
      </c>
      <c r="E2694" s="41" t="str">
        <f>IFERROR(__xludf.DUMMYFUNCTION("vlookup(D2694,IMPORTRANGE(""https://docs.google.com/spreadsheets/d/1swGwZOEqYlTEUCJLY-eeJM1911Kvaei5oySBIxdgtNo/edit?pli=1#gid=257618397"",""stock untanna!B:C""),2,false)"),"MAP FILE EN 0103F")</f>
        <v>MAP FILE EN 0103F</v>
      </c>
      <c r="F2694" s="49" t="s">
        <v>2900</v>
      </c>
      <c r="G2694" s="71" t="s">
        <v>2901</v>
      </c>
      <c r="H2694" s="41"/>
      <c r="I2694" s="42"/>
      <c r="J2694" s="43"/>
      <c r="K2694" s="72">
        <v>3.0</v>
      </c>
      <c r="L2694" s="53" t="s">
        <v>62</v>
      </c>
      <c r="M2694" s="73">
        <v>50000.0</v>
      </c>
      <c r="N2694" s="74"/>
      <c r="O2694" s="73">
        <v>150000.0</v>
      </c>
      <c r="P2694" s="46" t="str">
        <f t="shared" si="2"/>
        <v>Rp50,000-3 LSN-0.00%</v>
      </c>
      <c r="Q2694" s="75">
        <v>45419.0</v>
      </c>
      <c r="R2694" s="75">
        <v>45416.0</v>
      </c>
      <c r="S2694" s="75">
        <v>45426.0</v>
      </c>
      <c r="T2694" s="49"/>
    </row>
    <row r="2695">
      <c r="A2695" s="90">
        <v>78.0</v>
      </c>
      <c r="B2695" s="91" t="s">
        <v>29</v>
      </c>
      <c r="C2695" s="49" t="s">
        <v>2418</v>
      </c>
      <c r="D2695" s="91" t="s">
        <v>1280</v>
      </c>
      <c r="E2695" s="41" t="str">
        <f>IFERROR(__xludf.DUMMYFUNCTION("vlookup(D2695,IMPORTRANGE(""https://docs.google.com/spreadsheets/d/1swGwZOEqYlTEUCJLY-eeJM1911Kvaei5oySBIxdgtNo/edit?pli=1#gid=257618397"",""stock untanna!B:C""),2,false)"),"MAP FILE EN 1105 F")</f>
        <v>MAP FILE EN 1105 F</v>
      </c>
      <c r="F2695" s="49" t="s">
        <v>1280</v>
      </c>
      <c r="G2695" s="71" t="s">
        <v>1281</v>
      </c>
      <c r="H2695" s="41"/>
      <c r="I2695" s="42"/>
      <c r="J2695" s="43"/>
      <c r="K2695" s="72">
        <v>3.0</v>
      </c>
      <c r="L2695" s="53" t="s">
        <v>62</v>
      </c>
      <c r="M2695" s="73">
        <v>50000.0</v>
      </c>
      <c r="N2695" s="74"/>
      <c r="O2695" s="73">
        <v>150000.0</v>
      </c>
      <c r="P2695" s="46" t="str">
        <f t="shared" si="2"/>
        <v>Rp50,000-3 LSN-0.00%</v>
      </c>
      <c r="Q2695" s="75">
        <v>45419.0</v>
      </c>
      <c r="R2695" s="75">
        <v>45416.0</v>
      </c>
      <c r="S2695" s="75">
        <v>45426.0</v>
      </c>
      <c r="T2695" s="49"/>
    </row>
    <row r="2696">
      <c r="A2696" s="90">
        <v>78.0</v>
      </c>
      <c r="B2696" s="91" t="s">
        <v>29</v>
      </c>
      <c r="C2696" s="49" t="s">
        <v>2418</v>
      </c>
      <c r="D2696" s="91"/>
      <c r="E2696" s="41" t="s">
        <v>2902</v>
      </c>
      <c r="F2696" s="49"/>
      <c r="G2696" s="71" t="s">
        <v>2902</v>
      </c>
      <c r="H2696" s="41"/>
      <c r="I2696" s="42"/>
      <c r="J2696" s="43"/>
      <c r="K2696" s="72">
        <v>2.0</v>
      </c>
      <c r="L2696" s="53" t="s">
        <v>62</v>
      </c>
      <c r="M2696" s="73">
        <v>100000.0</v>
      </c>
      <c r="N2696" s="74"/>
      <c r="O2696" s="73">
        <v>200000.0</v>
      </c>
      <c r="P2696" s="46" t="str">
        <f t="shared" si="2"/>
        <v>Rp100,000-2 LSN-0.00%</v>
      </c>
      <c r="Q2696" s="75">
        <v>45419.0</v>
      </c>
      <c r="R2696" s="75">
        <v>45416.0</v>
      </c>
      <c r="S2696" s="75">
        <v>45426.0</v>
      </c>
      <c r="T2696" s="49"/>
    </row>
    <row r="2697">
      <c r="A2697" s="90">
        <v>78.0</v>
      </c>
      <c r="B2697" s="91" t="s">
        <v>29</v>
      </c>
      <c r="C2697" s="49" t="s">
        <v>2418</v>
      </c>
      <c r="D2697" s="91" t="s">
        <v>1460</v>
      </c>
      <c r="E2697" s="41" t="str">
        <f>IFERROR(__xludf.DUMMYFUNCTION("vlookup(D2697,IMPORTRANGE(""https://docs.google.com/spreadsheets/d/1swGwZOEqYlTEUCJLY-eeJM1911Kvaei5oySBIxdgtNo/edit?pli=1#gid=257618397"",""stock untanna!B:C""),2,false)"),"CLIP CANDY NO 1")</f>
        <v>CLIP CANDY NO 1</v>
      </c>
      <c r="F2697" s="49" t="s">
        <v>1460</v>
      </c>
      <c r="G2697" s="71" t="s">
        <v>94</v>
      </c>
      <c r="H2697" s="41"/>
      <c r="I2697" s="42"/>
      <c r="J2697" s="43"/>
      <c r="K2697" s="72">
        <v>72.0</v>
      </c>
      <c r="L2697" s="53" t="s">
        <v>69</v>
      </c>
      <c r="M2697" s="73">
        <v>3750.0</v>
      </c>
      <c r="N2697" s="74"/>
      <c r="O2697" s="73">
        <v>270000.0</v>
      </c>
      <c r="P2697" s="46" t="str">
        <f t="shared" si="2"/>
        <v>Rp3,750-72 PCS-0.00%</v>
      </c>
      <c r="Q2697" s="75">
        <v>45419.0</v>
      </c>
      <c r="R2697" s="75">
        <v>45416.0</v>
      </c>
      <c r="S2697" s="75">
        <v>45426.0</v>
      </c>
      <c r="T2697" s="80" t="s">
        <v>2820</v>
      </c>
    </row>
    <row r="2698">
      <c r="A2698" s="90">
        <v>78.0</v>
      </c>
      <c r="B2698" s="91" t="s">
        <v>29</v>
      </c>
      <c r="C2698" s="49" t="s">
        <v>2418</v>
      </c>
      <c r="D2698" s="91"/>
      <c r="E2698" s="41" t="s">
        <v>2903</v>
      </c>
      <c r="F2698" s="49"/>
      <c r="G2698" s="71" t="s">
        <v>2903</v>
      </c>
      <c r="H2698" s="41"/>
      <c r="I2698" s="42"/>
      <c r="J2698" s="43"/>
      <c r="K2698" s="72">
        <v>1.0</v>
      </c>
      <c r="L2698" s="53" t="s">
        <v>62</v>
      </c>
      <c r="M2698" s="73">
        <v>193500.0</v>
      </c>
      <c r="N2698" s="74"/>
      <c r="O2698" s="73">
        <v>193500.0</v>
      </c>
      <c r="P2698" s="46" t="str">
        <f t="shared" si="2"/>
        <v>Rp193,500-1 LSN-0.00%</v>
      </c>
      <c r="Q2698" s="75">
        <v>45419.0</v>
      </c>
      <c r="R2698" s="75">
        <v>45416.0</v>
      </c>
      <c r="S2698" s="75">
        <v>45426.0</v>
      </c>
      <c r="T2698" s="80" t="s">
        <v>280</v>
      </c>
    </row>
    <row r="2699">
      <c r="A2699" s="90">
        <v>79.0</v>
      </c>
      <c r="B2699" s="91" t="s">
        <v>29</v>
      </c>
      <c r="C2699" s="49" t="s">
        <v>2418</v>
      </c>
      <c r="D2699" s="21" t="s">
        <v>2904</v>
      </c>
      <c r="E2699" s="41" t="str">
        <f>IFERROR(__xludf.DUMMYFUNCTION("vlookup(D2699,IMPORTRANGE(""https://docs.google.com/spreadsheets/d/1swGwZOEqYlTEUCJLY-eeJM1911Kvaei5oySBIxdgtNo/edit?pli=1#gid=257618397"",""stock untanna!B:C""),2,false)"),"MAP SMILE JNT 8077 NO B6 5014 F")</f>
        <v>MAP SMILE JNT 8077 NO B6 5014 F</v>
      </c>
      <c r="F2699" s="49" t="s">
        <v>2905</v>
      </c>
      <c r="G2699" s="71" t="s">
        <v>2906</v>
      </c>
      <c r="H2699" s="41"/>
      <c r="I2699" s="42"/>
      <c r="J2699" s="43"/>
      <c r="K2699" s="72">
        <v>3.0</v>
      </c>
      <c r="L2699" s="53" t="s">
        <v>62</v>
      </c>
      <c r="M2699" s="73">
        <v>47500.0</v>
      </c>
      <c r="N2699" s="74"/>
      <c r="O2699" s="73">
        <v>142500.0</v>
      </c>
      <c r="P2699" s="46" t="str">
        <f t="shared" si="2"/>
        <v>Rp47,500-3 LSN-0.00%</v>
      </c>
      <c r="Q2699" s="75">
        <v>45419.0</v>
      </c>
      <c r="R2699" s="75">
        <v>45416.0</v>
      </c>
      <c r="S2699" s="75">
        <v>45426.0</v>
      </c>
      <c r="T2699" s="49"/>
    </row>
    <row r="2700">
      <c r="A2700" s="90">
        <v>79.0</v>
      </c>
      <c r="B2700" s="91" t="s">
        <v>29</v>
      </c>
      <c r="C2700" s="49" t="s">
        <v>2418</v>
      </c>
      <c r="D2700" s="91" t="s">
        <v>2681</v>
      </c>
      <c r="E2700" s="41" t="str">
        <f>IFERROR(__xludf.DUMMYFUNCTION("vlookup(D2700,IMPORTRANGE(""https://docs.google.com/spreadsheets/d/1swGwZOEqYlTEUCJLY-eeJM1911Kvaei5oySBIxdgtNo/edit?pli=1#gid=257618397"",""stock untanna!B:C""),2,false)"),"STICK NOTE TF 654-8C-M")</f>
        <v>STICK NOTE TF 654-8C-M</v>
      </c>
      <c r="F2700" s="49" t="s">
        <v>2681</v>
      </c>
      <c r="G2700" s="71" t="s">
        <v>2682</v>
      </c>
      <c r="H2700" s="41"/>
      <c r="I2700" s="42"/>
      <c r="J2700" s="43"/>
      <c r="K2700" s="72">
        <v>12.0</v>
      </c>
      <c r="L2700" s="53" t="s">
        <v>69</v>
      </c>
      <c r="M2700" s="73">
        <v>11500.0</v>
      </c>
      <c r="N2700" s="74"/>
      <c r="O2700" s="73">
        <v>138000.0</v>
      </c>
      <c r="P2700" s="46" t="str">
        <f t="shared" si="2"/>
        <v>Rp11,500-12 PCS-0.00%</v>
      </c>
      <c r="Q2700" s="75">
        <v>45419.0</v>
      </c>
      <c r="R2700" s="75">
        <v>45416.0</v>
      </c>
      <c r="S2700" s="75">
        <v>45426.0</v>
      </c>
      <c r="T2700" s="49"/>
    </row>
    <row r="2701">
      <c r="A2701" s="90">
        <v>79.0</v>
      </c>
      <c r="B2701" s="91" t="s">
        <v>29</v>
      </c>
      <c r="C2701" s="49" t="s">
        <v>2418</v>
      </c>
      <c r="D2701" s="91" t="s">
        <v>2907</v>
      </c>
      <c r="E2701" s="41" t="str">
        <f>IFERROR(__xludf.DUMMYFUNCTION("vlookup(D2701,IMPORTRANGE(""https://docs.google.com/spreadsheets/d/1swGwZOEqYlTEUCJLY-eeJM1911Kvaei5oySBIxdgtNo/edit?pli=1#gid=257618397"",""stock untanna!B:C""),2,false)"),"STICK NOTE TF 654-8C")</f>
        <v>STICK NOTE TF 654-8C</v>
      </c>
      <c r="F2701" s="49" t="s">
        <v>2907</v>
      </c>
      <c r="G2701" s="71" t="s">
        <v>2908</v>
      </c>
      <c r="H2701" s="41"/>
      <c r="I2701" s="42"/>
      <c r="J2701" s="43"/>
      <c r="K2701" s="72">
        <v>12.0</v>
      </c>
      <c r="L2701" s="53" t="s">
        <v>69</v>
      </c>
      <c r="M2701" s="73">
        <v>11500.0</v>
      </c>
      <c r="N2701" s="74"/>
      <c r="O2701" s="73">
        <v>138000.0</v>
      </c>
      <c r="P2701" s="46" t="str">
        <f t="shared" si="2"/>
        <v>Rp11,500-12 PCS-0.00%</v>
      </c>
      <c r="Q2701" s="75">
        <v>45419.0</v>
      </c>
      <c r="R2701" s="75">
        <v>45416.0</v>
      </c>
      <c r="S2701" s="75">
        <v>45426.0</v>
      </c>
      <c r="T2701" s="49"/>
    </row>
    <row r="2702">
      <c r="A2702" s="90">
        <v>79.0</v>
      </c>
      <c r="B2702" s="91" t="s">
        <v>29</v>
      </c>
      <c r="C2702" s="49" t="s">
        <v>2418</v>
      </c>
      <c r="D2702" s="91" t="s">
        <v>2449</v>
      </c>
      <c r="E2702" s="41" t="str">
        <f>IFERROR(__xludf.DUMMYFUNCTION("vlookup(D2702,IMPORTRANGE(""https://docs.google.com/spreadsheets/d/1swGwZOEqYlTEUCJLY-eeJM1911Kvaei5oySBIxdgtNo/edit?pli=1#gid=257618397"",""stock untanna!B:C""),2,false)"),"STICK NOTE TF 0246")</f>
        <v>STICK NOTE TF 0246</v>
      </c>
      <c r="F2702" s="49" t="s">
        <v>2449</v>
      </c>
      <c r="G2702" s="71" t="s">
        <v>2450</v>
      </c>
      <c r="H2702" s="41"/>
      <c r="I2702" s="42"/>
      <c r="J2702" s="43"/>
      <c r="K2702" s="72">
        <v>12.0</v>
      </c>
      <c r="L2702" s="53" t="s">
        <v>69</v>
      </c>
      <c r="M2702" s="73">
        <v>17500.0</v>
      </c>
      <c r="N2702" s="74"/>
      <c r="O2702" s="73">
        <v>210000.0</v>
      </c>
      <c r="P2702" s="46" t="str">
        <f t="shared" si="2"/>
        <v>Rp17,500-12 PCS-0.00%</v>
      </c>
      <c r="Q2702" s="75">
        <v>45419.0</v>
      </c>
      <c r="R2702" s="75">
        <v>45416.0</v>
      </c>
      <c r="S2702" s="75">
        <v>45426.0</v>
      </c>
      <c r="T2702" s="49"/>
    </row>
    <row r="2703">
      <c r="A2703" s="90">
        <v>79.0</v>
      </c>
      <c r="B2703" s="91" t="s">
        <v>29</v>
      </c>
      <c r="C2703" s="49" t="s">
        <v>2418</v>
      </c>
      <c r="D2703" s="91" t="s">
        <v>2327</v>
      </c>
      <c r="E2703" s="41" t="str">
        <f>IFERROR(__xludf.DUMMYFUNCTION("vlookup(D2703,IMPORTRANGE(""https://docs.google.com/spreadsheets/d/1swGwZOEqYlTEUCJLY-eeJM1911Kvaei5oySBIxdgtNo/edit?pli=1#gid=257618397"",""stock untanna!B:C""),2,false)"),"STICK NOTE TF 654 5C")</f>
        <v>STICK NOTE TF 654 5C</v>
      </c>
      <c r="F2703" s="49" t="s">
        <v>2327</v>
      </c>
      <c r="G2703" s="71" t="s">
        <v>2328</v>
      </c>
      <c r="H2703" s="41"/>
      <c r="I2703" s="42"/>
      <c r="J2703" s="43"/>
      <c r="K2703" s="72">
        <v>12.0</v>
      </c>
      <c r="L2703" s="53" t="s">
        <v>69</v>
      </c>
      <c r="M2703" s="73">
        <v>5500.0</v>
      </c>
      <c r="N2703" s="74"/>
      <c r="O2703" s="73">
        <v>66000.0</v>
      </c>
      <c r="P2703" s="46" t="str">
        <f t="shared" si="2"/>
        <v>Rp5,500-12 PCS-0.00%</v>
      </c>
      <c r="Q2703" s="75">
        <v>45419.0</v>
      </c>
      <c r="R2703" s="75">
        <v>45416.0</v>
      </c>
      <c r="S2703" s="75">
        <v>45426.0</v>
      </c>
      <c r="T2703" s="49"/>
    </row>
    <row r="2704">
      <c r="A2704" s="90">
        <v>79.0</v>
      </c>
      <c r="B2704" s="91" t="s">
        <v>29</v>
      </c>
      <c r="C2704" s="49" t="s">
        <v>2418</v>
      </c>
      <c r="D2704" s="91" t="s">
        <v>23</v>
      </c>
      <c r="E2704" s="41" t="str">
        <f>IFERROR(__xludf.DUMMYFUNCTION("vlookup(D2704,IMPORTRANGE(""https://docs.google.com/spreadsheets/d/1swGwZOEqYlTEUCJLY-eeJM1911Kvaei5oySBIxdgtNo/edit?pli=1#gid=257618397"",""stock untanna!B:C""),2,false)"),"KERTAS LIPAT ORIGAMI ALFA FLUORESCENT 12 X 12")</f>
        <v>KERTAS LIPAT ORIGAMI ALFA FLUORESCENT 12 X 12</v>
      </c>
      <c r="F2704" s="49" t="s">
        <v>23</v>
      </c>
      <c r="G2704" s="78" t="s">
        <v>1875</v>
      </c>
      <c r="H2704" s="41"/>
      <c r="I2704" s="42"/>
      <c r="J2704" s="43"/>
      <c r="K2704" s="72">
        <v>50.0</v>
      </c>
      <c r="L2704" s="53" t="s">
        <v>114</v>
      </c>
      <c r="M2704" s="73">
        <v>2750.0</v>
      </c>
      <c r="N2704" s="74"/>
      <c r="O2704" s="73">
        <v>137500.0</v>
      </c>
      <c r="P2704" s="46" t="str">
        <f t="shared" si="2"/>
        <v>Rp2,750-50 PAK-0.00%</v>
      </c>
      <c r="Q2704" s="75">
        <v>45419.0</v>
      </c>
      <c r="R2704" s="75">
        <v>45416.0</v>
      </c>
      <c r="S2704" s="75">
        <v>45426.0</v>
      </c>
      <c r="T2704" s="49" t="s">
        <v>100</v>
      </c>
    </row>
    <row r="2705">
      <c r="A2705" s="90">
        <v>79.0</v>
      </c>
      <c r="B2705" s="91" t="s">
        <v>29</v>
      </c>
      <c r="C2705" s="49" t="s">
        <v>2418</v>
      </c>
      <c r="D2705" s="91" t="s">
        <v>1876</v>
      </c>
      <c r="E2705" s="41" t="str">
        <f>IFERROR(__xludf.DUMMYFUNCTION("vlookup(D2705,IMPORTRANGE(""https://docs.google.com/spreadsheets/d/1swGwZOEqYlTEUCJLY-eeJM1911Kvaei5oySBIxdgtNo/edit?pli=1#gid=257618397"",""stock untanna!B:C""),2,false)"),"KERTAS LIPAT ORIGAMI ALFA FLUORESCENT 20 X 20")</f>
        <v>KERTAS LIPAT ORIGAMI ALFA FLUORESCENT 20 X 20</v>
      </c>
      <c r="F2705" s="49" t="s">
        <v>1876</v>
      </c>
      <c r="G2705" s="78" t="s">
        <v>1877</v>
      </c>
      <c r="H2705" s="41"/>
      <c r="I2705" s="42"/>
      <c r="J2705" s="43"/>
      <c r="K2705" s="72">
        <v>50.0</v>
      </c>
      <c r="L2705" s="53" t="s">
        <v>114</v>
      </c>
      <c r="M2705" s="73">
        <v>5250.0</v>
      </c>
      <c r="N2705" s="74"/>
      <c r="O2705" s="73">
        <v>262500.0</v>
      </c>
      <c r="P2705" s="46" t="str">
        <f t="shared" si="2"/>
        <v>Rp5,250-50 PAK-0.00%</v>
      </c>
      <c r="Q2705" s="75">
        <v>45419.0</v>
      </c>
      <c r="R2705" s="75">
        <v>45416.0</v>
      </c>
      <c r="S2705" s="75">
        <v>45426.0</v>
      </c>
      <c r="T2705" s="49" t="s">
        <v>100</v>
      </c>
    </row>
    <row r="2706">
      <c r="A2706" s="90">
        <v>79.0</v>
      </c>
      <c r="B2706" s="91" t="s">
        <v>29</v>
      </c>
      <c r="C2706" s="49" t="s">
        <v>2418</v>
      </c>
      <c r="D2706" s="91" t="s">
        <v>187</v>
      </c>
      <c r="E2706" s="41" t="str">
        <f>IFERROR(__xludf.DUMMYFUNCTION("vlookup(D2706,IMPORTRANGE(""https://docs.google.com/spreadsheets/d/1swGwZOEqYlTEUCJLY-eeJM1911Kvaei5oySBIxdgtNo/edit?pli=1#gid=257618397"",""stock untanna!B:C""),2,false)"),"NOTEBOOK SPIRAL 28850-61")</f>
        <v>NOTEBOOK SPIRAL 28850-61</v>
      </c>
      <c r="F2706" s="49" t="s">
        <v>187</v>
      </c>
      <c r="G2706" s="71" t="s">
        <v>188</v>
      </c>
      <c r="H2706" s="41"/>
      <c r="I2706" s="42"/>
      <c r="J2706" s="43"/>
      <c r="K2706" s="72">
        <v>1.0</v>
      </c>
      <c r="L2706" s="53" t="s">
        <v>62</v>
      </c>
      <c r="M2706" s="73">
        <v>95000.0</v>
      </c>
      <c r="N2706" s="74"/>
      <c r="O2706" s="73">
        <v>95000.0</v>
      </c>
      <c r="P2706" s="46" t="str">
        <f t="shared" si="2"/>
        <v>Rp95,000-1 LSN-0.00%</v>
      </c>
      <c r="Q2706" s="75">
        <v>45419.0</v>
      </c>
      <c r="R2706" s="75">
        <v>45416.0</v>
      </c>
      <c r="S2706" s="75">
        <v>45426.0</v>
      </c>
      <c r="T2706" s="49"/>
    </row>
    <row r="2707">
      <c r="A2707" s="90">
        <v>79.0</v>
      </c>
      <c r="B2707" s="91" t="s">
        <v>29</v>
      </c>
      <c r="C2707" s="49" t="s">
        <v>2418</v>
      </c>
      <c r="D2707" s="91" t="s">
        <v>2909</v>
      </c>
      <c r="E2707" s="41" t="str">
        <f>IFERROR(__xludf.DUMMYFUNCTION("vlookup(D2707,IMPORTRANGE(""https://docs.google.com/spreadsheets/d/1swGwZOEqYlTEUCJLY-eeJM1911Kvaei5oySBIxdgtNo/edit?pli=1#gid=257618397"",""stock untanna!B:C""),2,false)"),"MAP FILE RET 1802-3 B5")</f>
        <v>MAP FILE RET 1802-3 B5</v>
      </c>
      <c r="F2707" s="49" t="s">
        <v>2909</v>
      </c>
      <c r="G2707" s="71" t="s">
        <v>2910</v>
      </c>
      <c r="H2707" s="41"/>
      <c r="I2707" s="42"/>
      <c r="J2707" s="43"/>
      <c r="K2707" s="72">
        <v>24.0</v>
      </c>
      <c r="L2707" s="53" t="s">
        <v>69</v>
      </c>
      <c r="M2707" s="73">
        <v>5417.0</v>
      </c>
      <c r="N2707" s="74"/>
      <c r="O2707" s="73">
        <v>130008.0</v>
      </c>
      <c r="P2707" s="46" t="str">
        <f t="shared" si="2"/>
        <v>Rp5,417-24 PCS-0.00%</v>
      </c>
      <c r="Q2707" s="75">
        <v>45419.0</v>
      </c>
      <c r="R2707" s="75">
        <v>45416.0</v>
      </c>
      <c r="S2707" s="75">
        <v>45426.0</v>
      </c>
      <c r="T2707" s="49"/>
    </row>
    <row r="2708">
      <c r="A2708" s="90">
        <v>79.0</v>
      </c>
      <c r="B2708" s="91" t="s">
        <v>29</v>
      </c>
      <c r="C2708" s="49" t="s">
        <v>2418</v>
      </c>
      <c r="D2708" s="91" t="s">
        <v>2911</v>
      </c>
      <c r="E2708" s="41" t="str">
        <f>IFERROR(__xludf.DUMMYFUNCTION("vlookup(D2708,IMPORTRANGE(""https://docs.google.com/spreadsheets/d/1swGwZOEqYlTEUCJLY-eeJM1911Kvaei5oySBIxdgtNo/edit?pli=1#gid=257618397"",""stock untanna!B:C""),2,false)"),"MAP FILE RET 1802-2 A5")</f>
        <v>MAP FILE RET 1802-2 A5</v>
      </c>
      <c r="F2708" s="49" t="s">
        <v>2911</v>
      </c>
      <c r="G2708" s="71" t="s">
        <v>2912</v>
      </c>
      <c r="H2708" s="41"/>
      <c r="I2708" s="42"/>
      <c r="J2708" s="43"/>
      <c r="K2708" s="72">
        <v>48.0</v>
      </c>
      <c r="L2708" s="53" t="s">
        <v>69</v>
      </c>
      <c r="M2708" s="73">
        <v>4583.0</v>
      </c>
      <c r="N2708" s="74"/>
      <c r="O2708" s="73">
        <v>219984.0</v>
      </c>
      <c r="P2708" s="46" t="str">
        <f t="shared" si="2"/>
        <v>Rp4,583-48 PCS-0.00%</v>
      </c>
      <c r="Q2708" s="75">
        <v>45419.0</v>
      </c>
      <c r="R2708" s="75">
        <v>45416.0</v>
      </c>
      <c r="S2708" s="75">
        <v>45426.0</v>
      </c>
      <c r="T2708" s="49"/>
    </row>
    <row r="2709">
      <c r="A2709" s="90">
        <v>79.0</v>
      </c>
      <c r="B2709" s="91" t="s">
        <v>29</v>
      </c>
      <c r="C2709" s="49" t="s">
        <v>2418</v>
      </c>
      <c r="D2709" s="91" t="s">
        <v>2913</v>
      </c>
      <c r="E2709" s="41" t="str">
        <f>IFERROR(__xludf.DUMMYFUNCTION("vlookup(D2709,IMPORTRANGE(""https://docs.google.com/spreadsheets/d/1swGwZOEqYlTEUCJLY-eeJM1911Kvaei5oySBIxdgtNo/edit?pli=1#gid=257618397"",""stock untanna!B:C""),2,false)"),"MAP FILE RET 1802-1 A6")</f>
        <v>MAP FILE RET 1802-1 A6</v>
      </c>
      <c r="F2709" s="49" t="s">
        <v>2913</v>
      </c>
      <c r="G2709" s="71" t="s">
        <v>2914</v>
      </c>
      <c r="H2709" s="41"/>
      <c r="I2709" s="42"/>
      <c r="J2709" s="43"/>
      <c r="K2709" s="72">
        <v>48.0</v>
      </c>
      <c r="L2709" s="53" t="s">
        <v>69</v>
      </c>
      <c r="M2709" s="73">
        <v>3750.0</v>
      </c>
      <c r="N2709" s="74"/>
      <c r="O2709" s="73">
        <v>180000.0</v>
      </c>
      <c r="P2709" s="46" t="str">
        <f t="shared" si="2"/>
        <v>Rp3,750-48 PCS-0.00%</v>
      </c>
      <c r="Q2709" s="75">
        <v>45419.0</v>
      </c>
      <c r="R2709" s="75">
        <v>45416.0</v>
      </c>
      <c r="S2709" s="75">
        <v>45426.0</v>
      </c>
      <c r="T2709" s="49"/>
    </row>
    <row r="2710">
      <c r="A2710" s="90">
        <v>79.0</v>
      </c>
      <c r="B2710" s="91" t="s">
        <v>29</v>
      </c>
      <c r="C2710" s="49" t="s">
        <v>2418</v>
      </c>
      <c r="D2710" s="91"/>
      <c r="E2710" s="41" t="s">
        <v>2915</v>
      </c>
      <c r="F2710" s="49"/>
      <c r="G2710" s="71" t="s">
        <v>2915</v>
      </c>
      <c r="H2710" s="41"/>
      <c r="I2710" s="42"/>
      <c r="J2710" s="43"/>
      <c r="K2710" s="72">
        <v>4.0</v>
      </c>
      <c r="L2710" s="53" t="s">
        <v>62</v>
      </c>
      <c r="M2710" s="73">
        <v>24000.0</v>
      </c>
      <c r="N2710" s="74"/>
      <c r="O2710" s="73">
        <v>96000.0</v>
      </c>
      <c r="P2710" s="46" t="str">
        <f t="shared" si="2"/>
        <v>Rp24,000-4 LSN-0.00%</v>
      </c>
      <c r="Q2710" s="75">
        <v>45419.0</v>
      </c>
      <c r="R2710" s="75">
        <v>45416.0</v>
      </c>
      <c r="S2710" s="75">
        <v>45426.0</v>
      </c>
      <c r="T2710" s="49"/>
    </row>
    <row r="2711">
      <c r="A2711" s="90">
        <v>79.0</v>
      </c>
      <c r="B2711" s="91" t="s">
        <v>29</v>
      </c>
      <c r="C2711" s="49" t="s">
        <v>2418</v>
      </c>
      <c r="D2711" s="91"/>
      <c r="E2711" s="41" t="s">
        <v>2916</v>
      </c>
      <c r="F2711" s="49"/>
      <c r="G2711" s="71" t="s">
        <v>2916</v>
      </c>
      <c r="H2711" s="41"/>
      <c r="I2711" s="42"/>
      <c r="J2711" s="43"/>
      <c r="K2711" s="72">
        <v>4.0</v>
      </c>
      <c r="L2711" s="53" t="s">
        <v>62</v>
      </c>
      <c r="M2711" s="73">
        <v>30000.0</v>
      </c>
      <c r="N2711" s="74"/>
      <c r="O2711" s="73">
        <v>120000.0</v>
      </c>
      <c r="P2711" s="46" t="str">
        <f t="shared" si="2"/>
        <v>Rp30,000-4 LSN-0.00%</v>
      </c>
      <c r="Q2711" s="75">
        <v>45419.0</v>
      </c>
      <c r="R2711" s="75">
        <v>45416.0</v>
      </c>
      <c r="S2711" s="75">
        <v>45426.0</v>
      </c>
      <c r="T2711" s="49"/>
    </row>
    <row r="2712">
      <c r="A2712" s="90">
        <v>79.0</v>
      </c>
      <c r="B2712" s="91" t="s">
        <v>29</v>
      </c>
      <c r="C2712" s="49" t="s">
        <v>2418</v>
      </c>
      <c r="D2712" s="91"/>
      <c r="E2712" s="41" t="s">
        <v>2917</v>
      </c>
      <c r="F2712" s="49"/>
      <c r="G2712" s="71" t="s">
        <v>2917</v>
      </c>
      <c r="H2712" s="41"/>
      <c r="I2712" s="42"/>
      <c r="J2712" s="43"/>
      <c r="K2712" s="72">
        <v>4.0</v>
      </c>
      <c r="L2712" s="53" t="s">
        <v>62</v>
      </c>
      <c r="M2712" s="73">
        <v>28000.0</v>
      </c>
      <c r="N2712" s="74"/>
      <c r="O2712" s="73">
        <v>112000.0</v>
      </c>
      <c r="P2712" s="46" t="str">
        <f t="shared" si="2"/>
        <v>Rp28,000-4 LSN-0.00%</v>
      </c>
      <c r="Q2712" s="75">
        <v>45419.0</v>
      </c>
      <c r="R2712" s="75">
        <v>45416.0</v>
      </c>
      <c r="S2712" s="75">
        <v>45426.0</v>
      </c>
      <c r="T2712" s="49"/>
    </row>
    <row r="2713">
      <c r="A2713" s="90">
        <v>79.0</v>
      </c>
      <c r="B2713" s="91" t="s">
        <v>29</v>
      </c>
      <c r="C2713" s="49" t="s">
        <v>2418</v>
      </c>
      <c r="D2713" s="91"/>
      <c r="E2713" s="41" t="s">
        <v>2918</v>
      </c>
      <c r="F2713" s="49"/>
      <c r="G2713" s="71" t="s">
        <v>2918</v>
      </c>
      <c r="H2713" s="41"/>
      <c r="I2713" s="42"/>
      <c r="J2713" s="43"/>
      <c r="K2713" s="72">
        <v>2.0</v>
      </c>
      <c r="L2713" s="53" t="s">
        <v>62</v>
      </c>
      <c r="M2713" s="73">
        <v>35000.0</v>
      </c>
      <c r="N2713" s="74"/>
      <c r="O2713" s="73">
        <v>70000.0</v>
      </c>
      <c r="P2713" s="46" t="str">
        <f t="shared" si="2"/>
        <v>Rp35,000-2 LSN-0.00%</v>
      </c>
      <c r="Q2713" s="75">
        <v>45419.0</v>
      </c>
      <c r="R2713" s="75">
        <v>45416.0</v>
      </c>
      <c r="S2713" s="75">
        <v>45426.0</v>
      </c>
      <c r="T2713" s="49"/>
    </row>
    <row r="2714">
      <c r="A2714" s="90">
        <v>79.0</v>
      </c>
      <c r="B2714" s="91" t="s">
        <v>29</v>
      </c>
      <c r="C2714" s="49" t="s">
        <v>2418</v>
      </c>
      <c r="D2714" s="91"/>
      <c r="E2714" s="41" t="s">
        <v>2919</v>
      </c>
      <c r="F2714" s="49"/>
      <c r="G2714" s="71" t="s">
        <v>2919</v>
      </c>
      <c r="H2714" s="41"/>
      <c r="I2714" s="42"/>
      <c r="J2714" s="43"/>
      <c r="K2714" s="72">
        <v>2.0</v>
      </c>
      <c r="L2714" s="53" t="s">
        <v>62</v>
      </c>
      <c r="M2714" s="73">
        <v>36500.0</v>
      </c>
      <c r="N2714" s="74"/>
      <c r="O2714" s="73">
        <v>73000.0</v>
      </c>
      <c r="P2714" s="46" t="str">
        <f t="shared" si="2"/>
        <v>Rp36,500-2 LSN-0.00%</v>
      </c>
      <c r="Q2714" s="75">
        <v>45419.0</v>
      </c>
      <c r="R2714" s="75">
        <v>45416.0</v>
      </c>
      <c r="S2714" s="75">
        <v>45426.0</v>
      </c>
      <c r="T2714" s="49"/>
    </row>
    <row r="2715">
      <c r="A2715" s="90">
        <v>80.0</v>
      </c>
      <c r="B2715" s="91" t="s">
        <v>29</v>
      </c>
      <c r="C2715" s="49" t="s">
        <v>2418</v>
      </c>
      <c r="D2715" s="91" t="s">
        <v>931</v>
      </c>
      <c r="E2715" s="41" t="str">
        <f>IFERROR(__xludf.DUMMYFUNCTION("vlookup(D2715,IMPORTRANGE(""https://docs.google.com/spreadsheets/d/1swGwZOEqYlTEUCJLY-eeJM1911Kvaei5oySBIxdgtNo/edit?pli=1#gid=257618397"",""stock untanna!B:C""),2,false)"),"MAP DATA MICROTOP BS-53 A6")</f>
        <v>MAP DATA MICROTOP BS-53 A6</v>
      </c>
      <c r="F2715" s="49" t="s">
        <v>931</v>
      </c>
      <c r="G2715" s="71" t="s">
        <v>932</v>
      </c>
      <c r="H2715" s="41"/>
      <c r="I2715" s="42"/>
      <c r="J2715" s="43"/>
      <c r="K2715" s="72">
        <v>5.0</v>
      </c>
      <c r="L2715" s="53" t="s">
        <v>62</v>
      </c>
      <c r="M2715" s="73">
        <v>65000.0</v>
      </c>
      <c r="N2715" s="74"/>
      <c r="O2715" s="73">
        <v>325000.0</v>
      </c>
      <c r="P2715" s="46" t="str">
        <f t="shared" si="2"/>
        <v>Rp65,000-5 LSN-0.00%</v>
      </c>
      <c r="Q2715" s="75">
        <v>45419.0</v>
      </c>
      <c r="R2715" s="75">
        <v>45416.0</v>
      </c>
      <c r="S2715" s="75">
        <v>45426.0</v>
      </c>
      <c r="T2715" s="49"/>
    </row>
    <row r="2716">
      <c r="A2716" s="90">
        <v>80.0</v>
      </c>
      <c r="B2716" s="91" t="s">
        <v>29</v>
      </c>
      <c r="C2716" s="49" t="s">
        <v>2418</v>
      </c>
      <c r="D2716" s="91" t="s">
        <v>933</v>
      </c>
      <c r="E2716" s="41" t="str">
        <f>IFERROR(__xludf.DUMMYFUNCTION("vlookup(D2716,IMPORTRANGE(""https://docs.google.com/spreadsheets/d/1swGwZOEqYlTEUCJLY-eeJM1911Kvaei5oySBIxdgtNo/edit?pli=1#gid=257618397"",""stock untanna!B:C""),2,false)"),"MAP DATA MICROTOP BS-54 A5")</f>
        <v>MAP DATA MICROTOP BS-54 A5</v>
      </c>
      <c r="F2716" s="49" t="s">
        <v>933</v>
      </c>
      <c r="G2716" s="71" t="s">
        <v>934</v>
      </c>
      <c r="H2716" s="41"/>
      <c r="I2716" s="42"/>
      <c r="J2716" s="43"/>
      <c r="K2716" s="72">
        <v>2.0</v>
      </c>
      <c r="L2716" s="53" t="s">
        <v>62</v>
      </c>
      <c r="M2716" s="73">
        <v>80000.0</v>
      </c>
      <c r="N2716" s="74"/>
      <c r="O2716" s="73">
        <v>160000.0</v>
      </c>
      <c r="P2716" s="46" t="str">
        <f t="shared" si="2"/>
        <v>Rp80,000-2 LSN-0.00%</v>
      </c>
      <c r="Q2716" s="75">
        <v>45419.0</v>
      </c>
      <c r="R2716" s="75">
        <v>45416.0</v>
      </c>
      <c r="S2716" s="75">
        <v>45426.0</v>
      </c>
      <c r="T2716" s="49"/>
    </row>
    <row r="2717">
      <c r="A2717" s="90">
        <v>80.0</v>
      </c>
      <c r="B2717" s="91" t="s">
        <v>29</v>
      </c>
      <c r="C2717" s="49" t="s">
        <v>2418</v>
      </c>
      <c r="D2717" s="91" t="s">
        <v>2920</v>
      </c>
      <c r="E2717" s="41" t="str">
        <f>IFERROR(__xludf.DUMMYFUNCTION("vlookup(D2717,IMPORTRANGE(""https://docs.google.com/spreadsheets/d/1swGwZOEqYlTEUCJLY-eeJM1911Kvaei5oySBIxdgtNo/edit?pli=1#gid=257618397"",""stock untanna!B:C""),2,false)"),"MAP DATA MICROTOP BS-56 A4")</f>
        <v>MAP DATA MICROTOP BS-56 A4</v>
      </c>
      <c r="F2717" s="49" t="s">
        <v>2920</v>
      </c>
      <c r="G2717" s="71" t="s">
        <v>2921</v>
      </c>
      <c r="H2717" s="41"/>
      <c r="I2717" s="42"/>
      <c r="J2717" s="43"/>
      <c r="K2717" s="72">
        <v>1.0</v>
      </c>
      <c r="L2717" s="53" t="s">
        <v>62</v>
      </c>
      <c r="M2717" s="73">
        <v>100000.0</v>
      </c>
      <c r="N2717" s="74"/>
      <c r="O2717" s="73">
        <v>100000.0</v>
      </c>
      <c r="P2717" s="46" t="str">
        <f t="shared" si="2"/>
        <v>Rp100,000-1 LSN-0.00%</v>
      </c>
      <c r="Q2717" s="75">
        <v>45419.0</v>
      </c>
      <c r="R2717" s="75">
        <v>45416.0</v>
      </c>
      <c r="S2717" s="75">
        <v>45426.0</v>
      </c>
      <c r="T2717" s="49"/>
    </row>
    <row r="2718">
      <c r="A2718" s="90">
        <v>80.0</v>
      </c>
      <c r="B2718" s="91" t="s">
        <v>29</v>
      </c>
      <c r="C2718" s="49" t="s">
        <v>2418</v>
      </c>
      <c r="D2718" s="91" t="s">
        <v>2922</v>
      </c>
      <c r="E2718" s="41" t="str">
        <f>IFERROR(__xludf.DUMMYFUNCTION("vlookup(D2718,IMPORTRANGE(""https://docs.google.com/spreadsheets/d/1swGwZOEqYlTEUCJLY-eeJM1911Kvaei5oySBIxdgtNo/edit?pli=1#gid=257618397"",""stock untanna!B:C""),2,false)"),"MAP FILE RET 1804-1 A6")</f>
        <v>MAP FILE RET 1804-1 A6</v>
      </c>
      <c r="F2718" s="49" t="s">
        <v>2922</v>
      </c>
      <c r="G2718" s="71" t="s">
        <v>2923</v>
      </c>
      <c r="H2718" s="41"/>
      <c r="I2718" s="42"/>
      <c r="J2718" s="43"/>
      <c r="K2718" s="72">
        <v>36.0</v>
      </c>
      <c r="L2718" s="53" t="s">
        <v>69</v>
      </c>
      <c r="M2718" s="73">
        <v>3750.0</v>
      </c>
      <c r="N2718" s="74"/>
      <c r="O2718" s="73">
        <v>135000.0</v>
      </c>
      <c r="P2718" s="46" t="str">
        <f t="shared" si="2"/>
        <v>Rp3,750-36 PCS-0.00%</v>
      </c>
      <c r="Q2718" s="75">
        <v>45419.0</v>
      </c>
      <c r="R2718" s="75">
        <v>45416.0</v>
      </c>
      <c r="S2718" s="75">
        <v>45426.0</v>
      </c>
      <c r="T2718" s="49"/>
    </row>
    <row r="2719">
      <c r="A2719" s="90">
        <v>80.0</v>
      </c>
      <c r="B2719" s="91" t="s">
        <v>29</v>
      </c>
      <c r="C2719" s="49" t="s">
        <v>2418</v>
      </c>
      <c r="D2719" s="77" t="s">
        <v>2924</v>
      </c>
      <c r="E2719" s="41" t="str">
        <f>IFERROR(__xludf.DUMMYFUNCTION("vlookup(D2719,IMPORTRANGE(""https://docs.google.com/spreadsheets/d/1swGwZOEqYlTEUCJLY-eeJM1911Kvaei5oySBIxdgtNo/edit?pli=1#gid=257618397"",""stock untanna!B:C""),2,false)"),"CLEAR HOLDER UTN CH 040 BIRU")</f>
        <v>CLEAR HOLDER UTN CH 040 BIRU</v>
      </c>
      <c r="F2719" s="49" t="s">
        <v>2925</v>
      </c>
      <c r="G2719" s="71" t="s">
        <v>2926</v>
      </c>
      <c r="H2719" s="41"/>
      <c r="I2719" s="42"/>
      <c r="J2719" s="43"/>
      <c r="K2719" s="72">
        <v>36.0</v>
      </c>
      <c r="L2719" s="53" t="s">
        <v>69</v>
      </c>
      <c r="M2719" s="73">
        <v>4583.0</v>
      </c>
      <c r="N2719" s="74"/>
      <c r="O2719" s="73">
        <v>164988.0</v>
      </c>
      <c r="P2719" s="46" t="str">
        <f t="shared" si="2"/>
        <v>Rp4,583-36 PCS-0.00%</v>
      </c>
      <c r="Q2719" s="75">
        <v>45419.0</v>
      </c>
      <c r="R2719" s="75">
        <v>45416.0</v>
      </c>
      <c r="S2719" s="75">
        <v>45426.0</v>
      </c>
      <c r="T2719" s="49"/>
    </row>
    <row r="2720">
      <c r="A2720" s="90">
        <v>80.0</v>
      </c>
      <c r="B2720" s="91" t="s">
        <v>29</v>
      </c>
      <c r="C2720" s="49" t="s">
        <v>2418</v>
      </c>
      <c r="D2720" s="91" t="s">
        <v>2927</v>
      </c>
      <c r="E2720" s="41" t="str">
        <f>IFERROR(__xludf.DUMMYFUNCTION("vlookup(D2720,IMPORTRANGE(""https://docs.google.com/spreadsheets/d/1swGwZOEqYlTEUCJLY-eeJM1911Kvaei5oySBIxdgtNo/edit?pli=1#gid=257618397"",""stock untanna!B:C""),2,false)"),"MAP FILE RET 1804-3 B5")</f>
        <v>MAP FILE RET 1804-3 B5</v>
      </c>
      <c r="F2720" s="49" t="s">
        <v>2927</v>
      </c>
      <c r="G2720" s="71" t="s">
        <v>2928</v>
      </c>
      <c r="H2720" s="41"/>
      <c r="I2720" s="42"/>
      <c r="J2720" s="43"/>
      <c r="K2720" s="72">
        <v>24.0</v>
      </c>
      <c r="L2720" s="53" t="s">
        <v>69</v>
      </c>
      <c r="M2720" s="73">
        <v>5833.0</v>
      </c>
      <c r="N2720" s="74"/>
      <c r="O2720" s="73">
        <v>139992.0</v>
      </c>
      <c r="P2720" s="46" t="str">
        <f t="shared" si="2"/>
        <v>Rp5,833-24 PCS-0.00%</v>
      </c>
      <c r="Q2720" s="75">
        <v>45419.0</v>
      </c>
      <c r="R2720" s="75">
        <v>45416.0</v>
      </c>
      <c r="S2720" s="75">
        <v>45426.0</v>
      </c>
      <c r="T2720" s="49"/>
    </row>
    <row r="2721">
      <c r="A2721" s="90">
        <v>80.0</v>
      </c>
      <c r="B2721" s="91" t="s">
        <v>29</v>
      </c>
      <c r="C2721" s="49" t="s">
        <v>2418</v>
      </c>
      <c r="D2721" s="91"/>
      <c r="E2721" s="41" t="s">
        <v>2929</v>
      </c>
      <c r="F2721" s="49"/>
      <c r="G2721" s="71" t="s">
        <v>2929</v>
      </c>
      <c r="H2721" s="41"/>
      <c r="I2721" s="42"/>
      <c r="J2721" s="43"/>
      <c r="K2721" s="72">
        <v>3.0</v>
      </c>
      <c r="L2721" s="53" t="s">
        <v>62</v>
      </c>
      <c r="M2721" s="73">
        <v>52500.0</v>
      </c>
      <c r="N2721" s="74"/>
      <c r="O2721" s="73">
        <v>157500.0</v>
      </c>
      <c r="P2721" s="46" t="str">
        <f t="shared" si="2"/>
        <v>Rp52,500-3 LSN-0.00%</v>
      </c>
      <c r="Q2721" s="75">
        <v>45419.0</v>
      </c>
      <c r="R2721" s="75">
        <v>45416.0</v>
      </c>
      <c r="S2721" s="75">
        <v>45426.0</v>
      </c>
      <c r="T2721" s="49"/>
    </row>
    <row r="2722">
      <c r="A2722" s="90">
        <v>80.0</v>
      </c>
      <c r="B2722" s="91" t="s">
        <v>29</v>
      </c>
      <c r="C2722" s="49" t="s">
        <v>2418</v>
      </c>
      <c r="D2722" s="91"/>
      <c r="E2722" s="41" t="s">
        <v>2930</v>
      </c>
      <c r="F2722" s="49"/>
      <c r="G2722" s="71" t="s">
        <v>2930</v>
      </c>
      <c r="H2722" s="41"/>
      <c r="I2722" s="42"/>
      <c r="J2722" s="43"/>
      <c r="K2722" s="72">
        <v>2.0</v>
      </c>
      <c r="L2722" s="53" t="s">
        <v>62</v>
      </c>
      <c r="M2722" s="73">
        <v>84000.0</v>
      </c>
      <c r="N2722" s="74"/>
      <c r="O2722" s="73">
        <v>168000.0</v>
      </c>
      <c r="P2722" s="46" t="str">
        <f t="shared" si="2"/>
        <v>Rp84,000-2 LSN-0.00%</v>
      </c>
      <c r="Q2722" s="75">
        <v>45419.0</v>
      </c>
      <c r="R2722" s="75">
        <v>45416.0</v>
      </c>
      <c r="S2722" s="75">
        <v>45426.0</v>
      </c>
      <c r="T2722" s="49"/>
    </row>
    <row r="2723">
      <c r="A2723" s="90">
        <v>80.0</v>
      </c>
      <c r="B2723" s="91" t="s">
        <v>29</v>
      </c>
      <c r="C2723" s="49" t="s">
        <v>2418</v>
      </c>
      <c r="D2723" s="91"/>
      <c r="E2723" s="41" t="s">
        <v>2931</v>
      </c>
      <c r="F2723" s="49"/>
      <c r="G2723" s="71" t="s">
        <v>2931</v>
      </c>
      <c r="H2723" s="41"/>
      <c r="I2723" s="42"/>
      <c r="J2723" s="43"/>
      <c r="K2723" s="72">
        <v>1.0</v>
      </c>
      <c r="L2723" s="53" t="s">
        <v>62</v>
      </c>
      <c r="M2723" s="73">
        <v>100000.0</v>
      </c>
      <c r="N2723" s="74"/>
      <c r="O2723" s="73">
        <v>100000.0</v>
      </c>
      <c r="P2723" s="46" t="str">
        <f t="shared" si="2"/>
        <v>Rp100,000-1 LSN-0.00%</v>
      </c>
      <c r="Q2723" s="75">
        <v>45419.0</v>
      </c>
      <c r="R2723" s="75">
        <v>45416.0</v>
      </c>
      <c r="S2723" s="75">
        <v>45426.0</v>
      </c>
      <c r="T2723" s="49"/>
    </row>
    <row r="2724">
      <c r="A2724" s="90">
        <v>80.0</v>
      </c>
      <c r="B2724" s="91" t="s">
        <v>29</v>
      </c>
      <c r="C2724" s="49" t="s">
        <v>2418</v>
      </c>
      <c r="D2724" s="91" t="s">
        <v>804</v>
      </c>
      <c r="E2724" s="41" t="str">
        <f>IFERROR(__xludf.DUMMYFUNCTION("vlookup(D2724,IMPORTRANGE(""https://docs.google.com/spreadsheets/d/1swGwZOEqYlTEUCJLY-eeJM1911Kvaei5oySBIxdgtNo/edit?pli=1#gid=257618397"",""stock untanna!B:C""),2,false)"),"NOTES 156-80")</f>
        <v>NOTES 156-80</v>
      </c>
      <c r="F2724" s="49" t="s">
        <v>804</v>
      </c>
      <c r="G2724" s="71" t="s">
        <v>805</v>
      </c>
      <c r="H2724" s="41"/>
      <c r="I2724" s="42"/>
      <c r="J2724" s="43"/>
      <c r="K2724" s="72">
        <v>2.0</v>
      </c>
      <c r="L2724" s="53" t="s">
        <v>62</v>
      </c>
      <c r="M2724" s="73">
        <v>37000.0</v>
      </c>
      <c r="N2724" s="74"/>
      <c r="O2724" s="73">
        <v>74000.0</v>
      </c>
      <c r="P2724" s="46" t="str">
        <f t="shared" si="2"/>
        <v>Rp37,000-2 LSN-0.00%</v>
      </c>
      <c r="Q2724" s="75">
        <v>45419.0</v>
      </c>
      <c r="R2724" s="75">
        <v>45416.0</v>
      </c>
      <c r="S2724" s="75">
        <v>45426.0</v>
      </c>
      <c r="T2724" s="49"/>
    </row>
    <row r="2725">
      <c r="A2725" s="90">
        <v>80.0</v>
      </c>
      <c r="B2725" s="91" t="s">
        <v>29</v>
      </c>
      <c r="C2725" s="49" t="s">
        <v>2418</v>
      </c>
      <c r="D2725" s="91" t="s">
        <v>2402</v>
      </c>
      <c r="E2725" s="41" t="str">
        <f>IFERROR(__xludf.DUMMYFUNCTION("vlookup(D2725,IMPORTRANGE(""https://docs.google.com/spreadsheets/d/1swGwZOEqYlTEUCJLY-eeJM1911Kvaei5oySBIxdgtNo/edit?pli=1#gid=257618397"",""stock untanna!B:C""),2,false)"),"NOTEBOOK  A5-521")</f>
        <v>NOTEBOOK  A5-521</v>
      </c>
      <c r="F2725" s="49" t="s">
        <v>2402</v>
      </c>
      <c r="G2725" s="71" t="s">
        <v>2403</v>
      </c>
      <c r="H2725" s="41"/>
      <c r="I2725" s="42"/>
      <c r="J2725" s="43"/>
      <c r="K2725" s="72">
        <v>1.0</v>
      </c>
      <c r="L2725" s="53" t="s">
        <v>62</v>
      </c>
      <c r="M2725" s="73">
        <v>222000.0</v>
      </c>
      <c r="N2725" s="74"/>
      <c r="O2725" s="73">
        <v>222000.0</v>
      </c>
      <c r="P2725" s="46" t="str">
        <f t="shared" si="2"/>
        <v>Rp222,000-1 LSN-0.00%</v>
      </c>
      <c r="Q2725" s="75">
        <v>45419.0</v>
      </c>
      <c r="R2725" s="75">
        <v>45416.0</v>
      </c>
      <c r="S2725" s="75">
        <v>45426.0</v>
      </c>
      <c r="T2725" s="49"/>
    </row>
    <row r="2726">
      <c r="A2726" s="90">
        <v>80.0</v>
      </c>
      <c r="B2726" s="91" t="s">
        <v>29</v>
      </c>
      <c r="C2726" s="49" t="s">
        <v>2418</v>
      </c>
      <c r="D2726" s="91" t="s">
        <v>1374</v>
      </c>
      <c r="E2726" s="41" t="str">
        <f>IFERROR(__xludf.DUMMYFUNCTION("vlookup(D2726,IMPORTRANGE(""https://docs.google.com/spreadsheets/d/1swGwZOEqYlTEUCJLY-eeJM1911Kvaei5oySBIxdgtNo/edit?pli=1#gid=257618397"",""stock untanna!B:C""),2,false)"),"NOTEBOOK  A5-106")</f>
        <v>NOTEBOOK  A5-106</v>
      </c>
      <c r="F2726" s="49" t="s">
        <v>1374</v>
      </c>
      <c r="G2726" s="71" t="s">
        <v>1375</v>
      </c>
      <c r="H2726" s="41"/>
      <c r="I2726" s="42"/>
      <c r="J2726" s="43"/>
      <c r="K2726" s="72">
        <v>12.0</v>
      </c>
      <c r="L2726" s="53" t="s">
        <v>69</v>
      </c>
      <c r="M2726" s="73">
        <v>18500.0</v>
      </c>
      <c r="N2726" s="74"/>
      <c r="O2726" s="73">
        <v>222000.0</v>
      </c>
      <c r="P2726" s="46" t="str">
        <f t="shared" si="2"/>
        <v>Rp18,500-12 PCS-0.00%</v>
      </c>
      <c r="Q2726" s="75">
        <v>45419.0</v>
      </c>
      <c r="R2726" s="75">
        <v>45416.0</v>
      </c>
      <c r="S2726" s="75">
        <v>45426.0</v>
      </c>
      <c r="T2726" s="49"/>
    </row>
    <row r="2727">
      <c r="A2727" s="90">
        <v>80.0</v>
      </c>
      <c r="B2727" s="91" t="s">
        <v>29</v>
      </c>
      <c r="C2727" s="49" t="s">
        <v>2418</v>
      </c>
      <c r="D2727" s="91" t="s">
        <v>2932</v>
      </c>
      <c r="E2727" s="41" t="str">
        <f>IFERROR(__xludf.DUMMYFUNCTION("vlookup(D2727,IMPORTRANGE(""https://docs.google.com/spreadsheets/d/1swGwZOEqYlTEUCJLY-eeJM1911Kvaei5oySBIxdgtNo/edit?pli=1#gid=257618397"",""stock untanna!B:C""),2,false)"),"BOOK END SB-8899")</f>
        <v>BOOK END SB-8899</v>
      </c>
      <c r="F2727" s="49" t="s">
        <v>2932</v>
      </c>
      <c r="G2727" s="71" t="s">
        <v>2933</v>
      </c>
      <c r="H2727" s="41"/>
      <c r="I2727" s="42"/>
      <c r="J2727" s="43"/>
      <c r="K2727" s="72">
        <v>24.0</v>
      </c>
      <c r="L2727" s="53" t="s">
        <v>69</v>
      </c>
      <c r="M2727" s="73">
        <v>25000.0</v>
      </c>
      <c r="N2727" s="74"/>
      <c r="O2727" s="73">
        <v>600000.0</v>
      </c>
      <c r="P2727" s="46" t="str">
        <f t="shared" si="2"/>
        <v>Rp25,000-24 PCS-0.00%</v>
      </c>
      <c r="Q2727" s="75">
        <v>45419.0</v>
      </c>
      <c r="R2727" s="75">
        <v>45416.0</v>
      </c>
      <c r="S2727" s="75">
        <v>45426.0</v>
      </c>
      <c r="T2727" s="49"/>
    </row>
    <row r="2728">
      <c r="A2728" s="90">
        <v>80.0</v>
      </c>
      <c r="B2728" s="91" t="s">
        <v>29</v>
      </c>
      <c r="C2728" s="49" t="s">
        <v>2418</v>
      </c>
      <c r="D2728" s="91"/>
      <c r="E2728" s="41" t="s">
        <v>663</v>
      </c>
      <c r="F2728" s="49"/>
      <c r="G2728" s="71" t="s">
        <v>663</v>
      </c>
      <c r="H2728" s="41"/>
      <c r="I2728" s="42"/>
      <c r="J2728" s="43"/>
      <c r="K2728" s="72">
        <v>2.0</v>
      </c>
      <c r="L2728" s="53" t="s">
        <v>62</v>
      </c>
      <c r="M2728" s="73">
        <v>200000.0</v>
      </c>
      <c r="N2728" s="74"/>
      <c r="O2728" s="73">
        <v>400000.0</v>
      </c>
      <c r="P2728" s="46" t="str">
        <f t="shared" si="2"/>
        <v>Rp200,000-2 LSN-0.00%</v>
      </c>
      <c r="Q2728" s="75">
        <v>45419.0</v>
      </c>
      <c r="R2728" s="75">
        <v>45416.0</v>
      </c>
      <c r="S2728" s="75">
        <v>45426.0</v>
      </c>
      <c r="T2728" s="80" t="s">
        <v>280</v>
      </c>
    </row>
    <row r="2729">
      <c r="A2729" s="90">
        <v>80.0</v>
      </c>
      <c r="B2729" s="91" t="s">
        <v>29</v>
      </c>
      <c r="C2729" s="49" t="s">
        <v>2418</v>
      </c>
      <c r="D2729" s="91"/>
      <c r="E2729" s="41" t="s">
        <v>2934</v>
      </c>
      <c r="F2729" s="49"/>
      <c r="G2729" s="71" t="s">
        <v>2934</v>
      </c>
      <c r="H2729" s="41"/>
      <c r="I2729" s="42"/>
      <c r="J2729" s="43"/>
      <c r="K2729" s="72">
        <v>1.0</v>
      </c>
      <c r="L2729" s="53" t="s">
        <v>62</v>
      </c>
      <c r="M2729" s="73">
        <v>300000.0</v>
      </c>
      <c r="N2729" s="74"/>
      <c r="O2729" s="73">
        <v>300000.0</v>
      </c>
      <c r="P2729" s="46" t="str">
        <f t="shared" si="2"/>
        <v>Rp300,000-1 LSN-0.00%</v>
      </c>
      <c r="Q2729" s="75">
        <v>45419.0</v>
      </c>
      <c r="R2729" s="75">
        <v>45416.0</v>
      </c>
      <c r="S2729" s="75">
        <v>45426.0</v>
      </c>
      <c r="T2729" s="49"/>
    </row>
    <row r="2730">
      <c r="A2730" s="90">
        <v>80.0</v>
      </c>
      <c r="B2730" s="91" t="s">
        <v>29</v>
      </c>
      <c r="C2730" s="49" t="s">
        <v>2418</v>
      </c>
      <c r="D2730" s="91" t="s">
        <v>2487</v>
      </c>
      <c r="E2730" s="41" t="str">
        <f>IFERROR(__xludf.DUMMYFUNCTION("vlookup(D2730,IMPORTRANGE(""https://docs.google.com/spreadsheets/d/1swGwZOEqYlTEUCJLY-eeJM1911Kvaei5oySBIxdgtNo/edit?pli=1#gid=257618397"",""stock untanna!B:C""),2,false)"),"STAMP 1000")</f>
        <v>STAMP 1000</v>
      </c>
      <c r="F2730" s="49" t="s">
        <v>2487</v>
      </c>
      <c r="G2730" s="71" t="s">
        <v>2488</v>
      </c>
      <c r="H2730" s="41"/>
      <c r="I2730" s="42"/>
      <c r="J2730" s="43"/>
      <c r="K2730" s="72">
        <v>24.0</v>
      </c>
      <c r="L2730" s="53" t="s">
        <v>69</v>
      </c>
      <c r="M2730" s="73">
        <v>15417.0</v>
      </c>
      <c r="N2730" s="74"/>
      <c r="O2730" s="73">
        <v>370008.0</v>
      </c>
      <c r="P2730" s="46" t="str">
        <f t="shared" si="2"/>
        <v>Rp15,417-24 PCS-0.00%</v>
      </c>
      <c r="Q2730" s="75">
        <v>45419.0</v>
      </c>
      <c r="R2730" s="75">
        <v>45416.0</v>
      </c>
      <c r="S2730" s="75">
        <v>45426.0</v>
      </c>
      <c r="T2730" s="49"/>
    </row>
    <row r="2731">
      <c r="A2731" s="90">
        <v>81.0</v>
      </c>
      <c r="B2731" s="91" t="s">
        <v>29</v>
      </c>
      <c r="C2731" s="49" t="s">
        <v>2418</v>
      </c>
      <c r="D2731" s="91"/>
      <c r="E2731" s="41" t="s">
        <v>1206</v>
      </c>
      <c r="F2731" s="49"/>
      <c r="G2731" s="71" t="s">
        <v>1206</v>
      </c>
      <c r="H2731" s="41"/>
      <c r="I2731" s="42"/>
      <c r="J2731" s="43"/>
      <c r="K2731" s="72">
        <v>1.0</v>
      </c>
      <c r="L2731" s="53" t="s">
        <v>62</v>
      </c>
      <c r="M2731" s="73">
        <v>125000.0</v>
      </c>
      <c r="N2731" s="74"/>
      <c r="O2731" s="73">
        <v>125000.0</v>
      </c>
      <c r="P2731" s="46" t="str">
        <f t="shared" si="2"/>
        <v>Rp125,000-1 LSN-0.00%</v>
      </c>
      <c r="Q2731" s="75">
        <v>45419.0</v>
      </c>
      <c r="R2731" s="75">
        <v>45416.0</v>
      </c>
      <c r="S2731" s="75">
        <v>45426.0</v>
      </c>
      <c r="T2731" s="80" t="s">
        <v>280</v>
      </c>
    </row>
    <row r="2732">
      <c r="A2732" s="90">
        <v>81.0</v>
      </c>
      <c r="B2732" s="91" t="s">
        <v>29</v>
      </c>
      <c r="C2732" s="49" t="s">
        <v>2418</v>
      </c>
      <c r="D2732" s="77" t="s">
        <v>1207</v>
      </c>
      <c r="E2732" s="41" t="str">
        <f>IFERROR(__xludf.DUMMYFUNCTION("vlookup(D2732,IMPORTRANGE(""https://docs.google.com/spreadsheets/d/1swGwZOEqYlTEUCJLY-eeJM1911Kvaei5oySBIxdgtNo/edit?pli=1#gid=257618397"",""stock untanna!B:C""),2,false)"),"CLIP FILE YUSHINCA 318 BIRU TUA")</f>
        <v>CLIP FILE YUSHINCA 318 BIRU TUA</v>
      </c>
      <c r="F2732" s="49" t="s">
        <v>1208</v>
      </c>
      <c r="G2732" s="71" t="s">
        <v>1209</v>
      </c>
      <c r="H2732" s="41"/>
      <c r="I2732" s="42"/>
      <c r="J2732" s="43"/>
      <c r="K2732" s="72">
        <v>1.0</v>
      </c>
      <c r="L2732" s="53" t="s">
        <v>62</v>
      </c>
      <c r="M2732" s="73">
        <v>240000.0</v>
      </c>
      <c r="N2732" s="74"/>
      <c r="O2732" s="73">
        <v>240000.0</v>
      </c>
      <c r="P2732" s="46" t="str">
        <f t="shared" si="2"/>
        <v>Rp240,000-1 LSN-0.00%</v>
      </c>
      <c r="Q2732" s="75">
        <v>45419.0</v>
      </c>
      <c r="R2732" s="75">
        <v>45416.0</v>
      </c>
      <c r="S2732" s="75">
        <v>45426.0</v>
      </c>
      <c r="T2732" s="49"/>
    </row>
    <row r="2733">
      <c r="A2733" s="90">
        <v>81.0</v>
      </c>
      <c r="B2733" s="91" t="s">
        <v>29</v>
      </c>
      <c r="C2733" s="49" t="s">
        <v>2418</v>
      </c>
      <c r="D2733" s="91"/>
      <c r="E2733" s="41" t="s">
        <v>2935</v>
      </c>
      <c r="F2733" s="49"/>
      <c r="G2733" s="71" t="s">
        <v>2935</v>
      </c>
      <c r="H2733" s="41"/>
      <c r="I2733" s="42"/>
      <c r="J2733" s="43"/>
      <c r="K2733" s="72">
        <v>25.0</v>
      </c>
      <c r="L2733" s="53" t="s">
        <v>114</v>
      </c>
      <c r="M2733" s="73">
        <v>3000.0</v>
      </c>
      <c r="N2733" s="74"/>
      <c r="O2733" s="73">
        <v>75000.0</v>
      </c>
      <c r="P2733" s="46" t="str">
        <f t="shared" si="2"/>
        <v>Rp3,000-25 PAK-0.00%</v>
      </c>
      <c r="Q2733" s="75">
        <v>45419.0</v>
      </c>
      <c r="R2733" s="75">
        <v>45416.0</v>
      </c>
      <c r="S2733" s="75">
        <v>45426.0</v>
      </c>
      <c r="T2733" s="49"/>
    </row>
    <row r="2734">
      <c r="A2734" s="90">
        <v>81.0</v>
      </c>
      <c r="B2734" s="91" t="s">
        <v>29</v>
      </c>
      <c r="C2734" s="49" t="s">
        <v>2418</v>
      </c>
      <c r="D2734" s="91"/>
      <c r="E2734" s="41" t="s">
        <v>2936</v>
      </c>
      <c r="F2734" s="49"/>
      <c r="G2734" s="71" t="s">
        <v>2936</v>
      </c>
      <c r="H2734" s="41"/>
      <c r="I2734" s="42"/>
      <c r="J2734" s="43"/>
      <c r="K2734" s="72">
        <v>12.0</v>
      </c>
      <c r="L2734" s="53" t="s">
        <v>69</v>
      </c>
      <c r="M2734" s="73">
        <v>27500.0</v>
      </c>
      <c r="N2734" s="74"/>
      <c r="O2734" s="73">
        <v>330000.0</v>
      </c>
      <c r="P2734" s="46" t="str">
        <f t="shared" si="2"/>
        <v>Rp27,500-12 PCS-0.00%</v>
      </c>
      <c r="Q2734" s="75">
        <v>45419.0</v>
      </c>
      <c r="R2734" s="75">
        <v>45416.0</v>
      </c>
      <c r="S2734" s="75">
        <v>45426.0</v>
      </c>
      <c r="T2734" s="49"/>
    </row>
    <row r="2735">
      <c r="A2735" s="90">
        <v>81.0</v>
      </c>
      <c r="B2735" s="91" t="s">
        <v>29</v>
      </c>
      <c r="C2735" s="49" t="s">
        <v>2418</v>
      </c>
      <c r="D2735" s="91"/>
      <c r="E2735" s="41" t="s">
        <v>2937</v>
      </c>
      <c r="F2735" s="49"/>
      <c r="G2735" s="71" t="s">
        <v>2937</v>
      </c>
      <c r="H2735" s="41"/>
      <c r="I2735" s="42"/>
      <c r="J2735" s="43"/>
      <c r="K2735" s="72">
        <v>12.0</v>
      </c>
      <c r="L2735" s="53" t="s">
        <v>69</v>
      </c>
      <c r="M2735" s="73">
        <v>40000.0</v>
      </c>
      <c r="N2735" s="74"/>
      <c r="O2735" s="73">
        <v>480000.0</v>
      </c>
      <c r="P2735" s="46" t="str">
        <f t="shared" si="2"/>
        <v>Rp40,000-12 PCS-0.00%</v>
      </c>
      <c r="Q2735" s="75">
        <v>45419.0</v>
      </c>
      <c r="R2735" s="75">
        <v>45416.0</v>
      </c>
      <c r="S2735" s="75">
        <v>45426.0</v>
      </c>
      <c r="T2735" s="49"/>
    </row>
    <row r="2736">
      <c r="A2736" s="90">
        <v>81.0</v>
      </c>
      <c r="B2736" s="91" t="s">
        <v>29</v>
      </c>
      <c r="C2736" s="49" t="s">
        <v>2418</v>
      </c>
      <c r="D2736" s="91" t="s">
        <v>878</v>
      </c>
      <c r="E2736" s="41" t="str">
        <f>IFERROR(__xludf.DUMMYFUNCTION("vlookup(D2736,IMPORTRANGE(""https://docs.google.com/spreadsheets/d/1swGwZOEqYlTEUCJLY-eeJM1911Kvaei5oySBIxdgtNo/edit?pli=1#gid=257618397"",""stock untanna!B:C""),2,false)"),"BK TAMU BATIK")</f>
        <v>BK TAMU BATIK</v>
      </c>
      <c r="F2736" s="49" t="s">
        <v>878</v>
      </c>
      <c r="G2736" s="71" t="s">
        <v>879</v>
      </c>
      <c r="H2736" s="41"/>
      <c r="I2736" s="42"/>
      <c r="J2736" s="43"/>
      <c r="K2736" s="72">
        <v>1.0</v>
      </c>
      <c r="L2736" s="53" t="s">
        <v>62</v>
      </c>
      <c r="M2736" s="73">
        <v>200000.0</v>
      </c>
      <c r="N2736" s="74"/>
      <c r="O2736" s="73">
        <v>200000.0</v>
      </c>
      <c r="P2736" s="46" t="str">
        <f t="shared" si="2"/>
        <v>Rp200,000-1 LSN-0.00%</v>
      </c>
      <c r="Q2736" s="75">
        <v>45419.0</v>
      </c>
      <c r="R2736" s="75">
        <v>45416.0</v>
      </c>
      <c r="S2736" s="75">
        <v>45426.0</v>
      </c>
      <c r="T2736" s="49"/>
    </row>
    <row r="2737">
      <c r="A2737" s="90">
        <v>81.0</v>
      </c>
      <c r="B2737" s="91" t="s">
        <v>29</v>
      </c>
      <c r="C2737" s="49" t="s">
        <v>2418</v>
      </c>
      <c r="D2737" s="91" t="s">
        <v>1925</v>
      </c>
      <c r="E2737" s="41" t="str">
        <f>IFERROR(__xludf.DUMMYFUNCTION("vlookup(D2737,IMPORTRANGE(""https://docs.google.com/spreadsheets/d/1swGwZOEqYlTEUCJLY-eeJM1911Kvaei5oySBIxdgtNo/edit?pli=1#gid=257618397"",""stock untanna!B:C""),2,false)"),"BK TAMU ECO LOVE")</f>
        <v>BK TAMU ECO LOVE</v>
      </c>
      <c r="F2737" s="49" t="s">
        <v>1925</v>
      </c>
      <c r="G2737" s="71" t="s">
        <v>1926</v>
      </c>
      <c r="H2737" s="41"/>
      <c r="I2737" s="42"/>
      <c r="J2737" s="43"/>
      <c r="K2737" s="72">
        <v>1.0</v>
      </c>
      <c r="L2737" s="53" t="s">
        <v>62</v>
      </c>
      <c r="M2737" s="73">
        <v>200000.0</v>
      </c>
      <c r="N2737" s="74"/>
      <c r="O2737" s="73">
        <v>200000.0</v>
      </c>
      <c r="P2737" s="46" t="str">
        <f t="shared" si="2"/>
        <v>Rp200,000-1 LSN-0.00%</v>
      </c>
      <c r="Q2737" s="75">
        <v>45419.0</v>
      </c>
      <c r="R2737" s="75">
        <v>45416.0</v>
      </c>
      <c r="S2737" s="75">
        <v>45426.0</v>
      </c>
      <c r="T2737" s="49"/>
    </row>
    <row r="2738">
      <c r="A2738" s="90">
        <v>81.0</v>
      </c>
      <c r="B2738" s="91" t="s">
        <v>29</v>
      </c>
      <c r="C2738" s="49" t="s">
        <v>2418</v>
      </c>
      <c r="D2738" s="91" t="s">
        <v>2938</v>
      </c>
      <c r="E2738" s="41" t="str">
        <f>IFERROR(__xludf.DUMMYFUNCTION("vlookup(D2738,IMPORTRANGE(""https://docs.google.com/spreadsheets/d/1swGwZOEqYlTEUCJLY-eeJM1911Kvaei5oySBIxdgtNo/edit?pli=1#gid=257618397"",""stock untanna!B:C""),2,false)"),"BALON LJ 1836 JUMBO")</f>
        <v>BALON LJ 1836 JUMBO</v>
      </c>
      <c r="F2738" s="49" t="s">
        <v>2938</v>
      </c>
      <c r="G2738" s="71" t="s">
        <v>2939</v>
      </c>
      <c r="H2738" s="41"/>
      <c r="I2738" s="42"/>
      <c r="J2738" s="43"/>
      <c r="K2738" s="72">
        <v>1.0</v>
      </c>
      <c r="L2738" s="53" t="s">
        <v>1521</v>
      </c>
      <c r="M2738" s="73">
        <v>115000.0</v>
      </c>
      <c r="N2738" s="74"/>
      <c r="O2738" s="73">
        <v>115000.0</v>
      </c>
      <c r="P2738" s="46" t="str">
        <f t="shared" si="2"/>
        <v>Rp115,000-1 DISP-0.00%</v>
      </c>
      <c r="Q2738" s="75">
        <v>45419.0</v>
      </c>
      <c r="R2738" s="75">
        <v>45416.0</v>
      </c>
      <c r="S2738" s="75">
        <v>45426.0</v>
      </c>
      <c r="T2738" s="49"/>
    </row>
    <row r="2739">
      <c r="A2739" s="90">
        <v>81.0</v>
      </c>
      <c r="B2739" s="91" t="s">
        <v>29</v>
      </c>
      <c r="C2739" s="49" t="s">
        <v>2418</v>
      </c>
      <c r="D2739" s="91"/>
      <c r="E2739" s="41" t="s">
        <v>2940</v>
      </c>
      <c r="F2739" s="49"/>
      <c r="G2739" s="71" t="s">
        <v>2940</v>
      </c>
      <c r="H2739" s="41"/>
      <c r="I2739" s="42"/>
      <c r="J2739" s="43"/>
      <c r="K2739" s="72">
        <v>2.0</v>
      </c>
      <c r="L2739" s="53" t="s">
        <v>114</v>
      </c>
      <c r="M2739" s="73">
        <v>80000.0</v>
      </c>
      <c r="N2739" s="74"/>
      <c r="O2739" s="73">
        <v>160000.0</v>
      </c>
      <c r="P2739" s="46" t="str">
        <f t="shared" si="2"/>
        <v>Rp80,000-2 PAK-0.00%</v>
      </c>
      <c r="Q2739" s="75">
        <v>45419.0</v>
      </c>
      <c r="R2739" s="75">
        <v>45416.0</v>
      </c>
      <c r="S2739" s="75">
        <v>45426.0</v>
      </c>
      <c r="T2739" s="49"/>
    </row>
    <row r="2740">
      <c r="A2740" s="90">
        <v>81.0</v>
      </c>
      <c r="B2740" s="91" t="s">
        <v>29</v>
      </c>
      <c r="C2740" s="49" t="s">
        <v>2418</v>
      </c>
      <c r="D2740" s="91" t="s">
        <v>2941</v>
      </c>
      <c r="E2740" s="41" t="str">
        <f>IFERROR(__xludf.DUMMYFUNCTION("vlookup(D2740,IMPORTRANGE(""https://docs.google.com/spreadsheets/d/1swGwZOEqYlTEUCJLY-eeJM1911Kvaei5oySBIxdgtNo/edit?pli=1#gid=257618397"",""stock untanna!B:C""),2,false)"),"BALON METALIK HB LMS 2800 HB")</f>
        <v>BALON METALIK HB LMS 2800 HB</v>
      </c>
      <c r="F2740" s="49" t="s">
        <v>2941</v>
      </c>
      <c r="G2740" s="71" t="s">
        <v>2942</v>
      </c>
      <c r="H2740" s="41"/>
      <c r="I2740" s="42"/>
      <c r="J2740" s="43"/>
      <c r="K2740" s="72">
        <v>2.0</v>
      </c>
      <c r="L2740" s="53" t="s">
        <v>1521</v>
      </c>
      <c r="M2740" s="73">
        <v>105000.0</v>
      </c>
      <c r="N2740" s="74"/>
      <c r="O2740" s="73">
        <v>210000.0</v>
      </c>
      <c r="P2740" s="46" t="str">
        <f t="shared" si="2"/>
        <v>Rp105,000-2 DISP-0.00%</v>
      </c>
      <c r="Q2740" s="75">
        <v>45419.0</v>
      </c>
      <c r="R2740" s="75">
        <v>45416.0</v>
      </c>
      <c r="S2740" s="75">
        <v>45426.0</v>
      </c>
      <c r="T2740" s="49"/>
    </row>
    <row r="2741">
      <c r="A2741" s="90">
        <v>81.0</v>
      </c>
      <c r="B2741" s="91" t="s">
        <v>29</v>
      </c>
      <c r="C2741" s="49" t="s">
        <v>2418</v>
      </c>
      <c r="D2741" s="91" t="s">
        <v>2943</v>
      </c>
      <c r="E2741" s="41" t="str">
        <f>IFERROR(__xludf.DUMMYFUNCTION("vlookup(D2741,IMPORTRANGE(""https://docs.google.com/spreadsheets/d/1swGwZOEqYlTEUCJLY-eeJM1911Kvaei5oySBIxdgtNo/edit?pli=1#gid=257618397"",""stock untanna!B:C""),2,false)"),"BALON HB LKF 4W LKF 3200 HB4")</f>
        <v>BALON HB LKF 4W LKF 3200 HB4</v>
      </c>
      <c r="F2741" s="49" t="s">
        <v>2943</v>
      </c>
      <c r="G2741" s="71" t="s">
        <v>2944</v>
      </c>
      <c r="H2741" s="41"/>
      <c r="I2741" s="42"/>
      <c r="J2741" s="43"/>
      <c r="K2741" s="72">
        <v>2.0</v>
      </c>
      <c r="L2741" s="53" t="s">
        <v>1521</v>
      </c>
      <c r="M2741" s="73">
        <v>135000.0</v>
      </c>
      <c r="N2741" s="74"/>
      <c r="O2741" s="73">
        <v>270000.0</v>
      </c>
      <c r="P2741" s="46" t="str">
        <f t="shared" si="2"/>
        <v>Rp135,000-2 DISP-0.00%</v>
      </c>
      <c r="Q2741" s="75">
        <v>45419.0</v>
      </c>
      <c r="R2741" s="75">
        <v>45416.0</v>
      </c>
      <c r="S2741" s="75">
        <v>45426.0</v>
      </c>
      <c r="T2741" s="49"/>
    </row>
    <row r="2742">
      <c r="A2742" s="90">
        <v>81.0</v>
      </c>
      <c r="B2742" s="91" t="s">
        <v>29</v>
      </c>
      <c r="C2742" s="49" t="s">
        <v>2418</v>
      </c>
      <c r="D2742" s="91" t="s">
        <v>1270</v>
      </c>
      <c r="E2742" s="41" t="str">
        <f>IFERROR(__xludf.DUMMYFUNCTION("vlookup(D2742,IMPORTRANGE(""https://docs.google.com/spreadsheets/d/1swGwZOEqYlTEUCJLY-eeJM1911Kvaei5oySBIxdgtNo/edit?pli=1#gid=257618397"",""stock untanna!B:C""),2,false)"),"BALON BL 100178 M/ P")</f>
        <v>BALON BL 100178 M/ P</v>
      </c>
      <c r="F2742" s="49" t="s">
        <v>1270</v>
      </c>
      <c r="G2742" s="71" t="s">
        <v>1271</v>
      </c>
      <c r="H2742" s="41"/>
      <c r="I2742" s="42"/>
      <c r="J2742" s="43"/>
      <c r="K2742" s="72">
        <v>3.0</v>
      </c>
      <c r="L2742" s="53" t="s">
        <v>1521</v>
      </c>
      <c r="M2742" s="73">
        <v>80000.0</v>
      </c>
      <c r="N2742" s="74"/>
      <c r="O2742" s="73">
        <v>240000.0</v>
      </c>
      <c r="P2742" s="46" t="str">
        <f t="shared" si="2"/>
        <v>Rp80,000-3 DISP-0.00%</v>
      </c>
      <c r="Q2742" s="75">
        <v>45419.0</v>
      </c>
      <c r="R2742" s="75">
        <v>45416.0</v>
      </c>
      <c r="S2742" s="75">
        <v>45426.0</v>
      </c>
      <c r="T2742" s="49"/>
    </row>
    <row r="2743">
      <c r="A2743" s="90">
        <v>81.0</v>
      </c>
      <c r="B2743" s="91" t="s">
        <v>29</v>
      </c>
      <c r="C2743" s="49" t="s">
        <v>2418</v>
      </c>
      <c r="D2743" s="91"/>
      <c r="E2743" s="41" t="s">
        <v>1526</v>
      </c>
      <c r="F2743" s="49"/>
      <c r="G2743" s="71" t="s">
        <v>1526</v>
      </c>
      <c r="H2743" s="41"/>
      <c r="I2743" s="42"/>
      <c r="J2743" s="43"/>
      <c r="K2743" s="72">
        <v>3.0</v>
      </c>
      <c r="L2743" s="53" t="s">
        <v>114</v>
      </c>
      <c r="M2743" s="73">
        <v>70000.0</v>
      </c>
      <c r="N2743" s="74"/>
      <c r="O2743" s="73">
        <v>210000.0</v>
      </c>
      <c r="P2743" s="46" t="str">
        <f t="shared" si="2"/>
        <v>Rp70,000-3 PAK-0.00%</v>
      </c>
      <c r="Q2743" s="75">
        <v>45419.0</v>
      </c>
      <c r="R2743" s="75">
        <v>45416.0</v>
      </c>
      <c r="S2743" s="75">
        <v>45426.0</v>
      </c>
      <c r="T2743" s="80" t="s">
        <v>280</v>
      </c>
    </row>
    <row r="2744">
      <c r="A2744" s="90">
        <v>81.0</v>
      </c>
      <c r="B2744" s="91" t="s">
        <v>29</v>
      </c>
      <c r="C2744" s="49" t="s">
        <v>2418</v>
      </c>
      <c r="D2744" s="91" t="s">
        <v>2782</v>
      </c>
      <c r="E2744" s="41" t="str">
        <f>IFERROR(__xludf.DUMMYFUNCTION("vlookup(D2744,IMPORTRANGE(""https://docs.google.com/spreadsheets/d/1swGwZOEqYlTEUCJLY-eeJM1911Kvaei5oySBIxdgtNo/edit?pli=1#gid=257618397"",""stock untanna!B:C""),2,false)"),"BALON BL 1007")</f>
        <v>BALON BL 1007</v>
      </c>
      <c r="F2744" s="49" t="s">
        <v>2782</v>
      </c>
      <c r="G2744" s="71" t="s">
        <v>2783</v>
      </c>
      <c r="H2744" s="41"/>
      <c r="I2744" s="42"/>
      <c r="J2744" s="43"/>
      <c r="K2744" s="72">
        <v>3.0</v>
      </c>
      <c r="L2744" s="53" t="s">
        <v>1521</v>
      </c>
      <c r="M2744" s="73">
        <v>80000.0</v>
      </c>
      <c r="N2744" s="74"/>
      <c r="O2744" s="73">
        <v>240000.0</v>
      </c>
      <c r="P2744" s="46" t="str">
        <f t="shared" si="2"/>
        <v>Rp80,000-3 DISP-0.00%</v>
      </c>
      <c r="Q2744" s="75">
        <v>45419.0</v>
      </c>
      <c r="R2744" s="75">
        <v>45416.0</v>
      </c>
      <c r="S2744" s="75">
        <v>45426.0</v>
      </c>
      <c r="T2744" s="49"/>
    </row>
    <row r="2745">
      <c r="A2745" s="90">
        <v>81.0</v>
      </c>
      <c r="B2745" s="91" t="s">
        <v>29</v>
      </c>
      <c r="C2745" s="49" t="s">
        <v>2418</v>
      </c>
      <c r="D2745" s="91" t="s">
        <v>1522</v>
      </c>
      <c r="E2745" s="41" t="str">
        <f>IFERROR(__xludf.DUMMYFUNCTION("vlookup(D2745,IMPORTRANGE(""https://docs.google.com/spreadsheets/d/1swGwZOEqYlTEUCJLY-eeJM1911Kvaei5oySBIxdgtNo/edit?pli=1#gid=257618397"",""stock untanna!B:C""),2,false)"),"BALON LKM 2800")</f>
        <v>BALON LKM 2800</v>
      </c>
      <c r="F2745" s="49" t="s">
        <v>1522</v>
      </c>
      <c r="G2745" s="71" t="s">
        <v>1523</v>
      </c>
      <c r="H2745" s="41"/>
      <c r="I2745" s="42"/>
      <c r="J2745" s="43"/>
      <c r="K2745" s="72">
        <v>3.0</v>
      </c>
      <c r="L2745" s="53" t="s">
        <v>1521</v>
      </c>
      <c r="M2745" s="73">
        <v>80000.0</v>
      </c>
      <c r="N2745" s="74"/>
      <c r="O2745" s="73">
        <v>240000.0</v>
      </c>
      <c r="P2745" s="46" t="str">
        <f t="shared" si="2"/>
        <v>Rp80,000-3 DISP-0.00%</v>
      </c>
      <c r="Q2745" s="75">
        <v>45419.0</v>
      </c>
      <c r="R2745" s="75">
        <v>45416.0</v>
      </c>
      <c r="S2745" s="75">
        <v>45426.0</v>
      </c>
      <c r="T2745" s="49"/>
    </row>
    <row r="2746">
      <c r="A2746" s="90">
        <v>81.0</v>
      </c>
      <c r="B2746" s="91" t="s">
        <v>29</v>
      </c>
      <c r="C2746" s="49" t="s">
        <v>2418</v>
      </c>
      <c r="D2746" s="91"/>
      <c r="E2746" s="41" t="s">
        <v>2945</v>
      </c>
      <c r="F2746" s="49"/>
      <c r="G2746" s="71" t="s">
        <v>2945</v>
      </c>
      <c r="H2746" s="41"/>
      <c r="I2746" s="42"/>
      <c r="J2746" s="43"/>
      <c r="K2746" s="72">
        <v>2.0</v>
      </c>
      <c r="L2746" s="53" t="s">
        <v>62</v>
      </c>
      <c r="M2746" s="73">
        <v>40000.0</v>
      </c>
      <c r="N2746" s="74"/>
      <c r="O2746" s="73">
        <v>80000.0</v>
      </c>
      <c r="P2746" s="46" t="str">
        <f t="shared" si="2"/>
        <v>Rp40,000-2 LSN-0.00%</v>
      </c>
      <c r="Q2746" s="75">
        <v>45419.0</v>
      </c>
      <c r="R2746" s="75">
        <v>45416.0</v>
      </c>
      <c r="S2746" s="75">
        <v>45426.0</v>
      </c>
      <c r="T2746" s="49"/>
    </row>
    <row r="2747">
      <c r="A2747" s="90">
        <v>82.0</v>
      </c>
      <c r="B2747" s="91" t="s">
        <v>29</v>
      </c>
      <c r="C2747" s="49" t="s">
        <v>2418</v>
      </c>
      <c r="D2747" s="91"/>
      <c r="E2747" s="41" t="s">
        <v>2946</v>
      </c>
      <c r="F2747" s="49"/>
      <c r="G2747" s="71" t="s">
        <v>2946</v>
      </c>
      <c r="H2747" s="41"/>
      <c r="I2747" s="42"/>
      <c r="J2747" s="43"/>
      <c r="K2747" s="72">
        <v>0.66667</v>
      </c>
      <c r="L2747" s="53" t="s">
        <v>62</v>
      </c>
      <c r="M2747" s="73">
        <v>30000.0</v>
      </c>
      <c r="N2747" s="74"/>
      <c r="O2747" s="73">
        <v>20000.1</v>
      </c>
      <c r="P2747" s="46" t="str">
        <f t="shared" si="2"/>
        <v>Rp30,000-0.66667 LSN-0.00%</v>
      </c>
      <c r="Q2747" s="75">
        <v>45419.0</v>
      </c>
      <c r="R2747" s="75">
        <v>45416.0</v>
      </c>
      <c r="S2747" s="75">
        <v>45426.0</v>
      </c>
      <c r="T2747" s="49"/>
    </row>
    <row r="2748">
      <c r="A2748" s="90">
        <v>82.0</v>
      </c>
      <c r="B2748" s="91" t="s">
        <v>29</v>
      </c>
      <c r="C2748" s="49" t="s">
        <v>2418</v>
      </c>
      <c r="D2748" s="91"/>
      <c r="E2748" s="41" t="s">
        <v>2947</v>
      </c>
      <c r="F2748" s="49"/>
      <c r="G2748" s="71" t="s">
        <v>2947</v>
      </c>
      <c r="H2748" s="41"/>
      <c r="I2748" s="42"/>
      <c r="J2748" s="43"/>
      <c r="K2748" s="72">
        <v>1.0</v>
      </c>
      <c r="L2748" s="53" t="s">
        <v>62</v>
      </c>
      <c r="M2748" s="73">
        <v>47500.0</v>
      </c>
      <c r="N2748" s="74"/>
      <c r="O2748" s="73">
        <v>47500.0</v>
      </c>
      <c r="P2748" s="46" t="str">
        <f t="shared" si="2"/>
        <v>Rp47,500-1 LSN-0.00%</v>
      </c>
      <c r="Q2748" s="75">
        <v>45419.0</v>
      </c>
      <c r="R2748" s="75">
        <v>45416.0</v>
      </c>
      <c r="S2748" s="75">
        <v>45426.0</v>
      </c>
      <c r="T2748" s="49"/>
    </row>
    <row r="2749">
      <c r="A2749" s="90">
        <v>82.0</v>
      </c>
      <c r="B2749" s="91" t="s">
        <v>29</v>
      </c>
      <c r="C2749" s="49" t="s">
        <v>2418</v>
      </c>
      <c r="D2749" s="91" t="s">
        <v>266</v>
      </c>
      <c r="E2749" s="41" t="str">
        <f>IFERROR(__xludf.DUMMYFUNCTION("vlookup(D2749,IMPORTRANGE(""https://docs.google.com/spreadsheets/d/1swGwZOEqYlTEUCJLY-eeJM1911Kvaei5oySBIxdgtNo/edit?pli=1#gid=257618397"",""stock untanna!B:C""),2,false)"),"BINDER NOTE B5-60 FPHY 002")</f>
        <v>BINDER NOTE B5-60 FPHY 002</v>
      </c>
      <c r="F2749" s="49" t="s">
        <v>266</v>
      </c>
      <c r="G2749" s="71" t="s">
        <v>267</v>
      </c>
      <c r="H2749" s="41"/>
      <c r="I2749" s="42"/>
      <c r="J2749" s="43"/>
      <c r="K2749" s="72">
        <v>12.0</v>
      </c>
      <c r="L2749" s="53" t="s">
        <v>69</v>
      </c>
      <c r="M2749" s="73">
        <v>25000.0</v>
      </c>
      <c r="N2749" s="74"/>
      <c r="O2749" s="73">
        <v>300000.0</v>
      </c>
      <c r="P2749" s="46" t="str">
        <f t="shared" si="2"/>
        <v>Rp25,000-12 PCS-0.00%</v>
      </c>
      <c r="Q2749" s="75">
        <v>45419.0</v>
      </c>
      <c r="R2749" s="75">
        <v>45416.0</v>
      </c>
      <c r="S2749" s="75">
        <v>45426.0</v>
      </c>
      <c r="T2749" s="49"/>
    </row>
    <row r="2750">
      <c r="A2750" s="90">
        <v>82.0</v>
      </c>
      <c r="B2750" s="91" t="s">
        <v>29</v>
      </c>
      <c r="C2750" s="49" t="s">
        <v>2418</v>
      </c>
      <c r="D2750" s="91" t="s">
        <v>2948</v>
      </c>
      <c r="E2750" s="41" t="str">
        <f>IFERROR(__xludf.DUMMYFUNCTION("vlookup(D2750,IMPORTRANGE(""https://docs.google.com/spreadsheets/d/1swGwZOEqYlTEUCJLY-eeJM1911Kvaei5oySBIxdgtNo/edit?pli=1#gid=257618397"",""stock untanna!B:C""),2,false)"),"BANNER BALLET B312 BS")</f>
        <v>BANNER BALLET B312 BS</v>
      </c>
      <c r="F2750" s="49" t="s">
        <v>2948</v>
      </c>
      <c r="G2750" s="71" t="s">
        <v>2949</v>
      </c>
      <c r="H2750" s="41"/>
      <c r="I2750" s="42"/>
      <c r="J2750" s="43"/>
      <c r="K2750" s="72">
        <v>12.0</v>
      </c>
      <c r="L2750" s="53" t="s">
        <v>69</v>
      </c>
      <c r="M2750" s="73">
        <v>14000.0</v>
      </c>
      <c r="N2750" s="74"/>
      <c r="O2750" s="73">
        <v>168000.0</v>
      </c>
      <c r="P2750" s="46" t="str">
        <f t="shared" si="2"/>
        <v>Rp14,000-12 PCS-0.00%</v>
      </c>
      <c r="Q2750" s="75">
        <v>45419.0</v>
      </c>
      <c r="R2750" s="75">
        <v>45416.0</v>
      </c>
      <c r="S2750" s="75">
        <v>45426.0</v>
      </c>
      <c r="T2750" s="49"/>
    </row>
    <row r="2751">
      <c r="A2751" s="90">
        <v>82.0</v>
      </c>
      <c r="B2751" s="91" t="s">
        <v>29</v>
      </c>
      <c r="C2751" s="49" t="s">
        <v>2418</v>
      </c>
      <c r="D2751" s="91"/>
      <c r="E2751" s="41" t="s">
        <v>2950</v>
      </c>
      <c r="F2751" s="49"/>
      <c r="G2751" s="71" t="s">
        <v>2950</v>
      </c>
      <c r="H2751" s="41"/>
      <c r="I2751" s="42"/>
      <c r="J2751" s="43"/>
      <c r="K2751" s="72">
        <v>12.0</v>
      </c>
      <c r="L2751" s="53" t="s">
        <v>69</v>
      </c>
      <c r="M2751" s="73">
        <v>25000.0</v>
      </c>
      <c r="N2751" s="74"/>
      <c r="O2751" s="73">
        <v>300000.0</v>
      </c>
      <c r="P2751" s="46" t="str">
        <f t="shared" si="2"/>
        <v>Rp25,000-12 PCS-0.00%</v>
      </c>
      <c r="Q2751" s="75">
        <v>45419.0</v>
      </c>
      <c r="R2751" s="75">
        <v>45416.0</v>
      </c>
      <c r="S2751" s="75">
        <v>45426.0</v>
      </c>
      <c r="T2751" s="49"/>
    </row>
    <row r="2752">
      <c r="A2752" s="90">
        <v>82.0</v>
      </c>
      <c r="B2752" s="91" t="s">
        <v>29</v>
      </c>
      <c r="C2752" s="49" t="s">
        <v>2418</v>
      </c>
      <c r="D2752" s="91" t="s">
        <v>732</v>
      </c>
      <c r="E2752" s="41" t="str">
        <f>IFERROR(__xludf.DUMMYFUNCTION("vlookup(D2752,IMPORTRANGE(""https://docs.google.com/spreadsheets/d/1swGwZOEqYlTEUCJLY-eeJM1911Kvaei5oySBIxdgtNo/edit?pli=1#gid=257618397"",""stock untanna!B:C""),2,false)"),"MESIN TEMBAK BIXDONE HE E2010 K (65 BLK) KECIL")</f>
        <v>MESIN TEMBAK BIXDONE HE E2010 K (65 BLK) KECIL</v>
      </c>
      <c r="F2752" s="49" t="s">
        <v>732</v>
      </c>
      <c r="G2752" s="78" t="s">
        <v>733</v>
      </c>
      <c r="H2752" s="41"/>
      <c r="I2752" s="42"/>
      <c r="J2752" s="43"/>
      <c r="K2752" s="72">
        <v>12.0</v>
      </c>
      <c r="L2752" s="53" t="s">
        <v>69</v>
      </c>
      <c r="M2752" s="73">
        <v>31500.0</v>
      </c>
      <c r="N2752" s="74"/>
      <c r="O2752" s="73">
        <v>378000.0</v>
      </c>
      <c r="P2752" s="46" t="str">
        <f t="shared" si="2"/>
        <v>Rp31,500-12 PCS-0.00%</v>
      </c>
      <c r="Q2752" s="75">
        <v>45419.0</v>
      </c>
      <c r="R2752" s="75">
        <v>45418.0</v>
      </c>
      <c r="S2752" s="75">
        <v>45426.0</v>
      </c>
      <c r="T2752" s="49"/>
    </row>
    <row r="2753">
      <c r="A2753" s="90">
        <v>82.0</v>
      </c>
      <c r="B2753" s="91" t="s">
        <v>29</v>
      </c>
      <c r="C2753" s="49" t="s">
        <v>2418</v>
      </c>
      <c r="D2753" s="91"/>
      <c r="E2753" s="41" t="s">
        <v>2951</v>
      </c>
      <c r="F2753" s="49"/>
      <c r="G2753" s="71" t="s">
        <v>2951</v>
      </c>
      <c r="H2753" s="41"/>
      <c r="I2753" s="42"/>
      <c r="J2753" s="43"/>
      <c r="K2753" s="72">
        <v>3.0</v>
      </c>
      <c r="L2753" s="53" t="s">
        <v>62</v>
      </c>
      <c r="M2753" s="73">
        <v>15000.0</v>
      </c>
      <c r="N2753" s="74"/>
      <c r="O2753" s="73">
        <v>45000.0</v>
      </c>
      <c r="P2753" s="46" t="str">
        <f t="shared" si="2"/>
        <v>Rp15,000-3 LSN-0.00%</v>
      </c>
      <c r="Q2753" s="75">
        <v>45419.0</v>
      </c>
      <c r="R2753" s="75">
        <v>45418.0</v>
      </c>
      <c r="S2753" s="75">
        <v>45426.0</v>
      </c>
      <c r="T2753" s="49"/>
    </row>
    <row r="2754">
      <c r="A2754" s="90">
        <v>82.0</v>
      </c>
      <c r="B2754" s="91" t="s">
        <v>29</v>
      </c>
      <c r="C2754" s="49" t="s">
        <v>2418</v>
      </c>
      <c r="D2754" s="91" t="s">
        <v>1060</v>
      </c>
      <c r="E2754" s="41" t="str">
        <f>IFERROR(__xludf.DUMMYFUNCTION("vlookup(D2754,IMPORTRANGE(""https://docs.google.com/spreadsheets/d/1swGwZOEqYlTEUCJLY-eeJM1911Kvaei5oySBIxdgtNo/edit?pli=1#gid=257618397"",""stock untanna!B:C""),2,false)"),"ASAHAN HIPPO X357")</f>
        <v>ASAHAN HIPPO X357</v>
      </c>
      <c r="F2754" s="49" t="s">
        <v>1060</v>
      </c>
      <c r="G2754" s="71" t="s">
        <v>1061</v>
      </c>
      <c r="H2754" s="41"/>
      <c r="I2754" s="42"/>
      <c r="J2754" s="43"/>
      <c r="K2754" s="72">
        <v>3.0</v>
      </c>
      <c r="L2754" s="53" t="s">
        <v>62</v>
      </c>
      <c r="M2754" s="73">
        <v>25000.0</v>
      </c>
      <c r="N2754" s="74"/>
      <c r="O2754" s="73">
        <v>75000.0</v>
      </c>
      <c r="P2754" s="46" t="str">
        <f t="shared" si="2"/>
        <v>Rp25,000-3 LSN-0.00%</v>
      </c>
      <c r="Q2754" s="75">
        <v>45419.0</v>
      </c>
      <c r="R2754" s="75">
        <v>45418.0</v>
      </c>
      <c r="S2754" s="75">
        <v>45426.0</v>
      </c>
      <c r="T2754" s="49"/>
    </row>
    <row r="2755">
      <c r="A2755" s="90">
        <v>82.0</v>
      </c>
      <c r="B2755" s="91" t="s">
        <v>29</v>
      </c>
      <c r="C2755" s="49" t="s">
        <v>2418</v>
      </c>
      <c r="D2755" s="91" t="s">
        <v>1090</v>
      </c>
      <c r="E2755" s="41" t="str">
        <f>IFERROR(__xludf.DUMMYFUNCTION("vlookup(D2755,IMPORTRANGE(""https://docs.google.com/spreadsheets/d/1swGwZOEqYlTEUCJLY-eeJM1911Kvaei5oySBIxdgtNo/edit?pli=1#gid=257618397"",""stock untanna!B:C""),2,false)"),"ASAHAN DMS 038")</f>
        <v>ASAHAN DMS 038</v>
      </c>
      <c r="F2755" s="49" t="s">
        <v>1090</v>
      </c>
      <c r="G2755" s="71" t="s">
        <v>1091</v>
      </c>
      <c r="H2755" s="41"/>
      <c r="I2755" s="42"/>
      <c r="J2755" s="43"/>
      <c r="K2755" s="72">
        <v>32.0</v>
      </c>
      <c r="L2755" s="53" t="s">
        <v>69</v>
      </c>
      <c r="M2755" s="73">
        <v>2000.0</v>
      </c>
      <c r="N2755" s="74"/>
      <c r="O2755" s="73">
        <v>64000.0</v>
      </c>
      <c r="P2755" s="46" t="str">
        <f t="shared" si="2"/>
        <v>Rp2,000-32 PCS-0.00%</v>
      </c>
      <c r="Q2755" s="75">
        <v>45419.0</v>
      </c>
      <c r="R2755" s="75">
        <v>45418.0</v>
      </c>
      <c r="S2755" s="75">
        <v>45426.0</v>
      </c>
      <c r="T2755" s="49"/>
    </row>
    <row r="2756">
      <c r="A2756" s="90">
        <v>82.0</v>
      </c>
      <c r="B2756" s="91" t="s">
        <v>29</v>
      </c>
      <c r="C2756" s="49" t="s">
        <v>2418</v>
      </c>
      <c r="D2756" s="91" t="s">
        <v>2952</v>
      </c>
      <c r="E2756" s="41" t="str">
        <f>IFERROR(__xludf.DUMMYFUNCTION("vlookup(D2756,IMPORTRANGE(""https://docs.google.com/spreadsheets/d/1swGwZOEqYlTEUCJLY-eeJM1911Kvaei5oySBIxdgtNo/edit?pli=1#gid=257618397"",""stock untanna!B:C""),2,false)"),"ASAHAN TT 910 (48)")</f>
        <v>ASAHAN TT 910 (48)</v>
      </c>
      <c r="F2756" s="49" t="s">
        <v>2952</v>
      </c>
      <c r="G2756" s="71" t="s">
        <v>2953</v>
      </c>
      <c r="H2756" s="41"/>
      <c r="I2756" s="42"/>
      <c r="J2756" s="43"/>
      <c r="K2756" s="72">
        <v>1.0</v>
      </c>
      <c r="L2756" s="53" t="s">
        <v>88</v>
      </c>
      <c r="M2756" s="73">
        <v>50000.0</v>
      </c>
      <c r="N2756" s="74"/>
      <c r="O2756" s="73">
        <v>50000.0</v>
      </c>
      <c r="P2756" s="46" t="str">
        <f t="shared" si="2"/>
        <v>Rp50,000-1 BOX-0.00%</v>
      </c>
      <c r="Q2756" s="75">
        <v>45419.0</v>
      </c>
      <c r="R2756" s="75">
        <v>45418.0</v>
      </c>
      <c r="S2756" s="75">
        <v>45426.0</v>
      </c>
      <c r="T2756" s="49"/>
    </row>
    <row r="2757">
      <c r="A2757" s="90">
        <v>82.0</v>
      </c>
      <c r="B2757" s="91" t="s">
        <v>29</v>
      </c>
      <c r="C2757" s="49" t="s">
        <v>2418</v>
      </c>
      <c r="D2757" s="91" t="s">
        <v>1122</v>
      </c>
      <c r="E2757" s="41" t="str">
        <f>IFERROR(__xludf.DUMMYFUNCTION("vlookup(D2757,IMPORTRANGE(""https://docs.google.com/spreadsheets/d/1swGwZOEqYlTEUCJLY-eeJM1911Kvaei5oySBIxdgtNo/edit?pli=1#gid=257618397"",""stock untanna!B:C""),2,false)"),"ASAHAN 8810")</f>
        <v>ASAHAN 8810</v>
      </c>
      <c r="F2757" s="49" t="s">
        <v>1122</v>
      </c>
      <c r="G2757" s="71" t="s">
        <v>1123</v>
      </c>
      <c r="H2757" s="41"/>
      <c r="I2757" s="42"/>
      <c r="J2757" s="43"/>
      <c r="K2757" s="72">
        <v>72.0</v>
      </c>
      <c r="L2757" s="53" t="s">
        <v>69</v>
      </c>
      <c r="M2757" s="73">
        <v>2250.0</v>
      </c>
      <c r="N2757" s="74"/>
      <c r="O2757" s="73">
        <v>162000.0</v>
      </c>
      <c r="P2757" s="46" t="str">
        <f t="shared" si="2"/>
        <v>Rp2,250-72 PCS-0.00%</v>
      </c>
      <c r="Q2757" s="75">
        <v>45419.0</v>
      </c>
      <c r="R2757" s="75">
        <v>45418.0</v>
      </c>
      <c r="S2757" s="75">
        <v>45426.0</v>
      </c>
      <c r="T2757" s="49"/>
    </row>
    <row r="2758">
      <c r="A2758" s="90">
        <v>82.0</v>
      </c>
      <c r="B2758" s="91" t="s">
        <v>29</v>
      </c>
      <c r="C2758" s="49" t="s">
        <v>2418</v>
      </c>
      <c r="D2758" s="91" t="s">
        <v>1984</v>
      </c>
      <c r="E2758" s="41" t="str">
        <f>IFERROR(__xludf.DUMMYFUNCTION("vlookup(D2758,IMPORTRANGE(""https://docs.google.com/spreadsheets/d/1swGwZOEqYlTEUCJLY-eeJM1911Kvaei5oySBIxdgtNo/edit?pli=1#gid=257618397"",""stock untanna!B:C""),2,false)"),"ASAHAN 8811")</f>
        <v>ASAHAN 8811</v>
      </c>
      <c r="F2758" s="49" t="s">
        <v>1984</v>
      </c>
      <c r="G2758" s="71" t="s">
        <v>1985</v>
      </c>
      <c r="H2758" s="41"/>
      <c r="I2758" s="42"/>
      <c r="J2758" s="43"/>
      <c r="K2758" s="72">
        <v>72.0</v>
      </c>
      <c r="L2758" s="53" t="s">
        <v>69</v>
      </c>
      <c r="M2758" s="73">
        <v>2250.0</v>
      </c>
      <c r="N2758" s="74"/>
      <c r="O2758" s="73">
        <v>162000.0</v>
      </c>
      <c r="P2758" s="46" t="str">
        <f t="shared" si="2"/>
        <v>Rp2,250-72 PCS-0.00%</v>
      </c>
      <c r="Q2758" s="75">
        <v>45419.0</v>
      </c>
      <c r="R2758" s="75">
        <v>45418.0</v>
      </c>
      <c r="S2758" s="75">
        <v>45426.0</v>
      </c>
      <c r="T2758" s="49"/>
    </row>
    <row r="2759">
      <c r="A2759" s="90">
        <v>82.0</v>
      </c>
      <c r="B2759" s="91" t="s">
        <v>29</v>
      </c>
      <c r="C2759" s="49" t="s">
        <v>2418</v>
      </c>
      <c r="D2759" s="91" t="s">
        <v>537</v>
      </c>
      <c r="E2759" s="41" t="str">
        <f>IFERROR(__xludf.DUMMYFUNCTION("vlookup(D2759,IMPORTRANGE(""https://docs.google.com/spreadsheets/d/1swGwZOEqYlTEUCJLY-eeJM1911Kvaei5oySBIxdgtNo/edit?pli=1#gid=257618397"",""stock untanna!B:C""),2,false)"),"ASAHAN NO.8807")</f>
        <v>ASAHAN NO.8807</v>
      </c>
      <c r="F2759" s="49" t="s">
        <v>537</v>
      </c>
      <c r="G2759" s="71" t="s">
        <v>538</v>
      </c>
      <c r="H2759" s="41"/>
      <c r="I2759" s="42"/>
      <c r="J2759" s="43"/>
      <c r="K2759" s="72">
        <v>60.0</v>
      </c>
      <c r="L2759" s="53" t="s">
        <v>69</v>
      </c>
      <c r="M2759" s="73">
        <v>2250.0</v>
      </c>
      <c r="N2759" s="74"/>
      <c r="O2759" s="73">
        <v>135000.0</v>
      </c>
      <c r="P2759" s="46" t="str">
        <f t="shared" si="2"/>
        <v>Rp2,250-60 PCS-0.00%</v>
      </c>
      <c r="Q2759" s="75">
        <v>45419.0</v>
      </c>
      <c r="R2759" s="75">
        <v>45418.0</v>
      </c>
      <c r="S2759" s="75">
        <v>45426.0</v>
      </c>
      <c r="T2759" s="49"/>
    </row>
    <row r="2760">
      <c r="A2760" s="90">
        <v>82.0</v>
      </c>
      <c r="B2760" s="91" t="s">
        <v>29</v>
      </c>
      <c r="C2760" s="49" t="s">
        <v>2418</v>
      </c>
      <c r="D2760" s="91" t="s">
        <v>827</v>
      </c>
      <c r="E2760" s="41" t="str">
        <f>IFERROR(__xludf.DUMMYFUNCTION("vlookup(D2760,IMPORTRANGE(""https://docs.google.com/spreadsheets/d/1swGwZOEqYlTEUCJLY-eeJM1911Kvaei5oySBIxdgtNo/edit?pli=1#gid=257618397"",""stock untanna!B:C""),2,false)"),"PAPAN WHITE BOARD XG POLOS 30 X 40")</f>
        <v>PAPAN WHITE BOARD XG POLOS 30 X 40</v>
      </c>
      <c r="F2760" s="49" t="s">
        <v>827</v>
      </c>
      <c r="G2760" s="71" t="s">
        <v>828</v>
      </c>
      <c r="H2760" s="41"/>
      <c r="I2760" s="42"/>
      <c r="J2760" s="43"/>
      <c r="K2760" s="72">
        <v>6.0</v>
      </c>
      <c r="L2760" s="53" t="s">
        <v>69</v>
      </c>
      <c r="M2760" s="73">
        <v>30000.0</v>
      </c>
      <c r="N2760" s="74"/>
      <c r="O2760" s="73">
        <v>180000.0</v>
      </c>
      <c r="P2760" s="46" t="str">
        <f t="shared" si="2"/>
        <v>Rp30,000-6 PCS-0.00%</v>
      </c>
      <c r="Q2760" s="75">
        <v>45419.0</v>
      </c>
      <c r="R2760" s="75">
        <v>45418.0</v>
      </c>
      <c r="S2760" s="75">
        <v>45426.0</v>
      </c>
      <c r="T2760" s="49"/>
    </row>
    <row r="2761">
      <c r="A2761" s="90">
        <v>82.0</v>
      </c>
      <c r="B2761" s="91" t="s">
        <v>29</v>
      </c>
      <c r="C2761" s="49" t="s">
        <v>2418</v>
      </c>
      <c r="D2761" s="91" t="s">
        <v>1171</v>
      </c>
      <c r="E2761" s="41" t="str">
        <f>IFERROR(__xludf.DUMMYFUNCTION("vlookup(D2761,IMPORTRANGE(""https://docs.google.com/spreadsheets/d/1swGwZOEqYlTEUCJLY-eeJM1911Kvaei5oySBIxdgtNo/edit?pli=1#gid=257618397"",""stock untanna!B:C""),2,false)"),"PAPAN WHITE BOARD XG POLOS 25 X 35")</f>
        <v>PAPAN WHITE BOARD XG POLOS 25 X 35</v>
      </c>
      <c r="F2761" s="49" t="s">
        <v>1171</v>
      </c>
      <c r="G2761" s="71" t="s">
        <v>1172</v>
      </c>
      <c r="H2761" s="41"/>
      <c r="I2761" s="42"/>
      <c r="J2761" s="43"/>
      <c r="K2761" s="72">
        <v>3.0</v>
      </c>
      <c r="L2761" s="53" t="s">
        <v>69</v>
      </c>
      <c r="M2761" s="73">
        <v>27000.0</v>
      </c>
      <c r="N2761" s="74"/>
      <c r="O2761" s="73">
        <v>81000.0</v>
      </c>
      <c r="P2761" s="46" t="str">
        <f t="shared" si="2"/>
        <v>Rp27,000-3 PCS-0.00%</v>
      </c>
      <c r="Q2761" s="75">
        <v>45419.0</v>
      </c>
      <c r="R2761" s="75">
        <v>45418.0</v>
      </c>
      <c r="S2761" s="75">
        <v>45426.0</v>
      </c>
      <c r="T2761" s="49"/>
    </row>
    <row r="2762">
      <c r="A2762" s="90">
        <v>82.0</v>
      </c>
      <c r="B2762" s="91" t="s">
        <v>29</v>
      </c>
      <c r="C2762" s="49" t="s">
        <v>2418</v>
      </c>
      <c r="D2762" s="91"/>
      <c r="E2762" s="41" t="s">
        <v>2848</v>
      </c>
      <c r="F2762" s="49"/>
      <c r="G2762" s="71" t="s">
        <v>2848</v>
      </c>
      <c r="H2762" s="41"/>
      <c r="I2762" s="42"/>
      <c r="J2762" s="43"/>
      <c r="K2762" s="72">
        <v>2.0</v>
      </c>
      <c r="L2762" s="53" t="s">
        <v>114</v>
      </c>
      <c r="M2762" s="73">
        <v>48000.0</v>
      </c>
      <c r="N2762" s="74"/>
      <c r="O2762" s="73">
        <v>96000.0</v>
      </c>
      <c r="P2762" s="46" t="str">
        <f t="shared" si="2"/>
        <v>Rp48,000-2 PAK-0.00%</v>
      </c>
      <c r="Q2762" s="75">
        <v>45419.0</v>
      </c>
      <c r="R2762" s="75">
        <v>45418.0</v>
      </c>
      <c r="S2762" s="75">
        <v>45426.0</v>
      </c>
      <c r="T2762" s="49"/>
    </row>
    <row r="2763">
      <c r="A2763" s="90">
        <v>83.0</v>
      </c>
      <c r="B2763" s="91" t="s">
        <v>29</v>
      </c>
      <c r="C2763" s="49" t="s">
        <v>2418</v>
      </c>
      <c r="D2763" s="91" t="s">
        <v>568</v>
      </c>
      <c r="E2763" s="41" t="str">
        <f>IFERROR(__xludf.DUMMYFUNCTION("vlookup(D2763,IMPORTRANGE(""https://docs.google.com/spreadsheets/d/1swGwZOEqYlTEUCJLY-eeJM1911Kvaei5oySBIxdgtNo/edit?pli=1#gid=257618397"",""stock untanna!B:C""),2,false)"),"PENSIL CASE SH-8704")</f>
        <v>PENSIL CASE SH-8704</v>
      </c>
      <c r="F2763" s="49" t="s">
        <v>568</v>
      </c>
      <c r="G2763" s="71" t="s">
        <v>569</v>
      </c>
      <c r="H2763" s="41"/>
      <c r="I2763" s="42"/>
      <c r="J2763" s="43"/>
      <c r="K2763" s="72">
        <v>12.0</v>
      </c>
      <c r="L2763" s="53" t="s">
        <v>69</v>
      </c>
      <c r="M2763" s="73">
        <v>25000.0</v>
      </c>
      <c r="N2763" s="74"/>
      <c r="O2763" s="73">
        <v>300000.0</v>
      </c>
      <c r="P2763" s="46" t="str">
        <f t="shared" si="2"/>
        <v>Rp25,000-12 PCS-0.00%</v>
      </c>
      <c r="Q2763" s="75">
        <v>45419.0</v>
      </c>
      <c r="R2763" s="75">
        <v>45418.0</v>
      </c>
      <c r="S2763" s="75">
        <v>45426.0</v>
      </c>
      <c r="T2763" s="49"/>
    </row>
    <row r="2764">
      <c r="A2764" s="90">
        <v>83.0</v>
      </c>
      <c r="B2764" s="91" t="s">
        <v>29</v>
      </c>
      <c r="C2764" s="49" t="s">
        <v>2418</v>
      </c>
      <c r="D2764" s="91" t="s">
        <v>2954</v>
      </c>
      <c r="E2764" s="41" t="str">
        <f>IFERROR(__xludf.DUMMYFUNCTION("vlookup(D2764,IMPORTRANGE(""https://docs.google.com/spreadsheets/d/1swGwZOEqYlTEUCJLY-eeJM1911Kvaei5oySBIxdgtNo/edit?pli=1#gid=257618397"",""stock untanna!B:C""),2,false)"),"PENSIL CASE SH-8705")</f>
        <v>PENSIL CASE SH-8705</v>
      </c>
      <c r="F2764" s="49" t="s">
        <v>2954</v>
      </c>
      <c r="G2764" s="71" t="s">
        <v>2955</v>
      </c>
      <c r="H2764" s="41"/>
      <c r="I2764" s="42"/>
      <c r="J2764" s="43"/>
      <c r="K2764" s="72">
        <v>12.0</v>
      </c>
      <c r="L2764" s="53" t="s">
        <v>69</v>
      </c>
      <c r="M2764" s="73">
        <v>25000.0</v>
      </c>
      <c r="N2764" s="74"/>
      <c r="O2764" s="73">
        <v>300000.0</v>
      </c>
      <c r="P2764" s="46" t="str">
        <f t="shared" si="2"/>
        <v>Rp25,000-12 PCS-0.00%</v>
      </c>
      <c r="Q2764" s="75">
        <v>45419.0</v>
      </c>
      <c r="R2764" s="75">
        <v>45418.0</v>
      </c>
      <c r="S2764" s="75">
        <v>45426.0</v>
      </c>
      <c r="T2764" s="49"/>
    </row>
    <row r="2765">
      <c r="A2765" s="90">
        <v>83.0</v>
      </c>
      <c r="B2765" s="91" t="s">
        <v>29</v>
      </c>
      <c r="C2765" s="49" t="s">
        <v>2418</v>
      </c>
      <c r="D2765" s="91"/>
      <c r="E2765" s="41" t="s">
        <v>1414</v>
      </c>
      <c r="F2765" s="49"/>
      <c r="G2765" s="71" t="s">
        <v>1414</v>
      </c>
      <c r="H2765" s="41"/>
      <c r="I2765" s="42"/>
      <c r="J2765" s="43"/>
      <c r="K2765" s="72">
        <v>1.0</v>
      </c>
      <c r="L2765" s="53" t="s">
        <v>62</v>
      </c>
      <c r="M2765" s="73">
        <v>150000.0</v>
      </c>
      <c r="N2765" s="74"/>
      <c r="O2765" s="73">
        <v>150000.0</v>
      </c>
      <c r="P2765" s="46" t="str">
        <f t="shared" si="2"/>
        <v>Rp150,000-1 LSN-0.00%</v>
      </c>
      <c r="Q2765" s="75">
        <v>45419.0</v>
      </c>
      <c r="R2765" s="75">
        <v>45418.0</v>
      </c>
      <c r="S2765" s="75">
        <v>45426.0</v>
      </c>
      <c r="T2765" s="49"/>
    </row>
    <row r="2766">
      <c r="A2766" s="90">
        <v>83.0</v>
      </c>
      <c r="B2766" s="91" t="s">
        <v>29</v>
      </c>
      <c r="C2766" s="49" t="s">
        <v>2418</v>
      </c>
      <c r="D2766" s="91" t="s">
        <v>1417</v>
      </c>
      <c r="E2766" s="41" t="str">
        <f>IFERROR(__xludf.DUMMYFUNCTION("vlookup(D2766,IMPORTRANGE(""https://docs.google.com/spreadsheets/d/1swGwZOEqYlTEUCJLY-eeJM1911Kvaei5oySBIxdgtNo/edit?pli=1#gid=257618397"",""stock untanna!B:C""),2,false)"),"PENCIL CASE B-126")</f>
        <v>PENCIL CASE B-126</v>
      </c>
      <c r="F2766" s="49" t="s">
        <v>1417</v>
      </c>
      <c r="G2766" s="71" t="s">
        <v>1418</v>
      </c>
      <c r="H2766" s="41"/>
      <c r="I2766" s="42"/>
      <c r="J2766" s="43"/>
      <c r="K2766" s="72">
        <v>12.0</v>
      </c>
      <c r="L2766" s="53" t="s">
        <v>69</v>
      </c>
      <c r="M2766" s="73">
        <v>11667.0</v>
      </c>
      <c r="N2766" s="74"/>
      <c r="O2766" s="73">
        <v>140004.0</v>
      </c>
      <c r="P2766" s="46" t="str">
        <f t="shared" si="2"/>
        <v>Rp11,667-12 PCS-0.00%</v>
      </c>
      <c r="Q2766" s="75">
        <v>45419.0</v>
      </c>
      <c r="R2766" s="75">
        <v>45418.0</v>
      </c>
      <c r="S2766" s="75">
        <v>45426.0</v>
      </c>
      <c r="T2766" s="80" t="s">
        <v>2820</v>
      </c>
    </row>
    <row r="2767">
      <c r="A2767" s="90">
        <v>83.0</v>
      </c>
      <c r="B2767" s="91" t="s">
        <v>29</v>
      </c>
      <c r="C2767" s="49" t="s">
        <v>2418</v>
      </c>
      <c r="D2767" s="91" t="s">
        <v>575</v>
      </c>
      <c r="E2767" s="41" t="str">
        <f>IFERROR(__xludf.DUMMYFUNCTION("vlookup(D2767,IMPORTRANGE(""https://docs.google.com/spreadsheets/d/1swGwZOEqYlTEUCJLY-eeJM1911Kvaei5oySBIxdgtNo/edit?pli=1#gid=257618397"",""stock untanna!B:C""),2,false)"),"PENSIL CASE SH-8702")</f>
        <v>PENSIL CASE SH-8702</v>
      </c>
      <c r="F2767" s="49" t="s">
        <v>575</v>
      </c>
      <c r="G2767" s="71" t="s">
        <v>576</v>
      </c>
      <c r="H2767" s="41"/>
      <c r="I2767" s="42"/>
      <c r="J2767" s="43"/>
      <c r="K2767" s="72">
        <v>12.0</v>
      </c>
      <c r="L2767" s="53" t="s">
        <v>69</v>
      </c>
      <c r="M2767" s="73">
        <v>25000.0</v>
      </c>
      <c r="N2767" s="74"/>
      <c r="O2767" s="73">
        <v>300000.0</v>
      </c>
      <c r="P2767" s="46" t="str">
        <f t="shared" si="2"/>
        <v>Rp25,000-12 PCS-0.00%</v>
      </c>
      <c r="Q2767" s="75">
        <v>45419.0</v>
      </c>
      <c r="R2767" s="75">
        <v>45418.0</v>
      </c>
      <c r="S2767" s="75">
        <v>45426.0</v>
      </c>
      <c r="T2767" s="49"/>
    </row>
    <row r="2768">
      <c r="A2768" s="90">
        <v>83.0</v>
      </c>
      <c r="B2768" s="91" t="s">
        <v>29</v>
      </c>
      <c r="C2768" s="49" t="s">
        <v>2418</v>
      </c>
      <c r="D2768" s="91"/>
      <c r="E2768" s="41" t="s">
        <v>2956</v>
      </c>
      <c r="F2768" s="49"/>
      <c r="G2768" s="71" t="s">
        <v>2956</v>
      </c>
      <c r="H2768" s="41"/>
      <c r="I2768" s="42"/>
      <c r="J2768" s="43"/>
      <c r="K2768" s="72">
        <v>1.0</v>
      </c>
      <c r="L2768" s="53" t="s">
        <v>62</v>
      </c>
      <c r="M2768" s="73">
        <v>350000.0</v>
      </c>
      <c r="N2768" s="74"/>
      <c r="O2768" s="73">
        <v>350000.0</v>
      </c>
      <c r="P2768" s="46" t="str">
        <f t="shared" si="2"/>
        <v>Rp350,000-1 LSN-0.00%</v>
      </c>
      <c r="Q2768" s="75">
        <v>45419.0</v>
      </c>
      <c r="R2768" s="75">
        <v>45418.0</v>
      </c>
      <c r="S2768" s="75">
        <v>45426.0</v>
      </c>
      <c r="T2768" s="80" t="s">
        <v>280</v>
      </c>
    </row>
    <row r="2769">
      <c r="A2769" s="90">
        <v>83.0</v>
      </c>
      <c r="B2769" s="91" t="s">
        <v>29</v>
      </c>
      <c r="C2769" s="49" t="s">
        <v>2418</v>
      </c>
      <c r="D2769" s="91" t="s">
        <v>1738</v>
      </c>
      <c r="E2769" s="41" t="str">
        <f>IFERROR(__xludf.DUMMYFUNCTION("vlookup(D2769,IMPORTRANGE(""https://docs.google.com/spreadsheets/d/1swGwZOEqYlTEUCJLY-eeJM1911Kvaei5oySBIxdgtNo/edit?pli=1#gid=257618397"",""stock untanna!B:C""),2,false)"),"ASAHAN DINOSAURUS 8188")</f>
        <v>ASAHAN DINOSAURUS 8188</v>
      </c>
      <c r="F2769" s="49" t="s">
        <v>1738</v>
      </c>
      <c r="G2769" s="71" t="s">
        <v>1739</v>
      </c>
      <c r="H2769" s="41"/>
      <c r="I2769" s="42"/>
      <c r="J2769" s="43"/>
      <c r="K2769" s="72">
        <v>48.0</v>
      </c>
      <c r="L2769" s="53" t="s">
        <v>69</v>
      </c>
      <c r="M2769" s="73">
        <v>2917.0</v>
      </c>
      <c r="N2769" s="74"/>
      <c r="O2769" s="73">
        <v>140016.0</v>
      </c>
      <c r="P2769" s="46" t="str">
        <f t="shared" si="2"/>
        <v>Rp2,917-48 PCS-0.00%</v>
      </c>
      <c r="Q2769" s="75">
        <v>45419.0</v>
      </c>
      <c r="R2769" s="75">
        <v>45418.0</v>
      </c>
      <c r="S2769" s="75">
        <v>45426.0</v>
      </c>
      <c r="T2769" s="49"/>
    </row>
    <row r="2770">
      <c r="A2770" s="90">
        <v>83.0</v>
      </c>
      <c r="B2770" s="91" t="s">
        <v>29</v>
      </c>
      <c r="C2770" s="49" t="s">
        <v>2418</v>
      </c>
      <c r="D2770" s="91" t="s">
        <v>1708</v>
      </c>
      <c r="E2770" s="41" t="str">
        <f>IFERROR(__xludf.DUMMYFUNCTION("vlookup(D2770,IMPORTRANGE(""https://docs.google.com/spreadsheets/d/1swGwZOEqYlTEUCJLY-eeJM1911Kvaei5oySBIxdgtNo/edit?pli=1#gid=257618397"",""stock untanna!B:C""),2,false)"),"ASAHAN DY-349B")</f>
        <v>ASAHAN DY-349B</v>
      </c>
      <c r="F2770" s="49" t="s">
        <v>1708</v>
      </c>
      <c r="G2770" s="71" t="s">
        <v>1709</v>
      </c>
      <c r="H2770" s="41"/>
      <c r="I2770" s="42"/>
      <c r="J2770" s="43"/>
      <c r="K2770" s="72">
        <v>12.0</v>
      </c>
      <c r="L2770" s="53" t="s">
        <v>69</v>
      </c>
      <c r="M2770" s="73">
        <v>1875.0</v>
      </c>
      <c r="N2770" s="74"/>
      <c r="O2770" s="73">
        <v>22500.0</v>
      </c>
      <c r="P2770" s="46" t="str">
        <f t="shared" si="2"/>
        <v>Rp1,875-12 PCS-0.00%</v>
      </c>
      <c r="Q2770" s="75">
        <v>45419.0</v>
      </c>
      <c r="R2770" s="75">
        <v>45418.0</v>
      </c>
      <c r="S2770" s="75">
        <v>45426.0</v>
      </c>
      <c r="T2770" s="49"/>
    </row>
    <row r="2771">
      <c r="A2771" s="90">
        <v>83.0</v>
      </c>
      <c r="B2771" s="91" t="s">
        <v>29</v>
      </c>
      <c r="C2771" s="49" t="s">
        <v>2418</v>
      </c>
      <c r="D2771" s="91" t="s">
        <v>1085</v>
      </c>
      <c r="E2771" s="41" t="str">
        <f>IFERROR(__xludf.DUMMYFUNCTION("vlookup(D2771,IMPORTRANGE(""https://docs.google.com/spreadsheets/d/1swGwZOEqYlTEUCJLY-eeJM1911Kvaei5oySBIxdgtNo/edit?pli=1#gid=257618397"",""stock untanna!B:C""),2,false)"),"GLITTER GF-32")</f>
        <v>GLITTER GF-32</v>
      </c>
      <c r="F2771" s="49" t="s">
        <v>1085</v>
      </c>
      <c r="G2771" s="71" t="s">
        <v>1086</v>
      </c>
      <c r="H2771" s="41"/>
      <c r="I2771" s="42"/>
      <c r="J2771" s="43"/>
      <c r="K2771" s="72">
        <v>64.0</v>
      </c>
      <c r="L2771" s="53" t="s">
        <v>69</v>
      </c>
      <c r="M2771" s="73">
        <v>2125.0</v>
      </c>
      <c r="N2771" s="74"/>
      <c r="O2771" s="73">
        <v>136000.0</v>
      </c>
      <c r="P2771" s="46" t="str">
        <f t="shared" si="2"/>
        <v>Rp2,125-64 PCS-0.00%</v>
      </c>
      <c r="Q2771" s="75">
        <v>45419.0</v>
      </c>
      <c r="R2771" s="75">
        <v>45418.0</v>
      </c>
      <c r="S2771" s="75">
        <v>45426.0</v>
      </c>
      <c r="T2771" s="49"/>
    </row>
    <row r="2772">
      <c r="A2772" s="90">
        <v>83.0</v>
      </c>
      <c r="B2772" s="91" t="s">
        <v>29</v>
      </c>
      <c r="C2772" s="49" t="s">
        <v>2418</v>
      </c>
      <c r="D2772" s="91" t="s">
        <v>615</v>
      </c>
      <c r="E2772" s="41" t="str">
        <f>IFERROR(__xludf.DUMMYFUNCTION("vlookup(D2772,IMPORTRANGE(""https://docs.google.com/spreadsheets/d/1swGwZOEqYlTEUCJLY-eeJM1911Kvaei5oySBIxdgtNo/edit?pli=1#gid=257618397"",""stock untanna!B:C""),2,false)"),"GLITTER GF-88")</f>
        <v>GLITTER GF-88</v>
      </c>
      <c r="F2772" s="49" t="s">
        <v>615</v>
      </c>
      <c r="G2772" s="71" t="s">
        <v>616</v>
      </c>
      <c r="H2772" s="41"/>
      <c r="I2772" s="42"/>
      <c r="J2772" s="43"/>
      <c r="K2772" s="72">
        <v>3.0</v>
      </c>
      <c r="L2772" s="53" t="s">
        <v>62</v>
      </c>
      <c r="M2772" s="73">
        <v>20000.0</v>
      </c>
      <c r="N2772" s="74"/>
      <c r="O2772" s="73">
        <v>60000.0</v>
      </c>
      <c r="P2772" s="46" t="str">
        <f t="shared" si="2"/>
        <v>Rp20,000-3 LSN-0.00%</v>
      </c>
      <c r="Q2772" s="75">
        <v>45419.0</v>
      </c>
      <c r="R2772" s="75">
        <v>45418.0</v>
      </c>
      <c r="S2772" s="75">
        <v>45426.0</v>
      </c>
      <c r="T2772" s="49"/>
    </row>
    <row r="2773">
      <c r="A2773" s="90">
        <v>83.0</v>
      </c>
      <c r="B2773" s="91" t="s">
        <v>29</v>
      </c>
      <c r="C2773" s="49" t="s">
        <v>2418</v>
      </c>
      <c r="D2773" s="91"/>
      <c r="E2773" s="41" t="s">
        <v>2957</v>
      </c>
      <c r="F2773" s="49"/>
      <c r="G2773" s="71" t="s">
        <v>2957</v>
      </c>
      <c r="H2773" s="41"/>
      <c r="I2773" s="42"/>
      <c r="J2773" s="43"/>
      <c r="K2773" s="72">
        <v>2.0</v>
      </c>
      <c r="L2773" s="53" t="s">
        <v>62</v>
      </c>
      <c r="M2773" s="73">
        <v>20000.0</v>
      </c>
      <c r="N2773" s="74"/>
      <c r="O2773" s="73">
        <v>40000.0</v>
      </c>
      <c r="P2773" s="46" t="str">
        <f t="shared" si="2"/>
        <v>Rp20,000-2 LSN-0.00%</v>
      </c>
      <c r="Q2773" s="75">
        <v>45419.0</v>
      </c>
      <c r="R2773" s="75">
        <v>45418.0</v>
      </c>
      <c r="S2773" s="75">
        <v>45426.0</v>
      </c>
      <c r="T2773" s="49"/>
    </row>
    <row r="2774">
      <c r="A2774" s="90">
        <v>83.0</v>
      </c>
      <c r="B2774" s="91" t="s">
        <v>29</v>
      </c>
      <c r="C2774" s="49" t="s">
        <v>2418</v>
      </c>
      <c r="D2774" s="91"/>
      <c r="E2774" s="41" t="s">
        <v>2958</v>
      </c>
      <c r="F2774" s="49"/>
      <c r="G2774" s="71" t="s">
        <v>2958</v>
      </c>
      <c r="H2774" s="41"/>
      <c r="I2774" s="42"/>
      <c r="J2774" s="43"/>
      <c r="K2774" s="72">
        <v>1.0</v>
      </c>
      <c r="L2774" s="53" t="s">
        <v>62</v>
      </c>
      <c r="M2774" s="73">
        <v>50000.0</v>
      </c>
      <c r="N2774" s="74"/>
      <c r="O2774" s="73">
        <v>50000.0</v>
      </c>
      <c r="P2774" s="46" t="str">
        <f t="shared" si="2"/>
        <v>Rp50,000-1 LSN-0.00%</v>
      </c>
      <c r="Q2774" s="75">
        <v>45419.0</v>
      </c>
      <c r="R2774" s="75">
        <v>45418.0</v>
      </c>
      <c r="S2774" s="75">
        <v>45426.0</v>
      </c>
      <c r="T2774" s="80" t="s">
        <v>280</v>
      </c>
    </row>
    <row r="2775">
      <c r="A2775" s="90">
        <v>83.0</v>
      </c>
      <c r="B2775" s="91" t="s">
        <v>29</v>
      </c>
      <c r="C2775" s="49" t="s">
        <v>2418</v>
      </c>
      <c r="D2775" s="91" t="s">
        <v>511</v>
      </c>
      <c r="E2775" s="41" t="str">
        <f>IFERROR(__xludf.DUMMYFUNCTION("vlookup(D2775,IMPORTRANGE(""https://docs.google.com/spreadsheets/d/1swGwZOEqYlTEUCJLY-eeJM1911Kvaei5oySBIxdgtNo/edit?pli=1#gid=257618397"",""stock untanna!B:C""),2,false)"),"TAPE 1505 FANCY")</f>
        <v>TAPE 1505 FANCY</v>
      </c>
      <c r="F2775" s="49" t="s">
        <v>511</v>
      </c>
      <c r="G2775" s="71" t="s">
        <v>512</v>
      </c>
      <c r="H2775" s="41"/>
      <c r="I2775" s="42"/>
      <c r="J2775" s="43"/>
      <c r="K2775" s="72">
        <v>100.0</v>
      </c>
      <c r="L2775" s="53" t="s">
        <v>69</v>
      </c>
      <c r="M2775" s="73">
        <v>950.0</v>
      </c>
      <c r="N2775" s="74"/>
      <c r="O2775" s="73">
        <v>95000.0</v>
      </c>
      <c r="P2775" s="46" t="str">
        <f t="shared" si="2"/>
        <v>Rp950-100 PCS-0.00%</v>
      </c>
      <c r="Q2775" s="75">
        <v>45419.0</v>
      </c>
      <c r="R2775" s="75">
        <v>45418.0</v>
      </c>
      <c r="S2775" s="75">
        <v>45426.0</v>
      </c>
      <c r="T2775" s="49"/>
    </row>
    <row r="2776">
      <c r="A2776" s="90">
        <v>83.0</v>
      </c>
      <c r="B2776" s="91" t="s">
        <v>29</v>
      </c>
      <c r="C2776" s="49" t="s">
        <v>2418</v>
      </c>
      <c r="D2776" s="91"/>
      <c r="E2776" s="41" t="s">
        <v>1759</v>
      </c>
      <c r="F2776" s="49"/>
      <c r="G2776" s="71" t="s">
        <v>1759</v>
      </c>
      <c r="H2776" s="41"/>
      <c r="I2776" s="42"/>
      <c r="J2776" s="43"/>
      <c r="K2776" s="72">
        <v>10.0</v>
      </c>
      <c r="L2776" s="53" t="s">
        <v>114</v>
      </c>
      <c r="M2776" s="73">
        <v>9500.0</v>
      </c>
      <c r="N2776" s="74"/>
      <c r="O2776" s="73">
        <v>95000.0</v>
      </c>
      <c r="P2776" s="46" t="str">
        <f t="shared" si="2"/>
        <v>Rp9,500-10 PAK-0.00%</v>
      </c>
      <c r="Q2776" s="75">
        <v>45419.0</v>
      </c>
      <c r="R2776" s="75">
        <v>45418.0</v>
      </c>
      <c r="S2776" s="75">
        <v>45426.0</v>
      </c>
      <c r="T2776" s="80" t="s">
        <v>280</v>
      </c>
    </row>
    <row r="2777">
      <c r="A2777" s="90">
        <v>83.0</v>
      </c>
      <c r="B2777" s="91" t="s">
        <v>29</v>
      </c>
      <c r="C2777" s="49" t="s">
        <v>2418</v>
      </c>
      <c r="D2777" s="91" t="s">
        <v>2959</v>
      </c>
      <c r="E2777" s="41" t="str">
        <f>IFERROR(__xludf.DUMMYFUNCTION("vlookup(D2777,IMPORTRANGE(""https://docs.google.com/spreadsheets/d/1swGwZOEqYlTEUCJLY-eeJM1911Kvaei5oySBIxdgtNo/edit?pli=1#gid=257618397"",""stock untanna!B:C""),2,false)"),"STIP TRIFELLO TF-377 (24)")</f>
        <v>STIP TRIFELLO TF-377 (24)</v>
      </c>
      <c r="F2777" s="49" t="s">
        <v>2959</v>
      </c>
      <c r="G2777" s="71" t="s">
        <v>2960</v>
      </c>
      <c r="H2777" s="41"/>
      <c r="I2777" s="42"/>
      <c r="J2777" s="43"/>
      <c r="K2777" s="72">
        <v>2.0</v>
      </c>
      <c r="L2777" s="53" t="s">
        <v>88</v>
      </c>
      <c r="M2777" s="73">
        <v>24000.0</v>
      </c>
      <c r="N2777" s="74"/>
      <c r="O2777" s="73">
        <v>48000.0</v>
      </c>
      <c r="P2777" s="46" t="str">
        <f t="shared" si="2"/>
        <v>Rp24,000-2 BOX-0.00%</v>
      </c>
      <c r="Q2777" s="75">
        <v>45419.0</v>
      </c>
      <c r="R2777" s="75">
        <v>45418.0</v>
      </c>
      <c r="S2777" s="75">
        <v>45426.0</v>
      </c>
      <c r="T2777" s="49"/>
    </row>
    <row r="2778">
      <c r="A2778" s="90">
        <v>83.0</v>
      </c>
      <c r="B2778" s="91" t="s">
        <v>29</v>
      </c>
      <c r="C2778" s="49" t="s">
        <v>2418</v>
      </c>
      <c r="D2778" s="91"/>
      <c r="E2778" s="41" t="s">
        <v>2961</v>
      </c>
      <c r="F2778" s="49"/>
      <c r="G2778" s="71" t="s">
        <v>2961</v>
      </c>
      <c r="H2778" s="41"/>
      <c r="I2778" s="42"/>
      <c r="J2778" s="43"/>
      <c r="K2778" s="72">
        <v>1.0</v>
      </c>
      <c r="L2778" s="53" t="s">
        <v>114</v>
      </c>
      <c r="M2778" s="73">
        <v>20000.0</v>
      </c>
      <c r="N2778" s="74"/>
      <c r="O2778" s="73">
        <v>20000.0</v>
      </c>
      <c r="P2778" s="46" t="str">
        <f t="shared" si="2"/>
        <v>Rp20,000-1 PAK-0.00%</v>
      </c>
      <c r="Q2778" s="75">
        <v>45419.0</v>
      </c>
      <c r="R2778" s="75">
        <v>45418.0</v>
      </c>
      <c r="S2778" s="75">
        <v>45426.0</v>
      </c>
      <c r="T2778" s="49"/>
    </row>
    <row r="2779">
      <c r="A2779" s="90">
        <v>84.0</v>
      </c>
      <c r="B2779" s="91" t="s">
        <v>29</v>
      </c>
      <c r="C2779" s="49" t="s">
        <v>2418</v>
      </c>
      <c r="D2779" s="91"/>
      <c r="E2779" s="41" t="s">
        <v>2962</v>
      </c>
      <c r="F2779" s="49"/>
      <c r="G2779" s="71" t="s">
        <v>2962</v>
      </c>
      <c r="H2779" s="41"/>
      <c r="I2779" s="42"/>
      <c r="J2779" s="43"/>
      <c r="K2779" s="72">
        <v>1.0</v>
      </c>
      <c r="L2779" s="53" t="s">
        <v>62</v>
      </c>
      <c r="M2779" s="73">
        <v>80000.0</v>
      </c>
      <c r="N2779" s="74"/>
      <c r="O2779" s="73">
        <v>80000.0</v>
      </c>
      <c r="P2779" s="46" t="str">
        <f t="shared" si="2"/>
        <v>Rp80,000-1 LSN-0.00%</v>
      </c>
      <c r="Q2779" s="75">
        <v>45419.0</v>
      </c>
      <c r="R2779" s="76"/>
      <c r="S2779" s="75">
        <v>45426.0</v>
      </c>
      <c r="T2779" s="80" t="s">
        <v>280</v>
      </c>
    </row>
    <row r="2780">
      <c r="A2780" s="90">
        <v>84.0</v>
      </c>
      <c r="B2780" s="91" t="s">
        <v>29</v>
      </c>
      <c r="C2780" s="49" t="s">
        <v>2418</v>
      </c>
      <c r="D2780" s="91"/>
      <c r="E2780" s="41" t="s">
        <v>1140</v>
      </c>
      <c r="F2780" s="49"/>
      <c r="G2780" s="71" t="s">
        <v>1140</v>
      </c>
      <c r="H2780" s="41"/>
      <c r="I2780" s="42"/>
      <c r="J2780" s="43"/>
      <c r="K2780" s="72">
        <v>1.0</v>
      </c>
      <c r="L2780" s="53" t="s">
        <v>62</v>
      </c>
      <c r="M2780" s="73">
        <v>65000.0</v>
      </c>
      <c r="N2780" s="74"/>
      <c r="O2780" s="73">
        <v>65000.0</v>
      </c>
      <c r="P2780" s="46" t="str">
        <f t="shared" si="2"/>
        <v>Rp65,000-1 LSN-0.00%</v>
      </c>
      <c r="Q2780" s="75">
        <v>45419.0</v>
      </c>
      <c r="R2780" s="76"/>
      <c r="S2780" s="75">
        <v>45426.0</v>
      </c>
      <c r="T2780" s="80" t="s">
        <v>280</v>
      </c>
    </row>
    <row r="2781">
      <c r="A2781" s="90">
        <v>84.0</v>
      </c>
      <c r="B2781" s="91" t="s">
        <v>29</v>
      </c>
      <c r="C2781" s="49" t="s">
        <v>2418</v>
      </c>
      <c r="D2781" s="91"/>
      <c r="E2781" s="41" t="s">
        <v>1159</v>
      </c>
      <c r="F2781" s="49"/>
      <c r="G2781" s="71" t="s">
        <v>1159</v>
      </c>
      <c r="H2781" s="41"/>
      <c r="I2781" s="42"/>
      <c r="J2781" s="43"/>
      <c r="K2781" s="72">
        <v>1.0</v>
      </c>
      <c r="L2781" s="53" t="s">
        <v>62</v>
      </c>
      <c r="M2781" s="73">
        <v>60000.0</v>
      </c>
      <c r="N2781" s="74"/>
      <c r="O2781" s="73">
        <v>60000.0</v>
      </c>
      <c r="P2781" s="46" t="str">
        <f t="shared" si="2"/>
        <v>Rp60,000-1 LSN-0.00%</v>
      </c>
      <c r="Q2781" s="75">
        <v>45419.0</v>
      </c>
      <c r="R2781" s="76"/>
      <c r="S2781" s="75">
        <v>45426.0</v>
      </c>
      <c r="T2781" s="80" t="s">
        <v>280</v>
      </c>
    </row>
    <row r="2782">
      <c r="A2782" s="90">
        <v>84.0</v>
      </c>
      <c r="B2782" s="91" t="s">
        <v>29</v>
      </c>
      <c r="C2782" s="49" t="s">
        <v>2418</v>
      </c>
      <c r="D2782" s="91"/>
      <c r="E2782" s="41" t="s">
        <v>2963</v>
      </c>
      <c r="F2782" s="49"/>
      <c r="G2782" s="71" t="s">
        <v>2963</v>
      </c>
      <c r="H2782" s="41"/>
      <c r="I2782" s="42"/>
      <c r="J2782" s="43"/>
      <c r="K2782" s="72">
        <v>1.0</v>
      </c>
      <c r="L2782" s="53" t="s">
        <v>62</v>
      </c>
      <c r="M2782" s="73">
        <v>160000.0</v>
      </c>
      <c r="N2782" s="74"/>
      <c r="O2782" s="73">
        <v>160000.0</v>
      </c>
      <c r="P2782" s="46" t="str">
        <f t="shared" si="2"/>
        <v>Rp160,000-1 LSN-0.00%</v>
      </c>
      <c r="Q2782" s="75">
        <v>45419.0</v>
      </c>
      <c r="R2782" s="76"/>
      <c r="S2782" s="75">
        <v>45426.0</v>
      </c>
      <c r="T2782" s="49"/>
    </row>
    <row r="2783">
      <c r="A2783" s="90">
        <v>84.0</v>
      </c>
      <c r="B2783" s="91" t="s">
        <v>29</v>
      </c>
      <c r="C2783" s="49" t="s">
        <v>2418</v>
      </c>
      <c r="D2783" s="91"/>
      <c r="E2783" s="41" t="s">
        <v>2964</v>
      </c>
      <c r="F2783" s="49"/>
      <c r="G2783" s="71" t="s">
        <v>2964</v>
      </c>
      <c r="H2783" s="41"/>
      <c r="I2783" s="42"/>
      <c r="J2783" s="43"/>
      <c r="K2783" s="72">
        <v>1.0</v>
      </c>
      <c r="L2783" s="53" t="s">
        <v>62</v>
      </c>
      <c r="M2783" s="73">
        <v>160000.0</v>
      </c>
      <c r="N2783" s="74"/>
      <c r="O2783" s="73">
        <v>160000.0</v>
      </c>
      <c r="P2783" s="46" t="str">
        <f t="shared" si="2"/>
        <v>Rp160,000-1 LSN-0.00%</v>
      </c>
      <c r="Q2783" s="75">
        <v>45419.0</v>
      </c>
      <c r="R2783" s="76"/>
      <c r="S2783" s="75">
        <v>45426.0</v>
      </c>
      <c r="T2783" s="49"/>
    </row>
    <row r="2784">
      <c r="A2784" s="90">
        <v>84.0</v>
      </c>
      <c r="B2784" s="91" t="s">
        <v>29</v>
      </c>
      <c r="C2784" s="49" t="s">
        <v>2418</v>
      </c>
      <c r="D2784" s="91" t="s">
        <v>1144</v>
      </c>
      <c r="E2784" s="41" t="str">
        <f>IFERROR(__xludf.DUMMYFUNCTION("vlookup(D2784,IMPORTRANGE(""https://docs.google.com/spreadsheets/d/1swGwZOEqYlTEUCJLY-eeJM1911Kvaei5oySBIxdgtNo/edit?pli=1#gid=257618397"",""stock untanna!B:C""),2,false)"),"PENSIL CASE 5853")</f>
        <v>PENSIL CASE 5853</v>
      </c>
      <c r="F2784" s="49" t="s">
        <v>1144</v>
      </c>
      <c r="G2784" s="71" t="s">
        <v>1145</v>
      </c>
      <c r="H2784" s="41"/>
      <c r="I2784" s="42"/>
      <c r="J2784" s="43"/>
      <c r="K2784" s="72">
        <v>12.0</v>
      </c>
      <c r="L2784" s="53" t="s">
        <v>69</v>
      </c>
      <c r="M2784" s="73">
        <v>29167.0</v>
      </c>
      <c r="N2784" s="74"/>
      <c r="O2784" s="73">
        <v>350004.0</v>
      </c>
      <c r="P2784" s="46" t="str">
        <f t="shared" si="2"/>
        <v>Rp29,167-12 PCS-0.00%</v>
      </c>
      <c r="Q2784" s="75">
        <v>45419.0</v>
      </c>
      <c r="R2784" s="76"/>
      <c r="S2784" s="75">
        <v>45426.0</v>
      </c>
      <c r="T2784" s="49"/>
    </row>
    <row r="2785">
      <c r="A2785" s="90">
        <v>84.0</v>
      </c>
      <c r="B2785" s="91" t="s">
        <v>29</v>
      </c>
      <c r="C2785" s="49" t="s">
        <v>2418</v>
      </c>
      <c r="D2785" s="77" t="s">
        <v>2965</v>
      </c>
      <c r="E2785" s="41" t="str">
        <f>IFERROR(__xludf.DUMMYFUNCTION("IFNA(vlookup(D2785,IMPORTRANGE(""https://docs.google.com/spreadsheets/d/1swGwZOEqYlTEUCJLY-eeJM1911Kvaei5oySBIxdgtNo/edit?pli=1#gid=257618397"",""stock untanna!B:C""),2,false),V:V)"),"MAGNET 2008")</f>
        <v>MAGNET 2008</v>
      </c>
      <c r="F2785" s="49"/>
      <c r="G2785" s="71" t="s">
        <v>2512</v>
      </c>
      <c r="H2785" s="41"/>
      <c r="I2785" s="42"/>
      <c r="J2785" s="85" t="s">
        <v>1319</v>
      </c>
      <c r="K2785" s="72">
        <v>1.0</v>
      </c>
      <c r="L2785" s="53" t="s">
        <v>62</v>
      </c>
      <c r="M2785" s="73">
        <v>120000.0</v>
      </c>
      <c r="N2785" s="74"/>
      <c r="O2785" s="73">
        <v>120000.0</v>
      </c>
      <c r="P2785" s="46" t="str">
        <f t="shared" si="2"/>
        <v>Rp120,000-1 LSN-0.00%</v>
      </c>
      <c r="Q2785" s="75">
        <v>45419.0</v>
      </c>
      <c r="R2785" s="76"/>
      <c r="S2785" s="75">
        <v>45426.0</v>
      </c>
      <c r="T2785" s="80" t="s">
        <v>280</v>
      </c>
    </row>
    <row r="2786">
      <c r="A2786" s="90">
        <v>84.0</v>
      </c>
      <c r="B2786" s="91" t="s">
        <v>29</v>
      </c>
      <c r="C2786" s="49" t="s">
        <v>2418</v>
      </c>
      <c r="D2786" s="91" t="s">
        <v>1710</v>
      </c>
      <c r="E2786" s="41" t="str">
        <f>IFERROR(__xludf.DUMMYFUNCTION("vlookup(D2786,IMPORTRANGE(""https://docs.google.com/spreadsheets/d/1swGwZOEqYlTEUCJLY-eeJM1911Kvaei5oySBIxdgtNo/edit?pli=1#gid=257618397"",""stock untanna!B:C""),2,false)"),"ASAHAN 395 B")</f>
        <v>ASAHAN 395 B</v>
      </c>
      <c r="F2786" s="49" t="s">
        <v>1710</v>
      </c>
      <c r="G2786" s="71" t="s">
        <v>1711</v>
      </c>
      <c r="H2786" s="41"/>
      <c r="I2786" s="42"/>
      <c r="J2786" s="43"/>
      <c r="K2786" s="72">
        <v>2.0</v>
      </c>
      <c r="L2786" s="53" t="s">
        <v>62</v>
      </c>
      <c r="M2786" s="73">
        <v>22500.0</v>
      </c>
      <c r="N2786" s="74"/>
      <c r="O2786" s="73">
        <v>45000.0</v>
      </c>
      <c r="P2786" s="46" t="str">
        <f t="shared" si="2"/>
        <v>Rp22,500-2 LSN-0.00%</v>
      </c>
      <c r="Q2786" s="75">
        <v>45419.0</v>
      </c>
      <c r="R2786" s="76"/>
      <c r="S2786" s="75">
        <v>45426.0</v>
      </c>
      <c r="T2786" s="49" t="s">
        <v>100</v>
      </c>
    </row>
    <row r="2787">
      <c r="A2787" s="90">
        <v>84.0</v>
      </c>
      <c r="B2787" s="91" t="s">
        <v>29</v>
      </c>
      <c r="C2787" s="49" t="s">
        <v>2418</v>
      </c>
      <c r="D2787" s="91" t="s">
        <v>2367</v>
      </c>
      <c r="E2787" s="41" t="str">
        <f>IFERROR(__xludf.DUMMYFUNCTION("vlookup(D2787,IMPORTRANGE(""https://docs.google.com/spreadsheets/d/1swGwZOEqYlTEUCJLY-eeJM1911Kvaei5oySBIxdgtNo/edit?pli=1#gid=257618397"",""stock untanna!B:C""),2,false)"),"ASAHAN PAYU 830 KUPU-KUPU")</f>
        <v>ASAHAN PAYU 830 KUPU-KUPU</v>
      </c>
      <c r="F2787" s="49" t="s">
        <v>2367</v>
      </c>
      <c r="G2787" s="71" t="s">
        <v>2368</v>
      </c>
      <c r="H2787" s="41"/>
      <c r="I2787" s="42"/>
      <c r="J2787" s="43"/>
      <c r="K2787" s="72">
        <v>4.0</v>
      </c>
      <c r="L2787" s="53" t="s">
        <v>88</v>
      </c>
      <c r="M2787" s="73">
        <v>16000.0</v>
      </c>
      <c r="N2787" s="74"/>
      <c r="O2787" s="73">
        <v>64000.0</v>
      </c>
      <c r="P2787" s="46" t="str">
        <f t="shared" si="2"/>
        <v>Rp16,000-4 BOX-0.00%</v>
      </c>
      <c r="Q2787" s="75">
        <v>45419.0</v>
      </c>
      <c r="R2787" s="76"/>
      <c r="S2787" s="75">
        <v>45426.0</v>
      </c>
      <c r="T2787" s="49"/>
    </row>
    <row r="2788">
      <c r="A2788" s="90">
        <v>84.0</v>
      </c>
      <c r="B2788" s="91" t="s">
        <v>29</v>
      </c>
      <c r="C2788" s="49" t="s">
        <v>2418</v>
      </c>
      <c r="D2788" s="91" t="s">
        <v>521</v>
      </c>
      <c r="E2788" s="41" t="str">
        <f>IFERROR(__xludf.DUMMYFUNCTION("vlookup(D2788,IMPORTRANGE(""https://docs.google.com/spreadsheets/d/1swGwZOEqYlTEUCJLY-eeJM1911Kvaei5oySBIxdgtNo/edit?pli=1#gid=257618397"",""stock untanna!B:C""),2,false)"),"ASAHAN PAYU 831 IKAN")</f>
        <v>ASAHAN PAYU 831 IKAN</v>
      </c>
      <c r="F2788" s="49" t="s">
        <v>521</v>
      </c>
      <c r="G2788" s="71" t="s">
        <v>522</v>
      </c>
      <c r="H2788" s="41"/>
      <c r="I2788" s="42"/>
      <c r="J2788" s="43"/>
      <c r="K2788" s="72">
        <v>4.0</v>
      </c>
      <c r="L2788" s="53" t="s">
        <v>88</v>
      </c>
      <c r="M2788" s="73">
        <v>16000.0</v>
      </c>
      <c r="N2788" s="74"/>
      <c r="O2788" s="73">
        <v>64000.0</v>
      </c>
      <c r="P2788" s="46" t="str">
        <f t="shared" si="2"/>
        <v>Rp16,000-4 BOX-0.00%</v>
      </c>
      <c r="Q2788" s="75">
        <v>45419.0</v>
      </c>
      <c r="R2788" s="76"/>
      <c r="S2788" s="75">
        <v>45426.0</v>
      </c>
      <c r="T2788" s="49"/>
    </row>
    <row r="2789">
      <c r="A2789" s="90">
        <v>84.0</v>
      </c>
      <c r="B2789" s="91" t="s">
        <v>29</v>
      </c>
      <c r="C2789" s="49" t="s">
        <v>2418</v>
      </c>
      <c r="D2789" s="91" t="s">
        <v>524</v>
      </c>
      <c r="E2789" s="41" t="str">
        <f>IFERROR(__xludf.DUMMYFUNCTION("vlookup(D2789,IMPORTRANGE(""https://docs.google.com/spreadsheets/d/1swGwZOEqYlTEUCJLY-eeJM1911Kvaei5oySBIxdgtNo/edit?pli=1#gid=257618397"",""stock untanna!B:C""),2,false)"),"ASAHAN PAYU 823 AYAM")</f>
        <v>ASAHAN PAYU 823 AYAM</v>
      </c>
      <c r="F2789" s="49" t="s">
        <v>524</v>
      </c>
      <c r="G2789" s="71" t="s">
        <v>525</v>
      </c>
      <c r="H2789" s="41"/>
      <c r="I2789" s="42"/>
      <c r="J2789" s="43"/>
      <c r="K2789" s="72">
        <v>4.0</v>
      </c>
      <c r="L2789" s="53" t="s">
        <v>88</v>
      </c>
      <c r="M2789" s="73">
        <v>16000.0</v>
      </c>
      <c r="N2789" s="74"/>
      <c r="O2789" s="73">
        <v>64000.0</v>
      </c>
      <c r="P2789" s="46" t="str">
        <f t="shared" si="2"/>
        <v>Rp16,000-4 BOX-0.00%</v>
      </c>
      <c r="Q2789" s="75">
        <v>45419.0</v>
      </c>
      <c r="R2789" s="76"/>
      <c r="S2789" s="75">
        <v>45426.0</v>
      </c>
      <c r="T2789" s="49"/>
    </row>
    <row r="2790">
      <c r="A2790" s="90">
        <v>84.0</v>
      </c>
      <c r="B2790" s="91" t="s">
        <v>29</v>
      </c>
      <c r="C2790" s="49" t="s">
        <v>2418</v>
      </c>
      <c r="D2790" s="91"/>
      <c r="E2790" s="41" t="s">
        <v>2966</v>
      </c>
      <c r="F2790" s="49"/>
      <c r="G2790" s="71" t="s">
        <v>2966</v>
      </c>
      <c r="H2790" s="41"/>
      <c r="I2790" s="42"/>
      <c r="J2790" s="43"/>
      <c r="K2790" s="72">
        <v>4.0</v>
      </c>
      <c r="L2790" s="53" t="s">
        <v>88</v>
      </c>
      <c r="M2790" s="73">
        <v>13500.0</v>
      </c>
      <c r="N2790" s="74"/>
      <c r="O2790" s="73">
        <v>54000.0</v>
      </c>
      <c r="P2790" s="46" t="str">
        <f t="shared" si="2"/>
        <v>Rp13,500-4 BOX-0.00%</v>
      </c>
      <c r="Q2790" s="75">
        <v>45419.0</v>
      </c>
      <c r="R2790" s="76"/>
      <c r="S2790" s="75">
        <v>45426.0</v>
      </c>
      <c r="T2790" s="49"/>
    </row>
    <row r="2791">
      <c r="A2791" s="90">
        <v>84.0</v>
      </c>
      <c r="B2791" s="91" t="s">
        <v>29</v>
      </c>
      <c r="C2791" s="49" t="s">
        <v>2418</v>
      </c>
      <c r="D2791" s="91" t="s">
        <v>77</v>
      </c>
      <c r="E2791" s="41" t="str">
        <f>IFERROR(__xludf.DUMMYFUNCTION("vlookup(D2791,IMPORTRANGE(""https://docs.google.com/spreadsheets/d/1swGwZOEqYlTEUCJLY-eeJM1911Kvaei5oySBIxdgtNo/edit?pli=1#gid=257618397"",""stock untanna!B:C""),2,false)"),"ID CARD B4 IMPORT")</f>
        <v>ID CARD B4 IMPORT</v>
      </c>
      <c r="F2791" s="49" t="s">
        <v>77</v>
      </c>
      <c r="G2791" s="71" t="s">
        <v>2409</v>
      </c>
      <c r="H2791" s="41"/>
      <c r="I2791" s="42"/>
      <c r="J2791" s="43"/>
      <c r="K2791" s="72">
        <v>200.0</v>
      </c>
      <c r="L2791" s="53" t="s">
        <v>69</v>
      </c>
      <c r="M2791" s="73">
        <v>1500.0</v>
      </c>
      <c r="N2791" s="74"/>
      <c r="O2791" s="73">
        <v>300000.0</v>
      </c>
      <c r="P2791" s="46" t="str">
        <f t="shared" si="2"/>
        <v>Rp1,500-200 PCS-0.00%</v>
      </c>
      <c r="Q2791" s="75">
        <v>45419.0</v>
      </c>
      <c r="R2791" s="76"/>
      <c r="S2791" s="75">
        <v>45426.0</v>
      </c>
      <c r="T2791" s="80" t="s">
        <v>2967</v>
      </c>
    </row>
    <row r="2792">
      <c r="A2792" s="90">
        <v>84.0</v>
      </c>
      <c r="B2792" s="91" t="s">
        <v>29</v>
      </c>
      <c r="C2792" s="49" t="s">
        <v>2418</v>
      </c>
      <c r="D2792" s="91" t="s">
        <v>2033</v>
      </c>
      <c r="E2792" s="41" t="str">
        <f>IFERROR(__xludf.DUMMYFUNCTION("vlookup(D2792,IMPORTRANGE(""https://docs.google.com/spreadsheets/d/1swGwZOEqYlTEUCJLY-eeJM1911Kvaei5oySBIxdgtNo/edit?pli=1#gid=257618397"",""stock untanna!B:C""),2,false)"),"ID CARD 2 SISI TRANSPARANT HITAM")</f>
        <v>ID CARD 2 SISI TRANSPARANT HITAM</v>
      </c>
      <c r="F2792" s="49" t="s">
        <v>2033</v>
      </c>
      <c r="G2792" s="71" t="s">
        <v>2034</v>
      </c>
      <c r="H2792" s="41"/>
      <c r="I2792" s="42"/>
      <c r="J2792" s="43"/>
      <c r="K2792" s="72">
        <v>50.0</v>
      </c>
      <c r="L2792" s="53" t="s">
        <v>69</v>
      </c>
      <c r="M2792" s="73">
        <v>1500.0</v>
      </c>
      <c r="N2792" s="74"/>
      <c r="O2792" s="73">
        <v>75000.0</v>
      </c>
      <c r="P2792" s="46" t="str">
        <f t="shared" si="2"/>
        <v>Rp1,500-50 PCS-0.00%</v>
      </c>
      <c r="Q2792" s="75">
        <v>45419.0</v>
      </c>
      <c r="R2792" s="76"/>
      <c r="S2792" s="75">
        <v>45426.0</v>
      </c>
      <c r="T2792" s="49"/>
    </row>
    <row r="2793">
      <c r="A2793" s="90">
        <v>84.0</v>
      </c>
      <c r="B2793" s="91" t="s">
        <v>29</v>
      </c>
      <c r="C2793" s="49" t="s">
        <v>2418</v>
      </c>
      <c r="D2793" s="91" t="s">
        <v>266</v>
      </c>
      <c r="E2793" s="41" t="str">
        <f>IFERROR(__xludf.DUMMYFUNCTION("vlookup(D2793,IMPORTRANGE(""https://docs.google.com/spreadsheets/d/1swGwZOEqYlTEUCJLY-eeJM1911Kvaei5oySBIxdgtNo/edit?pli=1#gid=257618397"",""stock untanna!B:C""),2,false)"),"BINDER NOTE B5-60 FPHY 002")</f>
        <v>BINDER NOTE B5-60 FPHY 002</v>
      </c>
      <c r="F2793" s="49" t="s">
        <v>266</v>
      </c>
      <c r="G2793" s="71" t="s">
        <v>267</v>
      </c>
      <c r="H2793" s="41"/>
      <c r="I2793" s="42"/>
      <c r="J2793" s="43"/>
      <c r="K2793" s="72">
        <v>12.0</v>
      </c>
      <c r="L2793" s="53" t="s">
        <v>69</v>
      </c>
      <c r="M2793" s="73">
        <v>37000.0</v>
      </c>
      <c r="N2793" s="74"/>
      <c r="O2793" s="73">
        <v>444000.0</v>
      </c>
      <c r="P2793" s="46" t="str">
        <f t="shared" si="2"/>
        <v>Rp37,000-12 PCS-0.00%</v>
      </c>
      <c r="Q2793" s="75">
        <v>45419.0</v>
      </c>
      <c r="R2793" s="76"/>
      <c r="S2793" s="75">
        <v>45426.0</v>
      </c>
      <c r="T2793" s="49"/>
    </row>
    <row r="2794">
      <c r="A2794" s="90">
        <v>163.0</v>
      </c>
      <c r="B2794" s="91" t="s">
        <v>29</v>
      </c>
      <c r="C2794" s="49" t="s">
        <v>2968</v>
      </c>
      <c r="D2794" s="91" t="s">
        <v>2341</v>
      </c>
      <c r="E2794" s="41" t="str">
        <f>IFERROR(__xludf.DUMMYFUNCTION("vlookup(D2794,IMPORTRANGE(""https://docs.google.com/spreadsheets/d/1swGwZOEqYlTEUCJLY-eeJM1911Kvaei5oySBIxdgtNo/edit?pli=1#gid=257618397"",""stock untanna!B:C""),2,false)"),"BP GEL KOALA GP-168-D VL")</f>
        <v>BP GEL KOALA GP-168-D VL</v>
      </c>
      <c r="F2794" s="49" t="s">
        <v>2341</v>
      </c>
      <c r="G2794" s="71" t="s">
        <v>2342</v>
      </c>
      <c r="H2794" s="41"/>
      <c r="I2794" s="42"/>
      <c r="J2794" s="43"/>
      <c r="K2794" s="72">
        <v>6.0</v>
      </c>
      <c r="L2794" s="53" t="s">
        <v>62</v>
      </c>
      <c r="M2794" s="73">
        <v>25000.0</v>
      </c>
      <c r="N2794" s="74"/>
      <c r="O2794" s="73">
        <v>150000.0</v>
      </c>
      <c r="P2794" s="46" t="str">
        <f t="shared" si="2"/>
        <v>Rp25,000-6 LSN-0.00%</v>
      </c>
      <c r="Q2794" s="75">
        <v>45419.0</v>
      </c>
      <c r="R2794" s="76"/>
      <c r="S2794" s="75">
        <v>45426.0</v>
      </c>
      <c r="T2794" s="49"/>
    </row>
    <row r="2795">
      <c r="A2795" s="90">
        <v>163.0</v>
      </c>
      <c r="B2795" s="91" t="s">
        <v>29</v>
      </c>
      <c r="C2795" s="49" t="s">
        <v>2968</v>
      </c>
      <c r="D2795" s="91" t="s">
        <v>2343</v>
      </c>
      <c r="E2795" s="41" t="str">
        <f>IFERROR(__xludf.DUMMYFUNCTION("vlookup(D2795,IMPORTRANGE(""https://docs.google.com/spreadsheets/d/1swGwZOEqYlTEUCJLY-eeJM1911Kvaei5oySBIxdgtNo/edit?pli=1#gid=257618397"",""stock untanna!B:C""),2,false)"),"BP GEL KOALA GP-168-E OR")</f>
        <v>BP GEL KOALA GP-168-E OR</v>
      </c>
      <c r="F2795" s="49" t="s">
        <v>2343</v>
      </c>
      <c r="G2795" s="71" t="s">
        <v>2344</v>
      </c>
      <c r="H2795" s="41"/>
      <c r="I2795" s="42"/>
      <c r="J2795" s="43"/>
      <c r="K2795" s="72">
        <v>6.0</v>
      </c>
      <c r="L2795" s="53" t="s">
        <v>62</v>
      </c>
      <c r="M2795" s="73">
        <v>25000.0</v>
      </c>
      <c r="N2795" s="74"/>
      <c r="O2795" s="73">
        <v>150000.0</v>
      </c>
      <c r="P2795" s="46" t="str">
        <f t="shared" si="2"/>
        <v>Rp25,000-6 LSN-0.00%</v>
      </c>
      <c r="Q2795" s="75">
        <v>45419.0</v>
      </c>
      <c r="R2795" s="76"/>
      <c r="S2795" s="75">
        <v>45426.0</v>
      </c>
      <c r="T2795" s="49"/>
    </row>
    <row r="2796">
      <c r="A2796" s="90">
        <v>163.0</v>
      </c>
      <c r="B2796" s="91" t="s">
        <v>29</v>
      </c>
      <c r="C2796" s="49" t="s">
        <v>2968</v>
      </c>
      <c r="D2796" s="91" t="s">
        <v>2335</v>
      </c>
      <c r="E2796" s="41" t="str">
        <f>IFERROR(__xludf.DUMMYFUNCTION("vlookup(D2796,IMPORTRANGE(""https://docs.google.com/spreadsheets/d/1swGwZOEqYlTEUCJLY-eeJM1911Kvaei5oySBIxdgtNo/edit?pli=1#gid=257618397"",""stock untanna!B:C""),2,false)"),"BP GEL KOALA GP-168-A MERAH")</f>
        <v>BP GEL KOALA GP-168-A MERAH</v>
      </c>
      <c r="F2796" s="49" t="s">
        <v>2335</v>
      </c>
      <c r="G2796" s="71" t="s">
        <v>2336</v>
      </c>
      <c r="H2796" s="41"/>
      <c r="I2796" s="42"/>
      <c r="J2796" s="43"/>
      <c r="K2796" s="72">
        <v>6.0</v>
      </c>
      <c r="L2796" s="53" t="s">
        <v>62</v>
      </c>
      <c r="M2796" s="73">
        <v>25000.0</v>
      </c>
      <c r="N2796" s="74"/>
      <c r="O2796" s="73">
        <v>150000.0</v>
      </c>
      <c r="P2796" s="46" t="str">
        <f t="shared" si="2"/>
        <v>Rp25,000-6 LSN-0.00%</v>
      </c>
      <c r="Q2796" s="75">
        <v>45419.0</v>
      </c>
      <c r="R2796" s="76"/>
      <c r="S2796" s="75">
        <v>45426.0</v>
      </c>
      <c r="T2796" s="49"/>
    </row>
    <row r="2797">
      <c r="A2797" s="90">
        <v>163.0</v>
      </c>
      <c r="B2797" s="91" t="s">
        <v>29</v>
      </c>
      <c r="C2797" s="49" t="s">
        <v>2968</v>
      </c>
      <c r="D2797" s="91" t="s">
        <v>2347</v>
      </c>
      <c r="E2797" s="41" t="str">
        <f>IFERROR(__xludf.DUMMYFUNCTION("vlookup(D2797,IMPORTRANGE(""https://docs.google.com/spreadsheets/d/1swGwZOEqYlTEUCJLY-eeJM1911Kvaei5oySBIxdgtNo/edit?pli=1#gid=257618397"",""stock untanna!B:C""),2,false)"),"BP GEL KOALA GP-168-G PK")</f>
        <v>BP GEL KOALA GP-168-G PK</v>
      </c>
      <c r="F2797" s="49" t="s">
        <v>2347</v>
      </c>
      <c r="G2797" s="71" t="s">
        <v>2348</v>
      </c>
      <c r="H2797" s="41"/>
      <c r="I2797" s="42"/>
      <c r="J2797" s="43"/>
      <c r="K2797" s="72">
        <v>6.0</v>
      </c>
      <c r="L2797" s="53" t="s">
        <v>62</v>
      </c>
      <c r="M2797" s="73">
        <v>25000.0</v>
      </c>
      <c r="N2797" s="74"/>
      <c r="O2797" s="73">
        <v>150000.0</v>
      </c>
      <c r="P2797" s="46" t="str">
        <f t="shared" si="2"/>
        <v>Rp25,000-6 LSN-0.00%</v>
      </c>
      <c r="Q2797" s="75">
        <v>45419.0</v>
      </c>
      <c r="R2797" s="76"/>
      <c r="S2797" s="75">
        <v>45426.0</v>
      </c>
      <c r="T2797" s="49"/>
    </row>
    <row r="2798">
      <c r="A2798" s="90">
        <v>163.0</v>
      </c>
      <c r="B2798" s="91" t="s">
        <v>29</v>
      </c>
      <c r="C2798" s="49" t="s">
        <v>2968</v>
      </c>
      <c r="D2798" s="91" t="s">
        <v>700</v>
      </c>
      <c r="E2798" s="41" t="str">
        <f>IFERROR(__xludf.DUMMYFUNCTION("vlookup(D2798,IMPORTRANGE(""https://docs.google.com/spreadsheets/d/1swGwZOEqYlTEUCJLY-eeJM1911Kvaei5oySBIxdgtNo/edit?pli=1#gid=257618397"",""stock untanna!B:C""),2,false)"),"BP TIZO KLIK TG 3300")</f>
        <v>BP TIZO KLIK TG 3300</v>
      </c>
      <c r="F2798" s="49" t="s">
        <v>700</v>
      </c>
      <c r="G2798" s="71" t="s">
        <v>701</v>
      </c>
      <c r="H2798" s="41"/>
      <c r="I2798" s="42"/>
      <c r="J2798" s="43"/>
      <c r="K2798" s="72">
        <v>12.0</v>
      </c>
      <c r="L2798" s="53" t="s">
        <v>62</v>
      </c>
      <c r="M2798" s="73">
        <v>30000.0</v>
      </c>
      <c r="N2798" s="74"/>
      <c r="O2798" s="73">
        <v>360000.0</v>
      </c>
      <c r="P2798" s="46" t="str">
        <f t="shared" si="2"/>
        <v>Rp30,000-12 LSN-0.00%</v>
      </c>
      <c r="Q2798" s="75">
        <v>45419.0</v>
      </c>
      <c r="R2798" s="76"/>
      <c r="S2798" s="75">
        <v>45426.0</v>
      </c>
      <c r="T2798" s="49"/>
    </row>
    <row r="2799">
      <c r="A2799" s="90">
        <v>163.0</v>
      </c>
      <c r="B2799" s="91" t="s">
        <v>29</v>
      </c>
      <c r="C2799" s="49" t="s">
        <v>2968</v>
      </c>
      <c r="D2799" s="91" t="s">
        <v>1307</v>
      </c>
      <c r="E2799" s="41" t="str">
        <f>IFERROR(__xludf.DUMMYFUNCTION("vlookup(D2799,IMPORTRANGE(""https://docs.google.com/spreadsheets/d/1swGwZOEqYlTEUCJLY-eeJM1911Kvaei5oySBIxdgtNo/edit?pli=1#gid=257618397"",""stock untanna!B:C""),2,false)"),"BP E 8805 MULTI WARNA (24)")</f>
        <v>BP E 8805 MULTI WARNA (24)</v>
      </c>
      <c r="F2799" s="49" t="s">
        <v>1307</v>
      </c>
      <c r="G2799" s="71" t="s">
        <v>1308</v>
      </c>
      <c r="H2799" s="41"/>
      <c r="I2799" s="42"/>
      <c r="J2799" s="43"/>
      <c r="K2799" s="72">
        <v>1.0</v>
      </c>
      <c r="L2799" s="53" t="s">
        <v>88</v>
      </c>
      <c r="M2799" s="73">
        <v>156000.0</v>
      </c>
      <c r="N2799" s="74"/>
      <c r="O2799" s="73">
        <v>156000.0</v>
      </c>
      <c r="P2799" s="46" t="str">
        <f t="shared" si="2"/>
        <v>Rp156,000-1 BOX-0.00%</v>
      </c>
      <c r="Q2799" s="75">
        <v>45419.0</v>
      </c>
      <c r="R2799" s="76"/>
      <c r="S2799" s="75">
        <v>45426.0</v>
      </c>
      <c r="T2799" s="49"/>
    </row>
    <row r="2800">
      <c r="A2800" s="90">
        <v>163.0</v>
      </c>
      <c r="B2800" s="91" t="s">
        <v>29</v>
      </c>
      <c r="C2800" s="49" t="s">
        <v>2968</v>
      </c>
      <c r="D2800" s="91" t="s">
        <v>1611</v>
      </c>
      <c r="E2800" s="41" t="str">
        <f>IFERROR(__xludf.DUMMYFUNCTION("vlookup(D2800,IMPORTRANGE(""https://docs.google.com/spreadsheets/d/1swGwZOEqYlTEUCJLY-eeJM1911Kvaei5oySBIxdgtNo/edit?pli=1#gid=257618397"",""stock untanna!B:C""),2,false)"),"TIPEX KERTAS 7013 MINI")</f>
        <v>TIPEX KERTAS 7013 MINI</v>
      </c>
      <c r="F2800" s="49" t="s">
        <v>1611</v>
      </c>
      <c r="G2800" s="71" t="s">
        <v>1612</v>
      </c>
      <c r="H2800" s="41"/>
      <c r="I2800" s="42"/>
      <c r="J2800" s="43"/>
      <c r="K2800" s="72">
        <v>2.0</v>
      </c>
      <c r="L2800" s="53" t="s">
        <v>62</v>
      </c>
      <c r="M2800" s="73">
        <v>27500.0</v>
      </c>
      <c r="N2800" s="74"/>
      <c r="O2800" s="73">
        <v>55000.0</v>
      </c>
      <c r="P2800" s="46" t="str">
        <f t="shared" si="2"/>
        <v>Rp27,500-2 LSN-0.00%</v>
      </c>
      <c r="Q2800" s="75">
        <v>45419.0</v>
      </c>
      <c r="R2800" s="76"/>
      <c r="S2800" s="75">
        <v>45426.0</v>
      </c>
      <c r="T2800" s="49"/>
    </row>
    <row r="2801">
      <c r="A2801" s="90">
        <v>163.0</v>
      </c>
      <c r="B2801" s="91" t="s">
        <v>29</v>
      </c>
      <c r="C2801" s="49" t="s">
        <v>2968</v>
      </c>
      <c r="D2801" s="91" t="s">
        <v>465</v>
      </c>
      <c r="E2801" s="41" t="str">
        <f>IFERROR(__xludf.DUMMYFUNCTION("vlookup(D2801,IMPORTRANGE(""https://docs.google.com/spreadsheets/d/1swGwZOEqYlTEUCJLY-eeJM1911Kvaei5oySBIxdgtNo/edit?pli=1#gid=257618397"",""stock untanna!B:C""),2,false)"),"TIPEX KERTAS 8525")</f>
        <v>TIPEX KERTAS 8525</v>
      </c>
      <c r="F2801" s="49" t="s">
        <v>465</v>
      </c>
      <c r="G2801" s="71" t="s">
        <v>466</v>
      </c>
      <c r="H2801" s="41"/>
      <c r="I2801" s="42"/>
      <c r="J2801" s="43"/>
      <c r="K2801" s="72">
        <v>2.0</v>
      </c>
      <c r="L2801" s="53" t="s">
        <v>62</v>
      </c>
      <c r="M2801" s="73">
        <v>110000.0</v>
      </c>
      <c r="N2801" s="74"/>
      <c r="O2801" s="73">
        <v>220000.0</v>
      </c>
      <c r="P2801" s="46" t="str">
        <f t="shared" si="2"/>
        <v>Rp110,000-2 LSN-0.00%</v>
      </c>
      <c r="Q2801" s="75">
        <v>45419.0</v>
      </c>
      <c r="R2801" s="76"/>
      <c r="S2801" s="75">
        <v>45426.0</v>
      </c>
      <c r="T2801" s="49"/>
    </row>
    <row r="2802">
      <c r="A2802" s="90">
        <v>163.0</v>
      </c>
      <c r="B2802" s="91" t="s">
        <v>29</v>
      </c>
      <c r="C2802" s="49" t="s">
        <v>2968</v>
      </c>
      <c r="D2802" s="91" t="s">
        <v>757</v>
      </c>
      <c r="E2802" s="41" t="str">
        <f>IFERROR(__xludf.DUMMYFUNCTION("vlookup(D2802,IMPORTRANGE(""https://docs.google.com/spreadsheets/d/1swGwZOEqYlTEUCJLY-eeJM1911Kvaei5oySBIxdgtNo/edit?pli=1#gid=257618397"",""stock untanna!B:C""),2,false)"),"TIPEX MICROTOP MT 737")</f>
        <v>TIPEX MICROTOP MT 737</v>
      </c>
      <c r="F2802" s="49" t="s">
        <v>757</v>
      </c>
      <c r="G2802" s="71" t="s">
        <v>758</v>
      </c>
      <c r="H2802" s="41"/>
      <c r="I2802" s="42"/>
      <c r="J2802" s="43"/>
      <c r="K2802" s="72">
        <v>2.0</v>
      </c>
      <c r="L2802" s="53" t="s">
        <v>62</v>
      </c>
      <c r="M2802" s="73">
        <v>50000.0</v>
      </c>
      <c r="N2802" s="74"/>
      <c r="O2802" s="73">
        <v>100000.0</v>
      </c>
      <c r="P2802" s="46" t="str">
        <f t="shared" si="2"/>
        <v>Rp50,000-2 LSN-0.00%</v>
      </c>
      <c r="Q2802" s="75">
        <v>45419.0</v>
      </c>
      <c r="R2802" s="76"/>
      <c r="S2802" s="75">
        <v>45426.0</v>
      </c>
      <c r="T2802" s="49"/>
    </row>
    <row r="2803">
      <c r="A2803" s="90">
        <v>163.0</v>
      </c>
      <c r="B2803" s="91" t="s">
        <v>29</v>
      </c>
      <c r="C2803" s="49" t="s">
        <v>2968</v>
      </c>
      <c r="D2803" s="91" t="s">
        <v>1605</v>
      </c>
      <c r="E2803" s="41" t="str">
        <f>IFERROR(__xludf.DUMMYFUNCTION("vlookup(D2803,IMPORTRANGE(""https://docs.google.com/spreadsheets/d/1swGwZOEqYlTEUCJLY-eeJM1911Kvaei5oySBIxdgtNo/edit?pli=1#gid=257618397"",""stock untanna!B:C""),2,false)"),"TIPEX MICROTOP MT-767")</f>
        <v>TIPEX MICROTOP MT-767</v>
      </c>
      <c r="F2803" s="49" t="s">
        <v>1605</v>
      </c>
      <c r="G2803" s="71" t="s">
        <v>1606</v>
      </c>
      <c r="H2803" s="41"/>
      <c r="I2803" s="42"/>
      <c r="J2803" s="43"/>
      <c r="K2803" s="72">
        <v>2.0</v>
      </c>
      <c r="L2803" s="53" t="s">
        <v>62</v>
      </c>
      <c r="M2803" s="73">
        <v>90000.0</v>
      </c>
      <c r="N2803" s="74"/>
      <c r="O2803" s="73">
        <v>180000.0</v>
      </c>
      <c r="P2803" s="46" t="str">
        <f t="shared" si="2"/>
        <v>Rp90,000-2 LSN-0.00%</v>
      </c>
      <c r="Q2803" s="75">
        <v>45419.0</v>
      </c>
      <c r="R2803" s="76"/>
      <c r="S2803" s="75">
        <v>45426.0</v>
      </c>
      <c r="T2803" s="49" t="s">
        <v>100</v>
      </c>
    </row>
    <row r="2804">
      <c r="A2804" s="90">
        <v>163.0</v>
      </c>
      <c r="B2804" s="91" t="s">
        <v>29</v>
      </c>
      <c r="C2804" s="49" t="s">
        <v>2968</v>
      </c>
      <c r="D2804" s="91" t="s">
        <v>2665</v>
      </c>
      <c r="E2804" s="41" t="str">
        <f>IFERROR(__xludf.DUMMYFUNCTION("vlookup(D2804,IMPORTRANGE(""https://docs.google.com/spreadsheets/d/1swGwZOEqYlTEUCJLY-eeJM1911Kvaei5oySBIxdgtNo/edit?pli=1#gid=257618397"",""stock untanna!B:C""),2,false)"),"PENSIL 2B COWRY FANCY")</f>
        <v>PENSIL 2B COWRY FANCY</v>
      </c>
      <c r="F2804" s="49" t="s">
        <v>2665</v>
      </c>
      <c r="G2804" s="71" t="s">
        <v>2666</v>
      </c>
      <c r="H2804" s="41"/>
      <c r="I2804" s="42"/>
      <c r="J2804" s="43"/>
      <c r="K2804" s="72">
        <v>1.0</v>
      </c>
      <c r="L2804" s="53" t="s">
        <v>131</v>
      </c>
      <c r="M2804" s="73">
        <v>50000.0</v>
      </c>
      <c r="N2804" s="74"/>
      <c r="O2804" s="73">
        <v>50000.0</v>
      </c>
      <c r="P2804" s="46" t="str">
        <f t="shared" si="2"/>
        <v>Rp50,000-1 GRS-0.00%</v>
      </c>
      <c r="Q2804" s="75">
        <v>45419.0</v>
      </c>
      <c r="R2804" s="76"/>
      <c r="S2804" s="75">
        <v>45426.0</v>
      </c>
      <c r="T2804" s="80" t="s">
        <v>2969</v>
      </c>
    </row>
    <row r="2805">
      <c r="A2805" s="90">
        <v>163.0</v>
      </c>
      <c r="B2805" s="91" t="s">
        <v>29</v>
      </c>
      <c r="C2805" s="49" t="s">
        <v>2968</v>
      </c>
      <c r="D2805" s="91" t="s">
        <v>2665</v>
      </c>
      <c r="E2805" s="41" t="str">
        <f>IFERROR(__xludf.DUMMYFUNCTION("vlookup(D2805,IMPORTRANGE(""https://docs.google.com/spreadsheets/d/1swGwZOEqYlTEUCJLY-eeJM1911Kvaei5oySBIxdgtNo/edit?pli=1#gid=257618397"",""stock untanna!B:C""),2,false)"),"PENSIL 2B COWRY FANCY")</f>
        <v>PENSIL 2B COWRY FANCY</v>
      </c>
      <c r="F2805" s="49" t="s">
        <v>2665</v>
      </c>
      <c r="G2805" s="71" t="s">
        <v>2666</v>
      </c>
      <c r="H2805" s="41"/>
      <c r="I2805" s="42"/>
      <c r="J2805" s="43"/>
      <c r="K2805" s="72">
        <v>1.0</v>
      </c>
      <c r="L2805" s="53" t="s">
        <v>131</v>
      </c>
      <c r="M2805" s="73">
        <v>50000.0</v>
      </c>
      <c r="N2805" s="74"/>
      <c r="O2805" s="73">
        <v>50000.0</v>
      </c>
      <c r="P2805" s="46" t="str">
        <f t="shared" si="2"/>
        <v>Rp50,000-1 GRS-0.00%</v>
      </c>
      <c r="Q2805" s="75">
        <v>45419.0</v>
      </c>
      <c r="R2805" s="76"/>
      <c r="S2805" s="75">
        <v>45426.0</v>
      </c>
      <c r="T2805" s="80" t="s">
        <v>2970</v>
      </c>
    </row>
    <row r="2806">
      <c r="A2806" s="90">
        <v>163.0</v>
      </c>
      <c r="B2806" s="91" t="s">
        <v>29</v>
      </c>
      <c r="C2806" s="49" t="s">
        <v>2968</v>
      </c>
      <c r="D2806" s="91"/>
      <c r="E2806" s="41" t="s">
        <v>2891</v>
      </c>
      <c r="F2806" s="49"/>
      <c r="G2806" s="71" t="s">
        <v>2891</v>
      </c>
      <c r="H2806" s="41"/>
      <c r="I2806" s="42"/>
      <c r="J2806" s="43"/>
      <c r="K2806" s="72">
        <v>1.0</v>
      </c>
      <c r="L2806" s="53" t="s">
        <v>131</v>
      </c>
      <c r="M2806" s="73">
        <v>60000.0</v>
      </c>
      <c r="N2806" s="74"/>
      <c r="O2806" s="73">
        <v>60000.0</v>
      </c>
      <c r="P2806" s="46" t="str">
        <f t="shared" si="2"/>
        <v>Rp60,000-1 GRS-0.00%</v>
      </c>
      <c r="Q2806" s="75">
        <v>45419.0</v>
      </c>
      <c r="R2806" s="76"/>
      <c r="S2806" s="75">
        <v>45426.0</v>
      </c>
      <c r="T2806" s="49"/>
    </row>
    <row r="2807">
      <c r="A2807" s="90">
        <v>163.0</v>
      </c>
      <c r="B2807" s="91" t="s">
        <v>29</v>
      </c>
      <c r="C2807" s="49" t="s">
        <v>2968</v>
      </c>
      <c r="D2807" s="91"/>
      <c r="E2807" s="41" t="s">
        <v>2971</v>
      </c>
      <c r="F2807" s="49"/>
      <c r="G2807" s="71" t="s">
        <v>2971</v>
      </c>
      <c r="H2807" s="41"/>
      <c r="I2807" s="42"/>
      <c r="J2807" s="43"/>
      <c r="K2807" s="72">
        <v>1.0</v>
      </c>
      <c r="L2807" s="53" t="s">
        <v>131</v>
      </c>
      <c r="M2807" s="73">
        <v>60000.0</v>
      </c>
      <c r="N2807" s="74"/>
      <c r="O2807" s="73">
        <v>60000.0</v>
      </c>
      <c r="P2807" s="46" t="str">
        <f t="shared" si="2"/>
        <v>Rp60,000-1 GRS-0.00%</v>
      </c>
      <c r="Q2807" s="75">
        <v>45419.0</v>
      </c>
      <c r="R2807" s="76"/>
      <c r="S2807" s="75">
        <v>45426.0</v>
      </c>
      <c r="T2807" s="49"/>
    </row>
    <row r="2808">
      <c r="A2808" s="90">
        <v>163.0</v>
      </c>
      <c r="B2808" s="91" t="s">
        <v>29</v>
      </c>
      <c r="C2808" s="49" t="s">
        <v>2968</v>
      </c>
      <c r="D2808" s="91"/>
      <c r="E2808" s="41" t="s">
        <v>2972</v>
      </c>
      <c r="F2808" s="49"/>
      <c r="G2808" s="71" t="s">
        <v>2972</v>
      </c>
      <c r="H2808" s="41"/>
      <c r="I2808" s="42"/>
      <c r="J2808" s="43"/>
      <c r="K2808" s="72">
        <v>1.0</v>
      </c>
      <c r="L2808" s="53" t="s">
        <v>131</v>
      </c>
      <c r="M2808" s="73">
        <v>100000.0</v>
      </c>
      <c r="N2808" s="74"/>
      <c r="O2808" s="73">
        <v>100000.0</v>
      </c>
      <c r="P2808" s="46" t="str">
        <f t="shared" si="2"/>
        <v>Rp100,000-1 GRS-0.00%</v>
      </c>
      <c r="Q2808" s="75">
        <v>45419.0</v>
      </c>
      <c r="R2808" s="76"/>
      <c r="S2808" s="75">
        <v>45426.0</v>
      </c>
      <c r="T2808" s="49"/>
    </row>
    <row r="2809">
      <c r="A2809" s="90">
        <v>163.0</v>
      </c>
      <c r="B2809" s="91" t="s">
        <v>29</v>
      </c>
      <c r="C2809" s="49" t="s">
        <v>2968</v>
      </c>
      <c r="D2809" s="91" t="s">
        <v>2973</v>
      </c>
      <c r="E2809" s="41" t="str">
        <f>IFERROR(__xludf.DUMMYFUNCTION("vlookup(D2809,IMPORTRANGE(""https://docs.google.com/spreadsheets/d/1swGwZOEqYlTEUCJLY-eeJM1911Kvaei5oySBIxdgtNo/edit?pli=1#gid=257618397"",""stock untanna!B:C""),2,false)"),"BP GEL 223")</f>
        <v>BP GEL 223</v>
      </c>
      <c r="F2809" s="49" t="s">
        <v>2973</v>
      </c>
      <c r="G2809" s="71" t="s">
        <v>2974</v>
      </c>
      <c r="H2809" s="41"/>
      <c r="I2809" s="42"/>
      <c r="J2809" s="43"/>
      <c r="K2809" s="72">
        <v>6.0</v>
      </c>
      <c r="L2809" s="53" t="s">
        <v>62</v>
      </c>
      <c r="M2809" s="73">
        <v>25000.0</v>
      </c>
      <c r="N2809" s="74"/>
      <c r="O2809" s="73">
        <v>150000.0</v>
      </c>
      <c r="P2809" s="46" t="str">
        <f t="shared" si="2"/>
        <v>Rp25,000-6 LSN-0.00%</v>
      </c>
      <c r="Q2809" s="75">
        <v>45419.0</v>
      </c>
      <c r="R2809" s="76"/>
      <c r="S2809" s="75">
        <v>45426.0</v>
      </c>
      <c r="T2809" s="49" t="s">
        <v>100</v>
      </c>
    </row>
    <row r="2810">
      <c r="A2810" s="90">
        <v>164.0</v>
      </c>
      <c r="B2810" s="91" t="s">
        <v>29</v>
      </c>
      <c r="C2810" s="49" t="s">
        <v>2968</v>
      </c>
      <c r="D2810" s="91" t="s">
        <v>2975</v>
      </c>
      <c r="E2810" s="41" t="str">
        <f>IFERROR(__xludf.DUMMYFUNCTION("vlookup(D2810,IMPORTRANGE(""https://docs.google.com/spreadsheets/d/1swGwZOEqYlTEUCJLY-eeJM1911Kvaei5oySBIxdgtNo/edit?pli=1#gid=257618397"",""stock untanna!B:C""),2,false)"),"BP GEL 224")</f>
        <v>BP GEL 224</v>
      </c>
      <c r="F2810" s="49" t="s">
        <v>2975</v>
      </c>
      <c r="G2810" s="71" t="s">
        <v>2976</v>
      </c>
      <c r="H2810" s="41"/>
      <c r="I2810" s="42"/>
      <c r="J2810" s="43"/>
      <c r="K2810" s="72">
        <v>72.0</v>
      </c>
      <c r="L2810" s="53" t="s">
        <v>69</v>
      </c>
      <c r="M2810" s="73">
        <v>2083.0</v>
      </c>
      <c r="N2810" s="74"/>
      <c r="O2810" s="73">
        <v>149976.0</v>
      </c>
      <c r="P2810" s="46" t="str">
        <f t="shared" si="2"/>
        <v>Rp2,083-72 PCS-0.00%</v>
      </c>
      <c r="Q2810" s="75">
        <v>45419.0</v>
      </c>
      <c r="R2810" s="76"/>
      <c r="S2810" s="75">
        <v>45426.0</v>
      </c>
      <c r="T2810" s="49"/>
    </row>
    <row r="2811">
      <c r="A2811" s="90">
        <v>164.0</v>
      </c>
      <c r="B2811" s="91" t="s">
        <v>29</v>
      </c>
      <c r="C2811" s="49" t="s">
        <v>2968</v>
      </c>
      <c r="D2811" s="91"/>
      <c r="E2811" s="41" t="s">
        <v>2977</v>
      </c>
      <c r="F2811" s="49"/>
      <c r="G2811" s="71" t="s">
        <v>2977</v>
      </c>
      <c r="H2811" s="41"/>
      <c r="I2811" s="42"/>
      <c r="J2811" s="43"/>
      <c r="K2811" s="72">
        <v>6.0</v>
      </c>
      <c r="L2811" s="53" t="s">
        <v>62</v>
      </c>
      <c r="M2811" s="73">
        <v>25000.0</v>
      </c>
      <c r="N2811" s="74"/>
      <c r="O2811" s="73">
        <v>150000.0</v>
      </c>
      <c r="P2811" s="46" t="str">
        <f t="shared" si="2"/>
        <v>Rp25,000-6 LSN-0.00%</v>
      </c>
      <c r="Q2811" s="75">
        <v>45419.0</v>
      </c>
      <c r="R2811" s="76"/>
      <c r="S2811" s="75">
        <v>45426.0</v>
      </c>
      <c r="T2811" s="49"/>
    </row>
    <row r="2812">
      <c r="A2812" s="90">
        <v>164.0</v>
      </c>
      <c r="B2812" s="91" t="s">
        <v>29</v>
      </c>
      <c r="C2812" s="49" t="s">
        <v>2968</v>
      </c>
      <c r="D2812" s="91" t="s">
        <v>2104</v>
      </c>
      <c r="E2812" s="41" t="str">
        <f>IFERROR(__xludf.DUMMYFUNCTION("vlookup(D2812,IMPORTRANGE(""https://docs.google.com/spreadsheets/d/1swGwZOEqYlTEUCJLY-eeJM1911Kvaei5oySBIxdgtNo/edit?pli=1#gid=257618397"",""stock untanna!B:C""),2,false)"),"BP GEL + GANTUNGAN 9166")</f>
        <v>BP GEL + GANTUNGAN 9166</v>
      </c>
      <c r="F2812" s="49" t="s">
        <v>2104</v>
      </c>
      <c r="G2812" s="71" t="s">
        <v>2105</v>
      </c>
      <c r="H2812" s="41"/>
      <c r="I2812" s="42"/>
      <c r="J2812" s="43"/>
      <c r="K2812" s="72">
        <v>6.0</v>
      </c>
      <c r="L2812" s="53" t="s">
        <v>62</v>
      </c>
      <c r="M2812" s="73">
        <v>25000.0</v>
      </c>
      <c r="N2812" s="74"/>
      <c r="O2812" s="73">
        <v>150000.0</v>
      </c>
      <c r="P2812" s="46" t="str">
        <f t="shared" si="2"/>
        <v>Rp25,000-6 LSN-0.00%</v>
      </c>
      <c r="Q2812" s="75">
        <v>45419.0</v>
      </c>
      <c r="R2812" s="76"/>
      <c r="S2812" s="75">
        <v>45426.0</v>
      </c>
      <c r="T2812" s="49"/>
    </row>
    <row r="2813">
      <c r="A2813" s="90">
        <v>164.0</v>
      </c>
      <c r="B2813" s="91" t="s">
        <v>29</v>
      </c>
      <c r="C2813" s="49" t="s">
        <v>2968</v>
      </c>
      <c r="D2813" s="91"/>
      <c r="E2813" s="41" t="s">
        <v>1200</v>
      </c>
      <c r="F2813" s="49"/>
      <c r="G2813" s="71" t="s">
        <v>1200</v>
      </c>
      <c r="H2813" s="41"/>
      <c r="I2813" s="42"/>
      <c r="J2813" s="43"/>
      <c r="K2813" s="72">
        <v>1.0</v>
      </c>
      <c r="L2813" s="53" t="s">
        <v>62</v>
      </c>
      <c r="M2813" s="73">
        <v>57500.0</v>
      </c>
      <c r="N2813" s="74"/>
      <c r="O2813" s="73">
        <v>57500.0</v>
      </c>
      <c r="P2813" s="46" t="str">
        <f t="shared" si="2"/>
        <v>Rp57,500-1 LSN-0.00%</v>
      </c>
      <c r="Q2813" s="75">
        <v>45419.0</v>
      </c>
      <c r="R2813" s="76"/>
      <c r="S2813" s="75">
        <v>45426.0</v>
      </c>
      <c r="T2813" s="49"/>
    </row>
    <row r="2814">
      <c r="A2814" s="90">
        <v>164.0</v>
      </c>
      <c r="B2814" s="91" t="s">
        <v>29</v>
      </c>
      <c r="C2814" s="49" t="s">
        <v>2968</v>
      </c>
      <c r="D2814" s="91"/>
      <c r="E2814" s="41" t="s">
        <v>2935</v>
      </c>
      <c r="F2814" s="49"/>
      <c r="G2814" s="71" t="s">
        <v>2935</v>
      </c>
      <c r="H2814" s="41"/>
      <c r="I2814" s="42"/>
      <c r="J2814" s="43"/>
      <c r="K2814" s="72">
        <v>25.0</v>
      </c>
      <c r="L2814" s="53" t="s">
        <v>114</v>
      </c>
      <c r="M2814" s="73">
        <v>3000.0</v>
      </c>
      <c r="N2814" s="74"/>
      <c r="O2814" s="73">
        <v>75000.0</v>
      </c>
      <c r="P2814" s="46" t="str">
        <f t="shared" si="2"/>
        <v>Rp3,000-25 PAK-0.00%</v>
      </c>
      <c r="Q2814" s="75">
        <v>45419.0</v>
      </c>
      <c r="R2814" s="76"/>
      <c r="S2814" s="75">
        <v>45426.0</v>
      </c>
      <c r="T2814" s="49"/>
    </row>
    <row r="2815">
      <c r="A2815" s="90">
        <v>164.0</v>
      </c>
      <c r="B2815" s="91" t="s">
        <v>29</v>
      </c>
      <c r="C2815" s="49" t="s">
        <v>2968</v>
      </c>
      <c r="D2815" s="91" t="s">
        <v>2360</v>
      </c>
      <c r="E2815" s="41" t="str">
        <f>IFERROR(__xludf.DUMMYFUNCTION("vlookup(D2815,IMPORTRANGE(""https://docs.google.com/spreadsheets/d/1swGwZOEqYlTEUCJLY-eeJM1911Kvaei5oySBIxdgtNo/edit?pli=1#gid=257618397"",""stock untanna!B:C""),2,false)"),"LOOSE LEAF HOLO BEE SMART A5 MIX")</f>
        <v>LOOSE LEAF HOLO BEE SMART A5 MIX</v>
      </c>
      <c r="F2815" s="49" t="s">
        <v>2360</v>
      </c>
      <c r="G2815" s="71" t="s">
        <v>2361</v>
      </c>
      <c r="H2815" s="41"/>
      <c r="I2815" s="42"/>
      <c r="J2815" s="43"/>
      <c r="K2815" s="72">
        <v>25.0</v>
      </c>
      <c r="L2815" s="53" t="s">
        <v>114</v>
      </c>
      <c r="M2815" s="73">
        <v>3250.0</v>
      </c>
      <c r="N2815" s="74"/>
      <c r="O2815" s="73">
        <v>81250.0</v>
      </c>
      <c r="P2815" s="46" t="str">
        <f t="shared" si="2"/>
        <v>Rp3,250-25 PAK-0.00%</v>
      </c>
      <c r="Q2815" s="75">
        <v>45419.0</v>
      </c>
      <c r="R2815" s="76"/>
      <c r="S2815" s="75">
        <v>45426.0</v>
      </c>
      <c r="T2815" s="49"/>
    </row>
    <row r="2816">
      <c r="A2816" s="90">
        <v>164.0</v>
      </c>
      <c r="B2816" s="91" t="s">
        <v>29</v>
      </c>
      <c r="C2816" s="49" t="s">
        <v>2968</v>
      </c>
      <c r="D2816" s="91" t="s">
        <v>849</v>
      </c>
      <c r="E2816" s="41" t="str">
        <f>IFERROR(__xludf.DUMMYFUNCTION("vlookup(D2816,IMPORTRANGE(""https://docs.google.com/spreadsheets/d/1swGwZOEqYlTEUCJLY-eeJM1911Kvaei5oySBIxdgtNo/edit?pli=1#gid=257618397"",""stock untanna!B:C""),2,false)"),"LOOSE LEAF HOLO A5 SOFIA")</f>
        <v>LOOSE LEAF HOLO A5 SOFIA</v>
      </c>
      <c r="F2816" s="49" t="s">
        <v>849</v>
      </c>
      <c r="G2816" s="71" t="s">
        <v>850</v>
      </c>
      <c r="H2816" s="41"/>
      <c r="I2816" s="42"/>
      <c r="J2816" s="43"/>
      <c r="K2816" s="72">
        <v>25.0</v>
      </c>
      <c r="L2816" s="53" t="s">
        <v>114</v>
      </c>
      <c r="M2816" s="73">
        <v>2250.0</v>
      </c>
      <c r="N2816" s="74"/>
      <c r="O2816" s="73">
        <v>56250.0</v>
      </c>
      <c r="P2816" s="46" t="str">
        <f t="shared" si="2"/>
        <v>Rp2,250-25 PAK-0.00%</v>
      </c>
      <c r="Q2816" s="75">
        <v>45419.0</v>
      </c>
      <c r="R2816" s="76"/>
      <c r="S2816" s="75">
        <v>45426.0</v>
      </c>
      <c r="T2816" s="49" t="s">
        <v>100</v>
      </c>
    </row>
    <row r="2817">
      <c r="A2817" s="90">
        <v>164.0</v>
      </c>
      <c r="B2817" s="91" t="s">
        <v>29</v>
      </c>
      <c r="C2817" s="49" t="s">
        <v>2968</v>
      </c>
      <c r="D2817" s="91" t="s">
        <v>2978</v>
      </c>
      <c r="E2817" s="41" t="str">
        <f>IFERROR(__xludf.DUMMYFUNCTION("vlookup(D2817,IMPORTRANGE(""https://docs.google.com/spreadsheets/d/1swGwZOEqYlTEUCJLY-eeJM1911Kvaei5oySBIxdgtNo/edit?pli=1#gid=257618397"",""stock untanna!B:C""),2,false)"),"LOOSE LEAF BIASA A5 HELLO KITTY + PUZZLE DINO")</f>
        <v>LOOSE LEAF BIASA A5 HELLO KITTY + PUZZLE DINO</v>
      </c>
      <c r="F2817" s="49" t="s">
        <v>2978</v>
      </c>
      <c r="G2817" s="78" t="s">
        <v>2979</v>
      </c>
      <c r="H2817" s="41"/>
      <c r="I2817" s="42"/>
      <c r="J2817" s="43"/>
      <c r="K2817" s="72">
        <v>25.0</v>
      </c>
      <c r="L2817" s="53" t="s">
        <v>114</v>
      </c>
      <c r="M2817" s="73">
        <v>2500.0</v>
      </c>
      <c r="N2817" s="74"/>
      <c r="O2817" s="73">
        <v>62500.0</v>
      </c>
      <c r="P2817" s="46" t="str">
        <f t="shared" si="2"/>
        <v>Rp2,500-25 PAK-0.00%</v>
      </c>
      <c r="Q2817" s="75">
        <v>45419.0</v>
      </c>
      <c r="R2817" s="76"/>
      <c r="S2817" s="75">
        <v>45426.0</v>
      </c>
      <c r="T2817" s="49" t="s">
        <v>100</v>
      </c>
    </row>
    <row r="2818">
      <c r="A2818" s="90">
        <v>164.0</v>
      </c>
      <c r="B2818" s="91" t="s">
        <v>29</v>
      </c>
      <c r="C2818" s="49" t="s">
        <v>2968</v>
      </c>
      <c r="D2818" s="91"/>
      <c r="E2818" s="41" t="s">
        <v>2980</v>
      </c>
      <c r="F2818" s="49"/>
      <c r="G2818" s="71" t="s">
        <v>2980</v>
      </c>
      <c r="H2818" s="41"/>
      <c r="I2818" s="42"/>
      <c r="J2818" s="43"/>
      <c r="K2818" s="72">
        <v>24.0</v>
      </c>
      <c r="L2818" s="53" t="s">
        <v>114</v>
      </c>
      <c r="M2818" s="73">
        <v>2250.0</v>
      </c>
      <c r="N2818" s="74"/>
      <c r="O2818" s="73">
        <v>54000.0</v>
      </c>
      <c r="P2818" s="46" t="str">
        <f t="shared" si="2"/>
        <v>Rp2,250-24 PAK-0.00%</v>
      </c>
      <c r="Q2818" s="75">
        <v>45419.0</v>
      </c>
      <c r="R2818" s="76"/>
      <c r="S2818" s="75">
        <v>45426.0</v>
      </c>
      <c r="T2818" s="49"/>
    </row>
    <row r="2819">
      <c r="A2819" s="90">
        <v>164.0</v>
      </c>
      <c r="B2819" s="91" t="s">
        <v>29</v>
      </c>
      <c r="C2819" s="49" t="s">
        <v>2968</v>
      </c>
      <c r="D2819" s="91"/>
      <c r="E2819" s="41" t="s">
        <v>2981</v>
      </c>
      <c r="F2819" s="49"/>
      <c r="G2819" s="71" t="s">
        <v>2981</v>
      </c>
      <c r="H2819" s="41"/>
      <c r="I2819" s="42"/>
      <c r="J2819" s="43"/>
      <c r="K2819" s="72">
        <v>25.0</v>
      </c>
      <c r="L2819" s="53" t="s">
        <v>114</v>
      </c>
      <c r="M2819" s="73">
        <v>2250.0</v>
      </c>
      <c r="N2819" s="74"/>
      <c r="O2819" s="73">
        <v>56250.0</v>
      </c>
      <c r="P2819" s="46" t="str">
        <f t="shared" si="2"/>
        <v>Rp2,250-25 PAK-0.00%</v>
      </c>
      <c r="Q2819" s="75">
        <v>45419.0</v>
      </c>
      <c r="R2819" s="76"/>
      <c r="S2819" s="75">
        <v>45426.0</v>
      </c>
      <c r="T2819" s="49"/>
    </row>
    <row r="2820">
      <c r="A2820" s="90">
        <v>164.0</v>
      </c>
      <c r="B2820" s="91" t="s">
        <v>29</v>
      </c>
      <c r="C2820" s="49" t="s">
        <v>2968</v>
      </c>
      <c r="D2820" s="91" t="s">
        <v>851</v>
      </c>
      <c r="E2820" s="41" t="str">
        <f>IFERROR(__xludf.DUMMYFUNCTION("vlookup(D2820,IMPORTRANGE(""https://docs.google.com/spreadsheets/d/1swGwZOEqYlTEUCJLY-eeJM1911Kvaei5oySBIxdgtNo/edit?pli=1#gid=257618397"",""stock untanna!B:C""),2,false)"),"LOOSE LEAF HOLO MOBILE LEGENDS A5")</f>
        <v>LOOSE LEAF HOLO MOBILE LEGENDS A5</v>
      </c>
      <c r="F2820" s="49" t="s">
        <v>851</v>
      </c>
      <c r="G2820" s="78" t="s">
        <v>852</v>
      </c>
      <c r="H2820" s="41"/>
      <c r="I2820" s="42"/>
      <c r="J2820" s="43"/>
      <c r="K2820" s="72">
        <v>25.0</v>
      </c>
      <c r="L2820" s="53" t="s">
        <v>114</v>
      </c>
      <c r="M2820" s="73">
        <v>2250.0</v>
      </c>
      <c r="N2820" s="74"/>
      <c r="O2820" s="73">
        <v>56250.0</v>
      </c>
      <c r="P2820" s="46" t="str">
        <f t="shared" si="2"/>
        <v>Rp2,250-25 PAK-0.00%</v>
      </c>
      <c r="Q2820" s="75">
        <v>45419.0</v>
      </c>
      <c r="R2820" s="76"/>
      <c r="S2820" s="75">
        <v>45426.0</v>
      </c>
      <c r="T2820" s="49" t="s">
        <v>100</v>
      </c>
    </row>
    <row r="2821">
      <c r="A2821" s="90">
        <v>164.0</v>
      </c>
      <c r="B2821" s="91" t="s">
        <v>29</v>
      </c>
      <c r="C2821" s="49" t="s">
        <v>2968</v>
      </c>
      <c r="D2821" s="91" t="s">
        <v>943</v>
      </c>
      <c r="E2821" s="41" t="str">
        <f>IFERROR(__xludf.DUMMYFUNCTION("vlookup(D2821,IMPORTRANGE(""https://docs.google.com/spreadsheets/d/1swGwZOEqYlTEUCJLY-eeJM1911Kvaei5oySBIxdgtNo/edit?pli=1#gid=257618397"",""stock untanna!B:C""),2,false)"),"STICKER XTQ-F")</f>
        <v>STICKER XTQ-F</v>
      </c>
      <c r="F2821" s="49" t="s">
        <v>943</v>
      </c>
      <c r="G2821" s="71" t="s">
        <v>944</v>
      </c>
      <c r="H2821" s="41"/>
      <c r="I2821" s="42"/>
      <c r="J2821" s="43"/>
      <c r="K2821" s="72">
        <v>24.0</v>
      </c>
      <c r="L2821" s="53" t="s">
        <v>69</v>
      </c>
      <c r="M2821" s="73">
        <v>5000.0</v>
      </c>
      <c r="N2821" s="74"/>
      <c r="O2821" s="73">
        <v>120000.0</v>
      </c>
      <c r="P2821" s="46" t="str">
        <f t="shared" si="2"/>
        <v>Rp5,000-24 PCS-0.00%</v>
      </c>
      <c r="Q2821" s="75">
        <v>45419.0</v>
      </c>
      <c r="R2821" s="76"/>
      <c r="S2821" s="75">
        <v>45426.0</v>
      </c>
      <c r="T2821" s="49"/>
    </row>
    <row r="2822">
      <c r="A2822" s="90">
        <v>164.0</v>
      </c>
      <c r="B2822" s="91" t="s">
        <v>29</v>
      </c>
      <c r="C2822" s="49" t="s">
        <v>2968</v>
      </c>
      <c r="D2822" s="91" t="s">
        <v>1498</v>
      </c>
      <c r="E2822" s="41" t="str">
        <f>IFERROR(__xludf.DUMMYFUNCTION("vlookup(D2822,IMPORTRANGE(""https://docs.google.com/spreadsheets/d/1swGwZOEqYlTEUCJLY-eeJM1911Kvaei5oySBIxdgtNo/edit?pli=1#gid=257618397"",""stock untanna!B:C""),2,false)"),"STICKER JBE-24")</f>
        <v>STICKER JBE-24</v>
      </c>
      <c r="F2822" s="49" t="s">
        <v>1498</v>
      </c>
      <c r="G2822" s="71" t="s">
        <v>1499</v>
      </c>
      <c r="H2822" s="41"/>
      <c r="I2822" s="42"/>
      <c r="J2822" s="43"/>
      <c r="K2822" s="72">
        <v>12.0</v>
      </c>
      <c r="L2822" s="53" t="s">
        <v>69</v>
      </c>
      <c r="M2822" s="73">
        <v>12500.0</v>
      </c>
      <c r="N2822" s="74"/>
      <c r="O2822" s="73">
        <v>150000.0</v>
      </c>
      <c r="P2822" s="46" t="str">
        <f t="shared" si="2"/>
        <v>Rp12,500-12 PCS-0.00%</v>
      </c>
      <c r="Q2822" s="75">
        <v>45419.0</v>
      </c>
      <c r="R2822" s="76"/>
      <c r="S2822" s="75">
        <v>45426.0</v>
      </c>
      <c r="T2822" s="49"/>
    </row>
    <row r="2823">
      <c r="A2823" s="90">
        <v>164.0</v>
      </c>
      <c r="B2823" s="91" t="s">
        <v>29</v>
      </c>
      <c r="C2823" s="49" t="s">
        <v>2968</v>
      </c>
      <c r="D2823" s="91" t="s">
        <v>2982</v>
      </c>
      <c r="E2823" s="41" t="str">
        <f>IFERROR(__xludf.DUMMYFUNCTION("vlookup(D2823,IMPORTRANGE(""https://docs.google.com/spreadsheets/d/1swGwZOEqYlTEUCJLY-eeJM1911Kvaei5oySBIxdgtNo/edit?pli=1#gid=257618397"",""stock untanna!B:C""),2,false)"),"PENCIL CASE RET KY 1203")</f>
        <v>PENCIL CASE RET KY 1203</v>
      </c>
      <c r="F2823" s="49" t="s">
        <v>2982</v>
      </c>
      <c r="G2823" s="71" t="s">
        <v>2983</v>
      </c>
      <c r="H2823" s="41"/>
      <c r="I2823" s="42"/>
      <c r="J2823" s="43"/>
      <c r="K2823" s="72">
        <v>12.0</v>
      </c>
      <c r="L2823" s="53" t="s">
        <v>69</v>
      </c>
      <c r="M2823" s="73">
        <v>25000.0</v>
      </c>
      <c r="N2823" s="74"/>
      <c r="O2823" s="73">
        <v>300000.0</v>
      </c>
      <c r="P2823" s="46" t="str">
        <f t="shared" si="2"/>
        <v>Rp25,000-12 PCS-0.00%</v>
      </c>
      <c r="Q2823" s="75">
        <v>45419.0</v>
      </c>
      <c r="R2823" s="76"/>
      <c r="S2823" s="75">
        <v>45426.0</v>
      </c>
      <c r="T2823" s="49"/>
    </row>
    <row r="2824">
      <c r="A2824" s="90">
        <v>164.0</v>
      </c>
      <c r="B2824" s="91" t="s">
        <v>29</v>
      </c>
      <c r="C2824" s="49" t="s">
        <v>2968</v>
      </c>
      <c r="D2824" s="91"/>
      <c r="E2824" s="41" t="s">
        <v>1049</v>
      </c>
      <c r="F2824" s="49"/>
      <c r="G2824" s="71" t="s">
        <v>1049</v>
      </c>
      <c r="H2824" s="41"/>
      <c r="I2824" s="42"/>
      <c r="J2824" s="43"/>
      <c r="K2824" s="72">
        <v>1.0</v>
      </c>
      <c r="L2824" s="53" t="s">
        <v>62</v>
      </c>
      <c r="M2824" s="73">
        <v>300000.0</v>
      </c>
      <c r="N2824" s="74"/>
      <c r="O2824" s="73">
        <v>300000.0</v>
      </c>
      <c r="P2824" s="46" t="str">
        <f t="shared" si="2"/>
        <v>Rp300,000-1 LSN-0.00%</v>
      </c>
      <c r="Q2824" s="75">
        <v>45419.0</v>
      </c>
      <c r="R2824" s="76"/>
      <c r="S2824" s="75">
        <v>45426.0</v>
      </c>
      <c r="T2824" s="80" t="s">
        <v>280</v>
      </c>
    </row>
    <row r="2825">
      <c r="A2825" s="90">
        <v>165.0</v>
      </c>
      <c r="B2825" s="91" t="s">
        <v>29</v>
      </c>
      <c r="C2825" s="49" t="s">
        <v>2968</v>
      </c>
      <c r="D2825" s="91" t="s">
        <v>1094</v>
      </c>
      <c r="E2825" s="41" t="str">
        <f>IFERROR(__xludf.DUMMYFUNCTION("vlookup(D2825,IMPORTRANGE(""https://docs.google.com/spreadsheets/d/1swGwZOEqYlTEUCJLY-eeJM1911Kvaei5oySBIxdgtNo/edit?pli=1#gid=257618397"",""stock untanna!B:C""),2,false)"),"PENSIL CASE 5840")</f>
        <v>PENSIL CASE 5840</v>
      </c>
      <c r="F2825" s="49" t="s">
        <v>1094</v>
      </c>
      <c r="G2825" s="71" t="s">
        <v>1095</v>
      </c>
      <c r="H2825" s="41"/>
      <c r="I2825" s="42"/>
      <c r="J2825" s="43"/>
      <c r="K2825" s="72">
        <v>12.0</v>
      </c>
      <c r="L2825" s="53" t="s">
        <v>69</v>
      </c>
      <c r="M2825" s="73">
        <v>25000.0</v>
      </c>
      <c r="N2825" s="74"/>
      <c r="O2825" s="73">
        <v>300000.0</v>
      </c>
      <c r="P2825" s="46" t="str">
        <f t="shared" si="2"/>
        <v>Rp25,000-12 PCS-0.00%</v>
      </c>
      <c r="Q2825" s="75">
        <v>45419.0</v>
      </c>
      <c r="R2825" s="76"/>
      <c r="S2825" s="75">
        <v>45426.0</v>
      </c>
      <c r="T2825" s="49"/>
    </row>
    <row r="2826">
      <c r="A2826" s="90">
        <v>165.0</v>
      </c>
      <c r="B2826" s="91" t="s">
        <v>29</v>
      </c>
      <c r="C2826" s="49" t="s">
        <v>2968</v>
      </c>
      <c r="D2826" s="91" t="s">
        <v>2954</v>
      </c>
      <c r="E2826" s="41" t="str">
        <f>IFERROR(__xludf.DUMMYFUNCTION("vlookup(D2826,IMPORTRANGE(""https://docs.google.com/spreadsheets/d/1swGwZOEqYlTEUCJLY-eeJM1911Kvaei5oySBIxdgtNo/edit?pli=1#gid=257618397"",""stock untanna!B:C""),2,false)"),"PENSIL CASE SH-8705")</f>
        <v>PENSIL CASE SH-8705</v>
      </c>
      <c r="F2826" s="49" t="s">
        <v>2954</v>
      </c>
      <c r="G2826" s="71" t="s">
        <v>2955</v>
      </c>
      <c r="H2826" s="41"/>
      <c r="I2826" s="42"/>
      <c r="J2826" s="43"/>
      <c r="K2826" s="72">
        <v>12.0</v>
      </c>
      <c r="L2826" s="53" t="s">
        <v>69</v>
      </c>
      <c r="M2826" s="73">
        <v>25000.0</v>
      </c>
      <c r="N2826" s="74"/>
      <c r="O2826" s="73">
        <v>300000.0</v>
      </c>
      <c r="P2826" s="46" t="str">
        <f t="shared" si="2"/>
        <v>Rp25,000-12 PCS-0.00%</v>
      </c>
      <c r="Q2826" s="75">
        <v>45419.0</v>
      </c>
      <c r="R2826" s="76"/>
      <c r="S2826" s="75">
        <v>45426.0</v>
      </c>
      <c r="T2826" s="49"/>
    </row>
    <row r="2827">
      <c r="A2827" s="90">
        <v>165.0</v>
      </c>
      <c r="B2827" s="91" t="s">
        <v>29</v>
      </c>
      <c r="C2827" s="49" t="s">
        <v>2968</v>
      </c>
      <c r="D2827" s="91" t="s">
        <v>568</v>
      </c>
      <c r="E2827" s="41" t="str">
        <f>IFERROR(__xludf.DUMMYFUNCTION("vlookup(D2827,IMPORTRANGE(""https://docs.google.com/spreadsheets/d/1swGwZOEqYlTEUCJLY-eeJM1911Kvaei5oySBIxdgtNo/edit?pli=1#gid=257618397"",""stock untanna!B:C""),2,false)"),"PENSIL CASE SH-8704")</f>
        <v>PENSIL CASE SH-8704</v>
      </c>
      <c r="F2827" s="49" t="s">
        <v>568</v>
      </c>
      <c r="G2827" s="71" t="s">
        <v>569</v>
      </c>
      <c r="H2827" s="41"/>
      <c r="I2827" s="42"/>
      <c r="J2827" s="43"/>
      <c r="K2827" s="72">
        <v>12.0</v>
      </c>
      <c r="L2827" s="53" t="s">
        <v>69</v>
      </c>
      <c r="M2827" s="73">
        <v>25000.0</v>
      </c>
      <c r="N2827" s="74"/>
      <c r="O2827" s="73">
        <v>300000.0</v>
      </c>
      <c r="P2827" s="46" t="str">
        <f t="shared" si="2"/>
        <v>Rp25,000-12 PCS-0.00%</v>
      </c>
      <c r="Q2827" s="75">
        <v>45419.0</v>
      </c>
      <c r="R2827" s="76"/>
      <c r="S2827" s="75">
        <v>45426.0</v>
      </c>
      <c r="T2827" s="49"/>
    </row>
    <row r="2828">
      <c r="A2828" s="90">
        <v>165.0</v>
      </c>
      <c r="B2828" s="91" t="s">
        <v>29</v>
      </c>
      <c r="C2828" s="49" t="s">
        <v>2968</v>
      </c>
      <c r="D2828" s="91"/>
      <c r="E2828" s="41" t="s">
        <v>2380</v>
      </c>
      <c r="F2828" s="49"/>
      <c r="G2828" s="71" t="s">
        <v>2380</v>
      </c>
      <c r="H2828" s="41"/>
      <c r="I2828" s="42"/>
      <c r="J2828" s="43"/>
      <c r="K2828" s="72">
        <v>1.0</v>
      </c>
      <c r="L2828" s="53" t="s">
        <v>62</v>
      </c>
      <c r="M2828" s="73">
        <v>300000.0</v>
      </c>
      <c r="N2828" s="74"/>
      <c r="O2828" s="73">
        <v>300000.0</v>
      </c>
      <c r="P2828" s="46" t="str">
        <f t="shared" si="2"/>
        <v>Rp300,000-1 LSN-0.00%</v>
      </c>
      <c r="Q2828" s="75">
        <v>45419.0</v>
      </c>
      <c r="R2828" s="76"/>
      <c r="S2828" s="75">
        <v>45426.0</v>
      </c>
      <c r="T2828" s="80" t="s">
        <v>280</v>
      </c>
    </row>
    <row r="2829">
      <c r="A2829" s="90">
        <v>165.0</v>
      </c>
      <c r="B2829" s="91" t="s">
        <v>29</v>
      </c>
      <c r="C2829" s="49" t="s">
        <v>2968</v>
      </c>
      <c r="D2829" s="91"/>
      <c r="E2829" s="41" t="s">
        <v>2984</v>
      </c>
      <c r="F2829" s="49"/>
      <c r="G2829" s="71" t="s">
        <v>2984</v>
      </c>
      <c r="H2829" s="41"/>
      <c r="I2829" s="42"/>
      <c r="J2829" s="43"/>
      <c r="K2829" s="72">
        <v>1.0</v>
      </c>
      <c r="L2829" s="53" t="s">
        <v>62</v>
      </c>
      <c r="M2829" s="73">
        <v>125000.0</v>
      </c>
      <c r="N2829" s="74"/>
      <c r="O2829" s="73">
        <v>125000.0</v>
      </c>
      <c r="P2829" s="46" t="str">
        <f t="shared" si="2"/>
        <v>Rp125,000-1 LSN-0.00%</v>
      </c>
      <c r="Q2829" s="75">
        <v>45419.0</v>
      </c>
      <c r="R2829" s="76"/>
      <c r="S2829" s="75">
        <v>45426.0</v>
      </c>
      <c r="T2829" s="49"/>
    </row>
    <row r="2830">
      <c r="A2830" s="90">
        <v>165.0</v>
      </c>
      <c r="B2830" s="91" t="s">
        <v>29</v>
      </c>
      <c r="C2830" s="49" t="s">
        <v>2968</v>
      </c>
      <c r="D2830" s="91" t="s">
        <v>769</v>
      </c>
      <c r="E2830" s="41" t="str">
        <f>IFERROR(__xludf.DUMMYFUNCTION("vlookup(D2830,IMPORTRANGE(""https://docs.google.com/spreadsheets/d/1swGwZOEqYlTEUCJLY-eeJM1911Kvaei5oySBIxdgtNo/edit?pli=1#gid=257618397"",""stock untanna!B:C""),2,false)"),"GARISAN BESI TF 100 CM")</f>
        <v>GARISAN BESI TF 100 CM</v>
      </c>
      <c r="F2830" s="49" t="s">
        <v>769</v>
      </c>
      <c r="G2830" s="71" t="s">
        <v>770</v>
      </c>
      <c r="H2830" s="41"/>
      <c r="I2830" s="42"/>
      <c r="J2830" s="43"/>
      <c r="K2830" s="72">
        <v>1.0</v>
      </c>
      <c r="L2830" s="53" t="s">
        <v>62</v>
      </c>
      <c r="M2830" s="73">
        <v>300000.0</v>
      </c>
      <c r="N2830" s="74"/>
      <c r="O2830" s="73">
        <v>300000.0</v>
      </c>
      <c r="P2830" s="46" t="str">
        <f t="shared" si="2"/>
        <v>Rp300,000-1 LSN-0.00%</v>
      </c>
      <c r="Q2830" s="75">
        <v>45419.0</v>
      </c>
      <c r="R2830" s="76"/>
      <c r="S2830" s="75">
        <v>45426.0</v>
      </c>
      <c r="T2830" s="49"/>
    </row>
    <row r="2831">
      <c r="A2831" s="90">
        <v>165.0</v>
      </c>
      <c r="B2831" s="91" t="s">
        <v>29</v>
      </c>
      <c r="C2831" s="49" t="s">
        <v>2968</v>
      </c>
      <c r="D2831" s="91"/>
      <c r="E2831" s="41" t="s">
        <v>2985</v>
      </c>
      <c r="F2831" s="49"/>
      <c r="G2831" s="71" t="s">
        <v>2985</v>
      </c>
      <c r="H2831" s="41"/>
      <c r="I2831" s="42"/>
      <c r="J2831" s="43"/>
      <c r="K2831" s="72">
        <v>1.0</v>
      </c>
      <c r="L2831" s="53" t="s">
        <v>62</v>
      </c>
      <c r="M2831" s="73">
        <v>170000.0</v>
      </c>
      <c r="N2831" s="74"/>
      <c r="O2831" s="73">
        <v>170000.0</v>
      </c>
      <c r="P2831" s="46" t="str">
        <f t="shared" si="2"/>
        <v>Rp170,000-1 LSN-0.00%</v>
      </c>
      <c r="Q2831" s="75">
        <v>45419.0</v>
      </c>
      <c r="R2831" s="76"/>
      <c r="S2831" s="75">
        <v>45426.0</v>
      </c>
      <c r="T2831" s="49"/>
    </row>
    <row r="2832">
      <c r="A2832" s="90">
        <v>384.0</v>
      </c>
      <c r="B2832" s="91" t="s">
        <v>65</v>
      </c>
      <c r="C2832" s="49" t="s">
        <v>2986</v>
      </c>
      <c r="D2832" s="91" t="s">
        <v>2470</v>
      </c>
      <c r="E2832" s="41" t="str">
        <f>IFERROR(__xludf.DUMMYFUNCTION("vlookup(D2832,IMPORTRANGE(""https://docs.google.com/spreadsheets/d/1swGwZOEqYlTEUCJLY-eeJM1911Kvaei5oySBIxdgtNo/edit?pli=1#gid=257618397"",""stock untanna!B:C""),2,false)"),"CAT ACRYLIC COLOUR TF AC-004N NEON")</f>
        <v>CAT ACRYLIC COLOUR TF AC-004N NEON</v>
      </c>
      <c r="F2832" s="49" t="s">
        <v>2470</v>
      </c>
      <c r="G2832" s="78" t="s">
        <v>2471</v>
      </c>
      <c r="H2832" s="41"/>
      <c r="I2832" s="42"/>
      <c r="J2832" s="43"/>
      <c r="K2832" s="72">
        <v>0.5</v>
      </c>
      <c r="L2832" s="53" t="s">
        <v>62</v>
      </c>
      <c r="M2832" s="73">
        <v>252000.0</v>
      </c>
      <c r="N2832" s="74"/>
      <c r="O2832" s="73">
        <v>126000.0</v>
      </c>
      <c r="P2832" s="46" t="str">
        <f t="shared" si="2"/>
        <v>Rp252,000-0.5 LSN-0.00%</v>
      </c>
      <c r="Q2832" s="75">
        <v>45419.0</v>
      </c>
      <c r="R2832" s="76"/>
      <c r="S2832" s="75">
        <v>45426.0</v>
      </c>
      <c r="T2832" s="49"/>
    </row>
    <row r="2833">
      <c r="A2833" s="90">
        <v>384.0</v>
      </c>
      <c r="B2833" s="91" t="s">
        <v>65</v>
      </c>
      <c r="C2833" s="49" t="s">
        <v>2986</v>
      </c>
      <c r="D2833" s="91" t="s">
        <v>434</v>
      </c>
      <c r="E2833" s="41" t="str">
        <f>IFERROR(__xludf.DUMMYFUNCTION("vlookup(D2833,IMPORTRANGE(""https://docs.google.com/spreadsheets/d/1swGwZOEqYlTEUCJLY-eeJM1911Kvaei5oySBIxdgtNo/edit?pli=1#gid=257618397"",""stock untanna!B:C""),2,false)"),"BP GEL DTIAN 8801")</f>
        <v>BP GEL DTIAN 8801</v>
      </c>
      <c r="F2833" s="49" t="s">
        <v>434</v>
      </c>
      <c r="G2833" s="71" t="s">
        <v>435</v>
      </c>
      <c r="H2833" s="41"/>
      <c r="I2833" s="42"/>
      <c r="J2833" s="43"/>
      <c r="K2833" s="72">
        <v>4.0</v>
      </c>
      <c r="L2833" s="53" t="s">
        <v>62</v>
      </c>
      <c r="M2833" s="73">
        <v>12996.0</v>
      </c>
      <c r="N2833" s="74"/>
      <c r="O2833" s="73">
        <v>51984.0</v>
      </c>
      <c r="P2833" s="46" t="str">
        <f t="shared" si="2"/>
        <v>Rp12,996-4 LSN-0.00%</v>
      </c>
      <c r="Q2833" s="75">
        <v>45419.0</v>
      </c>
      <c r="R2833" s="76"/>
      <c r="S2833" s="75">
        <v>45426.0</v>
      </c>
      <c r="T2833" s="49"/>
    </row>
    <row r="2834">
      <c r="A2834" s="90">
        <v>384.0</v>
      </c>
      <c r="B2834" s="91" t="s">
        <v>65</v>
      </c>
      <c r="C2834" s="49" t="s">
        <v>2986</v>
      </c>
      <c r="D2834" s="91"/>
      <c r="E2834" s="41" t="s">
        <v>2987</v>
      </c>
      <c r="F2834" s="49"/>
      <c r="G2834" s="71" t="s">
        <v>2987</v>
      </c>
      <c r="H2834" s="41"/>
      <c r="I2834" s="42"/>
      <c r="J2834" s="43"/>
      <c r="K2834" s="72">
        <v>36.0</v>
      </c>
      <c r="L2834" s="53" t="s">
        <v>69</v>
      </c>
      <c r="M2834" s="73">
        <v>1000.0</v>
      </c>
      <c r="N2834" s="74"/>
      <c r="O2834" s="73">
        <v>36000.0</v>
      </c>
      <c r="P2834" s="46" t="str">
        <f t="shared" si="2"/>
        <v>Rp1,000-36 PCS-0.00%</v>
      </c>
      <c r="Q2834" s="75">
        <v>45419.0</v>
      </c>
      <c r="R2834" s="76"/>
      <c r="S2834" s="75">
        <v>45426.0</v>
      </c>
      <c r="T2834" s="49"/>
    </row>
    <row r="2835">
      <c r="A2835" s="90">
        <v>384.0</v>
      </c>
      <c r="B2835" s="91" t="s">
        <v>65</v>
      </c>
      <c r="C2835" s="49" t="s">
        <v>2986</v>
      </c>
      <c r="D2835" s="91" t="s">
        <v>1322</v>
      </c>
      <c r="E2835" s="41" t="str">
        <f>IFERROR(__xludf.DUMMYFUNCTION("vlookup(D2835,IMPORTRANGE(""https://docs.google.com/spreadsheets/d/1swGwZOEqYlTEUCJLY-eeJM1911Kvaei5oySBIxdgtNo/edit?pli=1#gid=257618397"",""stock untanna!B:C""),2,false)"),"BP GEL BP-A8010")</f>
        <v>BP GEL BP-A8010</v>
      </c>
      <c r="F2835" s="49" t="s">
        <v>1322</v>
      </c>
      <c r="G2835" s="71" t="s">
        <v>1323</v>
      </c>
      <c r="H2835" s="41"/>
      <c r="I2835" s="42"/>
      <c r="J2835" s="43"/>
      <c r="K2835" s="72">
        <v>24.0</v>
      </c>
      <c r="L2835" s="53" t="s">
        <v>69</v>
      </c>
      <c r="M2835" s="73">
        <v>2917.0</v>
      </c>
      <c r="N2835" s="74"/>
      <c r="O2835" s="73">
        <v>70008.0</v>
      </c>
      <c r="P2835" s="46" t="str">
        <f t="shared" si="2"/>
        <v>Rp2,917-24 PCS-0.00%</v>
      </c>
      <c r="Q2835" s="75">
        <v>45419.0</v>
      </c>
      <c r="R2835" s="76"/>
      <c r="S2835" s="75">
        <v>45426.0</v>
      </c>
      <c r="T2835" s="49"/>
    </row>
    <row r="2836">
      <c r="A2836" s="90">
        <v>384.0</v>
      </c>
      <c r="B2836" s="91" t="s">
        <v>65</v>
      </c>
      <c r="C2836" s="49" t="s">
        <v>2986</v>
      </c>
      <c r="D2836" s="91" t="s">
        <v>199</v>
      </c>
      <c r="E2836" s="41" t="str">
        <f>IFERROR(__xludf.DUMMYFUNCTION("vlookup(D2836,IMPORTRANGE(""https://docs.google.com/spreadsheets/d/1swGwZOEqYlTEUCJLY-eeJM1911Kvaei5oySBIxdgtNo/edit?pli=1#gid=257618397"",""stock untanna!B:C""),2,false)"),"BP TF 1022")</f>
        <v>BP TF 1022</v>
      </c>
      <c r="F2836" s="49" t="s">
        <v>199</v>
      </c>
      <c r="G2836" s="71" t="s">
        <v>200</v>
      </c>
      <c r="H2836" s="41"/>
      <c r="I2836" s="42"/>
      <c r="J2836" s="43"/>
      <c r="K2836" s="72">
        <v>12.0</v>
      </c>
      <c r="L2836" s="53" t="s">
        <v>62</v>
      </c>
      <c r="M2836" s="73">
        <v>15000.0</v>
      </c>
      <c r="N2836" s="74"/>
      <c r="O2836" s="73">
        <v>180000.0</v>
      </c>
      <c r="P2836" s="46" t="str">
        <f t="shared" si="2"/>
        <v>Rp15,000-12 LSN-0.00%</v>
      </c>
      <c r="Q2836" s="75">
        <v>45419.0</v>
      </c>
      <c r="R2836" s="76"/>
      <c r="S2836" s="75">
        <v>45426.0</v>
      </c>
      <c r="T2836" s="49"/>
    </row>
    <row r="2837">
      <c r="A2837" s="90">
        <v>384.0</v>
      </c>
      <c r="B2837" s="91" t="s">
        <v>65</v>
      </c>
      <c r="C2837" s="49" t="s">
        <v>2986</v>
      </c>
      <c r="D2837" s="91" t="s">
        <v>419</v>
      </c>
      <c r="E2837" s="41" t="str">
        <f>IFERROR(__xludf.DUMMYFUNCTION("vlookup(D2837,IMPORTRANGE(""https://docs.google.com/spreadsheets/d/1swGwZOEqYlTEUCJLY-eeJM1911Kvaei5oySBIxdgtNo/edit?pli=1#gid=257618397"",""stock untanna!B:C""),2,false)"),"BP GEL ZUI XUA HY-1020 HITAM")</f>
        <v>BP GEL ZUI XUA HY-1020 HITAM</v>
      </c>
      <c r="F2837" s="49" t="s">
        <v>419</v>
      </c>
      <c r="G2837" s="71" t="s">
        <v>420</v>
      </c>
      <c r="H2837" s="41"/>
      <c r="I2837" s="42"/>
      <c r="J2837" s="43"/>
      <c r="K2837" s="72">
        <v>12.0</v>
      </c>
      <c r="L2837" s="53" t="s">
        <v>62</v>
      </c>
      <c r="M2837" s="73">
        <v>12000.0</v>
      </c>
      <c r="N2837" s="74"/>
      <c r="O2837" s="73">
        <v>144000.0</v>
      </c>
      <c r="P2837" s="46" t="str">
        <f t="shared" si="2"/>
        <v>Rp12,000-12 LSN-0.00%</v>
      </c>
      <c r="Q2837" s="75">
        <v>45419.0</v>
      </c>
      <c r="R2837" s="76"/>
      <c r="S2837" s="75">
        <v>45426.0</v>
      </c>
      <c r="T2837" s="49"/>
    </row>
    <row r="2838">
      <c r="A2838" s="90">
        <v>384.0</v>
      </c>
      <c r="B2838" s="91" t="s">
        <v>65</v>
      </c>
      <c r="C2838" s="49" t="s">
        <v>2986</v>
      </c>
      <c r="D2838" s="91" t="s">
        <v>2249</v>
      </c>
      <c r="E2838" s="41" t="str">
        <f>IFERROR(__xludf.DUMMYFUNCTION("vlookup(D2838,IMPORTRANGE(""https://docs.google.com/spreadsheets/d/1swGwZOEqYlTEUCJLY-eeJM1911Kvaei5oySBIxdgtNo/edit?pli=1#gid=257618397"",""stock untanna!B:C""),2,false)"),"BALON BL 1006")</f>
        <v>BALON BL 1006</v>
      </c>
      <c r="F2838" s="49" t="s">
        <v>2249</v>
      </c>
      <c r="G2838" s="71" t="s">
        <v>2250</v>
      </c>
      <c r="H2838" s="41"/>
      <c r="I2838" s="42"/>
      <c r="J2838" s="43"/>
      <c r="K2838" s="72">
        <v>60.0</v>
      </c>
      <c r="L2838" s="53" t="s">
        <v>69</v>
      </c>
      <c r="M2838" s="73">
        <v>4375.0</v>
      </c>
      <c r="N2838" s="74"/>
      <c r="O2838" s="73">
        <v>262500.0</v>
      </c>
      <c r="P2838" s="46" t="str">
        <f t="shared" si="2"/>
        <v>Rp4,375-60 PCS-0.00%</v>
      </c>
      <c r="Q2838" s="75">
        <v>45419.0</v>
      </c>
      <c r="R2838" s="76"/>
      <c r="S2838" s="75">
        <v>45426.0</v>
      </c>
      <c r="T2838" s="49" t="s">
        <v>100</v>
      </c>
    </row>
    <row r="2839">
      <c r="A2839" s="90">
        <v>384.0</v>
      </c>
      <c r="B2839" s="91" t="s">
        <v>65</v>
      </c>
      <c r="C2839" s="49" t="s">
        <v>2986</v>
      </c>
      <c r="D2839" s="91"/>
      <c r="E2839" s="41" t="s">
        <v>441</v>
      </c>
      <c r="F2839" s="49"/>
      <c r="G2839" s="71" t="s">
        <v>441</v>
      </c>
      <c r="H2839" s="41"/>
      <c r="I2839" s="42"/>
      <c r="J2839" s="43"/>
      <c r="K2839" s="72">
        <v>48.0</v>
      </c>
      <c r="L2839" s="53" t="s">
        <v>69</v>
      </c>
      <c r="M2839" s="73">
        <v>2250.0</v>
      </c>
      <c r="N2839" s="74"/>
      <c r="O2839" s="73">
        <v>108000.0</v>
      </c>
      <c r="P2839" s="46" t="str">
        <f t="shared" si="2"/>
        <v>Rp2,250-48 PCS-0.00%</v>
      </c>
      <c r="Q2839" s="75">
        <v>45419.0</v>
      </c>
      <c r="R2839" s="76"/>
      <c r="S2839" s="75">
        <v>45426.0</v>
      </c>
      <c r="T2839" s="49"/>
    </row>
    <row r="2840">
      <c r="A2840" s="90">
        <v>384.0</v>
      </c>
      <c r="B2840" s="91" t="s">
        <v>65</v>
      </c>
      <c r="C2840" s="49" t="s">
        <v>2986</v>
      </c>
      <c r="D2840" s="91" t="s">
        <v>2988</v>
      </c>
      <c r="E2840" s="41" t="str">
        <f>IFERROR(__xludf.DUMMYFUNCTION("vlookup(D2840,IMPORTRANGE(""https://docs.google.com/spreadsheets/d/1swGwZOEqYlTEUCJLY-eeJM1911Kvaei5oySBIxdgtNo/edit?pli=1#gid=257618397"",""stock untanna!B:C""),2,false)"),"MAGIC BOARD 106")</f>
        <v>MAGIC BOARD 106</v>
      </c>
      <c r="F2840" s="49" t="s">
        <v>2988</v>
      </c>
      <c r="G2840" s="71" t="s">
        <v>2989</v>
      </c>
      <c r="H2840" s="41"/>
      <c r="I2840" s="42"/>
      <c r="J2840" s="43"/>
      <c r="K2840" s="72">
        <v>6.0</v>
      </c>
      <c r="L2840" s="53" t="s">
        <v>69</v>
      </c>
      <c r="M2840" s="73">
        <v>25000.0</v>
      </c>
      <c r="N2840" s="74"/>
      <c r="O2840" s="73">
        <v>150000.0</v>
      </c>
      <c r="P2840" s="46" t="str">
        <f t="shared" si="2"/>
        <v>Rp25,000-6 PCS-0.00%</v>
      </c>
      <c r="Q2840" s="75">
        <v>45419.0</v>
      </c>
      <c r="R2840" s="76"/>
      <c r="S2840" s="75">
        <v>45426.0</v>
      </c>
      <c r="T2840" s="49"/>
    </row>
    <row r="2841">
      <c r="A2841" s="90">
        <v>384.0</v>
      </c>
      <c r="B2841" s="91" t="s">
        <v>65</v>
      </c>
      <c r="C2841" s="49" t="s">
        <v>2986</v>
      </c>
      <c r="D2841" s="77" t="s">
        <v>2990</v>
      </c>
      <c r="E2841" s="41" t="str">
        <f>IFERROR(__xludf.DUMMYFUNCTION("vlookup(D2841,IMPORTRANGE(""https://docs.google.com/spreadsheets/d/1swGwZOEqYlTEUCJLY-eeJM1911Kvaei5oySBIxdgtNo/edit?pli=1#gid=257618397"",""stock untanna!B:C""),2,false)"),"GARISAN 308")</f>
        <v>GARISAN 308</v>
      </c>
      <c r="F2841" s="49" t="s">
        <v>2991</v>
      </c>
      <c r="G2841" s="71" t="s">
        <v>2992</v>
      </c>
      <c r="H2841" s="41"/>
      <c r="I2841" s="42"/>
      <c r="J2841" s="43"/>
      <c r="K2841" s="72">
        <v>48.0</v>
      </c>
      <c r="L2841" s="53" t="s">
        <v>69</v>
      </c>
      <c r="M2841" s="73">
        <v>1150.0</v>
      </c>
      <c r="N2841" s="74"/>
      <c r="O2841" s="73">
        <v>55200.0</v>
      </c>
      <c r="P2841" s="46" t="str">
        <f t="shared" si="2"/>
        <v>Rp1,150-48 PCS-0.00%</v>
      </c>
      <c r="Q2841" s="75">
        <v>45419.0</v>
      </c>
      <c r="R2841" s="76"/>
      <c r="S2841" s="75">
        <v>45426.0</v>
      </c>
      <c r="T2841" s="49"/>
    </row>
    <row r="2842">
      <c r="A2842" s="90">
        <v>384.0</v>
      </c>
      <c r="B2842" s="91" t="s">
        <v>65</v>
      </c>
      <c r="C2842" s="49" t="s">
        <v>2986</v>
      </c>
      <c r="D2842" s="77" t="s">
        <v>2993</v>
      </c>
      <c r="E2842" s="41" t="str">
        <f>IFERROR(__xludf.DUMMYFUNCTION("vlookup(D2842,IMPORTRANGE(""https://docs.google.com/spreadsheets/d/1swGwZOEqYlTEUCJLY-eeJM1911Kvaei5oySBIxdgtNo/edit?pli=1#gid=257618397"",""stock untanna!B:C""),2,false)"),"GARISAN 30CM DF 3109")</f>
        <v>GARISAN 30CM DF 3109</v>
      </c>
      <c r="F2842" s="49" t="s">
        <v>2994</v>
      </c>
      <c r="G2842" s="71" t="s">
        <v>2995</v>
      </c>
      <c r="H2842" s="41"/>
      <c r="I2842" s="42"/>
      <c r="J2842" s="43"/>
      <c r="K2842" s="72">
        <v>48.0</v>
      </c>
      <c r="L2842" s="53" t="s">
        <v>69</v>
      </c>
      <c r="M2842" s="73">
        <v>2167.0</v>
      </c>
      <c r="N2842" s="74"/>
      <c r="O2842" s="73">
        <v>104016.0</v>
      </c>
      <c r="P2842" s="46" t="str">
        <f t="shared" si="2"/>
        <v>Rp2,167-48 PCS-0.00%</v>
      </c>
      <c r="Q2842" s="75">
        <v>45419.0</v>
      </c>
      <c r="R2842" s="76"/>
      <c r="S2842" s="75">
        <v>45426.0</v>
      </c>
      <c r="T2842" s="49"/>
    </row>
    <row r="2843">
      <c r="A2843" s="90">
        <v>384.0</v>
      </c>
      <c r="B2843" s="91" t="s">
        <v>65</v>
      </c>
      <c r="C2843" s="49" t="s">
        <v>2986</v>
      </c>
      <c r="D2843" s="91" t="s">
        <v>479</v>
      </c>
      <c r="E2843" s="41" t="str">
        <f>IFERROR(__xludf.DUMMYFUNCTION("vlookup(D2843,IMPORTRANGE(""https://docs.google.com/spreadsheets/d/1swGwZOEqYlTEUCJLY-eeJM1911Kvaei5oySBIxdgtNo/edit?pli=1#gid=257618397"",""stock untanna!B:C""),2,false)"),"BP GEL DTIAN A 93")</f>
        <v>BP GEL DTIAN A 93</v>
      </c>
      <c r="F2843" s="49" t="s">
        <v>479</v>
      </c>
      <c r="G2843" s="71" t="s">
        <v>480</v>
      </c>
      <c r="H2843" s="41"/>
      <c r="I2843" s="42"/>
      <c r="J2843" s="43"/>
      <c r="K2843" s="72">
        <v>6.0</v>
      </c>
      <c r="L2843" s="53" t="s">
        <v>62</v>
      </c>
      <c r="M2843" s="73">
        <v>12000.0</v>
      </c>
      <c r="N2843" s="74"/>
      <c r="O2843" s="73">
        <v>72000.0</v>
      </c>
      <c r="P2843" s="46" t="str">
        <f t="shared" si="2"/>
        <v>Rp12,000-6 LSN-0.00%</v>
      </c>
      <c r="Q2843" s="75">
        <v>45419.0</v>
      </c>
      <c r="R2843" s="76"/>
      <c r="S2843" s="75">
        <v>45426.0</v>
      </c>
      <c r="T2843" s="49"/>
    </row>
    <row r="2844">
      <c r="A2844" s="90">
        <v>384.0</v>
      </c>
      <c r="B2844" s="91" t="s">
        <v>65</v>
      </c>
      <c r="C2844" s="49" t="s">
        <v>2986</v>
      </c>
      <c r="D2844" s="91"/>
      <c r="E2844" s="41" t="s">
        <v>2996</v>
      </c>
      <c r="F2844" s="49"/>
      <c r="G2844" s="71" t="s">
        <v>2996</v>
      </c>
      <c r="H2844" s="41"/>
      <c r="I2844" s="42"/>
      <c r="J2844" s="43"/>
      <c r="K2844" s="72">
        <v>12.0</v>
      </c>
      <c r="L2844" s="53" t="s">
        <v>69</v>
      </c>
      <c r="M2844" s="73">
        <v>1542.0</v>
      </c>
      <c r="N2844" s="74"/>
      <c r="O2844" s="73">
        <v>18504.0</v>
      </c>
      <c r="P2844" s="46" t="str">
        <f t="shared" si="2"/>
        <v>Rp1,542-12 PCS-0.00%</v>
      </c>
      <c r="Q2844" s="75">
        <v>45419.0</v>
      </c>
      <c r="R2844" s="76"/>
      <c r="S2844" s="75">
        <v>45426.0</v>
      </c>
      <c r="T2844" s="49"/>
    </row>
    <row r="2845">
      <c r="A2845" s="90">
        <v>384.0</v>
      </c>
      <c r="B2845" s="91" t="s">
        <v>65</v>
      </c>
      <c r="C2845" s="49" t="s">
        <v>2986</v>
      </c>
      <c r="D2845" s="91" t="s">
        <v>615</v>
      </c>
      <c r="E2845" s="41" t="str">
        <f>IFERROR(__xludf.DUMMYFUNCTION("vlookup(D2845,IMPORTRANGE(""https://docs.google.com/spreadsheets/d/1swGwZOEqYlTEUCJLY-eeJM1911Kvaei5oySBIxdgtNo/edit?pli=1#gid=257618397"",""stock untanna!B:C""),2,false)"),"GLITTER GF-88")</f>
        <v>GLITTER GF-88</v>
      </c>
      <c r="F2845" s="49" t="s">
        <v>615</v>
      </c>
      <c r="G2845" s="71" t="s">
        <v>616</v>
      </c>
      <c r="H2845" s="41"/>
      <c r="I2845" s="42"/>
      <c r="J2845" s="43"/>
      <c r="K2845" s="72">
        <v>1.0</v>
      </c>
      <c r="L2845" s="53" t="s">
        <v>62</v>
      </c>
      <c r="M2845" s="73">
        <v>18000.0</v>
      </c>
      <c r="N2845" s="74"/>
      <c r="O2845" s="73">
        <v>18000.0</v>
      </c>
      <c r="P2845" s="46" t="str">
        <f t="shared" si="2"/>
        <v>Rp18,000-1 LSN-0.00%</v>
      </c>
      <c r="Q2845" s="75">
        <v>45419.0</v>
      </c>
      <c r="R2845" s="76"/>
      <c r="S2845" s="75">
        <v>45426.0</v>
      </c>
      <c r="T2845" s="49"/>
    </row>
    <row r="2846">
      <c r="A2846" s="90">
        <v>384.0</v>
      </c>
      <c r="B2846" s="91" t="s">
        <v>65</v>
      </c>
      <c r="C2846" s="49" t="s">
        <v>2986</v>
      </c>
      <c r="D2846" s="91"/>
      <c r="E2846" s="41" t="s">
        <v>620</v>
      </c>
      <c r="F2846" s="49"/>
      <c r="G2846" s="71" t="s">
        <v>620</v>
      </c>
      <c r="H2846" s="41"/>
      <c r="I2846" s="42"/>
      <c r="J2846" s="43"/>
      <c r="K2846" s="72">
        <v>12.0</v>
      </c>
      <c r="L2846" s="53" t="s">
        <v>69</v>
      </c>
      <c r="M2846" s="73">
        <v>1542.0</v>
      </c>
      <c r="N2846" s="74"/>
      <c r="O2846" s="73">
        <v>18504.0</v>
      </c>
      <c r="P2846" s="46" t="str">
        <f t="shared" si="2"/>
        <v>Rp1,542-12 PCS-0.00%</v>
      </c>
      <c r="Q2846" s="75">
        <v>45419.0</v>
      </c>
      <c r="R2846" s="76"/>
      <c r="S2846" s="75">
        <v>45426.0</v>
      </c>
      <c r="T2846" s="80" t="s">
        <v>280</v>
      </c>
    </row>
    <row r="2847">
      <c r="A2847" s="90">
        <v>384.0</v>
      </c>
      <c r="B2847" s="91" t="s">
        <v>65</v>
      </c>
      <c r="C2847" s="49" t="s">
        <v>2986</v>
      </c>
      <c r="D2847" s="91" t="s">
        <v>2997</v>
      </c>
      <c r="E2847" s="41" t="str">
        <f>IFERROR(__xludf.DUMMYFUNCTION("vlookup(D2847,IMPORTRANGE(""https://docs.google.com/spreadsheets/d/1swGwZOEqYlTEUCJLY-eeJM1911Kvaei5oySBIxdgtNo/edit?pli=1#gid=257618397"",""stock untanna!B:C""),2,false)"),"GUNTING KUKU 777 H 211 B")</f>
        <v>GUNTING KUKU 777 H 211 B</v>
      </c>
      <c r="F2847" s="49" t="s">
        <v>2997</v>
      </c>
      <c r="G2847" s="71" t="s">
        <v>2998</v>
      </c>
      <c r="H2847" s="41"/>
      <c r="I2847" s="42"/>
      <c r="J2847" s="43"/>
      <c r="K2847" s="72">
        <v>2.0</v>
      </c>
      <c r="L2847" s="53" t="s">
        <v>62</v>
      </c>
      <c r="M2847" s="73">
        <v>36000.0</v>
      </c>
      <c r="N2847" s="74"/>
      <c r="O2847" s="73">
        <v>72000.0</v>
      </c>
      <c r="P2847" s="46" t="str">
        <f t="shared" si="2"/>
        <v>Rp36,000-2 LSN-0.00%</v>
      </c>
      <c r="Q2847" s="75">
        <v>45419.0</v>
      </c>
      <c r="R2847" s="76"/>
      <c r="S2847" s="75">
        <v>45426.0</v>
      </c>
      <c r="T2847" s="49"/>
    </row>
    <row r="2848">
      <c r="A2848" s="90">
        <v>384.0</v>
      </c>
      <c r="B2848" s="91" t="s">
        <v>65</v>
      </c>
      <c r="C2848" s="49" t="s">
        <v>2986</v>
      </c>
      <c r="D2848" s="91" t="s">
        <v>195</v>
      </c>
      <c r="E2848" s="41" t="str">
        <f>IFERROR(__xludf.DUMMYFUNCTION("vlookup(D2848,IMPORTRANGE(""https://docs.google.com/spreadsheets/d/1swGwZOEqYlTEUCJLY-eeJM1911Kvaei5oySBIxdgtNo/edit?pli=1#gid=257618397"",""stock untanna!B:C""),2,false)"),"BP TF-3115 HIGHTECH KNOCK")</f>
        <v>BP TF-3115 HIGHTECH KNOCK</v>
      </c>
      <c r="F2848" s="49" t="s">
        <v>195</v>
      </c>
      <c r="G2848" s="71" t="s">
        <v>196</v>
      </c>
      <c r="H2848" s="41"/>
      <c r="I2848" s="42"/>
      <c r="J2848" s="43"/>
      <c r="K2848" s="72">
        <v>3.0</v>
      </c>
      <c r="L2848" s="53" t="s">
        <v>62</v>
      </c>
      <c r="M2848" s="73">
        <v>36504.0</v>
      </c>
      <c r="N2848" s="74"/>
      <c r="O2848" s="73">
        <v>109512.0</v>
      </c>
      <c r="P2848" s="46" t="str">
        <f t="shared" si="2"/>
        <v>Rp36,504-3 LSN-0.00%</v>
      </c>
      <c r="Q2848" s="75">
        <v>45419.0</v>
      </c>
      <c r="R2848" s="76"/>
      <c r="S2848" s="75">
        <v>45426.0</v>
      </c>
      <c r="T2848" s="49"/>
    </row>
    <row r="2849">
      <c r="A2849" s="90">
        <v>384.0</v>
      </c>
      <c r="B2849" s="91" t="s">
        <v>65</v>
      </c>
      <c r="C2849" s="49" t="s">
        <v>2986</v>
      </c>
      <c r="D2849" s="91"/>
      <c r="E2849" s="41" t="s">
        <v>2999</v>
      </c>
      <c r="F2849" s="49"/>
      <c r="G2849" s="71" t="s">
        <v>2999</v>
      </c>
      <c r="H2849" s="41"/>
      <c r="I2849" s="42"/>
      <c r="J2849" s="43"/>
      <c r="K2849" s="72">
        <v>12.0</v>
      </c>
      <c r="L2849" s="53" t="s">
        <v>69</v>
      </c>
      <c r="M2849" s="73">
        <v>1450.0</v>
      </c>
      <c r="N2849" s="74"/>
      <c r="O2849" s="73">
        <v>17400.0</v>
      </c>
      <c r="P2849" s="46" t="str">
        <f t="shared" si="2"/>
        <v>Rp1,450-12 PCS-0.00%</v>
      </c>
      <c r="Q2849" s="75">
        <v>45419.0</v>
      </c>
      <c r="R2849" s="76"/>
      <c r="S2849" s="75">
        <v>45426.0</v>
      </c>
      <c r="T2849" s="49"/>
    </row>
    <row r="2850">
      <c r="A2850" s="90">
        <v>385.0</v>
      </c>
      <c r="B2850" s="91" t="s">
        <v>65</v>
      </c>
      <c r="C2850" s="49" t="s">
        <v>2986</v>
      </c>
      <c r="D2850" s="91"/>
      <c r="E2850" s="41" t="s">
        <v>3000</v>
      </c>
      <c r="F2850" s="49"/>
      <c r="G2850" s="71" t="s">
        <v>3000</v>
      </c>
      <c r="H2850" s="41"/>
      <c r="I2850" s="42"/>
      <c r="J2850" s="43"/>
      <c r="K2850" s="72">
        <v>40.0</v>
      </c>
      <c r="L2850" s="53" t="s">
        <v>69</v>
      </c>
      <c r="M2850" s="73">
        <v>2750.0</v>
      </c>
      <c r="N2850" s="74"/>
      <c r="O2850" s="73">
        <v>110000.0</v>
      </c>
      <c r="P2850" s="46" t="str">
        <f t="shared" si="2"/>
        <v>Rp2,750-40 PCS-0.00%</v>
      </c>
      <c r="Q2850" s="75">
        <v>45419.0</v>
      </c>
      <c r="R2850" s="76"/>
      <c r="S2850" s="75">
        <v>45426.0</v>
      </c>
      <c r="T2850" s="49"/>
    </row>
    <row r="2851">
      <c r="A2851" s="90">
        <v>385.0</v>
      </c>
      <c r="B2851" s="91" t="s">
        <v>65</v>
      </c>
      <c r="C2851" s="49" t="s">
        <v>2986</v>
      </c>
      <c r="D2851" s="91" t="s">
        <v>1092</v>
      </c>
      <c r="E2851" s="41" t="str">
        <f>IFERROR(__xludf.DUMMYFUNCTION("vlookup(D2851,IMPORTRANGE(""https://docs.google.com/spreadsheets/d/1swGwZOEqYlTEUCJLY-eeJM1911Kvaei5oySBIxdgtNo/edit?pli=1#gid=257618397"",""stock untanna!B:C""),2,false)"),"TAPE LK-22305")</f>
        <v>TAPE LK-22305</v>
      </c>
      <c r="F2851" s="49" t="s">
        <v>1092</v>
      </c>
      <c r="G2851" s="71" t="s">
        <v>1093</v>
      </c>
      <c r="H2851" s="41"/>
      <c r="I2851" s="42"/>
      <c r="J2851" s="43"/>
      <c r="K2851" s="72">
        <v>60.0</v>
      </c>
      <c r="L2851" s="53" t="s">
        <v>69</v>
      </c>
      <c r="M2851" s="73">
        <v>2000.0</v>
      </c>
      <c r="N2851" s="74"/>
      <c r="O2851" s="73">
        <v>120000.0</v>
      </c>
      <c r="P2851" s="46" t="str">
        <f t="shared" si="2"/>
        <v>Rp2,000-60 PCS-0.00%</v>
      </c>
      <c r="Q2851" s="75">
        <v>45419.0</v>
      </c>
      <c r="R2851" s="76"/>
      <c r="S2851" s="75">
        <v>45426.0</v>
      </c>
      <c r="T2851" s="49" t="s">
        <v>100</v>
      </c>
    </row>
    <row r="2852">
      <c r="A2852" s="90">
        <v>385.0</v>
      </c>
      <c r="B2852" s="91" t="s">
        <v>65</v>
      </c>
      <c r="C2852" s="49" t="s">
        <v>2986</v>
      </c>
      <c r="D2852" s="91" t="s">
        <v>127</v>
      </c>
      <c r="E2852" s="41" t="str">
        <f>IFERROR(__xludf.DUMMYFUNCTION("vlookup(D2852,IMPORTRANGE(""https://docs.google.com/spreadsheets/d/1swGwZOEqYlTEUCJLY-eeJM1911Kvaei5oySBIxdgtNo/edit?pli=1#gid=257618397"",""stock untanna!B:C""),2,false)"),"JANGKA A5 3328 FANCY")</f>
        <v>JANGKA A5 3328 FANCY</v>
      </c>
      <c r="F2852" s="49" t="s">
        <v>127</v>
      </c>
      <c r="G2852" s="71" t="s">
        <v>128</v>
      </c>
      <c r="H2852" s="41"/>
      <c r="I2852" s="42"/>
      <c r="J2852" s="43"/>
      <c r="K2852" s="72">
        <v>1.0</v>
      </c>
      <c r="L2852" s="53" t="s">
        <v>62</v>
      </c>
      <c r="M2852" s="73">
        <v>60000.0</v>
      </c>
      <c r="N2852" s="74"/>
      <c r="O2852" s="73">
        <v>60000.0</v>
      </c>
      <c r="P2852" s="46" t="str">
        <f t="shared" si="2"/>
        <v>Rp60,000-1 LSN-0.00%</v>
      </c>
      <c r="Q2852" s="75">
        <v>45419.0</v>
      </c>
      <c r="R2852" s="76"/>
      <c r="S2852" s="75">
        <v>45426.0</v>
      </c>
      <c r="T2852" s="49"/>
    </row>
    <row r="2853">
      <c r="A2853" s="90">
        <v>385.0</v>
      </c>
      <c r="B2853" s="91" t="s">
        <v>65</v>
      </c>
      <c r="C2853" s="49" t="s">
        <v>2986</v>
      </c>
      <c r="D2853" s="91" t="s">
        <v>3001</v>
      </c>
      <c r="E2853" s="41" t="str">
        <f>IFERROR(__xludf.DUMMYFUNCTION("vlookup(D2853,IMPORTRANGE(""https://docs.google.com/spreadsheets/d/1swGwZOEqYlTEUCJLY-eeJM1911Kvaei5oySBIxdgtNo/edit?pli=1#gid=257618397"",""stock untanna!B:C""),2,false)"),"K LIPAT FLUORESCENT 14X14")</f>
        <v>K LIPAT FLUORESCENT 14X14</v>
      </c>
      <c r="F2853" s="49" t="s">
        <v>3001</v>
      </c>
      <c r="G2853" s="71" t="s">
        <v>3002</v>
      </c>
      <c r="H2853" s="41"/>
      <c r="I2853" s="42"/>
      <c r="J2853" s="43"/>
      <c r="K2853" s="72">
        <v>24.0</v>
      </c>
      <c r="L2853" s="53" t="s">
        <v>69</v>
      </c>
      <c r="M2853" s="73">
        <v>3250.0</v>
      </c>
      <c r="N2853" s="74"/>
      <c r="O2853" s="73">
        <v>78000.0</v>
      </c>
      <c r="P2853" s="46" t="str">
        <f t="shared" si="2"/>
        <v>Rp3,250-24 PCS-0.00%</v>
      </c>
      <c r="Q2853" s="75">
        <v>45419.0</v>
      </c>
      <c r="R2853" s="76"/>
      <c r="S2853" s="75">
        <v>45426.0</v>
      </c>
      <c r="T2853" s="49"/>
    </row>
    <row r="2854">
      <c r="A2854" s="90">
        <v>385.0</v>
      </c>
      <c r="B2854" s="91" t="s">
        <v>65</v>
      </c>
      <c r="C2854" s="49" t="s">
        <v>2986</v>
      </c>
      <c r="D2854" s="91"/>
      <c r="E2854" s="41" t="s">
        <v>3003</v>
      </c>
      <c r="F2854" s="49"/>
      <c r="G2854" s="71" t="s">
        <v>3003</v>
      </c>
      <c r="H2854" s="41"/>
      <c r="I2854" s="42"/>
      <c r="J2854" s="43"/>
      <c r="K2854" s="72">
        <v>12.0</v>
      </c>
      <c r="L2854" s="53" t="s">
        <v>69</v>
      </c>
      <c r="M2854" s="73">
        <v>17500.0</v>
      </c>
      <c r="N2854" s="74"/>
      <c r="O2854" s="73">
        <v>210000.0</v>
      </c>
      <c r="P2854" s="46" t="str">
        <f t="shared" si="2"/>
        <v>Rp17,500-12 PCS-0.00%</v>
      </c>
      <c r="Q2854" s="75">
        <v>45419.0</v>
      </c>
      <c r="R2854" s="76"/>
      <c r="S2854" s="75">
        <v>45426.0</v>
      </c>
      <c r="T2854" s="49"/>
    </row>
    <row r="2855">
      <c r="A2855" s="90">
        <v>385.0</v>
      </c>
      <c r="B2855" s="91" t="s">
        <v>65</v>
      </c>
      <c r="C2855" s="49" t="s">
        <v>2986</v>
      </c>
      <c r="D2855" s="91" t="s">
        <v>2241</v>
      </c>
      <c r="E2855" s="41" t="str">
        <f>IFERROR(__xludf.DUMMYFUNCTION("vlookup(D2855,IMPORTRANGE(""https://docs.google.com/spreadsheets/d/1swGwZOEqYlTEUCJLY-eeJM1911Kvaei5oySBIxdgtNo/edit?pli=1#gid=257618397"",""stock untanna!B:C""),2,false)"),"DIARY CK64-6031 HAHA (112LBR)")</f>
        <v>DIARY CK64-6031 HAHA (112LBR)</v>
      </c>
      <c r="F2855" s="49" t="s">
        <v>2241</v>
      </c>
      <c r="G2855" s="71" t="s">
        <v>2242</v>
      </c>
      <c r="H2855" s="41"/>
      <c r="I2855" s="42"/>
      <c r="J2855" s="43"/>
      <c r="K2855" s="72">
        <v>12.0</v>
      </c>
      <c r="L2855" s="53" t="s">
        <v>69</v>
      </c>
      <c r="M2855" s="73">
        <v>15000.0</v>
      </c>
      <c r="N2855" s="74"/>
      <c r="O2855" s="73">
        <v>180000.0</v>
      </c>
      <c r="P2855" s="46" t="str">
        <f t="shared" si="2"/>
        <v>Rp15,000-12 PCS-0.00%</v>
      </c>
      <c r="Q2855" s="75">
        <v>45419.0</v>
      </c>
      <c r="R2855" s="76"/>
      <c r="S2855" s="75">
        <v>45426.0</v>
      </c>
      <c r="T2855" s="49"/>
    </row>
    <row r="2856">
      <c r="A2856" s="90">
        <v>385.0</v>
      </c>
      <c r="B2856" s="91" t="s">
        <v>65</v>
      </c>
      <c r="C2856" s="49" t="s">
        <v>2986</v>
      </c>
      <c r="D2856" s="91" t="s">
        <v>511</v>
      </c>
      <c r="E2856" s="41" t="str">
        <f>IFERROR(__xludf.DUMMYFUNCTION("vlookup(D2856,IMPORTRANGE(""https://docs.google.com/spreadsheets/d/1swGwZOEqYlTEUCJLY-eeJM1911Kvaei5oySBIxdgtNo/edit?pli=1#gid=257618397"",""stock untanna!B:C""),2,false)"),"TAPE 1505 FANCY")</f>
        <v>TAPE 1505 FANCY</v>
      </c>
      <c r="F2856" s="49" t="s">
        <v>511</v>
      </c>
      <c r="G2856" s="71" t="s">
        <v>512</v>
      </c>
      <c r="H2856" s="41"/>
      <c r="I2856" s="42"/>
      <c r="J2856" s="43"/>
      <c r="K2856" s="72">
        <v>20.0</v>
      </c>
      <c r="L2856" s="53" t="s">
        <v>69</v>
      </c>
      <c r="M2856" s="73">
        <v>900.0</v>
      </c>
      <c r="N2856" s="74"/>
      <c r="O2856" s="73">
        <v>18000.0</v>
      </c>
      <c r="P2856" s="46" t="str">
        <f t="shared" si="2"/>
        <v>Rp900-20 PCS-0.00%</v>
      </c>
      <c r="Q2856" s="75">
        <v>45419.0</v>
      </c>
      <c r="R2856" s="76"/>
      <c r="S2856" s="75">
        <v>45426.0</v>
      </c>
      <c r="T2856" s="49"/>
    </row>
    <row r="2857">
      <c r="A2857" s="90">
        <v>385.0</v>
      </c>
      <c r="B2857" s="91" t="s">
        <v>65</v>
      </c>
      <c r="C2857" s="49" t="s">
        <v>2986</v>
      </c>
      <c r="D2857" s="91"/>
      <c r="E2857" s="41" t="s">
        <v>2248</v>
      </c>
      <c r="F2857" s="49"/>
      <c r="G2857" s="71" t="s">
        <v>2248</v>
      </c>
      <c r="H2857" s="41"/>
      <c r="I2857" s="42"/>
      <c r="J2857" s="43"/>
      <c r="K2857" s="72">
        <v>24.0</v>
      </c>
      <c r="L2857" s="53" t="s">
        <v>69</v>
      </c>
      <c r="M2857" s="73">
        <v>5417.0</v>
      </c>
      <c r="N2857" s="74"/>
      <c r="O2857" s="73">
        <v>130008.0</v>
      </c>
      <c r="P2857" s="46" t="str">
        <f t="shared" si="2"/>
        <v>Rp5,417-24 PCS-0.00%</v>
      </c>
      <c r="Q2857" s="75">
        <v>45419.0</v>
      </c>
      <c r="R2857" s="76"/>
      <c r="S2857" s="75">
        <v>45426.0</v>
      </c>
      <c r="T2857" s="80" t="s">
        <v>280</v>
      </c>
    </row>
    <row r="2858">
      <c r="A2858" s="90">
        <v>385.0</v>
      </c>
      <c r="B2858" s="91" t="s">
        <v>65</v>
      </c>
      <c r="C2858" s="49" t="s">
        <v>2986</v>
      </c>
      <c r="D2858" s="91" t="s">
        <v>1391</v>
      </c>
      <c r="E2858" s="41" t="str">
        <f>IFERROR(__xludf.DUMMYFUNCTION("vlookup(D2858,IMPORTRANGE(""https://docs.google.com/spreadsheets/d/1swGwZOEqYlTEUCJLY-eeJM1911Kvaei5oySBIxdgtNo/edit?pli=1#gid=257618397"",""stock untanna!B:C""),2,false)"),"PENCIL CASE KALENG H-9888")</f>
        <v>PENCIL CASE KALENG H-9888</v>
      </c>
      <c r="F2858" s="49" t="s">
        <v>1391</v>
      </c>
      <c r="G2858" s="71" t="s">
        <v>1392</v>
      </c>
      <c r="H2858" s="41"/>
      <c r="I2858" s="42"/>
      <c r="J2858" s="43"/>
      <c r="K2858" s="72">
        <v>12.0</v>
      </c>
      <c r="L2858" s="53" t="s">
        <v>69</v>
      </c>
      <c r="M2858" s="73">
        <v>13000.0</v>
      </c>
      <c r="N2858" s="74"/>
      <c r="O2858" s="73">
        <v>156000.0</v>
      </c>
      <c r="P2858" s="46" t="str">
        <f t="shared" si="2"/>
        <v>Rp13,000-12 PCS-0.00%</v>
      </c>
      <c r="Q2858" s="75">
        <v>45419.0</v>
      </c>
      <c r="R2858" s="76"/>
      <c r="S2858" s="75">
        <v>45426.0</v>
      </c>
      <c r="T2858" s="49"/>
    </row>
    <row r="2859">
      <c r="A2859" s="90">
        <v>385.0</v>
      </c>
      <c r="B2859" s="91" t="s">
        <v>65</v>
      </c>
      <c r="C2859" s="49" t="s">
        <v>2986</v>
      </c>
      <c r="D2859" s="91" t="s">
        <v>1394</v>
      </c>
      <c r="E2859" s="41" t="str">
        <f>IFERROR(__xludf.DUMMYFUNCTION("vlookup(D2859,IMPORTRANGE(""https://docs.google.com/spreadsheets/d/1swGwZOEqYlTEUCJLY-eeJM1911Kvaei5oySBIxdgtNo/edit?pli=1#gid=257618397"",""stock untanna!B:C""),2,false)"),"PENCIL CASE H-9905 KLG")</f>
        <v>PENCIL CASE H-9905 KLG</v>
      </c>
      <c r="F2859" s="49" t="s">
        <v>1394</v>
      </c>
      <c r="G2859" s="71" t="s">
        <v>1395</v>
      </c>
      <c r="H2859" s="41"/>
      <c r="I2859" s="42"/>
      <c r="J2859" s="43"/>
      <c r="K2859" s="72">
        <v>12.0</v>
      </c>
      <c r="L2859" s="53" t="s">
        <v>69</v>
      </c>
      <c r="M2859" s="73">
        <v>11000.0</v>
      </c>
      <c r="N2859" s="74"/>
      <c r="O2859" s="73">
        <v>132000.0</v>
      </c>
      <c r="P2859" s="46" t="str">
        <f t="shared" si="2"/>
        <v>Rp11,000-12 PCS-0.00%</v>
      </c>
      <c r="Q2859" s="75">
        <v>45419.0</v>
      </c>
      <c r="R2859" s="76"/>
      <c r="S2859" s="75">
        <v>45426.0</v>
      </c>
      <c r="T2859" s="49"/>
    </row>
    <row r="2860">
      <c r="A2860" s="90">
        <v>385.0</v>
      </c>
      <c r="B2860" s="91" t="s">
        <v>65</v>
      </c>
      <c r="C2860" s="49" t="s">
        <v>2986</v>
      </c>
      <c r="D2860" s="91" t="s">
        <v>582</v>
      </c>
      <c r="E2860" s="41" t="str">
        <f>IFERROR(__xludf.DUMMYFUNCTION("vlookup(D2860,IMPORTRANGE(""https://docs.google.com/spreadsheets/d/1swGwZOEqYlTEUCJLY-eeJM1911Kvaei5oySBIxdgtNo/edit?pli=1#gid=257618397"",""stock untanna!B:C""),2,false)"),"PENCIL CASE DZ-0065 MAGNET")</f>
        <v>PENCIL CASE DZ-0065 MAGNET</v>
      </c>
      <c r="F2860" s="49" t="s">
        <v>582</v>
      </c>
      <c r="G2860" s="71" t="s">
        <v>583</v>
      </c>
      <c r="H2860" s="41"/>
      <c r="I2860" s="42"/>
      <c r="J2860" s="43"/>
      <c r="K2860" s="72">
        <v>12.0</v>
      </c>
      <c r="L2860" s="53" t="s">
        <v>69</v>
      </c>
      <c r="M2860" s="73">
        <v>12500.0</v>
      </c>
      <c r="N2860" s="74"/>
      <c r="O2860" s="73">
        <v>150000.0</v>
      </c>
      <c r="P2860" s="46" t="str">
        <f t="shared" si="2"/>
        <v>Rp12,500-12 PCS-0.00%</v>
      </c>
      <c r="Q2860" s="75">
        <v>45419.0</v>
      </c>
      <c r="R2860" s="76"/>
      <c r="S2860" s="75">
        <v>45426.0</v>
      </c>
      <c r="T2860" s="49"/>
    </row>
    <row r="2861">
      <c r="A2861" s="90">
        <v>385.0</v>
      </c>
      <c r="B2861" s="91" t="s">
        <v>65</v>
      </c>
      <c r="C2861" s="49" t="s">
        <v>2986</v>
      </c>
      <c r="D2861" s="91" t="s">
        <v>1415</v>
      </c>
      <c r="E2861" s="41" t="str">
        <f>IFERROR(__xludf.DUMMYFUNCTION("vlookup(D2861,IMPORTRANGE(""https://docs.google.com/spreadsheets/d/1swGwZOEqYlTEUCJLY-eeJM1911Kvaei5oySBIxdgtNo/edit?pli=1#gid=257618397"",""stock untanna!B:C""),2,false)"),"PENCIL CASE B-118")</f>
        <v>PENCIL CASE B-118</v>
      </c>
      <c r="F2861" s="49" t="s">
        <v>1415</v>
      </c>
      <c r="G2861" s="71" t="s">
        <v>1416</v>
      </c>
      <c r="H2861" s="41"/>
      <c r="I2861" s="42"/>
      <c r="J2861" s="43"/>
      <c r="K2861" s="72">
        <v>1.0</v>
      </c>
      <c r="L2861" s="53" t="s">
        <v>62</v>
      </c>
      <c r="M2861" s="73">
        <v>114996.0</v>
      </c>
      <c r="N2861" s="74"/>
      <c r="O2861" s="73">
        <v>114996.0</v>
      </c>
      <c r="P2861" s="46" t="str">
        <f t="shared" si="2"/>
        <v>Rp114,996-1 LSN-0.00%</v>
      </c>
      <c r="Q2861" s="75">
        <v>45419.0</v>
      </c>
      <c r="R2861" s="76"/>
      <c r="S2861" s="75">
        <v>45426.0</v>
      </c>
      <c r="T2861" s="49"/>
    </row>
    <row r="2862">
      <c r="A2862" s="90">
        <v>385.0</v>
      </c>
      <c r="B2862" s="91" t="s">
        <v>65</v>
      </c>
      <c r="C2862" s="49" t="s">
        <v>2986</v>
      </c>
      <c r="D2862" s="91" t="s">
        <v>2327</v>
      </c>
      <c r="E2862" s="41" t="str">
        <f>IFERROR(__xludf.DUMMYFUNCTION("vlookup(D2862,IMPORTRANGE(""https://docs.google.com/spreadsheets/d/1swGwZOEqYlTEUCJLY-eeJM1911Kvaei5oySBIxdgtNo/edit?pli=1#gid=257618397"",""stock untanna!B:C""),2,false)"),"STICK NOTE TF 654 5C")</f>
        <v>STICK NOTE TF 654 5C</v>
      </c>
      <c r="F2862" s="49" t="s">
        <v>2327</v>
      </c>
      <c r="G2862" s="71" t="s">
        <v>2328</v>
      </c>
      <c r="H2862" s="41"/>
      <c r="I2862" s="42"/>
      <c r="J2862" s="43"/>
      <c r="K2862" s="72">
        <v>12.0</v>
      </c>
      <c r="L2862" s="53" t="s">
        <v>69</v>
      </c>
      <c r="M2862" s="73">
        <v>4500.0</v>
      </c>
      <c r="N2862" s="74"/>
      <c r="O2862" s="73">
        <v>54000.0</v>
      </c>
      <c r="P2862" s="46" t="str">
        <f t="shared" si="2"/>
        <v>Rp4,500-12 PCS-0.00%</v>
      </c>
      <c r="Q2862" s="75">
        <v>45419.0</v>
      </c>
      <c r="R2862" s="76"/>
      <c r="S2862" s="75">
        <v>45426.0</v>
      </c>
      <c r="T2862" s="49"/>
    </row>
    <row r="2863">
      <c r="A2863" s="90">
        <v>385.0</v>
      </c>
      <c r="B2863" s="91" t="s">
        <v>65</v>
      </c>
      <c r="C2863" s="49" t="s">
        <v>2986</v>
      </c>
      <c r="D2863" s="91" t="s">
        <v>2327</v>
      </c>
      <c r="E2863" s="41" t="str">
        <f>IFERROR(__xludf.DUMMYFUNCTION("vlookup(D2863,IMPORTRANGE(""https://docs.google.com/spreadsheets/d/1swGwZOEqYlTEUCJLY-eeJM1911Kvaei5oySBIxdgtNo/edit?pli=1#gid=257618397"",""stock untanna!B:C""),2,false)"),"STICK NOTE TF 654 5C")</f>
        <v>STICK NOTE TF 654 5C</v>
      </c>
      <c r="F2863" s="49" t="s">
        <v>2327</v>
      </c>
      <c r="G2863" s="71" t="s">
        <v>2328</v>
      </c>
      <c r="H2863" s="41"/>
      <c r="I2863" s="42"/>
      <c r="J2863" s="43"/>
      <c r="K2863" s="72">
        <v>12.0</v>
      </c>
      <c r="L2863" s="53" t="s">
        <v>69</v>
      </c>
      <c r="M2863" s="73">
        <v>4500.0</v>
      </c>
      <c r="N2863" s="74"/>
      <c r="O2863" s="73">
        <v>54000.0</v>
      </c>
      <c r="P2863" s="46" t="str">
        <f t="shared" si="2"/>
        <v>Rp4,500-12 PCS-0.00%</v>
      </c>
      <c r="Q2863" s="75">
        <v>45419.0</v>
      </c>
      <c r="R2863" s="76"/>
      <c r="S2863" s="75">
        <v>45426.0</v>
      </c>
      <c r="T2863" s="49"/>
    </row>
    <row r="2864">
      <c r="A2864" s="90">
        <v>385.0</v>
      </c>
      <c r="B2864" s="91" t="s">
        <v>65</v>
      </c>
      <c r="C2864" s="49" t="s">
        <v>2986</v>
      </c>
      <c r="D2864" s="91"/>
      <c r="E2864" s="41" t="s">
        <v>3004</v>
      </c>
      <c r="F2864" s="49"/>
      <c r="G2864" s="71" t="s">
        <v>3004</v>
      </c>
      <c r="H2864" s="41"/>
      <c r="I2864" s="42"/>
      <c r="J2864" s="43"/>
      <c r="K2864" s="72">
        <v>6.0</v>
      </c>
      <c r="L2864" s="53" t="s">
        <v>69</v>
      </c>
      <c r="M2864" s="73">
        <v>15000.0</v>
      </c>
      <c r="N2864" s="74"/>
      <c r="O2864" s="73">
        <v>90000.0</v>
      </c>
      <c r="P2864" s="46" t="str">
        <f t="shared" si="2"/>
        <v>Rp15,000-6 PCS-0.00%</v>
      </c>
      <c r="Q2864" s="75">
        <v>45419.0</v>
      </c>
      <c r="R2864" s="76"/>
      <c r="S2864" s="75">
        <v>45426.0</v>
      </c>
      <c r="T2864" s="49"/>
    </row>
    <row r="2865">
      <c r="A2865" s="90">
        <v>385.0</v>
      </c>
      <c r="B2865" s="91" t="s">
        <v>65</v>
      </c>
      <c r="C2865" s="49" t="s">
        <v>2986</v>
      </c>
      <c r="D2865" s="91" t="s">
        <v>1073</v>
      </c>
      <c r="E2865" s="41" t="str">
        <f>IFERROR(__xludf.DUMMYFUNCTION("vlookup(D2865,IMPORTRANGE(""https://docs.google.com/spreadsheets/d/1swGwZOEqYlTEUCJLY-eeJM1911Kvaei5oySBIxdgtNo/edit?pli=1#gid=257618397"",""stock untanna!B:C""),2,false)"),"SEMPOA 8023")</f>
        <v>SEMPOA 8023</v>
      </c>
      <c r="F2865" s="49" t="s">
        <v>1073</v>
      </c>
      <c r="G2865" s="71" t="s">
        <v>1074</v>
      </c>
      <c r="H2865" s="41"/>
      <c r="I2865" s="42"/>
      <c r="J2865" s="43"/>
      <c r="K2865" s="72">
        <v>0.5</v>
      </c>
      <c r="L2865" s="53" t="s">
        <v>62</v>
      </c>
      <c r="M2865" s="73">
        <v>105000.0</v>
      </c>
      <c r="N2865" s="74"/>
      <c r="O2865" s="73">
        <v>52500.0</v>
      </c>
      <c r="P2865" s="46" t="str">
        <f t="shared" si="2"/>
        <v>Rp105,000-0.5 LSN-0.00%</v>
      </c>
      <c r="Q2865" s="75">
        <v>45419.0</v>
      </c>
      <c r="R2865" s="76"/>
      <c r="S2865" s="75">
        <v>45426.0</v>
      </c>
      <c r="T2865" s="49"/>
    </row>
    <row r="2866">
      <c r="A2866" s="90">
        <v>385.0</v>
      </c>
      <c r="B2866" s="91" t="s">
        <v>65</v>
      </c>
      <c r="C2866" s="49" t="s">
        <v>2986</v>
      </c>
      <c r="D2866" s="91" t="s">
        <v>1571</v>
      </c>
      <c r="E2866" s="41" t="str">
        <f>IFERROR(__xludf.DUMMYFUNCTION("vlookup(D2866,IMPORTRANGE(""https://docs.google.com/spreadsheets/d/1swGwZOEqYlTEUCJLY-eeJM1911Kvaei5oySBIxdgtNo/edit?pli=1#gid=257618397"",""stock untanna!B:C""),2,false)"),"SPIDOL 12W 555 YOEKER")</f>
        <v>SPIDOL 12W 555 YOEKER</v>
      </c>
      <c r="F2866" s="49" t="s">
        <v>1571</v>
      </c>
      <c r="G2866" s="71" t="s">
        <v>1572</v>
      </c>
      <c r="H2866" s="41"/>
      <c r="I2866" s="42"/>
      <c r="J2866" s="43"/>
      <c r="K2866" s="72">
        <v>2.0</v>
      </c>
      <c r="L2866" s="53" t="s">
        <v>62</v>
      </c>
      <c r="M2866" s="73">
        <v>32496.0</v>
      </c>
      <c r="N2866" s="74"/>
      <c r="O2866" s="73">
        <v>64992.0</v>
      </c>
      <c r="P2866" s="46" t="str">
        <f t="shared" si="2"/>
        <v>Rp32,496-2 LSN-0.00%</v>
      </c>
      <c r="Q2866" s="75">
        <v>45419.0</v>
      </c>
      <c r="R2866" s="76"/>
      <c r="S2866" s="75">
        <v>45426.0</v>
      </c>
      <c r="T2866" s="49"/>
    </row>
    <row r="2867">
      <c r="A2867" s="90">
        <v>386.0</v>
      </c>
      <c r="B2867" s="91" t="s">
        <v>65</v>
      </c>
      <c r="C2867" s="49" t="s">
        <v>2986</v>
      </c>
      <c r="D2867" s="77" t="s">
        <v>3005</v>
      </c>
      <c r="E2867" s="41" t="str">
        <f>IFERROR(__xludf.DUMMYFUNCTION("vlookup(D2867,IMPORTRANGE(""https://docs.google.com/spreadsheets/d/1swGwZOEqYlTEUCJLY-eeJM1911Kvaei5oySBIxdgtNo/edit?pli=1#gid=257618397"",""stock untanna!B:C""),2,false)"),"STABILLO VANCO 2W HL 219 ZENDI")</f>
        <v>STABILLO VANCO 2W HL 219 ZENDI</v>
      </c>
      <c r="F2867" s="49" t="s">
        <v>3006</v>
      </c>
      <c r="G2867" s="71" t="s">
        <v>3007</v>
      </c>
      <c r="H2867" s="41"/>
      <c r="I2867" s="42"/>
      <c r="J2867" s="43"/>
      <c r="K2867" s="72">
        <v>4.0</v>
      </c>
      <c r="L2867" s="53" t="s">
        <v>62</v>
      </c>
      <c r="M2867" s="73">
        <v>22500.0</v>
      </c>
      <c r="N2867" s="74"/>
      <c r="O2867" s="73">
        <v>90000.0</v>
      </c>
      <c r="P2867" s="46" t="str">
        <f t="shared" si="2"/>
        <v>Rp22,500-4 LSN-0.00%</v>
      </c>
      <c r="Q2867" s="75">
        <v>45419.0</v>
      </c>
      <c r="R2867" s="76"/>
      <c r="S2867" s="75">
        <v>45426.0</v>
      </c>
      <c r="T2867" s="49"/>
    </row>
    <row r="2868">
      <c r="A2868" s="90">
        <v>386.0</v>
      </c>
      <c r="B2868" s="91" t="s">
        <v>65</v>
      </c>
      <c r="C2868" s="49" t="s">
        <v>2986</v>
      </c>
      <c r="D2868" s="91"/>
      <c r="E2868" s="41" t="s">
        <v>3008</v>
      </c>
      <c r="F2868" s="49"/>
      <c r="G2868" s="71" t="s">
        <v>3008</v>
      </c>
      <c r="H2868" s="41"/>
      <c r="I2868" s="42"/>
      <c r="J2868" s="43"/>
      <c r="K2868" s="72">
        <v>12.0</v>
      </c>
      <c r="L2868" s="53" t="s">
        <v>69</v>
      </c>
      <c r="M2868" s="73">
        <v>1875.0</v>
      </c>
      <c r="N2868" s="74"/>
      <c r="O2868" s="73">
        <v>22500.0</v>
      </c>
      <c r="P2868" s="46" t="str">
        <f t="shared" si="2"/>
        <v>Rp1,875-12 PCS-0.00%</v>
      </c>
      <c r="Q2868" s="75">
        <v>45419.0</v>
      </c>
      <c r="R2868" s="76"/>
      <c r="S2868" s="75">
        <v>45426.0</v>
      </c>
      <c r="T2868" s="49"/>
    </row>
    <row r="2869">
      <c r="A2869" s="90">
        <v>386.0</v>
      </c>
      <c r="B2869" s="91" t="s">
        <v>65</v>
      </c>
      <c r="C2869" s="49" t="s">
        <v>2986</v>
      </c>
      <c r="D2869" s="91"/>
      <c r="E2869" s="41" t="s">
        <v>3009</v>
      </c>
      <c r="F2869" s="49"/>
      <c r="G2869" s="71" t="s">
        <v>3009</v>
      </c>
      <c r="H2869" s="41"/>
      <c r="I2869" s="42"/>
      <c r="J2869" s="43"/>
      <c r="K2869" s="72">
        <v>12.0</v>
      </c>
      <c r="L2869" s="53" t="s">
        <v>69</v>
      </c>
      <c r="M2869" s="73">
        <v>3750.0</v>
      </c>
      <c r="N2869" s="74"/>
      <c r="O2869" s="73">
        <v>45000.0</v>
      </c>
      <c r="P2869" s="46" t="str">
        <f t="shared" si="2"/>
        <v>Rp3,750-12 PCS-0.00%</v>
      </c>
      <c r="Q2869" s="75">
        <v>45419.0</v>
      </c>
      <c r="R2869" s="76"/>
      <c r="S2869" s="75">
        <v>45426.0</v>
      </c>
      <c r="T2869" s="49"/>
    </row>
    <row r="2870">
      <c r="A2870" s="90">
        <v>386.0</v>
      </c>
      <c r="B2870" s="91" t="s">
        <v>65</v>
      </c>
      <c r="C2870" s="49" t="s">
        <v>2986</v>
      </c>
      <c r="D2870" s="91" t="s">
        <v>1496</v>
      </c>
      <c r="E2870" s="41" t="str">
        <f>IFERROR(__xludf.DUMMYFUNCTION("vlookup(D2870,IMPORTRANGE(""https://docs.google.com/spreadsheets/d/1swGwZOEqYlTEUCJLY-eeJM1911Kvaei5oySBIxdgtNo/edit?pli=1#gid=257618397"",""stock untanna!B:C""),2,false)"),"STICKER JBE-SA")</f>
        <v>STICKER JBE-SA</v>
      </c>
      <c r="F2870" s="49" t="s">
        <v>1496</v>
      </c>
      <c r="G2870" s="71" t="s">
        <v>1497</v>
      </c>
      <c r="H2870" s="41"/>
      <c r="I2870" s="42"/>
      <c r="J2870" s="43"/>
      <c r="K2870" s="72">
        <v>12.0</v>
      </c>
      <c r="L2870" s="53" t="s">
        <v>69</v>
      </c>
      <c r="M2870" s="73">
        <v>22500.0</v>
      </c>
      <c r="N2870" s="74"/>
      <c r="O2870" s="73">
        <v>270000.0</v>
      </c>
      <c r="P2870" s="46" t="str">
        <f t="shared" si="2"/>
        <v>Rp22,500-12 PCS-0.00%</v>
      </c>
      <c r="Q2870" s="75">
        <v>45419.0</v>
      </c>
      <c r="R2870" s="76"/>
      <c r="S2870" s="75">
        <v>45426.0</v>
      </c>
      <c r="T2870" s="49"/>
    </row>
    <row r="2871">
      <c r="A2871" s="90">
        <v>386.0</v>
      </c>
      <c r="B2871" s="91" t="s">
        <v>65</v>
      </c>
      <c r="C2871" s="49" t="s">
        <v>2986</v>
      </c>
      <c r="D2871" s="91" t="s">
        <v>2898</v>
      </c>
      <c r="E2871" s="41" t="str">
        <f>IFERROR(__xludf.DUMMYFUNCTION("vlookup(D2871,IMPORTRANGE(""https://docs.google.com/spreadsheets/d/1swGwZOEqYlTEUCJLY-eeJM1911Kvaei5oySBIxdgtNo/edit?pli=1#gid=257618397"",""stock untanna!B:C""),2,false)"),"STICKER JN-S")</f>
        <v>STICKER JN-S</v>
      </c>
      <c r="F2871" s="49" t="s">
        <v>2898</v>
      </c>
      <c r="G2871" s="71" t="s">
        <v>2899</v>
      </c>
      <c r="H2871" s="41"/>
      <c r="I2871" s="42"/>
      <c r="J2871" s="43"/>
      <c r="K2871" s="72">
        <v>24.0</v>
      </c>
      <c r="L2871" s="53" t="s">
        <v>69</v>
      </c>
      <c r="M2871" s="73">
        <v>4500.0</v>
      </c>
      <c r="N2871" s="74"/>
      <c r="O2871" s="73">
        <v>108000.0</v>
      </c>
      <c r="P2871" s="46" t="str">
        <f t="shared" si="2"/>
        <v>Rp4,500-24 PCS-0.00%</v>
      </c>
      <c r="Q2871" s="75">
        <v>45419.0</v>
      </c>
      <c r="R2871" s="76"/>
      <c r="S2871" s="75">
        <v>45426.0</v>
      </c>
      <c r="T2871" s="49"/>
    </row>
    <row r="2872">
      <c r="A2872" s="90">
        <v>386.0</v>
      </c>
      <c r="B2872" s="91" t="s">
        <v>65</v>
      </c>
      <c r="C2872" s="49" t="s">
        <v>2986</v>
      </c>
      <c r="D2872" s="91" t="s">
        <v>2695</v>
      </c>
      <c r="E2872" s="41" t="str">
        <f>IFERROR(__xludf.DUMMYFUNCTION("vlookup(D2872,IMPORTRANGE(""https://docs.google.com/spreadsheets/d/1swGwZOEqYlTEUCJLY-eeJM1911Kvaei5oySBIxdgtNo/edit?pli=1#gid=257618397"",""stock untanna!B:C""),2,false)"),"STICKER YLD")</f>
        <v>STICKER YLD</v>
      </c>
      <c r="F2872" s="49" t="s">
        <v>2695</v>
      </c>
      <c r="G2872" s="71" t="s">
        <v>2696</v>
      </c>
      <c r="H2872" s="41"/>
      <c r="I2872" s="42"/>
      <c r="J2872" s="43"/>
      <c r="K2872" s="72">
        <v>12.0</v>
      </c>
      <c r="L2872" s="53" t="s">
        <v>69</v>
      </c>
      <c r="M2872" s="73">
        <v>5000.0</v>
      </c>
      <c r="N2872" s="74"/>
      <c r="O2872" s="73">
        <v>60000.0</v>
      </c>
      <c r="P2872" s="46" t="str">
        <f t="shared" si="2"/>
        <v>Rp5,000-12 PCS-0.00%</v>
      </c>
      <c r="Q2872" s="75">
        <v>45419.0</v>
      </c>
      <c r="R2872" s="76"/>
      <c r="S2872" s="75">
        <v>45426.0</v>
      </c>
      <c r="T2872" s="49" t="s">
        <v>100</v>
      </c>
    </row>
    <row r="2873">
      <c r="A2873" s="90">
        <v>386.0</v>
      </c>
      <c r="B2873" s="91" t="s">
        <v>65</v>
      </c>
      <c r="C2873" s="49" t="s">
        <v>2986</v>
      </c>
      <c r="D2873" s="91"/>
      <c r="E2873" s="41" t="s">
        <v>3010</v>
      </c>
      <c r="F2873" s="49"/>
      <c r="G2873" s="71" t="s">
        <v>3010</v>
      </c>
      <c r="H2873" s="41"/>
      <c r="I2873" s="42"/>
      <c r="J2873" s="43"/>
      <c r="K2873" s="72">
        <v>6.0</v>
      </c>
      <c r="L2873" s="53" t="s">
        <v>69</v>
      </c>
      <c r="M2873" s="73">
        <v>7750.0</v>
      </c>
      <c r="N2873" s="74"/>
      <c r="O2873" s="73">
        <v>46500.0</v>
      </c>
      <c r="P2873" s="46" t="str">
        <f t="shared" si="2"/>
        <v>Rp7,750-6 PCS-0.00%</v>
      </c>
      <c r="Q2873" s="75">
        <v>45419.0</v>
      </c>
      <c r="R2873" s="76"/>
      <c r="S2873" s="75">
        <v>45426.0</v>
      </c>
      <c r="T2873" s="49"/>
    </row>
    <row r="2874">
      <c r="A2874" s="90">
        <v>386.0</v>
      </c>
      <c r="B2874" s="91" t="s">
        <v>65</v>
      </c>
      <c r="C2874" s="49" t="s">
        <v>2986</v>
      </c>
      <c r="D2874" s="91" t="s">
        <v>1498</v>
      </c>
      <c r="E2874" s="41" t="str">
        <f>IFERROR(__xludf.DUMMYFUNCTION("vlookup(D2874,IMPORTRANGE(""https://docs.google.com/spreadsheets/d/1swGwZOEqYlTEUCJLY-eeJM1911Kvaei5oySBIxdgtNo/edit?pli=1#gid=257618397"",""stock untanna!B:C""),2,false)"),"STICKER JBE-24")</f>
        <v>STICKER JBE-24</v>
      </c>
      <c r="F2874" s="49" t="s">
        <v>1498</v>
      </c>
      <c r="G2874" s="71" t="s">
        <v>1499</v>
      </c>
      <c r="H2874" s="41"/>
      <c r="I2874" s="42"/>
      <c r="J2874" s="43"/>
      <c r="K2874" s="72">
        <v>12.0</v>
      </c>
      <c r="L2874" s="53" t="s">
        <v>69</v>
      </c>
      <c r="M2874" s="73">
        <v>12500.0</v>
      </c>
      <c r="N2874" s="74"/>
      <c r="O2874" s="73">
        <v>150000.0</v>
      </c>
      <c r="P2874" s="46" t="str">
        <f t="shared" si="2"/>
        <v>Rp12,500-12 PCS-0.00%</v>
      </c>
      <c r="Q2874" s="75">
        <v>45419.0</v>
      </c>
      <c r="R2874" s="76"/>
      <c r="S2874" s="75">
        <v>45426.0</v>
      </c>
      <c r="T2874" s="49"/>
    </row>
    <row r="2875">
      <c r="A2875" s="90">
        <v>386.0</v>
      </c>
      <c r="B2875" s="91" t="s">
        <v>65</v>
      </c>
      <c r="C2875" s="49" t="s">
        <v>2986</v>
      </c>
      <c r="D2875" s="91" t="s">
        <v>2693</v>
      </c>
      <c r="E2875" s="41" t="str">
        <f>IFERROR(__xludf.DUMMYFUNCTION("vlookup(D2875,IMPORTRANGE(""https://docs.google.com/spreadsheets/d/1swGwZOEqYlTEUCJLY-eeJM1911Kvaei5oySBIxdgtNo/edit?pli=1#gid=257618397"",""stock untanna!B:C""),2,false)"),"STICKER JN-H")</f>
        <v>STICKER JN-H</v>
      </c>
      <c r="F2875" s="49" t="s">
        <v>2693</v>
      </c>
      <c r="G2875" s="71" t="s">
        <v>2694</v>
      </c>
      <c r="H2875" s="41"/>
      <c r="I2875" s="42"/>
      <c r="J2875" s="43"/>
      <c r="K2875" s="72">
        <v>12.0</v>
      </c>
      <c r="L2875" s="53" t="s">
        <v>69</v>
      </c>
      <c r="M2875" s="73">
        <v>5500.0</v>
      </c>
      <c r="N2875" s="74"/>
      <c r="O2875" s="73">
        <v>66000.0</v>
      </c>
      <c r="P2875" s="46" t="str">
        <f t="shared" si="2"/>
        <v>Rp5,500-12 PCS-0.00%</v>
      </c>
      <c r="Q2875" s="75">
        <v>45419.0</v>
      </c>
      <c r="R2875" s="76"/>
      <c r="S2875" s="75">
        <v>45426.0</v>
      </c>
      <c r="T2875" s="49"/>
    </row>
    <row r="2876">
      <c r="A2876" s="90">
        <v>386.0</v>
      </c>
      <c r="B2876" s="91" t="s">
        <v>65</v>
      </c>
      <c r="C2876" s="49" t="s">
        <v>2986</v>
      </c>
      <c r="D2876" s="91" t="s">
        <v>945</v>
      </c>
      <c r="E2876" s="41" t="str">
        <f>IFERROR(__xludf.DUMMYFUNCTION("vlookup(D2876,IMPORTRANGE(""https://docs.google.com/spreadsheets/d/1swGwZOEqYlTEUCJLY-eeJM1911Kvaei5oySBIxdgtNo/edit?pli=1#gid=257618397"",""stock untanna!B:C""),2,false)"),"STICKER XTQ-E")</f>
        <v>STICKER XTQ-E</v>
      </c>
      <c r="F2876" s="49" t="s">
        <v>945</v>
      </c>
      <c r="G2876" s="71" t="s">
        <v>946</v>
      </c>
      <c r="H2876" s="41"/>
      <c r="I2876" s="42"/>
      <c r="J2876" s="43"/>
      <c r="K2876" s="72">
        <v>36.0</v>
      </c>
      <c r="L2876" s="53" t="s">
        <v>69</v>
      </c>
      <c r="M2876" s="73">
        <v>5000.0</v>
      </c>
      <c r="N2876" s="74"/>
      <c r="O2876" s="73">
        <v>180000.0</v>
      </c>
      <c r="P2876" s="46" t="str">
        <f t="shared" si="2"/>
        <v>Rp5,000-36 PCS-0.00%</v>
      </c>
      <c r="Q2876" s="75">
        <v>45419.0</v>
      </c>
      <c r="R2876" s="76"/>
      <c r="S2876" s="75">
        <v>45426.0</v>
      </c>
      <c r="T2876" s="49"/>
    </row>
    <row r="2877">
      <c r="A2877" s="90">
        <v>386.0</v>
      </c>
      <c r="B2877" s="91" t="s">
        <v>65</v>
      </c>
      <c r="C2877" s="49" t="s">
        <v>2986</v>
      </c>
      <c r="D2877" s="91" t="s">
        <v>3011</v>
      </c>
      <c r="E2877" s="41" t="str">
        <f>IFERROR(__xludf.DUMMYFUNCTION("vlookup(D2877,IMPORTRANGE(""https://docs.google.com/spreadsheets/d/1swGwZOEqYlTEUCJLY-eeJM1911Kvaei5oySBIxdgtNo/edit?pli=1#gid=257618397"",""stock untanna!B:C""),2,false)"),"PENCIL CASE SET RS 3000 FANCY")</f>
        <v>PENCIL CASE SET RS 3000 FANCY</v>
      </c>
      <c r="F2877" s="49" t="s">
        <v>3011</v>
      </c>
      <c r="G2877" s="71" t="s">
        <v>3012</v>
      </c>
      <c r="H2877" s="41"/>
      <c r="I2877" s="42"/>
      <c r="J2877" s="43"/>
      <c r="K2877" s="72">
        <v>12.0</v>
      </c>
      <c r="L2877" s="53" t="s">
        <v>69</v>
      </c>
      <c r="M2877" s="73">
        <v>15500.0</v>
      </c>
      <c r="N2877" s="74"/>
      <c r="O2877" s="73">
        <v>186000.0</v>
      </c>
      <c r="P2877" s="46" t="str">
        <f t="shared" si="2"/>
        <v>Rp15,500-12 PCS-0.00%</v>
      </c>
      <c r="Q2877" s="75">
        <v>45419.0</v>
      </c>
      <c r="R2877" s="76"/>
      <c r="S2877" s="75">
        <v>45426.0</v>
      </c>
      <c r="T2877" s="49"/>
    </row>
    <row r="2878">
      <c r="A2878" s="90">
        <v>386.0</v>
      </c>
      <c r="B2878" s="91" t="s">
        <v>65</v>
      </c>
      <c r="C2878" s="49" t="s">
        <v>2986</v>
      </c>
      <c r="D2878" s="91" t="s">
        <v>3013</v>
      </c>
      <c r="E2878" s="41" t="str">
        <f>IFERROR(__xludf.DUMMYFUNCTION("vlookup(D2878,IMPORTRANGE(""https://docs.google.com/spreadsheets/d/1swGwZOEqYlTEUCJLY-eeJM1911Kvaei5oySBIxdgtNo/edit?pli=1#gid=257618397"",""stock untanna!B:C""),2,false)"),"TAS KERTAS 8853A")</f>
        <v>TAS KERTAS 8853A</v>
      </c>
      <c r="F2878" s="49" t="s">
        <v>3013</v>
      </c>
      <c r="G2878" s="71" t="s">
        <v>3014</v>
      </c>
      <c r="H2878" s="41"/>
      <c r="I2878" s="42"/>
      <c r="J2878" s="43"/>
      <c r="K2878" s="72">
        <v>12.0</v>
      </c>
      <c r="L2878" s="53" t="s">
        <v>69</v>
      </c>
      <c r="M2878" s="73">
        <v>8750.0</v>
      </c>
      <c r="N2878" s="74"/>
      <c r="O2878" s="73">
        <v>105000.0</v>
      </c>
      <c r="P2878" s="46" t="str">
        <f t="shared" si="2"/>
        <v>Rp8,750-12 PCS-0.00%</v>
      </c>
      <c r="Q2878" s="75">
        <v>45419.0</v>
      </c>
      <c r="R2878" s="76"/>
      <c r="S2878" s="75">
        <v>45426.0</v>
      </c>
      <c r="T2878" s="49"/>
    </row>
    <row r="2879">
      <c r="A2879" s="90">
        <v>386.0</v>
      </c>
      <c r="B2879" s="91" t="s">
        <v>65</v>
      </c>
      <c r="C2879" s="49" t="s">
        <v>2986</v>
      </c>
      <c r="D2879" s="91"/>
      <c r="E2879" s="41" t="s">
        <v>3015</v>
      </c>
      <c r="F2879" s="49"/>
      <c r="G2879" s="71" t="s">
        <v>3015</v>
      </c>
      <c r="H2879" s="41"/>
      <c r="I2879" s="42"/>
      <c r="J2879" s="43"/>
      <c r="K2879" s="72">
        <v>24.0</v>
      </c>
      <c r="L2879" s="53" t="s">
        <v>69</v>
      </c>
      <c r="M2879" s="73">
        <v>2083.0</v>
      </c>
      <c r="N2879" s="74"/>
      <c r="O2879" s="73">
        <v>49992.0</v>
      </c>
      <c r="P2879" s="46" t="str">
        <f t="shared" si="2"/>
        <v>Rp2,083-24 PCS-0.00%</v>
      </c>
      <c r="Q2879" s="75">
        <v>45419.0</v>
      </c>
      <c r="R2879" s="76"/>
      <c r="S2879" s="75">
        <v>45426.0</v>
      </c>
      <c r="T2879" s="49"/>
    </row>
    <row r="2880">
      <c r="A2880" s="90">
        <v>386.0</v>
      </c>
      <c r="B2880" s="91" t="s">
        <v>65</v>
      </c>
      <c r="C2880" s="49" t="s">
        <v>2986</v>
      </c>
      <c r="D2880" s="91" t="s">
        <v>1256</v>
      </c>
      <c r="E2880" s="41" t="str">
        <f>IFERROR(__xludf.DUMMYFUNCTION("vlookup(D2880,IMPORTRANGE(""https://docs.google.com/spreadsheets/d/1swGwZOEqYlTEUCJLY-eeJM1911Kvaei5oySBIxdgtNo/edit?pli=1#gid=257618397"",""stock untanna!B:C""),2,false)"),"TAS KARUNG TIDUR 40X30")</f>
        <v>TAS KARUNG TIDUR 40X30</v>
      </c>
      <c r="F2880" s="49" t="s">
        <v>1256</v>
      </c>
      <c r="G2880" s="71" t="s">
        <v>1257</v>
      </c>
      <c r="H2880" s="41"/>
      <c r="I2880" s="42"/>
      <c r="J2880" s="43"/>
      <c r="K2880" s="72">
        <v>1.0</v>
      </c>
      <c r="L2880" s="53" t="s">
        <v>62</v>
      </c>
      <c r="M2880" s="73">
        <v>144996.0</v>
      </c>
      <c r="N2880" s="74"/>
      <c r="O2880" s="73">
        <v>144996.0</v>
      </c>
      <c r="P2880" s="46" t="str">
        <f t="shared" si="2"/>
        <v>Rp144,996-1 LSN-0.00%</v>
      </c>
      <c r="Q2880" s="75">
        <v>45419.0</v>
      </c>
      <c r="R2880" s="76"/>
      <c r="S2880" s="75">
        <v>45426.0</v>
      </c>
      <c r="T2880" s="49"/>
    </row>
    <row r="2881">
      <c r="A2881" s="90">
        <v>386.0</v>
      </c>
      <c r="B2881" s="91" t="s">
        <v>65</v>
      </c>
      <c r="C2881" s="49" t="s">
        <v>2986</v>
      </c>
      <c r="D2881" s="91" t="s">
        <v>3016</v>
      </c>
      <c r="E2881" s="41" t="str">
        <f>IFERROR(__xludf.DUMMYFUNCTION("vlookup(D2881,IMPORTRANGE(""https://docs.google.com/spreadsheets/d/1swGwZOEqYlTEUCJLY-eeJM1911Kvaei5oySBIxdgtNo/edit?pli=1#gid=257618397"",""stock untanna!B:C""),2,false)"),"TIPEX KERTAS NO.8557")</f>
        <v>TIPEX KERTAS NO.8557</v>
      </c>
      <c r="F2881" s="49" t="s">
        <v>3016</v>
      </c>
      <c r="G2881" s="71" t="s">
        <v>3017</v>
      </c>
      <c r="H2881" s="41"/>
      <c r="I2881" s="42"/>
      <c r="J2881" s="43"/>
      <c r="K2881" s="72">
        <v>1.0</v>
      </c>
      <c r="L2881" s="53" t="s">
        <v>62</v>
      </c>
      <c r="M2881" s="73">
        <v>126996.0</v>
      </c>
      <c r="N2881" s="74"/>
      <c r="O2881" s="73">
        <v>126996.0</v>
      </c>
      <c r="P2881" s="46" t="str">
        <f t="shared" si="2"/>
        <v>Rp126,996-1 LSN-0.00%</v>
      </c>
      <c r="Q2881" s="75">
        <v>45419.0</v>
      </c>
      <c r="R2881" s="76"/>
      <c r="S2881" s="75">
        <v>45426.0</v>
      </c>
      <c r="T2881" s="49"/>
    </row>
    <row r="2882">
      <c r="A2882" s="90">
        <v>386.0</v>
      </c>
      <c r="B2882" s="91" t="s">
        <v>65</v>
      </c>
      <c r="C2882" s="49" t="s">
        <v>2986</v>
      </c>
      <c r="D2882" s="77" t="s">
        <v>3018</v>
      </c>
      <c r="E2882" s="41" t="s">
        <v>3019</v>
      </c>
      <c r="F2882" s="49"/>
      <c r="G2882" s="71" t="s">
        <v>3019</v>
      </c>
      <c r="H2882" s="41"/>
      <c r="I2882" s="42"/>
      <c r="J2882" s="43" t="str">
        <f>IF(D2882="","TIDAK ADA","ADA")</f>
        <v>ADA</v>
      </c>
      <c r="K2882" s="72">
        <v>24.0</v>
      </c>
      <c r="L2882" s="53" t="s">
        <v>69</v>
      </c>
      <c r="M2882" s="73">
        <v>4167.0</v>
      </c>
      <c r="N2882" s="74"/>
      <c r="O2882" s="73">
        <v>100008.0</v>
      </c>
      <c r="P2882" s="46" t="str">
        <f t="shared" si="2"/>
        <v>Rp4,167-24 PCS-0.00%</v>
      </c>
      <c r="Q2882" s="75">
        <v>45419.0</v>
      </c>
      <c r="R2882" s="76"/>
      <c r="S2882" s="75">
        <v>45426.0</v>
      </c>
      <c r="T2882" s="80"/>
    </row>
    <row r="2883">
      <c r="A2883" s="90">
        <v>386.0</v>
      </c>
      <c r="B2883" s="91" t="s">
        <v>65</v>
      </c>
      <c r="C2883" s="49" t="s">
        <v>2986</v>
      </c>
      <c r="D2883" s="91" t="s">
        <v>2163</v>
      </c>
      <c r="E2883" s="41" t="str">
        <f>IFERROR(__xludf.DUMMYFUNCTION("vlookup(D2883,IMPORTRANGE(""https://docs.google.com/spreadsheets/d/1swGwZOEqYlTEUCJLY-eeJM1911Kvaei5oySBIxdgtNo/edit?pli=1#gid=257618397"",""stock untanna!B:C""),2,false)"),"TIPEX KERTAS DP-912")</f>
        <v>TIPEX KERTAS DP-912</v>
      </c>
      <c r="F2883" s="49" t="s">
        <v>2163</v>
      </c>
      <c r="G2883" s="71" t="s">
        <v>2164</v>
      </c>
      <c r="H2883" s="41"/>
      <c r="I2883" s="42"/>
      <c r="J2883" s="43"/>
      <c r="K2883" s="72">
        <v>2.0</v>
      </c>
      <c r="L2883" s="53" t="s">
        <v>62</v>
      </c>
      <c r="M2883" s="73">
        <v>60000.0</v>
      </c>
      <c r="N2883" s="74"/>
      <c r="O2883" s="73">
        <v>120000.0</v>
      </c>
      <c r="P2883" s="46" t="str">
        <f t="shared" si="2"/>
        <v>Rp60,000-2 LSN-0.00%</v>
      </c>
      <c r="Q2883" s="75">
        <v>45419.0</v>
      </c>
      <c r="R2883" s="76"/>
      <c r="S2883" s="75">
        <v>45426.0</v>
      </c>
      <c r="T2883" s="49"/>
    </row>
    <row r="2884">
      <c r="A2884" s="90">
        <v>386.0</v>
      </c>
      <c r="B2884" s="91" t="s">
        <v>65</v>
      </c>
      <c r="C2884" s="49" t="s">
        <v>2986</v>
      </c>
      <c r="D2884" s="91" t="s">
        <v>1602</v>
      </c>
      <c r="E2884" s="41" t="str">
        <f>IFERROR(__xludf.DUMMYFUNCTION("vlookup(D2884,IMPORTRANGE(""https://docs.google.com/spreadsheets/d/1swGwZOEqYlTEUCJLY-eeJM1911Kvaei5oySBIxdgtNo/edit?pli=1#gid=257618397"",""stock untanna!B:C""),2,false)"),"TIPEX KERTAS NO.9304")</f>
        <v>TIPEX KERTAS NO.9304</v>
      </c>
      <c r="F2884" s="49" t="s">
        <v>1602</v>
      </c>
      <c r="G2884" s="71" t="s">
        <v>1603</v>
      </c>
      <c r="H2884" s="41"/>
      <c r="I2884" s="42"/>
      <c r="J2884" s="43"/>
      <c r="K2884" s="72">
        <v>2.0</v>
      </c>
      <c r="L2884" s="53" t="s">
        <v>62</v>
      </c>
      <c r="M2884" s="73">
        <v>50004.0</v>
      </c>
      <c r="N2884" s="74"/>
      <c r="O2884" s="73">
        <v>100008.0</v>
      </c>
      <c r="P2884" s="46" t="str">
        <f t="shared" si="2"/>
        <v>Rp50,004-2 LSN-0.00%</v>
      </c>
      <c r="Q2884" s="75">
        <v>45419.0</v>
      </c>
      <c r="R2884" s="76"/>
      <c r="S2884" s="75">
        <v>45426.0</v>
      </c>
      <c r="T2884" s="49"/>
    </row>
    <row r="2885">
      <c r="A2885" s="90">
        <v>387.0</v>
      </c>
      <c r="B2885" s="91" t="s">
        <v>65</v>
      </c>
      <c r="C2885" s="49" t="s">
        <v>2986</v>
      </c>
      <c r="D2885" s="91" t="s">
        <v>1931</v>
      </c>
      <c r="E2885" s="41" t="str">
        <f>IFERROR(__xludf.DUMMYFUNCTION("vlookup(D2885,IMPORTRANGE(""https://docs.google.com/spreadsheets/d/1swGwZOEqYlTEUCJLY-eeJM1911Kvaei5oySBIxdgtNo/edit?pli=1#gid=257618397"",""stock untanna!B:C""),2,false)"),"TIPEX KERTAS NO.9458")</f>
        <v>TIPEX KERTAS NO.9458</v>
      </c>
      <c r="F2885" s="49" t="s">
        <v>1931</v>
      </c>
      <c r="G2885" s="71" t="s">
        <v>1932</v>
      </c>
      <c r="H2885" s="41"/>
      <c r="I2885" s="42"/>
      <c r="J2885" s="43"/>
      <c r="K2885" s="72">
        <v>1.0</v>
      </c>
      <c r="L2885" s="53" t="s">
        <v>62</v>
      </c>
      <c r="M2885" s="73">
        <v>50004.0</v>
      </c>
      <c r="N2885" s="74"/>
      <c r="O2885" s="73">
        <v>50004.0</v>
      </c>
      <c r="P2885" s="46" t="str">
        <f t="shared" si="2"/>
        <v>Rp50,004-1 LSN-0.00%</v>
      </c>
      <c r="Q2885" s="75">
        <v>45419.0</v>
      </c>
      <c r="R2885" s="76"/>
      <c r="S2885" s="75">
        <v>45426.0</v>
      </c>
      <c r="T2885" s="49"/>
    </row>
    <row r="2886">
      <c r="A2886" s="90">
        <v>387.0</v>
      </c>
      <c r="B2886" s="91" t="s">
        <v>65</v>
      </c>
      <c r="C2886" s="49" t="s">
        <v>2986</v>
      </c>
      <c r="D2886" s="91" t="s">
        <v>2860</v>
      </c>
      <c r="E2886" s="41" t="str">
        <f>IFERROR(__xludf.DUMMYFUNCTION("vlookup(D2886,IMPORTRANGE(""https://docs.google.com/spreadsheets/d/1swGwZOEqYlTEUCJLY-eeJM1911Kvaei5oySBIxdgtNo/edit?pli=1#gid=257618397"",""stock untanna!B:C""),2,false)"),"TIPEX KERTAS NO.9459")</f>
        <v>TIPEX KERTAS NO.9459</v>
      </c>
      <c r="F2886" s="49" t="s">
        <v>2860</v>
      </c>
      <c r="G2886" s="71" t="s">
        <v>2861</v>
      </c>
      <c r="H2886" s="41"/>
      <c r="I2886" s="42"/>
      <c r="J2886" s="43"/>
      <c r="K2886" s="72">
        <v>2.0</v>
      </c>
      <c r="L2886" s="53" t="s">
        <v>62</v>
      </c>
      <c r="M2886" s="73">
        <v>50004.0</v>
      </c>
      <c r="N2886" s="74"/>
      <c r="O2886" s="73">
        <v>100008.0</v>
      </c>
      <c r="P2886" s="46" t="str">
        <f t="shared" si="2"/>
        <v>Rp50,004-2 LSN-0.00%</v>
      </c>
      <c r="Q2886" s="75">
        <v>45419.0</v>
      </c>
      <c r="R2886" s="76"/>
      <c r="S2886" s="75">
        <v>45426.0</v>
      </c>
      <c r="T2886" s="49"/>
    </row>
    <row r="2887">
      <c r="A2887" s="90">
        <v>387.0</v>
      </c>
      <c r="B2887" s="91" t="s">
        <v>65</v>
      </c>
      <c r="C2887" s="49" t="s">
        <v>2986</v>
      </c>
      <c r="D2887" s="91" t="s">
        <v>2858</v>
      </c>
      <c r="E2887" s="41" t="str">
        <f>IFERROR(__xludf.DUMMYFUNCTION("vlookup(D2887,IMPORTRANGE(""https://docs.google.com/spreadsheets/d/1swGwZOEqYlTEUCJLY-eeJM1911Kvaei5oySBIxdgtNo/edit?pli=1#gid=257618397"",""stock untanna!B:C""),2,false)"),"TIPEX KERTAS NO.9461")</f>
        <v>TIPEX KERTAS NO.9461</v>
      </c>
      <c r="F2887" s="49" t="s">
        <v>2858</v>
      </c>
      <c r="G2887" s="71" t="s">
        <v>2859</v>
      </c>
      <c r="H2887" s="41"/>
      <c r="I2887" s="42"/>
      <c r="J2887" s="43"/>
      <c r="K2887" s="72">
        <v>2.0</v>
      </c>
      <c r="L2887" s="53" t="s">
        <v>62</v>
      </c>
      <c r="M2887" s="73">
        <v>50004.0</v>
      </c>
      <c r="N2887" s="74"/>
      <c r="O2887" s="73">
        <v>100008.0</v>
      </c>
      <c r="P2887" s="46" t="str">
        <f t="shared" si="2"/>
        <v>Rp50,004-2 LSN-0.00%</v>
      </c>
      <c r="Q2887" s="75">
        <v>45419.0</v>
      </c>
      <c r="R2887" s="76"/>
      <c r="S2887" s="75">
        <v>45426.0</v>
      </c>
      <c r="T2887" s="49"/>
    </row>
    <row r="2888">
      <c r="A2888" s="90">
        <v>387.0</v>
      </c>
      <c r="B2888" s="91" t="s">
        <v>65</v>
      </c>
      <c r="C2888" s="49" t="s">
        <v>2986</v>
      </c>
      <c r="D2888" s="91" t="s">
        <v>3020</v>
      </c>
      <c r="E2888" s="41" t="str">
        <f>IFERROR(__xludf.DUMMYFUNCTION("vlookup(D2888,IMPORTRANGE(""https://docs.google.com/spreadsheets/d/1swGwZOEqYlTEUCJLY-eeJM1911Kvaei5oySBIxdgtNo/edit?pli=1#gid=257618397"",""stock untanna!B:C""),2,false)"),"TIPEX KERTAS NO.9480")</f>
        <v>TIPEX KERTAS NO.9480</v>
      </c>
      <c r="F2888" s="49" t="s">
        <v>3020</v>
      </c>
      <c r="G2888" s="71" t="s">
        <v>3021</v>
      </c>
      <c r="H2888" s="41"/>
      <c r="I2888" s="42"/>
      <c r="J2888" s="43"/>
      <c r="K2888" s="72">
        <v>2.0</v>
      </c>
      <c r="L2888" s="53" t="s">
        <v>62</v>
      </c>
      <c r="M2888" s="73">
        <v>50004.0</v>
      </c>
      <c r="N2888" s="74"/>
      <c r="O2888" s="73">
        <v>100008.0</v>
      </c>
      <c r="P2888" s="46" t="str">
        <f t="shared" si="2"/>
        <v>Rp50,004-2 LSN-0.00%</v>
      </c>
      <c r="Q2888" s="75">
        <v>45419.0</v>
      </c>
      <c r="R2888" s="76"/>
      <c r="S2888" s="75">
        <v>45426.0</v>
      </c>
      <c r="T2888" s="49"/>
    </row>
    <row r="2889">
      <c r="A2889" s="90">
        <v>387.0</v>
      </c>
      <c r="B2889" s="91" t="s">
        <v>65</v>
      </c>
      <c r="C2889" s="49" t="s">
        <v>2986</v>
      </c>
      <c r="D2889" s="91" t="s">
        <v>1043</v>
      </c>
      <c r="E2889" s="41" t="str">
        <f>IFERROR(__xludf.DUMMYFUNCTION("vlookup(D2889,IMPORTRANGE(""https://docs.google.com/spreadsheets/d/1swGwZOEqYlTEUCJLY-eeJM1911Kvaei5oySBIxdgtNo/edit?pli=1#gid=257618397"",""stock untanna!B:C""),2,false)"),"TIPEX KERTAS NO.6080")</f>
        <v>TIPEX KERTAS NO.6080</v>
      </c>
      <c r="F2889" s="49" t="s">
        <v>1043</v>
      </c>
      <c r="G2889" s="71" t="s">
        <v>1044</v>
      </c>
      <c r="H2889" s="41"/>
      <c r="I2889" s="42"/>
      <c r="J2889" s="43"/>
      <c r="K2889" s="72">
        <v>4.0</v>
      </c>
      <c r="L2889" s="53" t="s">
        <v>62</v>
      </c>
      <c r="M2889" s="73">
        <v>57504.0</v>
      </c>
      <c r="N2889" s="74"/>
      <c r="O2889" s="73">
        <v>230016.0</v>
      </c>
      <c r="P2889" s="46" t="str">
        <f t="shared" si="2"/>
        <v>Rp57,504-4 LSN-0.00%</v>
      </c>
      <c r="Q2889" s="75">
        <v>45419.0</v>
      </c>
      <c r="R2889" s="76"/>
      <c r="S2889" s="75">
        <v>45426.0</v>
      </c>
      <c r="T2889" s="49"/>
    </row>
    <row r="2890">
      <c r="A2890" s="90">
        <v>387.0</v>
      </c>
      <c r="B2890" s="91" t="s">
        <v>65</v>
      </c>
      <c r="C2890" s="49" t="s">
        <v>2986</v>
      </c>
      <c r="D2890" s="91" t="s">
        <v>960</v>
      </c>
      <c r="E2890" s="41" t="str">
        <f>IFERROR(__xludf.DUMMYFUNCTION("vlookup(D2890,IMPORTRANGE(""https://docs.google.com/spreadsheets/d/1swGwZOEqYlTEUCJLY-eeJM1911Kvaei5oySBIxdgtNo/edit?pli=1#gid=257618397"",""stock untanna!B:C""),2,false)"),"WATER COLOR + KUAS PACMAN")</f>
        <v>WATER COLOR + KUAS PACMAN</v>
      </c>
      <c r="F2890" s="49" t="s">
        <v>960</v>
      </c>
      <c r="G2890" s="71" t="s">
        <v>961</v>
      </c>
      <c r="H2890" s="41"/>
      <c r="I2890" s="42"/>
      <c r="J2890" s="43"/>
      <c r="K2890" s="72">
        <v>6.0</v>
      </c>
      <c r="L2890" s="53" t="s">
        <v>69</v>
      </c>
      <c r="M2890" s="73">
        <v>13500.0</v>
      </c>
      <c r="N2890" s="74"/>
      <c r="O2890" s="73">
        <v>81000.0</v>
      </c>
      <c r="P2890" s="46" t="str">
        <f t="shared" si="2"/>
        <v>Rp13,500-6 PCS-0.00%</v>
      </c>
      <c r="Q2890" s="75">
        <v>45419.0</v>
      </c>
      <c r="R2890" s="76"/>
      <c r="S2890" s="75">
        <v>45426.0</v>
      </c>
      <c r="T2890" s="49"/>
    </row>
    <row r="2891">
      <c r="A2891" s="90">
        <v>387.0</v>
      </c>
      <c r="B2891" s="91" t="s">
        <v>65</v>
      </c>
      <c r="C2891" s="49" t="s">
        <v>2986</v>
      </c>
      <c r="D2891" s="91"/>
      <c r="E2891" s="41" t="s">
        <v>3022</v>
      </c>
      <c r="F2891" s="49"/>
      <c r="G2891" s="71" t="s">
        <v>3022</v>
      </c>
      <c r="H2891" s="41"/>
      <c r="I2891" s="42"/>
      <c r="J2891" s="43"/>
      <c r="K2891" s="72">
        <v>50.0</v>
      </c>
      <c r="L2891" s="53" t="s">
        <v>69</v>
      </c>
      <c r="M2891" s="73">
        <v>7000.0</v>
      </c>
      <c r="N2891" s="74"/>
      <c r="O2891" s="73">
        <v>350000.0</v>
      </c>
      <c r="P2891" s="46" t="str">
        <f t="shared" si="2"/>
        <v>Rp7,000-50 PCS-0.00%</v>
      </c>
      <c r="Q2891" s="75">
        <v>45419.0</v>
      </c>
      <c r="R2891" s="76"/>
      <c r="S2891" s="75">
        <v>45426.0</v>
      </c>
      <c r="T2891" s="49"/>
    </row>
    <row r="2892">
      <c r="A2892" s="90">
        <v>387.0</v>
      </c>
      <c r="B2892" s="91" t="s">
        <v>65</v>
      </c>
      <c r="C2892" s="49" t="s">
        <v>2986</v>
      </c>
      <c r="D2892" s="91" t="s">
        <v>172</v>
      </c>
      <c r="E2892" s="41" t="str">
        <f>IFERROR(__xludf.DUMMYFUNCTION("vlookup(D2892,IMPORTRANGE(""https://docs.google.com/spreadsheets/d/1swGwZOEqYlTEUCJLY-eeJM1911Kvaei5oySBIxdgtNo/edit?pli=1#gid=257618397"",""stock untanna!B:C""),2,false)"),"KUAS K7NIL")</f>
        <v>KUAS K7NIL</v>
      </c>
      <c r="F2892" s="49" t="s">
        <v>172</v>
      </c>
      <c r="G2892" s="71" t="s">
        <v>173</v>
      </c>
      <c r="H2892" s="41"/>
      <c r="I2892" s="42"/>
      <c r="J2892" s="43"/>
      <c r="K2892" s="72">
        <v>12.0</v>
      </c>
      <c r="L2892" s="53" t="s">
        <v>84</v>
      </c>
      <c r="M2892" s="73">
        <v>15000.0</v>
      </c>
      <c r="N2892" s="74"/>
      <c r="O2892" s="73">
        <v>180000.0</v>
      </c>
      <c r="P2892" s="46" t="str">
        <f t="shared" si="2"/>
        <v>Rp15,000-12 SET-0.00%</v>
      </c>
      <c r="Q2892" s="75">
        <v>45419.0</v>
      </c>
      <c r="R2892" s="76"/>
      <c r="S2892" s="75">
        <v>45426.0</v>
      </c>
      <c r="T2892" s="49"/>
    </row>
    <row r="2893">
      <c r="A2893" s="90">
        <v>387.0</v>
      </c>
      <c r="B2893" s="91" t="s">
        <v>65</v>
      </c>
      <c r="C2893" s="49" t="s">
        <v>2986</v>
      </c>
      <c r="D2893" s="91"/>
      <c r="E2893" s="41" t="s">
        <v>3023</v>
      </c>
      <c r="F2893" s="49"/>
      <c r="G2893" s="71" t="s">
        <v>3023</v>
      </c>
      <c r="H2893" s="41"/>
      <c r="I2893" s="42"/>
      <c r="J2893" s="43"/>
      <c r="K2893" s="72">
        <v>12.0</v>
      </c>
      <c r="L2893" s="53" t="s">
        <v>69</v>
      </c>
      <c r="M2893" s="73">
        <v>4500.0</v>
      </c>
      <c r="N2893" s="74"/>
      <c r="O2893" s="73">
        <v>54000.0</v>
      </c>
      <c r="P2893" s="46" t="str">
        <f t="shared" si="2"/>
        <v>Rp4,500-12 PCS-0.00%</v>
      </c>
      <c r="Q2893" s="75">
        <v>45419.0</v>
      </c>
      <c r="R2893" s="76"/>
      <c r="S2893" s="75">
        <v>45426.0</v>
      </c>
      <c r="T2893" s="49"/>
    </row>
    <row r="2894">
      <c r="A2894" s="90">
        <v>387.0</v>
      </c>
      <c r="B2894" s="91" t="s">
        <v>65</v>
      </c>
      <c r="C2894" s="49" t="s">
        <v>2986</v>
      </c>
      <c r="D2894" s="91"/>
      <c r="E2894" s="41" t="s">
        <v>3024</v>
      </c>
      <c r="F2894" s="49"/>
      <c r="G2894" s="71" t="s">
        <v>3024</v>
      </c>
      <c r="H2894" s="41"/>
      <c r="I2894" s="42"/>
      <c r="J2894" s="43"/>
      <c r="K2894" s="72">
        <v>12.0</v>
      </c>
      <c r="L2894" s="53" t="s">
        <v>69</v>
      </c>
      <c r="M2894" s="73">
        <v>4500.0</v>
      </c>
      <c r="N2894" s="74"/>
      <c r="O2894" s="73">
        <v>54000.0</v>
      </c>
      <c r="P2894" s="46" t="str">
        <f t="shared" si="2"/>
        <v>Rp4,500-12 PCS-0.00%</v>
      </c>
      <c r="Q2894" s="75">
        <v>45419.0</v>
      </c>
      <c r="R2894" s="76"/>
      <c r="S2894" s="75">
        <v>45426.0</v>
      </c>
      <c r="T2894" s="49"/>
    </row>
    <row r="2895">
      <c r="A2895" s="90">
        <v>387.0</v>
      </c>
      <c r="B2895" s="91" t="s">
        <v>65</v>
      </c>
      <c r="C2895" s="49" t="s">
        <v>2986</v>
      </c>
      <c r="D2895" s="91" t="s">
        <v>3025</v>
      </c>
      <c r="E2895" s="41" t="str">
        <f>IFERROR(__xludf.DUMMYFUNCTION("vlookup(D2895,IMPORTRANGE(""https://docs.google.com/spreadsheets/d/1swGwZOEqYlTEUCJLY-eeJM1911Kvaei5oySBIxdgtNo/edit?pli=1#gid=257618397"",""stock untanna!B:C""),2,false)"),"MAP KANCING 2 MICROTOP A6 PARIS")</f>
        <v>MAP KANCING 2 MICROTOP A6 PARIS</v>
      </c>
      <c r="F2895" s="49" t="s">
        <v>3025</v>
      </c>
      <c r="G2895" s="71" t="s">
        <v>3026</v>
      </c>
      <c r="H2895" s="41"/>
      <c r="I2895" s="42"/>
      <c r="J2895" s="43"/>
      <c r="K2895" s="72">
        <v>1.0</v>
      </c>
      <c r="L2895" s="53" t="s">
        <v>62</v>
      </c>
      <c r="M2895" s="73">
        <v>35004.0</v>
      </c>
      <c r="N2895" s="74"/>
      <c r="O2895" s="73">
        <v>35004.0</v>
      </c>
      <c r="P2895" s="46" t="str">
        <f t="shared" si="2"/>
        <v>Rp35,004-1 LSN-0.00%</v>
      </c>
      <c r="Q2895" s="75">
        <v>45419.0</v>
      </c>
      <c r="R2895" s="76"/>
      <c r="S2895" s="75">
        <v>45426.0</v>
      </c>
      <c r="T2895" s="49"/>
    </row>
    <row r="2896">
      <c r="A2896" s="90">
        <v>387.0</v>
      </c>
      <c r="B2896" s="91" t="s">
        <v>65</v>
      </c>
      <c r="C2896" s="49" t="s">
        <v>2986</v>
      </c>
      <c r="D2896" s="91"/>
      <c r="E2896" s="41" t="s">
        <v>3027</v>
      </c>
      <c r="F2896" s="49"/>
      <c r="G2896" s="71" t="s">
        <v>3027</v>
      </c>
      <c r="H2896" s="41"/>
      <c r="I2896" s="42"/>
      <c r="J2896" s="43"/>
      <c r="K2896" s="72">
        <v>12.0</v>
      </c>
      <c r="L2896" s="53" t="s">
        <v>69</v>
      </c>
      <c r="M2896" s="73">
        <v>5417.0</v>
      </c>
      <c r="N2896" s="74"/>
      <c r="O2896" s="73">
        <v>65004.0</v>
      </c>
      <c r="P2896" s="46" t="str">
        <f t="shared" si="2"/>
        <v>Rp5,417-12 PCS-0.00%</v>
      </c>
      <c r="Q2896" s="75">
        <v>45419.0</v>
      </c>
      <c r="R2896" s="76"/>
      <c r="S2896" s="75">
        <v>45426.0</v>
      </c>
      <c r="T2896" s="49"/>
    </row>
    <row r="2897">
      <c r="A2897" s="90">
        <v>387.0</v>
      </c>
      <c r="B2897" s="91" t="s">
        <v>65</v>
      </c>
      <c r="C2897" s="49" t="s">
        <v>2986</v>
      </c>
      <c r="D2897" s="91" t="s">
        <v>3028</v>
      </c>
      <c r="E2897" s="41" t="str">
        <f>IFERROR(__xludf.DUMMYFUNCTION("vlookup(D2897,IMPORTRANGE(""https://docs.google.com/spreadsheets/d/1swGwZOEqYlTEUCJLY-eeJM1911Kvaei5oySBIxdgtNo/edit?pli=1#gid=257618397"",""stock untanna!B:C""),2,false)"),"NOTEBOOK 7050-2")</f>
        <v>NOTEBOOK 7050-2</v>
      </c>
      <c r="F2897" s="49" t="s">
        <v>3028</v>
      </c>
      <c r="G2897" s="71" t="s">
        <v>3029</v>
      </c>
      <c r="H2897" s="41"/>
      <c r="I2897" s="42"/>
      <c r="J2897" s="43"/>
      <c r="K2897" s="72">
        <v>12.0</v>
      </c>
      <c r="L2897" s="53" t="s">
        <v>69</v>
      </c>
      <c r="M2897" s="73">
        <v>7500.0</v>
      </c>
      <c r="N2897" s="74"/>
      <c r="O2897" s="73">
        <v>90000.0</v>
      </c>
      <c r="P2897" s="46" t="str">
        <f t="shared" si="2"/>
        <v>Rp7,500-12 PCS-0.00%</v>
      </c>
      <c r="Q2897" s="75">
        <v>45419.0</v>
      </c>
      <c r="R2897" s="76"/>
      <c r="S2897" s="75">
        <v>45426.0</v>
      </c>
      <c r="T2897" s="49"/>
    </row>
    <row r="2898">
      <c r="A2898" s="90">
        <v>387.0</v>
      </c>
      <c r="B2898" s="91" t="s">
        <v>65</v>
      </c>
      <c r="C2898" s="49" t="s">
        <v>2986</v>
      </c>
      <c r="D2898" s="91" t="s">
        <v>1557</v>
      </c>
      <c r="E2898" s="41" t="str">
        <f>IFERROR(__xludf.DUMMYFUNCTION("vlookup(D2898,IMPORTRANGE(""https://docs.google.com/spreadsheets/d/1swGwZOEqYlTEUCJLY-eeJM1911Kvaei5oySBIxdgtNo/edit?pli=1#gid=257618397"",""stock untanna!B:C""),2,false)"),"NOTEBOOK  A5-103")</f>
        <v>NOTEBOOK  A5-103</v>
      </c>
      <c r="F2898" s="49" t="s">
        <v>1557</v>
      </c>
      <c r="G2898" s="71" t="s">
        <v>1558</v>
      </c>
      <c r="H2898" s="41"/>
      <c r="I2898" s="42"/>
      <c r="J2898" s="43"/>
      <c r="K2898" s="72">
        <v>1.0</v>
      </c>
      <c r="L2898" s="53" t="s">
        <v>62</v>
      </c>
      <c r="M2898" s="73">
        <v>210000.0</v>
      </c>
      <c r="N2898" s="74"/>
      <c r="O2898" s="73">
        <v>210000.0</v>
      </c>
      <c r="P2898" s="46" t="str">
        <f t="shared" si="2"/>
        <v>Rp210,000-1 LSN-0.00%</v>
      </c>
      <c r="Q2898" s="75">
        <v>45419.0</v>
      </c>
      <c r="R2898" s="76"/>
      <c r="S2898" s="75">
        <v>45426.0</v>
      </c>
      <c r="T2898" s="49"/>
    </row>
    <row r="2899">
      <c r="A2899" s="90">
        <v>387.0</v>
      </c>
      <c r="B2899" s="91" t="s">
        <v>65</v>
      </c>
      <c r="C2899" s="49" t="s">
        <v>2986</v>
      </c>
      <c r="D2899" s="91" t="s">
        <v>1376</v>
      </c>
      <c r="E2899" s="41" t="str">
        <f>IFERROR(__xludf.DUMMYFUNCTION("vlookup(D2899,IMPORTRANGE(""https://docs.google.com/spreadsheets/d/1swGwZOEqYlTEUCJLY-eeJM1911Kvaei5oySBIxdgtNo/edit?pli=1#gid=257618397"",""stock untanna!B:C""),2,false)"),"NOTEBOOK  707-44")</f>
        <v>NOTEBOOK  707-44</v>
      </c>
      <c r="F2899" s="49" t="s">
        <v>1376</v>
      </c>
      <c r="G2899" s="71" t="s">
        <v>1377</v>
      </c>
      <c r="H2899" s="41"/>
      <c r="I2899" s="42"/>
      <c r="J2899" s="43"/>
      <c r="K2899" s="72">
        <v>1.0</v>
      </c>
      <c r="L2899" s="53" t="s">
        <v>62</v>
      </c>
      <c r="M2899" s="73">
        <v>210000.0</v>
      </c>
      <c r="N2899" s="74"/>
      <c r="O2899" s="73">
        <v>210000.0</v>
      </c>
      <c r="P2899" s="46" t="str">
        <f t="shared" si="2"/>
        <v>Rp210,000-1 LSN-0.00%</v>
      </c>
      <c r="Q2899" s="75">
        <v>45419.0</v>
      </c>
      <c r="R2899" s="76"/>
      <c r="S2899" s="75">
        <v>45426.0</v>
      </c>
      <c r="T2899" s="49"/>
    </row>
    <row r="2900">
      <c r="A2900" s="90">
        <v>387.0</v>
      </c>
      <c r="B2900" s="91" t="s">
        <v>65</v>
      </c>
      <c r="C2900" s="49" t="s">
        <v>2986</v>
      </c>
      <c r="D2900" s="91" t="s">
        <v>993</v>
      </c>
      <c r="E2900" s="41" t="str">
        <f>IFERROR(__xludf.DUMMYFUNCTION("vlookup(D2900,IMPORTRANGE(""https://docs.google.com/spreadsheets/d/1swGwZOEqYlTEUCJLY-eeJM1911Kvaei5oySBIxdgtNo/edit?pli=1#gid=257618397"",""stock untanna!B:C""),2,false)"),"PW 8880-12")</f>
        <v>PW 8880-12</v>
      </c>
      <c r="F2900" s="49" t="s">
        <v>993</v>
      </c>
      <c r="G2900" s="71" t="s">
        <v>994</v>
      </c>
      <c r="H2900" s="41"/>
      <c r="I2900" s="42"/>
      <c r="J2900" s="43"/>
      <c r="K2900" s="72">
        <v>1.0</v>
      </c>
      <c r="L2900" s="53" t="s">
        <v>62</v>
      </c>
      <c r="M2900" s="73">
        <v>174996.0</v>
      </c>
      <c r="N2900" s="74"/>
      <c r="O2900" s="73">
        <v>174996.0</v>
      </c>
      <c r="P2900" s="46" t="str">
        <f t="shared" si="2"/>
        <v>Rp174,996-1 LSN-0.00%</v>
      </c>
      <c r="Q2900" s="75">
        <v>45419.0</v>
      </c>
      <c r="R2900" s="76"/>
      <c r="S2900" s="75">
        <v>45426.0</v>
      </c>
      <c r="T2900" s="49"/>
    </row>
    <row r="2901">
      <c r="A2901" s="90">
        <v>387.0</v>
      </c>
      <c r="B2901" s="91" t="s">
        <v>65</v>
      </c>
      <c r="C2901" s="49" t="s">
        <v>2986</v>
      </c>
      <c r="D2901" s="91" t="s">
        <v>2008</v>
      </c>
      <c r="E2901" s="41" t="str">
        <f>IFERROR(__xludf.DUMMYFUNCTION("vlookup(D2901,IMPORTRANGE(""https://docs.google.com/spreadsheets/d/1swGwZOEqYlTEUCJLY-eeJM1911Kvaei5oySBIxdgtNo/edit?pli=1#gid=257618397"",""stock untanna!B:C""),2,false)"),"PW 9999-12")</f>
        <v>PW 9999-12</v>
      </c>
      <c r="F2901" s="49" t="s">
        <v>2008</v>
      </c>
      <c r="G2901" s="71" t="s">
        <v>2009</v>
      </c>
      <c r="H2901" s="41"/>
      <c r="I2901" s="42"/>
      <c r="J2901" s="43"/>
      <c r="K2901" s="72">
        <v>1.0</v>
      </c>
      <c r="L2901" s="53" t="s">
        <v>62</v>
      </c>
      <c r="M2901" s="73">
        <v>174996.0</v>
      </c>
      <c r="N2901" s="74"/>
      <c r="O2901" s="73">
        <v>174996.0</v>
      </c>
      <c r="P2901" s="46" t="str">
        <f t="shared" si="2"/>
        <v>Rp174,996-1 LSN-0.00%</v>
      </c>
      <c r="Q2901" s="75">
        <v>45419.0</v>
      </c>
      <c r="R2901" s="76"/>
      <c r="S2901" s="75">
        <v>45426.0</v>
      </c>
      <c r="T2901" s="49"/>
    </row>
    <row r="2902">
      <c r="A2902" s="90">
        <v>387.0</v>
      </c>
      <c r="B2902" s="91" t="s">
        <v>65</v>
      </c>
      <c r="C2902" s="49" t="s">
        <v>2986</v>
      </c>
      <c r="D2902" s="91" t="s">
        <v>1656</v>
      </c>
      <c r="E2902" s="41" t="str">
        <f>IFERROR(__xludf.DUMMYFUNCTION("vlookup(D2902,IMPORTRANGE(""https://docs.google.com/spreadsheets/d/1swGwZOEqYlTEUCJLY-eeJM1911Kvaei5oySBIxdgtNo/edit?pli=1#gid=257618397"",""stock untanna!B:C""),2,false)"),"PENSIL 2B KAYAGI 3041")</f>
        <v>PENSIL 2B KAYAGI 3041</v>
      </c>
      <c r="F2902" s="49" t="s">
        <v>1656</v>
      </c>
      <c r="G2902" s="71" t="s">
        <v>1657</v>
      </c>
      <c r="H2902" s="41"/>
      <c r="I2902" s="42"/>
      <c r="J2902" s="43"/>
      <c r="K2902" s="72">
        <v>0.25</v>
      </c>
      <c r="L2902" s="53" t="s">
        <v>131</v>
      </c>
      <c r="M2902" s="73">
        <v>101952.0</v>
      </c>
      <c r="N2902" s="74"/>
      <c r="O2902" s="73">
        <v>25488.0</v>
      </c>
      <c r="P2902" s="46" t="str">
        <f t="shared" si="2"/>
        <v>Rp101,952-0.25 GRS-0.00%</v>
      </c>
      <c r="Q2902" s="75">
        <v>45419.0</v>
      </c>
      <c r="R2902" s="76"/>
      <c r="S2902" s="75">
        <v>45426.0</v>
      </c>
      <c r="T2902" s="49"/>
    </row>
    <row r="2903">
      <c r="A2903" s="90">
        <v>4346.0</v>
      </c>
      <c r="B2903" s="91" t="s">
        <v>29</v>
      </c>
      <c r="C2903" s="49" t="s">
        <v>2434</v>
      </c>
      <c r="D2903" s="91"/>
      <c r="E2903" s="41" t="s">
        <v>3030</v>
      </c>
      <c r="F2903" s="49"/>
      <c r="G2903" s="71" t="s">
        <v>3030</v>
      </c>
      <c r="H2903" s="41"/>
      <c r="I2903" s="42"/>
      <c r="J2903" s="43"/>
      <c r="K2903" s="72">
        <v>5.0</v>
      </c>
      <c r="L2903" s="53" t="s">
        <v>62</v>
      </c>
      <c r="M2903" s="73">
        <v>17000.0</v>
      </c>
      <c r="N2903" s="74"/>
      <c r="O2903" s="73">
        <v>85000.0</v>
      </c>
      <c r="P2903" s="46" t="str">
        <f t="shared" si="2"/>
        <v>Rp17,000-5 LSN-0.00%</v>
      </c>
      <c r="Q2903" s="75">
        <v>45419.0</v>
      </c>
      <c r="R2903" s="75">
        <v>45416.0</v>
      </c>
      <c r="S2903" s="75">
        <v>45426.0</v>
      </c>
      <c r="T2903" s="49"/>
    </row>
    <row r="2904">
      <c r="A2904" s="90">
        <v>4346.0</v>
      </c>
      <c r="B2904" s="91" t="s">
        <v>29</v>
      </c>
      <c r="C2904" s="49" t="s">
        <v>2434</v>
      </c>
      <c r="D2904" s="77" t="s">
        <v>1192</v>
      </c>
      <c r="E2904" s="41" t="str">
        <f>IFERROR(__xludf.DUMMYFUNCTION("vlookup(D2904,IMPORTRANGE(""https://docs.google.com/spreadsheets/d/1swGwZOEqYlTEUCJLY-eeJM1911Kvaei5oySBIxdgtNo/edit?pli=1#gid=257618397"",""stock untanna!B:C""),2,false)"),"ISI GEL DTIAN DT-090 (20PCS TABUNG)")</f>
        <v>ISI GEL DTIAN DT-090 (20PCS TABUNG)</v>
      </c>
      <c r="F2904" s="49" t="s">
        <v>1193</v>
      </c>
      <c r="G2904" s="71" t="s">
        <v>1194</v>
      </c>
      <c r="H2904" s="41"/>
      <c r="I2904" s="42"/>
      <c r="J2904" s="43"/>
      <c r="K2904" s="72">
        <v>3.0</v>
      </c>
      <c r="L2904" s="53" t="s">
        <v>62</v>
      </c>
      <c r="M2904" s="73">
        <v>30000.0</v>
      </c>
      <c r="N2904" s="74"/>
      <c r="O2904" s="73">
        <v>90000.0</v>
      </c>
      <c r="P2904" s="46" t="str">
        <f t="shared" si="2"/>
        <v>Rp30,000-3 LSN-0.00%</v>
      </c>
      <c r="Q2904" s="75">
        <v>45419.0</v>
      </c>
      <c r="R2904" s="75">
        <v>45416.0</v>
      </c>
      <c r="S2904" s="75">
        <v>45426.0</v>
      </c>
      <c r="T2904" s="49" t="s">
        <v>100</v>
      </c>
    </row>
    <row r="2905">
      <c r="A2905" s="90">
        <v>4346.0</v>
      </c>
      <c r="B2905" s="91" t="s">
        <v>29</v>
      </c>
      <c r="C2905" s="49" t="s">
        <v>2434</v>
      </c>
      <c r="D2905" s="91" t="s">
        <v>210</v>
      </c>
      <c r="E2905" s="41" t="str">
        <f>IFERROR(__xludf.DUMMYFUNCTION("vlookup(D2905,IMPORTRANGE(""https://docs.google.com/spreadsheets/d/1swGwZOEqYlTEUCJLY-eeJM1911Kvaei5oySBIxdgtNo/edit?pli=1#gid=257618397"",""stock untanna!B:C""),2,false)"),"TAS JASMIN TANGGUNG")</f>
        <v>TAS JASMIN TANGGUNG</v>
      </c>
      <c r="F2905" s="49" t="s">
        <v>210</v>
      </c>
      <c r="G2905" s="71" t="s">
        <v>211</v>
      </c>
      <c r="H2905" s="41"/>
      <c r="I2905" s="42"/>
      <c r="J2905" s="43"/>
      <c r="K2905" s="72">
        <v>10.0</v>
      </c>
      <c r="L2905" s="53" t="s">
        <v>62</v>
      </c>
      <c r="M2905" s="73">
        <v>40000.0</v>
      </c>
      <c r="N2905" s="74"/>
      <c r="O2905" s="73">
        <v>400000.0</v>
      </c>
      <c r="P2905" s="46" t="str">
        <f t="shared" si="2"/>
        <v>Rp40,000-10 LSN-0.00%</v>
      </c>
      <c r="Q2905" s="75">
        <v>45419.0</v>
      </c>
      <c r="R2905" s="75">
        <v>45416.0</v>
      </c>
      <c r="S2905" s="75">
        <v>45426.0</v>
      </c>
      <c r="T2905" s="49"/>
    </row>
    <row r="2906">
      <c r="A2906" s="90">
        <v>4346.0</v>
      </c>
      <c r="B2906" s="91" t="s">
        <v>29</v>
      </c>
      <c r="C2906" s="49" t="s">
        <v>2434</v>
      </c>
      <c r="D2906" s="91" t="s">
        <v>212</v>
      </c>
      <c r="E2906" s="41" t="str">
        <f>IFERROR(__xludf.DUMMYFUNCTION("vlookup(D2906,IMPORTRANGE(""https://docs.google.com/spreadsheets/d/1swGwZOEqYlTEUCJLY-eeJM1911Kvaei5oySBIxdgtNo/edit?pli=1#gid=257618397"",""stock untanna!B:C""),2,false)"),"TAS JASMIN BESAR")</f>
        <v>TAS JASMIN BESAR</v>
      </c>
      <c r="F2906" s="49" t="s">
        <v>212</v>
      </c>
      <c r="G2906" s="71" t="s">
        <v>213</v>
      </c>
      <c r="H2906" s="41"/>
      <c r="I2906" s="42"/>
      <c r="J2906" s="43"/>
      <c r="K2906" s="72">
        <v>10.0</v>
      </c>
      <c r="L2906" s="53" t="s">
        <v>62</v>
      </c>
      <c r="M2906" s="73">
        <v>50000.0</v>
      </c>
      <c r="N2906" s="74"/>
      <c r="O2906" s="73">
        <v>500000.0</v>
      </c>
      <c r="P2906" s="46" t="str">
        <f t="shared" si="2"/>
        <v>Rp50,000-10 LSN-0.00%</v>
      </c>
      <c r="Q2906" s="75">
        <v>45419.0</v>
      </c>
      <c r="R2906" s="75">
        <v>45416.0</v>
      </c>
      <c r="S2906" s="75">
        <v>45426.0</v>
      </c>
      <c r="T2906" s="49"/>
    </row>
    <row r="2907">
      <c r="A2907" s="90">
        <v>4346.0</v>
      </c>
      <c r="B2907" s="91" t="s">
        <v>29</v>
      </c>
      <c r="C2907" s="49" t="s">
        <v>2434</v>
      </c>
      <c r="D2907" s="91"/>
      <c r="E2907" s="41" t="s">
        <v>3031</v>
      </c>
      <c r="F2907" s="49"/>
      <c r="G2907" s="71" t="s">
        <v>3031</v>
      </c>
      <c r="H2907" s="41"/>
      <c r="I2907" s="42"/>
      <c r="J2907" s="43"/>
      <c r="K2907" s="72">
        <v>12.0</v>
      </c>
      <c r="L2907" s="53" t="s">
        <v>62</v>
      </c>
      <c r="M2907" s="73">
        <v>20000.0</v>
      </c>
      <c r="N2907" s="74"/>
      <c r="O2907" s="73">
        <v>240000.0</v>
      </c>
      <c r="P2907" s="46" t="str">
        <f t="shared" si="2"/>
        <v>Rp20,000-12 LSN-0.00%</v>
      </c>
      <c r="Q2907" s="75">
        <v>45419.0</v>
      </c>
      <c r="R2907" s="75">
        <v>45419.0</v>
      </c>
      <c r="S2907" s="75">
        <v>45426.0</v>
      </c>
      <c r="T2907" s="49"/>
    </row>
    <row r="2908">
      <c r="A2908" s="90">
        <v>160.0</v>
      </c>
      <c r="B2908" s="91" t="s">
        <v>29</v>
      </c>
      <c r="C2908" s="49" t="s">
        <v>3032</v>
      </c>
      <c r="D2908" s="91" t="s">
        <v>95</v>
      </c>
      <c r="E2908" s="41" t="str">
        <f>IFERROR(__xludf.DUMMYFUNCTION("vlookup(D2908,IMPORTRANGE(""https://docs.google.com/spreadsheets/d/1swGwZOEqYlTEUCJLY-eeJM1911Kvaei5oySBIxdgtNo/edit?pli=1#gid=257618397"",""stock untanna!B:C""),2,false)"),"PENCIL CASE MAGNET 8631 + CALL")</f>
        <v>PENCIL CASE MAGNET 8631 + CALL</v>
      </c>
      <c r="F2908" s="49" t="s">
        <v>95</v>
      </c>
      <c r="G2908" s="71" t="s">
        <v>96</v>
      </c>
      <c r="H2908" s="41"/>
      <c r="I2908" s="42"/>
      <c r="J2908" s="43"/>
      <c r="K2908" s="72">
        <v>160.0</v>
      </c>
      <c r="L2908" s="53" t="s">
        <v>69</v>
      </c>
      <c r="M2908" s="73">
        <v>15000.0</v>
      </c>
      <c r="N2908" s="74"/>
      <c r="O2908" s="73">
        <v>2400000.0</v>
      </c>
      <c r="P2908" s="46" t="str">
        <f t="shared" si="2"/>
        <v>Rp15,000-160 PCS-0.00%</v>
      </c>
      <c r="Q2908" s="75">
        <v>45419.0</v>
      </c>
      <c r="R2908" s="76"/>
      <c r="S2908" s="75">
        <v>45426.0</v>
      </c>
      <c r="T2908" s="49" t="s">
        <v>3033</v>
      </c>
    </row>
    <row r="2909">
      <c r="A2909" s="90">
        <v>160.0</v>
      </c>
      <c r="B2909" s="91" t="s">
        <v>29</v>
      </c>
      <c r="C2909" s="49" t="s">
        <v>3032</v>
      </c>
      <c r="D2909" s="91" t="s">
        <v>95</v>
      </c>
      <c r="E2909" s="41" t="str">
        <f>IFERROR(__xludf.DUMMYFUNCTION("vlookup(D2909,IMPORTRANGE(""https://docs.google.com/spreadsheets/d/1swGwZOEqYlTEUCJLY-eeJM1911Kvaei5oySBIxdgtNo/edit?pli=1#gid=257618397"",""stock untanna!B:C""),2,false)"),"PENCIL CASE MAGNET 8631 + CALL")</f>
        <v>PENCIL CASE MAGNET 8631 + CALL</v>
      </c>
      <c r="F2909" s="49" t="s">
        <v>95</v>
      </c>
      <c r="G2909" s="71" t="s">
        <v>96</v>
      </c>
      <c r="H2909" s="41"/>
      <c r="I2909" s="42"/>
      <c r="J2909" s="43"/>
      <c r="K2909" s="72">
        <v>160.0</v>
      </c>
      <c r="L2909" s="53" t="s">
        <v>69</v>
      </c>
      <c r="M2909" s="73">
        <v>15000.0</v>
      </c>
      <c r="N2909" s="74"/>
      <c r="O2909" s="73">
        <v>2400000.0</v>
      </c>
      <c r="P2909" s="46" t="str">
        <f t="shared" si="2"/>
        <v>Rp15,000-160 PCS-0.00%</v>
      </c>
      <c r="Q2909" s="75">
        <v>45419.0</v>
      </c>
      <c r="R2909" s="76"/>
      <c r="S2909" s="75">
        <v>45426.0</v>
      </c>
      <c r="T2909" s="49" t="s">
        <v>3034</v>
      </c>
    </row>
    <row r="2910">
      <c r="A2910" s="90">
        <v>160.0</v>
      </c>
      <c r="B2910" s="91" t="s">
        <v>29</v>
      </c>
      <c r="C2910" s="49" t="s">
        <v>3032</v>
      </c>
      <c r="D2910" s="91" t="s">
        <v>555</v>
      </c>
      <c r="E2910" s="41" t="str">
        <f>IFERROR(__xludf.DUMMYFUNCTION("vlookup(D2910,IMPORTRANGE(""https://docs.google.com/spreadsheets/d/1swGwZOEqYlTEUCJLY-eeJM1911Kvaei5oySBIxdgtNo/edit?pli=1#gid=257618397"",""stock untanna!B:C""),2,false)"),"PENSIL CASE ZL-178-1 MOBIL K")</f>
        <v>PENSIL CASE ZL-178-1 MOBIL K</v>
      </c>
      <c r="F2910" s="49" t="s">
        <v>555</v>
      </c>
      <c r="G2910" s="71" t="s">
        <v>556</v>
      </c>
      <c r="H2910" s="41"/>
      <c r="I2910" s="42"/>
      <c r="J2910" s="43"/>
      <c r="K2910" s="72">
        <v>160.0</v>
      </c>
      <c r="L2910" s="53" t="s">
        <v>69</v>
      </c>
      <c r="M2910" s="73">
        <v>12500.0</v>
      </c>
      <c r="N2910" s="74"/>
      <c r="O2910" s="73">
        <v>2000000.0</v>
      </c>
      <c r="P2910" s="46" t="str">
        <f t="shared" si="2"/>
        <v>Rp12,500-160 PCS-0.00%</v>
      </c>
      <c r="Q2910" s="75">
        <v>45419.0</v>
      </c>
      <c r="R2910" s="76"/>
      <c r="S2910" s="75">
        <v>45426.0</v>
      </c>
      <c r="T2910" s="49"/>
    </row>
    <row r="2911">
      <c r="A2911" s="90">
        <v>160.0</v>
      </c>
      <c r="B2911" s="91" t="s">
        <v>29</v>
      </c>
      <c r="C2911" s="49" t="s">
        <v>3032</v>
      </c>
      <c r="D2911" s="91"/>
      <c r="E2911" s="41" t="s">
        <v>3035</v>
      </c>
      <c r="F2911" s="49"/>
      <c r="G2911" s="71" t="s">
        <v>3035</v>
      </c>
      <c r="H2911" s="41"/>
      <c r="I2911" s="42"/>
      <c r="J2911" s="43"/>
      <c r="K2911" s="72">
        <v>16.0</v>
      </c>
      <c r="L2911" s="53" t="s">
        <v>62</v>
      </c>
      <c r="M2911" s="73">
        <v>110000.0</v>
      </c>
      <c r="N2911" s="74"/>
      <c r="O2911" s="73">
        <v>1760000.0</v>
      </c>
      <c r="P2911" s="46" t="str">
        <f t="shared" si="2"/>
        <v>Rp110,000-16 LSN-0.00%</v>
      </c>
      <c r="Q2911" s="75">
        <v>45419.0</v>
      </c>
      <c r="R2911" s="76"/>
      <c r="S2911" s="75">
        <v>45426.0</v>
      </c>
      <c r="T2911" s="49"/>
    </row>
    <row r="2912">
      <c r="A2912" s="90">
        <v>160.0</v>
      </c>
      <c r="B2912" s="91" t="s">
        <v>29</v>
      </c>
      <c r="C2912" s="49" t="s">
        <v>3032</v>
      </c>
      <c r="D2912" s="91" t="s">
        <v>804</v>
      </c>
      <c r="E2912" s="41" t="str">
        <f>IFERROR(__xludf.DUMMYFUNCTION("vlookup(D2912,IMPORTRANGE(""https://docs.google.com/spreadsheets/d/1swGwZOEqYlTEUCJLY-eeJM1911Kvaei5oySBIxdgtNo/edit?pli=1#gid=257618397"",""stock untanna!B:C""),2,false)"),"NOTES 156-80")</f>
        <v>NOTES 156-80</v>
      </c>
      <c r="F2912" s="49" t="s">
        <v>804</v>
      </c>
      <c r="G2912" s="71" t="s">
        <v>805</v>
      </c>
      <c r="H2912" s="41"/>
      <c r="I2912" s="42"/>
      <c r="J2912" s="43"/>
      <c r="K2912" s="72">
        <v>60.0</v>
      </c>
      <c r="L2912" s="53" t="s">
        <v>62</v>
      </c>
      <c r="M2912" s="73">
        <v>35000.0</v>
      </c>
      <c r="N2912" s="74"/>
      <c r="O2912" s="73">
        <v>2100000.0</v>
      </c>
      <c r="P2912" s="46" t="str">
        <f t="shared" si="2"/>
        <v>Rp35,000-60 LSN-0.00%</v>
      </c>
      <c r="Q2912" s="75">
        <v>45419.0</v>
      </c>
      <c r="R2912" s="76"/>
      <c r="S2912" s="75">
        <v>45426.0</v>
      </c>
      <c r="T2912" s="49"/>
    </row>
    <row r="2913">
      <c r="A2913" s="90">
        <v>160.0</v>
      </c>
      <c r="B2913" s="91" t="s">
        <v>29</v>
      </c>
      <c r="C2913" s="49" t="s">
        <v>3032</v>
      </c>
      <c r="D2913" s="91" t="s">
        <v>31</v>
      </c>
      <c r="E2913" s="41" t="str">
        <f>IFERROR(__xludf.DUMMYFUNCTION("vlookup(D2913,IMPORTRANGE(""https://docs.google.com/spreadsheets/d/1swGwZOEqYlTEUCJLY-eeJM1911Kvaei5oySBIxdgtNo/edit?pli=1#gid=257618397"",""stock untanna!B:C""),2,false)"),"ISI STAPLER 13/8 JOSS")</f>
        <v>ISI STAPLER 13/8 JOSS</v>
      </c>
      <c r="F2913" s="49" t="s">
        <v>31</v>
      </c>
      <c r="G2913" s="71" t="s">
        <v>113</v>
      </c>
      <c r="H2913" s="41"/>
      <c r="I2913" s="42"/>
      <c r="J2913" s="43"/>
      <c r="K2913" s="72">
        <v>100.0</v>
      </c>
      <c r="L2913" s="53" t="s">
        <v>114</v>
      </c>
      <c r="M2913" s="73">
        <v>18500.0</v>
      </c>
      <c r="N2913" s="74"/>
      <c r="O2913" s="73">
        <v>1850000.0</v>
      </c>
      <c r="P2913" s="46" t="str">
        <f t="shared" si="2"/>
        <v>Rp18,500-100 PAK-0.00%</v>
      </c>
      <c r="Q2913" s="75">
        <v>45419.0</v>
      </c>
      <c r="R2913" s="76"/>
      <c r="S2913" s="75">
        <v>45426.0</v>
      </c>
      <c r="T2913" s="49"/>
    </row>
    <row r="2914">
      <c r="A2914" s="90">
        <v>160.0</v>
      </c>
      <c r="B2914" s="91" t="s">
        <v>29</v>
      </c>
      <c r="C2914" s="49" t="s">
        <v>3032</v>
      </c>
      <c r="D2914" s="91" t="s">
        <v>748</v>
      </c>
      <c r="E2914" s="41" t="str">
        <f>IFERROR(__xludf.DUMMYFUNCTION("vlookup(D2914,IMPORTRANGE(""https://docs.google.com/spreadsheets/d/1swGwZOEqYlTEUCJLY-eeJM1911Kvaei5oySBIxdgtNo/edit?pli=1#gid=257618397"",""stock untanna!B:C""),2,false)"),"GARISAN BT 30 CM")</f>
        <v>GARISAN BT 30 CM</v>
      </c>
      <c r="F2914" s="49" t="s">
        <v>748</v>
      </c>
      <c r="G2914" s="71" t="s">
        <v>749</v>
      </c>
      <c r="H2914" s="41"/>
      <c r="I2914" s="42"/>
      <c r="J2914" s="43"/>
      <c r="K2914" s="72">
        <v>100.0</v>
      </c>
      <c r="L2914" s="53" t="s">
        <v>62</v>
      </c>
      <c r="M2914" s="73">
        <v>26780.0</v>
      </c>
      <c r="N2914" s="83">
        <v>0.2</v>
      </c>
      <c r="O2914" s="73">
        <v>2142400.0</v>
      </c>
      <c r="P2914" s="46" t="str">
        <f t="shared" si="2"/>
        <v>Rp26,780-100 LSN-20.00%</v>
      </c>
      <c r="Q2914" s="75">
        <v>45419.0</v>
      </c>
      <c r="R2914" s="76"/>
      <c r="S2914" s="75">
        <v>45426.0</v>
      </c>
      <c r="T2914" s="49"/>
    </row>
    <row r="2915">
      <c r="A2915" s="90">
        <v>160.0</v>
      </c>
      <c r="B2915" s="91" t="s">
        <v>29</v>
      </c>
      <c r="C2915" s="49" t="s">
        <v>3032</v>
      </c>
      <c r="D2915" s="91" t="s">
        <v>582</v>
      </c>
      <c r="E2915" s="41" t="str">
        <f>IFERROR(__xludf.DUMMYFUNCTION("vlookup(D2915,IMPORTRANGE(""https://docs.google.com/spreadsheets/d/1swGwZOEqYlTEUCJLY-eeJM1911Kvaei5oySBIxdgtNo/edit?pli=1#gid=257618397"",""stock untanna!B:C""),2,false)"),"PENCIL CASE DZ-0065 MAGNET")</f>
        <v>PENCIL CASE DZ-0065 MAGNET</v>
      </c>
      <c r="F2915" s="49" t="s">
        <v>582</v>
      </c>
      <c r="G2915" s="71" t="s">
        <v>583</v>
      </c>
      <c r="H2915" s="41"/>
      <c r="I2915" s="42"/>
      <c r="J2915" s="43"/>
      <c r="K2915" s="72">
        <v>144.0</v>
      </c>
      <c r="L2915" s="53" t="s">
        <v>69</v>
      </c>
      <c r="M2915" s="73">
        <v>12500.0</v>
      </c>
      <c r="N2915" s="74"/>
      <c r="O2915" s="73">
        <v>1800000.0</v>
      </c>
      <c r="P2915" s="46" t="str">
        <f t="shared" si="2"/>
        <v>Rp12,500-144 PCS-0.00%</v>
      </c>
      <c r="Q2915" s="75">
        <v>45419.0</v>
      </c>
      <c r="R2915" s="76"/>
      <c r="S2915" s="75">
        <v>45426.0</v>
      </c>
      <c r="T2915" s="49" t="s">
        <v>3033</v>
      </c>
    </row>
    <row r="2916">
      <c r="A2916" s="90">
        <v>160.0</v>
      </c>
      <c r="B2916" s="91" t="s">
        <v>29</v>
      </c>
      <c r="C2916" s="49" t="s">
        <v>3032</v>
      </c>
      <c r="D2916" s="91" t="s">
        <v>582</v>
      </c>
      <c r="E2916" s="41" t="str">
        <f>IFERROR(__xludf.DUMMYFUNCTION("vlookup(D2916,IMPORTRANGE(""https://docs.google.com/spreadsheets/d/1swGwZOEqYlTEUCJLY-eeJM1911Kvaei5oySBIxdgtNo/edit?pli=1#gid=257618397"",""stock untanna!B:C""),2,false)"),"PENCIL CASE DZ-0065 MAGNET")</f>
        <v>PENCIL CASE DZ-0065 MAGNET</v>
      </c>
      <c r="F2916" s="49" t="s">
        <v>582</v>
      </c>
      <c r="G2916" s="71" t="s">
        <v>583</v>
      </c>
      <c r="H2916" s="41"/>
      <c r="I2916" s="42"/>
      <c r="J2916" s="43"/>
      <c r="K2916" s="72">
        <v>144.0</v>
      </c>
      <c r="L2916" s="53" t="s">
        <v>69</v>
      </c>
      <c r="M2916" s="73">
        <v>12500.0</v>
      </c>
      <c r="N2916" s="74"/>
      <c r="O2916" s="73">
        <v>1800000.0</v>
      </c>
      <c r="P2916" s="46" t="str">
        <f t="shared" si="2"/>
        <v>Rp12,500-144 PCS-0.00%</v>
      </c>
      <c r="Q2916" s="75">
        <v>45419.0</v>
      </c>
      <c r="R2916" s="76"/>
      <c r="S2916" s="75">
        <v>45426.0</v>
      </c>
      <c r="T2916" s="49" t="s">
        <v>3034</v>
      </c>
    </row>
    <row r="2917">
      <c r="A2917" s="90">
        <v>160.0</v>
      </c>
      <c r="B2917" s="91" t="s">
        <v>29</v>
      </c>
      <c r="C2917" s="49" t="s">
        <v>3032</v>
      </c>
      <c r="D2917" s="91" t="s">
        <v>3036</v>
      </c>
      <c r="E2917" s="41" t="str">
        <f>IFERROR(__xludf.DUMMYFUNCTION("vlookup(D2917,IMPORTRANGE(""https://docs.google.com/spreadsheets/d/1swGwZOEqYlTEUCJLY-eeJM1911Kvaei5oySBIxdgtNo/edit?pli=1#gid=257618397"",""stock untanna!B:C""),2,false)"),"SIPOA KAKI B 808 MOSHI MOSHI")</f>
        <v>SIPOA KAKI B 808 MOSHI MOSHI</v>
      </c>
      <c r="F2917" s="49" t="s">
        <v>3036</v>
      </c>
      <c r="G2917" s="71" t="s">
        <v>3037</v>
      </c>
      <c r="H2917" s="41"/>
      <c r="I2917" s="42"/>
      <c r="J2917" s="43"/>
      <c r="K2917" s="72">
        <v>24.0</v>
      </c>
      <c r="L2917" s="53" t="s">
        <v>62</v>
      </c>
      <c r="M2917" s="73">
        <v>100000.0</v>
      </c>
      <c r="N2917" s="74"/>
      <c r="O2917" s="73">
        <v>2400000.0</v>
      </c>
      <c r="P2917" s="46" t="str">
        <f t="shared" si="2"/>
        <v>Rp100,000-24 LSN-0.00%</v>
      </c>
      <c r="Q2917" s="75">
        <v>45419.0</v>
      </c>
      <c r="R2917" s="76"/>
      <c r="S2917" s="75">
        <v>45426.0</v>
      </c>
      <c r="T2917" s="49"/>
    </row>
    <row r="2918">
      <c r="A2918" s="90">
        <v>160.0</v>
      </c>
      <c r="B2918" s="91" t="s">
        <v>29</v>
      </c>
      <c r="C2918" s="49" t="s">
        <v>3032</v>
      </c>
      <c r="D2918" s="91" t="s">
        <v>2264</v>
      </c>
      <c r="E2918" s="41" t="str">
        <f>IFERROR(__xludf.DUMMYFUNCTION("vlookup(D2918,IMPORTRANGE(""https://docs.google.com/spreadsheets/d/1swGwZOEqYlTEUCJLY-eeJM1911Kvaei5oySBIxdgtNo/edit?pli=1#gid=257618397"",""stock untanna!B:C""),2,false)"),"ISI GEL ELSON ES-227 TAYO")</f>
        <v>ISI GEL ELSON ES-227 TAYO</v>
      </c>
      <c r="F2918" s="49" t="s">
        <v>2264</v>
      </c>
      <c r="G2918" s="71" t="s">
        <v>2265</v>
      </c>
      <c r="H2918" s="41"/>
      <c r="I2918" s="42"/>
      <c r="J2918" s="43"/>
      <c r="K2918" s="72">
        <v>96.0</v>
      </c>
      <c r="L2918" s="53" t="s">
        <v>88</v>
      </c>
      <c r="M2918" s="73">
        <v>7500.0</v>
      </c>
      <c r="N2918" s="74"/>
      <c r="O2918" s="73">
        <v>720000.0</v>
      </c>
      <c r="P2918" s="46" t="str">
        <f t="shared" si="2"/>
        <v>Rp7,500-96 BOX-0.00%</v>
      </c>
      <c r="Q2918" s="75">
        <v>45419.0</v>
      </c>
      <c r="R2918" s="76"/>
      <c r="S2918" s="75">
        <v>45426.0</v>
      </c>
      <c r="T2918" s="49"/>
    </row>
    <row r="2919">
      <c r="A2919" s="90">
        <v>160.0</v>
      </c>
      <c r="B2919" s="91" t="s">
        <v>29</v>
      </c>
      <c r="C2919" s="49" t="s">
        <v>3032</v>
      </c>
      <c r="D2919" s="91" t="s">
        <v>1621</v>
      </c>
      <c r="E2919" s="41" t="str">
        <f>IFERROR(__xludf.DUMMYFUNCTION("vlookup(D2919,IMPORTRANGE(""https://docs.google.com/spreadsheets/d/1swGwZOEqYlTEUCJLY-eeJM1911Kvaei5oySBIxdgtNo/edit?pli=1#gid=257618397"",""stock untanna!B:C""),2,false)"),"ISI GEL ELSON ES-226 SANRIO")</f>
        <v>ISI GEL ELSON ES-226 SANRIO</v>
      </c>
      <c r="F2919" s="49" t="s">
        <v>1621</v>
      </c>
      <c r="G2919" s="71" t="s">
        <v>1622</v>
      </c>
      <c r="H2919" s="41"/>
      <c r="I2919" s="42"/>
      <c r="J2919" s="43"/>
      <c r="K2919" s="72">
        <v>96.0</v>
      </c>
      <c r="L2919" s="53" t="s">
        <v>88</v>
      </c>
      <c r="M2919" s="73">
        <v>7500.0</v>
      </c>
      <c r="N2919" s="74"/>
      <c r="O2919" s="73">
        <v>720000.0</v>
      </c>
      <c r="P2919" s="46" t="str">
        <f t="shared" si="2"/>
        <v>Rp7,500-96 BOX-0.00%</v>
      </c>
      <c r="Q2919" s="75">
        <v>45419.0</v>
      </c>
      <c r="R2919" s="76"/>
      <c r="S2919" s="75">
        <v>45426.0</v>
      </c>
      <c r="T2919" s="49"/>
    </row>
    <row r="2920">
      <c r="A2920" s="90">
        <v>160.0</v>
      </c>
      <c r="B2920" s="91" t="s">
        <v>29</v>
      </c>
      <c r="C2920" s="49" t="s">
        <v>3032</v>
      </c>
      <c r="D2920" s="91" t="s">
        <v>2272</v>
      </c>
      <c r="E2920" s="41" t="str">
        <f>IFERROR(__xludf.DUMMYFUNCTION("vlookup(D2920,IMPORTRANGE(""https://docs.google.com/spreadsheets/d/1swGwZOEqYlTEUCJLY-eeJM1911Kvaei5oySBIxdgtNo/edit?pli=1#gid=257618397"",""stock untanna!B:C""),2,false)"),"ISI GEL ELSON ES-228 SUPER HEROES")</f>
        <v>ISI GEL ELSON ES-228 SUPER HEROES</v>
      </c>
      <c r="F2920" s="49" t="s">
        <v>2272</v>
      </c>
      <c r="G2920" s="71" t="s">
        <v>2273</v>
      </c>
      <c r="H2920" s="41"/>
      <c r="I2920" s="42"/>
      <c r="J2920" s="43"/>
      <c r="K2920" s="72">
        <v>96.0</v>
      </c>
      <c r="L2920" s="53" t="s">
        <v>88</v>
      </c>
      <c r="M2920" s="73">
        <v>7500.0</v>
      </c>
      <c r="N2920" s="74"/>
      <c r="O2920" s="73">
        <v>720000.0</v>
      </c>
      <c r="P2920" s="46" t="str">
        <f t="shared" si="2"/>
        <v>Rp7,500-96 BOX-0.00%</v>
      </c>
      <c r="Q2920" s="75">
        <v>45419.0</v>
      </c>
      <c r="R2920" s="76"/>
      <c r="S2920" s="75">
        <v>45426.0</v>
      </c>
      <c r="T2920" s="49"/>
    </row>
    <row r="2921">
      <c r="A2921" s="90">
        <v>161.0</v>
      </c>
      <c r="B2921" s="91" t="s">
        <v>29</v>
      </c>
      <c r="C2921" s="49" t="s">
        <v>3032</v>
      </c>
      <c r="D2921" s="91" t="s">
        <v>2266</v>
      </c>
      <c r="E2921" s="41" t="str">
        <f>IFERROR(__xludf.DUMMYFUNCTION("vlookup(D2921,IMPORTRANGE(""https://docs.google.com/spreadsheets/d/1swGwZOEqYlTEUCJLY-eeJM1911Kvaei5oySBIxdgtNo/edit?pli=1#gid=257618397"",""stock untanna!B:C""),2,false)"),"ISI GEL ELSON ES-220 BTS")</f>
        <v>ISI GEL ELSON ES-220 BTS</v>
      </c>
      <c r="F2921" s="49" t="s">
        <v>2266</v>
      </c>
      <c r="G2921" s="71" t="s">
        <v>2267</v>
      </c>
      <c r="H2921" s="41"/>
      <c r="I2921" s="42"/>
      <c r="J2921" s="43"/>
      <c r="K2921" s="72">
        <v>96.0</v>
      </c>
      <c r="L2921" s="53" t="s">
        <v>88</v>
      </c>
      <c r="M2921" s="73">
        <v>7500.0</v>
      </c>
      <c r="N2921" s="74"/>
      <c r="O2921" s="73">
        <v>720000.0</v>
      </c>
      <c r="P2921" s="46" t="str">
        <f t="shared" si="2"/>
        <v>Rp7,500-96 BOX-0.00%</v>
      </c>
      <c r="Q2921" s="75">
        <v>45419.0</v>
      </c>
      <c r="R2921" s="76"/>
      <c r="S2921" s="75">
        <v>45426.0</v>
      </c>
      <c r="T2921" s="49"/>
    </row>
    <row r="2922">
      <c r="A2922" s="90">
        <v>161.0</v>
      </c>
      <c r="B2922" s="91" t="s">
        <v>29</v>
      </c>
      <c r="C2922" s="49" t="s">
        <v>3032</v>
      </c>
      <c r="D2922" s="91" t="s">
        <v>3038</v>
      </c>
      <c r="E2922" s="41" t="str">
        <f>IFERROR(__xludf.DUMMYFUNCTION("vlookup(D2922,IMPORTRANGE(""https://docs.google.com/spreadsheets/d/1swGwZOEqYlTEUCJLY-eeJM1911Kvaei5oySBIxdgtNo/edit?pli=1#gid=257618397"",""stock untanna!B:C""),2,false)"),"ISI GEL ELSON ES-230 DINO")</f>
        <v>ISI GEL ELSON ES-230 DINO</v>
      </c>
      <c r="F2922" s="49" t="s">
        <v>3038</v>
      </c>
      <c r="G2922" s="71" t="s">
        <v>3039</v>
      </c>
      <c r="H2922" s="41"/>
      <c r="I2922" s="42"/>
      <c r="J2922" s="43"/>
      <c r="K2922" s="72">
        <v>96.0</v>
      </c>
      <c r="L2922" s="53" t="s">
        <v>88</v>
      </c>
      <c r="M2922" s="73">
        <v>7500.0</v>
      </c>
      <c r="N2922" s="74"/>
      <c r="O2922" s="73">
        <v>720000.0</v>
      </c>
      <c r="P2922" s="46" t="str">
        <f t="shared" si="2"/>
        <v>Rp7,500-96 BOX-0.00%</v>
      </c>
      <c r="Q2922" s="75">
        <v>45419.0</v>
      </c>
      <c r="R2922" s="76"/>
      <c r="S2922" s="75">
        <v>45426.0</v>
      </c>
      <c r="T2922" s="49"/>
    </row>
    <row r="2923">
      <c r="A2923" s="90">
        <v>157.0</v>
      </c>
      <c r="B2923" s="91" t="s">
        <v>29</v>
      </c>
      <c r="C2923" s="49" t="s">
        <v>3040</v>
      </c>
      <c r="D2923" s="91"/>
      <c r="E2923" s="41" t="s">
        <v>3041</v>
      </c>
      <c r="F2923" s="49"/>
      <c r="G2923" s="71" t="s">
        <v>3041</v>
      </c>
      <c r="H2923" s="41"/>
      <c r="I2923" s="42"/>
      <c r="J2923" s="43"/>
      <c r="K2923" s="72">
        <v>288.0</v>
      </c>
      <c r="L2923" s="53" t="s">
        <v>69</v>
      </c>
      <c r="M2923" s="73">
        <v>13500.0</v>
      </c>
      <c r="N2923" s="74"/>
      <c r="O2923" s="73">
        <v>3888000.0</v>
      </c>
      <c r="P2923" s="46" t="str">
        <f t="shared" si="2"/>
        <v>Rp13,500-288 PCS-0.00%</v>
      </c>
      <c r="Q2923" s="75">
        <v>45419.0</v>
      </c>
      <c r="R2923" s="76"/>
      <c r="S2923" s="75">
        <v>45426.0</v>
      </c>
      <c r="T2923" s="80" t="s">
        <v>280</v>
      </c>
    </row>
    <row r="2924">
      <c r="A2924" s="90">
        <v>4214.0</v>
      </c>
      <c r="B2924" s="91" t="s">
        <v>29</v>
      </c>
      <c r="C2924" s="49" t="s">
        <v>3042</v>
      </c>
      <c r="D2924" s="91" t="s">
        <v>419</v>
      </c>
      <c r="E2924" s="41" t="str">
        <f>IFERROR(__xludf.DUMMYFUNCTION("vlookup(D2924,IMPORTRANGE(""https://docs.google.com/spreadsheets/d/1swGwZOEqYlTEUCJLY-eeJM1911Kvaei5oySBIxdgtNo/edit?pli=1#gid=257618397"",""stock untanna!B:C""),2,false)"),"BP GEL ZUI XUA HY-1020 HITAM")</f>
        <v>BP GEL ZUI XUA HY-1020 HITAM</v>
      </c>
      <c r="F2924" s="49" t="s">
        <v>419</v>
      </c>
      <c r="G2924" s="71" t="s">
        <v>420</v>
      </c>
      <c r="H2924" s="41"/>
      <c r="I2924" s="42"/>
      <c r="J2924" s="43"/>
      <c r="K2924" s="72">
        <v>384.0</v>
      </c>
      <c r="L2924" s="53" t="s">
        <v>62</v>
      </c>
      <c r="M2924" s="73">
        <v>11000.0</v>
      </c>
      <c r="N2924" s="74"/>
      <c r="O2924" s="73">
        <v>4224000.0</v>
      </c>
      <c r="P2924" s="46" t="str">
        <f t="shared" si="2"/>
        <v>Rp11,000-384 LSN-0.00%</v>
      </c>
      <c r="Q2924" s="75">
        <v>45419.0</v>
      </c>
      <c r="R2924" s="76"/>
      <c r="S2924" s="75">
        <v>45426.0</v>
      </c>
      <c r="T2924" s="49"/>
    </row>
    <row r="2925">
      <c r="A2925" s="90">
        <v>158.0</v>
      </c>
      <c r="B2925" s="91" t="s">
        <v>29</v>
      </c>
      <c r="C2925" s="49" t="s">
        <v>3043</v>
      </c>
      <c r="D2925" s="91" t="s">
        <v>2716</v>
      </c>
      <c r="E2925" s="41" t="str">
        <f>IFERROR(__xludf.DUMMYFUNCTION("vlookup(D2925,IMPORTRANGE(""https://docs.google.com/spreadsheets/d/1swGwZOEqYlTEUCJLY-eeJM1911Kvaei5oySBIxdgtNo/edit?pli=1#gid=257618397"",""stock untanna!B:C""),2,false)"),"STAPLER (GUN TACKER) 1008F JOSS")</f>
        <v>STAPLER (GUN TACKER) 1008F JOSS</v>
      </c>
      <c r="F2925" s="49" t="s">
        <v>2716</v>
      </c>
      <c r="G2925" s="71" t="s">
        <v>2717</v>
      </c>
      <c r="H2925" s="41"/>
      <c r="I2925" s="42"/>
      <c r="J2925" s="43"/>
      <c r="K2925" s="72">
        <v>6.0</v>
      </c>
      <c r="L2925" s="53" t="s">
        <v>69</v>
      </c>
      <c r="M2925" s="73">
        <v>70000.0</v>
      </c>
      <c r="N2925" s="74"/>
      <c r="O2925" s="73">
        <v>420000.0</v>
      </c>
      <c r="P2925" s="46" t="str">
        <f t="shared" si="2"/>
        <v>Rp70,000-6 PCS-0.00%</v>
      </c>
      <c r="Q2925" s="75">
        <v>45419.0</v>
      </c>
      <c r="R2925" s="76"/>
      <c r="S2925" s="75">
        <v>45426.0</v>
      </c>
      <c r="T2925" s="49"/>
    </row>
    <row r="2926">
      <c r="A2926" s="90">
        <v>158.0</v>
      </c>
      <c r="B2926" s="91" t="s">
        <v>29</v>
      </c>
      <c r="C2926" s="49" t="s">
        <v>3043</v>
      </c>
      <c r="D2926" s="91" t="s">
        <v>748</v>
      </c>
      <c r="E2926" s="41" t="str">
        <f>IFERROR(__xludf.DUMMYFUNCTION("vlookup(D2926,IMPORTRANGE(""https://docs.google.com/spreadsheets/d/1swGwZOEqYlTEUCJLY-eeJM1911Kvaei5oySBIxdgtNo/edit?pli=1#gid=257618397"",""stock untanna!B:C""),2,false)"),"GARISAN BT 30 CM")</f>
        <v>GARISAN BT 30 CM</v>
      </c>
      <c r="F2926" s="49" t="s">
        <v>748</v>
      </c>
      <c r="G2926" s="71" t="s">
        <v>749</v>
      </c>
      <c r="H2926" s="41"/>
      <c r="I2926" s="42"/>
      <c r="J2926" s="43"/>
      <c r="K2926" s="72">
        <v>30.0</v>
      </c>
      <c r="L2926" s="53" t="s">
        <v>62</v>
      </c>
      <c r="M2926" s="73">
        <v>26780.0</v>
      </c>
      <c r="N2926" s="83">
        <v>0.1</v>
      </c>
      <c r="O2926" s="73">
        <v>723060.0</v>
      </c>
      <c r="P2926" s="46" t="str">
        <f t="shared" si="2"/>
        <v>Rp26,780-30 LSN-10.00%</v>
      </c>
      <c r="Q2926" s="75">
        <v>45419.0</v>
      </c>
      <c r="R2926" s="76"/>
      <c r="S2926" s="75">
        <v>45426.0</v>
      </c>
      <c r="T2926" s="49"/>
    </row>
    <row r="2927">
      <c r="A2927" s="90">
        <v>158.0</v>
      </c>
      <c r="B2927" s="91" t="s">
        <v>29</v>
      </c>
      <c r="C2927" s="49" t="s">
        <v>3043</v>
      </c>
      <c r="D2927" s="91" t="s">
        <v>635</v>
      </c>
      <c r="E2927" s="41" t="str">
        <f>IFERROR(__xludf.DUMMYFUNCTION("vlookup(D2927,IMPORTRANGE(""https://docs.google.com/spreadsheets/d/1swGwZOEqYlTEUCJLY-eeJM1911Kvaei5oySBIxdgtNo/edit?pli=1#gid=257618397"",""stock untanna!B:C""),2,false)"),"BP GEL TIZO 31763F FANCY")</f>
        <v>BP GEL TIZO 31763F FANCY</v>
      </c>
      <c r="F2927" s="49" t="s">
        <v>635</v>
      </c>
      <c r="G2927" s="71" t="s">
        <v>636</v>
      </c>
      <c r="H2927" s="41"/>
      <c r="I2927" s="42"/>
      <c r="J2927" s="43"/>
      <c r="K2927" s="72">
        <v>12.0</v>
      </c>
      <c r="L2927" s="53" t="s">
        <v>62</v>
      </c>
      <c r="M2927" s="73">
        <v>19000.0</v>
      </c>
      <c r="N2927" s="74"/>
      <c r="O2927" s="73">
        <v>228000.0</v>
      </c>
      <c r="P2927" s="46" t="str">
        <f t="shared" si="2"/>
        <v>Rp19,000-12 LSN-0.00%</v>
      </c>
      <c r="Q2927" s="75">
        <v>45419.0</v>
      </c>
      <c r="R2927" s="76"/>
      <c r="S2927" s="75">
        <v>45426.0</v>
      </c>
      <c r="T2927" s="49"/>
    </row>
    <row r="2928">
      <c r="A2928" s="90">
        <v>158.0</v>
      </c>
      <c r="B2928" s="91" t="s">
        <v>29</v>
      </c>
      <c r="C2928" s="49" t="s">
        <v>3043</v>
      </c>
      <c r="D2928" s="91" t="s">
        <v>633</v>
      </c>
      <c r="E2928" s="41" t="str">
        <f>IFERROR(__xludf.DUMMYFUNCTION("vlookup(D2928,IMPORTRANGE(""https://docs.google.com/spreadsheets/d/1swGwZOEqYlTEUCJLY-eeJM1911Kvaei5oySBIxdgtNo/edit?pli=1#gid=257618397"",""stock untanna!B:C""),2,false)"),"BP GEL TIZO 30734F FANCY")</f>
        <v>BP GEL TIZO 30734F FANCY</v>
      </c>
      <c r="F2928" s="49" t="s">
        <v>633</v>
      </c>
      <c r="G2928" s="71" t="s">
        <v>634</v>
      </c>
      <c r="H2928" s="41"/>
      <c r="I2928" s="42"/>
      <c r="J2928" s="43"/>
      <c r="K2928" s="72">
        <v>12.0</v>
      </c>
      <c r="L2928" s="53" t="s">
        <v>62</v>
      </c>
      <c r="M2928" s="73">
        <v>19000.0</v>
      </c>
      <c r="N2928" s="74"/>
      <c r="O2928" s="73">
        <v>228000.0</v>
      </c>
      <c r="P2928" s="46" t="str">
        <f t="shared" si="2"/>
        <v>Rp19,000-12 LSN-0.00%</v>
      </c>
      <c r="Q2928" s="75">
        <v>45419.0</v>
      </c>
      <c r="R2928" s="76"/>
      <c r="S2928" s="75">
        <v>45426.0</v>
      </c>
      <c r="T2928" s="49"/>
    </row>
    <row r="2929">
      <c r="A2929" s="90">
        <v>158.0</v>
      </c>
      <c r="B2929" s="91" t="s">
        <v>29</v>
      </c>
      <c r="C2929" s="49" t="s">
        <v>3043</v>
      </c>
      <c r="D2929" s="91" t="s">
        <v>762</v>
      </c>
      <c r="E2929" s="41" t="str">
        <f>IFERROR(__xludf.DUMMYFUNCTION("vlookup(D2929,IMPORTRANGE(""https://docs.google.com/spreadsheets/d/1swGwZOEqYlTEUCJLY-eeJM1911Kvaei5oySBIxdgtNo/edit?pli=1#gid=257618397"",""stock untanna!B:C""),2,false)"),"BP TIZO TG340 BIRU")</f>
        <v>BP TIZO TG340 BIRU</v>
      </c>
      <c r="F2929" s="49" t="s">
        <v>762</v>
      </c>
      <c r="G2929" s="71" t="s">
        <v>763</v>
      </c>
      <c r="H2929" s="41"/>
      <c r="I2929" s="42"/>
      <c r="J2929" s="43"/>
      <c r="K2929" s="72">
        <v>2.0</v>
      </c>
      <c r="L2929" s="53" t="s">
        <v>62</v>
      </c>
      <c r="M2929" s="73">
        <v>35000.0</v>
      </c>
      <c r="N2929" s="74"/>
      <c r="O2929" s="73">
        <v>70000.0</v>
      </c>
      <c r="P2929" s="46" t="str">
        <f t="shared" si="2"/>
        <v>Rp35,000-2 LSN-0.00%</v>
      </c>
      <c r="Q2929" s="75">
        <v>45419.0</v>
      </c>
      <c r="R2929" s="76"/>
      <c r="S2929" s="75">
        <v>45426.0</v>
      </c>
      <c r="T2929" s="49"/>
    </row>
    <row r="2930">
      <c r="A2930" s="90">
        <v>158.0</v>
      </c>
      <c r="B2930" s="91" t="s">
        <v>29</v>
      </c>
      <c r="C2930" s="49" t="s">
        <v>3043</v>
      </c>
      <c r="D2930" s="91" t="s">
        <v>3044</v>
      </c>
      <c r="E2930" s="41" t="str">
        <f>IFERROR(__xludf.DUMMYFUNCTION("vlookup(D2930,IMPORTRANGE(""https://docs.google.com/spreadsheets/d/1swGwZOEqYlTEUCJLY-eeJM1911Kvaei5oySBIxdgtNo/edit?pli=1#gid=257618397"",""stock untanna!B:C""),2,false)"),"TINTA 20MM (1 LINE)")</f>
        <v>TINTA 20MM (1 LINE)</v>
      </c>
      <c r="F2930" s="49" t="s">
        <v>3044</v>
      </c>
      <c r="G2930" s="71" t="s">
        <v>3045</v>
      </c>
      <c r="H2930" s="41"/>
      <c r="I2930" s="42"/>
      <c r="J2930" s="43"/>
      <c r="K2930" s="72">
        <v>20.0</v>
      </c>
      <c r="L2930" s="53" t="s">
        <v>69</v>
      </c>
      <c r="M2930" s="73">
        <v>5000.0</v>
      </c>
      <c r="N2930" s="83">
        <v>0.1</v>
      </c>
      <c r="O2930" s="73">
        <v>90000.0</v>
      </c>
      <c r="P2930" s="46" t="str">
        <f t="shared" si="2"/>
        <v>Rp5,000-20 PCS-10.00%</v>
      </c>
      <c r="Q2930" s="75">
        <v>45419.0</v>
      </c>
      <c r="R2930" s="76"/>
      <c r="S2930" s="75">
        <v>45426.0</v>
      </c>
      <c r="T2930" s="49"/>
    </row>
    <row r="2931">
      <c r="A2931" s="90">
        <v>158.0</v>
      </c>
      <c r="B2931" s="91" t="s">
        <v>29</v>
      </c>
      <c r="C2931" s="49" t="s">
        <v>3043</v>
      </c>
      <c r="D2931" s="91"/>
      <c r="E2931" s="41" t="s">
        <v>3046</v>
      </c>
      <c r="F2931" s="49"/>
      <c r="G2931" s="71" t="s">
        <v>3046</v>
      </c>
      <c r="H2931" s="41"/>
      <c r="I2931" s="42"/>
      <c r="J2931" s="43"/>
      <c r="K2931" s="72">
        <v>10.0</v>
      </c>
      <c r="L2931" s="53" t="s">
        <v>69</v>
      </c>
      <c r="M2931" s="73">
        <v>5000.0</v>
      </c>
      <c r="N2931" s="83">
        <v>0.1</v>
      </c>
      <c r="O2931" s="73">
        <v>45000.0</v>
      </c>
      <c r="P2931" s="46" t="str">
        <f t="shared" si="2"/>
        <v>Rp5,000-10 PCS-10.00%</v>
      </c>
      <c r="Q2931" s="75">
        <v>45419.0</v>
      </c>
      <c r="R2931" s="76"/>
      <c r="S2931" s="75">
        <v>45426.0</v>
      </c>
      <c r="T2931" s="49"/>
    </row>
    <row r="2932">
      <c r="A2932" s="90">
        <v>158.0</v>
      </c>
      <c r="B2932" s="91" t="s">
        <v>29</v>
      </c>
      <c r="C2932" s="49" t="s">
        <v>3043</v>
      </c>
      <c r="D2932" s="91" t="s">
        <v>31</v>
      </c>
      <c r="E2932" s="41" t="str">
        <f>IFERROR(__xludf.DUMMYFUNCTION("vlookup(D2932,IMPORTRANGE(""https://docs.google.com/spreadsheets/d/1swGwZOEqYlTEUCJLY-eeJM1911Kvaei5oySBIxdgtNo/edit?pli=1#gid=257618397"",""stock untanna!B:C""),2,false)"),"ISI STAPLER 13/8 JOSS")</f>
        <v>ISI STAPLER 13/8 JOSS</v>
      </c>
      <c r="F2932" s="49" t="s">
        <v>31</v>
      </c>
      <c r="G2932" s="71" t="s">
        <v>113</v>
      </c>
      <c r="H2932" s="41"/>
      <c r="I2932" s="42"/>
      <c r="J2932" s="43"/>
      <c r="K2932" s="72">
        <v>50.0</v>
      </c>
      <c r="L2932" s="53" t="s">
        <v>114</v>
      </c>
      <c r="M2932" s="73">
        <v>18500.0</v>
      </c>
      <c r="N2932" s="74"/>
      <c r="O2932" s="73">
        <v>925000.0</v>
      </c>
      <c r="P2932" s="46" t="str">
        <f t="shared" si="2"/>
        <v>Rp18,500-50 PAK-0.00%</v>
      </c>
      <c r="Q2932" s="75">
        <v>45419.0</v>
      </c>
      <c r="R2932" s="76"/>
      <c r="S2932" s="75">
        <v>45426.0</v>
      </c>
      <c r="T2932" s="49"/>
    </row>
    <row r="2933">
      <c r="A2933" s="90">
        <v>4372.0</v>
      </c>
      <c r="B2933" s="91" t="s">
        <v>58</v>
      </c>
      <c r="C2933" s="49" t="s">
        <v>3047</v>
      </c>
      <c r="D2933" s="77" t="s">
        <v>3048</v>
      </c>
      <c r="E2933" s="41" t="str">
        <f>IFERROR(__xludf.DUMMYFUNCTION("vlookup(D2933,IMPORTRANGE(""https://docs.google.com/spreadsheets/d/1swGwZOEqYlTEUCJLY-eeJM1911Kvaei5oySBIxdgtNo/edit?pli=1#gid=257618397"",""stock untanna!B:C""),2,false)"),"#N/A")</f>
        <v>#N/A</v>
      </c>
      <c r="F2933" s="49" t="s">
        <v>755</v>
      </c>
      <c r="G2933" s="71" t="s">
        <v>756</v>
      </c>
      <c r="H2933" s="41"/>
      <c r="I2933" s="42"/>
      <c r="J2933" s="43"/>
      <c r="K2933" s="72">
        <v>166.0</v>
      </c>
      <c r="L2933" s="53" t="s">
        <v>62</v>
      </c>
      <c r="M2933" s="73">
        <v>9000.0</v>
      </c>
      <c r="N2933" s="74"/>
      <c r="O2933" s="73">
        <v>1494000.0</v>
      </c>
      <c r="P2933" s="46" t="str">
        <f t="shared" si="2"/>
        <v>Rp9,000-166 LSN-0.00%</v>
      </c>
      <c r="Q2933" s="75">
        <v>45419.0</v>
      </c>
      <c r="R2933" s="76"/>
      <c r="S2933" s="75">
        <v>45426.0</v>
      </c>
      <c r="T2933" s="49"/>
    </row>
    <row r="2934">
      <c r="A2934" s="90">
        <v>4373.0</v>
      </c>
      <c r="B2934" s="91" t="s">
        <v>58</v>
      </c>
      <c r="C2934" s="80" t="s">
        <v>3049</v>
      </c>
      <c r="D2934" s="91" t="s">
        <v>419</v>
      </c>
      <c r="E2934" s="41" t="str">
        <f>IFERROR(__xludf.DUMMYFUNCTION("vlookup(D2934,IMPORTRANGE(""https://docs.google.com/spreadsheets/d/1swGwZOEqYlTEUCJLY-eeJM1911Kvaei5oySBIxdgtNo/edit?pli=1#gid=257618397"",""stock untanna!B:C""),2,false)"),"BP GEL ZUI XUA HY-1020 HITAM")</f>
        <v>BP GEL ZUI XUA HY-1020 HITAM</v>
      </c>
      <c r="F2934" s="49" t="s">
        <v>419</v>
      </c>
      <c r="G2934" s="71" t="s">
        <v>420</v>
      </c>
      <c r="H2934" s="41"/>
      <c r="I2934" s="42"/>
      <c r="J2934" s="43"/>
      <c r="K2934" s="72">
        <v>384.0</v>
      </c>
      <c r="L2934" s="53" t="s">
        <v>62</v>
      </c>
      <c r="M2934" s="73">
        <v>11000.0</v>
      </c>
      <c r="N2934" s="74"/>
      <c r="O2934" s="73">
        <v>4224000.0</v>
      </c>
      <c r="P2934" s="46" t="str">
        <f t="shared" si="2"/>
        <v>Rp11,000-384 LSN-0.00%</v>
      </c>
      <c r="Q2934" s="75">
        <v>45419.0</v>
      </c>
      <c r="R2934" s="76"/>
      <c r="S2934" s="75">
        <v>45426.0</v>
      </c>
      <c r="T2934" s="49"/>
    </row>
    <row r="2935">
      <c r="A2935" s="90">
        <v>4264.0</v>
      </c>
      <c r="B2935" s="91" t="s">
        <v>65</v>
      </c>
      <c r="C2935" s="49" t="s">
        <v>3050</v>
      </c>
      <c r="D2935" s="91" t="s">
        <v>623</v>
      </c>
      <c r="E2935" s="41" t="str">
        <f>IFERROR(__xludf.DUMMYFUNCTION("vlookup(D2935,IMPORTRANGE(""https://docs.google.com/spreadsheets/d/1swGwZOEqYlTEUCJLY-eeJM1911Kvaei5oySBIxdgtNo/edit?pli=1#gid=257618397"",""stock untanna!B:C""),2,false)"),"BP GEL TF-1190 0.3MM HIGHTECH (H)")</f>
        <v>BP GEL TF-1190 0.3MM HIGHTECH (H)</v>
      </c>
      <c r="F2935" s="49" t="s">
        <v>623</v>
      </c>
      <c r="G2935" s="71" t="s">
        <v>624</v>
      </c>
      <c r="H2935" s="41"/>
      <c r="I2935" s="42"/>
      <c r="J2935" s="43"/>
      <c r="K2935" s="72">
        <v>288.0</v>
      </c>
      <c r="L2935" s="53" t="s">
        <v>62</v>
      </c>
      <c r="M2935" s="73">
        <v>28500.0</v>
      </c>
      <c r="N2935" s="74"/>
      <c r="O2935" s="73">
        <v>8208000.0</v>
      </c>
      <c r="P2935" s="46" t="str">
        <f t="shared" si="2"/>
        <v>Rp28,500-288 LSN-0.00%</v>
      </c>
      <c r="Q2935" s="75">
        <v>45419.0</v>
      </c>
      <c r="R2935" s="76"/>
      <c r="S2935" s="75">
        <v>45426.0</v>
      </c>
      <c r="T2935" s="49"/>
    </row>
    <row r="2936">
      <c r="A2936" s="90">
        <v>109.0</v>
      </c>
      <c r="B2936" s="91" t="s">
        <v>65</v>
      </c>
      <c r="C2936" s="49" t="s">
        <v>2588</v>
      </c>
      <c r="D2936" s="91" t="s">
        <v>2725</v>
      </c>
      <c r="E2936" s="41" t="str">
        <f>IFERROR(__xludf.DUMMYFUNCTION("vlookup(D2936,IMPORTRANGE(""https://docs.google.com/spreadsheets/d/1swGwZOEqYlTEUCJLY-eeJM1911Kvaei5oySBIxdgtNo/edit?pli=1#gid=257618397"",""stock untanna!B:C""),2,false)"),"GARISAN SET ACRYLIC 20CM GR-180455")</f>
        <v>GARISAN SET ACRYLIC 20CM GR-180455</v>
      </c>
      <c r="F2936" s="49" t="s">
        <v>2725</v>
      </c>
      <c r="G2936" s="71" t="s">
        <v>2726</v>
      </c>
      <c r="H2936" s="41"/>
      <c r="I2936" s="42"/>
      <c r="J2936" s="43"/>
      <c r="K2936" s="72">
        <v>60.0</v>
      </c>
      <c r="L2936" s="53" t="s">
        <v>84</v>
      </c>
      <c r="M2936" s="73">
        <v>13000.0</v>
      </c>
      <c r="N2936" s="83">
        <v>0.1</v>
      </c>
      <c r="O2936" s="73">
        <v>702000.0</v>
      </c>
      <c r="P2936" s="46" t="str">
        <f t="shared" si="2"/>
        <v>Rp13,000-60 SET-10.00%</v>
      </c>
      <c r="Q2936" s="75">
        <v>45419.0</v>
      </c>
      <c r="R2936" s="76"/>
      <c r="S2936" s="75">
        <v>45426.0</v>
      </c>
      <c r="T2936" s="49"/>
    </row>
    <row r="2937">
      <c r="A2937" s="90">
        <v>109.0</v>
      </c>
      <c r="B2937" s="91" t="s">
        <v>65</v>
      </c>
      <c r="C2937" s="49" t="s">
        <v>2588</v>
      </c>
      <c r="D2937" s="91" t="s">
        <v>2723</v>
      </c>
      <c r="E2937" s="41" t="str">
        <f>IFERROR(__xludf.DUMMYFUNCTION("vlookup(D2937,IMPORTRANGE(""https://docs.google.com/spreadsheets/d/1swGwZOEqYlTEUCJLY-eeJM1911Kvaei5oySBIxdgtNo/edit?pli=1#gid=257618397"",""stock untanna!B:C""),2,false)"),"GARISAN SET ACRYLIC 30CM GR-180456")</f>
        <v>GARISAN SET ACRYLIC 30CM GR-180456</v>
      </c>
      <c r="F2937" s="49" t="s">
        <v>2723</v>
      </c>
      <c r="G2937" s="71" t="s">
        <v>2724</v>
      </c>
      <c r="H2937" s="41"/>
      <c r="I2937" s="42"/>
      <c r="J2937" s="43"/>
      <c r="K2937" s="72">
        <v>60.0</v>
      </c>
      <c r="L2937" s="53" t="s">
        <v>84</v>
      </c>
      <c r="M2937" s="73">
        <v>16500.0</v>
      </c>
      <c r="N2937" s="83">
        <v>0.1</v>
      </c>
      <c r="O2937" s="73">
        <v>891000.0</v>
      </c>
      <c r="P2937" s="46" t="str">
        <f t="shared" si="2"/>
        <v>Rp16,500-60 SET-10.00%</v>
      </c>
      <c r="Q2937" s="75">
        <v>45419.0</v>
      </c>
      <c r="R2937" s="76"/>
      <c r="S2937" s="75">
        <v>45426.0</v>
      </c>
      <c r="T2937" s="49"/>
    </row>
    <row r="2938">
      <c r="A2938" s="90">
        <v>109.0</v>
      </c>
      <c r="B2938" s="91" t="s">
        <v>65</v>
      </c>
      <c r="C2938" s="49" t="s">
        <v>2588</v>
      </c>
      <c r="D2938" s="91" t="s">
        <v>2241</v>
      </c>
      <c r="E2938" s="41" t="str">
        <f>IFERROR(__xludf.DUMMYFUNCTION("vlookup(D2938,IMPORTRANGE(""https://docs.google.com/spreadsheets/d/1swGwZOEqYlTEUCJLY-eeJM1911Kvaei5oySBIxdgtNo/edit?pli=1#gid=257618397"",""stock untanna!B:C""),2,false)"),"DIARY CK64-6031 HAHA (112LBR)")</f>
        <v>DIARY CK64-6031 HAHA (112LBR)</v>
      </c>
      <c r="F2938" s="49" t="s">
        <v>2241</v>
      </c>
      <c r="G2938" s="71" t="s">
        <v>2242</v>
      </c>
      <c r="H2938" s="41"/>
      <c r="I2938" s="42"/>
      <c r="J2938" s="43"/>
      <c r="K2938" s="72">
        <v>60.0</v>
      </c>
      <c r="L2938" s="53" t="s">
        <v>69</v>
      </c>
      <c r="M2938" s="73">
        <v>15000.0</v>
      </c>
      <c r="N2938" s="74"/>
      <c r="O2938" s="73">
        <v>900000.0</v>
      </c>
      <c r="P2938" s="46" t="str">
        <f t="shared" si="2"/>
        <v>Rp15,000-60 PCS-0.00%</v>
      </c>
      <c r="Q2938" s="75">
        <v>45419.0</v>
      </c>
      <c r="R2938" s="76"/>
      <c r="S2938" s="75">
        <v>45426.0</v>
      </c>
      <c r="T2938" s="49"/>
    </row>
    <row r="2939">
      <c r="A2939" s="90">
        <v>109.0</v>
      </c>
      <c r="B2939" s="91" t="s">
        <v>65</v>
      </c>
      <c r="C2939" s="49" t="s">
        <v>2588</v>
      </c>
      <c r="D2939" s="91"/>
      <c r="E2939" s="41" t="s">
        <v>3051</v>
      </c>
      <c r="F2939" s="49"/>
      <c r="G2939" s="71" t="s">
        <v>3051</v>
      </c>
      <c r="H2939" s="41"/>
      <c r="I2939" s="42"/>
      <c r="J2939" s="43"/>
      <c r="K2939" s="72">
        <v>12.0</v>
      </c>
      <c r="L2939" s="53" t="s">
        <v>69</v>
      </c>
      <c r="M2939" s="73">
        <v>16500.0</v>
      </c>
      <c r="N2939" s="74"/>
      <c r="O2939" s="73">
        <v>198000.0</v>
      </c>
      <c r="P2939" s="46" t="str">
        <f t="shared" si="2"/>
        <v>Rp16,500-12 PCS-0.00%</v>
      </c>
      <c r="Q2939" s="75">
        <v>45419.0</v>
      </c>
      <c r="R2939" s="76"/>
      <c r="S2939" s="75">
        <v>45426.0</v>
      </c>
      <c r="T2939" s="49"/>
    </row>
    <row r="2940">
      <c r="A2940" s="90">
        <v>159.0</v>
      </c>
      <c r="B2940" s="91" t="s">
        <v>29</v>
      </c>
      <c r="C2940" s="80" t="s">
        <v>115</v>
      </c>
      <c r="D2940" s="91" t="s">
        <v>31</v>
      </c>
      <c r="E2940" s="41" t="str">
        <f>IFERROR(__xludf.DUMMYFUNCTION("vlookup(D2940,IMPORTRANGE(""https://docs.google.com/spreadsheets/d/1swGwZOEqYlTEUCJLY-eeJM1911Kvaei5oySBIxdgtNo/edit?pli=1#gid=257618397"",""stock untanna!B:C""),2,false)"),"ISI STAPLER 13/8 JOSS")</f>
        <v>ISI STAPLER 13/8 JOSS</v>
      </c>
      <c r="F2940" s="49" t="s">
        <v>31</v>
      </c>
      <c r="G2940" s="71" t="s">
        <v>113</v>
      </c>
      <c r="H2940" s="41"/>
      <c r="I2940" s="42"/>
      <c r="J2940" s="43"/>
      <c r="K2940" s="72">
        <v>50.0</v>
      </c>
      <c r="L2940" s="53" t="s">
        <v>114</v>
      </c>
      <c r="M2940" s="73">
        <v>18500.0</v>
      </c>
      <c r="N2940" s="74"/>
      <c r="O2940" s="73">
        <v>925000.0</v>
      </c>
      <c r="P2940" s="46" t="str">
        <f t="shared" si="2"/>
        <v>Rp18,500-50 PAK-0.00%</v>
      </c>
      <c r="Q2940" s="75">
        <v>45419.0</v>
      </c>
      <c r="R2940" s="76"/>
      <c r="S2940" s="75">
        <v>45426.0</v>
      </c>
      <c r="T2940" s="49"/>
    </row>
    <row r="2941">
      <c r="A2941" s="90">
        <v>159.0</v>
      </c>
      <c r="B2941" s="91" t="s">
        <v>29</v>
      </c>
      <c r="C2941" s="80" t="s">
        <v>115</v>
      </c>
      <c r="D2941" s="91" t="s">
        <v>2716</v>
      </c>
      <c r="E2941" s="41" t="str">
        <f>IFERROR(__xludf.DUMMYFUNCTION("vlookup(D2941,IMPORTRANGE(""https://docs.google.com/spreadsheets/d/1swGwZOEqYlTEUCJLY-eeJM1911Kvaei5oySBIxdgtNo/edit?pli=1#gid=257618397"",""stock untanna!B:C""),2,false)"),"STAPLER (GUN TACKER) 1008F JOSS")</f>
        <v>STAPLER (GUN TACKER) 1008F JOSS</v>
      </c>
      <c r="F2941" s="49" t="s">
        <v>2716</v>
      </c>
      <c r="G2941" s="71" t="s">
        <v>2717</v>
      </c>
      <c r="H2941" s="41"/>
      <c r="I2941" s="42"/>
      <c r="J2941" s="43"/>
      <c r="K2941" s="72">
        <v>6.0</v>
      </c>
      <c r="L2941" s="53" t="s">
        <v>69</v>
      </c>
      <c r="M2941" s="73">
        <v>65000.0</v>
      </c>
      <c r="N2941" s="74"/>
      <c r="O2941" s="73">
        <v>390000.0</v>
      </c>
      <c r="P2941" s="46" t="str">
        <f t="shared" si="2"/>
        <v>Rp65,000-6 PCS-0.00%</v>
      </c>
      <c r="Q2941" s="75">
        <v>45419.0</v>
      </c>
      <c r="R2941" s="76"/>
      <c r="S2941" s="75">
        <v>45426.0</v>
      </c>
      <c r="T2941" s="49"/>
    </row>
    <row r="2942">
      <c r="A2942" s="90">
        <v>159.0</v>
      </c>
      <c r="B2942" s="91" t="s">
        <v>29</v>
      </c>
      <c r="C2942" s="80" t="s">
        <v>115</v>
      </c>
      <c r="D2942" s="91" t="s">
        <v>2216</v>
      </c>
      <c r="E2942" s="41" t="str">
        <f>IFERROR(__xludf.DUMMYFUNCTION("vlookup(D2942,IMPORTRANGE(""https://docs.google.com/spreadsheets/d/1swGwZOEqYlTEUCJLY-eeJM1911Kvaei5oySBIxdgtNo/edit?pli=1#gid=257618397"",""stock untanna!B:C""),2,false)"),"ISI GEL TIZO TG 308-AR")</f>
        <v>ISI GEL TIZO TG 308-AR</v>
      </c>
      <c r="F2942" s="49" t="s">
        <v>2216</v>
      </c>
      <c r="G2942" s="71" t="s">
        <v>2217</v>
      </c>
      <c r="H2942" s="41"/>
      <c r="I2942" s="42"/>
      <c r="J2942" s="43"/>
      <c r="K2942" s="72">
        <v>3.0</v>
      </c>
      <c r="L2942" s="53" t="s">
        <v>114</v>
      </c>
      <c r="M2942" s="73">
        <v>25000.0</v>
      </c>
      <c r="N2942" s="74"/>
      <c r="O2942" s="73">
        <v>75000.0</v>
      </c>
      <c r="P2942" s="46" t="str">
        <f t="shared" si="2"/>
        <v>Rp25,000-3 PAK-0.00%</v>
      </c>
      <c r="Q2942" s="75">
        <v>45419.0</v>
      </c>
      <c r="R2942" s="76"/>
      <c r="S2942" s="75">
        <v>45426.0</v>
      </c>
      <c r="T2942" s="49"/>
    </row>
    <row r="2943">
      <c r="A2943" s="90">
        <v>159.0</v>
      </c>
      <c r="B2943" s="91" t="s">
        <v>29</v>
      </c>
      <c r="C2943" s="80" t="s">
        <v>115</v>
      </c>
      <c r="D2943" s="91" t="s">
        <v>762</v>
      </c>
      <c r="E2943" s="41" t="str">
        <f>IFERROR(__xludf.DUMMYFUNCTION("vlookup(D2943,IMPORTRANGE(""https://docs.google.com/spreadsheets/d/1swGwZOEqYlTEUCJLY-eeJM1911Kvaei5oySBIxdgtNo/edit?pli=1#gid=257618397"",""stock untanna!B:C""),2,false)"),"BP TIZO TG340 BIRU")</f>
        <v>BP TIZO TG340 BIRU</v>
      </c>
      <c r="F2943" s="49" t="s">
        <v>762</v>
      </c>
      <c r="G2943" s="71" t="s">
        <v>763</v>
      </c>
      <c r="H2943" s="41"/>
      <c r="I2943" s="42"/>
      <c r="J2943" s="43"/>
      <c r="K2943" s="72">
        <v>5.0</v>
      </c>
      <c r="L2943" s="53" t="s">
        <v>62</v>
      </c>
      <c r="M2943" s="73">
        <v>35000.0</v>
      </c>
      <c r="N2943" s="74"/>
      <c r="O2943" s="73">
        <v>175000.0</v>
      </c>
      <c r="P2943" s="46" t="str">
        <f t="shared" si="2"/>
        <v>Rp35,000-5 LSN-0.00%</v>
      </c>
      <c r="Q2943" s="75">
        <v>45419.0</v>
      </c>
      <c r="R2943" s="76"/>
      <c r="S2943" s="75">
        <v>45426.0</v>
      </c>
      <c r="T2943" s="49"/>
    </row>
    <row r="2944">
      <c r="A2944" s="90">
        <v>1540.0</v>
      </c>
      <c r="B2944" s="91" t="s">
        <v>29</v>
      </c>
      <c r="C2944" s="49" t="s">
        <v>34</v>
      </c>
      <c r="D2944" s="91" t="s">
        <v>623</v>
      </c>
      <c r="E2944" s="41" t="str">
        <f>IFERROR(__xludf.DUMMYFUNCTION("vlookup(D2944,IMPORTRANGE(""https://docs.google.com/spreadsheets/d/1swGwZOEqYlTEUCJLY-eeJM1911Kvaei5oySBIxdgtNo/edit?pli=1#gid=257618397"",""stock untanna!B:C""),2,false)"),"BP GEL TF-1190 0.3MM HIGHTECH (H)")</f>
        <v>BP GEL TF-1190 0.3MM HIGHTECH (H)</v>
      </c>
      <c r="F2944" s="49" t="s">
        <v>623</v>
      </c>
      <c r="G2944" s="71" t="s">
        <v>624</v>
      </c>
      <c r="H2944" s="41"/>
      <c r="I2944" s="42"/>
      <c r="J2944" s="43"/>
      <c r="K2944" s="72">
        <v>144.0</v>
      </c>
      <c r="L2944" s="53" t="s">
        <v>62</v>
      </c>
      <c r="M2944" s="73">
        <v>28500.0</v>
      </c>
      <c r="N2944" s="74"/>
      <c r="O2944" s="73">
        <v>4104000.0</v>
      </c>
      <c r="P2944" s="46" t="str">
        <f t="shared" si="2"/>
        <v>Rp28,500-144 LSN-0.00%</v>
      </c>
      <c r="Q2944" s="75">
        <v>45419.0</v>
      </c>
      <c r="R2944" s="76"/>
      <c r="S2944" s="75">
        <v>45426.0</v>
      </c>
      <c r="T2944" s="49"/>
    </row>
    <row r="2945">
      <c r="A2945" s="90">
        <v>85.0</v>
      </c>
      <c r="B2945" s="91" t="s">
        <v>29</v>
      </c>
      <c r="C2945" s="80" t="s">
        <v>3052</v>
      </c>
      <c r="D2945" s="91" t="s">
        <v>2954</v>
      </c>
      <c r="E2945" s="41" t="str">
        <f>IFERROR(__xludf.DUMMYFUNCTION("vlookup(D2945,IMPORTRANGE(""https://docs.google.com/spreadsheets/d/1swGwZOEqYlTEUCJLY-eeJM1911Kvaei5oySBIxdgtNo/edit?pli=1#gid=257618397"",""stock untanna!B:C""),2,false)"),"PENSIL CASE SH-8705")</f>
        <v>PENSIL CASE SH-8705</v>
      </c>
      <c r="F2945" s="49" t="s">
        <v>2954</v>
      </c>
      <c r="G2945" s="71" t="s">
        <v>2955</v>
      </c>
      <c r="H2945" s="41"/>
      <c r="I2945" s="42"/>
      <c r="J2945" s="43"/>
      <c r="K2945" s="72">
        <v>12.0</v>
      </c>
      <c r="L2945" s="53" t="s">
        <v>69</v>
      </c>
      <c r="M2945" s="73">
        <v>25000.0</v>
      </c>
      <c r="N2945" s="74"/>
      <c r="O2945" s="73">
        <v>300000.0</v>
      </c>
      <c r="P2945" s="46" t="str">
        <f t="shared" si="2"/>
        <v>Rp25,000-12 PCS-0.00%</v>
      </c>
      <c r="Q2945" s="75">
        <v>45420.0</v>
      </c>
      <c r="R2945" s="76"/>
      <c r="S2945" s="75">
        <v>45426.0</v>
      </c>
      <c r="T2945" s="49"/>
    </row>
    <row r="2946">
      <c r="A2946" s="90">
        <v>85.0</v>
      </c>
      <c r="B2946" s="91" t="s">
        <v>29</v>
      </c>
      <c r="C2946" s="80" t="s">
        <v>3052</v>
      </c>
      <c r="D2946" s="91" t="s">
        <v>573</v>
      </c>
      <c r="E2946" s="41" t="str">
        <f>IFERROR(__xludf.DUMMYFUNCTION("vlookup(D2946,IMPORTRANGE(""https://docs.google.com/spreadsheets/d/1swGwZOEqYlTEUCJLY-eeJM1911Kvaei5oySBIxdgtNo/edit?pli=1#gid=257618397"",""stock untanna!B:C""),2,false)"),"PENSIL CASE 5870")</f>
        <v>PENSIL CASE 5870</v>
      </c>
      <c r="F2946" s="49" t="s">
        <v>573</v>
      </c>
      <c r="G2946" s="71" t="s">
        <v>574</v>
      </c>
      <c r="H2946" s="41"/>
      <c r="I2946" s="42"/>
      <c r="J2946" s="43"/>
      <c r="K2946" s="72">
        <v>12.0</v>
      </c>
      <c r="L2946" s="53" t="s">
        <v>69</v>
      </c>
      <c r="M2946" s="73">
        <v>25000.0</v>
      </c>
      <c r="N2946" s="74"/>
      <c r="O2946" s="73">
        <v>300000.0</v>
      </c>
      <c r="P2946" s="46" t="str">
        <f t="shared" si="2"/>
        <v>Rp25,000-12 PCS-0.00%</v>
      </c>
      <c r="Q2946" s="75">
        <v>45420.0</v>
      </c>
      <c r="R2946" s="76"/>
      <c r="S2946" s="75">
        <v>45426.0</v>
      </c>
      <c r="T2946" s="49"/>
    </row>
    <row r="2947">
      <c r="A2947" s="90">
        <v>85.0</v>
      </c>
      <c r="B2947" s="91" t="s">
        <v>29</v>
      </c>
      <c r="C2947" s="80" t="s">
        <v>3052</v>
      </c>
      <c r="D2947" s="91" t="s">
        <v>3053</v>
      </c>
      <c r="E2947" s="41" t="str">
        <f>IFERROR(__xludf.DUMMYFUNCTION("vlookup(D2947,IMPORTRANGE(""https://docs.google.com/spreadsheets/d/1swGwZOEqYlTEUCJLY-eeJM1911Kvaei5oySBIxdgtNo/edit?pli=1#gid=257618397"",""stock untanna!B:C""),2,false)"),"PENCIL CASE XLG BD814")</f>
        <v>PENCIL CASE XLG BD814</v>
      </c>
      <c r="F2947" s="49" t="s">
        <v>3053</v>
      </c>
      <c r="G2947" s="71" t="s">
        <v>3054</v>
      </c>
      <c r="H2947" s="41"/>
      <c r="I2947" s="42"/>
      <c r="J2947" s="43"/>
      <c r="K2947" s="72">
        <v>12.0</v>
      </c>
      <c r="L2947" s="53" t="s">
        <v>69</v>
      </c>
      <c r="M2947" s="73">
        <v>27083.0</v>
      </c>
      <c r="N2947" s="74"/>
      <c r="O2947" s="73">
        <v>324996.0</v>
      </c>
      <c r="P2947" s="46" t="str">
        <f t="shared" si="2"/>
        <v>Rp27,083-12 PCS-0.00%</v>
      </c>
      <c r="Q2947" s="75">
        <v>45420.0</v>
      </c>
      <c r="R2947" s="76"/>
      <c r="S2947" s="75">
        <v>45426.0</v>
      </c>
      <c r="T2947" s="49"/>
    </row>
    <row r="2948">
      <c r="A2948" s="90">
        <v>85.0</v>
      </c>
      <c r="B2948" s="91" t="s">
        <v>29</v>
      </c>
      <c r="C2948" s="80" t="s">
        <v>3052</v>
      </c>
      <c r="D2948" s="91" t="s">
        <v>1100</v>
      </c>
      <c r="E2948" s="41" t="str">
        <f>IFERROR(__xludf.DUMMYFUNCTION("vlookup(D2948,IMPORTRANGE(""https://docs.google.com/spreadsheets/d/1swGwZOEqYlTEUCJLY-eeJM1911Kvaei5oySBIxdgtNo/edit?pli=1#gid=257618397"",""stock untanna!B:C""),2,false)"),"PENCIL CASE XLG BD838")</f>
        <v>PENCIL CASE XLG BD838</v>
      </c>
      <c r="F2948" s="49" t="s">
        <v>1100</v>
      </c>
      <c r="G2948" s="71" t="s">
        <v>1101</v>
      </c>
      <c r="H2948" s="41"/>
      <c r="I2948" s="42"/>
      <c r="J2948" s="43"/>
      <c r="K2948" s="72">
        <v>12.0</v>
      </c>
      <c r="L2948" s="53" t="s">
        <v>69</v>
      </c>
      <c r="M2948" s="73">
        <v>27083.0</v>
      </c>
      <c r="N2948" s="74"/>
      <c r="O2948" s="73">
        <v>324996.0</v>
      </c>
      <c r="P2948" s="46" t="str">
        <f t="shared" si="2"/>
        <v>Rp27,083-12 PCS-0.00%</v>
      </c>
      <c r="Q2948" s="75">
        <v>45420.0</v>
      </c>
      <c r="R2948" s="76"/>
      <c r="S2948" s="75">
        <v>45426.0</v>
      </c>
      <c r="T2948" s="49"/>
    </row>
    <row r="2949">
      <c r="A2949" s="90">
        <v>85.0</v>
      </c>
      <c r="B2949" s="91" t="s">
        <v>29</v>
      </c>
      <c r="C2949" s="80" t="s">
        <v>3052</v>
      </c>
      <c r="D2949" s="91" t="s">
        <v>3055</v>
      </c>
      <c r="E2949" s="41" t="str">
        <f>IFERROR(__xludf.DUMMYFUNCTION("vlookup(D2949,IMPORTRANGE(""https://docs.google.com/spreadsheets/d/1swGwZOEqYlTEUCJLY-eeJM1911Kvaei5oySBIxdgtNo/edit?pli=1#gid=257618397"",""stock untanna!B:C""),2,false)"),"PENSIL CASE A-777 + CAL")</f>
        <v>PENSIL CASE A-777 + CAL</v>
      </c>
      <c r="F2949" s="49" t="s">
        <v>3055</v>
      </c>
      <c r="G2949" s="71" t="s">
        <v>3056</v>
      </c>
      <c r="H2949" s="41"/>
      <c r="I2949" s="42"/>
      <c r="J2949" s="43"/>
      <c r="K2949" s="72">
        <v>12.0</v>
      </c>
      <c r="L2949" s="53" t="s">
        <v>69</v>
      </c>
      <c r="M2949" s="73">
        <v>16667.0</v>
      </c>
      <c r="N2949" s="74"/>
      <c r="O2949" s="73">
        <v>200004.0</v>
      </c>
      <c r="P2949" s="46" t="str">
        <f t="shared" si="2"/>
        <v>Rp16,667-12 PCS-0.00%</v>
      </c>
      <c r="Q2949" s="75">
        <v>45420.0</v>
      </c>
      <c r="R2949" s="76"/>
      <c r="S2949" s="75">
        <v>45426.0</v>
      </c>
      <c r="T2949" s="49"/>
    </row>
    <row r="2950">
      <c r="A2950" s="90">
        <v>85.0</v>
      </c>
      <c r="B2950" s="91" t="s">
        <v>29</v>
      </c>
      <c r="C2950" s="80" t="s">
        <v>3052</v>
      </c>
      <c r="D2950" s="91"/>
      <c r="E2950" s="41" t="s">
        <v>3057</v>
      </c>
      <c r="F2950" s="49"/>
      <c r="G2950" s="71" t="s">
        <v>3057</v>
      </c>
      <c r="H2950" s="41"/>
      <c r="I2950" s="42"/>
      <c r="J2950" s="43"/>
      <c r="K2950" s="72">
        <v>1.0</v>
      </c>
      <c r="L2950" s="53" t="s">
        <v>62</v>
      </c>
      <c r="M2950" s="73">
        <v>120000.0</v>
      </c>
      <c r="N2950" s="74"/>
      <c r="O2950" s="73">
        <v>120000.0</v>
      </c>
      <c r="P2950" s="46" t="str">
        <f t="shared" si="2"/>
        <v>Rp120,000-1 LSN-0.00%</v>
      </c>
      <c r="Q2950" s="75">
        <v>45420.0</v>
      </c>
      <c r="R2950" s="76"/>
      <c r="S2950" s="75">
        <v>45426.0</v>
      </c>
      <c r="T2950" s="80" t="s">
        <v>280</v>
      </c>
    </row>
    <row r="2951">
      <c r="A2951" s="90">
        <v>85.0</v>
      </c>
      <c r="B2951" s="91" t="s">
        <v>29</v>
      </c>
      <c r="C2951" s="80" t="s">
        <v>3052</v>
      </c>
      <c r="D2951" s="91" t="s">
        <v>568</v>
      </c>
      <c r="E2951" s="41" t="str">
        <f>IFERROR(__xludf.DUMMYFUNCTION("vlookup(D2951,IMPORTRANGE(""https://docs.google.com/spreadsheets/d/1swGwZOEqYlTEUCJLY-eeJM1911Kvaei5oySBIxdgtNo/edit?pli=1#gid=257618397"",""stock untanna!B:C""),2,false)"),"PENSIL CASE SH-8704")</f>
        <v>PENSIL CASE SH-8704</v>
      </c>
      <c r="F2951" s="49" t="s">
        <v>568</v>
      </c>
      <c r="G2951" s="71" t="s">
        <v>569</v>
      </c>
      <c r="H2951" s="41"/>
      <c r="I2951" s="42"/>
      <c r="J2951" s="43"/>
      <c r="K2951" s="72">
        <v>12.0</v>
      </c>
      <c r="L2951" s="53" t="s">
        <v>69</v>
      </c>
      <c r="M2951" s="73">
        <v>25000.0</v>
      </c>
      <c r="N2951" s="74"/>
      <c r="O2951" s="73">
        <v>300000.0</v>
      </c>
      <c r="P2951" s="46" t="str">
        <f t="shared" si="2"/>
        <v>Rp25,000-12 PCS-0.00%</v>
      </c>
      <c r="Q2951" s="75">
        <v>45420.0</v>
      </c>
      <c r="R2951" s="76"/>
      <c r="S2951" s="75">
        <v>45426.0</v>
      </c>
      <c r="T2951" s="49"/>
    </row>
    <row r="2952">
      <c r="A2952" s="90">
        <v>85.0</v>
      </c>
      <c r="B2952" s="91" t="s">
        <v>29</v>
      </c>
      <c r="C2952" s="80" t="s">
        <v>3052</v>
      </c>
      <c r="D2952" s="91" t="s">
        <v>1111</v>
      </c>
      <c r="E2952" s="41" t="str">
        <f>IFERROR(__xludf.DUMMYFUNCTION("vlookup(D2952,IMPORTRANGE(""https://docs.google.com/spreadsheets/d/1swGwZOEqYlTEUCJLY-eeJM1911Kvaei5oySBIxdgtNo/edit?pli=1#gid=257618397"",""stock untanna!B:C""),2,false)"),"PENSIL CASE SH-16")</f>
        <v>PENSIL CASE SH-16</v>
      </c>
      <c r="F2952" s="49" t="s">
        <v>1111</v>
      </c>
      <c r="G2952" s="71" t="s">
        <v>1112</v>
      </c>
      <c r="H2952" s="41"/>
      <c r="I2952" s="42"/>
      <c r="J2952" s="43"/>
      <c r="K2952" s="72">
        <v>12.0</v>
      </c>
      <c r="L2952" s="53" t="s">
        <v>69</v>
      </c>
      <c r="M2952" s="73">
        <v>12500.0</v>
      </c>
      <c r="N2952" s="74"/>
      <c r="O2952" s="73">
        <v>150000.0</v>
      </c>
      <c r="P2952" s="46" t="str">
        <f t="shared" si="2"/>
        <v>Rp12,500-12 PCS-0.00%</v>
      </c>
      <c r="Q2952" s="75">
        <v>45420.0</v>
      </c>
      <c r="R2952" s="76"/>
      <c r="S2952" s="75">
        <v>45426.0</v>
      </c>
      <c r="T2952" s="49"/>
    </row>
    <row r="2953">
      <c r="A2953" s="90">
        <v>85.0</v>
      </c>
      <c r="B2953" s="91" t="s">
        <v>29</v>
      </c>
      <c r="C2953" s="80" t="s">
        <v>3052</v>
      </c>
      <c r="D2953" s="91" t="s">
        <v>1109</v>
      </c>
      <c r="E2953" s="41" t="str">
        <f>IFERROR(__xludf.DUMMYFUNCTION("vlookup(D2953,IMPORTRANGE(""https://docs.google.com/spreadsheets/d/1swGwZOEqYlTEUCJLY-eeJM1911Kvaei5oySBIxdgtNo/edit?pli=1#gid=257618397"",""stock untanna!B:C""),2,false)"),"PENSIL CASE SH-15")</f>
        <v>PENSIL CASE SH-15</v>
      </c>
      <c r="F2953" s="49" t="s">
        <v>1109</v>
      </c>
      <c r="G2953" s="71" t="s">
        <v>1110</v>
      </c>
      <c r="H2953" s="41"/>
      <c r="I2953" s="42"/>
      <c r="J2953" s="43"/>
      <c r="K2953" s="72">
        <v>12.0</v>
      </c>
      <c r="L2953" s="53" t="s">
        <v>69</v>
      </c>
      <c r="M2953" s="73">
        <v>12500.0</v>
      </c>
      <c r="N2953" s="74"/>
      <c r="O2953" s="73">
        <v>150000.0</v>
      </c>
      <c r="P2953" s="46" t="str">
        <f t="shared" si="2"/>
        <v>Rp12,500-12 PCS-0.00%</v>
      </c>
      <c r="Q2953" s="75">
        <v>45420.0</v>
      </c>
      <c r="R2953" s="76"/>
      <c r="S2953" s="75">
        <v>45426.0</v>
      </c>
      <c r="T2953" s="49"/>
    </row>
    <row r="2954">
      <c r="A2954" s="90">
        <v>85.0</v>
      </c>
      <c r="B2954" s="91" t="s">
        <v>29</v>
      </c>
      <c r="C2954" s="80" t="s">
        <v>3052</v>
      </c>
      <c r="D2954" s="91"/>
      <c r="E2954" s="41" t="s">
        <v>3058</v>
      </c>
      <c r="F2954" s="49"/>
      <c r="G2954" s="71" t="s">
        <v>3058</v>
      </c>
      <c r="H2954" s="41"/>
      <c r="I2954" s="42"/>
      <c r="J2954" s="43"/>
      <c r="K2954" s="72">
        <v>1.0</v>
      </c>
      <c r="L2954" s="53" t="s">
        <v>62</v>
      </c>
      <c r="M2954" s="73">
        <v>150000.0</v>
      </c>
      <c r="N2954" s="74"/>
      <c r="O2954" s="73">
        <v>150000.0</v>
      </c>
      <c r="P2954" s="46" t="str">
        <f t="shared" si="2"/>
        <v>Rp150,000-1 LSN-0.00%</v>
      </c>
      <c r="Q2954" s="75">
        <v>45420.0</v>
      </c>
      <c r="R2954" s="76"/>
      <c r="S2954" s="75">
        <v>45426.0</v>
      </c>
      <c r="T2954" s="49"/>
    </row>
    <row r="2955">
      <c r="A2955" s="90">
        <v>85.0</v>
      </c>
      <c r="B2955" s="91" t="s">
        <v>29</v>
      </c>
      <c r="C2955" s="80" t="s">
        <v>3052</v>
      </c>
      <c r="D2955" s="91" t="s">
        <v>1104</v>
      </c>
      <c r="E2955" s="41" t="str">
        <f>IFERROR(__xludf.DUMMYFUNCTION("vlookup(D2955,IMPORTRANGE(""https://docs.google.com/spreadsheets/d/1swGwZOEqYlTEUCJLY-eeJM1911Kvaei5oySBIxdgtNo/edit?pli=1#gid=257618397"",""stock untanna!B:C""),2,false)"),"PENCIL CASE XLG BD954")</f>
        <v>PENCIL CASE XLG BD954</v>
      </c>
      <c r="F2955" s="49" t="s">
        <v>1104</v>
      </c>
      <c r="G2955" s="71" t="s">
        <v>1105</v>
      </c>
      <c r="H2955" s="41"/>
      <c r="I2955" s="42"/>
      <c r="J2955" s="43"/>
      <c r="K2955" s="72">
        <v>12.0</v>
      </c>
      <c r="L2955" s="53" t="s">
        <v>69</v>
      </c>
      <c r="M2955" s="73">
        <v>29167.0</v>
      </c>
      <c r="N2955" s="74"/>
      <c r="O2955" s="73">
        <v>350004.0</v>
      </c>
      <c r="P2955" s="46" t="str">
        <f t="shared" si="2"/>
        <v>Rp29,167-12 PCS-0.00%</v>
      </c>
      <c r="Q2955" s="75">
        <v>45420.0</v>
      </c>
      <c r="R2955" s="76"/>
      <c r="S2955" s="75">
        <v>45426.0</v>
      </c>
      <c r="T2955" s="49"/>
    </row>
    <row r="2956">
      <c r="A2956" s="90">
        <v>85.0</v>
      </c>
      <c r="B2956" s="91" t="s">
        <v>29</v>
      </c>
      <c r="C2956" s="80" t="s">
        <v>3052</v>
      </c>
      <c r="D2956" s="91"/>
      <c r="E2956" s="41" t="s">
        <v>2963</v>
      </c>
      <c r="F2956" s="49"/>
      <c r="G2956" s="71" t="s">
        <v>2963</v>
      </c>
      <c r="H2956" s="41"/>
      <c r="I2956" s="42"/>
      <c r="J2956" s="43"/>
      <c r="K2956" s="72">
        <v>1.0</v>
      </c>
      <c r="L2956" s="53" t="s">
        <v>62</v>
      </c>
      <c r="M2956" s="73">
        <v>150000.0</v>
      </c>
      <c r="N2956" s="74"/>
      <c r="O2956" s="73">
        <v>150000.0</v>
      </c>
      <c r="P2956" s="46" t="str">
        <f t="shared" si="2"/>
        <v>Rp150,000-1 LSN-0.00%</v>
      </c>
      <c r="Q2956" s="75">
        <v>45420.0</v>
      </c>
      <c r="R2956" s="76"/>
      <c r="S2956" s="75">
        <v>45426.0</v>
      </c>
      <c r="T2956" s="49"/>
    </row>
    <row r="2957">
      <c r="A2957" s="90">
        <v>85.0</v>
      </c>
      <c r="B2957" s="91" t="s">
        <v>29</v>
      </c>
      <c r="C2957" s="80" t="s">
        <v>3052</v>
      </c>
      <c r="D2957" s="91"/>
      <c r="E2957" s="41" t="s">
        <v>2964</v>
      </c>
      <c r="F2957" s="49"/>
      <c r="G2957" s="71" t="s">
        <v>2964</v>
      </c>
      <c r="H2957" s="41"/>
      <c r="I2957" s="42"/>
      <c r="J2957" s="43"/>
      <c r="K2957" s="72">
        <v>1.0</v>
      </c>
      <c r="L2957" s="53" t="s">
        <v>62</v>
      </c>
      <c r="M2957" s="73">
        <v>150000.0</v>
      </c>
      <c r="N2957" s="74"/>
      <c r="O2957" s="73">
        <v>150000.0</v>
      </c>
      <c r="P2957" s="46" t="str">
        <f t="shared" si="2"/>
        <v>Rp150,000-1 LSN-0.00%</v>
      </c>
      <c r="Q2957" s="75">
        <v>45420.0</v>
      </c>
      <c r="R2957" s="76"/>
      <c r="S2957" s="75">
        <v>45426.0</v>
      </c>
      <c r="T2957" s="49"/>
    </row>
    <row r="2958">
      <c r="A2958" s="90">
        <v>85.0</v>
      </c>
      <c r="B2958" s="91" t="s">
        <v>29</v>
      </c>
      <c r="C2958" s="80" t="s">
        <v>3052</v>
      </c>
      <c r="D2958" s="91" t="s">
        <v>2208</v>
      </c>
      <c r="E2958" s="41" t="str">
        <f>IFERROR(__xludf.DUMMYFUNCTION("vlookup(D2958,IMPORTRANGE(""https://docs.google.com/spreadsheets/d/1swGwZOEqYlTEUCJLY-eeJM1911Kvaei5oySBIxdgtNo/edit?pli=1#gid=257618397"",""stock untanna!B:C""),2,false)"),"PENSIL CASE 168-22 KALENG")</f>
        <v>PENSIL CASE 168-22 KALENG</v>
      </c>
      <c r="F2958" s="49" t="s">
        <v>2208</v>
      </c>
      <c r="G2958" s="71" t="s">
        <v>2209</v>
      </c>
      <c r="H2958" s="41"/>
      <c r="I2958" s="42"/>
      <c r="J2958" s="43"/>
      <c r="K2958" s="72">
        <v>12.0</v>
      </c>
      <c r="L2958" s="53" t="s">
        <v>69</v>
      </c>
      <c r="M2958" s="73">
        <v>12500.0</v>
      </c>
      <c r="N2958" s="74"/>
      <c r="O2958" s="73">
        <v>150000.0</v>
      </c>
      <c r="P2958" s="46" t="str">
        <f t="shared" si="2"/>
        <v>Rp12,500-12 PCS-0.00%</v>
      </c>
      <c r="Q2958" s="75">
        <v>45420.0</v>
      </c>
      <c r="R2958" s="76"/>
      <c r="S2958" s="75">
        <v>45426.0</v>
      </c>
      <c r="T2958" s="49"/>
    </row>
    <row r="2959">
      <c r="A2959" s="90">
        <v>85.0</v>
      </c>
      <c r="B2959" s="91" t="s">
        <v>29</v>
      </c>
      <c r="C2959" s="80" t="s">
        <v>3052</v>
      </c>
      <c r="D2959" s="91" t="s">
        <v>598</v>
      </c>
      <c r="E2959" s="41" t="str">
        <f>IFERROR(__xludf.DUMMYFUNCTION("vlookup(D2959,IMPORTRANGE(""https://docs.google.com/spreadsheets/d/1swGwZOEqYlTEUCJLY-eeJM1911Kvaei5oySBIxdgtNo/edit?pli=1#gid=257618397"",""stock untanna!B:C""),2,false)"),"PENSIL CASE AC-2893-3")</f>
        <v>PENSIL CASE AC-2893-3</v>
      </c>
      <c r="F2959" s="49" t="s">
        <v>598</v>
      </c>
      <c r="G2959" s="71" t="s">
        <v>599</v>
      </c>
      <c r="H2959" s="41"/>
      <c r="I2959" s="42"/>
      <c r="J2959" s="43"/>
      <c r="K2959" s="72">
        <v>12.0</v>
      </c>
      <c r="L2959" s="53" t="s">
        <v>69</v>
      </c>
      <c r="M2959" s="73">
        <v>12500.0</v>
      </c>
      <c r="N2959" s="74"/>
      <c r="O2959" s="73">
        <v>150000.0</v>
      </c>
      <c r="P2959" s="46" t="str">
        <f t="shared" si="2"/>
        <v>Rp12,500-12 PCS-0.00%</v>
      </c>
      <c r="Q2959" s="75">
        <v>45420.0</v>
      </c>
      <c r="R2959" s="76"/>
      <c r="S2959" s="75">
        <v>45426.0</v>
      </c>
      <c r="T2959" s="49"/>
    </row>
    <row r="2960">
      <c r="A2960" s="90">
        <v>85.0</v>
      </c>
      <c r="B2960" s="91" t="s">
        <v>29</v>
      </c>
      <c r="C2960" s="80" t="s">
        <v>3052</v>
      </c>
      <c r="D2960" s="91" t="s">
        <v>95</v>
      </c>
      <c r="E2960" s="41" t="str">
        <f>IFERROR(__xludf.DUMMYFUNCTION("vlookup(D2960,IMPORTRANGE(""https://docs.google.com/spreadsheets/d/1swGwZOEqYlTEUCJLY-eeJM1911Kvaei5oySBIxdgtNo/edit?pli=1#gid=257618397"",""stock untanna!B:C""),2,false)"),"PENCIL CASE MAGNET 8631 + CALL")</f>
        <v>PENCIL CASE MAGNET 8631 + CALL</v>
      </c>
      <c r="F2960" s="49" t="s">
        <v>95</v>
      </c>
      <c r="G2960" s="71" t="s">
        <v>96</v>
      </c>
      <c r="H2960" s="41"/>
      <c r="I2960" s="42"/>
      <c r="J2960" s="43"/>
      <c r="K2960" s="72">
        <v>12.0</v>
      </c>
      <c r="L2960" s="53" t="s">
        <v>69</v>
      </c>
      <c r="M2960" s="73">
        <v>18333.0</v>
      </c>
      <c r="N2960" s="74"/>
      <c r="O2960" s="73">
        <v>219996.0</v>
      </c>
      <c r="P2960" s="46" t="str">
        <f t="shared" si="2"/>
        <v>Rp18,333-12 PCS-0.00%</v>
      </c>
      <c r="Q2960" s="75">
        <v>45420.0</v>
      </c>
      <c r="R2960" s="76"/>
      <c r="S2960" s="75">
        <v>45426.0</v>
      </c>
      <c r="T2960" s="49"/>
    </row>
    <row r="2961">
      <c r="A2961" s="90">
        <v>86.0</v>
      </c>
      <c r="B2961" s="91" t="s">
        <v>29</v>
      </c>
      <c r="C2961" s="80" t="s">
        <v>3052</v>
      </c>
      <c r="D2961" s="91"/>
      <c r="E2961" s="41" t="s">
        <v>1049</v>
      </c>
      <c r="F2961" s="49"/>
      <c r="G2961" s="71" t="s">
        <v>1049</v>
      </c>
      <c r="H2961" s="41"/>
      <c r="I2961" s="42"/>
      <c r="J2961" s="43"/>
      <c r="K2961" s="72">
        <v>1.0</v>
      </c>
      <c r="L2961" s="53" t="s">
        <v>62</v>
      </c>
      <c r="M2961" s="73">
        <v>425000.0</v>
      </c>
      <c r="N2961" s="74"/>
      <c r="O2961" s="73">
        <v>425000.0</v>
      </c>
      <c r="P2961" s="46" t="str">
        <f t="shared" si="2"/>
        <v>Rp425,000-1 LSN-0.00%</v>
      </c>
      <c r="Q2961" s="75">
        <v>45420.0</v>
      </c>
      <c r="R2961" s="76"/>
      <c r="S2961" s="75">
        <v>45426.0</v>
      </c>
      <c r="T2961" s="80" t="s">
        <v>280</v>
      </c>
    </row>
    <row r="2962">
      <c r="A2962" s="90">
        <v>86.0</v>
      </c>
      <c r="B2962" s="91" t="s">
        <v>29</v>
      </c>
      <c r="C2962" s="80" t="s">
        <v>3052</v>
      </c>
      <c r="D2962" s="77" t="s">
        <v>711</v>
      </c>
      <c r="E2962" s="41" t="str">
        <f>IFERROR(__xludf.DUMMYFUNCTION("IFNA(vlookup(D2962,IMPORTRANGE(""https://docs.google.com/spreadsheets/d/1swGwZOEqYlTEUCJLY-eeJM1911Kvaei5oySBIxdgtNo/edit?pli=1#gid=257618397"",""stock untanna!B:C""),2,false),V:V)"),"PC MAGNIT 1151")</f>
        <v>PC MAGNIT 1151</v>
      </c>
      <c r="F2962" s="49"/>
      <c r="G2962" s="71" t="s">
        <v>712</v>
      </c>
      <c r="H2962" s="41"/>
      <c r="I2962" s="42"/>
      <c r="J2962" s="85" t="s">
        <v>1319</v>
      </c>
      <c r="K2962" s="72">
        <v>1.0</v>
      </c>
      <c r="L2962" s="53" t="s">
        <v>62</v>
      </c>
      <c r="M2962" s="73">
        <v>210000.0</v>
      </c>
      <c r="N2962" s="74"/>
      <c r="O2962" s="73">
        <v>210000.0</v>
      </c>
      <c r="P2962" s="46" t="str">
        <f t="shared" si="2"/>
        <v>Rp210,000-1 LSN-0.00%</v>
      </c>
      <c r="Q2962" s="75">
        <v>45420.0</v>
      </c>
      <c r="R2962" s="76"/>
      <c r="S2962" s="75">
        <v>45426.0</v>
      </c>
      <c r="T2962" s="80" t="s">
        <v>280</v>
      </c>
    </row>
    <row r="2963">
      <c r="A2963" s="90">
        <v>86.0</v>
      </c>
      <c r="B2963" s="91" t="s">
        <v>29</v>
      </c>
      <c r="C2963" s="80" t="s">
        <v>3052</v>
      </c>
      <c r="D2963" s="91" t="s">
        <v>2084</v>
      </c>
      <c r="E2963" s="41" t="str">
        <f>IFERROR(__xludf.DUMMYFUNCTION("vlookup(D2963,IMPORTRANGE(""https://docs.google.com/spreadsheets/d/1swGwZOEqYlTEUCJLY-eeJM1911Kvaei5oySBIxdgtNo/edit?pli=1#gid=257618397"",""stock untanna!B:C""),2,false)"),"PENSIL CASE 168-35")</f>
        <v>PENSIL CASE 168-35</v>
      </c>
      <c r="F2963" s="49" t="s">
        <v>2084</v>
      </c>
      <c r="G2963" s="71" t="s">
        <v>2085</v>
      </c>
      <c r="H2963" s="41"/>
      <c r="I2963" s="42"/>
      <c r="J2963" s="43"/>
      <c r="K2963" s="72">
        <v>12.0</v>
      </c>
      <c r="L2963" s="53" t="s">
        <v>69</v>
      </c>
      <c r="M2963" s="73">
        <v>12500.0</v>
      </c>
      <c r="N2963" s="74"/>
      <c r="O2963" s="73">
        <v>150000.0</v>
      </c>
      <c r="P2963" s="46" t="str">
        <f t="shared" si="2"/>
        <v>Rp12,500-12 PCS-0.00%</v>
      </c>
      <c r="Q2963" s="75">
        <v>45420.0</v>
      </c>
      <c r="R2963" s="76"/>
      <c r="S2963" s="75">
        <v>45426.0</v>
      </c>
      <c r="T2963" s="49"/>
    </row>
    <row r="2964">
      <c r="A2964" s="90">
        <v>86.0</v>
      </c>
      <c r="B2964" s="91" t="s">
        <v>29</v>
      </c>
      <c r="C2964" s="80" t="s">
        <v>3052</v>
      </c>
      <c r="D2964" s="91" t="s">
        <v>95</v>
      </c>
      <c r="E2964" s="41" t="str">
        <f>IFERROR(__xludf.DUMMYFUNCTION("vlookup(D2964,IMPORTRANGE(""https://docs.google.com/spreadsheets/d/1swGwZOEqYlTEUCJLY-eeJM1911Kvaei5oySBIxdgtNo/edit?pli=1#gid=257618397"",""stock untanna!B:C""),2,false)"),"PENCIL CASE MAGNET 8631 + CALL")</f>
        <v>PENCIL CASE MAGNET 8631 + CALL</v>
      </c>
      <c r="F2964" s="49" t="s">
        <v>95</v>
      </c>
      <c r="G2964" s="71" t="s">
        <v>96</v>
      </c>
      <c r="H2964" s="41"/>
      <c r="I2964" s="42"/>
      <c r="J2964" s="43"/>
      <c r="K2964" s="72">
        <v>12.0</v>
      </c>
      <c r="L2964" s="53" t="s">
        <v>69</v>
      </c>
      <c r="M2964" s="73">
        <v>18333.0</v>
      </c>
      <c r="N2964" s="74"/>
      <c r="O2964" s="73">
        <v>219996.0</v>
      </c>
      <c r="P2964" s="46" t="str">
        <f t="shared" si="2"/>
        <v>Rp18,333-12 PCS-0.00%</v>
      </c>
      <c r="Q2964" s="75">
        <v>45420.0</v>
      </c>
      <c r="R2964" s="76"/>
      <c r="S2964" s="75">
        <v>45426.0</v>
      </c>
      <c r="T2964" s="49"/>
    </row>
    <row r="2965">
      <c r="A2965" s="90">
        <v>86.0</v>
      </c>
      <c r="B2965" s="91" t="s">
        <v>29</v>
      </c>
      <c r="C2965" s="80" t="s">
        <v>3052</v>
      </c>
      <c r="D2965" s="91"/>
      <c r="E2965" s="41" t="s">
        <v>3059</v>
      </c>
      <c r="F2965" s="49"/>
      <c r="G2965" s="71" t="s">
        <v>3059</v>
      </c>
      <c r="H2965" s="41"/>
      <c r="I2965" s="42"/>
      <c r="J2965" s="43"/>
      <c r="K2965" s="72">
        <v>1.0</v>
      </c>
      <c r="L2965" s="53" t="s">
        <v>62</v>
      </c>
      <c r="M2965" s="73">
        <v>225000.0</v>
      </c>
      <c r="N2965" s="74"/>
      <c r="O2965" s="73">
        <v>225000.0</v>
      </c>
      <c r="P2965" s="46" t="str">
        <f t="shared" si="2"/>
        <v>Rp225,000-1 LSN-0.00%</v>
      </c>
      <c r="Q2965" s="75">
        <v>45420.0</v>
      </c>
      <c r="R2965" s="76"/>
      <c r="S2965" s="75">
        <v>45426.0</v>
      </c>
      <c r="T2965" s="49"/>
    </row>
    <row r="2966">
      <c r="A2966" s="90">
        <v>86.0</v>
      </c>
      <c r="B2966" s="91" t="s">
        <v>29</v>
      </c>
      <c r="C2966" s="80" t="s">
        <v>3052</v>
      </c>
      <c r="D2966" s="91"/>
      <c r="E2966" s="41" t="s">
        <v>3060</v>
      </c>
      <c r="F2966" s="49"/>
      <c r="G2966" s="71" t="s">
        <v>3060</v>
      </c>
      <c r="H2966" s="41"/>
      <c r="I2966" s="42"/>
      <c r="J2966" s="43"/>
      <c r="K2966" s="72">
        <v>1.0</v>
      </c>
      <c r="L2966" s="53" t="s">
        <v>62</v>
      </c>
      <c r="M2966" s="73">
        <v>120000.0</v>
      </c>
      <c r="N2966" s="74"/>
      <c r="O2966" s="73">
        <v>120000.0</v>
      </c>
      <c r="P2966" s="46" t="str">
        <f t="shared" si="2"/>
        <v>Rp120,000-1 LSN-0.00%</v>
      </c>
      <c r="Q2966" s="75">
        <v>45420.0</v>
      </c>
      <c r="R2966" s="76"/>
      <c r="S2966" s="75">
        <v>45426.0</v>
      </c>
      <c r="T2966" s="80" t="s">
        <v>280</v>
      </c>
    </row>
    <row r="2967">
      <c r="A2967" s="90">
        <v>86.0</v>
      </c>
      <c r="B2967" s="91" t="s">
        <v>29</v>
      </c>
      <c r="C2967" s="80" t="s">
        <v>3052</v>
      </c>
      <c r="D2967" s="77" t="s">
        <v>2077</v>
      </c>
      <c r="E2967" s="41" t="str">
        <f>IFERROR(__xludf.DUMMYFUNCTION("IFNA(vlookup(D2967,IMPORTRANGE(""https://docs.google.com/spreadsheets/d/1swGwZOEqYlTEUCJLY-eeJM1911Kvaei5oySBIxdgtNo/edit?pli=1#gid=257618397"",""stock untanna!B:C""),2,false),V:V)"),"PC MAGNIT 9363")</f>
        <v>PC MAGNIT 9363</v>
      </c>
      <c r="F2967" s="49"/>
      <c r="G2967" s="71" t="s">
        <v>2078</v>
      </c>
      <c r="H2967" s="41"/>
      <c r="I2967" s="42"/>
      <c r="J2967" s="85" t="s">
        <v>1319</v>
      </c>
      <c r="K2967" s="72">
        <v>1.0</v>
      </c>
      <c r="L2967" s="53" t="s">
        <v>62</v>
      </c>
      <c r="M2967" s="73">
        <v>180000.0</v>
      </c>
      <c r="N2967" s="74"/>
      <c r="O2967" s="73">
        <v>180000.0</v>
      </c>
      <c r="P2967" s="46" t="str">
        <f t="shared" si="2"/>
        <v>Rp180,000-1 LSN-0.00%</v>
      </c>
      <c r="Q2967" s="75">
        <v>45420.0</v>
      </c>
      <c r="R2967" s="76"/>
      <c r="S2967" s="75">
        <v>45426.0</v>
      </c>
      <c r="T2967" s="80" t="s">
        <v>280</v>
      </c>
    </row>
    <row r="2968">
      <c r="A2968" s="90">
        <v>86.0</v>
      </c>
      <c r="B2968" s="91" t="s">
        <v>29</v>
      </c>
      <c r="C2968" s="80" t="s">
        <v>3052</v>
      </c>
      <c r="D2968" s="91" t="s">
        <v>2740</v>
      </c>
      <c r="E2968" s="41" t="str">
        <f>IFERROR(__xludf.DUMMYFUNCTION("vlookup(D2968,IMPORTRANGE(""https://docs.google.com/spreadsheets/d/1swGwZOEqYlTEUCJLY-eeJM1911Kvaei5oySBIxdgtNo/edit?pli=1#gid=257618397"",""stock untanna!B:C""),2,false)"),"PENSIL CASE A-1301")</f>
        <v>PENSIL CASE A-1301</v>
      </c>
      <c r="F2968" s="49" t="s">
        <v>2740</v>
      </c>
      <c r="G2968" s="71" t="s">
        <v>2741</v>
      </c>
      <c r="H2968" s="41"/>
      <c r="I2968" s="42"/>
      <c r="J2968" s="43"/>
      <c r="K2968" s="72">
        <v>12.0</v>
      </c>
      <c r="L2968" s="53" t="s">
        <v>69</v>
      </c>
      <c r="M2968" s="73">
        <v>19583.0</v>
      </c>
      <c r="N2968" s="74"/>
      <c r="O2968" s="73">
        <v>234996.0</v>
      </c>
      <c r="P2968" s="46" t="str">
        <f t="shared" si="2"/>
        <v>Rp19,583-12 PCS-0.00%</v>
      </c>
      <c r="Q2968" s="75">
        <v>45420.0</v>
      </c>
      <c r="R2968" s="76"/>
      <c r="S2968" s="75">
        <v>45426.0</v>
      </c>
      <c r="T2968" s="49"/>
    </row>
    <row r="2969">
      <c r="A2969" s="90">
        <v>86.0</v>
      </c>
      <c r="B2969" s="91" t="s">
        <v>29</v>
      </c>
      <c r="C2969" s="80" t="s">
        <v>3052</v>
      </c>
      <c r="D2969" s="91" t="s">
        <v>2742</v>
      </c>
      <c r="E2969" s="41" t="str">
        <f>IFERROR(__xludf.DUMMYFUNCTION("vlookup(D2969,IMPORTRANGE(""https://docs.google.com/spreadsheets/d/1swGwZOEqYlTEUCJLY-eeJM1911Kvaei5oySBIxdgtNo/edit?pli=1#gid=257618397"",""stock untanna!B:C""),2,false)"),"PENSIL CASE BX-3971")</f>
        <v>PENSIL CASE BX-3971</v>
      </c>
      <c r="F2969" s="49" t="s">
        <v>2742</v>
      </c>
      <c r="G2969" s="71" t="s">
        <v>2743</v>
      </c>
      <c r="H2969" s="41"/>
      <c r="I2969" s="42"/>
      <c r="J2969" s="43"/>
      <c r="K2969" s="72">
        <v>12.0</v>
      </c>
      <c r="L2969" s="53" t="s">
        <v>69</v>
      </c>
      <c r="M2969" s="73">
        <v>15500.0</v>
      </c>
      <c r="N2969" s="74"/>
      <c r="O2969" s="73">
        <v>186000.0</v>
      </c>
      <c r="P2969" s="46" t="str">
        <f t="shared" si="2"/>
        <v>Rp15,500-12 PCS-0.00%</v>
      </c>
      <c r="Q2969" s="75">
        <v>45420.0</v>
      </c>
      <c r="R2969" s="76"/>
      <c r="S2969" s="75">
        <v>45426.0</v>
      </c>
      <c r="T2969" s="49"/>
    </row>
    <row r="2970">
      <c r="A2970" s="90">
        <v>86.0</v>
      </c>
      <c r="B2970" s="91" t="s">
        <v>29</v>
      </c>
      <c r="C2970" s="80" t="s">
        <v>3052</v>
      </c>
      <c r="D2970" s="91"/>
      <c r="E2970" s="41" t="s">
        <v>3061</v>
      </c>
      <c r="F2970" s="49"/>
      <c r="G2970" s="71" t="s">
        <v>3061</v>
      </c>
      <c r="H2970" s="41"/>
      <c r="I2970" s="42"/>
      <c r="J2970" s="43"/>
      <c r="K2970" s="72">
        <v>1.0</v>
      </c>
      <c r="L2970" s="53" t="s">
        <v>62</v>
      </c>
      <c r="M2970" s="73">
        <v>225000.0</v>
      </c>
      <c r="N2970" s="74"/>
      <c r="O2970" s="73">
        <v>225000.0</v>
      </c>
      <c r="P2970" s="46" t="str">
        <f t="shared" si="2"/>
        <v>Rp225,000-1 LSN-0.00%</v>
      </c>
      <c r="Q2970" s="75">
        <v>45420.0</v>
      </c>
      <c r="R2970" s="76"/>
      <c r="S2970" s="75">
        <v>45426.0</v>
      </c>
      <c r="T2970" s="49"/>
    </row>
    <row r="2971">
      <c r="A2971" s="90">
        <v>86.0</v>
      </c>
      <c r="B2971" s="91" t="s">
        <v>29</v>
      </c>
      <c r="C2971" s="80" t="s">
        <v>3052</v>
      </c>
      <c r="D2971" s="91"/>
      <c r="E2971" s="41" t="s">
        <v>3062</v>
      </c>
      <c r="F2971" s="49"/>
      <c r="G2971" s="71" t="s">
        <v>3062</v>
      </c>
      <c r="H2971" s="41"/>
      <c r="I2971" s="42"/>
      <c r="J2971" s="43"/>
      <c r="K2971" s="72">
        <v>1.0</v>
      </c>
      <c r="L2971" s="53" t="s">
        <v>62</v>
      </c>
      <c r="M2971" s="73">
        <v>160000.0</v>
      </c>
      <c r="N2971" s="74"/>
      <c r="O2971" s="73">
        <v>160000.0</v>
      </c>
      <c r="P2971" s="46" t="str">
        <f t="shared" si="2"/>
        <v>Rp160,000-1 LSN-0.00%</v>
      </c>
      <c r="Q2971" s="75">
        <v>45420.0</v>
      </c>
      <c r="R2971" s="76"/>
      <c r="S2971" s="75">
        <v>45426.0</v>
      </c>
      <c r="T2971" s="49"/>
    </row>
    <row r="2972">
      <c r="A2972" s="90">
        <v>86.0</v>
      </c>
      <c r="B2972" s="91" t="s">
        <v>29</v>
      </c>
      <c r="C2972" s="80" t="s">
        <v>3052</v>
      </c>
      <c r="D2972" s="77" t="s">
        <v>713</v>
      </c>
      <c r="E2972" s="41" t="str">
        <f>IFERROR(__xludf.DUMMYFUNCTION("IFNA(vlookup(D2972,IMPORTRANGE(""https://docs.google.com/spreadsheets/d/1swGwZOEqYlTEUCJLY-eeJM1911Kvaei5oySBIxdgtNo/edit?pli=1#gid=257618397"",""stock untanna!B:C""),2,false),V:V)"),"PC MAGNIT AZ 3301")</f>
        <v>PC MAGNIT AZ 3301</v>
      </c>
      <c r="F2972" s="49"/>
      <c r="G2972" s="71" t="s">
        <v>714</v>
      </c>
      <c r="H2972" s="41"/>
      <c r="I2972" s="42"/>
      <c r="J2972" s="85" t="s">
        <v>1319</v>
      </c>
      <c r="K2972" s="72">
        <v>1.0</v>
      </c>
      <c r="L2972" s="53" t="s">
        <v>62</v>
      </c>
      <c r="M2972" s="73">
        <v>250000.0</v>
      </c>
      <c r="N2972" s="74"/>
      <c r="O2972" s="73">
        <v>250000.0</v>
      </c>
      <c r="P2972" s="46" t="str">
        <f t="shared" si="2"/>
        <v>Rp250,000-1 LSN-0.00%</v>
      </c>
      <c r="Q2972" s="75">
        <v>45420.0</v>
      </c>
      <c r="R2972" s="76"/>
      <c r="S2972" s="75">
        <v>45426.0</v>
      </c>
      <c r="T2972" s="80" t="s">
        <v>280</v>
      </c>
    </row>
    <row r="2973">
      <c r="A2973" s="90">
        <v>86.0</v>
      </c>
      <c r="B2973" s="91" t="s">
        <v>29</v>
      </c>
      <c r="C2973" s="80" t="s">
        <v>3052</v>
      </c>
      <c r="D2973" s="91" t="s">
        <v>1402</v>
      </c>
      <c r="E2973" s="41" t="str">
        <f>IFERROR(__xludf.DUMMYFUNCTION("vlookup(D2973,IMPORTRANGE(""https://docs.google.com/spreadsheets/d/1swGwZOEqYlTEUCJLY-eeJM1911Kvaei5oySBIxdgtNo/edit?pli=1#gid=257618397"",""stock untanna!B:C""),2,false)"),"PENCIL CASE DZ-8057 MAGNET")</f>
        <v>PENCIL CASE DZ-8057 MAGNET</v>
      </c>
      <c r="F2973" s="49" t="s">
        <v>1402</v>
      </c>
      <c r="G2973" s="71" t="s">
        <v>1403</v>
      </c>
      <c r="H2973" s="41"/>
      <c r="I2973" s="42"/>
      <c r="J2973" s="43"/>
      <c r="K2973" s="72">
        <v>1.0</v>
      </c>
      <c r="L2973" s="53" t="s">
        <v>62</v>
      </c>
      <c r="M2973" s="73">
        <v>200000.0</v>
      </c>
      <c r="N2973" s="74"/>
      <c r="O2973" s="73">
        <v>200000.0</v>
      </c>
      <c r="P2973" s="46" t="str">
        <f t="shared" si="2"/>
        <v>Rp200,000-1 LSN-0.00%</v>
      </c>
      <c r="Q2973" s="75">
        <v>45420.0</v>
      </c>
      <c r="R2973" s="76"/>
      <c r="S2973" s="75">
        <v>45426.0</v>
      </c>
      <c r="T2973" s="49"/>
    </row>
    <row r="2974">
      <c r="A2974" s="90">
        <v>86.0</v>
      </c>
      <c r="B2974" s="91" t="s">
        <v>29</v>
      </c>
      <c r="C2974" s="80" t="s">
        <v>3052</v>
      </c>
      <c r="D2974" s="91" t="s">
        <v>590</v>
      </c>
      <c r="E2974" s="41" t="str">
        <f>IFERROR(__xludf.DUMMYFUNCTION("vlookup(D2974,IMPORTRANGE(""https://docs.google.com/spreadsheets/d/1swGwZOEqYlTEUCJLY-eeJM1911Kvaei5oySBIxdgtNo/edit?pli=1#gid=257618397"",""stock untanna!B:C""),2,false)"),"PENSIL CASE A-870")</f>
        <v>PENSIL CASE A-870</v>
      </c>
      <c r="F2974" s="49" t="s">
        <v>590</v>
      </c>
      <c r="G2974" s="71" t="s">
        <v>591</v>
      </c>
      <c r="H2974" s="41"/>
      <c r="I2974" s="42"/>
      <c r="J2974" s="43"/>
      <c r="K2974" s="72">
        <v>12.0</v>
      </c>
      <c r="L2974" s="53" t="s">
        <v>69</v>
      </c>
      <c r="M2974" s="73">
        <v>12500.0</v>
      </c>
      <c r="N2974" s="74"/>
      <c r="O2974" s="73">
        <v>150000.0</v>
      </c>
      <c r="P2974" s="46" t="str">
        <f t="shared" si="2"/>
        <v>Rp12,500-12 PCS-0.00%</v>
      </c>
      <c r="Q2974" s="75">
        <v>45420.0</v>
      </c>
      <c r="R2974" s="76"/>
      <c r="S2974" s="75">
        <v>45426.0</v>
      </c>
      <c r="T2974" s="49"/>
    </row>
    <row r="2975">
      <c r="A2975" s="90">
        <v>86.0</v>
      </c>
      <c r="B2975" s="91" t="s">
        <v>29</v>
      </c>
      <c r="C2975" s="80" t="s">
        <v>3052</v>
      </c>
      <c r="D2975" s="77" t="s">
        <v>3063</v>
      </c>
      <c r="E2975" s="41" t="str">
        <f>IFERROR(__xludf.DUMMYFUNCTION("IFNA(vlookup(D2975,IMPORTRANGE(""https://docs.google.com/spreadsheets/d/1swGwZOEqYlTEUCJLY-eeJM1911Kvaei5oySBIxdgtNo/edit?pli=1#gid=257618397"",""stock untanna!B:C""),2,false),V:V)"),"PC MAGNIT CALL MC 7121")</f>
        <v>PC MAGNIT CALL MC 7121</v>
      </c>
      <c r="F2975" s="49"/>
      <c r="G2975" s="71" t="s">
        <v>3064</v>
      </c>
      <c r="H2975" s="41"/>
      <c r="I2975" s="42"/>
      <c r="J2975" s="85" t="s">
        <v>1319</v>
      </c>
      <c r="K2975" s="72">
        <v>1.0</v>
      </c>
      <c r="L2975" s="53" t="s">
        <v>62</v>
      </c>
      <c r="M2975" s="73">
        <v>250000.0</v>
      </c>
      <c r="N2975" s="74"/>
      <c r="O2975" s="73">
        <v>250000.0</v>
      </c>
      <c r="P2975" s="46" t="str">
        <f t="shared" si="2"/>
        <v>Rp250,000-1 LSN-0.00%</v>
      </c>
      <c r="Q2975" s="75">
        <v>45420.0</v>
      </c>
      <c r="R2975" s="76"/>
      <c r="S2975" s="75">
        <v>45426.0</v>
      </c>
      <c r="T2975" s="80" t="s">
        <v>280</v>
      </c>
    </row>
    <row r="2976">
      <c r="A2976" s="90">
        <v>86.0</v>
      </c>
      <c r="B2976" s="91" t="s">
        <v>29</v>
      </c>
      <c r="C2976" s="80" t="s">
        <v>3052</v>
      </c>
      <c r="D2976" s="91" t="s">
        <v>1404</v>
      </c>
      <c r="E2976" s="41" t="str">
        <f>IFERROR(__xludf.DUMMYFUNCTION("vlookup(D2976,IMPORTRANGE(""https://docs.google.com/spreadsheets/d/1swGwZOEqYlTEUCJLY-eeJM1911Kvaei5oySBIxdgtNo/edit?pli=1#gid=257618397"",""stock untanna!B:C""),2,false)"),"PENSIL CASE 8300SG TIMBUL")</f>
        <v>PENSIL CASE 8300SG TIMBUL</v>
      </c>
      <c r="F2976" s="49" t="s">
        <v>1404</v>
      </c>
      <c r="G2976" s="71" t="s">
        <v>1405</v>
      </c>
      <c r="H2976" s="41"/>
      <c r="I2976" s="42"/>
      <c r="J2976" s="43"/>
      <c r="K2976" s="72">
        <v>12.0</v>
      </c>
      <c r="L2976" s="53" t="s">
        <v>69</v>
      </c>
      <c r="M2976" s="73">
        <v>33333.0</v>
      </c>
      <c r="N2976" s="74"/>
      <c r="O2976" s="73">
        <v>399996.0</v>
      </c>
      <c r="P2976" s="46" t="str">
        <f t="shared" si="2"/>
        <v>Rp33,333-12 PCS-0.00%</v>
      </c>
      <c r="Q2976" s="75">
        <v>45420.0</v>
      </c>
      <c r="R2976" s="76"/>
      <c r="S2976" s="75">
        <v>45426.0</v>
      </c>
      <c r="T2976" s="49"/>
    </row>
    <row r="2977">
      <c r="A2977" s="90">
        <v>87.0</v>
      </c>
      <c r="B2977" s="91" t="s">
        <v>29</v>
      </c>
      <c r="C2977" s="80" t="s">
        <v>3052</v>
      </c>
      <c r="D2977" s="91" t="s">
        <v>1415</v>
      </c>
      <c r="E2977" s="41" t="str">
        <f>IFERROR(__xludf.DUMMYFUNCTION("vlookup(D2977,IMPORTRANGE(""https://docs.google.com/spreadsheets/d/1swGwZOEqYlTEUCJLY-eeJM1911Kvaei5oySBIxdgtNo/edit?pli=1#gid=257618397"",""stock untanna!B:C""),2,false)"),"PENCIL CASE B-118")</f>
        <v>PENCIL CASE B-118</v>
      </c>
      <c r="F2977" s="49" t="s">
        <v>1415</v>
      </c>
      <c r="G2977" s="71" t="s">
        <v>1416</v>
      </c>
      <c r="H2977" s="41"/>
      <c r="I2977" s="42"/>
      <c r="J2977" s="43"/>
      <c r="K2977" s="72">
        <v>1.0</v>
      </c>
      <c r="L2977" s="53" t="s">
        <v>62</v>
      </c>
      <c r="M2977" s="73">
        <v>125000.0</v>
      </c>
      <c r="N2977" s="74"/>
      <c r="O2977" s="73">
        <v>125000.0</v>
      </c>
      <c r="P2977" s="46" t="str">
        <f t="shared" si="2"/>
        <v>Rp125,000-1 LSN-0.00%</v>
      </c>
      <c r="Q2977" s="75">
        <v>45420.0</v>
      </c>
      <c r="R2977" s="76"/>
      <c r="S2977" s="75">
        <v>45426.0</v>
      </c>
      <c r="T2977" s="49"/>
    </row>
    <row r="2978">
      <c r="A2978" s="90">
        <v>87.0</v>
      </c>
      <c r="B2978" s="91" t="s">
        <v>29</v>
      </c>
      <c r="C2978" s="80" t="s">
        <v>3052</v>
      </c>
      <c r="D2978" s="91" t="s">
        <v>588</v>
      </c>
      <c r="E2978" s="41" t="str">
        <f>IFERROR(__xludf.DUMMYFUNCTION("vlookup(D2978,IMPORTRANGE(""https://docs.google.com/spreadsheets/d/1swGwZOEqYlTEUCJLY-eeJM1911Kvaei5oySBIxdgtNo/edit?pli=1#gid=257618397"",""stock untanna!B:C""),2,false)"),"PENSIL CASE 8300D TIMBUL")</f>
        <v>PENSIL CASE 8300D TIMBUL</v>
      </c>
      <c r="F2978" s="49" t="s">
        <v>588</v>
      </c>
      <c r="G2978" s="71" t="s">
        <v>589</v>
      </c>
      <c r="H2978" s="41"/>
      <c r="I2978" s="42"/>
      <c r="J2978" s="43"/>
      <c r="K2978" s="72">
        <v>12.0</v>
      </c>
      <c r="L2978" s="53" t="s">
        <v>69</v>
      </c>
      <c r="M2978" s="73">
        <v>33333.0</v>
      </c>
      <c r="N2978" s="74"/>
      <c r="O2978" s="73">
        <v>399996.0</v>
      </c>
      <c r="P2978" s="46" t="str">
        <f t="shared" si="2"/>
        <v>Rp33,333-12 PCS-0.00%</v>
      </c>
      <c r="Q2978" s="75">
        <v>45420.0</v>
      </c>
      <c r="R2978" s="76"/>
      <c r="S2978" s="75">
        <v>45426.0</v>
      </c>
      <c r="T2978" s="49"/>
    </row>
    <row r="2979">
      <c r="A2979" s="90">
        <v>87.0</v>
      </c>
      <c r="B2979" s="91" t="s">
        <v>29</v>
      </c>
      <c r="C2979" s="80" t="s">
        <v>3052</v>
      </c>
      <c r="D2979" s="77" t="s">
        <v>3065</v>
      </c>
      <c r="E2979" s="41" t="str">
        <f>IFERROR(__xludf.DUMMYFUNCTION("IFNA(vlookup(D2979,IMPORTRANGE(""https://docs.google.com/spreadsheets/d/1swGwZOEqYlTEUCJLY-eeJM1911Kvaei5oySBIxdgtNo/edit?pli=1#gid=257618397"",""stock untanna!B:C""),2,false),V:V)"),"PC MAGNIT 9340")</f>
        <v>PC MAGNIT 9340</v>
      </c>
      <c r="F2979" s="49"/>
      <c r="G2979" s="71" t="s">
        <v>3066</v>
      </c>
      <c r="H2979" s="41"/>
      <c r="I2979" s="42"/>
      <c r="J2979" s="85" t="s">
        <v>1319</v>
      </c>
      <c r="K2979" s="72">
        <v>1.0</v>
      </c>
      <c r="L2979" s="53" t="s">
        <v>62</v>
      </c>
      <c r="M2979" s="73">
        <v>200000.0</v>
      </c>
      <c r="N2979" s="74"/>
      <c r="O2979" s="73">
        <v>200000.0</v>
      </c>
      <c r="P2979" s="46" t="str">
        <f t="shared" si="2"/>
        <v>Rp200,000-1 LSN-0.00%</v>
      </c>
      <c r="Q2979" s="75">
        <v>45420.0</v>
      </c>
      <c r="R2979" s="76"/>
      <c r="S2979" s="75">
        <v>45426.0</v>
      </c>
      <c r="T2979" s="80" t="s">
        <v>280</v>
      </c>
    </row>
    <row r="2980">
      <c r="A2980" s="90">
        <v>87.0</v>
      </c>
      <c r="B2980" s="91" t="s">
        <v>29</v>
      </c>
      <c r="C2980" s="80" t="s">
        <v>3052</v>
      </c>
      <c r="D2980" s="77" t="s">
        <v>580</v>
      </c>
      <c r="E2980" s="41" t="str">
        <f>IFERROR(__xludf.DUMMYFUNCTION("IFNA(vlookup(D2980,IMPORTRANGE(""https://docs.google.com/spreadsheets/d/1swGwZOEqYlTEUCJLY-eeJM1911Kvaei5oySBIxdgtNo/edit?pli=1#gid=257618397"",""stock untanna!B:C""),2,false),V:V)"),"PC MAGNIT CC 7808")</f>
        <v>PC MAGNIT CC 7808</v>
      </c>
      <c r="F2980" s="49"/>
      <c r="G2980" s="71" t="s">
        <v>581</v>
      </c>
      <c r="H2980" s="41"/>
      <c r="I2980" s="42"/>
      <c r="J2980" s="85" t="s">
        <v>1319</v>
      </c>
      <c r="K2980" s="72">
        <v>1.0</v>
      </c>
      <c r="L2980" s="53" t="s">
        <v>62</v>
      </c>
      <c r="M2980" s="73">
        <v>125000.0</v>
      </c>
      <c r="N2980" s="74"/>
      <c r="O2980" s="73">
        <v>125000.0</v>
      </c>
      <c r="P2980" s="46" t="str">
        <f t="shared" si="2"/>
        <v>Rp125,000-1 LSN-0.00%</v>
      </c>
      <c r="Q2980" s="75">
        <v>45420.0</v>
      </c>
      <c r="R2980" s="76"/>
      <c r="S2980" s="75">
        <v>45426.0</v>
      </c>
      <c r="T2980" s="80" t="s">
        <v>280</v>
      </c>
    </row>
    <row r="2981">
      <c r="A2981" s="90">
        <v>87.0</v>
      </c>
      <c r="B2981" s="91" t="s">
        <v>29</v>
      </c>
      <c r="C2981" s="80" t="s">
        <v>3052</v>
      </c>
      <c r="D2981" s="91" t="s">
        <v>2210</v>
      </c>
      <c r="E2981" s="41" t="str">
        <f>IFERROR(__xludf.DUMMYFUNCTION("vlookup(D2981,IMPORTRANGE(""https://docs.google.com/spreadsheets/d/1swGwZOEqYlTEUCJLY-eeJM1911Kvaei5oySBIxdgtNo/edit?pli=1#gid=257618397"",""stock untanna!B:C""),2,false)"),"PENSIL CASE DZ-32 KALENG")</f>
        <v>PENSIL CASE DZ-32 KALENG</v>
      </c>
      <c r="F2981" s="49" t="s">
        <v>2210</v>
      </c>
      <c r="G2981" s="71" t="s">
        <v>2211</v>
      </c>
      <c r="H2981" s="41"/>
      <c r="I2981" s="42"/>
      <c r="J2981" s="43"/>
      <c r="K2981" s="72">
        <v>12.0</v>
      </c>
      <c r="L2981" s="53" t="s">
        <v>69</v>
      </c>
      <c r="M2981" s="73">
        <v>12500.0</v>
      </c>
      <c r="N2981" s="74"/>
      <c r="O2981" s="73">
        <v>150000.0</v>
      </c>
      <c r="P2981" s="46" t="str">
        <f t="shared" si="2"/>
        <v>Rp12,500-12 PCS-0.00%</v>
      </c>
      <c r="Q2981" s="75">
        <v>45420.0</v>
      </c>
      <c r="R2981" s="76"/>
      <c r="S2981" s="75">
        <v>45426.0</v>
      </c>
      <c r="T2981" s="49"/>
    </row>
    <row r="2982">
      <c r="A2982" s="90">
        <v>87.0</v>
      </c>
      <c r="B2982" s="91" t="s">
        <v>29</v>
      </c>
      <c r="C2982" s="80" t="s">
        <v>3052</v>
      </c>
      <c r="D2982" s="91" t="s">
        <v>558</v>
      </c>
      <c r="E2982" s="41" t="str">
        <f>IFERROR(__xludf.DUMMYFUNCTION("vlookup(D2982,IMPORTRANGE(""https://docs.google.com/spreadsheets/d/1swGwZOEqYlTEUCJLY-eeJM1911Kvaei5oySBIxdgtNo/edit?pli=1#gid=257618397"",""stock untanna!B:C""),2,false)"),"PENSIL CASE PC-633-5 MOBIL K")</f>
        <v>PENSIL CASE PC-633-5 MOBIL K</v>
      </c>
      <c r="F2982" s="49" t="s">
        <v>558</v>
      </c>
      <c r="G2982" s="71" t="s">
        <v>559</v>
      </c>
      <c r="H2982" s="41"/>
      <c r="I2982" s="42"/>
      <c r="J2982" s="43"/>
      <c r="K2982" s="72">
        <v>12.0</v>
      </c>
      <c r="L2982" s="53" t="s">
        <v>69</v>
      </c>
      <c r="M2982" s="73">
        <v>12500.0</v>
      </c>
      <c r="N2982" s="74"/>
      <c r="O2982" s="73">
        <v>150000.0</v>
      </c>
      <c r="P2982" s="46" t="str">
        <f t="shared" si="2"/>
        <v>Rp12,500-12 PCS-0.00%</v>
      </c>
      <c r="Q2982" s="75">
        <v>45420.0</v>
      </c>
      <c r="R2982" s="76"/>
      <c r="S2982" s="75">
        <v>45426.0</v>
      </c>
      <c r="T2982" s="49"/>
    </row>
    <row r="2983">
      <c r="A2983" s="90">
        <v>87.0</v>
      </c>
      <c r="B2983" s="91" t="s">
        <v>29</v>
      </c>
      <c r="C2983" s="80" t="s">
        <v>3052</v>
      </c>
      <c r="D2983" s="91"/>
      <c r="E2983" s="41" t="s">
        <v>3067</v>
      </c>
      <c r="F2983" s="49"/>
      <c r="G2983" s="71" t="s">
        <v>3067</v>
      </c>
      <c r="H2983" s="41"/>
      <c r="I2983" s="42"/>
      <c r="J2983" s="43"/>
      <c r="K2983" s="72">
        <v>1.0</v>
      </c>
      <c r="L2983" s="53" t="s">
        <v>62</v>
      </c>
      <c r="M2983" s="73">
        <v>250000.0</v>
      </c>
      <c r="N2983" s="74"/>
      <c r="O2983" s="73">
        <v>250000.0</v>
      </c>
      <c r="P2983" s="46" t="str">
        <f t="shared" si="2"/>
        <v>Rp250,000-1 LSN-0.00%</v>
      </c>
      <c r="Q2983" s="75">
        <v>45420.0</v>
      </c>
      <c r="R2983" s="76"/>
      <c r="S2983" s="75">
        <v>45426.0</v>
      </c>
      <c r="T2983" s="49"/>
    </row>
    <row r="2984">
      <c r="A2984" s="90">
        <v>87.0</v>
      </c>
      <c r="B2984" s="91" t="s">
        <v>29</v>
      </c>
      <c r="C2984" s="80" t="s">
        <v>3052</v>
      </c>
      <c r="D2984" s="91"/>
      <c r="E2984" s="41" t="s">
        <v>3068</v>
      </c>
      <c r="F2984" s="49"/>
      <c r="G2984" s="71" t="s">
        <v>3068</v>
      </c>
      <c r="H2984" s="41"/>
      <c r="I2984" s="42"/>
      <c r="J2984" s="43"/>
      <c r="K2984" s="72">
        <v>1.0</v>
      </c>
      <c r="L2984" s="53" t="s">
        <v>62</v>
      </c>
      <c r="M2984" s="73">
        <v>250000.0</v>
      </c>
      <c r="N2984" s="74"/>
      <c r="O2984" s="73">
        <v>250000.0</v>
      </c>
      <c r="P2984" s="46" t="str">
        <f t="shared" si="2"/>
        <v>Rp250,000-1 LSN-0.00%</v>
      </c>
      <c r="Q2984" s="75">
        <v>45420.0</v>
      </c>
      <c r="R2984" s="76"/>
      <c r="S2984" s="75">
        <v>45426.0</v>
      </c>
      <c r="T2984" s="49"/>
    </row>
    <row r="2985">
      <c r="A2985" s="90">
        <v>87.0</v>
      </c>
      <c r="B2985" s="91" t="s">
        <v>29</v>
      </c>
      <c r="C2985" s="80" t="s">
        <v>3052</v>
      </c>
      <c r="D2985" s="91" t="s">
        <v>1155</v>
      </c>
      <c r="E2985" s="41" t="str">
        <f>IFERROR(__xludf.DUMMYFUNCTION("vlookup(D2985,IMPORTRANGE(""https://docs.google.com/spreadsheets/d/1swGwZOEqYlTEUCJLY-eeJM1911Kvaei5oySBIxdgtNo/edit?pli=1#gid=257618397"",""stock untanna!B:C""),2,false)"),"PENSIL CASE PC-619-3 MOBIL + KODE")</f>
        <v>PENSIL CASE PC-619-3 MOBIL + KODE</v>
      </c>
      <c r="F2985" s="49" t="s">
        <v>1155</v>
      </c>
      <c r="G2985" s="71" t="s">
        <v>1156</v>
      </c>
      <c r="H2985" s="41"/>
      <c r="I2985" s="42"/>
      <c r="J2985" s="43"/>
      <c r="K2985" s="72">
        <v>12.0</v>
      </c>
      <c r="L2985" s="53" t="s">
        <v>69</v>
      </c>
      <c r="M2985" s="73">
        <v>16667.0</v>
      </c>
      <c r="N2985" s="74"/>
      <c r="O2985" s="73">
        <v>200004.0</v>
      </c>
      <c r="P2985" s="46" t="str">
        <f t="shared" si="2"/>
        <v>Rp16,667-12 PCS-0.00%</v>
      </c>
      <c r="Q2985" s="75">
        <v>45420.0</v>
      </c>
      <c r="R2985" s="76"/>
      <c r="S2985" s="75">
        <v>45426.0</v>
      </c>
      <c r="T2985" s="49"/>
    </row>
    <row r="2986">
      <c r="A2986" s="90">
        <v>87.0</v>
      </c>
      <c r="B2986" s="91" t="s">
        <v>29</v>
      </c>
      <c r="C2986" s="80" t="s">
        <v>3052</v>
      </c>
      <c r="D2986" s="91" t="s">
        <v>3069</v>
      </c>
      <c r="E2986" s="41" t="str">
        <f>IFERROR(__xludf.DUMMYFUNCTION("vlookup(D2986,IMPORTRANGE(""https://docs.google.com/spreadsheets/d/1swGwZOEqYlTEUCJLY-eeJM1911Kvaei5oySBIxdgtNo/edit?pli=1#gid=257618397"",""stock untanna!B:C""),2,false)"),"PC K 93")</f>
        <v>PC K 93</v>
      </c>
      <c r="F2986" s="49" t="s">
        <v>3069</v>
      </c>
      <c r="G2986" s="71" t="s">
        <v>3070</v>
      </c>
      <c r="H2986" s="41"/>
      <c r="I2986" s="42"/>
      <c r="J2986" s="43"/>
      <c r="K2986" s="72">
        <v>24.0</v>
      </c>
      <c r="L2986" s="53" t="s">
        <v>69</v>
      </c>
      <c r="M2986" s="73">
        <v>8333.0</v>
      </c>
      <c r="N2986" s="74"/>
      <c r="O2986" s="73">
        <v>199992.0</v>
      </c>
      <c r="P2986" s="46" t="str">
        <f t="shared" si="2"/>
        <v>Rp8,333-24 PCS-0.00%</v>
      </c>
      <c r="Q2986" s="75">
        <v>45420.0</v>
      </c>
      <c r="R2986" s="76"/>
      <c r="S2986" s="75">
        <v>45426.0</v>
      </c>
      <c r="T2986" s="49"/>
    </row>
    <row r="2987">
      <c r="A2987" s="90">
        <v>87.0</v>
      </c>
      <c r="B2987" s="91" t="s">
        <v>29</v>
      </c>
      <c r="C2987" s="80" t="s">
        <v>3052</v>
      </c>
      <c r="D2987" s="91" t="s">
        <v>3071</v>
      </c>
      <c r="E2987" s="41" t="str">
        <f>IFERROR(__xludf.DUMMYFUNCTION("vlookup(D2987,IMPORTRANGE(""https://docs.google.com/spreadsheets/d/1swGwZOEqYlTEUCJLY-eeJM1911Kvaei5oySBIxdgtNo/edit?pli=1#gid=257618397"",""stock untanna!B:C""),2,false)"),"PC RET IMITASI 385")</f>
        <v>PC RET IMITASI 385</v>
      </c>
      <c r="F2987" s="49" t="s">
        <v>3071</v>
      </c>
      <c r="G2987" s="71" t="s">
        <v>3072</v>
      </c>
      <c r="H2987" s="41"/>
      <c r="I2987" s="42"/>
      <c r="J2987" s="43"/>
      <c r="K2987" s="72">
        <v>2.0</v>
      </c>
      <c r="L2987" s="53" t="s">
        <v>62</v>
      </c>
      <c r="M2987" s="73">
        <v>100000.0</v>
      </c>
      <c r="N2987" s="74"/>
      <c r="O2987" s="73">
        <v>200000.0</v>
      </c>
      <c r="P2987" s="46" t="str">
        <f t="shared" si="2"/>
        <v>Rp100,000-2 LSN-0.00%</v>
      </c>
      <c r="Q2987" s="75">
        <v>45420.0</v>
      </c>
      <c r="R2987" s="76"/>
      <c r="S2987" s="75">
        <v>45426.0</v>
      </c>
      <c r="T2987" s="49"/>
    </row>
    <row r="2988">
      <c r="A2988" s="90">
        <v>87.0</v>
      </c>
      <c r="B2988" s="91" t="s">
        <v>29</v>
      </c>
      <c r="C2988" s="80" t="s">
        <v>3052</v>
      </c>
      <c r="D2988" s="91"/>
      <c r="E2988" s="41" t="s">
        <v>3073</v>
      </c>
      <c r="F2988" s="49"/>
      <c r="G2988" s="71" t="s">
        <v>3073</v>
      </c>
      <c r="H2988" s="41"/>
      <c r="I2988" s="42"/>
      <c r="J2988" s="43"/>
      <c r="K2988" s="72">
        <v>2.0</v>
      </c>
      <c r="L2988" s="53" t="s">
        <v>62</v>
      </c>
      <c r="M2988" s="73">
        <v>110000.0</v>
      </c>
      <c r="N2988" s="74"/>
      <c r="O2988" s="73">
        <v>220000.0</v>
      </c>
      <c r="P2988" s="46" t="str">
        <f t="shared" si="2"/>
        <v>Rp110,000-2 LSN-0.00%</v>
      </c>
      <c r="Q2988" s="75">
        <v>45420.0</v>
      </c>
      <c r="R2988" s="76"/>
      <c r="S2988" s="75">
        <v>45426.0</v>
      </c>
      <c r="T2988" s="49"/>
    </row>
    <row r="2989">
      <c r="A2989" s="90">
        <v>87.0</v>
      </c>
      <c r="B2989" s="91" t="s">
        <v>29</v>
      </c>
      <c r="C2989" s="80" t="s">
        <v>3052</v>
      </c>
      <c r="D2989" s="91"/>
      <c r="E2989" s="41" t="s">
        <v>3074</v>
      </c>
      <c r="F2989" s="49"/>
      <c r="G2989" s="71" t="s">
        <v>3074</v>
      </c>
      <c r="H2989" s="41"/>
      <c r="I2989" s="42"/>
      <c r="J2989" s="43"/>
      <c r="K2989" s="72">
        <v>2.0</v>
      </c>
      <c r="L2989" s="53" t="s">
        <v>62</v>
      </c>
      <c r="M2989" s="73">
        <v>110000.0</v>
      </c>
      <c r="N2989" s="74"/>
      <c r="O2989" s="73">
        <v>220000.0</v>
      </c>
      <c r="P2989" s="46" t="str">
        <f t="shared" si="2"/>
        <v>Rp110,000-2 LSN-0.00%</v>
      </c>
      <c r="Q2989" s="75">
        <v>45420.0</v>
      </c>
      <c r="R2989" s="76"/>
      <c r="S2989" s="75">
        <v>45426.0</v>
      </c>
      <c r="T2989" s="49"/>
    </row>
    <row r="2990">
      <c r="A2990" s="90">
        <v>87.0</v>
      </c>
      <c r="B2990" s="91" t="s">
        <v>29</v>
      </c>
      <c r="C2990" s="80" t="s">
        <v>3052</v>
      </c>
      <c r="D2990" s="91" t="s">
        <v>1098</v>
      </c>
      <c r="E2990" s="41" t="str">
        <f>IFERROR(__xludf.DUMMYFUNCTION("vlookup(D2990,IMPORTRANGE(""https://docs.google.com/spreadsheets/d/1swGwZOEqYlTEUCJLY-eeJM1911Kvaei5oySBIxdgtNo/edit?pli=1#gid=257618397"",""stock untanna!B:C""),2,false)"),"PENCIL CASE B-136")</f>
        <v>PENCIL CASE B-136</v>
      </c>
      <c r="F2990" s="49" t="s">
        <v>1098</v>
      </c>
      <c r="G2990" s="71" t="s">
        <v>1099</v>
      </c>
      <c r="H2990" s="41"/>
      <c r="I2990" s="42"/>
      <c r="J2990" s="43"/>
      <c r="K2990" s="72">
        <v>2.0</v>
      </c>
      <c r="L2990" s="53" t="s">
        <v>62</v>
      </c>
      <c r="M2990" s="73">
        <v>135000.0</v>
      </c>
      <c r="N2990" s="74"/>
      <c r="O2990" s="73">
        <v>270000.0</v>
      </c>
      <c r="P2990" s="46" t="str">
        <f t="shared" si="2"/>
        <v>Rp135,000-2 LSN-0.00%</v>
      </c>
      <c r="Q2990" s="75">
        <v>45420.0</v>
      </c>
      <c r="R2990" s="76"/>
      <c r="S2990" s="75">
        <v>45426.0</v>
      </c>
      <c r="T2990" s="49"/>
    </row>
    <row r="2991">
      <c r="A2991" s="90">
        <v>87.0</v>
      </c>
      <c r="B2991" s="91" t="s">
        <v>29</v>
      </c>
      <c r="C2991" s="80" t="s">
        <v>3052</v>
      </c>
      <c r="D2991" s="91"/>
      <c r="E2991" s="41" t="s">
        <v>3075</v>
      </c>
      <c r="F2991" s="49"/>
      <c r="G2991" s="71" t="s">
        <v>3075</v>
      </c>
      <c r="H2991" s="41"/>
      <c r="I2991" s="42"/>
      <c r="J2991" s="43"/>
      <c r="K2991" s="72">
        <v>2.0</v>
      </c>
      <c r="L2991" s="53" t="s">
        <v>62</v>
      </c>
      <c r="M2991" s="73">
        <v>60000.0</v>
      </c>
      <c r="N2991" s="74"/>
      <c r="O2991" s="73">
        <v>120000.0</v>
      </c>
      <c r="P2991" s="46" t="str">
        <f t="shared" si="2"/>
        <v>Rp60,000-2 LSN-0.00%</v>
      </c>
      <c r="Q2991" s="75">
        <v>45420.0</v>
      </c>
      <c r="R2991" s="76"/>
      <c r="S2991" s="75">
        <v>45426.0</v>
      </c>
      <c r="T2991" s="80" t="s">
        <v>280</v>
      </c>
    </row>
    <row r="2992">
      <c r="A2992" s="90">
        <v>87.0</v>
      </c>
      <c r="B2992" s="91" t="s">
        <v>29</v>
      </c>
      <c r="C2992" s="80" t="s">
        <v>3052</v>
      </c>
      <c r="D2992" s="91"/>
      <c r="E2992" s="41" t="s">
        <v>3076</v>
      </c>
      <c r="F2992" s="49"/>
      <c r="G2992" s="71" t="s">
        <v>3076</v>
      </c>
      <c r="H2992" s="41"/>
      <c r="I2992" s="42"/>
      <c r="J2992" s="43"/>
      <c r="K2992" s="72">
        <v>1.0</v>
      </c>
      <c r="L2992" s="53" t="s">
        <v>62</v>
      </c>
      <c r="M2992" s="73">
        <v>175000.0</v>
      </c>
      <c r="N2992" s="74"/>
      <c r="O2992" s="73">
        <v>175000.0</v>
      </c>
      <c r="P2992" s="46" t="str">
        <f t="shared" si="2"/>
        <v>Rp175,000-1 LSN-0.00%</v>
      </c>
      <c r="Q2992" s="75">
        <v>45420.0</v>
      </c>
      <c r="R2992" s="76"/>
      <c r="S2992" s="75">
        <v>45426.0</v>
      </c>
      <c r="T2992" s="80" t="s">
        <v>280</v>
      </c>
    </row>
    <row r="2993">
      <c r="A2993" s="90">
        <v>88.0</v>
      </c>
      <c r="B2993" s="91" t="s">
        <v>29</v>
      </c>
      <c r="C2993" s="80" t="s">
        <v>3052</v>
      </c>
      <c r="D2993" s="91" t="s">
        <v>3077</v>
      </c>
      <c r="E2993" s="41" t="str">
        <f>IFERROR(__xludf.DUMMYFUNCTION("vlookup(D2993,IMPORTRANGE(""https://docs.google.com/spreadsheets/d/1swGwZOEqYlTEUCJLY-eeJM1911Kvaei5oySBIxdgtNo/edit?pli=1#gid=257618397"",""stock untanna!B:C""),2,false)"),"PENSIL CASE 168-69-3")</f>
        <v>PENSIL CASE 168-69-3</v>
      </c>
      <c r="F2993" s="49" t="s">
        <v>3077</v>
      </c>
      <c r="G2993" s="71" t="s">
        <v>3078</v>
      </c>
      <c r="H2993" s="41"/>
      <c r="I2993" s="42"/>
      <c r="J2993" s="43"/>
      <c r="K2993" s="72">
        <v>12.0</v>
      </c>
      <c r="L2993" s="53" t="s">
        <v>69</v>
      </c>
      <c r="M2993" s="73">
        <v>16667.0</v>
      </c>
      <c r="N2993" s="74"/>
      <c r="O2993" s="73">
        <v>200004.0</v>
      </c>
      <c r="P2993" s="46" t="str">
        <f t="shared" si="2"/>
        <v>Rp16,667-12 PCS-0.00%</v>
      </c>
      <c r="Q2993" s="75">
        <v>45420.0</v>
      </c>
      <c r="R2993" s="76"/>
      <c r="S2993" s="75">
        <v>45426.0</v>
      </c>
      <c r="T2993" s="49"/>
    </row>
    <row r="2994">
      <c r="A2994" s="90">
        <v>88.0</v>
      </c>
      <c r="B2994" s="91" t="s">
        <v>29</v>
      </c>
      <c r="C2994" s="80" t="s">
        <v>3052</v>
      </c>
      <c r="D2994" s="91"/>
      <c r="E2994" s="41" t="s">
        <v>3079</v>
      </c>
      <c r="F2994" s="49"/>
      <c r="G2994" s="71" t="s">
        <v>3079</v>
      </c>
      <c r="H2994" s="41"/>
      <c r="I2994" s="42"/>
      <c r="J2994" s="43"/>
      <c r="K2994" s="72">
        <v>1.0</v>
      </c>
      <c r="L2994" s="53" t="s">
        <v>62</v>
      </c>
      <c r="M2994" s="73">
        <v>275000.0</v>
      </c>
      <c r="N2994" s="74"/>
      <c r="O2994" s="73">
        <v>275000.0</v>
      </c>
      <c r="P2994" s="46" t="str">
        <f t="shared" si="2"/>
        <v>Rp275,000-1 LSN-0.00%</v>
      </c>
      <c r="Q2994" s="75">
        <v>45420.0</v>
      </c>
      <c r="R2994" s="76"/>
      <c r="S2994" s="75">
        <v>45426.0</v>
      </c>
      <c r="T2994" s="80" t="s">
        <v>280</v>
      </c>
    </row>
    <row r="2995">
      <c r="A2995" s="90">
        <v>88.0</v>
      </c>
      <c r="B2995" s="91" t="s">
        <v>29</v>
      </c>
      <c r="C2995" s="80" t="s">
        <v>3052</v>
      </c>
      <c r="D2995" s="91" t="s">
        <v>2356</v>
      </c>
      <c r="E2995" s="41" t="str">
        <f>IFERROR(__xludf.DUMMYFUNCTION("vlookup(D2995,IMPORTRANGE(""https://docs.google.com/spreadsheets/d/1swGwZOEqYlTEUCJLY-eeJM1911Kvaei5oySBIxdgtNo/edit?pli=1#gid=257618397"",""stock untanna!B:C""),2,false)"),"PENSIL CASE AD-062")</f>
        <v>PENSIL CASE AD-062</v>
      </c>
      <c r="F2995" s="49" t="s">
        <v>2356</v>
      </c>
      <c r="G2995" s="71" t="s">
        <v>2357</v>
      </c>
      <c r="H2995" s="41"/>
      <c r="I2995" s="42"/>
      <c r="J2995" s="43"/>
      <c r="K2995" s="72">
        <v>12.0</v>
      </c>
      <c r="L2995" s="53" t="s">
        <v>69</v>
      </c>
      <c r="M2995" s="73">
        <v>16667.0</v>
      </c>
      <c r="N2995" s="74"/>
      <c r="O2995" s="73">
        <v>200004.0</v>
      </c>
      <c r="P2995" s="46" t="str">
        <f t="shared" si="2"/>
        <v>Rp16,667-12 PCS-0.00%</v>
      </c>
      <c r="Q2995" s="75">
        <v>45420.0</v>
      </c>
      <c r="R2995" s="76"/>
      <c r="S2995" s="75">
        <v>45426.0</v>
      </c>
      <c r="T2995" s="49"/>
    </row>
    <row r="2996">
      <c r="A2996" s="90">
        <v>88.0</v>
      </c>
      <c r="B2996" s="91" t="s">
        <v>29</v>
      </c>
      <c r="C2996" s="80" t="s">
        <v>3052</v>
      </c>
      <c r="D2996" s="91"/>
      <c r="E2996" s="41" t="s">
        <v>3080</v>
      </c>
      <c r="F2996" s="49"/>
      <c r="G2996" s="71" t="s">
        <v>3080</v>
      </c>
      <c r="H2996" s="41"/>
      <c r="I2996" s="42"/>
      <c r="J2996" s="43"/>
      <c r="K2996" s="72">
        <v>1.0</v>
      </c>
      <c r="L2996" s="53" t="s">
        <v>62</v>
      </c>
      <c r="M2996" s="73">
        <v>120000.0</v>
      </c>
      <c r="N2996" s="74"/>
      <c r="O2996" s="73">
        <v>120000.0</v>
      </c>
      <c r="P2996" s="46" t="str">
        <f t="shared" si="2"/>
        <v>Rp120,000-1 LSN-0.00%</v>
      </c>
      <c r="Q2996" s="75">
        <v>45420.0</v>
      </c>
      <c r="R2996" s="76"/>
      <c r="S2996" s="75">
        <v>45426.0</v>
      </c>
      <c r="T2996" s="49"/>
    </row>
    <row r="2997">
      <c r="A2997" s="90">
        <v>88.0</v>
      </c>
      <c r="B2997" s="91" t="s">
        <v>29</v>
      </c>
      <c r="C2997" s="80" t="s">
        <v>3052</v>
      </c>
      <c r="D2997" s="91" t="s">
        <v>3081</v>
      </c>
      <c r="E2997" s="41" t="str">
        <f>IFERROR(__xludf.DUMMYFUNCTION("vlookup(D2997,IMPORTRANGE(""https://docs.google.com/spreadsheets/d/1swGwZOEqYlTEUCJLY-eeJM1911Kvaei5oySBIxdgtNo/edit?pli=1#gid=257618397"",""stock untanna!B:C""),2,false)"),"PENSIL CASE WLT9903")</f>
        <v>PENSIL CASE WLT9903</v>
      </c>
      <c r="F2997" s="49" t="s">
        <v>3081</v>
      </c>
      <c r="G2997" s="71" t="s">
        <v>3082</v>
      </c>
      <c r="H2997" s="41"/>
      <c r="I2997" s="42"/>
      <c r="J2997" s="43"/>
      <c r="K2997" s="72">
        <v>12.0</v>
      </c>
      <c r="L2997" s="53" t="s">
        <v>69</v>
      </c>
      <c r="M2997" s="73">
        <v>9167.0</v>
      </c>
      <c r="N2997" s="74"/>
      <c r="O2997" s="73">
        <v>110004.0</v>
      </c>
      <c r="P2997" s="46" t="str">
        <f t="shared" si="2"/>
        <v>Rp9,167-12 PCS-0.00%</v>
      </c>
      <c r="Q2997" s="75">
        <v>45420.0</v>
      </c>
      <c r="R2997" s="76"/>
      <c r="S2997" s="75">
        <v>45426.0</v>
      </c>
      <c r="T2997" s="49"/>
    </row>
    <row r="2998">
      <c r="A2998" s="90">
        <v>88.0</v>
      </c>
      <c r="B2998" s="91" t="s">
        <v>29</v>
      </c>
      <c r="C2998" s="80" t="s">
        <v>3052</v>
      </c>
      <c r="D2998" s="91"/>
      <c r="E2998" s="41" t="s">
        <v>3083</v>
      </c>
      <c r="F2998" s="49"/>
      <c r="G2998" s="71" t="s">
        <v>3083</v>
      </c>
      <c r="H2998" s="41"/>
      <c r="I2998" s="42"/>
      <c r="J2998" s="43"/>
      <c r="K2998" s="72">
        <v>1.0</v>
      </c>
      <c r="L2998" s="53" t="s">
        <v>62</v>
      </c>
      <c r="M2998" s="73">
        <v>150000.0</v>
      </c>
      <c r="N2998" s="74"/>
      <c r="O2998" s="73">
        <v>150000.0</v>
      </c>
      <c r="P2998" s="46" t="str">
        <f t="shared" si="2"/>
        <v>Rp150,000-1 LSN-0.00%</v>
      </c>
      <c r="Q2998" s="75">
        <v>45420.0</v>
      </c>
      <c r="R2998" s="76"/>
      <c r="S2998" s="75">
        <v>45426.0</v>
      </c>
      <c r="T2998" s="49"/>
    </row>
    <row r="2999">
      <c r="A2999" s="90">
        <v>88.0</v>
      </c>
      <c r="B2999" s="91" t="s">
        <v>29</v>
      </c>
      <c r="C2999" s="80" t="s">
        <v>3052</v>
      </c>
      <c r="D2999" s="91" t="s">
        <v>3011</v>
      </c>
      <c r="E2999" s="41" t="str">
        <f>IFERROR(__xludf.DUMMYFUNCTION("vlookup(D2999,IMPORTRANGE(""https://docs.google.com/spreadsheets/d/1swGwZOEqYlTEUCJLY-eeJM1911Kvaei5oySBIxdgtNo/edit?pli=1#gid=257618397"",""stock untanna!B:C""),2,false)"),"PENCIL CASE SET RS 3000 FANCY")</f>
        <v>PENCIL CASE SET RS 3000 FANCY</v>
      </c>
      <c r="F2999" s="49" t="s">
        <v>3011</v>
      </c>
      <c r="G2999" s="71" t="s">
        <v>3012</v>
      </c>
      <c r="H2999" s="41"/>
      <c r="I2999" s="42"/>
      <c r="J2999" s="43"/>
      <c r="K2999" s="72">
        <v>12.0</v>
      </c>
      <c r="L2999" s="53" t="s">
        <v>69</v>
      </c>
      <c r="M2999" s="73">
        <v>16000.0</v>
      </c>
      <c r="N2999" s="74"/>
      <c r="O2999" s="73">
        <v>192000.0</v>
      </c>
      <c r="P2999" s="46" t="str">
        <f t="shared" si="2"/>
        <v>Rp16,000-12 PCS-0.00%</v>
      </c>
      <c r="Q2999" s="75">
        <v>45420.0</v>
      </c>
      <c r="R2999" s="76"/>
      <c r="S2999" s="75">
        <v>45426.0</v>
      </c>
      <c r="T2999" s="49"/>
    </row>
    <row r="3000">
      <c r="A3000" s="90">
        <v>88.0</v>
      </c>
      <c r="B3000" s="91" t="s">
        <v>29</v>
      </c>
      <c r="C3000" s="80" t="s">
        <v>3052</v>
      </c>
      <c r="D3000" s="91"/>
      <c r="E3000" s="41" t="s">
        <v>2248</v>
      </c>
      <c r="F3000" s="49"/>
      <c r="G3000" s="71" t="s">
        <v>2248</v>
      </c>
      <c r="H3000" s="41"/>
      <c r="I3000" s="42"/>
      <c r="J3000" s="43"/>
      <c r="K3000" s="72">
        <v>2.0</v>
      </c>
      <c r="L3000" s="53" t="s">
        <v>62</v>
      </c>
      <c r="M3000" s="73">
        <v>100000.0</v>
      </c>
      <c r="N3000" s="74"/>
      <c r="O3000" s="73">
        <v>200000.0</v>
      </c>
      <c r="P3000" s="46" t="str">
        <f t="shared" si="2"/>
        <v>Rp100,000-2 LSN-0.00%</v>
      </c>
      <c r="Q3000" s="75">
        <v>45420.0</v>
      </c>
      <c r="R3000" s="76"/>
      <c r="S3000" s="75">
        <v>45426.0</v>
      </c>
      <c r="T3000" s="80" t="s">
        <v>280</v>
      </c>
    </row>
    <row r="3001">
      <c r="A3001" s="90">
        <v>88.0</v>
      </c>
      <c r="B3001" s="91" t="s">
        <v>29</v>
      </c>
      <c r="C3001" s="80" t="s">
        <v>3052</v>
      </c>
      <c r="D3001" s="91"/>
      <c r="E3001" s="41" t="s">
        <v>2962</v>
      </c>
      <c r="F3001" s="49"/>
      <c r="G3001" s="71" t="s">
        <v>2962</v>
      </c>
      <c r="H3001" s="41"/>
      <c r="I3001" s="42"/>
      <c r="J3001" s="43"/>
      <c r="K3001" s="72">
        <v>2.0</v>
      </c>
      <c r="L3001" s="53" t="s">
        <v>62</v>
      </c>
      <c r="M3001" s="73">
        <v>90000.0</v>
      </c>
      <c r="N3001" s="74"/>
      <c r="O3001" s="73">
        <v>180000.0</v>
      </c>
      <c r="P3001" s="46" t="str">
        <f t="shared" si="2"/>
        <v>Rp90,000-2 LSN-0.00%</v>
      </c>
      <c r="Q3001" s="75">
        <v>45420.0</v>
      </c>
      <c r="R3001" s="76"/>
      <c r="S3001" s="75">
        <v>45426.0</v>
      </c>
      <c r="T3001" s="80" t="s">
        <v>280</v>
      </c>
    </row>
    <row r="3002">
      <c r="A3002" s="90">
        <v>88.0</v>
      </c>
      <c r="B3002" s="91" t="s">
        <v>29</v>
      </c>
      <c r="C3002" s="80" t="s">
        <v>3052</v>
      </c>
      <c r="D3002" s="91"/>
      <c r="E3002" s="41" t="s">
        <v>1140</v>
      </c>
      <c r="F3002" s="49"/>
      <c r="G3002" s="71" t="s">
        <v>1140</v>
      </c>
      <c r="H3002" s="41"/>
      <c r="I3002" s="42"/>
      <c r="J3002" s="43"/>
      <c r="K3002" s="72">
        <v>2.0</v>
      </c>
      <c r="L3002" s="53" t="s">
        <v>62</v>
      </c>
      <c r="M3002" s="73">
        <v>75000.0</v>
      </c>
      <c r="N3002" s="74"/>
      <c r="O3002" s="73">
        <v>150000.0</v>
      </c>
      <c r="P3002" s="46" t="str">
        <f t="shared" si="2"/>
        <v>Rp75,000-2 LSN-0.00%</v>
      </c>
      <c r="Q3002" s="75">
        <v>45420.0</v>
      </c>
      <c r="R3002" s="76"/>
      <c r="S3002" s="75">
        <v>45426.0</v>
      </c>
      <c r="T3002" s="80" t="s">
        <v>280</v>
      </c>
    </row>
    <row r="3003">
      <c r="A3003" s="90">
        <v>88.0</v>
      </c>
      <c r="B3003" s="91" t="s">
        <v>29</v>
      </c>
      <c r="C3003" s="80" t="s">
        <v>3052</v>
      </c>
      <c r="D3003" s="91"/>
      <c r="E3003" s="41" t="s">
        <v>1159</v>
      </c>
      <c r="F3003" s="49"/>
      <c r="G3003" s="71" t="s">
        <v>1159</v>
      </c>
      <c r="H3003" s="41"/>
      <c r="I3003" s="42"/>
      <c r="J3003" s="43"/>
      <c r="K3003" s="72">
        <v>2.0</v>
      </c>
      <c r="L3003" s="53" t="s">
        <v>62</v>
      </c>
      <c r="M3003" s="73">
        <v>70000.0</v>
      </c>
      <c r="N3003" s="74"/>
      <c r="O3003" s="73">
        <v>140000.0</v>
      </c>
      <c r="P3003" s="46" t="str">
        <f t="shared" si="2"/>
        <v>Rp70,000-2 LSN-0.00%</v>
      </c>
      <c r="Q3003" s="75">
        <v>45420.0</v>
      </c>
      <c r="R3003" s="76"/>
      <c r="S3003" s="75">
        <v>45426.0</v>
      </c>
      <c r="T3003" s="80" t="s">
        <v>280</v>
      </c>
    </row>
    <row r="3004">
      <c r="A3004" s="90">
        <v>88.0</v>
      </c>
      <c r="B3004" s="91" t="s">
        <v>29</v>
      </c>
      <c r="C3004" s="80" t="s">
        <v>3052</v>
      </c>
      <c r="D3004" s="91" t="s">
        <v>1102</v>
      </c>
      <c r="E3004" s="41" t="str">
        <f>IFERROR(__xludf.DUMMYFUNCTION("vlookup(D3004,IMPORTRANGE(""https://docs.google.com/spreadsheets/d/1swGwZOEqYlTEUCJLY-eeJM1911Kvaei5oySBIxdgtNo/edit?pli=1#gid=257618397"",""stock untanna!B:C""),2,false)"),"PENCIL CASE XLG BD860")</f>
        <v>PENCIL CASE XLG BD860</v>
      </c>
      <c r="F3004" s="49" t="s">
        <v>1102</v>
      </c>
      <c r="G3004" s="71" t="s">
        <v>1103</v>
      </c>
      <c r="H3004" s="41"/>
      <c r="I3004" s="42"/>
      <c r="J3004" s="43"/>
      <c r="K3004" s="72">
        <v>12.0</v>
      </c>
      <c r="L3004" s="53" t="s">
        <v>69</v>
      </c>
      <c r="M3004" s="73">
        <v>27083.0</v>
      </c>
      <c r="N3004" s="74"/>
      <c r="O3004" s="73">
        <v>324996.0</v>
      </c>
      <c r="P3004" s="46" t="str">
        <f t="shared" si="2"/>
        <v>Rp27,083-12 PCS-0.00%</v>
      </c>
      <c r="Q3004" s="75">
        <v>45420.0</v>
      </c>
      <c r="R3004" s="76"/>
      <c r="S3004" s="75">
        <v>45426.0</v>
      </c>
      <c r="T3004" s="49"/>
    </row>
    <row r="3005">
      <c r="A3005" s="90">
        <v>88.0</v>
      </c>
      <c r="B3005" s="91" t="s">
        <v>29</v>
      </c>
      <c r="C3005" s="80" t="s">
        <v>3052</v>
      </c>
      <c r="D3005" s="91" t="s">
        <v>1400</v>
      </c>
      <c r="E3005" s="41" t="str">
        <f>IFERROR(__xludf.DUMMYFUNCTION("vlookup(D3005,IMPORTRANGE(""https://docs.google.com/spreadsheets/d/1swGwZOEqYlTEUCJLY-eeJM1911Kvaei5oySBIxdgtNo/edit?pli=1#gid=257618397"",""stock untanna!B:C""),2,false)"),"PENSIL CASE A-207")</f>
        <v>PENSIL CASE A-207</v>
      </c>
      <c r="F3005" s="49" t="s">
        <v>1400</v>
      </c>
      <c r="G3005" s="71" t="s">
        <v>1401</v>
      </c>
      <c r="H3005" s="41"/>
      <c r="I3005" s="42"/>
      <c r="J3005" s="43"/>
      <c r="K3005" s="72">
        <v>12.0</v>
      </c>
      <c r="L3005" s="53" t="s">
        <v>69</v>
      </c>
      <c r="M3005" s="73">
        <v>12500.0</v>
      </c>
      <c r="N3005" s="74"/>
      <c r="O3005" s="73">
        <v>150000.0</v>
      </c>
      <c r="P3005" s="46" t="str">
        <f t="shared" si="2"/>
        <v>Rp12,500-12 PCS-0.00%</v>
      </c>
      <c r="Q3005" s="75">
        <v>45420.0</v>
      </c>
      <c r="R3005" s="76"/>
      <c r="S3005" s="75">
        <v>45426.0</v>
      </c>
      <c r="T3005" s="49"/>
    </row>
    <row r="3006">
      <c r="A3006" s="90">
        <v>88.0</v>
      </c>
      <c r="B3006" s="91" t="s">
        <v>29</v>
      </c>
      <c r="C3006" s="80" t="s">
        <v>3052</v>
      </c>
      <c r="D3006" s="91" t="s">
        <v>2096</v>
      </c>
      <c r="E3006" s="41" t="str">
        <f>IFERROR(__xludf.DUMMYFUNCTION("vlookup(D3006,IMPORTRANGE(""https://docs.google.com/spreadsheets/d/1swGwZOEqYlTEUCJLY-eeJM1911Kvaei5oySBIxdgtNo/edit?pli=1#gid=257618397"",""stock untanna!B:C""),2,false)"),"PENSIL CASE AC-2860-3")</f>
        <v>PENSIL CASE AC-2860-3</v>
      </c>
      <c r="F3006" s="49" t="s">
        <v>2096</v>
      </c>
      <c r="G3006" s="71" t="s">
        <v>2097</v>
      </c>
      <c r="H3006" s="41"/>
      <c r="I3006" s="42"/>
      <c r="J3006" s="43"/>
      <c r="K3006" s="72">
        <v>12.0</v>
      </c>
      <c r="L3006" s="53" t="s">
        <v>69</v>
      </c>
      <c r="M3006" s="73">
        <v>14583.0</v>
      </c>
      <c r="N3006" s="74"/>
      <c r="O3006" s="73">
        <v>174996.0</v>
      </c>
      <c r="P3006" s="46" t="str">
        <f t="shared" si="2"/>
        <v>Rp14,583-12 PCS-0.00%</v>
      </c>
      <c r="Q3006" s="75">
        <v>45420.0</v>
      </c>
      <c r="R3006" s="76"/>
      <c r="S3006" s="75">
        <v>45426.0</v>
      </c>
      <c r="T3006" s="49"/>
    </row>
    <row r="3007">
      <c r="A3007" s="90">
        <v>88.0</v>
      </c>
      <c r="B3007" s="91" t="s">
        <v>29</v>
      </c>
      <c r="C3007" s="80" t="s">
        <v>3052</v>
      </c>
      <c r="D3007" s="91" t="s">
        <v>3084</v>
      </c>
      <c r="E3007" s="41" t="str">
        <f>IFERROR(__xludf.DUMMYFUNCTION("vlookup(D3007,IMPORTRANGE(""https://docs.google.com/spreadsheets/d/1swGwZOEqYlTEUCJLY-eeJM1911Kvaei5oySBIxdgtNo/edit?pli=1#gid=257618397"",""stock untanna!B:C""),2,false)"),"PENSIL CASE S-300")</f>
        <v>PENSIL CASE S-300</v>
      </c>
      <c r="F3007" s="49" t="s">
        <v>3084</v>
      </c>
      <c r="G3007" s="71" t="s">
        <v>3085</v>
      </c>
      <c r="H3007" s="41"/>
      <c r="I3007" s="42"/>
      <c r="J3007" s="43"/>
      <c r="K3007" s="72">
        <v>12.0</v>
      </c>
      <c r="L3007" s="53" t="s">
        <v>69</v>
      </c>
      <c r="M3007" s="73">
        <v>12500.0</v>
      </c>
      <c r="N3007" s="74"/>
      <c r="O3007" s="73">
        <v>150000.0</v>
      </c>
      <c r="P3007" s="46" t="str">
        <f t="shared" si="2"/>
        <v>Rp12,500-12 PCS-0.00%</v>
      </c>
      <c r="Q3007" s="75">
        <v>45420.0</v>
      </c>
      <c r="R3007" s="76"/>
      <c r="S3007" s="75">
        <v>45426.0</v>
      </c>
      <c r="T3007" s="49"/>
    </row>
    <row r="3008">
      <c r="A3008" s="90">
        <v>88.0</v>
      </c>
      <c r="B3008" s="91" t="s">
        <v>29</v>
      </c>
      <c r="C3008" s="80" t="s">
        <v>3052</v>
      </c>
      <c r="D3008" s="91" t="s">
        <v>2090</v>
      </c>
      <c r="E3008" s="41" t="str">
        <f>IFERROR(__xludf.DUMMYFUNCTION("vlookup(D3008,IMPORTRANGE(""https://docs.google.com/spreadsheets/d/1swGwZOEqYlTEUCJLY-eeJM1911Kvaei5oySBIxdgtNo/edit?pli=1#gid=257618397"",""stock untanna!B:C""),2,false)"),"PENSIL CASE 168-27")</f>
        <v>PENSIL CASE 168-27</v>
      </c>
      <c r="F3008" s="49" t="s">
        <v>2090</v>
      </c>
      <c r="G3008" s="71" t="s">
        <v>2091</v>
      </c>
      <c r="H3008" s="41"/>
      <c r="I3008" s="42"/>
      <c r="J3008" s="43"/>
      <c r="K3008" s="72">
        <v>12.0</v>
      </c>
      <c r="L3008" s="53" t="s">
        <v>69</v>
      </c>
      <c r="M3008" s="73">
        <v>18750.0</v>
      </c>
      <c r="N3008" s="74"/>
      <c r="O3008" s="73">
        <v>225000.0</v>
      </c>
      <c r="P3008" s="46" t="str">
        <f t="shared" si="2"/>
        <v>Rp18,750-12 PCS-0.00%</v>
      </c>
      <c r="Q3008" s="75">
        <v>45420.0</v>
      </c>
      <c r="R3008" s="76"/>
      <c r="S3008" s="75">
        <v>45426.0</v>
      </c>
      <c r="T3008" s="49"/>
    </row>
    <row r="3009">
      <c r="A3009" s="90">
        <v>89.0</v>
      </c>
      <c r="B3009" s="91" t="s">
        <v>29</v>
      </c>
      <c r="C3009" s="80" t="s">
        <v>3052</v>
      </c>
      <c r="D3009" s="91"/>
      <c r="E3009" s="41" t="s">
        <v>3086</v>
      </c>
      <c r="F3009" s="49"/>
      <c r="G3009" s="71" t="s">
        <v>3086</v>
      </c>
      <c r="H3009" s="41"/>
      <c r="I3009" s="42"/>
      <c r="J3009" s="43"/>
      <c r="K3009" s="72">
        <v>1.0</v>
      </c>
      <c r="L3009" s="53" t="s">
        <v>62</v>
      </c>
      <c r="M3009" s="73">
        <v>180000.0</v>
      </c>
      <c r="N3009" s="74"/>
      <c r="O3009" s="73">
        <v>180000.0</v>
      </c>
      <c r="P3009" s="46" t="str">
        <f t="shared" si="2"/>
        <v>Rp180,000-1 LSN-0.00%</v>
      </c>
      <c r="Q3009" s="75">
        <v>45420.0</v>
      </c>
      <c r="R3009" s="76"/>
      <c r="S3009" s="75">
        <v>45426.0</v>
      </c>
      <c r="T3009" s="49"/>
    </row>
    <row r="3010">
      <c r="A3010" s="90">
        <v>89.0</v>
      </c>
      <c r="B3010" s="91" t="s">
        <v>29</v>
      </c>
      <c r="C3010" s="80" t="s">
        <v>3052</v>
      </c>
      <c r="D3010" s="91" t="s">
        <v>1115</v>
      </c>
      <c r="E3010" s="41" t="str">
        <f>IFERROR(__xludf.DUMMYFUNCTION("vlookup(D3010,IMPORTRANGE(""https://docs.google.com/spreadsheets/d/1swGwZOEqYlTEUCJLY-eeJM1911Kvaei5oySBIxdgtNo/edit?pli=1#gid=257618397"",""stock untanna!B:C""),2,false)"),"PENSIL CASE SH-02 (HARUS DIPISAH, ADA 6 MACAM)")</f>
        <v>PENSIL CASE SH-02 (HARUS DIPISAH, ADA 6 MACAM)</v>
      </c>
      <c r="F3010" s="49" t="s">
        <v>1115</v>
      </c>
      <c r="G3010" s="78" t="s">
        <v>1116</v>
      </c>
      <c r="H3010" s="41"/>
      <c r="I3010" s="42"/>
      <c r="J3010" s="43"/>
      <c r="K3010" s="72">
        <v>12.0</v>
      </c>
      <c r="L3010" s="53" t="s">
        <v>69</v>
      </c>
      <c r="M3010" s="73">
        <v>12500.0</v>
      </c>
      <c r="N3010" s="74"/>
      <c r="O3010" s="73">
        <v>150000.0</v>
      </c>
      <c r="P3010" s="46" t="str">
        <f t="shared" si="2"/>
        <v>Rp12,500-12 PCS-0.00%</v>
      </c>
      <c r="Q3010" s="75">
        <v>45420.0</v>
      </c>
      <c r="R3010" s="76"/>
      <c r="S3010" s="75">
        <v>45426.0</v>
      </c>
      <c r="T3010" s="49"/>
    </row>
    <row r="3011">
      <c r="A3011" s="90">
        <v>89.0</v>
      </c>
      <c r="B3011" s="91" t="s">
        <v>29</v>
      </c>
      <c r="C3011" s="80" t="s">
        <v>3052</v>
      </c>
      <c r="D3011" s="77" t="s">
        <v>2321</v>
      </c>
      <c r="E3011" s="41" t="str">
        <f>IFERROR(__xludf.DUMMYFUNCTION("IFNA(vlookup(D3011,IMPORTRANGE(""https://docs.google.com/spreadsheets/d/1swGwZOEqYlTEUCJLY-eeJM1911Kvaei5oySBIxdgtNo/edit?pli=1#gid=257618397"",""stock untanna!B:C""),2,false),V:V)"),"PC MAGNIT C 9962")</f>
        <v>PC MAGNIT C 9962</v>
      </c>
      <c r="F3011" s="49"/>
      <c r="G3011" s="71" t="s">
        <v>2322</v>
      </c>
      <c r="H3011" s="41"/>
      <c r="I3011" s="42"/>
      <c r="J3011" s="85" t="s">
        <v>1319</v>
      </c>
      <c r="K3011" s="72">
        <v>1.0</v>
      </c>
      <c r="L3011" s="53" t="s">
        <v>62</v>
      </c>
      <c r="M3011" s="73">
        <v>190000.0</v>
      </c>
      <c r="N3011" s="74"/>
      <c r="O3011" s="73">
        <v>190000.0</v>
      </c>
      <c r="P3011" s="46" t="str">
        <f t="shared" si="2"/>
        <v>Rp190,000-1 LSN-0.00%</v>
      </c>
      <c r="Q3011" s="75">
        <v>45420.0</v>
      </c>
      <c r="R3011" s="76"/>
      <c r="S3011" s="75">
        <v>45426.0</v>
      </c>
      <c r="T3011" s="80" t="s">
        <v>280</v>
      </c>
    </row>
    <row r="3012">
      <c r="A3012" s="90">
        <v>89.0</v>
      </c>
      <c r="B3012" s="91" t="s">
        <v>29</v>
      </c>
      <c r="C3012" s="80" t="s">
        <v>3052</v>
      </c>
      <c r="D3012" s="91" t="s">
        <v>3055</v>
      </c>
      <c r="E3012" s="41" t="str">
        <f>IFERROR(__xludf.DUMMYFUNCTION("vlookup(D3012,IMPORTRANGE(""https://docs.google.com/spreadsheets/d/1swGwZOEqYlTEUCJLY-eeJM1911Kvaei5oySBIxdgtNo/edit?pli=1#gid=257618397"",""stock untanna!B:C""),2,false)"),"PENSIL CASE A-777 + CAL")</f>
        <v>PENSIL CASE A-777 + CAL</v>
      </c>
      <c r="F3012" s="49" t="s">
        <v>3055</v>
      </c>
      <c r="G3012" s="71" t="s">
        <v>3056</v>
      </c>
      <c r="H3012" s="41"/>
      <c r="I3012" s="42"/>
      <c r="J3012" s="43"/>
      <c r="K3012" s="72">
        <v>12.0</v>
      </c>
      <c r="L3012" s="53" t="s">
        <v>69</v>
      </c>
      <c r="M3012" s="73">
        <v>16667.0</v>
      </c>
      <c r="N3012" s="74"/>
      <c r="O3012" s="73">
        <v>200004.0</v>
      </c>
      <c r="P3012" s="46" t="str">
        <f t="shared" si="2"/>
        <v>Rp16,667-12 PCS-0.00%</v>
      </c>
      <c r="Q3012" s="75">
        <v>45420.0</v>
      </c>
      <c r="R3012" s="76"/>
      <c r="S3012" s="75">
        <v>45426.0</v>
      </c>
      <c r="T3012" s="49" t="s">
        <v>3033</v>
      </c>
    </row>
    <row r="3013">
      <c r="A3013" s="90">
        <v>89.0</v>
      </c>
      <c r="B3013" s="91" t="s">
        <v>29</v>
      </c>
      <c r="C3013" s="80" t="s">
        <v>3052</v>
      </c>
      <c r="D3013" s="91" t="s">
        <v>3055</v>
      </c>
      <c r="E3013" s="41" t="str">
        <f>IFERROR(__xludf.DUMMYFUNCTION("vlookup(D3013,IMPORTRANGE(""https://docs.google.com/spreadsheets/d/1swGwZOEqYlTEUCJLY-eeJM1911Kvaei5oySBIxdgtNo/edit?pli=1#gid=257618397"",""stock untanna!B:C""),2,false)"),"PENSIL CASE A-777 + CAL")</f>
        <v>PENSIL CASE A-777 + CAL</v>
      </c>
      <c r="F3013" s="49" t="s">
        <v>3055</v>
      </c>
      <c r="G3013" s="71" t="s">
        <v>3056</v>
      </c>
      <c r="H3013" s="41"/>
      <c r="I3013" s="42"/>
      <c r="J3013" s="43"/>
      <c r="K3013" s="72">
        <v>12.0</v>
      </c>
      <c r="L3013" s="53" t="s">
        <v>69</v>
      </c>
      <c r="M3013" s="73">
        <v>16667.0</v>
      </c>
      <c r="N3013" s="74"/>
      <c r="O3013" s="73">
        <v>200004.0</v>
      </c>
      <c r="P3013" s="46" t="str">
        <f t="shared" si="2"/>
        <v>Rp16,667-12 PCS-0.00%</v>
      </c>
      <c r="Q3013" s="75">
        <v>45420.0</v>
      </c>
      <c r="R3013" s="76"/>
      <c r="S3013" s="75">
        <v>45426.0</v>
      </c>
      <c r="T3013" s="49" t="s">
        <v>3034</v>
      </c>
    </row>
    <row r="3014">
      <c r="A3014" s="90">
        <v>89.0</v>
      </c>
      <c r="B3014" s="91" t="s">
        <v>29</v>
      </c>
      <c r="C3014" s="80" t="s">
        <v>3052</v>
      </c>
      <c r="D3014" s="91" t="s">
        <v>3087</v>
      </c>
      <c r="E3014" s="41" t="str">
        <f>IFERROR(__xludf.DUMMYFUNCTION("vlookup(D3014,IMPORTRANGE(""https://docs.google.com/spreadsheets/d/1swGwZOEqYlTEUCJLY-eeJM1911Kvaei5oySBIxdgtNo/edit?pli=1#gid=257618397"",""stock untanna!B:C""),2,false)"),"PENSIL CASE DZ-0061-3")</f>
        <v>PENSIL CASE DZ-0061-3</v>
      </c>
      <c r="F3014" s="49" t="s">
        <v>3087</v>
      </c>
      <c r="G3014" s="71" t="s">
        <v>3088</v>
      </c>
      <c r="H3014" s="41"/>
      <c r="I3014" s="42"/>
      <c r="J3014" s="43"/>
      <c r="K3014" s="72">
        <v>12.0</v>
      </c>
      <c r="L3014" s="53" t="s">
        <v>69</v>
      </c>
      <c r="M3014" s="73">
        <v>12500.0</v>
      </c>
      <c r="N3014" s="74"/>
      <c r="O3014" s="73">
        <v>150000.0</v>
      </c>
      <c r="P3014" s="46" t="str">
        <f t="shared" si="2"/>
        <v>Rp12,500-12 PCS-0.00%</v>
      </c>
      <c r="Q3014" s="75">
        <v>45420.0</v>
      </c>
      <c r="R3014" s="76"/>
      <c r="S3014" s="75">
        <v>45426.0</v>
      </c>
      <c r="T3014" s="49"/>
    </row>
    <row r="3015">
      <c r="A3015" s="90">
        <v>89.0</v>
      </c>
      <c r="B3015" s="91" t="s">
        <v>29</v>
      </c>
      <c r="C3015" s="80" t="s">
        <v>3052</v>
      </c>
      <c r="D3015" s="91" t="s">
        <v>592</v>
      </c>
      <c r="E3015" s="41" t="str">
        <f>IFERROR(__xludf.DUMMYFUNCTION("vlookup(D3015,IMPORTRANGE(""https://docs.google.com/spreadsheets/d/1swGwZOEqYlTEUCJLY-eeJM1911Kvaei5oySBIxdgtNo/edit?pli=1#gid=257618397"",""stock untanna!B:C""),2,false)"),"PENSIL CASE A-1037 + CAL")</f>
        <v>PENSIL CASE A-1037 + CAL</v>
      </c>
      <c r="F3015" s="49" t="s">
        <v>592</v>
      </c>
      <c r="G3015" s="71" t="s">
        <v>593</v>
      </c>
      <c r="H3015" s="41"/>
      <c r="I3015" s="42"/>
      <c r="J3015" s="43"/>
      <c r="K3015" s="72">
        <v>12.0</v>
      </c>
      <c r="L3015" s="53" t="s">
        <v>69</v>
      </c>
      <c r="M3015" s="73">
        <v>15000.0</v>
      </c>
      <c r="N3015" s="74"/>
      <c r="O3015" s="73">
        <v>180000.0</v>
      </c>
      <c r="P3015" s="46" t="str">
        <f t="shared" si="2"/>
        <v>Rp15,000-12 PCS-0.00%</v>
      </c>
      <c r="Q3015" s="75">
        <v>45420.0</v>
      </c>
      <c r="R3015" s="76"/>
      <c r="S3015" s="75">
        <v>45426.0</v>
      </c>
      <c r="T3015" s="49" t="s">
        <v>3033</v>
      </c>
    </row>
    <row r="3016">
      <c r="A3016" s="90">
        <v>89.0</v>
      </c>
      <c r="B3016" s="91" t="s">
        <v>29</v>
      </c>
      <c r="C3016" s="80" t="s">
        <v>3052</v>
      </c>
      <c r="D3016" s="91" t="s">
        <v>592</v>
      </c>
      <c r="E3016" s="41" t="str">
        <f>IFERROR(__xludf.DUMMYFUNCTION("vlookup(D3016,IMPORTRANGE(""https://docs.google.com/spreadsheets/d/1swGwZOEqYlTEUCJLY-eeJM1911Kvaei5oySBIxdgtNo/edit?pli=1#gid=257618397"",""stock untanna!B:C""),2,false)"),"PENSIL CASE A-1037 + CAL")</f>
        <v>PENSIL CASE A-1037 + CAL</v>
      </c>
      <c r="F3016" s="49" t="s">
        <v>592</v>
      </c>
      <c r="G3016" s="71" t="s">
        <v>593</v>
      </c>
      <c r="H3016" s="41"/>
      <c r="I3016" s="42"/>
      <c r="J3016" s="43"/>
      <c r="K3016" s="72">
        <v>12.0</v>
      </c>
      <c r="L3016" s="53" t="s">
        <v>69</v>
      </c>
      <c r="M3016" s="73">
        <v>15000.0</v>
      </c>
      <c r="N3016" s="74"/>
      <c r="O3016" s="73">
        <v>180000.0</v>
      </c>
      <c r="P3016" s="46" t="str">
        <f t="shared" si="2"/>
        <v>Rp15,000-12 PCS-0.00%</v>
      </c>
      <c r="Q3016" s="75">
        <v>45420.0</v>
      </c>
      <c r="R3016" s="76"/>
      <c r="S3016" s="75">
        <v>45426.0</v>
      </c>
      <c r="T3016" s="49" t="s">
        <v>3034</v>
      </c>
    </row>
    <row r="3017">
      <c r="A3017" s="90">
        <v>89.0</v>
      </c>
      <c r="B3017" s="91" t="s">
        <v>29</v>
      </c>
      <c r="C3017" s="80" t="s">
        <v>3052</v>
      </c>
      <c r="D3017" s="91" t="s">
        <v>566</v>
      </c>
      <c r="E3017" s="41" t="str">
        <f>IFERROR(__xludf.DUMMYFUNCTION("vlookup(D3017,IMPORTRANGE(""https://docs.google.com/spreadsheets/d/1swGwZOEqYlTEUCJLY-eeJM1911Kvaei5oySBIxdgtNo/edit?pli=1#gid=257618397"",""stock untanna!B:C""),2,false)"),"PENCIL CASE XLG BD194-B")</f>
        <v>PENCIL CASE XLG BD194-B</v>
      </c>
      <c r="F3017" s="49" t="s">
        <v>566</v>
      </c>
      <c r="G3017" s="71" t="s">
        <v>567</v>
      </c>
      <c r="H3017" s="41"/>
      <c r="I3017" s="42"/>
      <c r="J3017" s="43"/>
      <c r="K3017" s="72">
        <v>12.0</v>
      </c>
      <c r="L3017" s="53" t="s">
        <v>69</v>
      </c>
      <c r="M3017" s="73">
        <v>20000.0</v>
      </c>
      <c r="N3017" s="74"/>
      <c r="O3017" s="73">
        <v>240000.0</v>
      </c>
      <c r="P3017" s="46" t="str">
        <f t="shared" si="2"/>
        <v>Rp20,000-12 PCS-0.00%</v>
      </c>
      <c r="Q3017" s="75">
        <v>45420.0</v>
      </c>
      <c r="R3017" s="76"/>
      <c r="S3017" s="75">
        <v>45426.0</v>
      </c>
      <c r="T3017" s="49"/>
    </row>
    <row r="3018">
      <c r="A3018" s="90">
        <v>89.0</v>
      </c>
      <c r="B3018" s="91" t="s">
        <v>29</v>
      </c>
      <c r="C3018" s="80" t="s">
        <v>3052</v>
      </c>
      <c r="D3018" s="91" t="s">
        <v>562</v>
      </c>
      <c r="E3018" s="41" t="str">
        <f>IFERROR(__xludf.DUMMYFUNCTION("vlookup(D3018,IMPORTRANGE(""https://docs.google.com/spreadsheets/d/1swGwZOEqYlTEUCJLY-eeJM1911Kvaei5oySBIxdgtNo/edit?pli=1#gid=257618397"",""stock untanna!B:C""),2,false)"),"PENSIL CASE 5851")</f>
        <v>PENSIL CASE 5851</v>
      </c>
      <c r="F3018" s="49" t="s">
        <v>562</v>
      </c>
      <c r="G3018" s="71" t="s">
        <v>563</v>
      </c>
      <c r="H3018" s="41"/>
      <c r="I3018" s="42"/>
      <c r="J3018" s="43"/>
      <c r="K3018" s="72">
        <v>12.0</v>
      </c>
      <c r="L3018" s="53" t="s">
        <v>69</v>
      </c>
      <c r="M3018" s="73">
        <v>25000.0</v>
      </c>
      <c r="N3018" s="74"/>
      <c r="O3018" s="73">
        <v>300000.0</v>
      </c>
      <c r="P3018" s="46" t="str">
        <f t="shared" si="2"/>
        <v>Rp25,000-12 PCS-0.00%</v>
      </c>
      <c r="Q3018" s="75">
        <v>45420.0</v>
      </c>
      <c r="R3018" s="76"/>
      <c r="S3018" s="75">
        <v>45426.0</v>
      </c>
      <c r="T3018" s="49"/>
    </row>
    <row r="3019">
      <c r="A3019" s="90">
        <v>89.0</v>
      </c>
      <c r="B3019" s="91" t="s">
        <v>29</v>
      </c>
      <c r="C3019" s="80" t="s">
        <v>3052</v>
      </c>
      <c r="D3019" s="91" t="s">
        <v>1417</v>
      </c>
      <c r="E3019" s="41" t="str">
        <f>IFERROR(__xludf.DUMMYFUNCTION("vlookup(D3019,IMPORTRANGE(""https://docs.google.com/spreadsheets/d/1swGwZOEqYlTEUCJLY-eeJM1911Kvaei5oySBIxdgtNo/edit?pli=1#gid=257618397"",""stock untanna!B:C""),2,false)"),"PENCIL CASE B-126")</f>
        <v>PENCIL CASE B-126</v>
      </c>
      <c r="F3019" s="49" t="s">
        <v>1417</v>
      </c>
      <c r="G3019" s="71" t="s">
        <v>1418</v>
      </c>
      <c r="H3019" s="41"/>
      <c r="I3019" s="42"/>
      <c r="J3019" s="43"/>
      <c r="K3019" s="72">
        <v>12.0</v>
      </c>
      <c r="L3019" s="53" t="s">
        <v>69</v>
      </c>
      <c r="M3019" s="73">
        <v>11250.0</v>
      </c>
      <c r="N3019" s="74"/>
      <c r="O3019" s="73">
        <v>135000.0</v>
      </c>
      <c r="P3019" s="46" t="str">
        <f t="shared" si="2"/>
        <v>Rp11,250-12 PCS-0.00%</v>
      </c>
      <c r="Q3019" s="75">
        <v>45420.0</v>
      </c>
      <c r="R3019" s="76"/>
      <c r="S3019" s="75">
        <v>45426.0</v>
      </c>
      <c r="T3019" s="80" t="s">
        <v>3089</v>
      </c>
    </row>
    <row r="3020">
      <c r="A3020" s="90">
        <v>89.0</v>
      </c>
      <c r="B3020" s="91" t="s">
        <v>29</v>
      </c>
      <c r="C3020" s="80" t="s">
        <v>3052</v>
      </c>
      <c r="D3020" s="91"/>
      <c r="E3020" s="41" t="s">
        <v>3090</v>
      </c>
      <c r="F3020" s="49"/>
      <c r="G3020" s="71" t="s">
        <v>3090</v>
      </c>
      <c r="H3020" s="41"/>
      <c r="I3020" s="42"/>
      <c r="J3020" s="43"/>
      <c r="K3020" s="72">
        <v>2.0</v>
      </c>
      <c r="L3020" s="53" t="s">
        <v>62</v>
      </c>
      <c r="M3020" s="73">
        <v>90000.0</v>
      </c>
      <c r="N3020" s="74"/>
      <c r="O3020" s="73">
        <v>180000.0</v>
      </c>
      <c r="P3020" s="46" t="str">
        <f t="shared" si="2"/>
        <v>Rp90,000-2 LSN-0.00%</v>
      </c>
      <c r="Q3020" s="75">
        <v>45420.0</v>
      </c>
      <c r="R3020" s="76"/>
      <c r="S3020" s="75">
        <v>45426.0</v>
      </c>
      <c r="T3020" s="49"/>
    </row>
    <row r="3021">
      <c r="A3021" s="90">
        <v>89.0</v>
      </c>
      <c r="B3021" s="91" t="s">
        <v>29</v>
      </c>
      <c r="C3021" s="80" t="s">
        <v>3052</v>
      </c>
      <c r="D3021" s="91" t="s">
        <v>1107</v>
      </c>
      <c r="E3021" s="41" t="str">
        <f>IFERROR(__xludf.DUMMYFUNCTION("vlookup(D3021,IMPORTRANGE(""https://docs.google.com/spreadsheets/d/1swGwZOEqYlTEUCJLY-eeJM1911Kvaei5oySBIxdgtNo/edit?pli=1#gid=257618397"",""stock untanna!B:C""),2,false)"),"PENCIL CASE 5866")</f>
        <v>PENCIL CASE 5866</v>
      </c>
      <c r="F3021" s="49" t="s">
        <v>1107</v>
      </c>
      <c r="G3021" s="71" t="s">
        <v>1108</v>
      </c>
      <c r="H3021" s="41"/>
      <c r="I3021" s="42"/>
      <c r="J3021" s="43"/>
      <c r="K3021" s="72">
        <v>12.0</v>
      </c>
      <c r="L3021" s="53" t="s">
        <v>69</v>
      </c>
      <c r="M3021" s="73">
        <v>25000.0</v>
      </c>
      <c r="N3021" s="74"/>
      <c r="O3021" s="73">
        <v>300000.0</v>
      </c>
      <c r="P3021" s="46" t="str">
        <f t="shared" si="2"/>
        <v>Rp25,000-12 PCS-0.00%</v>
      </c>
      <c r="Q3021" s="75">
        <v>45420.0</v>
      </c>
      <c r="R3021" s="76"/>
      <c r="S3021" s="75">
        <v>45426.0</v>
      </c>
      <c r="T3021" s="49"/>
    </row>
    <row r="3022">
      <c r="A3022" s="90">
        <v>89.0</v>
      </c>
      <c r="B3022" s="91" t="s">
        <v>29</v>
      </c>
      <c r="C3022" s="80" t="s">
        <v>3052</v>
      </c>
      <c r="D3022" s="91" t="s">
        <v>1136</v>
      </c>
      <c r="E3022" s="41" t="str">
        <f>IFERROR(__xludf.DUMMYFUNCTION("vlookup(D3022,IMPORTRANGE(""https://docs.google.com/spreadsheets/d/1swGwZOEqYlTEUCJLY-eeJM1911Kvaei5oySBIxdgtNo/edit?pli=1#gid=257618397"",""stock untanna!B:C""),2,false)"),"PENSIL CASE SH-8703")</f>
        <v>PENSIL CASE SH-8703</v>
      </c>
      <c r="F3022" s="49" t="s">
        <v>1136</v>
      </c>
      <c r="G3022" s="71" t="s">
        <v>1137</v>
      </c>
      <c r="H3022" s="41"/>
      <c r="I3022" s="42"/>
      <c r="J3022" s="43"/>
      <c r="K3022" s="72">
        <v>12.0</v>
      </c>
      <c r="L3022" s="53" t="s">
        <v>69</v>
      </c>
      <c r="M3022" s="73">
        <v>25000.0</v>
      </c>
      <c r="N3022" s="74"/>
      <c r="O3022" s="73">
        <v>300000.0</v>
      </c>
      <c r="P3022" s="46" t="str">
        <f t="shared" si="2"/>
        <v>Rp25,000-12 PCS-0.00%</v>
      </c>
      <c r="Q3022" s="75">
        <v>45420.0</v>
      </c>
      <c r="R3022" s="76"/>
      <c r="S3022" s="75">
        <v>45426.0</v>
      </c>
      <c r="T3022" s="49"/>
    </row>
    <row r="3023">
      <c r="A3023" s="90">
        <v>89.0</v>
      </c>
      <c r="B3023" s="91" t="s">
        <v>29</v>
      </c>
      <c r="C3023" s="80" t="s">
        <v>3052</v>
      </c>
      <c r="D3023" s="91" t="s">
        <v>1150</v>
      </c>
      <c r="E3023" s="41" t="str">
        <f>IFERROR(__xludf.DUMMYFUNCTION("vlookup(D3023,IMPORTRANGE(""https://docs.google.com/spreadsheets/d/1swGwZOEqYlTEUCJLY-eeJM1911Kvaei5oySBIxdgtNo/edit?pli=1#gid=257618397"",""stock untanna!B:C""),2,false)"),"PENCIL CASE B-135")</f>
        <v>PENCIL CASE B-135</v>
      </c>
      <c r="F3023" s="49" t="s">
        <v>1150</v>
      </c>
      <c r="G3023" s="71" t="s">
        <v>1151</v>
      </c>
      <c r="H3023" s="41"/>
      <c r="I3023" s="42"/>
      <c r="J3023" s="43"/>
      <c r="K3023" s="72">
        <v>2.0</v>
      </c>
      <c r="L3023" s="53" t="s">
        <v>62</v>
      </c>
      <c r="M3023" s="73">
        <v>140000.0</v>
      </c>
      <c r="N3023" s="74"/>
      <c r="O3023" s="73">
        <v>280000.0</v>
      </c>
      <c r="P3023" s="46" t="str">
        <f t="shared" si="2"/>
        <v>Rp140,000-2 LSN-0.00%</v>
      </c>
      <c r="Q3023" s="75">
        <v>45420.0</v>
      </c>
      <c r="R3023" s="76"/>
      <c r="S3023" s="75">
        <v>45426.0</v>
      </c>
      <c r="T3023" s="49"/>
    </row>
    <row r="3024">
      <c r="A3024" s="90">
        <v>89.0</v>
      </c>
      <c r="B3024" s="91" t="s">
        <v>29</v>
      </c>
      <c r="C3024" s="80" t="s">
        <v>3052</v>
      </c>
      <c r="D3024" s="91" t="s">
        <v>1047</v>
      </c>
      <c r="E3024" s="41" t="str">
        <f>IFERROR(__xludf.DUMMYFUNCTION("vlookup(D3024,IMPORTRANGE(""https://docs.google.com/spreadsheets/d/1swGwZOEqYlTEUCJLY-eeJM1911Kvaei5oySBIxdgtNo/edit?pli=1#gid=257618397"",""stock untanna!B:C""),2,false)"),"PENSIL CASE 5871")</f>
        <v>PENSIL CASE 5871</v>
      </c>
      <c r="F3024" s="49" t="s">
        <v>1047</v>
      </c>
      <c r="G3024" s="71" t="s">
        <v>1048</v>
      </c>
      <c r="H3024" s="41"/>
      <c r="I3024" s="42"/>
      <c r="J3024" s="43"/>
      <c r="K3024" s="72">
        <v>24.0</v>
      </c>
      <c r="L3024" s="53" t="s">
        <v>69</v>
      </c>
      <c r="M3024" s="73">
        <v>25000.0</v>
      </c>
      <c r="N3024" s="74"/>
      <c r="O3024" s="73">
        <v>600000.0</v>
      </c>
      <c r="P3024" s="46" t="str">
        <f t="shared" si="2"/>
        <v>Rp25,000-24 PCS-0.00%</v>
      </c>
      <c r="Q3024" s="75">
        <v>45420.0</v>
      </c>
      <c r="R3024" s="76"/>
      <c r="S3024" s="75">
        <v>45426.0</v>
      </c>
      <c r="T3024" s="49"/>
    </row>
    <row r="3025">
      <c r="A3025" s="90">
        <v>90.0</v>
      </c>
      <c r="B3025" s="91" t="s">
        <v>29</v>
      </c>
      <c r="C3025" s="80" t="s">
        <v>3052</v>
      </c>
      <c r="D3025" s="91" t="s">
        <v>560</v>
      </c>
      <c r="E3025" s="41" t="str">
        <f>IFERROR(__xludf.DUMMYFUNCTION("vlookup(D3025,IMPORTRANGE(""https://docs.google.com/spreadsheets/d/1swGwZOEqYlTEUCJLY-eeJM1911Kvaei5oySBIxdgtNo/edit?pli=1#gid=257618397"",""stock untanna!B:C""),2,false)"),"PENSIL CASE 5872")</f>
        <v>PENSIL CASE 5872</v>
      </c>
      <c r="F3025" s="49" t="s">
        <v>560</v>
      </c>
      <c r="G3025" s="71" t="s">
        <v>561</v>
      </c>
      <c r="H3025" s="41"/>
      <c r="I3025" s="42"/>
      <c r="J3025" s="43"/>
      <c r="K3025" s="72">
        <v>24.0</v>
      </c>
      <c r="L3025" s="53" t="s">
        <v>69</v>
      </c>
      <c r="M3025" s="73">
        <v>27083.0</v>
      </c>
      <c r="N3025" s="74"/>
      <c r="O3025" s="73">
        <v>649992.0</v>
      </c>
      <c r="P3025" s="46" t="str">
        <f t="shared" si="2"/>
        <v>Rp27,083-24 PCS-0.00%</v>
      </c>
      <c r="Q3025" s="75">
        <v>45420.0</v>
      </c>
      <c r="R3025" s="76"/>
      <c r="S3025" s="75">
        <v>45426.0</v>
      </c>
      <c r="T3025" s="49"/>
    </row>
    <row r="3026">
      <c r="A3026" s="90">
        <v>90.0</v>
      </c>
      <c r="B3026" s="91" t="s">
        <v>29</v>
      </c>
      <c r="C3026" s="80" t="s">
        <v>3052</v>
      </c>
      <c r="D3026" s="91"/>
      <c r="E3026" s="41" t="s">
        <v>3091</v>
      </c>
      <c r="F3026" s="49"/>
      <c r="G3026" s="71" t="s">
        <v>3091</v>
      </c>
      <c r="H3026" s="41"/>
      <c r="I3026" s="42"/>
      <c r="J3026" s="43"/>
      <c r="K3026" s="72">
        <v>1.0</v>
      </c>
      <c r="L3026" s="53" t="s">
        <v>62</v>
      </c>
      <c r="M3026" s="73">
        <v>210000.0</v>
      </c>
      <c r="N3026" s="74"/>
      <c r="O3026" s="73">
        <v>210000.0</v>
      </c>
      <c r="P3026" s="46" t="str">
        <f t="shared" si="2"/>
        <v>Rp210,000-1 LSN-0.00%</v>
      </c>
      <c r="Q3026" s="75">
        <v>45420.0</v>
      </c>
      <c r="R3026" s="76"/>
      <c r="S3026" s="75">
        <v>45426.0</v>
      </c>
      <c r="T3026" s="80" t="s">
        <v>280</v>
      </c>
    </row>
    <row r="3027">
      <c r="A3027" s="90">
        <v>90.0</v>
      </c>
      <c r="B3027" s="91" t="s">
        <v>29</v>
      </c>
      <c r="C3027" s="80" t="s">
        <v>3052</v>
      </c>
      <c r="D3027" s="91" t="s">
        <v>823</v>
      </c>
      <c r="E3027" s="41" t="str">
        <f>IFERROR(__xludf.DUMMYFUNCTION("vlookup(D3027,IMPORTRANGE(""https://docs.google.com/spreadsheets/d/1swGwZOEqYlTEUCJLY-eeJM1911Kvaei5oySBIxdgtNo/edit?pli=1#gid=257618397"",""stock untanna!B:C""),2,false)"),"PENCIL CASE K-96")</f>
        <v>PENCIL CASE K-96</v>
      </c>
      <c r="F3027" s="49" t="s">
        <v>823</v>
      </c>
      <c r="G3027" s="71" t="s">
        <v>824</v>
      </c>
      <c r="H3027" s="41"/>
      <c r="I3027" s="42"/>
      <c r="J3027" s="43"/>
      <c r="K3027" s="72">
        <v>12.0</v>
      </c>
      <c r="L3027" s="53" t="s">
        <v>69</v>
      </c>
      <c r="M3027" s="73">
        <v>20833.0</v>
      </c>
      <c r="N3027" s="74"/>
      <c r="O3027" s="73">
        <v>249996.0</v>
      </c>
      <c r="P3027" s="46" t="str">
        <f t="shared" si="2"/>
        <v>Rp20,833-12 PCS-0.00%</v>
      </c>
      <c r="Q3027" s="75">
        <v>45420.0</v>
      </c>
      <c r="R3027" s="76"/>
      <c r="S3027" s="75">
        <v>45426.0</v>
      </c>
      <c r="T3027" s="49" t="s">
        <v>3034</v>
      </c>
    </row>
    <row r="3028">
      <c r="A3028" s="90">
        <v>90.0</v>
      </c>
      <c r="B3028" s="91" t="s">
        <v>29</v>
      </c>
      <c r="C3028" s="80" t="s">
        <v>3052</v>
      </c>
      <c r="D3028" s="91"/>
      <c r="E3028" s="41" t="s">
        <v>3092</v>
      </c>
      <c r="F3028" s="49"/>
      <c r="G3028" s="71" t="s">
        <v>3092</v>
      </c>
      <c r="H3028" s="41"/>
      <c r="I3028" s="42"/>
      <c r="J3028" s="43"/>
      <c r="K3028" s="72">
        <v>1.0</v>
      </c>
      <c r="L3028" s="53" t="s">
        <v>62</v>
      </c>
      <c r="M3028" s="73">
        <v>150000.0</v>
      </c>
      <c r="N3028" s="74"/>
      <c r="O3028" s="73">
        <v>150000.0</v>
      </c>
      <c r="P3028" s="46" t="str">
        <f t="shared" si="2"/>
        <v>Rp150,000-1 LSN-0.00%</v>
      </c>
      <c r="Q3028" s="75">
        <v>45420.0</v>
      </c>
      <c r="R3028" s="76"/>
      <c r="S3028" s="75">
        <v>45426.0</v>
      </c>
      <c r="T3028" s="80" t="s">
        <v>280</v>
      </c>
    </row>
    <row r="3029">
      <c r="A3029" s="90">
        <v>90.0</v>
      </c>
      <c r="B3029" s="91" t="s">
        <v>29</v>
      </c>
      <c r="C3029" s="80" t="s">
        <v>3052</v>
      </c>
      <c r="D3029" s="91" t="s">
        <v>823</v>
      </c>
      <c r="E3029" s="41" t="str">
        <f>IFERROR(__xludf.DUMMYFUNCTION("vlookup(D3029,IMPORTRANGE(""https://docs.google.com/spreadsheets/d/1swGwZOEqYlTEUCJLY-eeJM1911Kvaei5oySBIxdgtNo/edit?pli=1#gid=257618397"",""stock untanna!B:C""),2,false)"),"PENCIL CASE K-96")</f>
        <v>PENCIL CASE K-96</v>
      </c>
      <c r="F3029" s="49" t="s">
        <v>823</v>
      </c>
      <c r="G3029" s="71" t="s">
        <v>824</v>
      </c>
      <c r="H3029" s="41"/>
      <c r="I3029" s="42"/>
      <c r="J3029" s="43"/>
      <c r="K3029" s="72">
        <v>12.0</v>
      </c>
      <c r="L3029" s="53" t="s">
        <v>69</v>
      </c>
      <c r="M3029" s="73">
        <v>20833.0</v>
      </c>
      <c r="N3029" s="74"/>
      <c r="O3029" s="73">
        <v>249996.0</v>
      </c>
      <c r="P3029" s="46" t="str">
        <f t="shared" si="2"/>
        <v>Rp20,833-12 PCS-0.00%</v>
      </c>
      <c r="Q3029" s="75">
        <v>45420.0</v>
      </c>
      <c r="R3029" s="76"/>
      <c r="S3029" s="75">
        <v>45426.0</v>
      </c>
      <c r="T3029" s="49" t="s">
        <v>3033</v>
      </c>
    </row>
    <row r="3030">
      <c r="A3030" s="90">
        <v>166.0</v>
      </c>
      <c r="B3030" s="91" t="s">
        <v>29</v>
      </c>
      <c r="C3030" s="49" t="s">
        <v>1768</v>
      </c>
      <c r="D3030" s="91" t="s">
        <v>2907</v>
      </c>
      <c r="E3030" s="41" t="str">
        <f>IFERROR(__xludf.DUMMYFUNCTION("vlookup(D3030,IMPORTRANGE(""https://docs.google.com/spreadsheets/d/1swGwZOEqYlTEUCJLY-eeJM1911Kvaei5oySBIxdgtNo/edit?pli=1#gid=257618397"",""stock untanna!B:C""),2,false)"),"STICK NOTE TF 654-8C")</f>
        <v>STICK NOTE TF 654-8C</v>
      </c>
      <c r="F3030" s="49" t="s">
        <v>2907</v>
      </c>
      <c r="G3030" s="71" t="s">
        <v>2908</v>
      </c>
      <c r="H3030" s="41"/>
      <c r="I3030" s="42"/>
      <c r="J3030" s="43"/>
      <c r="K3030" s="72">
        <v>12.0</v>
      </c>
      <c r="L3030" s="53" t="s">
        <v>69</v>
      </c>
      <c r="M3030" s="73">
        <v>8500.0</v>
      </c>
      <c r="N3030" s="74"/>
      <c r="O3030" s="73">
        <v>102000.0</v>
      </c>
      <c r="P3030" s="46" t="str">
        <f t="shared" si="2"/>
        <v>Rp8,500-12 PCS-0.00%</v>
      </c>
      <c r="Q3030" s="75">
        <v>45419.0</v>
      </c>
      <c r="R3030" s="76"/>
      <c r="S3030" s="75">
        <v>45426.0</v>
      </c>
      <c r="T3030" s="49"/>
    </row>
    <row r="3031">
      <c r="A3031" s="90">
        <v>166.0</v>
      </c>
      <c r="B3031" s="91" t="s">
        <v>29</v>
      </c>
      <c r="C3031" s="49" t="s">
        <v>1768</v>
      </c>
      <c r="D3031" s="91"/>
      <c r="E3031" s="41" t="s">
        <v>2752</v>
      </c>
      <c r="F3031" s="49"/>
      <c r="G3031" s="71" t="s">
        <v>2752</v>
      </c>
      <c r="H3031" s="41"/>
      <c r="I3031" s="42"/>
      <c r="J3031" s="43"/>
      <c r="K3031" s="72">
        <v>1.0</v>
      </c>
      <c r="L3031" s="53" t="s">
        <v>62</v>
      </c>
      <c r="M3031" s="73">
        <v>37800.0</v>
      </c>
      <c r="N3031" s="74"/>
      <c r="O3031" s="73">
        <v>37800.0</v>
      </c>
      <c r="P3031" s="46" t="str">
        <f t="shared" si="2"/>
        <v>Rp37,800-1 LSN-0.00%</v>
      </c>
      <c r="Q3031" s="75">
        <v>45419.0</v>
      </c>
      <c r="R3031" s="76"/>
      <c r="S3031" s="75">
        <v>45426.0</v>
      </c>
      <c r="T3031" s="80" t="s">
        <v>280</v>
      </c>
    </row>
    <row r="3032">
      <c r="A3032" s="90">
        <v>166.0</v>
      </c>
      <c r="B3032" s="91" t="s">
        <v>29</v>
      </c>
      <c r="C3032" s="49" t="s">
        <v>1768</v>
      </c>
      <c r="D3032" s="91"/>
      <c r="E3032" s="41" t="s">
        <v>2758</v>
      </c>
      <c r="F3032" s="49"/>
      <c r="G3032" s="71" t="s">
        <v>2758</v>
      </c>
      <c r="H3032" s="41"/>
      <c r="I3032" s="42"/>
      <c r="J3032" s="43"/>
      <c r="K3032" s="72">
        <v>1.0</v>
      </c>
      <c r="L3032" s="53" t="s">
        <v>62</v>
      </c>
      <c r="M3032" s="73">
        <v>63000.0</v>
      </c>
      <c r="N3032" s="74"/>
      <c r="O3032" s="73">
        <v>63000.0</v>
      </c>
      <c r="P3032" s="46" t="str">
        <f t="shared" si="2"/>
        <v>Rp63,000-1 LSN-0.00%</v>
      </c>
      <c r="Q3032" s="75">
        <v>45419.0</v>
      </c>
      <c r="R3032" s="76"/>
      <c r="S3032" s="75">
        <v>45426.0</v>
      </c>
      <c r="T3032" s="49"/>
    </row>
    <row r="3033">
      <c r="A3033" s="90">
        <v>166.0</v>
      </c>
      <c r="B3033" s="91" t="s">
        <v>29</v>
      </c>
      <c r="C3033" s="49" t="s">
        <v>1768</v>
      </c>
      <c r="D3033" s="91"/>
      <c r="E3033" s="41" t="s">
        <v>2761</v>
      </c>
      <c r="F3033" s="49"/>
      <c r="G3033" s="71" t="s">
        <v>2761</v>
      </c>
      <c r="H3033" s="41"/>
      <c r="I3033" s="42"/>
      <c r="J3033" s="43"/>
      <c r="K3033" s="72">
        <v>1.0</v>
      </c>
      <c r="L3033" s="53" t="s">
        <v>62</v>
      </c>
      <c r="M3033" s="73">
        <v>75000.0</v>
      </c>
      <c r="N3033" s="74"/>
      <c r="O3033" s="73">
        <v>75000.0</v>
      </c>
      <c r="P3033" s="46" t="str">
        <f t="shared" si="2"/>
        <v>Rp75,000-1 LSN-0.00%</v>
      </c>
      <c r="Q3033" s="75">
        <v>45419.0</v>
      </c>
      <c r="R3033" s="76"/>
      <c r="S3033" s="75">
        <v>45426.0</v>
      </c>
      <c r="T3033" s="80" t="s">
        <v>280</v>
      </c>
    </row>
    <row r="3034">
      <c r="A3034" s="90">
        <v>166.0</v>
      </c>
      <c r="B3034" s="91" t="s">
        <v>29</v>
      </c>
      <c r="C3034" s="49" t="s">
        <v>1768</v>
      </c>
      <c r="D3034" s="91"/>
      <c r="E3034" s="41" t="s">
        <v>2762</v>
      </c>
      <c r="F3034" s="49"/>
      <c r="G3034" s="71" t="s">
        <v>2762</v>
      </c>
      <c r="H3034" s="41"/>
      <c r="I3034" s="42"/>
      <c r="J3034" s="43"/>
      <c r="K3034" s="72">
        <v>1.0</v>
      </c>
      <c r="L3034" s="53" t="s">
        <v>62</v>
      </c>
      <c r="M3034" s="73">
        <v>81000.0</v>
      </c>
      <c r="N3034" s="74"/>
      <c r="O3034" s="73">
        <v>81000.0</v>
      </c>
      <c r="P3034" s="46" t="str">
        <f t="shared" si="2"/>
        <v>Rp81,000-1 LSN-0.00%</v>
      </c>
      <c r="Q3034" s="75">
        <v>45419.0</v>
      </c>
      <c r="R3034" s="76"/>
      <c r="S3034" s="75">
        <v>45426.0</v>
      </c>
      <c r="T3034" s="80" t="s">
        <v>280</v>
      </c>
    </row>
    <row r="3035">
      <c r="A3035" s="90">
        <v>166.0</v>
      </c>
      <c r="B3035" s="91" t="s">
        <v>29</v>
      </c>
      <c r="C3035" s="49" t="s">
        <v>1768</v>
      </c>
      <c r="D3035" s="91"/>
      <c r="E3035" s="41" t="s">
        <v>2763</v>
      </c>
      <c r="F3035" s="49"/>
      <c r="G3035" s="71" t="s">
        <v>2763</v>
      </c>
      <c r="H3035" s="41"/>
      <c r="I3035" s="42"/>
      <c r="J3035" s="43"/>
      <c r="K3035" s="72">
        <v>1.0</v>
      </c>
      <c r="L3035" s="53" t="s">
        <v>62</v>
      </c>
      <c r="M3035" s="73">
        <v>87000.0</v>
      </c>
      <c r="N3035" s="74"/>
      <c r="O3035" s="73">
        <v>87000.0</v>
      </c>
      <c r="P3035" s="46" t="str">
        <f t="shared" si="2"/>
        <v>Rp87,000-1 LSN-0.00%</v>
      </c>
      <c r="Q3035" s="75">
        <v>45419.0</v>
      </c>
      <c r="R3035" s="76"/>
      <c r="S3035" s="75">
        <v>45426.0</v>
      </c>
      <c r="T3035" s="80" t="s">
        <v>280</v>
      </c>
    </row>
    <row r="3036">
      <c r="A3036" s="90">
        <v>166.0</v>
      </c>
      <c r="B3036" s="91" t="s">
        <v>29</v>
      </c>
      <c r="C3036" s="49" t="s">
        <v>1768</v>
      </c>
      <c r="D3036" s="91"/>
      <c r="E3036" s="41" t="s">
        <v>3093</v>
      </c>
      <c r="F3036" s="49"/>
      <c r="G3036" s="71" t="s">
        <v>3093</v>
      </c>
      <c r="H3036" s="41"/>
      <c r="I3036" s="42"/>
      <c r="J3036" s="43"/>
      <c r="K3036" s="72">
        <v>1.0</v>
      </c>
      <c r="L3036" s="53" t="s">
        <v>62</v>
      </c>
      <c r="M3036" s="73">
        <v>81000.0</v>
      </c>
      <c r="N3036" s="74"/>
      <c r="O3036" s="73">
        <v>81000.0</v>
      </c>
      <c r="P3036" s="46" t="str">
        <f t="shared" si="2"/>
        <v>Rp81,000-1 LSN-0.00%</v>
      </c>
      <c r="Q3036" s="75">
        <v>45419.0</v>
      </c>
      <c r="R3036" s="76"/>
      <c r="S3036" s="75">
        <v>45426.0</v>
      </c>
      <c r="T3036" s="49"/>
    </row>
    <row r="3037">
      <c r="A3037" s="90">
        <v>166.0</v>
      </c>
      <c r="B3037" s="91" t="s">
        <v>29</v>
      </c>
      <c r="C3037" s="49" t="s">
        <v>1768</v>
      </c>
      <c r="D3037" s="91"/>
      <c r="E3037" s="41" t="s">
        <v>1266</v>
      </c>
      <c r="F3037" s="49"/>
      <c r="G3037" s="71" t="s">
        <v>1266</v>
      </c>
      <c r="H3037" s="41"/>
      <c r="I3037" s="42"/>
      <c r="J3037" s="43"/>
      <c r="K3037" s="72">
        <v>0.5</v>
      </c>
      <c r="L3037" s="53" t="s">
        <v>62</v>
      </c>
      <c r="M3037" s="73">
        <v>225000.0</v>
      </c>
      <c r="N3037" s="74"/>
      <c r="O3037" s="73">
        <v>112500.0</v>
      </c>
      <c r="P3037" s="46" t="str">
        <f t="shared" si="2"/>
        <v>Rp225,000-0.5 LSN-0.00%</v>
      </c>
      <c r="Q3037" s="75">
        <v>45419.0</v>
      </c>
      <c r="R3037" s="76"/>
      <c r="S3037" s="75">
        <v>45426.0</v>
      </c>
      <c r="T3037" s="49"/>
    </row>
    <row r="3038">
      <c r="A3038" s="90">
        <v>166.0</v>
      </c>
      <c r="B3038" s="91" t="s">
        <v>29</v>
      </c>
      <c r="C3038" s="49" t="s">
        <v>1768</v>
      </c>
      <c r="D3038" s="91" t="s">
        <v>158</v>
      </c>
      <c r="E3038" s="41" t="str">
        <f>IFERROR(__xludf.DUMMYFUNCTION("vlookup(D3038,IMPORTRANGE(""https://docs.google.com/spreadsheets/d/1swGwZOEqYlTEUCJLY-eeJM1911Kvaei5oySBIxdgtNo/edit?pli=1#gid=257618397"",""stock untanna!B:C""),2,false)"),"TAS KARUNG 55X65")</f>
        <v>TAS KARUNG 55X65</v>
      </c>
      <c r="F3038" s="49" t="s">
        <v>158</v>
      </c>
      <c r="G3038" s="71" t="s">
        <v>160</v>
      </c>
      <c r="H3038" s="41"/>
      <c r="I3038" s="42"/>
      <c r="J3038" s="43"/>
      <c r="K3038" s="72">
        <v>6.0</v>
      </c>
      <c r="L3038" s="53" t="s">
        <v>69</v>
      </c>
      <c r="M3038" s="73">
        <v>20833.0</v>
      </c>
      <c r="N3038" s="74"/>
      <c r="O3038" s="73">
        <v>124998.0</v>
      </c>
      <c r="P3038" s="46" t="str">
        <f t="shared" si="2"/>
        <v>Rp20,833-6 PCS-0.00%</v>
      </c>
      <c r="Q3038" s="75">
        <v>45419.0</v>
      </c>
      <c r="R3038" s="76"/>
      <c r="S3038" s="75">
        <v>45426.0</v>
      </c>
      <c r="T3038" s="49"/>
    </row>
    <row r="3039">
      <c r="A3039" s="90">
        <v>166.0</v>
      </c>
      <c r="B3039" s="91" t="s">
        <v>29</v>
      </c>
      <c r="C3039" s="49" t="s">
        <v>1768</v>
      </c>
      <c r="D3039" s="91"/>
      <c r="E3039" s="41" t="s">
        <v>3094</v>
      </c>
      <c r="F3039" s="49"/>
      <c r="G3039" s="71" t="s">
        <v>3094</v>
      </c>
      <c r="H3039" s="41"/>
      <c r="I3039" s="42"/>
      <c r="J3039" s="43"/>
      <c r="K3039" s="72">
        <v>2.0</v>
      </c>
      <c r="L3039" s="53" t="s">
        <v>62</v>
      </c>
      <c r="M3039" s="73">
        <v>200000.0</v>
      </c>
      <c r="N3039" s="74"/>
      <c r="O3039" s="73">
        <v>400000.0</v>
      </c>
      <c r="P3039" s="46" t="str">
        <f t="shared" si="2"/>
        <v>Rp200,000-2 LSN-0.00%</v>
      </c>
      <c r="Q3039" s="75">
        <v>45419.0</v>
      </c>
      <c r="R3039" s="76"/>
      <c r="S3039" s="75">
        <v>45426.0</v>
      </c>
      <c r="T3039" s="49"/>
    </row>
    <row r="3040">
      <c r="A3040" s="90">
        <v>166.0</v>
      </c>
      <c r="B3040" s="91" t="s">
        <v>29</v>
      </c>
      <c r="C3040" s="49" t="s">
        <v>1768</v>
      </c>
      <c r="D3040" s="91"/>
      <c r="E3040" s="41" t="s">
        <v>3095</v>
      </c>
      <c r="F3040" s="49"/>
      <c r="G3040" s="71" t="s">
        <v>3095</v>
      </c>
      <c r="H3040" s="41"/>
      <c r="I3040" s="42"/>
      <c r="J3040" s="43"/>
      <c r="K3040" s="72">
        <v>1.0</v>
      </c>
      <c r="L3040" s="53" t="s">
        <v>62</v>
      </c>
      <c r="M3040" s="73">
        <v>60000.0</v>
      </c>
      <c r="N3040" s="83">
        <v>0.1</v>
      </c>
      <c r="O3040" s="73">
        <v>54000.0</v>
      </c>
      <c r="P3040" s="46" t="str">
        <f t="shared" si="2"/>
        <v>Rp60,000-1 LSN-10.00%</v>
      </c>
      <c r="Q3040" s="75">
        <v>45419.0</v>
      </c>
      <c r="R3040" s="76"/>
      <c r="S3040" s="75">
        <v>45426.0</v>
      </c>
      <c r="T3040" s="49"/>
    </row>
    <row r="3041">
      <c r="A3041" s="90">
        <v>166.0</v>
      </c>
      <c r="B3041" s="91" t="s">
        <v>29</v>
      </c>
      <c r="C3041" s="49" t="s">
        <v>1768</v>
      </c>
      <c r="D3041" s="77" t="s">
        <v>239</v>
      </c>
      <c r="E3041" s="41" t="str">
        <f>IFERROR(__xludf.DUMMYFUNCTION("vlookup(D3041,IMPORTRANGE(""https://docs.google.com/spreadsheets/d/1swGwZOEqYlTEUCJLY-eeJM1911Kvaei5oySBIxdgtNo/edit?pli=1#gid=257618397"",""stock untanna!B:C""),2,false)"),"TAS LYSD 229 K")</f>
        <v>TAS LYSD 229 K</v>
      </c>
      <c r="F3041" s="49" t="s">
        <v>240</v>
      </c>
      <c r="G3041" s="71" t="s">
        <v>241</v>
      </c>
      <c r="H3041" s="41"/>
      <c r="I3041" s="42"/>
      <c r="J3041" s="43"/>
      <c r="K3041" s="72">
        <v>12.0</v>
      </c>
      <c r="L3041" s="53" t="s">
        <v>69</v>
      </c>
      <c r="M3041" s="73">
        <v>5000.0</v>
      </c>
      <c r="N3041" s="83">
        <v>0.1</v>
      </c>
      <c r="O3041" s="73">
        <v>54000.0</v>
      </c>
      <c r="P3041" s="46" t="str">
        <f t="shared" si="2"/>
        <v>Rp5,000-12 PCS-10.00%</v>
      </c>
      <c r="Q3041" s="75">
        <v>45419.0</v>
      </c>
      <c r="R3041" s="76"/>
      <c r="S3041" s="75">
        <v>45426.0</v>
      </c>
      <c r="T3041" s="49"/>
    </row>
    <row r="3042">
      <c r="A3042" s="90">
        <v>166.0</v>
      </c>
      <c r="B3042" s="91" t="s">
        <v>29</v>
      </c>
      <c r="C3042" s="49" t="s">
        <v>1768</v>
      </c>
      <c r="D3042" s="91" t="s">
        <v>1479</v>
      </c>
      <c r="E3042" s="41" t="str">
        <f>IFERROR(__xludf.DUMMYFUNCTION("vlookup(D3042,IMPORTRANGE(""https://docs.google.com/spreadsheets/d/1swGwZOEqYlTEUCJLY-eeJM1911Kvaei5oySBIxdgtNo/edit?pli=1#gid=257618397"",""stock untanna!B:C""),2,false)"),"TAS H-4007-M BIASA KECIL")</f>
        <v>TAS H-4007-M BIASA KECIL</v>
      </c>
      <c r="F3042" s="49" t="s">
        <v>1479</v>
      </c>
      <c r="G3042" s="71" t="s">
        <v>1480</v>
      </c>
      <c r="H3042" s="41"/>
      <c r="I3042" s="42"/>
      <c r="J3042" s="43"/>
      <c r="K3042" s="72">
        <v>12.0</v>
      </c>
      <c r="L3042" s="53" t="s">
        <v>69</v>
      </c>
      <c r="M3042" s="73">
        <v>5000.0</v>
      </c>
      <c r="N3042" s="83">
        <v>0.1</v>
      </c>
      <c r="O3042" s="73">
        <v>54000.0</v>
      </c>
      <c r="P3042" s="46" t="str">
        <f t="shared" si="2"/>
        <v>Rp5,000-12 PCS-10.00%</v>
      </c>
      <c r="Q3042" s="75">
        <v>45419.0</v>
      </c>
      <c r="R3042" s="76"/>
      <c r="S3042" s="75">
        <v>45426.0</v>
      </c>
      <c r="T3042" s="49"/>
    </row>
    <row r="3043">
      <c r="A3043" s="90">
        <v>166.0</v>
      </c>
      <c r="B3043" s="91" t="s">
        <v>29</v>
      </c>
      <c r="C3043" s="49" t="s">
        <v>1768</v>
      </c>
      <c r="D3043" s="91"/>
      <c r="E3043" s="41" t="s">
        <v>3096</v>
      </c>
      <c r="F3043" s="49"/>
      <c r="G3043" s="71" t="s">
        <v>3096</v>
      </c>
      <c r="H3043" s="41"/>
      <c r="I3043" s="42"/>
      <c r="J3043" s="43"/>
      <c r="K3043" s="72">
        <v>1.0</v>
      </c>
      <c r="L3043" s="53" t="s">
        <v>62</v>
      </c>
      <c r="M3043" s="73">
        <v>65000.0</v>
      </c>
      <c r="N3043" s="83">
        <v>0.1</v>
      </c>
      <c r="O3043" s="73">
        <v>58500.0</v>
      </c>
      <c r="P3043" s="46" t="str">
        <f t="shared" si="2"/>
        <v>Rp65,000-1 LSN-10.00%</v>
      </c>
      <c r="Q3043" s="75">
        <v>45419.0</v>
      </c>
      <c r="R3043" s="76"/>
      <c r="S3043" s="75">
        <v>45426.0</v>
      </c>
      <c r="T3043" s="49"/>
    </row>
    <row r="3044">
      <c r="A3044" s="90">
        <v>166.0</v>
      </c>
      <c r="B3044" s="91" t="s">
        <v>29</v>
      </c>
      <c r="C3044" s="49" t="s">
        <v>1768</v>
      </c>
      <c r="D3044" s="91"/>
      <c r="E3044" s="41" t="s">
        <v>3097</v>
      </c>
      <c r="F3044" s="49"/>
      <c r="G3044" s="71" t="s">
        <v>3097</v>
      </c>
      <c r="H3044" s="41"/>
      <c r="I3044" s="42"/>
      <c r="J3044" s="43"/>
      <c r="K3044" s="72">
        <v>1.0</v>
      </c>
      <c r="L3044" s="53" t="s">
        <v>62</v>
      </c>
      <c r="M3044" s="73">
        <v>65000.0</v>
      </c>
      <c r="N3044" s="83">
        <v>0.1</v>
      </c>
      <c r="O3044" s="73">
        <v>58500.0</v>
      </c>
      <c r="P3044" s="46" t="str">
        <f t="shared" si="2"/>
        <v>Rp65,000-1 LSN-10.00%</v>
      </c>
      <c r="Q3044" s="75">
        <v>45419.0</v>
      </c>
      <c r="R3044" s="76"/>
      <c r="S3044" s="75">
        <v>45426.0</v>
      </c>
      <c r="T3044" s="49"/>
    </row>
    <row r="3045">
      <c r="A3045" s="90">
        <v>166.0</v>
      </c>
      <c r="B3045" s="91" t="s">
        <v>29</v>
      </c>
      <c r="C3045" s="49" t="s">
        <v>1768</v>
      </c>
      <c r="D3045" s="91"/>
      <c r="E3045" s="41" t="s">
        <v>3098</v>
      </c>
      <c r="F3045" s="49"/>
      <c r="G3045" s="71" t="s">
        <v>3098</v>
      </c>
      <c r="H3045" s="41"/>
      <c r="I3045" s="42"/>
      <c r="J3045" s="43"/>
      <c r="K3045" s="72">
        <v>1.0</v>
      </c>
      <c r="L3045" s="53" t="s">
        <v>62</v>
      </c>
      <c r="M3045" s="73">
        <v>65000.0</v>
      </c>
      <c r="N3045" s="83">
        <v>0.1</v>
      </c>
      <c r="O3045" s="73">
        <v>58500.0</v>
      </c>
      <c r="P3045" s="46" t="str">
        <f t="shared" si="2"/>
        <v>Rp65,000-1 LSN-10.00%</v>
      </c>
      <c r="Q3045" s="75">
        <v>45419.0</v>
      </c>
      <c r="R3045" s="76"/>
      <c r="S3045" s="75">
        <v>45426.0</v>
      </c>
      <c r="T3045" s="49"/>
    </row>
    <row r="3046">
      <c r="A3046" s="90">
        <v>167.0</v>
      </c>
      <c r="B3046" s="91" t="s">
        <v>29</v>
      </c>
      <c r="C3046" s="49" t="s">
        <v>1768</v>
      </c>
      <c r="D3046" s="91" t="s">
        <v>247</v>
      </c>
      <c r="E3046" s="41" t="str">
        <f>IFERROR(__xludf.DUMMYFUNCTION("vlookup(D3046,IMPORTRANGE(""https://docs.google.com/spreadsheets/d/1swGwZOEqYlTEUCJLY-eeJM1911Kvaei5oySBIxdgtNo/edit?pli=1#gid=257618397"",""stock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46" s="49" t="s">
        <v>247</v>
      </c>
      <c r="G3046" s="78" t="s">
        <v>248</v>
      </c>
      <c r="H3046" s="41"/>
      <c r="I3046" s="42"/>
      <c r="J3046" s="43"/>
      <c r="K3046" s="72">
        <v>1.0</v>
      </c>
      <c r="L3046" s="53" t="s">
        <v>62</v>
      </c>
      <c r="M3046" s="73">
        <v>95000.0</v>
      </c>
      <c r="N3046" s="83">
        <v>0.1</v>
      </c>
      <c r="O3046" s="73">
        <v>85500.0</v>
      </c>
      <c r="P3046" s="46" t="str">
        <f t="shared" si="2"/>
        <v>Rp95,000-1 LSN-10.00%</v>
      </c>
      <c r="Q3046" s="75">
        <v>45419.0</v>
      </c>
      <c r="R3046" s="76"/>
      <c r="S3046" s="75">
        <v>45426.0</v>
      </c>
      <c r="T3046" s="49"/>
    </row>
    <row r="3047">
      <c r="A3047" s="90">
        <v>167.0</v>
      </c>
      <c r="B3047" s="91" t="s">
        <v>29</v>
      </c>
      <c r="C3047" s="49" t="s">
        <v>1768</v>
      </c>
      <c r="D3047" s="91"/>
      <c r="E3047" s="41" t="s">
        <v>3099</v>
      </c>
      <c r="F3047" s="49"/>
      <c r="G3047" s="71" t="s">
        <v>3099</v>
      </c>
      <c r="H3047" s="41"/>
      <c r="I3047" s="42"/>
      <c r="J3047" s="43"/>
      <c r="K3047" s="72">
        <v>1.0</v>
      </c>
      <c r="L3047" s="53" t="s">
        <v>62</v>
      </c>
      <c r="M3047" s="73">
        <v>105000.0</v>
      </c>
      <c r="N3047" s="83">
        <v>0.1</v>
      </c>
      <c r="O3047" s="73">
        <v>94500.0</v>
      </c>
      <c r="P3047" s="46" t="str">
        <f t="shared" si="2"/>
        <v>Rp105,000-1 LSN-10.00%</v>
      </c>
      <c r="Q3047" s="75">
        <v>45419.0</v>
      </c>
      <c r="R3047" s="76"/>
      <c r="S3047" s="75">
        <v>45426.0</v>
      </c>
      <c r="T3047" s="49"/>
    </row>
    <row r="3048">
      <c r="A3048" s="90">
        <v>167.0</v>
      </c>
      <c r="B3048" s="91" t="s">
        <v>29</v>
      </c>
      <c r="C3048" s="49" t="s">
        <v>1768</v>
      </c>
      <c r="D3048" s="91"/>
      <c r="E3048" s="41" t="s">
        <v>3100</v>
      </c>
      <c r="F3048" s="49"/>
      <c r="G3048" s="71" t="s">
        <v>3100</v>
      </c>
      <c r="H3048" s="41"/>
      <c r="I3048" s="42"/>
      <c r="J3048" s="43"/>
      <c r="K3048" s="72">
        <v>1.0</v>
      </c>
      <c r="L3048" s="53" t="s">
        <v>62</v>
      </c>
      <c r="M3048" s="73">
        <v>105000.0</v>
      </c>
      <c r="N3048" s="83">
        <v>0.1</v>
      </c>
      <c r="O3048" s="73">
        <v>94500.0</v>
      </c>
      <c r="P3048" s="46" t="str">
        <f t="shared" si="2"/>
        <v>Rp105,000-1 LSN-10.00%</v>
      </c>
      <c r="Q3048" s="75">
        <v>45419.0</v>
      </c>
      <c r="R3048" s="76"/>
      <c r="S3048" s="75">
        <v>45426.0</v>
      </c>
      <c r="T3048" s="49"/>
    </row>
    <row r="3049">
      <c r="A3049" s="90">
        <v>167.0</v>
      </c>
      <c r="B3049" s="91" t="s">
        <v>29</v>
      </c>
      <c r="C3049" s="49" t="s">
        <v>1768</v>
      </c>
      <c r="D3049" s="91"/>
      <c r="E3049" s="41" t="s">
        <v>3101</v>
      </c>
      <c r="F3049" s="49"/>
      <c r="G3049" s="71" t="s">
        <v>3101</v>
      </c>
      <c r="H3049" s="41"/>
      <c r="I3049" s="42"/>
      <c r="J3049" s="43"/>
      <c r="K3049" s="72">
        <v>1.0</v>
      </c>
      <c r="L3049" s="53" t="s">
        <v>62</v>
      </c>
      <c r="M3049" s="73">
        <v>100000.0</v>
      </c>
      <c r="N3049" s="83">
        <v>0.1</v>
      </c>
      <c r="O3049" s="73">
        <v>90000.0</v>
      </c>
      <c r="P3049" s="46" t="str">
        <f t="shared" si="2"/>
        <v>Rp100,000-1 LSN-10.00%</v>
      </c>
      <c r="Q3049" s="75">
        <v>45419.0</v>
      </c>
      <c r="R3049" s="76"/>
      <c r="S3049" s="75">
        <v>45426.0</v>
      </c>
      <c r="T3049" s="49"/>
    </row>
    <row r="3050">
      <c r="A3050" s="90">
        <v>167.0</v>
      </c>
      <c r="B3050" s="91" t="s">
        <v>29</v>
      </c>
      <c r="C3050" s="49" t="s">
        <v>1768</v>
      </c>
      <c r="D3050" s="91"/>
      <c r="E3050" s="41" t="s">
        <v>3102</v>
      </c>
      <c r="F3050" s="49"/>
      <c r="G3050" s="71" t="s">
        <v>3102</v>
      </c>
      <c r="H3050" s="41"/>
      <c r="I3050" s="42"/>
      <c r="J3050" s="43"/>
      <c r="K3050" s="72">
        <v>1.0</v>
      </c>
      <c r="L3050" s="53" t="s">
        <v>62</v>
      </c>
      <c r="M3050" s="73">
        <v>105000.0</v>
      </c>
      <c r="N3050" s="83">
        <v>0.1</v>
      </c>
      <c r="O3050" s="73">
        <v>94500.0</v>
      </c>
      <c r="P3050" s="46" t="str">
        <f t="shared" si="2"/>
        <v>Rp105,000-1 LSN-10.00%</v>
      </c>
      <c r="Q3050" s="75">
        <v>45419.0</v>
      </c>
      <c r="R3050" s="76"/>
      <c r="S3050" s="75">
        <v>45426.0</v>
      </c>
      <c r="T3050" s="49"/>
    </row>
    <row r="3051">
      <c r="A3051" s="90">
        <v>167.0</v>
      </c>
      <c r="B3051" s="91" t="s">
        <v>29</v>
      </c>
      <c r="C3051" s="49" t="s">
        <v>1768</v>
      </c>
      <c r="D3051" s="91" t="s">
        <v>247</v>
      </c>
      <c r="E3051" s="41" t="str">
        <f>IFERROR(__xludf.DUMMYFUNCTION("vlookup(D3051,IMPORTRANGE(""https://docs.google.com/spreadsheets/d/1swGwZOEqYlTEUCJLY-eeJM1911Kvaei5oySBIxdgtNo/edit?pli=1#gid=257618397"",""stock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1" s="49" t="s">
        <v>247</v>
      </c>
      <c r="G3051" s="78" t="s">
        <v>248</v>
      </c>
      <c r="H3051" s="41"/>
      <c r="I3051" s="42"/>
      <c r="J3051" s="43"/>
      <c r="K3051" s="72">
        <v>1.0</v>
      </c>
      <c r="L3051" s="53" t="s">
        <v>62</v>
      </c>
      <c r="M3051" s="73">
        <v>95000.0</v>
      </c>
      <c r="N3051" s="83">
        <v>0.1</v>
      </c>
      <c r="O3051" s="73">
        <v>85500.0</v>
      </c>
      <c r="P3051" s="46" t="str">
        <f t="shared" si="2"/>
        <v>Rp95,000-1 LSN-10.00%</v>
      </c>
      <c r="Q3051" s="75">
        <v>45419.0</v>
      </c>
      <c r="R3051" s="76"/>
      <c r="S3051" s="75">
        <v>45426.0</v>
      </c>
      <c r="T3051" s="49"/>
    </row>
    <row r="3052">
      <c r="A3052" s="90">
        <v>167.0</v>
      </c>
      <c r="B3052" s="91" t="s">
        <v>29</v>
      </c>
      <c r="C3052" s="49" t="s">
        <v>1768</v>
      </c>
      <c r="D3052" s="91" t="s">
        <v>247</v>
      </c>
      <c r="E3052" s="41" t="str">
        <f>IFERROR(__xludf.DUMMYFUNCTION("vlookup(D3052,IMPORTRANGE(""https://docs.google.com/spreadsheets/d/1swGwZOEqYlTEUCJLY-eeJM1911Kvaei5oySBIxdgtNo/edit?pli=1#gid=257618397"",""stock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2" s="49" t="s">
        <v>247</v>
      </c>
      <c r="G3052" s="78" t="s">
        <v>248</v>
      </c>
      <c r="H3052" s="41"/>
      <c r="I3052" s="42"/>
      <c r="J3052" s="43"/>
      <c r="K3052" s="72">
        <v>1.0</v>
      </c>
      <c r="L3052" s="53" t="s">
        <v>62</v>
      </c>
      <c r="M3052" s="73">
        <v>95000.0</v>
      </c>
      <c r="N3052" s="83">
        <v>0.1</v>
      </c>
      <c r="O3052" s="73">
        <v>85500.0</v>
      </c>
      <c r="P3052" s="46" t="str">
        <f t="shared" si="2"/>
        <v>Rp95,000-1 LSN-10.00%</v>
      </c>
      <c r="Q3052" s="75">
        <v>45419.0</v>
      </c>
      <c r="R3052" s="76"/>
      <c r="S3052" s="75">
        <v>45426.0</v>
      </c>
      <c r="T3052" s="49"/>
    </row>
    <row r="3053">
      <c r="A3053" s="90">
        <v>167.0</v>
      </c>
      <c r="B3053" s="91" t="s">
        <v>29</v>
      </c>
      <c r="C3053" s="49" t="s">
        <v>1768</v>
      </c>
      <c r="D3053" s="91" t="s">
        <v>247</v>
      </c>
      <c r="E3053" s="41" t="str">
        <f>IFERROR(__xludf.DUMMYFUNCTION("vlookup(D3053,IMPORTRANGE(""https://docs.google.com/spreadsheets/d/1swGwZOEqYlTEUCJLY-eeJM1911Kvaei5oySBIxdgtNo/edit?pli=1#gid=257618397"",""stock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3" s="49" t="s">
        <v>247</v>
      </c>
      <c r="G3053" s="78" t="s">
        <v>248</v>
      </c>
      <c r="H3053" s="41"/>
      <c r="I3053" s="42"/>
      <c r="J3053" s="43"/>
      <c r="K3053" s="72">
        <v>1.0</v>
      </c>
      <c r="L3053" s="53" t="s">
        <v>62</v>
      </c>
      <c r="M3053" s="73">
        <v>95000.0</v>
      </c>
      <c r="N3053" s="83">
        <v>0.1</v>
      </c>
      <c r="O3053" s="73">
        <v>85500.0</v>
      </c>
      <c r="P3053" s="46" t="str">
        <f t="shared" si="2"/>
        <v>Rp95,000-1 LSN-10.00%</v>
      </c>
      <c r="Q3053" s="75">
        <v>45419.0</v>
      </c>
      <c r="R3053" s="76"/>
      <c r="S3053" s="75">
        <v>45426.0</v>
      </c>
      <c r="T3053" s="49"/>
    </row>
    <row r="3054">
      <c r="A3054" s="90">
        <v>167.0</v>
      </c>
      <c r="B3054" s="91" t="s">
        <v>29</v>
      </c>
      <c r="C3054" s="49" t="s">
        <v>1768</v>
      </c>
      <c r="D3054" s="91" t="s">
        <v>247</v>
      </c>
      <c r="E3054" s="41" t="str">
        <f>IFERROR(__xludf.DUMMYFUNCTION("vlookup(D3054,IMPORTRANGE(""https://docs.google.com/spreadsheets/d/1swGwZOEqYlTEUCJLY-eeJM1911Kvaei5oySBIxdgtNo/edit?pli=1#gid=257618397"",""stock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4" s="49" t="s">
        <v>247</v>
      </c>
      <c r="G3054" s="78" t="s">
        <v>248</v>
      </c>
      <c r="H3054" s="41"/>
      <c r="I3054" s="42"/>
      <c r="J3054" s="43"/>
      <c r="K3054" s="72">
        <v>1.0</v>
      </c>
      <c r="L3054" s="53" t="s">
        <v>62</v>
      </c>
      <c r="M3054" s="73">
        <v>95000.0</v>
      </c>
      <c r="N3054" s="83">
        <v>0.1</v>
      </c>
      <c r="O3054" s="73">
        <v>85500.0</v>
      </c>
      <c r="P3054" s="46" t="str">
        <f t="shared" si="2"/>
        <v>Rp95,000-1 LSN-10.00%</v>
      </c>
      <c r="Q3054" s="75">
        <v>45419.0</v>
      </c>
      <c r="R3054" s="76"/>
      <c r="S3054" s="75">
        <v>45426.0</v>
      </c>
      <c r="T3054" s="49"/>
    </row>
    <row r="3055">
      <c r="A3055" s="90">
        <v>167.0</v>
      </c>
      <c r="B3055" s="91" t="s">
        <v>29</v>
      </c>
      <c r="C3055" s="49" t="s">
        <v>1768</v>
      </c>
      <c r="D3055" s="91" t="s">
        <v>247</v>
      </c>
      <c r="E3055" s="41" t="str">
        <f>IFERROR(__xludf.DUMMYFUNCTION("vlookup(D3055,IMPORTRANGE(""https://docs.google.com/spreadsheets/d/1swGwZOEqYlTEUCJLY-eeJM1911Kvaei5oySBIxdgtNo/edit?pli=1#gid=257618397"",""stock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5" s="49" t="s">
        <v>247</v>
      </c>
      <c r="G3055" s="78" t="s">
        <v>248</v>
      </c>
      <c r="H3055" s="41"/>
      <c r="I3055" s="42"/>
      <c r="J3055" s="43"/>
      <c r="K3055" s="72">
        <v>1.0</v>
      </c>
      <c r="L3055" s="53" t="s">
        <v>62</v>
      </c>
      <c r="M3055" s="73">
        <v>95000.0</v>
      </c>
      <c r="N3055" s="83">
        <v>0.1</v>
      </c>
      <c r="O3055" s="73">
        <v>85500.0</v>
      </c>
      <c r="P3055" s="46" t="str">
        <f t="shared" si="2"/>
        <v>Rp95,000-1 LSN-10.00%</v>
      </c>
      <c r="Q3055" s="75">
        <v>45419.0</v>
      </c>
      <c r="R3055" s="76"/>
      <c r="S3055" s="75">
        <v>45426.0</v>
      </c>
      <c r="T3055" s="49"/>
    </row>
    <row r="3056">
      <c r="A3056" s="90">
        <v>167.0</v>
      </c>
      <c r="B3056" s="91" t="s">
        <v>29</v>
      </c>
      <c r="C3056" s="49" t="s">
        <v>1768</v>
      </c>
      <c r="D3056" s="91" t="s">
        <v>247</v>
      </c>
      <c r="E3056" s="41" t="str">
        <f>IFERROR(__xludf.DUMMYFUNCTION("vlookup(D3056,IMPORTRANGE(""https://docs.google.com/spreadsheets/d/1swGwZOEqYlTEUCJLY-eeJM1911Kvaei5oySBIxdgtNo/edit?pli=1#gid=257618397"",""stock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6" s="49" t="s">
        <v>247</v>
      </c>
      <c r="G3056" s="78" t="s">
        <v>248</v>
      </c>
      <c r="H3056" s="41"/>
      <c r="I3056" s="42"/>
      <c r="J3056" s="43"/>
      <c r="K3056" s="72">
        <v>1.0</v>
      </c>
      <c r="L3056" s="53" t="s">
        <v>62</v>
      </c>
      <c r="M3056" s="73">
        <v>95000.0</v>
      </c>
      <c r="N3056" s="83">
        <v>0.1</v>
      </c>
      <c r="O3056" s="73">
        <v>85500.0</v>
      </c>
      <c r="P3056" s="46" t="str">
        <f t="shared" si="2"/>
        <v>Rp95,000-1 LSN-10.00%</v>
      </c>
      <c r="Q3056" s="75">
        <v>45419.0</v>
      </c>
      <c r="R3056" s="76"/>
      <c r="S3056" s="75">
        <v>45426.0</v>
      </c>
      <c r="T3056" s="49"/>
    </row>
    <row r="3057">
      <c r="A3057" s="90">
        <v>167.0</v>
      </c>
      <c r="B3057" s="91" t="s">
        <v>29</v>
      </c>
      <c r="C3057" s="49" t="s">
        <v>1768</v>
      </c>
      <c r="D3057" s="91" t="s">
        <v>247</v>
      </c>
      <c r="E3057" s="41" t="str">
        <f>IFERROR(__xludf.DUMMYFUNCTION("vlookup(D3057,IMPORTRANGE(""https://docs.google.com/spreadsheets/d/1swGwZOEqYlTEUCJLY-eeJM1911Kvaei5oySBIxdgtNo/edit?pli=1#gid=257618397"",""stock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7" s="49" t="s">
        <v>247</v>
      </c>
      <c r="G3057" s="78" t="s">
        <v>248</v>
      </c>
      <c r="H3057" s="41"/>
      <c r="I3057" s="42"/>
      <c r="J3057" s="43"/>
      <c r="K3057" s="72">
        <v>0.5</v>
      </c>
      <c r="L3057" s="53" t="s">
        <v>62</v>
      </c>
      <c r="M3057" s="73">
        <v>95000.0</v>
      </c>
      <c r="N3057" s="83">
        <v>0.1</v>
      </c>
      <c r="O3057" s="73">
        <v>42750.0</v>
      </c>
      <c r="P3057" s="46" t="str">
        <f t="shared" si="2"/>
        <v>Rp95,000-0.5 LSN-10.00%</v>
      </c>
      <c r="Q3057" s="75">
        <v>45419.0</v>
      </c>
      <c r="R3057" s="76"/>
      <c r="S3057" s="75">
        <v>45426.0</v>
      </c>
      <c r="T3057" s="49"/>
    </row>
    <row r="3058">
      <c r="A3058" s="90">
        <v>167.0</v>
      </c>
      <c r="B3058" s="91" t="s">
        <v>29</v>
      </c>
      <c r="C3058" s="49" t="s">
        <v>1768</v>
      </c>
      <c r="D3058" s="91" t="s">
        <v>247</v>
      </c>
      <c r="E3058" s="41" t="str">
        <f>IFERROR(__xludf.DUMMYFUNCTION("vlookup(D3058,IMPORTRANGE(""https://docs.google.com/spreadsheets/d/1swGwZOEqYlTEUCJLY-eeJM1911Kvaei5oySBIxdgtNo/edit?pli=1#gid=257618397"",""stock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8" s="49" t="s">
        <v>247</v>
      </c>
      <c r="G3058" s="78" t="s">
        <v>248</v>
      </c>
      <c r="H3058" s="41"/>
      <c r="I3058" s="42"/>
      <c r="J3058" s="43"/>
      <c r="K3058" s="72">
        <v>1.0</v>
      </c>
      <c r="L3058" s="53" t="s">
        <v>62</v>
      </c>
      <c r="M3058" s="73">
        <v>95000.0</v>
      </c>
      <c r="N3058" s="83">
        <v>0.1</v>
      </c>
      <c r="O3058" s="73">
        <v>85500.0</v>
      </c>
      <c r="P3058" s="46" t="str">
        <f t="shared" si="2"/>
        <v>Rp95,000-1 LSN-10.00%</v>
      </c>
      <c r="Q3058" s="75">
        <v>45419.0</v>
      </c>
      <c r="R3058" s="76"/>
      <c r="S3058" s="75">
        <v>45426.0</v>
      </c>
      <c r="T3058" s="49"/>
    </row>
    <row r="3059">
      <c r="A3059" s="90">
        <v>167.0</v>
      </c>
      <c r="B3059" s="91" t="s">
        <v>29</v>
      </c>
      <c r="C3059" s="49" t="s">
        <v>1768</v>
      </c>
      <c r="D3059" s="91" t="s">
        <v>247</v>
      </c>
      <c r="E3059" s="41" t="str">
        <f>IFERROR(__xludf.DUMMYFUNCTION("vlookup(D3059,IMPORTRANGE(""https://docs.google.com/spreadsheets/d/1swGwZOEqYlTEUCJLY-eeJM1911Kvaei5oySBIxdgtNo/edit?pli=1#gid=257618397"",""stock untanna!B:C""),2,false)"),"TAS TUTUP PITA KADO FG-201 TANGGUNG")</f>
        <v>TAS TUTUP PITA KADO FG-201 TANGGUNG</v>
      </c>
      <c r="F3059" s="49" t="s">
        <v>247</v>
      </c>
      <c r="G3059" s="78" t="s">
        <v>248</v>
      </c>
      <c r="H3059" s="41"/>
      <c r="I3059" s="42"/>
      <c r="J3059" s="43"/>
      <c r="K3059" s="72">
        <v>1.0</v>
      </c>
      <c r="L3059" s="53" t="s">
        <v>62</v>
      </c>
      <c r="M3059" s="73">
        <v>95000.0</v>
      </c>
      <c r="N3059" s="83">
        <v>0.1</v>
      </c>
      <c r="O3059" s="73">
        <v>85500.0</v>
      </c>
      <c r="P3059" s="46" t="str">
        <f t="shared" si="2"/>
        <v>Rp95,000-1 LSN-10.00%</v>
      </c>
      <c r="Q3059" s="75">
        <v>45419.0</v>
      </c>
      <c r="R3059" s="76"/>
      <c r="S3059" s="75">
        <v>45426.0</v>
      </c>
      <c r="T3059" s="49"/>
    </row>
    <row r="3060">
      <c r="A3060" s="90">
        <v>167.0</v>
      </c>
      <c r="B3060" s="91" t="s">
        <v>29</v>
      </c>
      <c r="C3060" s="49" t="s">
        <v>1768</v>
      </c>
      <c r="D3060" s="91"/>
      <c r="E3060" s="41" t="s">
        <v>846</v>
      </c>
      <c r="F3060" s="49"/>
      <c r="G3060" s="71" t="s">
        <v>846</v>
      </c>
      <c r="H3060" s="41"/>
      <c r="I3060" s="42"/>
      <c r="J3060" s="43"/>
      <c r="K3060" s="72">
        <v>1.0</v>
      </c>
      <c r="L3060" s="53" t="s">
        <v>62</v>
      </c>
      <c r="M3060" s="73">
        <v>135000.0</v>
      </c>
      <c r="N3060" s="83">
        <v>0.1</v>
      </c>
      <c r="O3060" s="73">
        <v>121500.0</v>
      </c>
      <c r="P3060" s="46" t="str">
        <f t="shared" si="2"/>
        <v>Rp135,000-1 LSN-10.00%</v>
      </c>
      <c r="Q3060" s="75">
        <v>45419.0</v>
      </c>
      <c r="R3060" s="76"/>
      <c r="S3060" s="75">
        <v>45426.0</v>
      </c>
      <c r="T3060" s="49"/>
    </row>
    <row r="3061">
      <c r="A3061" s="90">
        <v>167.0</v>
      </c>
      <c r="B3061" s="91" t="s">
        <v>29</v>
      </c>
      <c r="C3061" s="49" t="s">
        <v>1768</v>
      </c>
      <c r="D3061" s="91" t="s">
        <v>214</v>
      </c>
      <c r="E3061" s="41" t="str">
        <f>IFERROR(__xludf.DUMMYFUNCTION("vlookup(D3061,IMPORTRANGE(""https://docs.google.com/spreadsheets/d/1swGwZOEqYlTEUCJLY-eeJM1911Kvaei5oySBIxdgtNo/edit?pli=1#gid=257618397"",""stock untanna!B:C""),2,false)"),"TAS COKLAT TEBAL KECIL ")</f>
        <v>TAS COKLAT TEBAL KECIL </v>
      </c>
      <c r="F3061" s="49" t="s">
        <v>214</v>
      </c>
      <c r="G3061" s="71" t="s">
        <v>215</v>
      </c>
      <c r="H3061" s="41"/>
      <c r="I3061" s="42"/>
      <c r="J3061" s="43"/>
      <c r="K3061" s="72">
        <v>5.0</v>
      </c>
      <c r="L3061" s="53" t="s">
        <v>62</v>
      </c>
      <c r="M3061" s="73">
        <v>17500.0</v>
      </c>
      <c r="N3061" s="74"/>
      <c r="O3061" s="73">
        <v>87500.0</v>
      </c>
      <c r="P3061" s="46" t="str">
        <f t="shared" si="2"/>
        <v>Rp17,500-5 LSN-0.00%</v>
      </c>
      <c r="Q3061" s="75">
        <v>45419.0</v>
      </c>
      <c r="R3061" s="76"/>
      <c r="S3061" s="75">
        <v>45426.0</v>
      </c>
      <c r="T3061" s="49"/>
    </row>
    <row r="3062">
      <c r="A3062" s="90">
        <v>168.0</v>
      </c>
      <c r="B3062" s="91" t="s">
        <v>29</v>
      </c>
      <c r="C3062" s="49" t="s">
        <v>1768</v>
      </c>
      <c r="D3062" s="91" t="s">
        <v>2854</v>
      </c>
      <c r="E3062" s="41" t="str">
        <f>IFERROR(__xludf.DUMMYFUNCTION("vlookup(D3062,IMPORTRANGE(""https://docs.google.com/spreadsheets/d/1swGwZOEqYlTEUCJLY-eeJM1911Kvaei5oySBIxdgtNo/edit?pli=1#gid=257618397"",""stock untanna!B:C""),2,false)"),"TAS COKLAT TEBAL TANGGUNG ")</f>
        <v>TAS COKLAT TEBAL TANGGUNG </v>
      </c>
      <c r="F3062" s="49" t="s">
        <v>2854</v>
      </c>
      <c r="G3062" s="71" t="s">
        <v>2855</v>
      </c>
      <c r="H3062" s="41"/>
      <c r="I3062" s="42"/>
      <c r="J3062" s="43"/>
      <c r="K3062" s="72">
        <v>5.0</v>
      </c>
      <c r="L3062" s="53" t="s">
        <v>62</v>
      </c>
      <c r="M3062" s="73">
        <v>25000.0</v>
      </c>
      <c r="N3062" s="74"/>
      <c r="O3062" s="73">
        <v>125000.0</v>
      </c>
      <c r="P3062" s="46" t="str">
        <f t="shared" si="2"/>
        <v>Rp25,000-5 LSN-0.00%</v>
      </c>
      <c r="Q3062" s="75">
        <v>45419.0</v>
      </c>
      <c r="R3062" s="76"/>
      <c r="S3062" s="75">
        <v>45426.0</v>
      </c>
      <c r="T3062" s="49"/>
    </row>
    <row r="3063">
      <c r="A3063" s="90">
        <v>168.0</v>
      </c>
      <c r="B3063" s="91" t="s">
        <v>29</v>
      </c>
      <c r="C3063" s="49" t="s">
        <v>1768</v>
      </c>
      <c r="D3063" s="91" t="s">
        <v>210</v>
      </c>
      <c r="E3063" s="41" t="str">
        <f>IFERROR(__xludf.DUMMYFUNCTION("vlookup(D3063,IMPORTRANGE(""https://docs.google.com/spreadsheets/d/1swGwZOEqYlTEUCJLY-eeJM1911Kvaei5oySBIxdgtNo/edit?pli=1#gid=257618397"",""stock untanna!B:C""),2,false)"),"TAS JASMIN TANGGUNG")</f>
        <v>TAS JASMIN TANGGUNG</v>
      </c>
      <c r="F3063" s="49" t="s">
        <v>210</v>
      </c>
      <c r="G3063" s="71" t="s">
        <v>211</v>
      </c>
      <c r="H3063" s="41"/>
      <c r="I3063" s="42"/>
      <c r="J3063" s="43"/>
      <c r="K3063" s="72">
        <v>2.0</v>
      </c>
      <c r="L3063" s="53" t="s">
        <v>62</v>
      </c>
      <c r="M3063" s="73">
        <v>40000.0</v>
      </c>
      <c r="N3063" s="74"/>
      <c r="O3063" s="73">
        <v>80000.0</v>
      </c>
      <c r="P3063" s="46" t="str">
        <f t="shared" si="2"/>
        <v>Rp40,000-2 LSN-0.00%</v>
      </c>
      <c r="Q3063" s="75">
        <v>45419.0</v>
      </c>
      <c r="R3063" s="76"/>
      <c r="S3063" s="75">
        <v>45426.0</v>
      </c>
      <c r="T3063" s="49"/>
    </row>
    <row r="3064">
      <c r="A3064" s="90">
        <v>168.0</v>
      </c>
      <c r="B3064" s="91" t="s">
        <v>29</v>
      </c>
      <c r="C3064" s="49" t="s">
        <v>1768</v>
      </c>
      <c r="D3064" s="91"/>
      <c r="E3064" s="41" t="s">
        <v>1462</v>
      </c>
      <c r="F3064" s="49"/>
      <c r="G3064" s="71" t="s">
        <v>1462</v>
      </c>
      <c r="H3064" s="41"/>
      <c r="I3064" s="42"/>
      <c r="J3064" s="43"/>
      <c r="K3064" s="72">
        <v>1.0</v>
      </c>
      <c r="L3064" s="53" t="s">
        <v>62</v>
      </c>
      <c r="M3064" s="73">
        <v>95000.0</v>
      </c>
      <c r="N3064" s="74"/>
      <c r="O3064" s="73">
        <v>95000.0</v>
      </c>
      <c r="P3064" s="46" t="str">
        <f t="shared" si="2"/>
        <v>Rp95,000-1 LSN-0.00%</v>
      </c>
      <c r="Q3064" s="75">
        <v>45419.0</v>
      </c>
      <c r="R3064" s="76"/>
      <c r="S3064" s="75">
        <v>45426.0</v>
      </c>
      <c r="T3064" s="49"/>
    </row>
    <row r="3065">
      <c r="A3065" s="90">
        <v>168.0</v>
      </c>
      <c r="B3065" s="91" t="s">
        <v>29</v>
      </c>
      <c r="C3065" s="49" t="s">
        <v>1768</v>
      </c>
      <c r="D3065" s="91"/>
      <c r="E3065" s="41" t="s">
        <v>3103</v>
      </c>
      <c r="F3065" s="49"/>
      <c r="G3065" s="71" t="s">
        <v>3103</v>
      </c>
      <c r="H3065" s="41"/>
      <c r="I3065" s="42"/>
      <c r="J3065" s="43"/>
      <c r="K3065" s="72">
        <v>1.0</v>
      </c>
      <c r="L3065" s="53" t="s">
        <v>62</v>
      </c>
      <c r="M3065" s="73">
        <v>135000.0</v>
      </c>
      <c r="N3065" s="83">
        <v>0.1</v>
      </c>
      <c r="O3065" s="73">
        <v>121500.0</v>
      </c>
      <c r="P3065" s="46" t="str">
        <f t="shared" si="2"/>
        <v>Rp135,000-1 LSN-10.00%</v>
      </c>
      <c r="Q3065" s="75">
        <v>45419.0</v>
      </c>
      <c r="R3065" s="76"/>
      <c r="S3065" s="75">
        <v>45426.0</v>
      </c>
      <c r="T3065" s="49"/>
    </row>
    <row r="3066">
      <c r="A3066" s="90">
        <v>168.0</v>
      </c>
      <c r="B3066" s="91" t="s">
        <v>29</v>
      </c>
      <c r="C3066" s="49" t="s">
        <v>1768</v>
      </c>
      <c r="D3066" s="91" t="s">
        <v>3104</v>
      </c>
      <c r="E3066" s="41" t="str">
        <f>IFERROR(__xludf.DUMMYFUNCTION("vlookup(D3066,IMPORTRANGE(""https://docs.google.com/spreadsheets/d/1swGwZOEqYlTEUCJLY-eeJM1911Kvaei5oySBIxdgtNo/edit?pli=1#gid=257618397"",""stock untanna!B:C""),2,false)"),"KUAS 251-6 PAGODA")</f>
        <v>KUAS 251-6 PAGODA</v>
      </c>
      <c r="F3066" s="49" t="s">
        <v>3104</v>
      </c>
      <c r="G3066" s="71" t="s">
        <v>3105</v>
      </c>
      <c r="H3066" s="41"/>
      <c r="I3066" s="42"/>
      <c r="J3066" s="43"/>
      <c r="K3066" s="72">
        <v>144.0</v>
      </c>
      <c r="L3066" s="53" t="s">
        <v>69</v>
      </c>
      <c r="M3066" s="73">
        <v>1389.0</v>
      </c>
      <c r="N3066" s="74"/>
      <c r="O3066" s="73">
        <v>200016.0</v>
      </c>
      <c r="P3066" s="46" t="str">
        <f t="shared" si="2"/>
        <v>Rp1,389-144 PCS-0.00%</v>
      </c>
      <c r="Q3066" s="75">
        <v>45419.0</v>
      </c>
      <c r="R3066" s="76"/>
      <c r="S3066" s="75">
        <v>45426.0</v>
      </c>
      <c r="T3066" s="49"/>
    </row>
    <row r="3067">
      <c r="A3067" s="90">
        <v>168.0</v>
      </c>
      <c r="B3067" s="91" t="s">
        <v>29</v>
      </c>
      <c r="C3067" s="49" t="s">
        <v>1768</v>
      </c>
      <c r="D3067" s="91" t="s">
        <v>3106</v>
      </c>
      <c r="E3067" s="41" t="str">
        <f>IFERROR(__xludf.DUMMYFUNCTION("vlookup(D3067,IMPORTRANGE(""https://docs.google.com/spreadsheets/d/1swGwZOEqYlTEUCJLY-eeJM1911Kvaei5oySBIxdgtNo/edit?pli=1#gid=257618397"",""stock untanna!B:C""),2,false)"),"KUAS 251-8 PAGODA")</f>
        <v>KUAS 251-8 PAGODA</v>
      </c>
      <c r="F3067" s="49" t="s">
        <v>3106</v>
      </c>
      <c r="G3067" s="71" t="s">
        <v>3107</v>
      </c>
      <c r="H3067" s="41"/>
      <c r="I3067" s="42"/>
      <c r="J3067" s="43"/>
      <c r="K3067" s="72">
        <v>144.0</v>
      </c>
      <c r="L3067" s="53" t="s">
        <v>69</v>
      </c>
      <c r="M3067" s="73">
        <v>1667.0</v>
      </c>
      <c r="N3067" s="74"/>
      <c r="O3067" s="73">
        <v>240048.0</v>
      </c>
      <c r="P3067" s="46" t="str">
        <f t="shared" si="2"/>
        <v>Rp1,667-144 PCS-0.00%</v>
      </c>
      <c r="Q3067" s="75">
        <v>45419.0</v>
      </c>
      <c r="R3067" s="76"/>
      <c r="S3067" s="75">
        <v>45426.0</v>
      </c>
      <c r="T3067" s="49"/>
    </row>
    <row r="3068">
      <c r="A3068" s="90">
        <v>168.0</v>
      </c>
      <c r="B3068" s="91" t="s">
        <v>29</v>
      </c>
      <c r="C3068" s="49" t="s">
        <v>1768</v>
      </c>
      <c r="D3068" s="91" t="s">
        <v>3108</v>
      </c>
      <c r="E3068" s="41" t="str">
        <f>IFERROR(__xludf.DUMMYFUNCTION("vlookup(D3068,IMPORTRANGE(""https://docs.google.com/spreadsheets/d/1swGwZOEqYlTEUCJLY-eeJM1911Kvaei5oySBIxdgtNo/edit?pli=1#gid=257618397"",""stock untanna!B:C""),2,false)"),"KUAS 251-10 PAGODA")</f>
        <v>KUAS 251-10 PAGODA</v>
      </c>
      <c r="F3068" s="49" t="s">
        <v>3108</v>
      </c>
      <c r="G3068" s="71" t="s">
        <v>3109</v>
      </c>
      <c r="H3068" s="41"/>
      <c r="I3068" s="42"/>
      <c r="J3068" s="43"/>
      <c r="K3068" s="72">
        <v>144.0</v>
      </c>
      <c r="L3068" s="53" t="s">
        <v>69</v>
      </c>
      <c r="M3068" s="73">
        <v>1910.0</v>
      </c>
      <c r="N3068" s="74"/>
      <c r="O3068" s="73">
        <v>275040.0</v>
      </c>
      <c r="P3068" s="46" t="str">
        <f t="shared" si="2"/>
        <v>Rp1,910-144 PCS-0.00%</v>
      </c>
      <c r="Q3068" s="75">
        <v>45419.0</v>
      </c>
      <c r="R3068" s="76"/>
      <c r="S3068" s="75">
        <v>45426.0</v>
      </c>
      <c r="T3068" s="49"/>
    </row>
    <row r="3069">
      <c r="A3069" s="90">
        <v>168.0</v>
      </c>
      <c r="B3069" s="91" t="s">
        <v>29</v>
      </c>
      <c r="C3069" s="49" t="s">
        <v>1768</v>
      </c>
      <c r="D3069" s="91" t="s">
        <v>3110</v>
      </c>
      <c r="E3069" s="41" t="str">
        <f>IFERROR(__xludf.DUMMYFUNCTION("vlookup(D3069,IMPORTRANGE(""https://docs.google.com/spreadsheets/d/1swGwZOEqYlTEUCJLY-eeJM1911Kvaei5oySBIxdgtNo/edit?pli=1#gid=257618397"",""stock untanna!B:C""),2,false)"),"KUAS 251-11 PAGODA")</f>
        <v>KUAS 251-11 PAGODA</v>
      </c>
      <c r="F3069" s="49" t="s">
        <v>3110</v>
      </c>
      <c r="G3069" s="71" t="s">
        <v>3111</v>
      </c>
      <c r="H3069" s="41"/>
      <c r="I3069" s="42"/>
      <c r="J3069" s="43"/>
      <c r="K3069" s="72">
        <v>144.0</v>
      </c>
      <c r="L3069" s="53" t="s">
        <v>69</v>
      </c>
      <c r="M3069" s="73">
        <v>2083.0</v>
      </c>
      <c r="N3069" s="74"/>
      <c r="O3069" s="73">
        <v>299952.0</v>
      </c>
      <c r="P3069" s="46" t="str">
        <f t="shared" si="2"/>
        <v>Rp2,083-144 PCS-0.00%</v>
      </c>
      <c r="Q3069" s="75">
        <v>45419.0</v>
      </c>
      <c r="R3069" s="76"/>
      <c r="S3069" s="75">
        <v>45426.0</v>
      </c>
      <c r="T3069" s="49"/>
    </row>
    <row r="3070">
      <c r="A3070" s="90">
        <v>168.0</v>
      </c>
      <c r="B3070" s="91" t="s">
        <v>29</v>
      </c>
      <c r="C3070" s="49" t="s">
        <v>1768</v>
      </c>
      <c r="D3070" s="91" t="s">
        <v>3112</v>
      </c>
      <c r="E3070" s="41" t="str">
        <f>IFERROR(__xludf.DUMMYFUNCTION("vlookup(D3070,IMPORTRANGE(""https://docs.google.com/spreadsheets/d/1swGwZOEqYlTEUCJLY-eeJM1911Kvaei5oySBIxdgtNo/edit?pli=1#gid=257618397"",""stock untanna!B:C""),2,false)"),"KUAS 251-12 PAGODA")</f>
        <v>KUAS 251-12 PAGODA</v>
      </c>
      <c r="F3070" s="49" t="s">
        <v>3112</v>
      </c>
      <c r="G3070" s="71" t="s">
        <v>3113</v>
      </c>
      <c r="H3070" s="41"/>
      <c r="I3070" s="42"/>
      <c r="J3070" s="43"/>
      <c r="K3070" s="72">
        <v>144.0</v>
      </c>
      <c r="L3070" s="53" t="s">
        <v>69</v>
      </c>
      <c r="M3070" s="73">
        <v>2083.0</v>
      </c>
      <c r="N3070" s="74"/>
      <c r="O3070" s="73">
        <v>299952.0</v>
      </c>
      <c r="P3070" s="46" t="str">
        <f t="shared" si="2"/>
        <v>Rp2,083-144 PCS-0.00%</v>
      </c>
      <c r="Q3070" s="75">
        <v>45419.0</v>
      </c>
      <c r="R3070" s="76"/>
      <c r="S3070" s="75">
        <v>45426.0</v>
      </c>
      <c r="T3070" s="49"/>
    </row>
    <row r="3071">
      <c r="A3071" s="90">
        <v>168.0</v>
      </c>
      <c r="B3071" s="91" t="s">
        <v>29</v>
      </c>
      <c r="C3071" s="49" t="s">
        <v>1768</v>
      </c>
      <c r="D3071" s="91" t="s">
        <v>2593</v>
      </c>
      <c r="E3071" s="41" t="str">
        <f>IFERROR(__xludf.DUMMYFUNCTION("vlookup(D3071,IMPORTRANGE(""https://docs.google.com/spreadsheets/d/1swGwZOEqYlTEUCJLY-eeJM1911Kvaei5oySBIxdgtNo/edit?pli=1#gid=257618397"",""stock untanna!B:C""),2,false)"),"KUAS 251-4 PAGODA")</f>
        <v>KUAS 251-4 PAGODA</v>
      </c>
      <c r="F3071" s="49" t="s">
        <v>2593</v>
      </c>
      <c r="G3071" s="71" t="s">
        <v>2594</v>
      </c>
      <c r="H3071" s="41"/>
      <c r="I3071" s="42"/>
      <c r="J3071" s="43"/>
      <c r="K3071" s="72">
        <v>288.0</v>
      </c>
      <c r="L3071" s="53" t="s">
        <v>69</v>
      </c>
      <c r="M3071" s="73">
        <v>1181.0</v>
      </c>
      <c r="N3071" s="74"/>
      <c r="O3071" s="73">
        <v>340128.0</v>
      </c>
      <c r="P3071" s="46" t="str">
        <f t="shared" si="2"/>
        <v>Rp1,181-288 PCS-0.00%</v>
      </c>
      <c r="Q3071" s="75">
        <v>45419.0</v>
      </c>
      <c r="R3071" s="76"/>
      <c r="S3071" s="75">
        <v>45426.0</v>
      </c>
      <c r="T3071" s="49"/>
    </row>
    <row r="3072">
      <c r="A3072" s="90">
        <v>168.0</v>
      </c>
      <c r="B3072" s="91" t="s">
        <v>29</v>
      </c>
      <c r="C3072" s="49" t="s">
        <v>1768</v>
      </c>
      <c r="D3072" s="91" t="s">
        <v>3114</v>
      </c>
      <c r="E3072" s="41" t="str">
        <f>IFERROR(__xludf.DUMMYFUNCTION("vlookup(D3072,IMPORTRANGE(""https://docs.google.com/spreadsheets/d/1swGwZOEqYlTEUCJLY-eeJM1911Kvaei5oySBIxdgtNo/edit?pli=1#gid=257618397"",""stock untanna!B:C""),2,false)"),"CAT AIR MARRIES 1325 12W GM &amp; BT")</f>
        <v>CAT AIR MARRIES 1325 12W GM &amp; BT</v>
      </c>
      <c r="F3072" s="49" t="s">
        <v>3114</v>
      </c>
      <c r="G3072" s="71" t="s">
        <v>3115</v>
      </c>
      <c r="H3072" s="41"/>
      <c r="I3072" s="42"/>
      <c r="J3072" s="43"/>
      <c r="K3072" s="72">
        <v>2.0</v>
      </c>
      <c r="L3072" s="53" t="s">
        <v>62</v>
      </c>
      <c r="M3072" s="73">
        <v>225000.0</v>
      </c>
      <c r="N3072" s="74"/>
      <c r="O3072" s="73">
        <v>450000.0</v>
      </c>
      <c r="P3072" s="46" t="str">
        <f t="shared" si="2"/>
        <v>Rp225,000-2 LSN-0.00%</v>
      </c>
      <c r="Q3072" s="75">
        <v>45419.0</v>
      </c>
      <c r="R3072" s="76"/>
      <c r="S3072" s="75">
        <v>45426.0</v>
      </c>
      <c r="T3072" s="49"/>
    </row>
    <row r="3073">
      <c r="A3073" s="90">
        <v>168.0</v>
      </c>
      <c r="B3073" s="91" t="s">
        <v>29</v>
      </c>
      <c r="C3073" s="49" t="s">
        <v>1768</v>
      </c>
      <c r="D3073" s="91" t="s">
        <v>700</v>
      </c>
      <c r="E3073" s="41" t="str">
        <f>IFERROR(__xludf.DUMMYFUNCTION("vlookup(D3073,IMPORTRANGE(""https://docs.google.com/spreadsheets/d/1swGwZOEqYlTEUCJLY-eeJM1911Kvaei5oySBIxdgtNo/edit?pli=1#gid=257618397"",""stock untanna!B:C""),2,false)"),"BP TIZO KLIK TG 3300")</f>
        <v>BP TIZO KLIK TG 3300</v>
      </c>
      <c r="F3073" s="49" t="s">
        <v>700</v>
      </c>
      <c r="G3073" s="71" t="s">
        <v>701</v>
      </c>
      <c r="H3073" s="41"/>
      <c r="I3073" s="42"/>
      <c r="J3073" s="43"/>
      <c r="K3073" s="72">
        <v>6.0</v>
      </c>
      <c r="L3073" s="53" t="s">
        <v>62</v>
      </c>
      <c r="M3073" s="73">
        <v>27000.0</v>
      </c>
      <c r="N3073" s="74"/>
      <c r="O3073" s="73">
        <v>162000.0</v>
      </c>
      <c r="P3073" s="46" t="str">
        <f t="shared" si="2"/>
        <v>Rp27,000-6 LSN-0.00%</v>
      </c>
      <c r="Q3073" s="75">
        <v>45419.0</v>
      </c>
      <c r="R3073" s="76"/>
      <c r="S3073" s="75">
        <v>45426.0</v>
      </c>
      <c r="T3073" s="49"/>
    </row>
    <row r="3074">
      <c r="A3074" s="90">
        <v>168.0</v>
      </c>
      <c r="B3074" s="91" t="s">
        <v>29</v>
      </c>
      <c r="C3074" s="49" t="s">
        <v>1768</v>
      </c>
      <c r="D3074" s="77" t="s">
        <v>2536</v>
      </c>
      <c r="E3074" s="41" t="str">
        <f>IFERROR(__xludf.DUMMYFUNCTION("IFNA(vlookup(D3074,IMPORTRANGE(""https://docs.google.com/spreadsheets/d/1swGwZOEqYlTEUCJLY-eeJM1911Kvaei5oySBIxdgtNo/edit?pli=1#gid=257618397"",""stock untanna!B:C""),2,false),V:V)"),"BP DEBOZZ DB G 07")</f>
        <v>BP DEBOZZ DB G 07</v>
      </c>
      <c r="F3074" s="49"/>
      <c r="G3074" s="71" t="s">
        <v>2537</v>
      </c>
      <c r="H3074" s="41"/>
      <c r="I3074" s="42"/>
      <c r="J3074" s="85" t="s">
        <v>1319</v>
      </c>
      <c r="K3074" s="72">
        <v>6.0</v>
      </c>
      <c r="L3074" s="53" t="s">
        <v>62</v>
      </c>
      <c r="M3074" s="73">
        <v>27500.0</v>
      </c>
      <c r="N3074" s="74"/>
      <c r="O3074" s="73">
        <v>165000.0</v>
      </c>
      <c r="P3074" s="46" t="str">
        <f t="shared" si="2"/>
        <v>Rp27,500-6 LSN-0.00%</v>
      </c>
      <c r="Q3074" s="75">
        <v>45419.0</v>
      </c>
      <c r="R3074" s="76"/>
      <c r="S3074" s="75">
        <v>45426.0</v>
      </c>
      <c r="T3074" s="80" t="s">
        <v>280</v>
      </c>
    </row>
    <row r="3075">
      <c r="A3075" s="90">
        <v>168.0</v>
      </c>
      <c r="B3075" s="91" t="s">
        <v>29</v>
      </c>
      <c r="C3075" s="49" t="s">
        <v>1768</v>
      </c>
      <c r="D3075" s="91" t="s">
        <v>629</v>
      </c>
      <c r="E3075" s="41" t="str">
        <f>IFERROR(__xludf.DUMMYFUNCTION("vlookup(D3075,IMPORTRANGE(""https://docs.google.com/spreadsheets/d/1swGwZOEqYlTEUCJLY-eeJM1911Kvaei5oySBIxdgtNo/edit?pli=1#gid=257618397"",""stock untanna!B:C""),2,false)"),"BP GEL TIZO 30801F S3 FANCY")</f>
        <v>BP GEL TIZO 30801F S3 FANCY</v>
      </c>
      <c r="F3075" s="49" t="s">
        <v>629</v>
      </c>
      <c r="G3075" s="71" t="s">
        <v>630</v>
      </c>
      <c r="H3075" s="41"/>
      <c r="I3075" s="42"/>
      <c r="J3075" s="43"/>
      <c r="K3075" s="72">
        <v>12.0</v>
      </c>
      <c r="L3075" s="53" t="s">
        <v>62</v>
      </c>
      <c r="M3075" s="73">
        <v>18250.0</v>
      </c>
      <c r="N3075" s="74"/>
      <c r="O3075" s="73">
        <v>219000.0</v>
      </c>
      <c r="P3075" s="46" t="str">
        <f t="shared" si="2"/>
        <v>Rp18,250-12 LSN-0.00%</v>
      </c>
      <c r="Q3075" s="75">
        <v>45419.0</v>
      </c>
      <c r="R3075" s="76"/>
      <c r="S3075" s="75">
        <v>45426.0</v>
      </c>
      <c r="T3075" s="49"/>
    </row>
    <row r="3076">
      <c r="A3076" s="90">
        <v>168.0</v>
      </c>
      <c r="B3076" s="91" t="s">
        <v>29</v>
      </c>
      <c r="C3076" s="49" t="s">
        <v>1768</v>
      </c>
      <c r="D3076" s="91" t="s">
        <v>633</v>
      </c>
      <c r="E3076" s="41" t="str">
        <f>IFERROR(__xludf.DUMMYFUNCTION("vlookup(D3076,IMPORTRANGE(""https://docs.google.com/spreadsheets/d/1swGwZOEqYlTEUCJLY-eeJM1911Kvaei5oySBIxdgtNo/edit?pli=1#gid=257618397"",""stock untanna!B:C""),2,false)"),"BP GEL TIZO 30734F FANCY")</f>
        <v>BP GEL TIZO 30734F FANCY</v>
      </c>
      <c r="F3076" s="49" t="s">
        <v>633</v>
      </c>
      <c r="G3076" s="71" t="s">
        <v>634</v>
      </c>
      <c r="H3076" s="41"/>
      <c r="I3076" s="42"/>
      <c r="J3076" s="43"/>
      <c r="K3076" s="72">
        <v>12.0</v>
      </c>
      <c r="L3076" s="53" t="s">
        <v>62</v>
      </c>
      <c r="M3076" s="73">
        <v>18250.0</v>
      </c>
      <c r="N3076" s="74"/>
      <c r="O3076" s="73">
        <v>219000.0</v>
      </c>
      <c r="P3076" s="46" t="str">
        <f t="shared" si="2"/>
        <v>Rp18,250-12 LSN-0.00%</v>
      </c>
      <c r="Q3076" s="75">
        <v>45419.0</v>
      </c>
      <c r="R3076" s="76"/>
      <c r="S3076" s="75">
        <v>45426.0</v>
      </c>
      <c r="T3076" s="49"/>
    </row>
    <row r="3077">
      <c r="A3077" s="90">
        <v>168.0</v>
      </c>
      <c r="B3077" s="91" t="s">
        <v>29</v>
      </c>
      <c r="C3077" s="49" t="s">
        <v>1768</v>
      </c>
      <c r="D3077" s="91" t="s">
        <v>637</v>
      </c>
      <c r="E3077" s="41" t="str">
        <f>IFERROR(__xludf.DUMMYFUNCTION("vlookup(D3077,IMPORTRANGE(""https://docs.google.com/spreadsheets/d/1swGwZOEqYlTEUCJLY-eeJM1911Kvaei5oySBIxdgtNo/edit?pli=1#gid=257618397"",""stock untanna!B:C""),2,false)"),"BP GEL TIZO 31762F FANCY")</f>
        <v>BP GEL TIZO 31762F FANCY</v>
      </c>
      <c r="F3077" s="49" t="s">
        <v>637</v>
      </c>
      <c r="G3077" s="71" t="s">
        <v>638</v>
      </c>
      <c r="H3077" s="41"/>
      <c r="I3077" s="42"/>
      <c r="J3077" s="43"/>
      <c r="K3077" s="72">
        <v>9.0</v>
      </c>
      <c r="L3077" s="53" t="s">
        <v>62</v>
      </c>
      <c r="M3077" s="73">
        <v>18250.0</v>
      </c>
      <c r="N3077" s="74"/>
      <c r="O3077" s="73">
        <v>164250.0</v>
      </c>
      <c r="P3077" s="46" t="str">
        <f t="shared" si="2"/>
        <v>Rp18,250-9 LSN-0.00%</v>
      </c>
      <c r="Q3077" s="75">
        <v>45419.0</v>
      </c>
      <c r="R3077" s="76"/>
      <c r="S3077" s="75">
        <v>45426.0</v>
      </c>
      <c r="T3077" s="49"/>
    </row>
    <row r="3078">
      <c r="A3078" s="90">
        <v>169.0</v>
      </c>
      <c r="B3078" s="91" t="s">
        <v>29</v>
      </c>
      <c r="C3078" s="49" t="s">
        <v>1768</v>
      </c>
      <c r="D3078" s="91" t="s">
        <v>757</v>
      </c>
      <c r="E3078" s="41" t="str">
        <f>IFERROR(__xludf.DUMMYFUNCTION("vlookup(D3078,IMPORTRANGE(""https://docs.google.com/spreadsheets/d/1swGwZOEqYlTEUCJLY-eeJM1911Kvaei5oySBIxdgtNo/edit?pli=1#gid=257618397"",""stock untanna!B:C""),2,false)"),"TIPEX MICROTOP MT 737")</f>
        <v>TIPEX MICROTOP MT 737</v>
      </c>
      <c r="F3078" s="49" t="s">
        <v>757</v>
      </c>
      <c r="G3078" s="71" t="s">
        <v>758</v>
      </c>
      <c r="H3078" s="41"/>
      <c r="I3078" s="42"/>
      <c r="J3078" s="43"/>
      <c r="K3078" s="72">
        <v>3.0</v>
      </c>
      <c r="L3078" s="53" t="s">
        <v>62</v>
      </c>
      <c r="M3078" s="73">
        <v>90000.0</v>
      </c>
      <c r="N3078" s="74"/>
      <c r="O3078" s="73">
        <v>270000.0</v>
      </c>
      <c r="P3078" s="46" t="str">
        <f t="shared" si="2"/>
        <v>Rp90,000-3 LSN-0.00%</v>
      </c>
      <c r="Q3078" s="75">
        <v>45419.0</v>
      </c>
      <c r="R3078" s="76"/>
      <c r="S3078" s="75">
        <v>45426.0</v>
      </c>
      <c r="T3078" s="49"/>
    </row>
    <row r="3079">
      <c r="A3079" s="90">
        <v>169.0</v>
      </c>
      <c r="B3079" s="91" t="s">
        <v>29</v>
      </c>
      <c r="C3079" s="49" t="s">
        <v>1768</v>
      </c>
      <c r="D3079" s="91" t="s">
        <v>635</v>
      </c>
      <c r="E3079" s="41" t="str">
        <f>IFERROR(__xludf.DUMMYFUNCTION("vlookup(D3079,IMPORTRANGE(""https://docs.google.com/spreadsheets/d/1swGwZOEqYlTEUCJLY-eeJM1911Kvaei5oySBIxdgtNo/edit?pli=1#gid=257618397"",""stock untanna!B:C""),2,false)"),"BP GEL TIZO 31763F FANCY")</f>
        <v>BP GEL TIZO 31763F FANCY</v>
      </c>
      <c r="F3079" s="49" t="s">
        <v>635</v>
      </c>
      <c r="G3079" s="71" t="s">
        <v>636</v>
      </c>
      <c r="H3079" s="41"/>
      <c r="I3079" s="42"/>
      <c r="J3079" s="43"/>
      <c r="K3079" s="72">
        <v>12.0</v>
      </c>
      <c r="L3079" s="53" t="s">
        <v>62</v>
      </c>
      <c r="M3079" s="73">
        <v>18250.0</v>
      </c>
      <c r="N3079" s="74"/>
      <c r="O3079" s="73">
        <v>219000.0</v>
      </c>
      <c r="P3079" s="46" t="str">
        <f t="shared" si="2"/>
        <v>Rp18,250-12 LSN-0.00%</v>
      </c>
      <c r="Q3079" s="75">
        <v>45419.0</v>
      </c>
      <c r="R3079" s="76"/>
      <c r="S3079" s="75">
        <v>45426.0</v>
      </c>
      <c r="T3079" s="49"/>
    </row>
    <row r="3080">
      <c r="A3080" s="90">
        <v>169.0</v>
      </c>
      <c r="B3080" s="91" t="s">
        <v>29</v>
      </c>
      <c r="C3080" s="49" t="s">
        <v>1768</v>
      </c>
      <c r="D3080" s="91" t="s">
        <v>754</v>
      </c>
      <c r="E3080" s="41" t="str">
        <f>IFERROR(__xludf.DUMMYFUNCTION("vlookup(D3080,IMPORTRANGE(""https://docs.google.com/spreadsheets/d/1swGwZOEqYlTEUCJLY-eeJM1911Kvaei5oySBIxdgtNo/edit?pli=1#gid=257618397"",""stock untanna!B:C""),2,false)"),"GARISAN 30 CM ENTER 675")</f>
        <v>GARISAN 30 CM ENTER 675</v>
      </c>
      <c r="F3080" s="49" t="s">
        <v>754</v>
      </c>
      <c r="G3080" s="71" t="s">
        <v>3116</v>
      </c>
      <c r="H3080" s="41"/>
      <c r="I3080" s="42"/>
      <c r="J3080" s="43"/>
      <c r="K3080" s="72">
        <v>50.0</v>
      </c>
      <c r="L3080" s="53" t="s">
        <v>62</v>
      </c>
      <c r="M3080" s="73">
        <v>9000.0</v>
      </c>
      <c r="N3080" s="74"/>
      <c r="O3080" s="73">
        <v>450000.0</v>
      </c>
      <c r="P3080" s="46" t="str">
        <f t="shared" si="2"/>
        <v>Rp9,000-50 LSN-0.00%</v>
      </c>
      <c r="Q3080" s="75">
        <v>45419.0</v>
      </c>
      <c r="R3080" s="76"/>
      <c r="S3080" s="75">
        <v>45426.0</v>
      </c>
      <c r="T3080" s="49"/>
    </row>
    <row r="3081">
      <c r="A3081" s="90">
        <v>169.0</v>
      </c>
      <c r="B3081" s="91" t="s">
        <v>29</v>
      </c>
      <c r="C3081" s="49" t="s">
        <v>1768</v>
      </c>
      <c r="D3081" s="91" t="s">
        <v>748</v>
      </c>
      <c r="E3081" s="41" t="str">
        <f>IFERROR(__xludf.DUMMYFUNCTION("vlookup(D3081,IMPORTRANGE(""https://docs.google.com/spreadsheets/d/1swGwZOEqYlTEUCJLY-eeJM1911Kvaei5oySBIxdgtNo/edit?pli=1#gid=257618397"",""stock untanna!B:C""),2,false)"),"GARISAN BT 30 CM")</f>
        <v>GARISAN BT 30 CM</v>
      </c>
      <c r="F3081" s="49" t="s">
        <v>748</v>
      </c>
      <c r="G3081" s="71" t="s">
        <v>749</v>
      </c>
      <c r="H3081" s="41"/>
      <c r="I3081" s="42"/>
      <c r="J3081" s="43"/>
      <c r="K3081" s="72">
        <v>25.0</v>
      </c>
      <c r="L3081" s="53" t="s">
        <v>62</v>
      </c>
      <c r="M3081" s="73">
        <v>26780.0</v>
      </c>
      <c r="N3081" s="83">
        <v>0.125</v>
      </c>
      <c r="O3081" s="73">
        <v>585812.5</v>
      </c>
      <c r="P3081" s="46" t="str">
        <f t="shared" si="2"/>
        <v>Rp26,780-25 LSN-12.50%</v>
      </c>
      <c r="Q3081" s="75">
        <v>45419.0</v>
      </c>
      <c r="R3081" s="76"/>
      <c r="S3081" s="75">
        <v>45426.0</v>
      </c>
      <c r="T3081" s="49"/>
    </row>
    <row r="3082">
      <c r="A3082" s="90">
        <v>169.0</v>
      </c>
      <c r="B3082" s="91" t="s">
        <v>29</v>
      </c>
      <c r="C3082" s="49" t="s">
        <v>1768</v>
      </c>
      <c r="D3082" s="91" t="s">
        <v>1455</v>
      </c>
      <c r="E3082" s="41" t="str">
        <f>IFERROR(__xludf.DUMMYFUNCTION("vlookup(D3082,IMPORTRANGE(""https://docs.google.com/spreadsheets/d/1swGwZOEqYlTEUCJLY-eeJM1911Kvaei5oySBIxdgtNo/edit?pli=1#gid=257618397"",""stock untanna!B:C""),2,false)"),"GARISAN BT 20 CM")</f>
        <v>GARISAN BT 20 CM</v>
      </c>
      <c r="F3082" s="49" t="s">
        <v>1455</v>
      </c>
      <c r="G3082" s="71" t="s">
        <v>1456</v>
      </c>
      <c r="H3082" s="41"/>
      <c r="I3082" s="42"/>
      <c r="J3082" s="43"/>
      <c r="K3082" s="72">
        <v>5.0</v>
      </c>
      <c r="L3082" s="53" t="s">
        <v>62</v>
      </c>
      <c r="M3082" s="73">
        <v>21380.0</v>
      </c>
      <c r="N3082" s="83">
        <v>0.125</v>
      </c>
      <c r="O3082" s="73">
        <v>93537.5</v>
      </c>
      <c r="P3082" s="46" t="str">
        <f t="shared" si="2"/>
        <v>Rp21,380-5 LSN-12.50%</v>
      </c>
      <c r="Q3082" s="75">
        <v>45419.0</v>
      </c>
      <c r="R3082" s="76"/>
      <c r="S3082" s="75">
        <v>45426.0</v>
      </c>
      <c r="T3082" s="49"/>
    </row>
    <row r="3083">
      <c r="A3083" s="90">
        <v>169.0</v>
      </c>
      <c r="B3083" s="91" t="s">
        <v>29</v>
      </c>
      <c r="C3083" s="49" t="s">
        <v>1768</v>
      </c>
      <c r="D3083" s="91"/>
      <c r="E3083" s="41" t="s">
        <v>3117</v>
      </c>
      <c r="F3083" s="49"/>
      <c r="G3083" s="71" t="s">
        <v>3117</v>
      </c>
      <c r="H3083" s="41"/>
      <c r="I3083" s="42"/>
      <c r="J3083" s="43"/>
      <c r="K3083" s="72">
        <v>6.0</v>
      </c>
      <c r="L3083" s="53" t="s">
        <v>62</v>
      </c>
      <c r="M3083" s="73">
        <v>27500.0</v>
      </c>
      <c r="N3083" s="74"/>
      <c r="O3083" s="73">
        <v>165000.0</v>
      </c>
      <c r="P3083" s="46" t="str">
        <f t="shared" si="2"/>
        <v>Rp27,500-6 LSN-0.00%</v>
      </c>
      <c r="Q3083" s="75">
        <v>45419.0</v>
      </c>
      <c r="R3083" s="76"/>
      <c r="S3083" s="75">
        <v>45426.0</v>
      </c>
      <c r="T3083" s="49"/>
    </row>
    <row r="3084">
      <c r="A3084" s="90">
        <v>169.0</v>
      </c>
      <c r="B3084" s="91" t="s">
        <v>29</v>
      </c>
      <c r="C3084" s="49" t="s">
        <v>1768</v>
      </c>
      <c r="D3084" s="91" t="s">
        <v>195</v>
      </c>
      <c r="E3084" s="41" t="str">
        <f>IFERROR(__xludf.DUMMYFUNCTION("vlookup(D3084,IMPORTRANGE(""https://docs.google.com/spreadsheets/d/1swGwZOEqYlTEUCJLY-eeJM1911Kvaei5oySBIxdgtNo/edit?pli=1#gid=257618397"",""stock untanna!B:C""),2,false)"),"BP TF-3115 HIGHTECH KNOCK")</f>
        <v>BP TF-3115 HIGHTECH KNOCK</v>
      </c>
      <c r="F3084" s="49" t="s">
        <v>195</v>
      </c>
      <c r="G3084" s="71" t="s">
        <v>196</v>
      </c>
      <c r="H3084" s="41"/>
      <c r="I3084" s="42"/>
      <c r="J3084" s="43"/>
      <c r="K3084" s="72">
        <v>6.0</v>
      </c>
      <c r="L3084" s="53" t="s">
        <v>62</v>
      </c>
      <c r="M3084" s="73">
        <v>36000.0</v>
      </c>
      <c r="N3084" s="74"/>
      <c r="O3084" s="73">
        <v>216000.0</v>
      </c>
      <c r="P3084" s="46" t="str">
        <f t="shared" si="2"/>
        <v>Rp36,000-6 LSN-0.00%</v>
      </c>
      <c r="Q3084" s="75">
        <v>45419.0</v>
      </c>
      <c r="R3084" s="76"/>
      <c r="S3084" s="75">
        <v>45426.0</v>
      </c>
      <c r="T3084" s="49"/>
    </row>
    <row r="3085">
      <c r="A3085" s="90">
        <v>169.0</v>
      </c>
      <c r="B3085" s="91" t="s">
        <v>29</v>
      </c>
      <c r="C3085" s="49" t="s">
        <v>1768</v>
      </c>
      <c r="D3085" s="91" t="s">
        <v>197</v>
      </c>
      <c r="E3085" s="41" t="str">
        <f>IFERROR(__xludf.DUMMYFUNCTION("vlookup(D3085,IMPORTRANGE(""https://docs.google.com/spreadsheets/d/1swGwZOEqYlTEUCJLY-eeJM1911Kvaei5oySBIxdgtNo/edit?pli=1#gid=257618397"",""stock untanna!B:C""),2,false)"),"BP TF G-3114 0.3MM HIGHTECH KNOCK")</f>
        <v>BP TF G-3114 0.3MM HIGHTECH KNOCK</v>
      </c>
      <c r="F3085" s="49" t="s">
        <v>197</v>
      </c>
      <c r="G3085" s="71" t="s">
        <v>198</v>
      </c>
      <c r="H3085" s="41"/>
      <c r="I3085" s="42"/>
      <c r="J3085" s="43"/>
      <c r="K3085" s="72">
        <v>6.0</v>
      </c>
      <c r="L3085" s="53" t="s">
        <v>62</v>
      </c>
      <c r="M3085" s="73">
        <v>36000.0</v>
      </c>
      <c r="N3085" s="74"/>
      <c r="O3085" s="73">
        <v>216000.0</v>
      </c>
      <c r="P3085" s="46" t="str">
        <f t="shared" si="2"/>
        <v>Rp36,000-6 LSN-0.00%</v>
      </c>
      <c r="Q3085" s="75">
        <v>45419.0</v>
      </c>
      <c r="R3085" s="76"/>
      <c r="S3085" s="75">
        <v>45426.0</v>
      </c>
      <c r="T3085" s="49"/>
    </row>
    <row r="3086">
      <c r="A3086" s="90">
        <v>169.0</v>
      </c>
      <c r="B3086" s="91" t="s">
        <v>29</v>
      </c>
      <c r="C3086" s="49" t="s">
        <v>1768</v>
      </c>
      <c r="D3086" s="77" t="s">
        <v>1939</v>
      </c>
      <c r="E3086" s="41" t="str">
        <f>IFERROR(__xludf.DUMMYFUNCTION("IFNA(vlookup(D3086,IMPORTRANGE(""https://docs.google.com/spreadsheets/d/1swGwZOEqYlTEUCJLY-eeJM1911Kvaei5oySBIxdgtNo/edit?pli=1#gid=257618397"",""stock untanna!B:C""),2,false),V:V)"),"PW KY CF 1224")</f>
        <v>PW KY CF 1224</v>
      </c>
      <c r="F3086" s="49"/>
      <c r="G3086" s="71" t="s">
        <v>992</v>
      </c>
      <c r="H3086" s="41"/>
      <c r="I3086" s="42"/>
      <c r="J3086" s="43" t="str">
        <f>IF(D3086="","TIDAK ADA","ADA")</f>
        <v>ADA</v>
      </c>
      <c r="K3086" s="72">
        <v>1.0</v>
      </c>
      <c r="L3086" s="53" t="s">
        <v>62</v>
      </c>
      <c r="M3086" s="73">
        <v>150000.0</v>
      </c>
      <c r="N3086" s="74"/>
      <c r="O3086" s="73">
        <v>150000.0</v>
      </c>
      <c r="P3086" s="46" t="str">
        <f t="shared" si="2"/>
        <v>Rp150,000-1 LSN-0.00%</v>
      </c>
      <c r="Q3086" s="75">
        <v>45419.0</v>
      </c>
      <c r="R3086" s="76"/>
      <c r="S3086" s="75">
        <v>45426.0</v>
      </c>
      <c r="T3086" s="80" t="s">
        <v>280</v>
      </c>
    </row>
    <row r="3087">
      <c r="A3087" s="90">
        <v>169.0</v>
      </c>
      <c r="B3087" s="91" t="s">
        <v>29</v>
      </c>
      <c r="C3087" s="49" t="s">
        <v>1768</v>
      </c>
      <c r="D3087" s="91" t="s">
        <v>1653</v>
      </c>
      <c r="E3087" s="41" t="str">
        <f>IFERROR(__xludf.DUMMYFUNCTION("vlookup(D3087,IMPORTRANGE(""https://docs.google.com/spreadsheets/d/1swGwZOEqYlTEUCJLY-eeJM1911Kvaei5oySBIxdgtNo/edit?pli=1#gid=257618397"",""stock untanna!B:C""),2,false)"),"PW 12W PANJANG KOALA")</f>
        <v>PW 12W PANJANG KOALA</v>
      </c>
      <c r="F3087" s="49" t="s">
        <v>1653</v>
      </c>
      <c r="G3087" s="71" t="s">
        <v>1654</v>
      </c>
      <c r="H3087" s="41"/>
      <c r="I3087" s="42"/>
      <c r="J3087" s="43"/>
      <c r="K3087" s="72">
        <v>3.0</v>
      </c>
      <c r="L3087" s="53" t="s">
        <v>62</v>
      </c>
      <c r="M3087" s="73">
        <v>70000.0</v>
      </c>
      <c r="N3087" s="74"/>
      <c r="O3087" s="73">
        <v>210000.0</v>
      </c>
      <c r="P3087" s="46" t="str">
        <f t="shared" si="2"/>
        <v>Rp70,000-3 LSN-0.00%</v>
      </c>
      <c r="Q3087" s="75">
        <v>45419.0</v>
      </c>
      <c r="R3087" s="76"/>
      <c r="S3087" s="75">
        <v>45426.0</v>
      </c>
      <c r="T3087" s="49"/>
    </row>
    <row r="3088">
      <c r="A3088" s="90">
        <v>169.0</v>
      </c>
      <c r="B3088" s="91" t="s">
        <v>29</v>
      </c>
      <c r="C3088" s="49" t="s">
        <v>1768</v>
      </c>
      <c r="D3088" s="91" t="s">
        <v>1577</v>
      </c>
      <c r="E3088" s="41" t="str">
        <f>IFERROR(__xludf.DUMMYFUNCTION("vlookup(D3088,IMPORTRANGE(""https://docs.google.com/spreadsheets/d/1swGwZOEqYlTEUCJLY-eeJM1911Kvaei5oySBIxdgtNo/edit?pli=1#gid=257618397"",""stock untanna!B:C""),2,false)"),"STABILLO TIZO TF610")</f>
        <v>STABILLO TIZO TF610</v>
      </c>
      <c r="F3088" s="49" t="s">
        <v>1577</v>
      </c>
      <c r="G3088" s="71" t="s">
        <v>1578</v>
      </c>
      <c r="H3088" s="41"/>
      <c r="I3088" s="42"/>
      <c r="J3088" s="43"/>
      <c r="K3088" s="72">
        <v>1.0</v>
      </c>
      <c r="L3088" s="53" t="s">
        <v>88</v>
      </c>
      <c r="M3088" s="73">
        <v>115000.0</v>
      </c>
      <c r="N3088" s="74"/>
      <c r="O3088" s="73">
        <v>115000.0</v>
      </c>
      <c r="P3088" s="46" t="str">
        <f t="shared" si="2"/>
        <v>Rp115,000-1 BOX-0.00%</v>
      </c>
      <c r="Q3088" s="75">
        <v>45419.0</v>
      </c>
      <c r="R3088" s="76"/>
      <c r="S3088" s="75">
        <v>45426.0</v>
      </c>
      <c r="T3088" s="49"/>
    </row>
    <row r="3089">
      <c r="A3089" s="90">
        <v>169.0</v>
      </c>
      <c r="B3089" s="91" t="s">
        <v>29</v>
      </c>
      <c r="C3089" s="49" t="s">
        <v>1768</v>
      </c>
      <c r="D3089" s="77" t="s">
        <v>1568</v>
      </c>
      <c r="E3089" s="41" t="str">
        <f>IFERROR(__xludf.DUMMYFUNCTION("vlookup(D3089,IMPORTRANGE(""https://docs.google.com/spreadsheets/d/1swGwZOEqYlTEUCJLY-eeJM1911Kvaei5oySBIxdgtNo/edit?pli=1#gid=257618397"",""stock untanna!B:C""),2,false)"),"SPIDOL 12W + KUAS DB 218-12")</f>
        <v>SPIDOL 12W + KUAS DB 218-12</v>
      </c>
      <c r="F3089" s="49" t="s">
        <v>1569</v>
      </c>
      <c r="G3089" s="71" t="s">
        <v>1570</v>
      </c>
      <c r="H3089" s="41"/>
      <c r="I3089" s="42"/>
      <c r="J3089" s="43"/>
      <c r="K3089" s="72">
        <v>1.0</v>
      </c>
      <c r="L3089" s="53" t="s">
        <v>62</v>
      </c>
      <c r="M3089" s="73">
        <v>200000.0</v>
      </c>
      <c r="N3089" s="74"/>
      <c r="O3089" s="73">
        <v>200000.0</v>
      </c>
      <c r="P3089" s="46" t="str">
        <f t="shared" si="2"/>
        <v>Rp200,000-1 LSN-0.00%</v>
      </c>
      <c r="Q3089" s="75">
        <v>45419.0</v>
      </c>
      <c r="R3089" s="76"/>
      <c r="S3089" s="75">
        <v>45426.0</v>
      </c>
      <c r="T3089" s="49"/>
    </row>
    <row r="3090">
      <c r="A3090" s="90">
        <v>169.0</v>
      </c>
      <c r="B3090" s="91" t="s">
        <v>29</v>
      </c>
      <c r="C3090" s="49" t="s">
        <v>1768</v>
      </c>
      <c r="D3090" s="91"/>
      <c r="E3090" s="41" t="s">
        <v>3118</v>
      </c>
      <c r="F3090" s="49"/>
      <c r="G3090" s="71" t="s">
        <v>3118</v>
      </c>
      <c r="H3090" s="41"/>
      <c r="I3090" s="42"/>
      <c r="J3090" s="43"/>
      <c r="K3090" s="72">
        <v>6.0</v>
      </c>
      <c r="L3090" s="53" t="s">
        <v>62</v>
      </c>
      <c r="M3090" s="73">
        <v>22500.0</v>
      </c>
      <c r="N3090" s="74"/>
      <c r="O3090" s="73">
        <v>135000.0</v>
      </c>
      <c r="P3090" s="46" t="str">
        <f t="shared" si="2"/>
        <v>Rp22,500-6 LSN-0.00%</v>
      </c>
      <c r="Q3090" s="75">
        <v>45419.0</v>
      </c>
      <c r="R3090" s="76"/>
      <c r="S3090" s="75">
        <v>45426.0</v>
      </c>
      <c r="T3090" s="49"/>
    </row>
    <row r="3091">
      <c r="A3091" s="90">
        <v>169.0</v>
      </c>
      <c r="B3091" s="91" t="s">
        <v>29</v>
      </c>
      <c r="C3091" s="49" t="s">
        <v>1768</v>
      </c>
      <c r="D3091" s="91" t="s">
        <v>2126</v>
      </c>
      <c r="E3091" s="41" t="str">
        <f>IFERROR(__xludf.DUMMYFUNCTION("vlookup(D3091,IMPORTRANGE(""https://docs.google.com/spreadsheets/d/1swGwZOEqYlTEUCJLY-eeJM1911Kvaei5oySBIxdgtNo/edit?pli=1#gid=257618397"",""stock untanna!B:C""),2,false)"),"GUNTING JUNIOR J-500")</f>
        <v>GUNTING JUNIOR J-500</v>
      </c>
      <c r="F3091" s="49" t="s">
        <v>2126</v>
      </c>
      <c r="G3091" s="71" t="s">
        <v>2127</v>
      </c>
      <c r="H3091" s="41"/>
      <c r="I3091" s="42"/>
      <c r="J3091" s="43"/>
      <c r="K3091" s="72">
        <v>2.0</v>
      </c>
      <c r="L3091" s="53" t="s">
        <v>62</v>
      </c>
      <c r="M3091" s="73">
        <v>75000.0</v>
      </c>
      <c r="N3091" s="74"/>
      <c r="O3091" s="73">
        <v>150000.0</v>
      </c>
      <c r="P3091" s="46" t="str">
        <f t="shared" si="2"/>
        <v>Rp75,000-2 LSN-0.00%</v>
      </c>
      <c r="Q3091" s="75">
        <v>45419.0</v>
      </c>
      <c r="R3091" s="76"/>
      <c r="S3091" s="75">
        <v>45426.0</v>
      </c>
      <c r="T3091" s="49"/>
    </row>
    <row r="3092">
      <c r="A3092" s="90">
        <v>169.0</v>
      </c>
      <c r="B3092" s="91" t="s">
        <v>29</v>
      </c>
      <c r="C3092" s="49" t="s">
        <v>1768</v>
      </c>
      <c r="D3092" s="91"/>
      <c r="E3092" s="41" t="s">
        <v>446</v>
      </c>
      <c r="F3092" s="49"/>
      <c r="G3092" s="71" t="s">
        <v>446</v>
      </c>
      <c r="H3092" s="41"/>
      <c r="I3092" s="42"/>
      <c r="J3092" s="43"/>
      <c r="K3092" s="72">
        <v>96.0</v>
      </c>
      <c r="L3092" s="53" t="s">
        <v>69</v>
      </c>
      <c r="M3092" s="73">
        <v>2000.0</v>
      </c>
      <c r="N3092" s="74"/>
      <c r="O3092" s="73">
        <v>192000.0</v>
      </c>
      <c r="P3092" s="46" t="str">
        <f t="shared" si="2"/>
        <v>Rp2,000-96 PCS-0.00%</v>
      </c>
      <c r="Q3092" s="75">
        <v>45419.0</v>
      </c>
      <c r="R3092" s="76"/>
      <c r="S3092" s="75">
        <v>45426.0</v>
      </c>
      <c r="T3092" s="49"/>
    </row>
    <row r="3093">
      <c r="A3093" s="90">
        <v>169.0</v>
      </c>
      <c r="B3093" s="91" t="s">
        <v>29</v>
      </c>
      <c r="C3093" s="49" t="s">
        <v>1768</v>
      </c>
      <c r="D3093" s="91"/>
      <c r="E3093" s="41" t="s">
        <v>1615</v>
      </c>
      <c r="F3093" s="49"/>
      <c r="G3093" s="71" t="s">
        <v>1615</v>
      </c>
      <c r="H3093" s="41"/>
      <c r="I3093" s="42"/>
      <c r="J3093" s="43"/>
      <c r="K3093" s="72">
        <v>96.0</v>
      </c>
      <c r="L3093" s="53" t="s">
        <v>69</v>
      </c>
      <c r="M3093" s="73">
        <v>2000.0</v>
      </c>
      <c r="N3093" s="74"/>
      <c r="O3093" s="73">
        <v>192000.0</v>
      </c>
      <c r="P3093" s="46" t="str">
        <f t="shared" si="2"/>
        <v>Rp2,000-96 PCS-0.00%</v>
      </c>
      <c r="Q3093" s="75">
        <v>45419.0</v>
      </c>
      <c r="R3093" s="76"/>
      <c r="S3093" s="75">
        <v>45426.0</v>
      </c>
      <c r="T3093" s="49"/>
    </row>
    <row r="3094">
      <c r="A3094" s="90">
        <v>170.0</v>
      </c>
      <c r="B3094" s="91" t="s">
        <v>29</v>
      </c>
      <c r="C3094" s="49" t="s">
        <v>1768</v>
      </c>
      <c r="D3094" s="91"/>
      <c r="E3094" s="41" t="s">
        <v>3119</v>
      </c>
      <c r="F3094" s="49"/>
      <c r="G3094" s="71" t="s">
        <v>3119</v>
      </c>
      <c r="H3094" s="41"/>
      <c r="I3094" s="42"/>
      <c r="J3094" s="43"/>
      <c r="K3094" s="72">
        <v>96.0</v>
      </c>
      <c r="L3094" s="53" t="s">
        <v>69</v>
      </c>
      <c r="M3094" s="73">
        <v>2000.0</v>
      </c>
      <c r="N3094" s="74"/>
      <c r="O3094" s="73">
        <v>192000.0</v>
      </c>
      <c r="P3094" s="46" t="str">
        <f t="shared" si="2"/>
        <v>Rp2,000-96 PCS-0.00%</v>
      </c>
      <c r="Q3094" s="75">
        <v>45419.0</v>
      </c>
      <c r="R3094" s="76"/>
      <c r="S3094" s="75">
        <v>45426.0</v>
      </c>
      <c r="T3094" s="49"/>
    </row>
    <row r="3095">
      <c r="A3095" s="90">
        <v>170.0</v>
      </c>
      <c r="B3095" s="91" t="s">
        <v>29</v>
      </c>
      <c r="C3095" s="49" t="s">
        <v>1768</v>
      </c>
      <c r="D3095" s="91"/>
      <c r="E3095" s="41" t="s">
        <v>2579</v>
      </c>
      <c r="F3095" s="49"/>
      <c r="G3095" s="71" t="s">
        <v>2579</v>
      </c>
      <c r="H3095" s="41"/>
      <c r="I3095" s="42"/>
      <c r="J3095" s="43"/>
      <c r="K3095" s="72">
        <v>3.0</v>
      </c>
      <c r="L3095" s="53" t="s">
        <v>88</v>
      </c>
      <c r="M3095" s="73">
        <v>24000.0</v>
      </c>
      <c r="N3095" s="74"/>
      <c r="O3095" s="73">
        <v>72000.0</v>
      </c>
      <c r="P3095" s="46" t="str">
        <f t="shared" si="2"/>
        <v>Rp24,000-3 BOX-0.00%</v>
      </c>
      <c r="Q3095" s="75">
        <v>45419.0</v>
      </c>
      <c r="R3095" s="76"/>
      <c r="S3095" s="75">
        <v>45426.0</v>
      </c>
      <c r="T3095" s="49"/>
    </row>
    <row r="3096">
      <c r="A3096" s="90">
        <v>170.0</v>
      </c>
      <c r="B3096" s="91" t="s">
        <v>29</v>
      </c>
      <c r="C3096" s="49" t="s">
        <v>1768</v>
      </c>
      <c r="D3096" s="91" t="s">
        <v>203</v>
      </c>
      <c r="E3096" s="41" t="str">
        <f>IFERROR(__xludf.DUMMYFUNCTION("vlookup(D3096,IMPORTRANGE(""https://docs.google.com/spreadsheets/d/1swGwZOEqYlTEUCJLY-eeJM1911Kvaei5oySBIxdgtNo/edit?pli=1#gid=257618397"",""stock untanna!B:C""),2,false)"),"BP HITECH JOSS GP-168 0.28MM")</f>
        <v>BP HITECH JOSS GP-168 0.28MM</v>
      </c>
      <c r="F3096" s="49" t="s">
        <v>203</v>
      </c>
      <c r="G3096" s="71" t="s">
        <v>204</v>
      </c>
      <c r="H3096" s="41"/>
      <c r="I3096" s="42"/>
      <c r="J3096" s="43"/>
      <c r="K3096" s="72">
        <v>6.0</v>
      </c>
      <c r="L3096" s="53" t="s">
        <v>62</v>
      </c>
      <c r="M3096" s="73">
        <v>18000.0</v>
      </c>
      <c r="N3096" s="74"/>
      <c r="O3096" s="73">
        <v>108000.0</v>
      </c>
      <c r="P3096" s="46" t="str">
        <f t="shared" si="2"/>
        <v>Rp18,000-6 LSN-0.00%</v>
      </c>
      <c r="Q3096" s="75">
        <v>45419.0</v>
      </c>
      <c r="R3096" s="76"/>
      <c r="S3096" s="75">
        <v>45426.0</v>
      </c>
      <c r="T3096" s="49"/>
    </row>
    <row r="3097">
      <c r="A3097" s="90">
        <v>170.0</v>
      </c>
      <c r="B3097" s="91" t="s">
        <v>29</v>
      </c>
      <c r="C3097" s="49" t="s">
        <v>1768</v>
      </c>
      <c r="D3097" s="91" t="s">
        <v>86</v>
      </c>
      <c r="E3097" s="41" t="str">
        <f>IFERROR(__xludf.DUMMYFUNCTION("vlookup(D3097,IMPORTRANGE(""https://docs.google.com/spreadsheets/d/1swGwZOEqYlTEUCJLY-eeJM1911Kvaei5oySBIxdgtNo/edit?pli=1#gid=257618397"",""stock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3097" s="49" t="s">
        <v>86</v>
      </c>
      <c r="G3097" s="71" t="s">
        <v>87</v>
      </c>
      <c r="H3097" s="41"/>
      <c r="I3097" s="42"/>
      <c r="J3097" s="43"/>
      <c r="K3097" s="72">
        <v>2.0</v>
      </c>
      <c r="L3097" s="53" t="s">
        <v>88</v>
      </c>
      <c r="M3097" s="73">
        <v>96000.0</v>
      </c>
      <c r="N3097" s="74"/>
      <c r="O3097" s="73">
        <v>192000.0</v>
      </c>
      <c r="P3097" s="46" t="str">
        <f t="shared" si="2"/>
        <v>Rp96,000-2 BOX-0.00%</v>
      </c>
      <c r="Q3097" s="75">
        <v>45419.0</v>
      </c>
      <c r="R3097" s="76"/>
      <c r="S3097" s="75">
        <v>45426.0</v>
      </c>
      <c r="T3097" s="49"/>
    </row>
    <row r="3098">
      <c r="A3098" s="90">
        <v>170.0</v>
      </c>
      <c r="B3098" s="91" t="s">
        <v>29</v>
      </c>
      <c r="C3098" s="49" t="s">
        <v>1768</v>
      </c>
      <c r="D3098" s="77" t="s">
        <v>1695</v>
      </c>
      <c r="E3098" s="41" t="str">
        <f>IFERROR(__xludf.DUMMYFUNCTION("vlookup(D3098,IMPORTRANGE(""https://docs.google.com/spreadsheets/d/1swGwZOEqYlTEUCJLY-eeJM1911Kvaei5oySBIxdgtNo/edit?pli=1#gid=257618397"",""stock untanna!B:C""),2,false)"),"GUNTING SH-2302 PLST MINI 1X52")</f>
        <v>GUNTING SH-2302 PLST MINI 1X52</v>
      </c>
      <c r="F3098" s="49" t="s">
        <v>1696</v>
      </c>
      <c r="G3098" s="71" t="s">
        <v>1697</v>
      </c>
      <c r="H3098" s="41"/>
      <c r="I3098" s="42"/>
      <c r="J3098" s="43"/>
      <c r="K3098" s="72">
        <v>1.0</v>
      </c>
      <c r="L3098" s="53" t="s">
        <v>62</v>
      </c>
      <c r="M3098" s="73">
        <v>60000.0</v>
      </c>
      <c r="N3098" s="74"/>
      <c r="O3098" s="73">
        <v>60000.0</v>
      </c>
      <c r="P3098" s="46" t="str">
        <f t="shared" si="2"/>
        <v>Rp60,000-1 LSN-0.00%</v>
      </c>
      <c r="Q3098" s="75">
        <v>45419.0</v>
      </c>
      <c r="R3098" s="76"/>
      <c r="S3098" s="75">
        <v>45426.0</v>
      </c>
      <c r="T3098" s="49" t="s">
        <v>100</v>
      </c>
    </row>
    <row r="3099">
      <c r="A3099" s="90">
        <v>170.0</v>
      </c>
      <c r="B3099" s="91" t="s">
        <v>29</v>
      </c>
      <c r="C3099" s="49" t="s">
        <v>1768</v>
      </c>
      <c r="D3099" s="91" t="s">
        <v>2808</v>
      </c>
      <c r="E3099" s="41" t="str">
        <f>IFERROR(__xludf.DUMMYFUNCTION("vlookup(D3099,IMPORTRANGE(""https://docs.google.com/spreadsheets/d/1swGwZOEqYlTEUCJLY-eeJM1911Kvaei5oySBIxdgtNo/edit?pli=1#gid=257618397"",""stock untanna!B:C""),2,false)"),"GARISAN ELASTIS 30CM GR-2303 (WALITO)")</f>
        <v>GARISAN ELASTIS 30CM GR-2303 (WALITO)</v>
      </c>
      <c r="F3099" s="49" t="s">
        <v>2808</v>
      </c>
      <c r="G3099" s="78" t="s">
        <v>2809</v>
      </c>
      <c r="H3099" s="41"/>
      <c r="I3099" s="42"/>
      <c r="J3099" s="43"/>
      <c r="K3099" s="72">
        <v>1.0</v>
      </c>
      <c r="L3099" s="53" t="s">
        <v>62</v>
      </c>
      <c r="M3099" s="73">
        <v>80000.0</v>
      </c>
      <c r="N3099" s="74"/>
      <c r="O3099" s="73">
        <v>80000.0</v>
      </c>
      <c r="P3099" s="46" t="str">
        <f t="shared" si="2"/>
        <v>Rp80,000-1 LSN-0.00%</v>
      </c>
      <c r="Q3099" s="75">
        <v>45419.0</v>
      </c>
      <c r="R3099" s="76"/>
      <c r="S3099" s="75">
        <v>45426.0</v>
      </c>
      <c r="T3099" s="49"/>
    </row>
    <row r="3100">
      <c r="A3100" s="90">
        <v>170.0</v>
      </c>
      <c r="B3100" s="91" t="s">
        <v>29</v>
      </c>
      <c r="C3100" s="49" t="s">
        <v>1768</v>
      </c>
      <c r="D3100" s="91" t="s">
        <v>1605</v>
      </c>
      <c r="E3100" s="41" t="str">
        <f>IFERROR(__xludf.DUMMYFUNCTION("vlookup(D3100,IMPORTRANGE(""https://docs.google.com/spreadsheets/d/1swGwZOEqYlTEUCJLY-eeJM1911Kvaei5oySBIxdgtNo/edit?pli=1#gid=257618397"",""stock untanna!B:C""),2,false)"),"TIPEX MICROTOP MT-767")</f>
        <v>TIPEX MICROTOP MT-767</v>
      </c>
      <c r="F3100" s="49" t="s">
        <v>1605</v>
      </c>
      <c r="G3100" s="71" t="s">
        <v>1606</v>
      </c>
      <c r="H3100" s="41"/>
      <c r="I3100" s="42"/>
      <c r="J3100" s="43"/>
      <c r="K3100" s="72">
        <v>4.0</v>
      </c>
      <c r="L3100" s="53" t="s">
        <v>62</v>
      </c>
      <c r="M3100" s="73">
        <v>47500.0</v>
      </c>
      <c r="N3100" s="74"/>
      <c r="O3100" s="73">
        <v>190000.0</v>
      </c>
      <c r="P3100" s="46" t="str">
        <f t="shared" si="2"/>
        <v>Rp47,500-4 LSN-0.00%</v>
      </c>
      <c r="Q3100" s="75">
        <v>45419.0</v>
      </c>
      <c r="R3100" s="76"/>
      <c r="S3100" s="75">
        <v>45426.0</v>
      </c>
      <c r="T3100" s="49" t="s">
        <v>100</v>
      </c>
    </row>
    <row r="3101">
      <c r="A3101" s="90">
        <v>170.0</v>
      </c>
      <c r="B3101" s="91" t="s">
        <v>29</v>
      </c>
      <c r="C3101" s="49" t="s">
        <v>1768</v>
      </c>
      <c r="D3101" s="91" t="s">
        <v>1933</v>
      </c>
      <c r="E3101" s="41" t="str">
        <f>IFERROR(__xludf.DUMMYFUNCTION("vlookup(D3101,IMPORTRANGE(""https://docs.google.com/spreadsheets/d/1swGwZOEqYlTEUCJLY-eeJM1911Kvaei5oySBIxdgtNo/edit?pli=1#gid=257618397"",""stock untanna!B:C""),2,false)"),"TIPEX KERTAS NO.9446")</f>
        <v>TIPEX KERTAS NO.9446</v>
      </c>
      <c r="F3101" s="49" t="s">
        <v>1933</v>
      </c>
      <c r="G3101" s="71" t="s">
        <v>1934</v>
      </c>
      <c r="H3101" s="41"/>
      <c r="I3101" s="42"/>
      <c r="J3101" s="43"/>
      <c r="K3101" s="72">
        <v>4.0</v>
      </c>
      <c r="L3101" s="53" t="s">
        <v>62</v>
      </c>
      <c r="M3101" s="73">
        <v>45000.0</v>
      </c>
      <c r="N3101" s="74"/>
      <c r="O3101" s="73">
        <v>180000.0</v>
      </c>
      <c r="P3101" s="46" t="str">
        <f t="shared" si="2"/>
        <v>Rp45,000-4 LSN-0.00%</v>
      </c>
      <c r="Q3101" s="75">
        <v>45419.0</v>
      </c>
      <c r="R3101" s="76"/>
      <c r="S3101" s="75">
        <v>45426.0</v>
      </c>
      <c r="T3101" s="49"/>
    </row>
    <row r="3102">
      <c r="A3102" s="90">
        <v>170.0</v>
      </c>
      <c r="B3102" s="91" t="s">
        <v>29</v>
      </c>
      <c r="C3102" s="49" t="s">
        <v>1768</v>
      </c>
      <c r="D3102" s="91" t="s">
        <v>1602</v>
      </c>
      <c r="E3102" s="41" t="str">
        <f>IFERROR(__xludf.DUMMYFUNCTION("vlookup(D3102,IMPORTRANGE(""https://docs.google.com/spreadsheets/d/1swGwZOEqYlTEUCJLY-eeJM1911Kvaei5oySBIxdgtNo/edit?pli=1#gid=257618397"",""stock untanna!B:C""),2,false)"),"TIPEX KERTAS NO.9304")</f>
        <v>TIPEX KERTAS NO.9304</v>
      </c>
      <c r="F3102" s="49" t="s">
        <v>1602</v>
      </c>
      <c r="G3102" s="71" t="s">
        <v>1603</v>
      </c>
      <c r="H3102" s="41"/>
      <c r="I3102" s="42"/>
      <c r="J3102" s="43"/>
      <c r="K3102" s="72">
        <v>4.0</v>
      </c>
      <c r="L3102" s="53" t="s">
        <v>62</v>
      </c>
      <c r="M3102" s="73">
        <v>45000.0</v>
      </c>
      <c r="N3102" s="74"/>
      <c r="O3102" s="73">
        <v>180000.0</v>
      </c>
      <c r="P3102" s="46" t="str">
        <f t="shared" si="2"/>
        <v>Rp45,000-4 LSN-0.00%</v>
      </c>
      <c r="Q3102" s="75">
        <v>45419.0</v>
      </c>
      <c r="R3102" s="76"/>
      <c r="S3102" s="75">
        <v>45426.0</v>
      </c>
      <c r="T3102" s="49"/>
    </row>
    <row r="3103">
      <c r="A3103" s="90">
        <v>170.0</v>
      </c>
      <c r="B3103" s="91" t="s">
        <v>29</v>
      </c>
      <c r="C3103" s="49" t="s">
        <v>1768</v>
      </c>
      <c r="D3103" s="91" t="s">
        <v>2161</v>
      </c>
      <c r="E3103" s="41" t="str">
        <f>IFERROR(__xludf.DUMMYFUNCTION("vlookup(D3103,IMPORTRANGE(""https://docs.google.com/spreadsheets/d/1swGwZOEqYlTEUCJLY-eeJM1911Kvaei5oySBIxdgtNo/edit?pli=1#gid=257618397"",""stock untanna!B:C""),2,false)"),"TIPEX KERTAS DP-902")</f>
        <v>TIPEX KERTAS DP-902</v>
      </c>
      <c r="F3103" s="49" t="s">
        <v>2161</v>
      </c>
      <c r="G3103" s="71" t="s">
        <v>2162</v>
      </c>
      <c r="H3103" s="41"/>
      <c r="I3103" s="42"/>
      <c r="J3103" s="43"/>
      <c r="K3103" s="72">
        <v>4.0</v>
      </c>
      <c r="L3103" s="53" t="s">
        <v>62</v>
      </c>
      <c r="M3103" s="73">
        <v>54000.0</v>
      </c>
      <c r="N3103" s="74"/>
      <c r="O3103" s="73">
        <v>216000.0</v>
      </c>
      <c r="P3103" s="46" t="str">
        <f t="shared" si="2"/>
        <v>Rp54,000-4 LSN-0.00%</v>
      </c>
      <c r="Q3103" s="75">
        <v>45419.0</v>
      </c>
      <c r="R3103" s="76"/>
      <c r="S3103" s="75">
        <v>45426.0</v>
      </c>
      <c r="T3103" s="49"/>
    </row>
    <row r="3104">
      <c r="A3104" s="90">
        <v>170.0</v>
      </c>
      <c r="B3104" s="91" t="s">
        <v>29</v>
      </c>
      <c r="C3104" s="49" t="s">
        <v>1768</v>
      </c>
      <c r="D3104" s="91" t="s">
        <v>1039</v>
      </c>
      <c r="E3104" s="41" t="str">
        <f>IFERROR(__xludf.DUMMYFUNCTION("vlookup(D3104,IMPORTRANGE(""https://docs.google.com/spreadsheets/d/1swGwZOEqYlTEUCJLY-eeJM1911Kvaei5oySBIxdgtNo/edit?pli=1#gid=257618397"",""stock untanna!B:C""),2,false)"),"TIPEX KERTAS NO.5031")</f>
        <v>TIPEX KERTAS NO.5031</v>
      </c>
      <c r="F3104" s="49" t="s">
        <v>1039</v>
      </c>
      <c r="G3104" s="71" t="s">
        <v>1040</v>
      </c>
      <c r="H3104" s="41"/>
      <c r="I3104" s="42"/>
      <c r="J3104" s="43"/>
      <c r="K3104" s="72">
        <v>4.0</v>
      </c>
      <c r="L3104" s="53" t="s">
        <v>62</v>
      </c>
      <c r="M3104" s="73">
        <v>57500.0</v>
      </c>
      <c r="N3104" s="74"/>
      <c r="O3104" s="73">
        <v>230000.0</v>
      </c>
      <c r="P3104" s="46" t="str">
        <f t="shared" si="2"/>
        <v>Rp57,500-4 LSN-0.00%</v>
      </c>
      <c r="Q3104" s="75">
        <v>45419.0</v>
      </c>
      <c r="R3104" s="76"/>
      <c r="S3104" s="75">
        <v>45426.0</v>
      </c>
      <c r="T3104" s="49"/>
    </row>
    <row r="3105">
      <c r="A3105" s="90">
        <v>170.0</v>
      </c>
      <c r="B3105" s="91" t="s">
        <v>29</v>
      </c>
      <c r="C3105" s="49" t="s">
        <v>1768</v>
      </c>
      <c r="D3105" s="91" t="s">
        <v>1029</v>
      </c>
      <c r="E3105" s="41" t="str">
        <f>IFERROR(__xludf.DUMMYFUNCTION("vlookup(D3105,IMPORTRANGE(""https://docs.google.com/spreadsheets/d/1swGwZOEqYlTEUCJLY-eeJM1911Kvaei5oySBIxdgtNo/edit?pli=1#gid=257618397"",""stock untanna!B:C""),2,false)"),"TIPEX KERTAS NO.5026")</f>
        <v>TIPEX KERTAS NO.5026</v>
      </c>
      <c r="F3105" s="49" t="s">
        <v>1029</v>
      </c>
      <c r="G3105" s="71" t="s">
        <v>1030</v>
      </c>
      <c r="H3105" s="41"/>
      <c r="I3105" s="42"/>
      <c r="J3105" s="43"/>
      <c r="K3105" s="72">
        <v>4.0</v>
      </c>
      <c r="L3105" s="53" t="s">
        <v>62</v>
      </c>
      <c r="M3105" s="73">
        <v>57500.0</v>
      </c>
      <c r="N3105" s="74"/>
      <c r="O3105" s="73">
        <v>230000.0</v>
      </c>
      <c r="P3105" s="46" t="str">
        <f t="shared" si="2"/>
        <v>Rp57,500-4 LSN-0.00%</v>
      </c>
      <c r="Q3105" s="75">
        <v>45419.0</v>
      </c>
      <c r="R3105" s="76"/>
      <c r="S3105" s="75">
        <v>45426.0</v>
      </c>
      <c r="T3105" s="49"/>
    </row>
    <row r="3106">
      <c r="A3106" s="90">
        <v>170.0</v>
      </c>
      <c r="B3106" s="91" t="s">
        <v>29</v>
      </c>
      <c r="C3106" s="49" t="s">
        <v>1768</v>
      </c>
      <c r="D3106" s="91" t="s">
        <v>719</v>
      </c>
      <c r="E3106" s="41" t="str">
        <f>IFERROR(__xludf.DUMMYFUNCTION("vlookup(D3106,IMPORTRANGE(""https://docs.google.com/spreadsheets/d/1swGwZOEqYlTEUCJLY-eeJM1911Kvaei5oySBIxdgtNo/edit?pli=1#gid=257618397"",""stock untanna!B:C""),2,false)"),"MECHPEN G-09307")</f>
        <v>MECHPEN G-09307</v>
      </c>
      <c r="F3106" s="49" t="s">
        <v>719</v>
      </c>
      <c r="G3106" s="71" t="s">
        <v>720</v>
      </c>
      <c r="H3106" s="41"/>
      <c r="I3106" s="42"/>
      <c r="J3106" s="43"/>
      <c r="K3106" s="72">
        <v>2.0</v>
      </c>
      <c r="L3106" s="53" t="s">
        <v>114</v>
      </c>
      <c r="M3106" s="73">
        <v>27500.0</v>
      </c>
      <c r="N3106" s="74"/>
      <c r="O3106" s="73">
        <v>55000.0</v>
      </c>
      <c r="P3106" s="46" t="str">
        <f t="shared" si="2"/>
        <v>Rp27,500-2 PAK-0.00%</v>
      </c>
      <c r="Q3106" s="75">
        <v>45419.0</v>
      </c>
      <c r="R3106" s="76"/>
      <c r="S3106" s="75">
        <v>45426.0</v>
      </c>
      <c r="T3106" s="49"/>
    </row>
    <row r="3107">
      <c r="A3107" s="90">
        <v>170.0</v>
      </c>
      <c r="B3107" s="91" t="s">
        <v>29</v>
      </c>
      <c r="C3107" s="49" t="s">
        <v>1768</v>
      </c>
      <c r="D3107" s="91"/>
      <c r="E3107" s="41" t="s">
        <v>3120</v>
      </c>
      <c r="F3107" s="49"/>
      <c r="G3107" s="71" t="s">
        <v>3120</v>
      </c>
      <c r="H3107" s="41"/>
      <c r="I3107" s="42"/>
      <c r="J3107" s="43"/>
      <c r="K3107" s="72">
        <v>2.0</v>
      </c>
      <c r="L3107" s="53" t="s">
        <v>114</v>
      </c>
      <c r="M3107" s="73">
        <v>27500.0</v>
      </c>
      <c r="N3107" s="74"/>
      <c r="O3107" s="73">
        <v>55000.0</v>
      </c>
      <c r="P3107" s="46" t="str">
        <f t="shared" si="2"/>
        <v>Rp27,500-2 PAK-0.00%</v>
      </c>
      <c r="Q3107" s="75">
        <v>45419.0</v>
      </c>
      <c r="R3107" s="76"/>
      <c r="S3107" s="75">
        <v>45426.0</v>
      </c>
      <c r="T3107" s="49"/>
    </row>
    <row r="3108">
      <c r="A3108" s="90">
        <v>170.0</v>
      </c>
      <c r="B3108" s="91" t="s">
        <v>29</v>
      </c>
      <c r="C3108" s="49" t="s">
        <v>1768</v>
      </c>
      <c r="D3108" s="91" t="s">
        <v>560</v>
      </c>
      <c r="E3108" s="41" t="str">
        <f>IFERROR(__xludf.DUMMYFUNCTION("vlookup(D3108,IMPORTRANGE(""https://docs.google.com/spreadsheets/d/1swGwZOEqYlTEUCJLY-eeJM1911Kvaei5oySBIxdgtNo/edit?pli=1#gid=257618397"",""stock untanna!B:C""),2,false)"),"PENSIL CASE 5872")</f>
        <v>PENSIL CASE 5872</v>
      </c>
      <c r="F3108" s="49" t="s">
        <v>560</v>
      </c>
      <c r="G3108" s="71" t="s">
        <v>561</v>
      </c>
      <c r="H3108" s="41"/>
      <c r="I3108" s="42"/>
      <c r="J3108" s="43"/>
      <c r="K3108" s="72">
        <v>12.0</v>
      </c>
      <c r="L3108" s="53" t="s">
        <v>69</v>
      </c>
      <c r="M3108" s="73">
        <v>27083.0</v>
      </c>
      <c r="N3108" s="74"/>
      <c r="O3108" s="73">
        <v>324996.0</v>
      </c>
      <c r="P3108" s="46" t="str">
        <f t="shared" si="2"/>
        <v>Rp27,083-12 PCS-0.00%</v>
      </c>
      <c r="Q3108" s="75">
        <v>45419.0</v>
      </c>
      <c r="R3108" s="76"/>
      <c r="S3108" s="75">
        <v>45426.0</v>
      </c>
      <c r="T3108" s="49"/>
    </row>
    <row r="3109">
      <c r="A3109" s="90">
        <v>170.0</v>
      </c>
      <c r="B3109" s="91" t="s">
        <v>29</v>
      </c>
      <c r="C3109" s="49" t="s">
        <v>1768</v>
      </c>
      <c r="D3109" s="91" t="s">
        <v>545</v>
      </c>
      <c r="E3109" s="41" t="str">
        <f>IFERROR(__xludf.DUMMYFUNCTION("vlookup(D3109,IMPORTRANGE(""https://docs.google.com/spreadsheets/d/1swGwZOEqYlTEUCJLY-eeJM1911Kvaei5oySBIxdgtNo/edit?pli=1#gid=257618397"",""stock untanna!B:C""),2,false)"),"PALET CAT AIR SAKURA PUTIH UTN")</f>
        <v>PALET CAT AIR SAKURA PUTIH UTN</v>
      </c>
      <c r="F3109" s="49" t="s">
        <v>545</v>
      </c>
      <c r="G3109" s="71" t="s">
        <v>546</v>
      </c>
      <c r="H3109" s="41"/>
      <c r="I3109" s="42"/>
      <c r="J3109" s="43"/>
      <c r="K3109" s="72">
        <v>5.0</v>
      </c>
      <c r="L3109" s="53" t="s">
        <v>62</v>
      </c>
      <c r="M3109" s="73">
        <v>8500.0</v>
      </c>
      <c r="N3109" s="74"/>
      <c r="O3109" s="73">
        <v>42500.0</v>
      </c>
      <c r="P3109" s="46" t="str">
        <f t="shared" si="2"/>
        <v>Rp8,500-5 LSN-0.00%</v>
      </c>
      <c r="Q3109" s="75">
        <v>45419.0</v>
      </c>
      <c r="R3109" s="76"/>
      <c r="S3109" s="75">
        <v>45426.0</v>
      </c>
      <c r="T3109" s="49"/>
    </row>
    <row r="3110">
      <c r="A3110" s="90">
        <v>171.0</v>
      </c>
      <c r="B3110" s="91" t="s">
        <v>29</v>
      </c>
      <c r="C3110" s="49" t="s">
        <v>1768</v>
      </c>
      <c r="D3110" s="91"/>
      <c r="E3110" s="41" t="s">
        <v>2849</v>
      </c>
      <c r="F3110" s="49"/>
      <c r="G3110" s="71" t="s">
        <v>2849</v>
      </c>
      <c r="H3110" s="41"/>
      <c r="I3110" s="42"/>
      <c r="J3110" s="43"/>
      <c r="K3110" s="72">
        <v>1.0</v>
      </c>
      <c r="L3110" s="53" t="s">
        <v>62</v>
      </c>
      <c r="M3110" s="73">
        <v>37500.0</v>
      </c>
      <c r="N3110" s="74"/>
      <c r="O3110" s="73">
        <v>37500.0</v>
      </c>
      <c r="P3110" s="46" t="str">
        <f t="shared" si="2"/>
        <v>Rp37,500-1 LSN-0.00%</v>
      </c>
      <c r="Q3110" s="75">
        <v>45419.0</v>
      </c>
      <c r="R3110" s="76"/>
      <c r="S3110" s="75">
        <v>45426.0</v>
      </c>
      <c r="T3110" s="49"/>
    </row>
    <row r="3111">
      <c r="A3111" s="90">
        <v>171.0</v>
      </c>
      <c r="B3111" s="91" t="s">
        <v>29</v>
      </c>
      <c r="C3111" s="49" t="s">
        <v>1768</v>
      </c>
      <c r="D3111" s="91" t="s">
        <v>3121</v>
      </c>
      <c r="E3111" s="41" t="str">
        <f>IFERROR(__xludf.DUMMYFUNCTION("vlookup(D3111,IMPORTRANGE(""https://docs.google.com/spreadsheets/d/1swGwZOEqYlTEUCJLY-eeJM1911Kvaei5oySBIxdgtNo/edit?pli=1#gid=257618397"",""stock untanna!B:C""),2,false)"),"PALET PLT 006 JOSS")</f>
        <v>PALET PLT 006 JOSS</v>
      </c>
      <c r="F3111" s="49" t="s">
        <v>3121</v>
      </c>
      <c r="G3111" s="71" t="s">
        <v>3122</v>
      </c>
      <c r="H3111" s="41"/>
      <c r="I3111" s="42"/>
      <c r="J3111" s="43"/>
      <c r="K3111" s="72">
        <v>1.0</v>
      </c>
      <c r="L3111" s="53" t="s">
        <v>62</v>
      </c>
      <c r="M3111" s="73">
        <v>50000.0</v>
      </c>
      <c r="N3111" s="74"/>
      <c r="O3111" s="73">
        <v>50000.0</v>
      </c>
      <c r="P3111" s="46" t="str">
        <f t="shared" si="2"/>
        <v>Rp50,000-1 LSN-0.00%</v>
      </c>
      <c r="Q3111" s="75">
        <v>45419.0</v>
      </c>
      <c r="R3111" s="76"/>
      <c r="S3111" s="75">
        <v>45426.0</v>
      </c>
      <c r="T3111" s="49"/>
    </row>
    <row r="3112">
      <c r="A3112" s="90">
        <v>171.0</v>
      </c>
      <c r="B3112" s="91" t="s">
        <v>29</v>
      </c>
      <c r="C3112" s="49" t="s">
        <v>1768</v>
      </c>
      <c r="D3112" s="91"/>
      <c r="E3112" s="41" t="s">
        <v>2587</v>
      </c>
      <c r="F3112" s="49"/>
      <c r="G3112" s="71" t="s">
        <v>2587</v>
      </c>
      <c r="H3112" s="41"/>
      <c r="I3112" s="42"/>
      <c r="J3112" s="43"/>
      <c r="K3112" s="72">
        <v>1000.0</v>
      </c>
      <c r="L3112" s="53" t="s">
        <v>69</v>
      </c>
      <c r="M3112" s="73">
        <v>450.0</v>
      </c>
      <c r="N3112" s="74"/>
      <c r="O3112" s="73">
        <v>450000.0</v>
      </c>
      <c r="P3112" s="46" t="str">
        <f t="shared" si="2"/>
        <v>Rp450-1000 PCS-0.00%</v>
      </c>
      <c r="Q3112" s="75">
        <v>45419.0</v>
      </c>
      <c r="R3112" s="76"/>
      <c r="S3112" s="75">
        <v>45426.0</v>
      </c>
      <c r="T3112" s="49"/>
    </row>
    <row r="3113">
      <c r="A3113" s="90">
        <v>171.0</v>
      </c>
      <c r="B3113" s="91" t="s">
        <v>29</v>
      </c>
      <c r="C3113" s="49" t="s">
        <v>1768</v>
      </c>
      <c r="D3113" s="91"/>
      <c r="E3113" s="41" t="s">
        <v>3123</v>
      </c>
      <c r="F3113" s="49"/>
      <c r="G3113" s="71" t="s">
        <v>3123</v>
      </c>
      <c r="H3113" s="41"/>
      <c r="I3113" s="42"/>
      <c r="J3113" s="43"/>
      <c r="K3113" s="72">
        <v>500.0</v>
      </c>
      <c r="L3113" s="53" t="s">
        <v>69</v>
      </c>
      <c r="M3113" s="73">
        <v>450.0</v>
      </c>
      <c r="N3113" s="74"/>
      <c r="O3113" s="73">
        <v>225000.0</v>
      </c>
      <c r="P3113" s="46" t="str">
        <f t="shared" si="2"/>
        <v>Rp450-500 PCS-0.00%</v>
      </c>
      <c r="Q3113" s="75">
        <v>45419.0</v>
      </c>
      <c r="R3113" s="76"/>
      <c r="S3113" s="75">
        <v>45426.0</v>
      </c>
      <c r="T3113" s="49"/>
    </row>
    <row r="3114">
      <c r="A3114" s="90">
        <v>171.0</v>
      </c>
      <c r="B3114" s="91" t="s">
        <v>29</v>
      </c>
      <c r="C3114" s="49" t="s">
        <v>1768</v>
      </c>
      <c r="D3114" s="91"/>
      <c r="E3114" s="41" t="s">
        <v>3124</v>
      </c>
      <c r="F3114" s="49"/>
      <c r="G3114" s="71" t="s">
        <v>3124</v>
      </c>
      <c r="H3114" s="41"/>
      <c r="I3114" s="42"/>
      <c r="J3114" s="43"/>
      <c r="K3114" s="72">
        <v>500.0</v>
      </c>
      <c r="L3114" s="53" t="s">
        <v>69</v>
      </c>
      <c r="M3114" s="73">
        <v>450.0</v>
      </c>
      <c r="N3114" s="74"/>
      <c r="O3114" s="73">
        <v>225000.0</v>
      </c>
      <c r="P3114" s="46" t="str">
        <f t="shared" si="2"/>
        <v>Rp450-500 PCS-0.00%</v>
      </c>
      <c r="Q3114" s="75">
        <v>45419.0</v>
      </c>
      <c r="R3114" s="76"/>
      <c r="S3114" s="75">
        <v>45426.0</v>
      </c>
      <c r="T3114" s="49"/>
    </row>
    <row r="3115">
      <c r="A3115" s="90">
        <v>171.0</v>
      </c>
      <c r="B3115" s="91" t="s">
        <v>29</v>
      </c>
      <c r="C3115" s="49" t="s">
        <v>1768</v>
      </c>
      <c r="D3115" s="91"/>
      <c r="E3115" s="41" t="s">
        <v>3125</v>
      </c>
      <c r="F3115" s="49"/>
      <c r="G3115" s="71" t="s">
        <v>3125</v>
      </c>
      <c r="H3115" s="41"/>
      <c r="I3115" s="42"/>
      <c r="J3115" s="43"/>
      <c r="K3115" s="72">
        <v>500.0</v>
      </c>
      <c r="L3115" s="53" t="s">
        <v>69</v>
      </c>
      <c r="M3115" s="73">
        <v>450.0</v>
      </c>
      <c r="N3115" s="74"/>
      <c r="O3115" s="73">
        <v>225000.0</v>
      </c>
      <c r="P3115" s="46" t="str">
        <f t="shared" si="2"/>
        <v>Rp450-500 PCS-0.00%</v>
      </c>
      <c r="Q3115" s="75">
        <v>45419.0</v>
      </c>
      <c r="R3115" s="76"/>
      <c r="S3115" s="75">
        <v>45426.0</v>
      </c>
      <c r="T3115" s="49"/>
    </row>
    <row r="3116">
      <c r="A3116" s="90">
        <v>171.0</v>
      </c>
      <c r="B3116" s="91" t="s">
        <v>29</v>
      </c>
      <c r="C3116" s="49" t="s">
        <v>1768</v>
      </c>
      <c r="D3116" s="91"/>
      <c r="E3116" s="41" t="s">
        <v>3126</v>
      </c>
      <c r="F3116" s="49"/>
      <c r="G3116" s="71" t="s">
        <v>3126</v>
      </c>
      <c r="H3116" s="41"/>
      <c r="I3116" s="42"/>
      <c r="J3116" s="43"/>
      <c r="K3116" s="72">
        <v>500.0</v>
      </c>
      <c r="L3116" s="53" t="s">
        <v>69</v>
      </c>
      <c r="M3116" s="73">
        <v>450.0</v>
      </c>
      <c r="N3116" s="74"/>
      <c r="O3116" s="73">
        <v>225000.0</v>
      </c>
      <c r="P3116" s="46" t="str">
        <f t="shared" si="2"/>
        <v>Rp450-500 PCS-0.00%</v>
      </c>
      <c r="Q3116" s="75">
        <v>45419.0</v>
      </c>
      <c r="R3116" s="76"/>
      <c r="S3116" s="75">
        <v>45426.0</v>
      </c>
      <c r="T3116" s="49"/>
    </row>
    <row r="3117">
      <c r="A3117" s="90">
        <v>171.0</v>
      </c>
      <c r="B3117" s="91" t="s">
        <v>29</v>
      </c>
      <c r="C3117" s="49" t="s">
        <v>1768</v>
      </c>
      <c r="D3117" s="91"/>
      <c r="E3117" s="41" t="s">
        <v>3127</v>
      </c>
      <c r="F3117" s="49"/>
      <c r="G3117" s="71" t="s">
        <v>3127</v>
      </c>
      <c r="H3117" s="41"/>
      <c r="I3117" s="42"/>
      <c r="J3117" s="43"/>
      <c r="K3117" s="72">
        <v>500.0</v>
      </c>
      <c r="L3117" s="53" t="s">
        <v>69</v>
      </c>
      <c r="M3117" s="73">
        <v>450.0</v>
      </c>
      <c r="N3117" s="74"/>
      <c r="O3117" s="73">
        <v>225000.0</v>
      </c>
      <c r="P3117" s="46" t="str">
        <f t="shared" si="2"/>
        <v>Rp450-500 PCS-0.00%</v>
      </c>
      <c r="Q3117" s="75">
        <v>45419.0</v>
      </c>
      <c r="R3117" s="76"/>
      <c r="S3117" s="75">
        <v>45426.0</v>
      </c>
      <c r="T3117" s="49"/>
    </row>
    <row r="3118">
      <c r="A3118" s="90">
        <v>171.0</v>
      </c>
      <c r="B3118" s="91" t="s">
        <v>29</v>
      </c>
      <c r="C3118" s="49" t="s">
        <v>1768</v>
      </c>
      <c r="D3118" s="91" t="s">
        <v>2170</v>
      </c>
      <c r="E3118" s="41" t="str">
        <f>IFERROR(__xludf.DUMMYFUNCTION("vlookup(D3118,IMPORTRANGE(""https://docs.google.com/spreadsheets/d/1swGwZOEqYlTEUCJLY-eeJM1911Kvaei5oySBIxdgtNo/edit?pli=1#gid=257618397"",""stock untanna!B:C""),2,false)"),"ID CARD B2 IMPORT")</f>
        <v>ID CARD B2 IMPORT</v>
      </c>
      <c r="F3118" s="49" t="s">
        <v>2170</v>
      </c>
      <c r="G3118" s="71" t="s">
        <v>2171</v>
      </c>
      <c r="H3118" s="41"/>
      <c r="I3118" s="42"/>
      <c r="J3118" s="43"/>
      <c r="K3118" s="72">
        <v>1000.0</v>
      </c>
      <c r="L3118" s="53" t="s">
        <v>69</v>
      </c>
      <c r="M3118" s="73">
        <v>450.0</v>
      </c>
      <c r="N3118" s="74"/>
      <c r="O3118" s="73">
        <v>450000.0</v>
      </c>
      <c r="P3118" s="46" t="str">
        <f t="shared" si="2"/>
        <v>Rp450-1000 PCS-0.00%</v>
      </c>
      <c r="Q3118" s="75">
        <v>45419.0</v>
      </c>
      <c r="R3118" s="76"/>
      <c r="S3118" s="75">
        <v>45426.0</v>
      </c>
      <c r="T3118" s="49"/>
    </row>
    <row r="3119">
      <c r="A3119" s="90">
        <v>171.0</v>
      </c>
      <c r="B3119" s="91" t="s">
        <v>29</v>
      </c>
      <c r="C3119" s="49" t="s">
        <v>1768</v>
      </c>
      <c r="D3119" s="91"/>
      <c r="E3119" s="41" t="s">
        <v>3128</v>
      </c>
      <c r="F3119" s="49"/>
      <c r="G3119" s="71" t="s">
        <v>3128</v>
      </c>
      <c r="H3119" s="41"/>
      <c r="I3119" s="42"/>
      <c r="J3119" s="43"/>
      <c r="K3119" s="72">
        <v>1000.0</v>
      </c>
      <c r="L3119" s="53" t="s">
        <v>69</v>
      </c>
      <c r="M3119" s="73">
        <v>400.0</v>
      </c>
      <c r="N3119" s="74"/>
      <c r="O3119" s="73">
        <v>400000.0</v>
      </c>
      <c r="P3119" s="46" t="str">
        <f t="shared" si="2"/>
        <v>Rp400-1000 PCS-0.00%</v>
      </c>
      <c r="Q3119" s="75">
        <v>45419.0</v>
      </c>
      <c r="R3119" s="76"/>
      <c r="S3119" s="75">
        <v>45426.0</v>
      </c>
      <c r="T3119" s="49"/>
    </row>
    <row r="3120">
      <c r="A3120" s="90">
        <v>171.0</v>
      </c>
      <c r="B3120" s="91" t="s">
        <v>29</v>
      </c>
      <c r="C3120" s="49" t="s">
        <v>1768</v>
      </c>
      <c r="D3120" s="91"/>
      <c r="E3120" s="41" t="s">
        <v>2739</v>
      </c>
      <c r="F3120" s="49"/>
      <c r="G3120" s="71" t="s">
        <v>2739</v>
      </c>
      <c r="H3120" s="41"/>
      <c r="I3120" s="42"/>
      <c r="J3120" s="43"/>
      <c r="K3120" s="72">
        <v>1.0</v>
      </c>
      <c r="L3120" s="53" t="s">
        <v>62</v>
      </c>
      <c r="M3120" s="73">
        <v>105000.0</v>
      </c>
      <c r="N3120" s="74"/>
      <c r="O3120" s="73">
        <v>105000.0</v>
      </c>
      <c r="P3120" s="46" t="str">
        <f t="shared" si="2"/>
        <v>Rp105,000-1 LSN-0.00%</v>
      </c>
      <c r="Q3120" s="75">
        <v>45419.0</v>
      </c>
      <c r="R3120" s="76"/>
      <c r="S3120" s="75">
        <v>45426.0</v>
      </c>
      <c r="T3120" s="49"/>
    </row>
    <row r="3121">
      <c r="A3121" s="90">
        <v>171.0</v>
      </c>
      <c r="B3121" s="91" t="s">
        <v>29</v>
      </c>
      <c r="C3121" s="49" t="s">
        <v>1768</v>
      </c>
      <c r="D3121" s="91"/>
      <c r="E3121" s="41" t="s">
        <v>2370</v>
      </c>
      <c r="F3121" s="49"/>
      <c r="G3121" s="71" t="s">
        <v>2370</v>
      </c>
      <c r="H3121" s="41"/>
      <c r="I3121" s="42"/>
      <c r="J3121" s="43"/>
      <c r="K3121" s="72">
        <v>500.0</v>
      </c>
      <c r="L3121" s="53" t="s">
        <v>69</v>
      </c>
      <c r="M3121" s="73">
        <v>650.0</v>
      </c>
      <c r="N3121" s="74"/>
      <c r="O3121" s="73">
        <v>325000.0</v>
      </c>
      <c r="P3121" s="46" t="str">
        <f t="shared" si="2"/>
        <v>Rp650-500 PCS-0.00%</v>
      </c>
      <c r="Q3121" s="75">
        <v>45419.0</v>
      </c>
      <c r="R3121" s="76"/>
      <c r="S3121" s="75">
        <v>45426.0</v>
      </c>
      <c r="T3121" s="80" t="s">
        <v>280</v>
      </c>
    </row>
    <row r="3122">
      <c r="A3122" s="90">
        <v>171.0</v>
      </c>
      <c r="B3122" s="91" t="s">
        <v>29</v>
      </c>
      <c r="C3122" s="49" t="s">
        <v>1768</v>
      </c>
      <c r="D3122" s="91"/>
      <c r="E3122" s="41" t="s">
        <v>1996</v>
      </c>
      <c r="F3122" s="49"/>
      <c r="G3122" s="71" t="s">
        <v>1996</v>
      </c>
      <c r="H3122" s="41"/>
      <c r="I3122" s="42"/>
      <c r="J3122" s="43"/>
      <c r="K3122" s="72">
        <v>100.0</v>
      </c>
      <c r="L3122" s="53" t="s">
        <v>69</v>
      </c>
      <c r="M3122" s="73">
        <v>350.0</v>
      </c>
      <c r="N3122" s="74"/>
      <c r="O3122" s="73">
        <v>35000.0</v>
      </c>
      <c r="P3122" s="46" t="str">
        <f t="shared" si="2"/>
        <v>Rp350-100 PCS-0.00%</v>
      </c>
      <c r="Q3122" s="75">
        <v>45419.0</v>
      </c>
      <c r="R3122" s="76"/>
      <c r="S3122" s="75">
        <v>45426.0</v>
      </c>
      <c r="T3122" s="80" t="s">
        <v>280</v>
      </c>
    </row>
    <row r="3123">
      <c r="A3123" s="90">
        <v>171.0</v>
      </c>
      <c r="B3123" s="91" t="s">
        <v>29</v>
      </c>
      <c r="C3123" s="49" t="s">
        <v>1768</v>
      </c>
      <c r="D3123" s="91"/>
      <c r="E3123" s="41" t="s">
        <v>3129</v>
      </c>
      <c r="F3123" s="49"/>
      <c r="G3123" s="71" t="s">
        <v>3129</v>
      </c>
      <c r="H3123" s="41"/>
      <c r="I3123" s="42"/>
      <c r="J3123" s="43"/>
      <c r="K3123" s="72">
        <v>100.0</v>
      </c>
      <c r="L3123" s="53" t="s">
        <v>69</v>
      </c>
      <c r="M3123" s="73">
        <v>450.0</v>
      </c>
      <c r="N3123" s="74"/>
      <c r="O3123" s="73">
        <v>45000.0</v>
      </c>
      <c r="P3123" s="46" t="str">
        <f t="shared" si="2"/>
        <v>Rp450-100 PCS-0.00%</v>
      </c>
      <c r="Q3123" s="75">
        <v>45419.0</v>
      </c>
      <c r="R3123" s="76"/>
      <c r="S3123" s="75">
        <v>45426.0</v>
      </c>
      <c r="T3123" s="80" t="s">
        <v>280</v>
      </c>
    </row>
    <row r="3124">
      <c r="A3124" s="90">
        <v>171.0</v>
      </c>
      <c r="B3124" s="91" t="s">
        <v>29</v>
      </c>
      <c r="C3124" s="49" t="s">
        <v>1768</v>
      </c>
      <c r="D3124" s="91" t="s">
        <v>3130</v>
      </c>
      <c r="E3124" s="41" t="str">
        <f>IFERROR(__xludf.DUMMYFUNCTION("vlookup(D3124,IMPORTRANGE(""https://docs.google.com/spreadsheets/d/1swGwZOEqYlTEUCJLY-eeJM1911Kvaei5oySBIxdgtNo/edit?pli=1#gid=257618397"",""stock untanna!B:C""),2,false)"),"ID CARD A3")</f>
        <v>ID CARD A3</v>
      </c>
      <c r="F3124" s="49" t="s">
        <v>3130</v>
      </c>
      <c r="G3124" s="71" t="s">
        <v>3131</v>
      </c>
      <c r="H3124" s="41"/>
      <c r="I3124" s="42"/>
      <c r="J3124" s="43"/>
      <c r="K3124" s="72">
        <v>100.0</v>
      </c>
      <c r="L3124" s="53" t="s">
        <v>69</v>
      </c>
      <c r="M3124" s="73">
        <v>550.0</v>
      </c>
      <c r="N3124" s="74"/>
      <c r="O3124" s="73">
        <v>55000.0</v>
      </c>
      <c r="P3124" s="46" t="str">
        <f t="shared" si="2"/>
        <v>Rp550-100 PCS-0.00%</v>
      </c>
      <c r="Q3124" s="75">
        <v>45419.0</v>
      </c>
      <c r="R3124" s="76"/>
      <c r="S3124" s="75">
        <v>45426.0</v>
      </c>
      <c r="T3124" s="49"/>
    </row>
    <row r="3125">
      <c r="A3125" s="90">
        <v>171.0</v>
      </c>
      <c r="B3125" s="91" t="s">
        <v>29</v>
      </c>
      <c r="C3125" s="49" t="s">
        <v>1768</v>
      </c>
      <c r="D3125" s="91" t="s">
        <v>732</v>
      </c>
      <c r="E3125" s="41" t="str">
        <f>IFERROR(__xludf.DUMMYFUNCTION("vlookup(D3125,IMPORTRANGE(""https://docs.google.com/spreadsheets/d/1swGwZOEqYlTEUCJLY-eeJM1911Kvaei5oySBIxdgtNo/edit?pli=1#gid=257618397"",""stock untanna!B:C""),2,false)"),"MESIN TEMBAK BIXDONE HE E2010 K (65 BLK) KECIL")</f>
        <v>MESIN TEMBAK BIXDONE HE E2010 K (65 BLK) KECIL</v>
      </c>
      <c r="F3125" s="49" t="s">
        <v>732</v>
      </c>
      <c r="G3125" s="78" t="s">
        <v>733</v>
      </c>
      <c r="H3125" s="41"/>
      <c r="I3125" s="42"/>
      <c r="J3125" s="43"/>
      <c r="K3125" s="72">
        <v>6.0</v>
      </c>
      <c r="L3125" s="53" t="s">
        <v>69</v>
      </c>
      <c r="M3125" s="73">
        <v>26000.0</v>
      </c>
      <c r="N3125" s="74"/>
      <c r="O3125" s="73">
        <v>156000.0</v>
      </c>
      <c r="P3125" s="46" t="str">
        <f t="shared" si="2"/>
        <v>Rp26,000-6 PCS-0.00%</v>
      </c>
      <c r="Q3125" s="75">
        <v>45419.0</v>
      </c>
      <c r="R3125" s="76"/>
      <c r="S3125" s="75">
        <v>45426.0</v>
      </c>
      <c r="T3125" s="49"/>
    </row>
    <row r="3126">
      <c r="A3126" s="90">
        <v>172.0</v>
      </c>
      <c r="B3126" s="91" t="s">
        <v>29</v>
      </c>
      <c r="C3126" s="49" t="s">
        <v>1768</v>
      </c>
      <c r="D3126" s="91"/>
      <c r="E3126" s="41" t="s">
        <v>1698</v>
      </c>
      <c r="F3126" s="49"/>
      <c r="G3126" s="71" t="s">
        <v>1698</v>
      </c>
      <c r="H3126" s="41"/>
      <c r="I3126" s="42"/>
      <c r="J3126" s="43"/>
      <c r="K3126" s="72">
        <v>2.0</v>
      </c>
      <c r="L3126" s="53" t="s">
        <v>114</v>
      </c>
      <c r="M3126" s="73">
        <v>40000.0</v>
      </c>
      <c r="N3126" s="74"/>
      <c r="O3126" s="73">
        <v>80000.0</v>
      </c>
      <c r="P3126" s="46" t="str">
        <f t="shared" si="2"/>
        <v>Rp40,000-2 PAK-0.00%</v>
      </c>
      <c r="Q3126" s="75">
        <v>45419.0</v>
      </c>
      <c r="R3126" s="76"/>
      <c r="S3126" s="75">
        <v>45426.0</v>
      </c>
      <c r="T3126" s="49"/>
    </row>
    <row r="3127">
      <c r="A3127" s="90">
        <v>172.0</v>
      </c>
      <c r="B3127" s="91" t="s">
        <v>29</v>
      </c>
      <c r="C3127" s="49" t="s">
        <v>1768</v>
      </c>
      <c r="D3127" s="91"/>
      <c r="E3127" s="41" t="s">
        <v>513</v>
      </c>
      <c r="F3127" s="49"/>
      <c r="G3127" s="71" t="s">
        <v>513</v>
      </c>
      <c r="H3127" s="41"/>
      <c r="I3127" s="42"/>
      <c r="J3127" s="43"/>
      <c r="K3127" s="72">
        <v>10.0</v>
      </c>
      <c r="L3127" s="53" t="s">
        <v>114</v>
      </c>
      <c r="M3127" s="73">
        <v>4000.0</v>
      </c>
      <c r="N3127" s="74"/>
      <c r="O3127" s="73">
        <v>40000.0</v>
      </c>
      <c r="P3127" s="46" t="str">
        <f t="shared" si="2"/>
        <v>Rp4,000-10 PAK-0.00%</v>
      </c>
      <c r="Q3127" s="75">
        <v>45419.0</v>
      </c>
      <c r="R3127" s="76"/>
      <c r="S3127" s="75">
        <v>45426.0</v>
      </c>
      <c r="T3127" s="49"/>
    </row>
    <row r="3128">
      <c r="A3128" s="90">
        <v>172.0</v>
      </c>
      <c r="B3128" s="91" t="s">
        <v>29</v>
      </c>
      <c r="C3128" s="49" t="s">
        <v>1768</v>
      </c>
      <c r="D3128" s="91" t="s">
        <v>3044</v>
      </c>
      <c r="E3128" s="41" t="str">
        <f>IFERROR(__xludf.DUMMYFUNCTION("vlookup(D3128,IMPORTRANGE(""https://docs.google.com/spreadsheets/d/1swGwZOEqYlTEUCJLY-eeJM1911Kvaei5oySBIxdgtNo/edit?pli=1#gid=257618397"",""stock untanna!B:C""),2,false)"),"TINTA 20MM (1 LINE)")</f>
        <v>TINTA 20MM (1 LINE)</v>
      </c>
      <c r="F3128" s="49" t="s">
        <v>3044</v>
      </c>
      <c r="G3128" s="71" t="s">
        <v>3045</v>
      </c>
      <c r="H3128" s="41"/>
      <c r="I3128" s="42"/>
      <c r="J3128" s="43"/>
      <c r="K3128" s="72">
        <v>20.0</v>
      </c>
      <c r="L3128" s="53" t="s">
        <v>69</v>
      </c>
      <c r="M3128" s="73">
        <v>5000.0</v>
      </c>
      <c r="N3128" s="83">
        <v>0.1</v>
      </c>
      <c r="O3128" s="73">
        <v>90000.0</v>
      </c>
      <c r="P3128" s="46" t="str">
        <f t="shared" si="2"/>
        <v>Rp5,000-20 PCS-10.00%</v>
      </c>
      <c r="Q3128" s="75">
        <v>45419.0</v>
      </c>
      <c r="R3128" s="76"/>
      <c r="S3128" s="75">
        <v>45426.0</v>
      </c>
      <c r="T3128" s="49"/>
    </row>
    <row r="3129">
      <c r="A3129" s="90">
        <v>172.0</v>
      </c>
      <c r="B3129" s="91" t="s">
        <v>29</v>
      </c>
      <c r="C3129" s="49" t="s">
        <v>1768</v>
      </c>
      <c r="D3129" s="91" t="s">
        <v>1453</v>
      </c>
      <c r="E3129" s="41" t="str">
        <f>IFERROR(__xludf.DUMMYFUNCTION("vlookup(D3129,IMPORTRANGE(""https://docs.google.com/spreadsheets/d/1swGwZOEqYlTEUCJLY-eeJM1911Kvaei5oySBIxdgtNo/edit?pli=1#gid=257618397"",""stock untanna!B:C""),2,false)"),"CUTTER GOLDEN 888 B")</f>
        <v>CUTTER GOLDEN 888 B</v>
      </c>
      <c r="F3129" s="49" t="s">
        <v>1453</v>
      </c>
      <c r="G3129" s="71" t="s">
        <v>1454</v>
      </c>
      <c r="H3129" s="41"/>
      <c r="I3129" s="42"/>
      <c r="J3129" s="43"/>
      <c r="K3129" s="72">
        <v>5.0</v>
      </c>
      <c r="L3129" s="53" t="s">
        <v>62</v>
      </c>
      <c r="M3129" s="73">
        <v>12000.0</v>
      </c>
      <c r="N3129" s="74"/>
      <c r="O3129" s="73">
        <v>60000.0</v>
      </c>
      <c r="P3129" s="46" t="str">
        <f t="shared" si="2"/>
        <v>Rp12,000-5 LSN-0.00%</v>
      </c>
      <c r="Q3129" s="75">
        <v>45419.0</v>
      </c>
      <c r="R3129" s="76"/>
      <c r="S3129" s="75">
        <v>45426.0</v>
      </c>
      <c r="T3129" s="49"/>
    </row>
    <row r="3130">
      <c r="A3130" s="90">
        <v>172.0</v>
      </c>
      <c r="B3130" s="91" t="s">
        <v>29</v>
      </c>
      <c r="C3130" s="49" t="s">
        <v>1768</v>
      </c>
      <c r="D3130" s="91" t="s">
        <v>1460</v>
      </c>
      <c r="E3130" s="41" t="str">
        <f>IFERROR(__xludf.DUMMYFUNCTION("vlookup(D3130,IMPORTRANGE(""https://docs.google.com/spreadsheets/d/1swGwZOEqYlTEUCJLY-eeJM1911Kvaei5oySBIxdgtNo/edit?pli=1#gid=257618397"",""stock untanna!B:C""),2,false)"),"CLIP CANDY NO 1")</f>
        <v>CLIP CANDY NO 1</v>
      </c>
      <c r="F3130" s="49" t="s">
        <v>1460</v>
      </c>
      <c r="G3130" s="71" t="s">
        <v>94</v>
      </c>
      <c r="H3130" s="41"/>
      <c r="I3130" s="42"/>
      <c r="J3130" s="43"/>
      <c r="K3130" s="72">
        <v>144.0</v>
      </c>
      <c r="L3130" s="53" t="s">
        <v>69</v>
      </c>
      <c r="M3130" s="73">
        <v>3125.0</v>
      </c>
      <c r="N3130" s="74"/>
      <c r="O3130" s="73">
        <v>450000.0</v>
      </c>
      <c r="P3130" s="46" t="str">
        <f t="shared" si="2"/>
        <v>Rp3,125-144 PCS-0.00%</v>
      </c>
      <c r="Q3130" s="75">
        <v>45419.0</v>
      </c>
      <c r="R3130" s="76"/>
      <c r="S3130" s="75">
        <v>45426.0</v>
      </c>
      <c r="T3130" s="80" t="s">
        <v>3132</v>
      </c>
    </row>
    <row r="3131">
      <c r="A3131" s="90">
        <v>15.0</v>
      </c>
      <c r="B3131" s="91" t="s">
        <v>58</v>
      </c>
      <c r="C3131" s="49" t="s">
        <v>3133</v>
      </c>
      <c r="D3131" s="77" t="s">
        <v>3134</v>
      </c>
      <c r="E3131" s="41" t="str">
        <f>IFERROR(__xludf.DUMMYFUNCTION("vlookup(D3131,IMPORTRANGE(""https://docs.google.com/spreadsheets/d/1swGwZOEqYlTEUCJLY-eeJM1911Kvaei5oySBIxdgtNo/edit?pli=1#gid=257618397"",""stock untanna!B:C""),2,false)"),"BK/ NB A 343K(1)")</f>
        <v>BK/ NB A 343K(1)</v>
      </c>
      <c r="F3131" s="49" t="s">
        <v>3135</v>
      </c>
      <c r="G3131" s="71" t="s">
        <v>3136</v>
      </c>
      <c r="H3131" s="41"/>
      <c r="I3131" s="42"/>
      <c r="J3131" s="43"/>
      <c r="K3131" s="72">
        <v>6.0</v>
      </c>
      <c r="L3131" s="53" t="s">
        <v>69</v>
      </c>
      <c r="M3131" s="73">
        <v>8333.0</v>
      </c>
      <c r="N3131" s="74"/>
      <c r="O3131" s="73">
        <v>49998.0</v>
      </c>
      <c r="P3131" s="46" t="str">
        <f t="shared" si="2"/>
        <v>Rp8,333-6 PCS-0.00%</v>
      </c>
      <c r="Q3131" s="92">
        <v>45420.0</v>
      </c>
      <c r="R3131" s="76"/>
      <c r="S3131" s="75">
        <v>45426.0</v>
      </c>
      <c r="T3131" s="49"/>
    </row>
    <row r="3132">
      <c r="A3132" s="90">
        <v>15.0</v>
      </c>
      <c r="B3132" s="91" t="s">
        <v>58</v>
      </c>
      <c r="C3132" s="49" t="s">
        <v>3133</v>
      </c>
      <c r="D3132" s="77" t="s">
        <v>3137</v>
      </c>
      <c r="E3132" s="41" t="str">
        <f>IFERROR(__xludf.DUMMYFUNCTION("vlookup(D3132,IMPORTRANGE(""https://docs.google.com/spreadsheets/d/1swGwZOEqYlTEUCJLY-eeJM1911Kvaei5oySBIxdgtNo/edit?pli=1#gid=257618397"",""stock untanna!B:C""),2,false)"),"BK/ NB A 326K(4)")</f>
        <v>BK/ NB A 326K(4)</v>
      </c>
      <c r="F3132" s="49" t="s">
        <v>3138</v>
      </c>
      <c r="G3132" s="71" t="s">
        <v>3139</v>
      </c>
      <c r="H3132" s="41"/>
      <c r="I3132" s="42"/>
      <c r="J3132" s="43"/>
      <c r="K3132" s="72">
        <v>6.0</v>
      </c>
      <c r="L3132" s="53" t="s">
        <v>69</v>
      </c>
      <c r="M3132" s="73">
        <v>8333.0</v>
      </c>
      <c r="N3132" s="74"/>
      <c r="O3132" s="73">
        <v>49998.0</v>
      </c>
      <c r="P3132" s="46" t="str">
        <f t="shared" si="2"/>
        <v>Rp8,333-6 PCS-0.00%</v>
      </c>
      <c r="Q3132" s="92">
        <v>45420.0</v>
      </c>
      <c r="R3132" s="76"/>
      <c r="S3132" s="75">
        <v>45426.0</v>
      </c>
      <c r="T3132" s="49"/>
    </row>
    <row r="3133">
      <c r="A3133" s="90">
        <v>15.0</v>
      </c>
      <c r="B3133" s="91" t="s">
        <v>58</v>
      </c>
      <c r="C3133" s="49" t="s">
        <v>3133</v>
      </c>
      <c r="D3133" s="77" t="s">
        <v>3140</v>
      </c>
      <c r="E3133" s="41" t="str">
        <f>IFERROR(__xludf.DUMMYFUNCTION("vlookup(D3133,IMPORTRANGE(""https://docs.google.com/spreadsheets/d/1swGwZOEqYlTEUCJLY-eeJM1911Kvaei5oySBIxdgtNo/edit?pli=1#gid=257618397"",""stock untanna!B:C""),2,false)"),"BK/ NB A 342K")</f>
        <v>BK/ NB A 342K</v>
      </c>
      <c r="F3133" s="49" t="s">
        <v>3141</v>
      </c>
      <c r="G3133" s="71" t="s">
        <v>3142</v>
      </c>
      <c r="H3133" s="41"/>
      <c r="I3133" s="42"/>
      <c r="J3133" s="43"/>
      <c r="K3133" s="72">
        <v>6.0</v>
      </c>
      <c r="L3133" s="53" t="s">
        <v>69</v>
      </c>
      <c r="M3133" s="73">
        <v>8333.0</v>
      </c>
      <c r="N3133" s="74"/>
      <c r="O3133" s="73">
        <v>49998.0</v>
      </c>
      <c r="P3133" s="46" t="str">
        <f t="shared" si="2"/>
        <v>Rp8,333-6 PCS-0.00%</v>
      </c>
      <c r="Q3133" s="92">
        <v>45420.0</v>
      </c>
      <c r="R3133" s="76"/>
      <c r="S3133" s="75">
        <v>45426.0</v>
      </c>
      <c r="T3133" s="49"/>
    </row>
    <row r="3134">
      <c r="A3134" s="90">
        <v>15.0</v>
      </c>
      <c r="B3134" s="91" t="s">
        <v>58</v>
      </c>
      <c r="C3134" s="49" t="s">
        <v>3133</v>
      </c>
      <c r="D3134" s="77" t="s">
        <v>3143</v>
      </c>
      <c r="E3134" s="41" t="str">
        <f>IFERROR(__xludf.DUMMYFUNCTION("vlookup(D3134,IMPORTRANGE(""https://docs.google.com/spreadsheets/d/1swGwZOEqYlTEUCJLY-eeJM1911Kvaei5oySBIxdgtNo/edit?pli=1#gid=257618397"",""stock untanna!B:C""),2,false)"),"BK/ NB A 331B")</f>
        <v>BK/ NB A 331B</v>
      </c>
      <c r="F3134" s="49" t="s">
        <v>3144</v>
      </c>
      <c r="G3134" s="71" t="s">
        <v>3145</v>
      </c>
      <c r="H3134" s="41"/>
      <c r="I3134" s="42"/>
      <c r="J3134" s="43"/>
      <c r="K3134" s="72">
        <v>6.0</v>
      </c>
      <c r="L3134" s="53" t="s">
        <v>69</v>
      </c>
      <c r="M3134" s="73">
        <v>12500.0</v>
      </c>
      <c r="N3134" s="74"/>
      <c r="O3134" s="73">
        <v>75000.0</v>
      </c>
      <c r="P3134" s="46" t="str">
        <f t="shared" si="2"/>
        <v>Rp12,500-6 PCS-0.00%</v>
      </c>
      <c r="Q3134" s="92">
        <v>45420.0</v>
      </c>
      <c r="R3134" s="76"/>
      <c r="S3134" s="75">
        <v>45426.0</v>
      </c>
      <c r="T3134" s="49"/>
    </row>
    <row r="3135">
      <c r="A3135" s="90">
        <v>15.0</v>
      </c>
      <c r="B3135" s="91" t="s">
        <v>58</v>
      </c>
      <c r="C3135" s="49" t="s">
        <v>3133</v>
      </c>
      <c r="D3135" s="21" t="s">
        <v>3146</v>
      </c>
      <c r="E3135" s="41" t="str">
        <f>IFERROR(__xludf.DUMMYFUNCTION("vlookup(D3135,IMPORTRANGE(""https://docs.google.com/spreadsheets/d/1swGwZOEqYlTEUCJLY-eeJM1911Kvaei5oySBIxdgtNo/edit?pli=1#gid=257618397"",""stock untanna!B:C""),2,false)"),"BNS XB 72K 1352")</f>
        <v>BNS XB 72K 1352</v>
      </c>
      <c r="F3135" s="49" t="s">
        <v>3147</v>
      </c>
      <c r="G3135" s="71" t="s">
        <v>3148</v>
      </c>
      <c r="H3135" s="41"/>
      <c r="I3135" s="42"/>
      <c r="J3135" s="43"/>
      <c r="K3135" s="72">
        <v>6.0</v>
      </c>
      <c r="L3135" s="53" t="s">
        <v>69</v>
      </c>
      <c r="M3135" s="73">
        <v>6250.0</v>
      </c>
      <c r="N3135" s="74"/>
      <c r="O3135" s="73">
        <v>37500.0</v>
      </c>
      <c r="P3135" s="46" t="str">
        <f t="shared" si="2"/>
        <v>Rp6,250-6 PCS-0.00%</v>
      </c>
      <c r="Q3135" s="92">
        <v>45420.0</v>
      </c>
      <c r="R3135" s="76"/>
      <c r="S3135" s="75">
        <v>45426.0</v>
      </c>
      <c r="T3135" s="49"/>
    </row>
    <row r="3136">
      <c r="A3136" s="90">
        <v>15.0</v>
      </c>
      <c r="B3136" s="91" t="s">
        <v>58</v>
      </c>
      <c r="C3136" s="49" t="s">
        <v>3133</v>
      </c>
      <c r="D3136" s="77" t="s">
        <v>3149</v>
      </c>
      <c r="E3136" s="41" t="str">
        <f>IFERROR(__xludf.DUMMYFUNCTION("vlookup(D3136,IMPORTRANGE(""https://docs.google.com/spreadsheets/d/1swGwZOEqYlTEUCJLY-eeJM1911Kvaei5oySBIxdgtNo/edit?pli=1#gid=257618397"",""stock untanna!B:C""),2,false)"),"BNS XB 72K 1273")</f>
        <v>BNS XB 72K 1273</v>
      </c>
      <c r="F3136" s="49" t="s">
        <v>3150</v>
      </c>
      <c r="G3136" s="71" t="s">
        <v>3151</v>
      </c>
      <c r="H3136" s="41"/>
      <c r="I3136" s="42"/>
      <c r="J3136" s="43"/>
      <c r="K3136" s="72">
        <v>0.5</v>
      </c>
      <c r="L3136" s="53" t="s">
        <v>62</v>
      </c>
      <c r="M3136" s="73">
        <v>75000.0</v>
      </c>
      <c r="N3136" s="74"/>
      <c r="O3136" s="73">
        <v>37500.0</v>
      </c>
      <c r="P3136" s="46" t="str">
        <f t="shared" si="2"/>
        <v>Rp75,000-0.5 LSN-0.00%</v>
      </c>
      <c r="Q3136" s="92">
        <v>45420.0</v>
      </c>
      <c r="R3136" s="76"/>
      <c r="S3136" s="75">
        <v>45426.0</v>
      </c>
      <c r="T3136" s="49"/>
    </row>
    <row r="3137">
      <c r="A3137" s="90">
        <v>15.0</v>
      </c>
      <c r="B3137" s="91" t="s">
        <v>58</v>
      </c>
      <c r="C3137" s="49" t="s">
        <v>3133</v>
      </c>
      <c r="D3137" s="91"/>
      <c r="E3137" s="41" t="s">
        <v>927</v>
      </c>
      <c r="F3137" s="49"/>
      <c r="G3137" s="71" t="s">
        <v>927</v>
      </c>
      <c r="H3137" s="41"/>
      <c r="I3137" s="42"/>
      <c r="J3137" s="43"/>
      <c r="K3137" s="72">
        <v>0.5</v>
      </c>
      <c r="L3137" s="53" t="s">
        <v>62</v>
      </c>
      <c r="M3137" s="73">
        <v>75000.0</v>
      </c>
      <c r="N3137" s="74"/>
      <c r="O3137" s="73">
        <v>37500.0</v>
      </c>
      <c r="P3137" s="46" t="str">
        <f t="shared" si="2"/>
        <v>Rp75,000-0.5 LSN-0.00%</v>
      </c>
      <c r="Q3137" s="92">
        <v>45420.0</v>
      </c>
      <c r="R3137" s="76"/>
      <c r="S3137" s="75">
        <v>45426.0</v>
      </c>
      <c r="T3137" s="80" t="s">
        <v>280</v>
      </c>
    </row>
    <row r="3138">
      <c r="A3138" s="90">
        <v>15.0</v>
      </c>
      <c r="B3138" s="91" t="s">
        <v>58</v>
      </c>
      <c r="C3138" s="49" t="s">
        <v>3133</v>
      </c>
      <c r="D3138" s="91"/>
      <c r="E3138" s="41" t="s">
        <v>3152</v>
      </c>
      <c r="F3138" s="49"/>
      <c r="G3138" s="71" t="s">
        <v>3152</v>
      </c>
      <c r="H3138" s="41"/>
      <c r="I3138" s="42"/>
      <c r="J3138" s="43"/>
      <c r="K3138" s="72">
        <v>0.5</v>
      </c>
      <c r="L3138" s="53" t="s">
        <v>62</v>
      </c>
      <c r="M3138" s="73">
        <v>75000.0</v>
      </c>
      <c r="N3138" s="74"/>
      <c r="O3138" s="73">
        <v>37500.0</v>
      </c>
      <c r="P3138" s="46" t="str">
        <f t="shared" si="2"/>
        <v>Rp75,000-0.5 LSN-0.00%</v>
      </c>
      <c r="Q3138" s="92">
        <v>45420.0</v>
      </c>
      <c r="R3138" s="76"/>
      <c r="S3138" s="75">
        <v>45426.0</v>
      </c>
      <c r="T3138" s="49"/>
    </row>
    <row r="3139">
      <c r="A3139" s="90">
        <v>15.0</v>
      </c>
      <c r="B3139" s="91" t="s">
        <v>58</v>
      </c>
      <c r="C3139" s="49" t="s">
        <v>3133</v>
      </c>
      <c r="D3139" s="91"/>
      <c r="E3139" s="41" t="s">
        <v>3153</v>
      </c>
      <c r="F3139" s="49"/>
      <c r="G3139" s="71" t="s">
        <v>3153</v>
      </c>
      <c r="H3139" s="41"/>
      <c r="I3139" s="42"/>
      <c r="J3139" s="43"/>
      <c r="K3139" s="72">
        <v>0.5</v>
      </c>
      <c r="L3139" s="53" t="s">
        <v>62</v>
      </c>
      <c r="M3139" s="73">
        <v>95000.0</v>
      </c>
      <c r="N3139" s="74"/>
      <c r="O3139" s="73">
        <v>47500.0</v>
      </c>
      <c r="P3139" s="46" t="str">
        <f t="shared" si="2"/>
        <v>Rp95,000-0.5 LSN-0.00%</v>
      </c>
      <c r="Q3139" s="92">
        <v>45420.0</v>
      </c>
      <c r="R3139" s="76"/>
      <c r="S3139" s="75">
        <v>45426.0</v>
      </c>
      <c r="T3139" s="80" t="s">
        <v>280</v>
      </c>
    </row>
    <row r="3140">
      <c r="A3140" s="90">
        <v>15.0</v>
      </c>
      <c r="B3140" s="91" t="s">
        <v>58</v>
      </c>
      <c r="C3140" s="49" t="s">
        <v>3133</v>
      </c>
      <c r="D3140" s="91" t="s">
        <v>2797</v>
      </c>
      <c r="E3140" s="41" t="str">
        <f>IFERROR(__xludf.DUMMYFUNCTION("vlookup(D3140,IMPORTRANGE(""https://docs.google.com/spreadsheets/d/1swGwZOEqYlTEUCJLY-eeJM1911Kvaei5oySBIxdgtNo/edit?pli=1#gid=257618397"",""stock untanna!B:C""),2,false)"),"NB SPIRAL A6-801 LUCKY NOTE")</f>
        <v>NB SPIRAL A6-801 LUCKY NOTE</v>
      </c>
      <c r="F3140" s="49" t="s">
        <v>2797</v>
      </c>
      <c r="G3140" s="71" t="s">
        <v>2798</v>
      </c>
      <c r="H3140" s="41"/>
      <c r="I3140" s="42"/>
      <c r="J3140" s="43"/>
      <c r="K3140" s="72">
        <v>6.0</v>
      </c>
      <c r="L3140" s="53" t="s">
        <v>69</v>
      </c>
      <c r="M3140" s="73">
        <v>6250.0</v>
      </c>
      <c r="N3140" s="74"/>
      <c r="O3140" s="73">
        <v>37500.0</v>
      </c>
      <c r="P3140" s="46" t="str">
        <f t="shared" si="2"/>
        <v>Rp6,250-6 PCS-0.00%</v>
      </c>
      <c r="Q3140" s="92">
        <v>45420.0</v>
      </c>
      <c r="R3140" s="76"/>
      <c r="S3140" s="75">
        <v>45426.0</v>
      </c>
      <c r="T3140" s="49"/>
    </row>
    <row r="3141">
      <c r="A3141" s="90">
        <v>15.0</v>
      </c>
      <c r="B3141" s="91" t="s">
        <v>58</v>
      </c>
      <c r="C3141" s="49" t="s">
        <v>3133</v>
      </c>
      <c r="D3141" s="91"/>
      <c r="E3141" s="41" t="s">
        <v>3154</v>
      </c>
      <c r="F3141" s="49"/>
      <c r="G3141" s="71" t="s">
        <v>3154</v>
      </c>
      <c r="H3141" s="41"/>
      <c r="I3141" s="42"/>
      <c r="J3141" s="43"/>
      <c r="K3141" s="72">
        <v>0.5</v>
      </c>
      <c r="L3141" s="53" t="s">
        <v>62</v>
      </c>
      <c r="M3141" s="73">
        <v>144000.0</v>
      </c>
      <c r="N3141" s="74"/>
      <c r="O3141" s="73">
        <v>72000.0</v>
      </c>
      <c r="P3141" s="46" t="str">
        <f t="shared" si="2"/>
        <v>Rp144,000-0.5 LSN-0.00%</v>
      </c>
      <c r="Q3141" s="92">
        <v>45420.0</v>
      </c>
      <c r="R3141" s="76"/>
      <c r="S3141" s="75">
        <v>45426.0</v>
      </c>
      <c r="T3141" s="80" t="s">
        <v>280</v>
      </c>
    </row>
    <row r="3142">
      <c r="A3142" s="90">
        <v>15.0</v>
      </c>
      <c r="B3142" s="91" t="s">
        <v>58</v>
      </c>
      <c r="C3142" s="49" t="s">
        <v>3133</v>
      </c>
      <c r="D3142" s="91" t="s">
        <v>3155</v>
      </c>
      <c r="E3142" s="41" t="str">
        <f>IFERROR(__xludf.DUMMYFUNCTION("vlookup(D3142,IMPORTRANGE(""https://docs.google.com/spreadsheets/d/1swGwZOEqYlTEUCJLY-eeJM1911Kvaei5oySBIxdgtNo/edit?pli=1#gid=257618397"",""stock untanna!B:C""),2,false)"),"KERTAS LIPAT ORIGAMI C 037")</f>
        <v>KERTAS LIPAT ORIGAMI C 037</v>
      </c>
      <c r="F3142" s="49" t="s">
        <v>3155</v>
      </c>
      <c r="G3142" s="71" t="s">
        <v>3156</v>
      </c>
      <c r="H3142" s="41"/>
      <c r="I3142" s="42"/>
      <c r="J3142" s="43"/>
      <c r="K3142" s="72">
        <v>25.0</v>
      </c>
      <c r="L3142" s="53" t="s">
        <v>114</v>
      </c>
      <c r="M3142" s="73">
        <v>4500.0</v>
      </c>
      <c r="N3142" s="74"/>
      <c r="O3142" s="73">
        <v>112500.0</v>
      </c>
      <c r="P3142" s="46" t="str">
        <f t="shared" si="2"/>
        <v>Rp4,500-25 PAK-0.00%</v>
      </c>
      <c r="Q3142" s="92">
        <v>45420.0</v>
      </c>
      <c r="R3142" s="76"/>
      <c r="S3142" s="75">
        <v>45426.0</v>
      </c>
      <c r="T3142" s="49" t="s">
        <v>100</v>
      </c>
    </row>
    <row r="3143">
      <c r="A3143" s="90">
        <v>15.0</v>
      </c>
      <c r="B3143" s="91" t="s">
        <v>58</v>
      </c>
      <c r="C3143" s="49" t="s">
        <v>3133</v>
      </c>
      <c r="D3143" s="91"/>
      <c r="E3143" s="41" t="s">
        <v>3157</v>
      </c>
      <c r="F3143" s="49"/>
      <c r="G3143" s="71" t="s">
        <v>3157</v>
      </c>
      <c r="H3143" s="41"/>
      <c r="I3143" s="42"/>
      <c r="J3143" s="43"/>
      <c r="K3143" s="72">
        <v>10.0</v>
      </c>
      <c r="L3143" s="53" t="s">
        <v>114</v>
      </c>
      <c r="M3143" s="73">
        <v>25000.0</v>
      </c>
      <c r="N3143" s="74"/>
      <c r="O3143" s="73">
        <v>250000.0</v>
      </c>
      <c r="P3143" s="46" t="str">
        <f t="shared" si="2"/>
        <v>Rp25,000-10 PAK-0.00%</v>
      </c>
      <c r="Q3143" s="92">
        <v>45420.0</v>
      </c>
      <c r="R3143" s="76"/>
      <c r="S3143" s="75">
        <v>45426.0</v>
      </c>
      <c r="T3143" s="49"/>
    </row>
    <row r="3144">
      <c r="A3144" s="90">
        <v>15.0</v>
      </c>
      <c r="B3144" s="91" t="s">
        <v>58</v>
      </c>
      <c r="C3144" s="49" t="s">
        <v>3133</v>
      </c>
      <c r="D3144" s="91"/>
      <c r="E3144" s="41" t="s">
        <v>3158</v>
      </c>
      <c r="F3144" s="49"/>
      <c r="G3144" s="71" t="s">
        <v>3158</v>
      </c>
      <c r="H3144" s="41"/>
      <c r="I3144" s="42"/>
      <c r="J3144" s="43"/>
      <c r="K3144" s="72">
        <v>10.0</v>
      </c>
      <c r="L3144" s="53" t="s">
        <v>114</v>
      </c>
      <c r="M3144" s="73">
        <v>7000.0</v>
      </c>
      <c r="N3144" s="74"/>
      <c r="O3144" s="73">
        <v>70000.0</v>
      </c>
      <c r="P3144" s="46" t="str">
        <f t="shared" si="2"/>
        <v>Rp7,000-10 PAK-0.00%</v>
      </c>
      <c r="Q3144" s="92">
        <v>45420.0</v>
      </c>
      <c r="R3144" s="76"/>
      <c r="S3144" s="75">
        <v>45426.0</v>
      </c>
      <c r="T3144" s="49"/>
    </row>
    <row r="3145">
      <c r="A3145" s="90">
        <v>15.0</v>
      </c>
      <c r="B3145" s="91" t="s">
        <v>58</v>
      </c>
      <c r="C3145" s="49" t="s">
        <v>3133</v>
      </c>
      <c r="D3145" s="91" t="s">
        <v>3159</v>
      </c>
      <c r="E3145" s="41" t="str">
        <f>IFERROR(__xludf.DUMMYFUNCTION("vlookup(D3145,IMPORTRANGE(""https://docs.google.com/spreadsheets/d/1swGwZOEqYlTEUCJLY-eeJM1911Kvaei5oySBIxdgtNo/edit?pli=1#gid=257618397"",""stock untanna!B:C""),2,false)"),"KERTAS LIPAT ORIGAMI HL 305")</f>
        <v>KERTAS LIPAT ORIGAMI HL 305</v>
      </c>
      <c r="F3145" s="49" t="s">
        <v>3159</v>
      </c>
      <c r="G3145" s="71" t="s">
        <v>3160</v>
      </c>
      <c r="H3145" s="41"/>
      <c r="I3145" s="42"/>
      <c r="J3145" s="43"/>
      <c r="K3145" s="72">
        <v>25.0</v>
      </c>
      <c r="L3145" s="53" t="s">
        <v>114</v>
      </c>
      <c r="M3145" s="73">
        <v>7500.0</v>
      </c>
      <c r="N3145" s="74"/>
      <c r="O3145" s="73">
        <v>187500.0</v>
      </c>
      <c r="P3145" s="46" t="str">
        <f t="shared" si="2"/>
        <v>Rp7,500-25 PAK-0.00%</v>
      </c>
      <c r="Q3145" s="92">
        <v>45420.0</v>
      </c>
      <c r="R3145" s="76"/>
      <c r="S3145" s="75">
        <v>45426.0</v>
      </c>
      <c r="T3145" s="49" t="s">
        <v>100</v>
      </c>
    </row>
    <row r="3146">
      <c r="A3146" s="90">
        <v>15.0</v>
      </c>
      <c r="B3146" s="91" t="s">
        <v>58</v>
      </c>
      <c r="C3146" s="49" t="s">
        <v>3133</v>
      </c>
      <c r="D3146" s="91"/>
      <c r="E3146" s="41" t="s">
        <v>3161</v>
      </c>
      <c r="F3146" s="49"/>
      <c r="G3146" s="71" t="s">
        <v>3161</v>
      </c>
      <c r="H3146" s="41"/>
      <c r="I3146" s="42"/>
      <c r="J3146" s="43"/>
      <c r="K3146" s="72">
        <v>6.0</v>
      </c>
      <c r="L3146" s="53" t="s">
        <v>69</v>
      </c>
      <c r="M3146" s="73">
        <v>22500.0</v>
      </c>
      <c r="N3146" s="74"/>
      <c r="O3146" s="73">
        <v>135000.0</v>
      </c>
      <c r="P3146" s="46" t="str">
        <f t="shared" si="2"/>
        <v>Rp22,500-6 PCS-0.00%</v>
      </c>
      <c r="Q3146" s="92">
        <v>45420.0</v>
      </c>
      <c r="R3146" s="76"/>
      <c r="S3146" s="75">
        <v>45426.0</v>
      </c>
      <c r="T3146" s="49"/>
    </row>
    <row r="3147">
      <c r="A3147" s="90">
        <v>16.0</v>
      </c>
      <c r="B3147" s="91" t="s">
        <v>58</v>
      </c>
      <c r="C3147" s="49" t="s">
        <v>3133</v>
      </c>
      <c r="D3147" s="91"/>
      <c r="E3147" s="41" t="s">
        <v>3162</v>
      </c>
      <c r="F3147" s="49"/>
      <c r="G3147" s="78" t="s">
        <v>3162</v>
      </c>
      <c r="H3147" s="41"/>
      <c r="I3147" s="42"/>
      <c r="J3147" s="43"/>
      <c r="K3147" s="72">
        <v>0.5</v>
      </c>
      <c r="L3147" s="53" t="s">
        <v>62</v>
      </c>
      <c r="M3147" s="73">
        <v>10000.0</v>
      </c>
      <c r="N3147" s="74"/>
      <c r="O3147" s="73">
        <v>5000.0</v>
      </c>
      <c r="P3147" s="46" t="str">
        <f t="shared" si="2"/>
        <v>Rp10,000-0.5 LSN-0.00%</v>
      </c>
      <c r="Q3147" s="92">
        <v>45420.0</v>
      </c>
      <c r="R3147" s="76"/>
      <c r="S3147" s="75">
        <v>45426.0</v>
      </c>
      <c r="T3147" s="80" t="s">
        <v>280</v>
      </c>
    </row>
    <row r="3148">
      <c r="A3148" s="90">
        <v>16.0</v>
      </c>
      <c r="B3148" s="91" t="s">
        <v>58</v>
      </c>
      <c r="C3148" s="49" t="s">
        <v>3133</v>
      </c>
      <c r="D3148" s="91" t="s">
        <v>2236</v>
      </c>
      <c r="E3148" s="41" t="str">
        <f>IFERROR(__xludf.DUMMYFUNCTION("vlookup(D3148,IMPORTRANGE(""https://docs.google.com/spreadsheets/d/1swGwZOEqYlTEUCJLY-eeJM1911Kvaei5oySBIxdgtNo/edit?pli=1#gid=257618397"",""stock untanna!B:C""),2,false)"),"BALON DOF 12'' RI MERAH")</f>
        <v>BALON DOF 12'' RI MERAH</v>
      </c>
      <c r="F3148" s="49" t="s">
        <v>2236</v>
      </c>
      <c r="G3148" s="71" t="s">
        <v>2237</v>
      </c>
      <c r="H3148" s="41"/>
      <c r="I3148" s="42"/>
      <c r="J3148" s="43"/>
      <c r="K3148" s="72">
        <v>5.0</v>
      </c>
      <c r="L3148" s="53" t="s">
        <v>1521</v>
      </c>
      <c r="M3148" s="73">
        <v>45000.0</v>
      </c>
      <c r="N3148" s="74"/>
      <c r="O3148" s="73">
        <v>225000.0</v>
      </c>
      <c r="P3148" s="46" t="str">
        <f t="shared" si="2"/>
        <v>Rp45,000-5 DISP-0.00%</v>
      </c>
      <c r="Q3148" s="92">
        <v>45420.0</v>
      </c>
      <c r="R3148" s="76"/>
      <c r="S3148" s="75">
        <v>45426.0</v>
      </c>
      <c r="T3148" s="49"/>
    </row>
    <row r="3149">
      <c r="A3149" s="90">
        <v>16.0</v>
      </c>
      <c r="B3149" s="91" t="s">
        <v>58</v>
      </c>
      <c r="C3149" s="49" t="s">
        <v>3133</v>
      </c>
      <c r="D3149" s="91" t="s">
        <v>2238</v>
      </c>
      <c r="E3149" s="41" t="str">
        <f>IFERROR(__xludf.DUMMYFUNCTION("vlookup(D3149,IMPORTRANGE(""https://docs.google.com/spreadsheets/d/1swGwZOEqYlTEUCJLY-eeJM1911Kvaei5oySBIxdgtNo/edit?pli=1#gid=257618397"",""stock untanna!B:C""),2,false)"),"BALON DOF 12"" RI PUTIH")</f>
        <v>BALON DOF 12" RI PUTIH</v>
      </c>
      <c r="F3149" s="49" t="s">
        <v>2238</v>
      </c>
      <c r="G3149" s="71" t="s">
        <v>2239</v>
      </c>
      <c r="H3149" s="41"/>
      <c r="I3149" s="42"/>
      <c r="J3149" s="43"/>
      <c r="K3149" s="72">
        <v>5.0</v>
      </c>
      <c r="L3149" s="53" t="s">
        <v>1521</v>
      </c>
      <c r="M3149" s="73">
        <v>45000.0</v>
      </c>
      <c r="N3149" s="74"/>
      <c r="O3149" s="73">
        <v>225000.0</v>
      </c>
      <c r="P3149" s="46" t="str">
        <f t="shared" si="2"/>
        <v>Rp45,000-5 DISP-0.00%</v>
      </c>
      <c r="Q3149" s="92">
        <v>45420.0</v>
      </c>
      <c r="R3149" s="76"/>
      <c r="S3149" s="75">
        <v>45426.0</v>
      </c>
      <c r="T3149" s="49"/>
    </row>
    <row r="3150">
      <c r="A3150" s="90">
        <v>16.0</v>
      </c>
      <c r="B3150" s="91" t="s">
        <v>58</v>
      </c>
      <c r="C3150" s="49" t="s">
        <v>3133</v>
      </c>
      <c r="D3150" s="91"/>
      <c r="E3150" s="41" t="s">
        <v>3163</v>
      </c>
      <c r="F3150" s="49"/>
      <c r="G3150" s="71" t="s">
        <v>3163</v>
      </c>
      <c r="H3150" s="41"/>
      <c r="I3150" s="42"/>
      <c r="J3150" s="43"/>
      <c r="K3150" s="72">
        <v>2.0</v>
      </c>
      <c r="L3150" s="53" t="s">
        <v>62</v>
      </c>
      <c r="M3150" s="73">
        <v>70000.0</v>
      </c>
      <c r="N3150" s="74"/>
      <c r="O3150" s="73">
        <v>140000.0</v>
      </c>
      <c r="P3150" s="46" t="str">
        <f t="shared" si="2"/>
        <v>Rp70,000-2 LSN-0.00%</v>
      </c>
      <c r="Q3150" s="92">
        <v>45420.0</v>
      </c>
      <c r="R3150" s="76"/>
      <c r="S3150" s="75">
        <v>45426.0</v>
      </c>
      <c r="T3150" s="49"/>
    </row>
    <row r="3151">
      <c r="A3151" s="90">
        <v>16.0</v>
      </c>
      <c r="B3151" s="91" t="s">
        <v>58</v>
      </c>
      <c r="C3151" s="49" t="s">
        <v>3133</v>
      </c>
      <c r="D3151" s="91"/>
      <c r="E3151" s="41" t="s">
        <v>3164</v>
      </c>
      <c r="F3151" s="49"/>
      <c r="G3151" s="71" t="s">
        <v>3164</v>
      </c>
      <c r="H3151" s="41"/>
      <c r="I3151" s="42"/>
      <c r="J3151" s="43"/>
      <c r="K3151" s="72">
        <v>1.0</v>
      </c>
      <c r="L3151" s="53" t="s">
        <v>62</v>
      </c>
      <c r="M3151" s="73">
        <v>55000.0</v>
      </c>
      <c r="N3151" s="74"/>
      <c r="O3151" s="73">
        <v>55000.0</v>
      </c>
      <c r="P3151" s="46" t="str">
        <f t="shared" si="2"/>
        <v>Rp55,000-1 LSN-0.00%</v>
      </c>
      <c r="Q3151" s="92">
        <v>45420.0</v>
      </c>
      <c r="R3151" s="76"/>
      <c r="S3151" s="75">
        <v>45426.0</v>
      </c>
      <c r="T3151" s="49"/>
    </row>
    <row r="3152">
      <c r="A3152" s="90">
        <v>16.0</v>
      </c>
      <c r="B3152" s="91" t="s">
        <v>58</v>
      </c>
      <c r="C3152" s="49" t="s">
        <v>3133</v>
      </c>
      <c r="D3152" s="91"/>
      <c r="E3152" s="41" t="s">
        <v>3165</v>
      </c>
      <c r="F3152" s="49"/>
      <c r="G3152" s="71" t="s">
        <v>3165</v>
      </c>
      <c r="H3152" s="41"/>
      <c r="I3152" s="42"/>
      <c r="J3152" s="43"/>
      <c r="K3152" s="72">
        <v>1.0</v>
      </c>
      <c r="L3152" s="53" t="s">
        <v>62</v>
      </c>
      <c r="M3152" s="73">
        <v>90000.0</v>
      </c>
      <c r="N3152" s="74"/>
      <c r="O3152" s="73">
        <v>90000.0</v>
      </c>
      <c r="P3152" s="46" t="str">
        <f t="shared" si="2"/>
        <v>Rp90,000-1 LSN-0.00%</v>
      </c>
      <c r="Q3152" s="92">
        <v>45420.0</v>
      </c>
      <c r="R3152" s="76"/>
      <c r="S3152" s="75">
        <v>45426.0</v>
      </c>
      <c r="T3152" s="49"/>
    </row>
    <row r="3153">
      <c r="A3153" s="90">
        <v>16.0</v>
      </c>
      <c r="B3153" s="91" t="s">
        <v>58</v>
      </c>
      <c r="C3153" s="49" t="s">
        <v>3133</v>
      </c>
      <c r="D3153" s="91"/>
      <c r="E3153" s="41" t="s">
        <v>3166</v>
      </c>
      <c r="F3153" s="49"/>
      <c r="G3153" s="71" t="s">
        <v>3166</v>
      </c>
      <c r="H3153" s="41"/>
      <c r="I3153" s="42"/>
      <c r="J3153" s="43"/>
      <c r="K3153" s="72">
        <v>1.0</v>
      </c>
      <c r="L3153" s="53" t="s">
        <v>62</v>
      </c>
      <c r="M3153" s="73">
        <v>100000.0</v>
      </c>
      <c r="N3153" s="74"/>
      <c r="O3153" s="73">
        <v>100000.0</v>
      </c>
      <c r="P3153" s="46" t="str">
        <f t="shared" si="2"/>
        <v>Rp100,000-1 LSN-0.00%</v>
      </c>
      <c r="Q3153" s="92">
        <v>45420.0</v>
      </c>
      <c r="R3153" s="76"/>
      <c r="S3153" s="75">
        <v>45426.0</v>
      </c>
      <c r="T3153" s="49"/>
    </row>
    <row r="3154">
      <c r="A3154" s="90">
        <v>16.0</v>
      </c>
      <c r="B3154" s="91" t="s">
        <v>58</v>
      </c>
      <c r="C3154" s="49" t="s">
        <v>3133</v>
      </c>
      <c r="D3154" s="91" t="s">
        <v>651</v>
      </c>
      <c r="E3154" s="41" t="str">
        <f>IFERROR(__xludf.DUMMYFUNCTION("vlookup(D3154,IMPORTRANGE(""https://docs.google.com/spreadsheets/d/1swGwZOEqYlTEUCJLY-eeJM1911Kvaei5oySBIxdgtNo/edit?pli=1#gid=257618397"",""stock untanna!B:C""),2,false)"),"TAS TALI GG-02 TANGGUNG GILAP")</f>
        <v>TAS TALI GG-02 TANGGUNG GILAP</v>
      </c>
      <c r="F3154" s="49" t="s">
        <v>651</v>
      </c>
      <c r="G3154" s="71" t="s">
        <v>652</v>
      </c>
      <c r="H3154" s="41"/>
      <c r="I3154" s="42"/>
      <c r="J3154" s="43"/>
      <c r="K3154" s="72">
        <v>1.0</v>
      </c>
      <c r="L3154" s="53" t="s">
        <v>62</v>
      </c>
      <c r="M3154" s="73">
        <v>100000.0</v>
      </c>
      <c r="N3154" s="74"/>
      <c r="O3154" s="73">
        <v>100000.0</v>
      </c>
      <c r="P3154" s="46" t="str">
        <f t="shared" si="2"/>
        <v>Rp100,000-1 LSN-0.00%</v>
      </c>
      <c r="Q3154" s="92">
        <v>45420.0</v>
      </c>
      <c r="R3154" s="76"/>
      <c r="S3154" s="75">
        <v>45426.0</v>
      </c>
      <c r="T3154" s="49"/>
    </row>
    <row r="3155">
      <c r="A3155" s="90">
        <v>16.0</v>
      </c>
      <c r="B3155" s="91" t="s">
        <v>58</v>
      </c>
      <c r="C3155" s="49" t="s">
        <v>3133</v>
      </c>
      <c r="D3155" s="91" t="s">
        <v>653</v>
      </c>
      <c r="E3155" s="41" t="str">
        <f>IFERROR(__xludf.DUMMYFUNCTION("vlookup(D3155,IMPORTRANGE(""https://docs.google.com/spreadsheets/d/1swGwZOEqYlTEUCJLY-eeJM1911Kvaei5oySBIxdgtNo/edit?pli=1#gid=257618397"",""stock untanna!B:C""),2,false)"),"TAS TALI GG-03 BESAR GILAP")</f>
        <v>TAS TALI GG-03 BESAR GILAP</v>
      </c>
      <c r="F3155" s="49" t="s">
        <v>653</v>
      </c>
      <c r="G3155" s="71" t="s">
        <v>654</v>
      </c>
      <c r="H3155" s="41"/>
      <c r="I3155" s="42"/>
      <c r="J3155" s="43"/>
      <c r="K3155" s="72">
        <v>1.0</v>
      </c>
      <c r="L3155" s="53" t="s">
        <v>62</v>
      </c>
      <c r="M3155" s="73">
        <v>120000.0</v>
      </c>
      <c r="N3155" s="74"/>
      <c r="O3155" s="73">
        <v>120000.0</v>
      </c>
      <c r="P3155" s="46" t="str">
        <f t="shared" si="2"/>
        <v>Rp120,000-1 LSN-0.00%</v>
      </c>
      <c r="Q3155" s="92">
        <v>45420.0</v>
      </c>
      <c r="R3155" s="76"/>
      <c r="S3155" s="75">
        <v>45426.0</v>
      </c>
      <c r="T3155" s="49"/>
    </row>
    <row r="3156">
      <c r="A3156" s="90">
        <v>16.0</v>
      </c>
      <c r="B3156" s="91" t="s">
        <v>58</v>
      </c>
      <c r="C3156" s="49" t="s">
        <v>3133</v>
      </c>
      <c r="D3156" s="91" t="s">
        <v>3167</v>
      </c>
      <c r="E3156" s="41" t="str">
        <f>IFERROR(__xludf.DUMMYFUNCTION("vlookup(D3156,IMPORTRANGE(""https://docs.google.com/spreadsheets/d/1swGwZOEqYlTEUCJLY-eeJM1911Kvaei5oySBIxdgtNo/edit?pli=1#gid=257618397"",""stock untanna!B:C""),2,false)"),"TAS TALI GG-01 KECIL GLITTER")</f>
        <v>TAS TALI GG-01 KECIL GLITTER</v>
      </c>
      <c r="F3156" s="49" t="s">
        <v>3167</v>
      </c>
      <c r="G3156" s="71" t="s">
        <v>3168</v>
      </c>
      <c r="H3156" s="41"/>
      <c r="I3156" s="42"/>
      <c r="J3156" s="43"/>
      <c r="K3156" s="72">
        <v>1.0</v>
      </c>
      <c r="L3156" s="53" t="s">
        <v>62</v>
      </c>
      <c r="M3156" s="73">
        <v>65000.0</v>
      </c>
      <c r="N3156" s="74"/>
      <c r="O3156" s="73">
        <v>65000.0</v>
      </c>
      <c r="P3156" s="46" t="str">
        <f t="shared" si="2"/>
        <v>Rp65,000-1 LSN-0.00%</v>
      </c>
      <c r="Q3156" s="92">
        <v>45420.0</v>
      </c>
      <c r="R3156" s="76"/>
      <c r="S3156" s="75">
        <v>45426.0</v>
      </c>
      <c r="T3156" s="49"/>
    </row>
    <row r="3157">
      <c r="A3157" s="90">
        <v>16.0</v>
      </c>
      <c r="B3157" s="91" t="s">
        <v>58</v>
      </c>
      <c r="C3157" s="49" t="s">
        <v>3133</v>
      </c>
      <c r="D3157" s="91" t="s">
        <v>1530</v>
      </c>
      <c r="E3157" s="41" t="str">
        <f>IFERROR(__xludf.DUMMYFUNCTION("vlookup(D3157,IMPORTRANGE(""https://docs.google.com/spreadsheets/d/1swGwZOEqYlTEUCJLY-eeJM1911Kvaei5oySBIxdgtNo/edit?pli=1#gid=257618397"",""stock untanna!B:C""),2,false)"),"TAS TALI GG-02 TANGGUNG GLITTER")</f>
        <v>TAS TALI GG-02 TANGGUNG GLITTER</v>
      </c>
      <c r="F3157" s="49" t="s">
        <v>1530</v>
      </c>
      <c r="G3157" s="71" t="s">
        <v>1531</v>
      </c>
      <c r="H3157" s="41"/>
      <c r="I3157" s="42"/>
      <c r="J3157" s="43"/>
      <c r="K3157" s="72">
        <v>1.0</v>
      </c>
      <c r="L3157" s="53" t="s">
        <v>62</v>
      </c>
      <c r="M3157" s="73">
        <v>105000.0</v>
      </c>
      <c r="N3157" s="74"/>
      <c r="O3157" s="73">
        <v>105000.0</v>
      </c>
      <c r="P3157" s="46" t="str">
        <f t="shared" si="2"/>
        <v>Rp105,000-1 LSN-0.00%</v>
      </c>
      <c r="Q3157" s="92">
        <v>45420.0</v>
      </c>
      <c r="R3157" s="76"/>
      <c r="S3157" s="75">
        <v>45426.0</v>
      </c>
      <c r="T3157" s="49"/>
    </row>
    <row r="3158">
      <c r="A3158" s="90">
        <v>16.0</v>
      </c>
      <c r="B3158" s="91" t="s">
        <v>58</v>
      </c>
      <c r="C3158" s="49" t="s">
        <v>3133</v>
      </c>
      <c r="D3158" s="91" t="s">
        <v>218</v>
      </c>
      <c r="E3158" s="41" t="str">
        <f>IFERROR(__xludf.DUMMYFUNCTION("vlookup(D3158,IMPORTRANGE(""https://docs.google.com/spreadsheets/d/1swGwZOEqYlTEUCJLY-eeJM1911Kvaei5oySBIxdgtNo/edit?pli=1#gid=257618397"",""stock untanna!B:C""),2,false)"),"TAS TALI GG-03 BESAR GLITTER")</f>
        <v>TAS TALI GG-03 BESAR GLITTER</v>
      </c>
      <c r="F3158" s="49" t="s">
        <v>218</v>
      </c>
      <c r="G3158" s="71" t="s">
        <v>219</v>
      </c>
      <c r="H3158" s="41"/>
      <c r="I3158" s="42"/>
      <c r="J3158" s="43"/>
      <c r="K3158" s="72">
        <v>1.0</v>
      </c>
      <c r="L3158" s="53" t="s">
        <v>62</v>
      </c>
      <c r="M3158" s="73">
        <v>135000.0</v>
      </c>
      <c r="N3158" s="74"/>
      <c r="O3158" s="73">
        <v>135000.0</v>
      </c>
      <c r="P3158" s="46" t="str">
        <f t="shared" si="2"/>
        <v>Rp135,000-1 LSN-0.00%</v>
      </c>
      <c r="Q3158" s="92">
        <v>45420.0</v>
      </c>
      <c r="R3158" s="76"/>
      <c r="S3158" s="75">
        <v>45426.0</v>
      </c>
      <c r="T3158" s="49"/>
    </row>
    <row r="3159">
      <c r="A3159" s="90">
        <v>16.0</v>
      </c>
      <c r="B3159" s="91" t="s">
        <v>58</v>
      </c>
      <c r="C3159" s="49" t="s">
        <v>3133</v>
      </c>
      <c r="D3159" s="91" t="s">
        <v>249</v>
      </c>
      <c r="E3159" s="41" t="str">
        <f>IFERROR(__xludf.DUMMYFUNCTION("vlookup(D3159,IMPORTRANGE(""https://docs.google.com/spreadsheets/d/1swGwZOEqYlTEUCJLY-eeJM1911Kvaei5oySBIxdgtNo/edit?pli=1#gid=257618397"",""stock untanna!B:C""),2,false)"),"TAS TUTUP PITA KADO FG-101 KECIL")</f>
        <v>TAS TUTUP PITA KADO FG-101 KECIL</v>
      </c>
      <c r="F3159" s="49" t="s">
        <v>249</v>
      </c>
      <c r="G3159" s="71" t="s">
        <v>250</v>
      </c>
      <c r="H3159" s="41"/>
      <c r="I3159" s="42"/>
      <c r="J3159" s="43"/>
      <c r="K3159" s="72">
        <v>1.0</v>
      </c>
      <c r="L3159" s="53" t="s">
        <v>62</v>
      </c>
      <c r="M3159" s="73">
        <v>57500.0</v>
      </c>
      <c r="N3159" s="74"/>
      <c r="O3159" s="73">
        <v>57500.0</v>
      </c>
      <c r="P3159" s="46" t="str">
        <f t="shared" si="2"/>
        <v>Rp57,500-1 LSN-0.00%</v>
      </c>
      <c r="Q3159" s="92">
        <v>45420.0</v>
      </c>
      <c r="R3159" s="76"/>
      <c r="S3159" s="75">
        <v>45426.0</v>
      </c>
      <c r="T3159" s="49"/>
    </row>
    <row r="3160">
      <c r="A3160" s="90">
        <v>16.0</v>
      </c>
      <c r="B3160" s="91" t="s">
        <v>58</v>
      </c>
      <c r="C3160" s="49" t="s">
        <v>3133</v>
      </c>
      <c r="D3160" s="91" t="s">
        <v>247</v>
      </c>
      <c r="E3160" s="41" t="str">
        <f>IFERROR(__xludf.DUMMYFUNCTION("vlookup(D3160,IMPORTRANGE(""https://docs.google.com/spreadsheets/d/1swGwZOEqYlTEUCJLY-eeJM1911Kvaei5oySBIxdgtNo/edit?pli=1#gid=257618397"",""stock untanna!B:C""),2,false)"),"TAS TUTUP PITA KADO FG-201 TANGGUNG")</f>
        <v>TAS TUTUP PITA KADO FG-201 TANGGUNG</v>
      </c>
      <c r="F3160" s="49" t="s">
        <v>247</v>
      </c>
      <c r="G3160" s="78" t="s">
        <v>248</v>
      </c>
      <c r="H3160" s="41"/>
      <c r="I3160" s="42"/>
      <c r="J3160" s="43"/>
      <c r="K3160" s="72">
        <v>1.0</v>
      </c>
      <c r="L3160" s="53" t="s">
        <v>62</v>
      </c>
      <c r="M3160" s="73">
        <v>95000.0</v>
      </c>
      <c r="N3160" s="74"/>
      <c r="O3160" s="73">
        <v>95000.0</v>
      </c>
      <c r="P3160" s="46" t="str">
        <f t="shared" si="2"/>
        <v>Rp95,000-1 LSN-0.00%</v>
      </c>
      <c r="Q3160" s="92">
        <v>45420.0</v>
      </c>
      <c r="R3160" s="76"/>
      <c r="S3160" s="75">
        <v>45426.0</v>
      </c>
      <c r="T3160" s="49"/>
    </row>
    <row r="3161">
      <c r="A3161" s="90">
        <v>16.0</v>
      </c>
      <c r="B3161" s="91" t="s">
        <v>58</v>
      </c>
      <c r="C3161" s="49" t="s">
        <v>3133</v>
      </c>
      <c r="D3161" s="91" t="s">
        <v>251</v>
      </c>
      <c r="E3161" s="41" t="str">
        <f>IFERROR(__xludf.DUMMYFUNCTION("vlookup(D3161,IMPORTRANGE(""https://docs.google.com/spreadsheets/d/1swGwZOEqYlTEUCJLY-eeJM1911Kvaei5oySBIxdgtNo/edit?pli=1#gid=257618397"",""stock untanna!B:C""),2,false)"),"TAS TUTUP PITA KADO FG-401 JUMBO")</f>
        <v>TAS TUTUP PITA KADO FG-401 JUMBO</v>
      </c>
      <c r="F3161" s="49" t="s">
        <v>251</v>
      </c>
      <c r="G3161" s="71" t="s">
        <v>252</v>
      </c>
      <c r="H3161" s="41"/>
      <c r="I3161" s="42"/>
      <c r="J3161" s="43"/>
      <c r="K3161" s="72">
        <v>1.0</v>
      </c>
      <c r="L3161" s="53" t="s">
        <v>62</v>
      </c>
      <c r="M3161" s="73">
        <v>150000.0</v>
      </c>
      <c r="N3161" s="74"/>
      <c r="O3161" s="73">
        <v>150000.0</v>
      </c>
      <c r="P3161" s="46" t="str">
        <f t="shared" si="2"/>
        <v>Rp150,000-1 LSN-0.00%</v>
      </c>
      <c r="Q3161" s="92">
        <v>45420.0</v>
      </c>
      <c r="R3161" s="76"/>
      <c r="S3161" s="75">
        <v>45426.0</v>
      </c>
      <c r="T3161" s="49"/>
    </row>
    <row r="3162">
      <c r="A3162" s="90">
        <v>16.0</v>
      </c>
      <c r="B3162" s="91" t="s">
        <v>58</v>
      </c>
      <c r="C3162" s="49" t="s">
        <v>3133</v>
      </c>
      <c r="D3162" s="77" t="s">
        <v>3169</v>
      </c>
      <c r="E3162" s="41" t="str">
        <f>IFERROR(__xludf.DUMMYFUNCTION("vlookup(D3162,IMPORTRANGE(""https://docs.google.com/spreadsheets/d/1swGwZOEqYlTEUCJLY-eeJM1911Kvaei5oySBIxdgtNo/edit?pli=1#gid=257618397"",""stock untanna!B:C""),2,false)"),"GARISAN BUSUR 180/ 10CM NEW")</f>
        <v>GARISAN BUSUR 180/ 10CM NEW</v>
      </c>
      <c r="F3162" s="49" t="s">
        <v>3170</v>
      </c>
      <c r="G3162" s="71" t="s">
        <v>3171</v>
      </c>
      <c r="H3162" s="41"/>
      <c r="I3162" s="42"/>
      <c r="J3162" s="43"/>
      <c r="K3162" s="72">
        <v>3.0</v>
      </c>
      <c r="L3162" s="53" t="s">
        <v>62</v>
      </c>
      <c r="M3162" s="73">
        <v>14500.0</v>
      </c>
      <c r="N3162" s="74"/>
      <c r="O3162" s="73">
        <v>43500.0</v>
      </c>
      <c r="P3162" s="46" t="str">
        <f t="shared" si="2"/>
        <v>Rp14,500-3 LSN-0.00%</v>
      </c>
      <c r="Q3162" s="92">
        <v>45420.0</v>
      </c>
      <c r="R3162" s="76"/>
      <c r="S3162" s="75">
        <v>45426.0</v>
      </c>
      <c r="T3162" s="49"/>
    </row>
    <row r="3163">
      <c r="A3163" s="90">
        <v>17.0</v>
      </c>
      <c r="B3163" s="91" t="s">
        <v>58</v>
      </c>
      <c r="C3163" s="49" t="s">
        <v>3133</v>
      </c>
      <c r="D3163" s="91" t="s">
        <v>86</v>
      </c>
      <c r="E3163" s="41" t="str">
        <f>IFERROR(__xludf.DUMMYFUNCTION("vlookup(D3163,IMPORTRANGE(""https://docs.google.com/spreadsheets/d/1swGwZOEqYlTEUCJLY-eeJM1911Kvaei5oySBIxdgtNo/edit?pli=1#gid=257618397"",""stock untanna!B:C""),2,false)"),"ISI GEL PEN DTIAN GR-088 (ISI 6 PCS TABUNG)")</f>
        <v>ISI GEL PEN DTIAN GR-088 (ISI 6 PCS TABUNG)</v>
      </c>
      <c r="F3163" s="49" t="s">
        <v>86</v>
      </c>
      <c r="G3163" s="71" t="s">
        <v>87</v>
      </c>
      <c r="H3163" s="41"/>
      <c r="I3163" s="42"/>
      <c r="J3163" s="43"/>
      <c r="K3163" s="72">
        <v>2.0</v>
      </c>
      <c r="L3163" s="53" t="s">
        <v>88</v>
      </c>
      <c r="M3163" s="73">
        <v>102000.0</v>
      </c>
      <c r="N3163" s="74"/>
      <c r="O3163" s="73">
        <v>204000.0</v>
      </c>
      <c r="P3163" s="46" t="str">
        <f t="shared" si="2"/>
        <v>Rp102,000-2 BOX-0.00%</v>
      </c>
      <c r="Q3163" s="92">
        <v>45420.0</v>
      </c>
      <c r="R3163" s="76"/>
      <c r="S3163" s="75">
        <v>45426.0</v>
      </c>
      <c r="T3163" s="49"/>
    </row>
    <row r="3164">
      <c r="A3164" s="90">
        <v>17.0</v>
      </c>
      <c r="B3164" s="91" t="s">
        <v>58</v>
      </c>
      <c r="C3164" s="49" t="s">
        <v>3133</v>
      </c>
      <c r="D3164" s="77" t="s">
        <v>2870</v>
      </c>
      <c r="E3164" s="41" t="str">
        <f>IFERROR(__xludf.DUMMYFUNCTION("IFNA(vlookup(D3164,IMPORTRANGE(""https://docs.google.com/spreadsheets/d/1swGwZOEqYlTEUCJLY-eeJM1911Kvaei5oySBIxdgtNo/edit?pli=1#gid=257618397"",""stock untanna!B:C""),2,false),V:V)"),"ISI GELL RETRACT DB GR-900")</f>
        <v>ISI GELL RETRACT DB GR-900</v>
      </c>
      <c r="F3164" s="49"/>
      <c r="G3164" s="71" t="s">
        <v>2871</v>
      </c>
      <c r="H3164" s="41"/>
      <c r="I3164" s="42"/>
      <c r="J3164" s="43" t="str">
        <f>IF(D3164="","TIDAK ADA","ADA")</f>
        <v>ADA</v>
      </c>
      <c r="K3164" s="72">
        <v>3.0</v>
      </c>
      <c r="L3164" s="53" t="s">
        <v>88</v>
      </c>
      <c r="M3164" s="73">
        <v>27500.0</v>
      </c>
      <c r="N3164" s="74"/>
      <c r="O3164" s="73">
        <v>82500.0</v>
      </c>
      <c r="P3164" s="46" t="str">
        <f t="shared" si="2"/>
        <v>Rp27,500-3 BOX-0.00%</v>
      </c>
      <c r="Q3164" s="92">
        <v>45420.0</v>
      </c>
      <c r="R3164" s="76"/>
      <c r="S3164" s="75">
        <v>45426.0</v>
      </c>
      <c r="T3164" s="80" t="s">
        <v>280</v>
      </c>
    </row>
    <row r="3165">
      <c r="A3165" s="90">
        <v>17.0</v>
      </c>
      <c r="B3165" s="91" t="s">
        <v>58</v>
      </c>
      <c r="C3165" s="49" t="s">
        <v>3133</v>
      </c>
      <c r="D3165" s="91"/>
      <c r="E3165" s="41" t="s">
        <v>3172</v>
      </c>
      <c r="F3165" s="49"/>
      <c r="G3165" s="71" t="s">
        <v>3172</v>
      </c>
      <c r="H3165" s="41"/>
      <c r="I3165" s="42"/>
      <c r="J3165" s="43"/>
      <c r="K3165" s="72">
        <v>3.0</v>
      </c>
      <c r="L3165" s="53" t="s">
        <v>62</v>
      </c>
      <c r="M3165" s="73">
        <v>15500.0</v>
      </c>
      <c r="N3165" s="74"/>
      <c r="O3165" s="73">
        <v>46500.0</v>
      </c>
      <c r="P3165" s="46" t="str">
        <f t="shared" si="2"/>
        <v>Rp15,500-3 LSN-0.00%</v>
      </c>
      <c r="Q3165" s="92">
        <v>45420.0</v>
      </c>
      <c r="R3165" s="76"/>
      <c r="S3165" s="75">
        <v>45426.0</v>
      </c>
      <c r="T3165" s="49"/>
    </row>
    <row r="3166">
      <c r="A3166" s="90">
        <v>17.0</v>
      </c>
      <c r="B3166" s="91" t="s">
        <v>58</v>
      </c>
      <c r="C3166" s="49" t="s">
        <v>3133</v>
      </c>
      <c r="D3166" s="91"/>
      <c r="E3166" s="41" t="s">
        <v>983</v>
      </c>
      <c r="F3166" s="49"/>
      <c r="G3166" s="71" t="s">
        <v>983</v>
      </c>
      <c r="H3166" s="41"/>
      <c r="I3166" s="42"/>
      <c r="J3166" s="43"/>
      <c r="K3166" s="72">
        <v>1.0</v>
      </c>
      <c r="L3166" s="53" t="s">
        <v>88</v>
      </c>
      <c r="M3166" s="73">
        <v>62500.0</v>
      </c>
      <c r="N3166" s="74"/>
      <c r="O3166" s="73">
        <v>62500.0</v>
      </c>
      <c r="P3166" s="46" t="str">
        <f t="shared" si="2"/>
        <v>Rp62,500-1 BOX-0.00%</v>
      </c>
      <c r="Q3166" s="92">
        <v>45420.0</v>
      </c>
      <c r="R3166" s="76"/>
      <c r="S3166" s="75">
        <v>45426.0</v>
      </c>
      <c r="T3166" s="80" t="s">
        <v>280</v>
      </c>
    </row>
    <row r="3167">
      <c r="A3167" s="90">
        <v>17.0</v>
      </c>
      <c r="B3167" s="91" t="s">
        <v>58</v>
      </c>
      <c r="C3167" s="49" t="s">
        <v>3133</v>
      </c>
      <c r="D3167" s="91"/>
      <c r="E3167" s="41" t="s">
        <v>3173</v>
      </c>
      <c r="F3167" s="49"/>
      <c r="G3167" s="71" t="s">
        <v>3173</v>
      </c>
      <c r="H3167" s="41"/>
      <c r="I3167" s="42"/>
      <c r="J3167" s="43"/>
      <c r="K3167" s="72">
        <v>1.0</v>
      </c>
      <c r="L3167" s="53" t="s">
        <v>88</v>
      </c>
      <c r="M3167" s="73">
        <v>50000.0</v>
      </c>
      <c r="N3167" s="74"/>
      <c r="O3167" s="73">
        <v>50000.0</v>
      </c>
      <c r="P3167" s="46" t="str">
        <f t="shared" si="2"/>
        <v>Rp50,000-1 BOX-0.00%</v>
      </c>
      <c r="Q3167" s="92">
        <v>45420.0</v>
      </c>
      <c r="R3167" s="76"/>
      <c r="S3167" s="75">
        <v>45426.0</v>
      </c>
      <c r="T3167" s="80" t="s">
        <v>280</v>
      </c>
    </row>
    <row r="3168">
      <c r="A3168" s="90">
        <v>17.0</v>
      </c>
      <c r="B3168" s="91" t="s">
        <v>58</v>
      </c>
      <c r="C3168" s="49" t="s">
        <v>3133</v>
      </c>
      <c r="D3168" s="91"/>
      <c r="E3168" s="41" t="s">
        <v>3174</v>
      </c>
      <c r="F3168" s="49"/>
      <c r="G3168" s="71" t="s">
        <v>3174</v>
      </c>
      <c r="H3168" s="41"/>
      <c r="I3168" s="42"/>
      <c r="J3168" s="43"/>
      <c r="K3168" s="72">
        <v>1.0</v>
      </c>
      <c r="L3168" s="53" t="s">
        <v>88</v>
      </c>
      <c r="M3168" s="73">
        <v>252000.0</v>
      </c>
      <c r="N3168" s="74"/>
      <c r="O3168" s="73">
        <v>252000.0</v>
      </c>
      <c r="P3168" s="46" t="str">
        <f t="shared" si="2"/>
        <v>Rp252,000-1 BOX-0.00%</v>
      </c>
      <c r="Q3168" s="92">
        <v>45420.0</v>
      </c>
      <c r="R3168" s="76"/>
      <c r="S3168" s="75">
        <v>45426.0</v>
      </c>
      <c r="T3168" s="49"/>
    </row>
    <row r="3169">
      <c r="A3169" s="90">
        <v>17.0</v>
      </c>
      <c r="B3169" s="91" t="s">
        <v>58</v>
      </c>
      <c r="C3169" s="49" t="s">
        <v>3133</v>
      </c>
      <c r="D3169" s="91" t="s">
        <v>1764</v>
      </c>
      <c r="E3169" s="41" t="str">
        <f>IFERROR(__xludf.DUMMYFUNCTION("vlookup(D3169,IMPORTRANGE(""https://docs.google.com/spreadsheets/d/1swGwZOEqYlTEUCJLY-eeJM1911Kvaei5oySBIxdgtNo/edit?pli=1#gid=257618397"",""stock untanna!B:C""),2,false)"),"PW VANCO 12W PJG ZOO")</f>
        <v>PW VANCO 12W PJG ZOO</v>
      </c>
      <c r="F3169" s="49" t="s">
        <v>1764</v>
      </c>
      <c r="G3169" s="71" t="s">
        <v>1765</v>
      </c>
      <c r="H3169" s="41"/>
      <c r="I3169" s="42"/>
      <c r="J3169" s="43"/>
      <c r="K3169" s="72">
        <v>12.0</v>
      </c>
      <c r="L3169" s="53" t="s">
        <v>69</v>
      </c>
      <c r="M3169" s="73">
        <v>7500.0</v>
      </c>
      <c r="N3169" s="74"/>
      <c r="O3169" s="73">
        <v>90000.0</v>
      </c>
      <c r="P3169" s="46" t="str">
        <f t="shared" si="2"/>
        <v>Rp7,500-12 PCS-0.00%</v>
      </c>
      <c r="Q3169" s="92">
        <v>45420.0</v>
      </c>
      <c r="R3169" s="76"/>
      <c r="S3169" s="75">
        <v>45426.0</v>
      </c>
      <c r="T3169" s="49"/>
    </row>
    <row r="3170">
      <c r="A3170" s="90">
        <v>17.0</v>
      </c>
      <c r="B3170" s="91" t="s">
        <v>58</v>
      </c>
      <c r="C3170" s="49" t="s">
        <v>3133</v>
      </c>
      <c r="D3170" s="91" t="s">
        <v>3175</v>
      </c>
      <c r="E3170" s="41" t="str">
        <f>IFERROR(__xludf.DUMMYFUNCTION("vlookup(D3170,IMPORTRANGE(""https://docs.google.com/spreadsheets/d/1swGwZOEqYlTEUCJLY-eeJM1911Kvaei5oySBIxdgtNo/edit?pli=1#gid=257618397"",""stock untanna!B:C""),2,false)"),"GUNTING SISTER MFM")</f>
        <v>GUNTING SISTER MFM</v>
      </c>
      <c r="F3170" s="49" t="s">
        <v>3175</v>
      </c>
      <c r="G3170" s="71" t="s">
        <v>3176</v>
      </c>
      <c r="H3170" s="41"/>
      <c r="I3170" s="42"/>
      <c r="J3170" s="43"/>
      <c r="K3170" s="72">
        <v>2.0</v>
      </c>
      <c r="L3170" s="53" t="s">
        <v>62</v>
      </c>
      <c r="M3170" s="73">
        <v>57500.0</v>
      </c>
      <c r="N3170" s="74"/>
      <c r="O3170" s="73">
        <v>115000.0</v>
      </c>
      <c r="P3170" s="46" t="str">
        <f t="shared" si="2"/>
        <v>Rp57,500-2 LSN-0.00%</v>
      </c>
      <c r="Q3170" s="92">
        <v>45420.0</v>
      </c>
      <c r="R3170" s="76"/>
      <c r="S3170" s="75">
        <v>45426.0</v>
      </c>
      <c r="T3170" s="49"/>
    </row>
    <row r="3171">
      <c r="A3171" s="90">
        <v>17.0</v>
      </c>
      <c r="B3171" s="91" t="s">
        <v>58</v>
      </c>
      <c r="C3171" s="49" t="s">
        <v>3133</v>
      </c>
      <c r="D3171" s="91" t="s">
        <v>3177</v>
      </c>
      <c r="E3171" s="41" t="str">
        <f>IFERROR(__xludf.DUMMYFUNCTION("vlookup(D3171,IMPORTRANGE(""https://docs.google.com/spreadsheets/d/1swGwZOEqYlTEUCJLY-eeJM1911Kvaei5oySBIxdgtNo/edit?pli=1#gid=257618397"",""stock untanna!B:C""),2,false)"),"GUNTING SISTER MFL ")</f>
        <v>GUNTING SISTER MFL </v>
      </c>
      <c r="F3171" s="49" t="s">
        <v>3177</v>
      </c>
      <c r="G3171" s="71" t="s">
        <v>3178</v>
      </c>
      <c r="H3171" s="41"/>
      <c r="I3171" s="42"/>
      <c r="J3171" s="43"/>
      <c r="K3171" s="72">
        <v>2.0</v>
      </c>
      <c r="L3171" s="53" t="s">
        <v>62</v>
      </c>
      <c r="M3171" s="73">
        <v>63800.0</v>
      </c>
      <c r="N3171" s="74"/>
      <c r="O3171" s="73">
        <v>127600.0</v>
      </c>
      <c r="P3171" s="46" t="str">
        <f t="shared" si="2"/>
        <v>Rp63,800-2 LSN-0.00%</v>
      </c>
      <c r="Q3171" s="92">
        <v>45420.0</v>
      </c>
      <c r="R3171" s="76"/>
      <c r="S3171" s="75">
        <v>45426.0</v>
      </c>
      <c r="T3171" s="49"/>
    </row>
    <row r="3172">
      <c r="A3172" s="90">
        <v>17.0</v>
      </c>
      <c r="B3172" s="91" t="s">
        <v>58</v>
      </c>
      <c r="C3172" s="49" t="s">
        <v>3133</v>
      </c>
      <c r="D3172" s="77" t="s">
        <v>2016</v>
      </c>
      <c r="E3172" s="41" t="str">
        <f>IFERROR(__xludf.DUMMYFUNCTION("IFNA(vlookup(D3172,IMPORTRANGE(""https://docs.google.com/spreadsheets/d/1swGwZOEqYlTEUCJLY-eeJM1911Kvaei5oySBIxdgtNo/edit?pli=1#gid=257618397"",""stock untanna!B:C""),2,false),V:V)"),"PENSIL CHUNG HWA 6161 2B")</f>
        <v>PENSIL CHUNG HWA 6161 2B</v>
      </c>
      <c r="F3172" s="49"/>
      <c r="G3172" s="71" t="s">
        <v>2017</v>
      </c>
      <c r="H3172" s="41"/>
      <c r="I3172" s="42"/>
      <c r="J3172" s="43" t="str">
        <f t="shared" ref="J3172:J3174" si="9">IF(D3172="","TIDAK ADA","ADA")</f>
        <v>ADA</v>
      </c>
      <c r="K3172" s="72">
        <v>1.0</v>
      </c>
      <c r="L3172" s="53" t="s">
        <v>131</v>
      </c>
      <c r="M3172" s="73">
        <v>147000.0</v>
      </c>
      <c r="N3172" s="74"/>
      <c r="O3172" s="73">
        <v>147000.0</v>
      </c>
      <c r="P3172" s="46" t="str">
        <f t="shared" si="2"/>
        <v>Rp147,000-1 GRS-0.00%</v>
      </c>
      <c r="Q3172" s="92">
        <v>45420.0</v>
      </c>
      <c r="R3172" s="76"/>
      <c r="S3172" s="75">
        <v>45426.0</v>
      </c>
      <c r="T3172" s="80" t="s">
        <v>280</v>
      </c>
    </row>
    <row r="3173">
      <c r="A3173" s="90">
        <v>17.0</v>
      </c>
      <c r="B3173" s="91" t="s">
        <v>58</v>
      </c>
      <c r="C3173" s="49" t="s">
        <v>3133</v>
      </c>
      <c r="D3173" s="77" t="s">
        <v>3179</v>
      </c>
      <c r="E3173" s="41" t="s">
        <v>3180</v>
      </c>
      <c r="F3173" s="49"/>
      <c r="G3173" s="71" t="s">
        <v>3180</v>
      </c>
      <c r="H3173" s="41"/>
      <c r="I3173" s="42"/>
      <c r="J3173" s="43" t="str">
        <f t="shared" si="9"/>
        <v>ADA</v>
      </c>
      <c r="K3173" s="72">
        <v>6.0</v>
      </c>
      <c r="L3173" s="53" t="s">
        <v>62</v>
      </c>
      <c r="M3173" s="73">
        <v>10000.0</v>
      </c>
      <c r="N3173" s="74"/>
      <c r="O3173" s="73">
        <v>60000.0</v>
      </c>
      <c r="P3173" s="46" t="str">
        <f t="shared" si="2"/>
        <v>Rp10,000-6 LSN-0.00%</v>
      </c>
      <c r="Q3173" s="92">
        <v>45420.0</v>
      </c>
      <c r="R3173" s="76"/>
      <c r="S3173" s="75">
        <v>45426.0</v>
      </c>
      <c r="T3173" s="80" t="s">
        <v>280</v>
      </c>
    </row>
    <row r="3174">
      <c r="A3174" s="90">
        <v>17.0</v>
      </c>
      <c r="B3174" s="91" t="s">
        <v>58</v>
      </c>
      <c r="C3174" s="49" t="s">
        <v>3133</v>
      </c>
      <c r="D3174" s="77" t="s">
        <v>2378</v>
      </c>
      <c r="E3174" s="41" t="str">
        <f>IFERROR(__xludf.DUMMYFUNCTION("IFNA(vlookup(D3174,IMPORTRANGE(""https://docs.google.com/spreadsheets/d/1swGwZOEqYlTEUCJLY-eeJM1911Kvaei5oySBIxdgtNo/edit?pli=1#gid=257618397"",""stock untanna!B:C""),2,false),V:V)"),"ISI PENSIL MEKANIK 801 2,0")</f>
        <v>ISI PENSIL MEKANIK 801 2,0</v>
      </c>
      <c r="F3174" s="49"/>
      <c r="G3174" s="71" t="s">
        <v>2379</v>
      </c>
      <c r="H3174" s="41"/>
      <c r="I3174" s="42"/>
      <c r="J3174" s="43" t="str">
        <f t="shared" si="9"/>
        <v>ADA</v>
      </c>
      <c r="K3174" s="72">
        <v>6.0</v>
      </c>
      <c r="L3174" s="53" t="s">
        <v>62</v>
      </c>
      <c r="M3174" s="73">
        <v>15000.0</v>
      </c>
      <c r="N3174" s="74"/>
      <c r="O3174" s="73">
        <v>90000.0</v>
      </c>
      <c r="P3174" s="46" t="str">
        <f t="shared" si="2"/>
        <v>Rp15,000-6 LSN-0.00%</v>
      </c>
      <c r="Q3174" s="92">
        <v>45420.0</v>
      </c>
      <c r="R3174" s="76"/>
      <c r="S3174" s="75">
        <v>45426.0</v>
      </c>
      <c r="T3174" s="80" t="s">
        <v>280</v>
      </c>
    </row>
    <row r="3175">
      <c r="A3175" s="90">
        <v>17.0</v>
      </c>
      <c r="B3175" s="91" t="s">
        <v>58</v>
      </c>
      <c r="C3175" s="49" t="s">
        <v>3133</v>
      </c>
      <c r="D3175" s="91" t="s">
        <v>1571</v>
      </c>
      <c r="E3175" s="41" t="str">
        <f>IFERROR(__xludf.DUMMYFUNCTION("vlookup(D3175,IMPORTRANGE(""https://docs.google.com/spreadsheets/d/1swGwZOEqYlTEUCJLY-eeJM1911Kvaei5oySBIxdgtNo/edit?pli=1#gid=257618397"",""stock untanna!B:C""),2,false)"),"SPIDOL 12W 555 YOEKER")</f>
        <v>SPIDOL 12W 555 YOEKER</v>
      </c>
      <c r="F3175" s="49" t="s">
        <v>1571</v>
      </c>
      <c r="G3175" s="71" t="s">
        <v>1572</v>
      </c>
      <c r="H3175" s="41"/>
      <c r="I3175" s="42"/>
      <c r="J3175" s="43"/>
      <c r="K3175" s="72">
        <v>2.0</v>
      </c>
      <c r="L3175" s="53" t="s">
        <v>62</v>
      </c>
      <c r="M3175" s="73">
        <v>28500.0</v>
      </c>
      <c r="N3175" s="74"/>
      <c r="O3175" s="73">
        <v>57000.0</v>
      </c>
      <c r="P3175" s="46" t="str">
        <f t="shared" si="2"/>
        <v>Rp28,500-2 LSN-0.00%</v>
      </c>
      <c r="Q3175" s="92">
        <v>45420.0</v>
      </c>
      <c r="R3175" s="76"/>
      <c r="S3175" s="75">
        <v>45426.0</v>
      </c>
      <c r="T3175" s="49"/>
    </row>
    <row r="3176">
      <c r="A3176" s="90">
        <v>17.0</v>
      </c>
      <c r="B3176" s="91" t="s">
        <v>58</v>
      </c>
      <c r="C3176" s="49" t="s">
        <v>3133</v>
      </c>
      <c r="D3176" s="91" t="s">
        <v>3181</v>
      </c>
      <c r="E3176" s="41" t="str">
        <f>IFERROR(__xludf.DUMMYFUNCTION("vlookup(D3176,IMPORTRANGE(""https://docs.google.com/spreadsheets/d/1swGwZOEqYlTEUCJLY-eeJM1911Kvaei5oySBIxdgtNo/edit?pli=1#gid=257618397"",""stock untanna!B:C""),2,false)"),"PW TF 194 24W")</f>
        <v>PW TF 194 24W</v>
      </c>
      <c r="F3176" s="49" t="s">
        <v>3181</v>
      </c>
      <c r="G3176" s="71" t="s">
        <v>3182</v>
      </c>
      <c r="H3176" s="41"/>
      <c r="I3176" s="42"/>
      <c r="J3176" s="43"/>
      <c r="K3176" s="72">
        <v>1.0</v>
      </c>
      <c r="L3176" s="53" t="s">
        <v>62</v>
      </c>
      <c r="M3176" s="73">
        <v>276000.0</v>
      </c>
      <c r="N3176" s="74"/>
      <c r="O3176" s="73">
        <v>276000.0</v>
      </c>
      <c r="P3176" s="46" t="str">
        <f t="shared" si="2"/>
        <v>Rp276,000-1 LSN-0.00%</v>
      </c>
      <c r="Q3176" s="92">
        <v>45420.0</v>
      </c>
      <c r="R3176" s="76"/>
      <c r="S3176" s="75">
        <v>45426.0</v>
      </c>
      <c r="T3176" s="49"/>
    </row>
    <row r="3177">
      <c r="A3177" s="90">
        <v>17.0</v>
      </c>
      <c r="B3177" s="91" t="s">
        <v>58</v>
      </c>
      <c r="C3177" s="49" t="s">
        <v>3133</v>
      </c>
      <c r="D3177" s="91" t="s">
        <v>138</v>
      </c>
      <c r="E3177" s="41" t="str">
        <f>IFERROR(__xludf.DUMMYFUNCTION("vlookup(D3177,IMPORTRANGE(""https://docs.google.com/spreadsheets/d/1swGwZOEqYlTEUCJLY-eeJM1911Kvaei5oySBIxdgtNo/edit?pli=1#gid=257618397"",""stock untanna!B:C""),2,false)"),"GARISAN LIPAT 008 (40) 30 CM FANCY")</f>
        <v>GARISAN LIPAT 008 (40) 30 CM FANCY</v>
      </c>
      <c r="F3177" s="49" t="s">
        <v>138</v>
      </c>
      <c r="G3177" s="71" t="s">
        <v>139</v>
      </c>
      <c r="H3177" s="41"/>
      <c r="I3177" s="42"/>
      <c r="J3177" s="43"/>
      <c r="K3177" s="72">
        <v>2.0</v>
      </c>
      <c r="L3177" s="53" t="s">
        <v>88</v>
      </c>
      <c r="M3177" s="73">
        <v>55000.0</v>
      </c>
      <c r="N3177" s="74"/>
      <c r="O3177" s="73">
        <v>110000.0</v>
      </c>
      <c r="P3177" s="46" t="str">
        <f t="shared" si="2"/>
        <v>Rp55,000-2 BOX-0.00%</v>
      </c>
      <c r="Q3177" s="92">
        <v>45420.0</v>
      </c>
      <c r="R3177" s="76"/>
      <c r="S3177" s="75">
        <v>45426.0</v>
      </c>
      <c r="T3177" s="49"/>
    </row>
    <row r="3178">
      <c r="A3178" s="90">
        <v>17.0</v>
      </c>
      <c r="B3178" s="91" t="s">
        <v>58</v>
      </c>
      <c r="C3178" s="49" t="s">
        <v>3133</v>
      </c>
      <c r="D3178" s="77" t="s">
        <v>1970</v>
      </c>
      <c r="E3178" s="41" t="str">
        <f>IFERROR(__xludf.DUMMYFUNCTION("vlookup(D3178,IMPORTRANGE(""https://docs.google.com/spreadsheets/d/1swGwZOEqYlTEUCJLY-eeJM1911Kvaei5oySBIxdgtNo/edit?pli=1#gid=257618397"",""stock untanna!B:C""),2,false)"),"GARISAN SET ZX 6138")</f>
        <v>GARISAN SET ZX 6138</v>
      </c>
      <c r="F3178" s="49" t="s">
        <v>1971</v>
      </c>
      <c r="G3178" s="71" t="s">
        <v>1972</v>
      </c>
      <c r="H3178" s="41"/>
      <c r="I3178" s="42"/>
      <c r="J3178" s="43"/>
      <c r="K3178" s="72">
        <v>1.0</v>
      </c>
      <c r="L3178" s="53" t="s">
        <v>62</v>
      </c>
      <c r="M3178" s="73">
        <v>45000.0</v>
      </c>
      <c r="N3178" s="74"/>
      <c r="O3178" s="73">
        <v>45000.0</v>
      </c>
      <c r="P3178" s="46" t="str">
        <f t="shared" si="2"/>
        <v>Rp45,000-1 LSN-0.00%</v>
      </c>
      <c r="Q3178" s="92">
        <v>45420.0</v>
      </c>
      <c r="R3178" s="76"/>
      <c r="S3178" s="75">
        <v>45426.0</v>
      </c>
      <c r="T3178" s="49" t="s">
        <v>100</v>
      </c>
    </row>
    <row r="3179">
      <c r="A3179" s="90">
        <v>18.0</v>
      </c>
      <c r="B3179" s="91" t="s">
        <v>58</v>
      </c>
      <c r="C3179" s="49" t="s">
        <v>3133</v>
      </c>
      <c r="D3179" s="91"/>
      <c r="E3179" s="41" t="s">
        <v>3183</v>
      </c>
      <c r="F3179" s="49"/>
      <c r="G3179" s="71" t="s">
        <v>3183</v>
      </c>
      <c r="H3179" s="41"/>
      <c r="I3179" s="42"/>
      <c r="J3179" s="43"/>
      <c r="K3179" s="72">
        <v>1.0</v>
      </c>
      <c r="L3179" s="53" t="s">
        <v>62</v>
      </c>
      <c r="M3179" s="73">
        <v>45000.0</v>
      </c>
      <c r="N3179" s="74"/>
      <c r="O3179" s="73">
        <v>45000.0</v>
      </c>
      <c r="P3179" s="46" t="str">
        <f t="shared" si="2"/>
        <v>Rp45,000-1 LSN-0.00%</v>
      </c>
      <c r="Q3179" s="92">
        <v>45420.0</v>
      </c>
      <c r="R3179" s="76"/>
      <c r="S3179" s="75">
        <v>45426.0</v>
      </c>
      <c r="T3179" s="49"/>
    </row>
    <row r="3180">
      <c r="A3180" s="90">
        <v>18.0</v>
      </c>
      <c r="B3180" s="91" t="s">
        <v>58</v>
      </c>
      <c r="C3180" s="49" t="s">
        <v>3133</v>
      </c>
      <c r="D3180" s="77" t="s">
        <v>2297</v>
      </c>
      <c r="E3180" s="41" t="str">
        <f>IFERROR(__xludf.DUMMYFUNCTION("vlookup(D3180,IMPORTRANGE(""https://docs.google.com/spreadsheets/d/1swGwZOEqYlTEUCJLY-eeJM1911Kvaei5oySBIxdgtNo/edit?pli=1#gid=257618397"",""stock untanna!B:C""),2,false)"),"GARISAN SET ZX 6110/ 20CM PPK")</f>
        <v>GARISAN SET ZX 6110/ 20CM PPK</v>
      </c>
      <c r="F3180" s="49" t="s">
        <v>2298</v>
      </c>
      <c r="G3180" s="71" t="s">
        <v>2299</v>
      </c>
      <c r="H3180" s="41"/>
      <c r="I3180" s="42"/>
      <c r="J3180" s="43"/>
      <c r="K3180" s="72">
        <v>1.0</v>
      </c>
      <c r="L3180" s="53" t="s">
        <v>62</v>
      </c>
      <c r="M3180" s="73">
        <v>45000.0</v>
      </c>
      <c r="N3180" s="74"/>
      <c r="O3180" s="73">
        <v>45000.0</v>
      </c>
      <c r="P3180" s="46" t="str">
        <f t="shared" si="2"/>
        <v>Rp45,000-1 LSN-0.00%</v>
      </c>
      <c r="Q3180" s="92">
        <v>45420.0</v>
      </c>
      <c r="R3180" s="76"/>
      <c r="S3180" s="75">
        <v>45426.0</v>
      </c>
      <c r="T3180" s="49" t="s">
        <v>100</v>
      </c>
    </row>
    <row r="3181">
      <c r="A3181" s="90">
        <v>18.0</v>
      </c>
      <c r="B3181" s="91" t="s">
        <v>58</v>
      </c>
      <c r="C3181" s="49" t="s">
        <v>3133</v>
      </c>
      <c r="D3181" s="91" t="s">
        <v>3184</v>
      </c>
      <c r="E3181" s="41" t="str">
        <f>IFERROR(__xludf.DUMMYFUNCTION("vlookup(D3181,IMPORTRANGE(""https://docs.google.com/spreadsheets/d/1swGwZOEqYlTEUCJLY-eeJM1911Kvaei5oySBIxdgtNo/edit?pli=1#gid=257618397"",""stock untanna!B:C""),2,false)"),"PENSIL 8894-12")</f>
        <v>PENSIL 8894-12</v>
      </c>
      <c r="F3181" s="49" t="s">
        <v>3184</v>
      </c>
      <c r="G3181" s="71" t="s">
        <v>3185</v>
      </c>
      <c r="H3181" s="41"/>
      <c r="I3181" s="42"/>
      <c r="J3181" s="43"/>
      <c r="K3181" s="72">
        <v>12.0</v>
      </c>
      <c r="L3181" s="53" t="s">
        <v>69</v>
      </c>
      <c r="M3181" s="73">
        <v>11667.0</v>
      </c>
      <c r="N3181" s="74"/>
      <c r="O3181" s="73">
        <v>140004.0</v>
      </c>
      <c r="P3181" s="46" t="str">
        <f t="shared" si="2"/>
        <v>Rp11,667-12 PCS-0.00%</v>
      </c>
      <c r="Q3181" s="92">
        <v>45420.0</v>
      </c>
      <c r="R3181" s="76"/>
      <c r="S3181" s="75">
        <v>45426.0</v>
      </c>
      <c r="T3181" s="49"/>
    </row>
    <row r="3182">
      <c r="A3182" s="90">
        <v>18.0</v>
      </c>
      <c r="B3182" s="91" t="s">
        <v>58</v>
      </c>
      <c r="C3182" s="49" t="s">
        <v>3133</v>
      </c>
      <c r="D3182" s="91" t="s">
        <v>993</v>
      </c>
      <c r="E3182" s="41" t="str">
        <f>IFERROR(__xludf.DUMMYFUNCTION("vlookup(D3182,IMPORTRANGE(""https://docs.google.com/spreadsheets/d/1swGwZOEqYlTEUCJLY-eeJM1911Kvaei5oySBIxdgtNo/edit?pli=1#gid=257618397"",""stock untanna!B:C""),2,false)"),"PW 8880-12")</f>
        <v>PW 8880-12</v>
      </c>
      <c r="F3182" s="49" t="s">
        <v>993</v>
      </c>
      <c r="G3182" s="71" t="s">
        <v>994</v>
      </c>
      <c r="H3182" s="41"/>
      <c r="I3182" s="42"/>
      <c r="J3182" s="43"/>
      <c r="K3182" s="72">
        <v>1.0</v>
      </c>
      <c r="L3182" s="53" t="s">
        <v>62</v>
      </c>
      <c r="M3182" s="73">
        <v>175000.0</v>
      </c>
      <c r="N3182" s="74"/>
      <c r="O3182" s="73">
        <v>175000.0</v>
      </c>
      <c r="P3182" s="46" t="str">
        <f t="shared" si="2"/>
        <v>Rp175,000-1 LSN-0.00%</v>
      </c>
      <c r="Q3182" s="92">
        <v>45420.0</v>
      </c>
      <c r="R3182" s="76"/>
      <c r="S3182" s="75">
        <v>45426.0</v>
      </c>
      <c r="T3182" s="49"/>
    </row>
    <row r="3183">
      <c r="A3183" s="90">
        <v>18.0</v>
      </c>
      <c r="B3183" s="91" t="s">
        <v>58</v>
      </c>
      <c r="C3183" s="49" t="s">
        <v>3133</v>
      </c>
      <c r="D3183" s="77" t="s">
        <v>2010</v>
      </c>
      <c r="E3183" s="41" t="str">
        <f>IFERROR(__xludf.DUMMYFUNCTION("IFNA(vlookup(D3183,IMPORTRANGE(""https://docs.google.com/spreadsheets/d/1swGwZOEqYlTEUCJLY-eeJM1911Kvaei5oySBIxdgtNo/edit?pli=1#gid=257618397"",""stock untanna!B:C""),2,false),V:V)"),"PENSIL 8009-12")</f>
        <v>PENSIL 8009-12</v>
      </c>
      <c r="F3183" s="49"/>
      <c r="G3183" s="71" t="s">
        <v>2011</v>
      </c>
      <c r="H3183" s="41"/>
      <c r="I3183" s="42"/>
      <c r="J3183" s="43" t="str">
        <f t="shared" ref="J3183:J3184" si="10">IF(D3183="","TIDAK ADA","ADA")</f>
        <v>ADA</v>
      </c>
      <c r="K3183" s="72">
        <v>1.0</v>
      </c>
      <c r="L3183" s="53" t="s">
        <v>62</v>
      </c>
      <c r="M3183" s="73">
        <v>120000.0</v>
      </c>
      <c r="N3183" s="74"/>
      <c r="O3183" s="73">
        <v>120000.0</v>
      </c>
      <c r="P3183" s="46" t="str">
        <f t="shared" si="2"/>
        <v>Rp120,000-1 LSN-0.00%</v>
      </c>
      <c r="Q3183" s="92">
        <v>45420.0</v>
      </c>
      <c r="R3183" s="76"/>
      <c r="S3183" s="75">
        <v>45426.0</v>
      </c>
      <c r="T3183" s="80" t="s">
        <v>280</v>
      </c>
    </row>
    <row r="3184">
      <c r="A3184" s="90">
        <v>18.0</v>
      </c>
      <c r="B3184" s="91" t="s">
        <v>58</v>
      </c>
      <c r="C3184" s="49" t="s">
        <v>3133</v>
      </c>
      <c r="D3184" s="77" t="s">
        <v>1662</v>
      </c>
      <c r="E3184" s="41" t="str">
        <f>IFERROR(__xludf.DUMMYFUNCTION("IFNA(vlookup(D3184,IMPORTRANGE(""https://docs.google.com/spreadsheets/d/1swGwZOEqYlTEUCJLY-eeJM1911Kvaei5oySBIxdgtNo/edit?pli=1#gid=257618397"",""stock untanna!B:C""),2,false),V:V)"),"PENSIL 8891-12")</f>
        <v>PENSIL 8891-12</v>
      </c>
      <c r="F3184" s="49"/>
      <c r="G3184" s="71" t="s">
        <v>1663</v>
      </c>
      <c r="H3184" s="41"/>
      <c r="I3184" s="42"/>
      <c r="J3184" s="43" t="str">
        <f t="shared" si="10"/>
        <v>ADA</v>
      </c>
      <c r="K3184" s="72">
        <v>1.0</v>
      </c>
      <c r="L3184" s="53" t="s">
        <v>62</v>
      </c>
      <c r="M3184" s="73">
        <v>140000.0</v>
      </c>
      <c r="N3184" s="74"/>
      <c r="O3184" s="73">
        <v>140000.0</v>
      </c>
      <c r="P3184" s="46" t="str">
        <f t="shared" si="2"/>
        <v>Rp140,000-1 LSN-0.00%</v>
      </c>
      <c r="Q3184" s="92">
        <v>45420.0</v>
      </c>
      <c r="R3184" s="76"/>
      <c r="S3184" s="75">
        <v>45426.0</v>
      </c>
      <c r="T3184" s="80" t="s">
        <v>280</v>
      </c>
    </row>
    <row r="3185">
      <c r="A3185" s="90">
        <v>18.0</v>
      </c>
      <c r="B3185" s="91" t="s">
        <v>58</v>
      </c>
      <c r="C3185" s="49" t="s">
        <v>3133</v>
      </c>
      <c r="D3185" s="91" t="s">
        <v>1958</v>
      </c>
      <c r="E3185" s="41" t="str">
        <f>IFERROR(__xludf.DUMMYFUNCTION("vlookup(D3185,IMPORTRANGE(""https://docs.google.com/spreadsheets/d/1swGwZOEqYlTEUCJLY-eeJM1911Kvaei5oySBIxdgtNo/edit?pli=1#gid=257618397"",""stock untanna!B:C""),2,false)"),"ACRYLIC MARKER TF-AM 301-12")</f>
        <v>ACRYLIC MARKER TF-AM 301-12</v>
      </c>
      <c r="F3185" s="49" t="s">
        <v>1958</v>
      </c>
      <c r="G3185" s="71" t="s">
        <v>1959</v>
      </c>
      <c r="H3185" s="41"/>
      <c r="I3185" s="42"/>
      <c r="J3185" s="43"/>
      <c r="K3185" s="72">
        <v>12.0</v>
      </c>
      <c r="L3185" s="53" t="s">
        <v>84</v>
      </c>
      <c r="M3185" s="73">
        <v>16500.0</v>
      </c>
      <c r="N3185" s="74"/>
      <c r="O3185" s="73">
        <v>198000.0</v>
      </c>
      <c r="P3185" s="46" t="str">
        <f t="shared" si="2"/>
        <v>Rp16,500-12 SET-0.00%</v>
      </c>
      <c r="Q3185" s="92">
        <v>45420.0</v>
      </c>
      <c r="R3185" s="76"/>
      <c r="S3185" s="75">
        <v>45426.0</v>
      </c>
      <c r="T3185" s="49"/>
    </row>
    <row r="3186">
      <c r="A3186" s="90">
        <v>18.0</v>
      </c>
      <c r="B3186" s="91" t="s">
        <v>58</v>
      </c>
      <c r="C3186" s="49" t="s">
        <v>3133</v>
      </c>
      <c r="D3186" s="91" t="s">
        <v>960</v>
      </c>
      <c r="E3186" s="41" t="str">
        <f>IFERROR(__xludf.DUMMYFUNCTION("vlookup(D3186,IMPORTRANGE(""https://docs.google.com/spreadsheets/d/1swGwZOEqYlTEUCJLY-eeJM1911Kvaei5oySBIxdgtNo/edit?pli=1#gid=257618397"",""stock untanna!B:C""),2,false)"),"WATER COLOR + KUAS PACMAN")</f>
        <v>WATER COLOR + KUAS PACMAN</v>
      </c>
      <c r="F3186" s="49" t="s">
        <v>960</v>
      </c>
      <c r="G3186" s="71" t="s">
        <v>961</v>
      </c>
      <c r="H3186" s="41"/>
      <c r="I3186" s="42"/>
      <c r="J3186" s="43"/>
      <c r="K3186" s="72">
        <v>12.0</v>
      </c>
      <c r="L3186" s="53" t="s">
        <v>69</v>
      </c>
      <c r="M3186" s="73">
        <v>13000.0</v>
      </c>
      <c r="N3186" s="74"/>
      <c r="O3186" s="73">
        <v>156000.0</v>
      </c>
      <c r="P3186" s="46" t="str">
        <f t="shared" si="2"/>
        <v>Rp13,000-12 PCS-0.00%</v>
      </c>
      <c r="Q3186" s="92">
        <v>45420.0</v>
      </c>
      <c r="R3186" s="76"/>
      <c r="S3186" s="75">
        <v>45426.0</v>
      </c>
      <c r="T3186" s="49"/>
    </row>
    <row r="3187">
      <c r="A3187" s="90">
        <v>18.0</v>
      </c>
      <c r="B3187" s="91" t="s">
        <v>58</v>
      </c>
      <c r="C3187" s="49" t="s">
        <v>3133</v>
      </c>
      <c r="D3187" s="91" t="s">
        <v>3186</v>
      </c>
      <c r="E3187" s="41" t="str">
        <f>IFERROR(__xludf.DUMMYFUNCTION("vlookup(D3187,IMPORTRANGE(""https://docs.google.com/spreadsheets/d/1swGwZOEqYlTEUCJLY-eeJM1911Kvaei5oySBIxdgtNo/edit?pli=1#gid=257618397"",""stock untanna!B:C""),2,false)"),"JANGKA JF 8021")</f>
        <v>JANGKA JF 8021</v>
      </c>
      <c r="F3187" s="49" t="s">
        <v>3186</v>
      </c>
      <c r="G3187" s="71" t="s">
        <v>3187</v>
      </c>
      <c r="H3187" s="41"/>
      <c r="I3187" s="42"/>
      <c r="J3187" s="43"/>
      <c r="K3187" s="72">
        <v>1.0</v>
      </c>
      <c r="L3187" s="53" t="s">
        <v>62</v>
      </c>
      <c r="M3187" s="73">
        <v>85000.0</v>
      </c>
      <c r="N3187" s="74"/>
      <c r="O3187" s="73">
        <v>85000.0</v>
      </c>
      <c r="P3187" s="46" t="str">
        <f t="shared" si="2"/>
        <v>Rp85,000-1 LSN-0.00%</v>
      </c>
      <c r="Q3187" s="92">
        <v>45420.0</v>
      </c>
      <c r="R3187" s="76"/>
      <c r="S3187" s="75">
        <v>45426.0</v>
      </c>
      <c r="T3187" s="49"/>
    </row>
    <row r="3188">
      <c r="A3188" s="90">
        <v>18.0</v>
      </c>
      <c r="B3188" s="91" t="s">
        <v>58</v>
      </c>
      <c r="C3188" s="49" t="s">
        <v>3133</v>
      </c>
      <c r="D3188" s="91" t="s">
        <v>1303</v>
      </c>
      <c r="E3188" s="41" t="str">
        <f>IFERROR(__xludf.DUMMYFUNCTION("vlookup(D3188,IMPORTRANGE(""https://docs.google.com/spreadsheets/d/1swGwZOEqYlTEUCJLY-eeJM1911Kvaei5oySBIxdgtNo/edit?pli=1#gid=257618397"",""stock untanna!B:C""),2,false)"),"JANGKA SET STARMOON 856")</f>
        <v>JANGKA SET STARMOON 856</v>
      </c>
      <c r="F3188" s="49" t="s">
        <v>1303</v>
      </c>
      <c r="G3188" s="71" t="s">
        <v>1304</v>
      </c>
      <c r="H3188" s="41"/>
      <c r="I3188" s="42"/>
      <c r="J3188" s="43"/>
      <c r="K3188" s="72">
        <v>1.0</v>
      </c>
      <c r="L3188" s="53" t="s">
        <v>62</v>
      </c>
      <c r="M3188" s="73">
        <v>50000.0</v>
      </c>
      <c r="N3188" s="74"/>
      <c r="O3188" s="73">
        <v>50000.0</v>
      </c>
      <c r="P3188" s="46" t="str">
        <f t="shared" si="2"/>
        <v>Rp50,000-1 LSN-0.00%</v>
      </c>
      <c r="Q3188" s="92">
        <v>45420.0</v>
      </c>
      <c r="R3188" s="76"/>
      <c r="S3188" s="75">
        <v>45426.0</v>
      </c>
      <c r="T3188" s="49"/>
    </row>
    <row r="3189">
      <c r="A3189" s="90">
        <v>18.0</v>
      </c>
      <c r="B3189" s="91" t="s">
        <v>58</v>
      </c>
      <c r="C3189" s="49" t="s">
        <v>3133</v>
      </c>
      <c r="D3189" s="91" t="s">
        <v>782</v>
      </c>
      <c r="E3189" s="41" t="str">
        <f>IFERROR(__xludf.DUMMYFUNCTION("vlookup(D3189,IMPORTRANGE(""https://docs.google.com/spreadsheets/d/1swGwZOEqYlTEUCJLY-eeJM1911Kvaei5oySBIxdgtNo/edit?pli=1#gid=257618397"",""stock untanna!B:C""),2,false)"),"CRAYON PUTAR FANCY 1011/2011 PENDEK CEWEK COWOK 12W")</f>
        <v>CRAYON PUTAR FANCY 1011/2011 PENDEK CEWEK COWOK 12W</v>
      </c>
      <c r="F3189" s="49" t="s">
        <v>782</v>
      </c>
      <c r="G3189" s="78" t="s">
        <v>1591</v>
      </c>
      <c r="H3189" s="41"/>
      <c r="I3189" s="42"/>
      <c r="J3189" s="43"/>
      <c r="K3189" s="93">
        <v>1.0</v>
      </c>
      <c r="L3189" s="53" t="s">
        <v>62</v>
      </c>
      <c r="M3189" s="94">
        <v>162000.0</v>
      </c>
      <c r="N3189" s="74"/>
      <c r="O3189" s="73">
        <v>162000.0</v>
      </c>
      <c r="P3189" s="46" t="str">
        <f t="shared" si="2"/>
        <v>Rp162,000-1 LSN-0.00%</v>
      </c>
      <c r="Q3189" s="92">
        <v>45420.0</v>
      </c>
      <c r="R3189" s="76"/>
      <c r="S3189" s="75">
        <v>45426.0</v>
      </c>
      <c r="T3189" s="49"/>
    </row>
    <row r="3190">
      <c r="A3190" s="90">
        <v>18.0</v>
      </c>
      <c r="B3190" s="91" t="s">
        <v>58</v>
      </c>
      <c r="C3190" s="49" t="s">
        <v>3133</v>
      </c>
      <c r="D3190" s="91"/>
      <c r="E3190" s="41" t="s">
        <v>3188</v>
      </c>
      <c r="F3190" s="49"/>
      <c r="G3190" s="71" t="s">
        <v>3188</v>
      </c>
      <c r="H3190" s="41"/>
      <c r="I3190" s="42"/>
      <c r="J3190" s="43"/>
      <c r="K3190" s="72">
        <v>12.0</v>
      </c>
      <c r="L3190" s="53" t="s">
        <v>84</v>
      </c>
      <c r="M3190" s="73">
        <v>16500.0</v>
      </c>
      <c r="N3190" s="74"/>
      <c r="O3190" s="73">
        <v>198000.0</v>
      </c>
      <c r="P3190" s="46" t="str">
        <f t="shared" si="2"/>
        <v>Rp16,500-12 SET-0.00%</v>
      </c>
      <c r="Q3190" s="92">
        <v>45420.0</v>
      </c>
      <c r="R3190" s="76"/>
      <c r="S3190" s="75">
        <v>45426.0</v>
      </c>
      <c r="T3190" s="49"/>
    </row>
    <row r="3191">
      <c r="A3191" s="90">
        <v>18.0</v>
      </c>
      <c r="B3191" s="91" t="s">
        <v>58</v>
      </c>
      <c r="C3191" s="49" t="s">
        <v>3133</v>
      </c>
      <c r="D3191" s="91" t="s">
        <v>1341</v>
      </c>
      <c r="E3191" s="41" t="str">
        <f>IFERROR(__xludf.DUMMYFUNCTION("vlookup(D3191,IMPORTRANGE(""https://docs.google.com/spreadsheets/d/1swGwZOEqYlTEUCJLY-eeJM1911Kvaei5oySBIxdgtNo/edit?pli=1#gid=257618397"",""stock untanna!B:C""),2,false)"),"STABILLO TF-1145 LIVE COLOUR PASTEL")</f>
        <v>STABILLO TF-1145 LIVE COLOUR PASTEL</v>
      </c>
      <c r="F3191" s="49" t="s">
        <v>1341</v>
      </c>
      <c r="G3191" s="71" t="s">
        <v>1342</v>
      </c>
      <c r="H3191" s="41"/>
      <c r="I3191" s="42"/>
      <c r="J3191" s="43"/>
      <c r="K3191" s="72">
        <v>3.0</v>
      </c>
      <c r="L3191" s="53" t="s">
        <v>62</v>
      </c>
      <c r="M3191" s="73">
        <v>26000.0</v>
      </c>
      <c r="N3191" s="74"/>
      <c r="O3191" s="73">
        <v>78000.0</v>
      </c>
      <c r="P3191" s="46" t="str">
        <f t="shared" si="2"/>
        <v>Rp26,000-3 LSN-0.00%</v>
      </c>
      <c r="Q3191" s="92">
        <v>45420.0</v>
      </c>
      <c r="R3191" s="76"/>
      <c r="S3191" s="75">
        <v>45426.0</v>
      </c>
      <c r="T3191" s="49"/>
    </row>
    <row r="3192">
      <c r="A3192" s="90">
        <v>18.0</v>
      </c>
      <c r="B3192" s="91" t="s">
        <v>58</v>
      </c>
      <c r="C3192" s="49" t="s">
        <v>3133</v>
      </c>
      <c r="D3192" s="91" t="s">
        <v>1602</v>
      </c>
      <c r="E3192" s="41" t="str">
        <f>IFERROR(__xludf.DUMMYFUNCTION("vlookup(D3192,IMPORTRANGE(""https://docs.google.com/spreadsheets/d/1swGwZOEqYlTEUCJLY-eeJM1911Kvaei5oySBIxdgtNo/edit?pli=1#gid=257618397"",""stock untanna!B:C""),2,false)"),"TIPEX KERTAS NO.9304")</f>
        <v>TIPEX KERTAS NO.9304</v>
      </c>
      <c r="F3192" s="49" t="s">
        <v>1602</v>
      </c>
      <c r="G3192" s="71" t="s">
        <v>1603</v>
      </c>
      <c r="H3192" s="41"/>
      <c r="I3192" s="42"/>
      <c r="J3192" s="43"/>
      <c r="K3192" s="72">
        <v>2.0</v>
      </c>
      <c r="L3192" s="53" t="s">
        <v>62</v>
      </c>
      <c r="M3192" s="73">
        <v>50000.0</v>
      </c>
      <c r="N3192" s="74"/>
      <c r="O3192" s="73">
        <v>100000.0</v>
      </c>
      <c r="P3192" s="46" t="str">
        <f t="shared" si="2"/>
        <v>Rp50,000-2 LSN-0.00%</v>
      </c>
      <c r="Q3192" s="92">
        <v>45420.0</v>
      </c>
      <c r="R3192" s="76"/>
      <c r="S3192" s="75">
        <v>45426.0</v>
      </c>
      <c r="T3192" s="49"/>
    </row>
    <row r="3193">
      <c r="A3193" s="90">
        <v>18.0</v>
      </c>
      <c r="B3193" s="91" t="s">
        <v>58</v>
      </c>
      <c r="C3193" s="49" t="s">
        <v>3133</v>
      </c>
      <c r="D3193" s="91" t="s">
        <v>2860</v>
      </c>
      <c r="E3193" s="41" t="str">
        <f>IFERROR(__xludf.DUMMYFUNCTION("vlookup(D3193,IMPORTRANGE(""https://docs.google.com/spreadsheets/d/1swGwZOEqYlTEUCJLY-eeJM1911Kvaei5oySBIxdgtNo/edit?pli=1#gid=257618397"",""stock untanna!B:C""),2,false)"),"TIPEX KERTAS NO.9459")</f>
        <v>TIPEX KERTAS NO.9459</v>
      </c>
      <c r="F3193" s="49" t="s">
        <v>2860</v>
      </c>
      <c r="G3193" s="71" t="s">
        <v>2861</v>
      </c>
      <c r="H3193" s="41"/>
      <c r="I3193" s="42"/>
      <c r="J3193" s="43"/>
      <c r="K3193" s="72">
        <v>2.0</v>
      </c>
      <c r="L3193" s="53" t="s">
        <v>62</v>
      </c>
      <c r="M3193" s="73">
        <v>50000.0</v>
      </c>
      <c r="N3193" s="74"/>
      <c r="O3193" s="73">
        <v>100000.0</v>
      </c>
      <c r="P3193" s="46" t="str">
        <f t="shared" si="2"/>
        <v>Rp50,000-2 LSN-0.00%</v>
      </c>
      <c r="Q3193" s="92">
        <v>45420.0</v>
      </c>
      <c r="R3193" s="76"/>
      <c r="S3193" s="75">
        <v>45426.0</v>
      </c>
      <c r="T3193" s="49"/>
    </row>
    <row r="3194">
      <c r="A3194" s="90">
        <v>18.0</v>
      </c>
      <c r="B3194" s="91" t="s">
        <v>58</v>
      </c>
      <c r="C3194" s="49" t="s">
        <v>3133</v>
      </c>
      <c r="D3194" s="91" t="s">
        <v>3189</v>
      </c>
      <c r="E3194" s="41" t="str">
        <f>IFERROR(__xludf.DUMMYFUNCTION("vlookup(D3194,IMPORTRANGE(""https://docs.google.com/spreadsheets/d/1swGwZOEqYlTEUCJLY-eeJM1911Kvaei5oySBIxdgtNo/edit?pli=1#gid=257618397"",""stock untanna!B:C""),2,false)"),"TIPEX KERTAS NO.9462")</f>
        <v>TIPEX KERTAS NO.9462</v>
      </c>
      <c r="F3194" s="49" t="s">
        <v>3189</v>
      </c>
      <c r="G3194" s="71" t="s">
        <v>1607</v>
      </c>
      <c r="H3194" s="41"/>
      <c r="I3194" s="42"/>
      <c r="J3194" s="43"/>
      <c r="K3194" s="72">
        <v>2.0</v>
      </c>
      <c r="L3194" s="53" t="s">
        <v>62</v>
      </c>
      <c r="M3194" s="73">
        <v>50000.0</v>
      </c>
      <c r="N3194" s="74"/>
      <c r="O3194" s="73">
        <v>100000.0</v>
      </c>
      <c r="P3194" s="46" t="str">
        <f t="shared" si="2"/>
        <v>Rp50,000-2 LSN-0.00%</v>
      </c>
      <c r="Q3194" s="92">
        <v>45420.0</v>
      </c>
      <c r="R3194" s="76"/>
      <c r="S3194" s="75">
        <v>45426.0</v>
      </c>
      <c r="T3194" s="49"/>
    </row>
    <row r="3195">
      <c r="A3195" s="95">
        <v>19.0</v>
      </c>
      <c r="B3195" s="96" t="s">
        <v>58</v>
      </c>
      <c r="C3195" s="96" t="s">
        <v>3133</v>
      </c>
      <c r="D3195" s="97"/>
      <c r="E3195" s="41" t="str">
        <f>IFERROR(__xludf.DUMMYFUNCTION("IFNA(vlookup(D3195,IMPORTRANGE(""https://docs.google.com/spreadsheets/d/1swGwZOEqYlTEUCJLY-eeJM1911Kvaei5oySBIxdgtNo/edit?pli=1#gid=257618397"",""stock untanna!B:C""),2,false),V:V)"),"KEMOCHENG KOMPUTER")</f>
        <v>KEMOCHENG KOMPUTER</v>
      </c>
      <c r="F3195" s="70"/>
      <c r="G3195" s="70"/>
      <c r="H3195" s="98"/>
      <c r="I3195" s="99"/>
      <c r="J3195" s="43" t="s">
        <v>3190</v>
      </c>
      <c r="K3195" s="100">
        <v>1.0</v>
      </c>
      <c r="L3195" s="53" t="s">
        <v>62</v>
      </c>
      <c r="M3195" s="101">
        <v>57500.0</v>
      </c>
      <c r="N3195" s="88"/>
      <c r="O3195" s="87">
        <f t="shared" ref="O3195:O5244" si="11">M:M*K:K*(100%-N:N)</f>
        <v>57500</v>
      </c>
      <c r="P3195" s="102" t="str">
        <f t="shared" si="2"/>
        <v>Rp57,500-1 LSN-0.00%</v>
      </c>
      <c r="Q3195" s="103">
        <v>45420.0</v>
      </c>
      <c r="R3195" s="104"/>
      <c r="S3195" s="103">
        <v>45429.0</v>
      </c>
      <c r="T3195" s="105"/>
      <c r="U3195" s="98"/>
      <c r="V3195" s="96" t="s">
        <v>1200</v>
      </c>
    </row>
    <row r="3196">
      <c r="A3196" s="95">
        <v>19.0</v>
      </c>
      <c r="B3196" s="96" t="s">
        <v>58</v>
      </c>
      <c r="C3196" s="96" t="s">
        <v>3133</v>
      </c>
      <c r="D3196" s="96" t="s">
        <v>1846</v>
      </c>
      <c r="E3196" s="41" t="str">
        <f>IFERROR(__xludf.DUMMYFUNCTION("IFNA(vlookup(D3196,IMPORTRANGE(""https://docs.google.com/spreadsheets/d/1swGwZOEqYlTEUCJLY-eeJM1911Kvaei5oySBIxdgtNo/edit?pli=1#gid=257618397"",""stock untanna!B:C""),2,false),V:V)"),"BP DEBOZZ 0.28 DB-GP 800 HI-Q")</f>
        <v>BP DEBOZZ 0.28 DB-GP 800 HI-Q</v>
      </c>
      <c r="F3196" s="70"/>
      <c r="G3196" s="70"/>
      <c r="H3196" s="98"/>
      <c r="I3196" s="99"/>
      <c r="J3196" s="43" t="s">
        <v>1319</v>
      </c>
      <c r="K3196" s="95">
        <v>6.0</v>
      </c>
      <c r="L3196" s="53" t="s">
        <v>62</v>
      </c>
      <c r="M3196" s="106">
        <v>24500.0</v>
      </c>
      <c r="N3196" s="107"/>
      <c r="O3196" s="87">
        <f t="shared" si="11"/>
        <v>147000</v>
      </c>
      <c r="P3196" s="102" t="str">
        <f t="shared" si="2"/>
        <v>Rp24,500-6 LSN-0.00%</v>
      </c>
      <c r="Q3196" s="103">
        <v>45420.0</v>
      </c>
      <c r="R3196" s="104"/>
      <c r="S3196" s="103">
        <v>45429.0</v>
      </c>
      <c r="T3196" s="105"/>
      <c r="U3196" s="98"/>
      <c r="V3196" s="96" t="s">
        <v>1847</v>
      </c>
    </row>
    <row r="3197">
      <c r="A3197" s="95">
        <v>19.0</v>
      </c>
      <c r="B3197" s="96" t="s">
        <v>58</v>
      </c>
      <c r="C3197" s="96" t="s">
        <v>3133</v>
      </c>
      <c r="D3197" s="96" t="s">
        <v>3191</v>
      </c>
      <c r="E3197" s="41" t="str">
        <f>IFERROR(__xludf.DUMMYFUNCTION("IFNA(vlookup(D3197,IMPORTRANGE(""https://docs.google.com/spreadsheets/d/1swGwZOEqYlTEUCJLY-eeJM1911Kvaei5oySBIxdgtNo/edit?pli=1#gid=257618397"",""stock untanna!B:C""),2,false),V:V)"),"PC KLG LPY 99-12")</f>
        <v>PC KLG LPY 99-12</v>
      </c>
      <c r="F3197" s="70"/>
      <c r="G3197" s="70"/>
      <c r="H3197" s="98"/>
      <c r="I3197" s="99"/>
      <c r="J3197" s="43" t="s">
        <v>1319</v>
      </c>
      <c r="K3197" s="95">
        <v>12.0</v>
      </c>
      <c r="L3197" s="53" t="s">
        <v>69</v>
      </c>
      <c r="M3197" s="106">
        <v>19166.7</v>
      </c>
      <c r="N3197" s="107"/>
      <c r="O3197" s="87">
        <f t="shared" si="11"/>
        <v>230000.4</v>
      </c>
      <c r="P3197" s="102" t="str">
        <f t="shared" si="2"/>
        <v>Rp19,167-12 PCS-0.00%</v>
      </c>
      <c r="Q3197" s="103">
        <v>45420.0</v>
      </c>
      <c r="R3197" s="104"/>
      <c r="S3197" s="103">
        <v>45429.0</v>
      </c>
      <c r="T3197" s="105"/>
      <c r="U3197" s="98"/>
      <c r="V3197" s="96" t="s">
        <v>825</v>
      </c>
    </row>
    <row r="3198">
      <c r="A3198" s="95">
        <v>19.0</v>
      </c>
      <c r="B3198" s="96" t="s">
        <v>58</v>
      </c>
      <c r="C3198" s="96" t="s">
        <v>3133</v>
      </c>
      <c r="D3198" s="96" t="s">
        <v>95</v>
      </c>
      <c r="E3198" s="41" t="str">
        <f>IFERROR(__xludf.DUMMYFUNCTION("IFNA(vlookup(D3198,IMPORTRANGE(""https://docs.google.com/spreadsheets/d/1swGwZOEqYlTEUCJLY-eeJM1911Kvaei5oySBIxdgtNo/edit?pli=1#gid=257618397"",""stock untanna!B:C""),2,false),V:V)"),"PENCIL CASE MAGNET 8631 + CALL")</f>
        <v>PENCIL CASE MAGNET 8631 + CALL</v>
      </c>
      <c r="F3198" s="70"/>
      <c r="G3198" s="70"/>
      <c r="H3198" s="98"/>
      <c r="I3198" s="99"/>
      <c r="J3198" s="43" t="s">
        <v>1319</v>
      </c>
      <c r="K3198" s="95">
        <v>12.0</v>
      </c>
      <c r="L3198" s="53" t="s">
        <v>69</v>
      </c>
      <c r="M3198" s="106">
        <v>14500.0</v>
      </c>
      <c r="N3198" s="107"/>
      <c r="O3198" s="87">
        <f t="shared" si="11"/>
        <v>174000</v>
      </c>
      <c r="P3198" s="102" t="str">
        <f t="shared" si="2"/>
        <v>Rp14,500-12 PCS-0.00%</v>
      </c>
      <c r="Q3198" s="103">
        <v>45420.0</v>
      </c>
      <c r="R3198" s="104"/>
      <c r="S3198" s="103">
        <v>45429.0</v>
      </c>
      <c r="T3198" s="105"/>
      <c r="U3198" s="98"/>
      <c r="V3198" s="96" t="s">
        <v>96</v>
      </c>
    </row>
    <row r="3199">
      <c r="A3199" s="95">
        <v>19.0</v>
      </c>
      <c r="B3199" s="96" t="s">
        <v>58</v>
      </c>
      <c r="C3199" s="96" t="s">
        <v>3133</v>
      </c>
      <c r="D3199" s="96" t="s">
        <v>2959</v>
      </c>
      <c r="E3199" s="41" t="str">
        <f>IFERROR(__xludf.DUMMYFUNCTION("IFNA(vlookup(D3199,IMPORTRANGE(""https://docs.google.com/spreadsheets/d/1swGwZOEqYlTEUCJLY-eeJM1911Kvaei5oySBIxdgtNo/edit?pli=1#gid=257618397"",""stock untanna!B:C""),2,false),V:V)"),"STIP TRIFELLO TF-377 (24)")</f>
        <v>STIP TRIFELLO TF-377 (24)</v>
      </c>
      <c r="F3199" s="70"/>
      <c r="G3199" s="70"/>
      <c r="H3199" s="98"/>
      <c r="I3199" s="99"/>
      <c r="J3199" s="43" t="s">
        <v>1319</v>
      </c>
      <c r="K3199" s="95">
        <v>3.0</v>
      </c>
      <c r="L3199" s="53" t="s">
        <v>88</v>
      </c>
      <c r="M3199" s="106">
        <v>20000.0</v>
      </c>
      <c r="N3199" s="107"/>
      <c r="O3199" s="87">
        <f t="shared" si="11"/>
        <v>60000</v>
      </c>
      <c r="P3199" s="102" t="str">
        <f t="shared" si="2"/>
        <v>Rp20,000-3 BOX-0.00%</v>
      </c>
      <c r="Q3199" s="103">
        <v>45420.0</v>
      </c>
      <c r="R3199" s="104"/>
      <c r="S3199" s="103">
        <v>45429.0</v>
      </c>
      <c r="T3199" s="105"/>
      <c r="U3199" s="98"/>
      <c r="V3199" s="96" t="s">
        <v>2960</v>
      </c>
    </row>
    <row r="3200">
      <c r="A3200" s="95">
        <v>19.0</v>
      </c>
      <c r="B3200" s="96" t="s">
        <v>58</v>
      </c>
      <c r="C3200" s="96" t="s">
        <v>3133</v>
      </c>
      <c r="D3200" s="96" t="s">
        <v>2019</v>
      </c>
      <c r="E3200" s="41" t="str">
        <f>IFERROR(__xludf.DUMMYFUNCTION("IFNA(vlookup(D3200,IMPORTRANGE(""https://docs.google.com/spreadsheets/d/1swGwZOEqYlTEUCJLY-eeJM1911Kvaei5oySBIxdgtNo/edit?pli=1#gid=257618397"",""stock untanna!B:C""),2,false),V:V)"),"BN RABBIT KOALA A5")</f>
        <v>BN RABBIT KOALA A5</v>
      </c>
      <c r="F3200" s="70"/>
      <c r="G3200" s="70"/>
      <c r="H3200" s="98"/>
      <c r="I3200" s="99"/>
      <c r="J3200" s="43" t="s">
        <v>1319</v>
      </c>
      <c r="K3200" s="95">
        <v>6.0</v>
      </c>
      <c r="L3200" s="53" t="s">
        <v>69</v>
      </c>
      <c r="M3200" s="106">
        <v>26000.0</v>
      </c>
      <c r="N3200" s="107"/>
      <c r="O3200" s="87">
        <f t="shared" si="11"/>
        <v>156000</v>
      </c>
      <c r="P3200" s="102" t="str">
        <f t="shared" si="2"/>
        <v>Rp26,000-6 PCS-0.00%</v>
      </c>
      <c r="Q3200" s="103">
        <v>45420.0</v>
      </c>
      <c r="R3200" s="104"/>
      <c r="S3200" s="103">
        <v>45429.0</v>
      </c>
      <c r="T3200" s="105"/>
      <c r="U3200" s="98"/>
      <c r="V3200" s="96" t="s">
        <v>2020</v>
      </c>
    </row>
    <row r="3201">
      <c r="A3201" s="95">
        <v>19.0</v>
      </c>
      <c r="B3201" s="96" t="s">
        <v>58</v>
      </c>
      <c r="C3201" s="96" t="s">
        <v>3133</v>
      </c>
      <c r="D3201" s="97"/>
      <c r="E3201" s="41" t="str">
        <f>IFERROR(__xludf.DUMMYFUNCTION("IFNA(vlookup(D3201,IMPORTRANGE(""https://docs.google.com/spreadsheets/d/1swGwZOEqYlTEUCJLY-eeJM1911Kvaei5oySBIxdgtNo/edit?pli=1#gid=257618397"",""stock untanna!B:C""),2,false),V:V)"),"KAWAT ROLL 504 5W")</f>
        <v>KAWAT ROLL 504 5W</v>
      </c>
      <c r="F3201" s="70"/>
      <c r="G3201" s="70"/>
      <c r="H3201" s="98"/>
      <c r="I3201" s="99"/>
      <c r="J3201" s="43" t="s">
        <v>3190</v>
      </c>
      <c r="K3201" s="95">
        <v>15.0</v>
      </c>
      <c r="L3201" s="53" t="s">
        <v>1384</v>
      </c>
      <c r="M3201" s="106">
        <v>8000.0</v>
      </c>
      <c r="N3201" s="107"/>
      <c r="O3201" s="87">
        <f t="shared" si="11"/>
        <v>120000</v>
      </c>
      <c r="P3201" s="102" t="str">
        <f t="shared" si="2"/>
        <v>Rp8,000-15 ROL-0.00%</v>
      </c>
      <c r="Q3201" s="103">
        <v>45420.0</v>
      </c>
      <c r="R3201" s="104"/>
      <c r="S3201" s="103">
        <v>45429.0</v>
      </c>
      <c r="T3201" s="105"/>
      <c r="U3201" s="98"/>
      <c r="V3201" s="96" t="s">
        <v>3192</v>
      </c>
    </row>
    <row r="3202">
      <c r="A3202" s="95">
        <v>19.0</v>
      </c>
      <c r="B3202" s="96" t="s">
        <v>58</v>
      </c>
      <c r="C3202" s="96" t="s">
        <v>3133</v>
      </c>
      <c r="D3202" s="96" t="s">
        <v>2222</v>
      </c>
      <c r="E3202" s="41" t="str">
        <f>IFERROR(__xludf.DUMMYFUNCTION("IFNA(vlookup(D3202,IMPORTRANGE(""https://docs.google.com/spreadsheets/d/1swGwZOEqYlTEUCJLY-eeJM1911Kvaei5oySBIxdgtNo/edit?pli=1#gid=257618397"",""stock untanna!B:C""),2,false),V:V)"),"GARISAN TW-8068")</f>
        <v>GARISAN TW-8068</v>
      </c>
      <c r="F3202" s="70"/>
      <c r="G3202" s="70"/>
      <c r="H3202" s="98"/>
      <c r="I3202" s="99"/>
      <c r="J3202" s="43" t="s">
        <v>1319</v>
      </c>
      <c r="K3202" s="95">
        <v>60.0</v>
      </c>
      <c r="L3202" s="53" t="s">
        <v>69</v>
      </c>
      <c r="M3202" s="106">
        <v>4250.0</v>
      </c>
      <c r="N3202" s="107"/>
      <c r="O3202" s="87">
        <f t="shared" si="11"/>
        <v>255000</v>
      </c>
      <c r="P3202" s="102" t="str">
        <f t="shared" si="2"/>
        <v>Rp4,250-60 PCS-0.00%</v>
      </c>
      <c r="Q3202" s="103">
        <v>45420.0</v>
      </c>
      <c r="R3202" s="104"/>
      <c r="S3202" s="103">
        <v>45429.0</v>
      </c>
      <c r="T3202" s="105"/>
      <c r="U3202" s="98"/>
      <c r="V3202" s="96" t="s">
        <v>2223</v>
      </c>
    </row>
    <row r="3203">
      <c r="A3203" s="95">
        <v>19.0</v>
      </c>
      <c r="B3203" s="96" t="s">
        <v>58</v>
      </c>
      <c r="C3203" s="96" t="s">
        <v>3133</v>
      </c>
      <c r="D3203" s="97"/>
      <c r="E3203" s="41" t="str">
        <f>IFERROR(__xludf.DUMMYFUNCTION("IFNA(vlookup(D3203,IMPORTRANGE(""https://docs.google.com/spreadsheets/d/1swGwZOEqYlTEUCJLY-eeJM1911Kvaei5oySBIxdgtNo/edit?pli=1#gid=257618397"",""stock untanna!B:C""),2,false),V:V)"),"PC RET KY 1196")</f>
        <v>PC RET KY 1196</v>
      </c>
      <c r="F3203" s="70"/>
      <c r="G3203" s="70"/>
      <c r="H3203" s="98"/>
      <c r="I3203" s="99"/>
      <c r="J3203" s="43" t="s">
        <v>1319</v>
      </c>
      <c r="K3203" s="95">
        <v>1.0</v>
      </c>
      <c r="L3203" s="53" t="s">
        <v>62</v>
      </c>
      <c r="M3203" s="106">
        <v>275000.0</v>
      </c>
      <c r="N3203" s="107"/>
      <c r="O3203" s="87">
        <f t="shared" si="11"/>
        <v>275000</v>
      </c>
      <c r="P3203" s="102" t="str">
        <f t="shared" si="2"/>
        <v>Rp275,000-1 LSN-0.00%</v>
      </c>
      <c r="Q3203" s="103">
        <v>45420.0</v>
      </c>
      <c r="R3203" s="104"/>
      <c r="S3203" s="103">
        <v>45429.0</v>
      </c>
      <c r="T3203" s="96" t="s">
        <v>280</v>
      </c>
      <c r="U3203" s="98"/>
      <c r="V3203" s="96" t="s">
        <v>2380</v>
      </c>
    </row>
    <row r="3204">
      <c r="A3204" s="95">
        <v>19.0</v>
      </c>
      <c r="B3204" s="96" t="s">
        <v>58</v>
      </c>
      <c r="C3204" s="96" t="s">
        <v>3133</v>
      </c>
      <c r="D3204" s="96" t="s">
        <v>3193</v>
      </c>
      <c r="E3204" s="41" t="str">
        <f>IFERROR(__xludf.DUMMYFUNCTION("IFNA(vlookup(D3204,IMPORTRANGE(""https://docs.google.com/spreadsheets/d/1swGwZOEqYlTEUCJLY-eeJM1911Kvaei5oySBIxdgtNo/edit?pli=1#gid=257618397"",""stock untanna!B:C""),2,false),V:V)"),"PENCIL CASE RET KY 6159")</f>
        <v>PENCIL CASE RET KY 6159</v>
      </c>
      <c r="F3204" s="70"/>
      <c r="G3204" s="70"/>
      <c r="H3204" s="98"/>
      <c r="I3204" s="99"/>
      <c r="J3204" s="43" t="s">
        <v>1319</v>
      </c>
      <c r="K3204" s="95">
        <v>12.0</v>
      </c>
      <c r="L3204" s="53" t="s">
        <v>69</v>
      </c>
      <c r="M3204" s="106">
        <v>22916.7</v>
      </c>
      <c r="N3204" s="107"/>
      <c r="O3204" s="87">
        <f t="shared" si="11"/>
        <v>275000.4</v>
      </c>
      <c r="P3204" s="102" t="str">
        <f t="shared" si="2"/>
        <v>Rp22,917-12 PCS-0.00%</v>
      </c>
      <c r="Q3204" s="103">
        <v>45420.0</v>
      </c>
      <c r="R3204" s="104"/>
      <c r="S3204" s="103">
        <v>45429.0</v>
      </c>
      <c r="T3204" s="105"/>
      <c r="U3204" s="98"/>
      <c r="V3204" s="96" t="s">
        <v>3194</v>
      </c>
    </row>
    <row r="3205">
      <c r="A3205" s="95">
        <v>19.0</v>
      </c>
      <c r="B3205" s="96" t="s">
        <v>58</v>
      </c>
      <c r="C3205" s="96" t="s">
        <v>3133</v>
      </c>
      <c r="D3205" s="96" t="s">
        <v>3195</v>
      </c>
      <c r="E3205" s="41" t="str">
        <f>IFERROR(__xludf.DUMMYFUNCTION("IFNA(vlookup(D3205,IMPORTRANGE(""https://docs.google.com/spreadsheets/d/1swGwZOEqYlTEUCJLY-eeJM1911Kvaei5oySBIxdgtNo/edit?pli=1#gid=257618397"",""stock untanna!B:C""),2,false),V:V)"),"PENCIL CASE RET KY 1123")</f>
        <v>PENCIL CASE RET KY 1123</v>
      </c>
      <c r="F3205" s="70"/>
      <c r="G3205" s="70"/>
      <c r="H3205" s="98"/>
      <c r="I3205" s="99"/>
      <c r="J3205" s="43" t="s">
        <v>1319</v>
      </c>
      <c r="K3205" s="95">
        <v>12.0</v>
      </c>
      <c r="L3205" s="53" t="s">
        <v>69</v>
      </c>
      <c r="M3205" s="106">
        <v>22916.7</v>
      </c>
      <c r="N3205" s="107"/>
      <c r="O3205" s="87">
        <f t="shared" si="11"/>
        <v>275000.4</v>
      </c>
      <c r="P3205" s="102" t="str">
        <f t="shared" si="2"/>
        <v>Rp22,917-12 PCS-0.00%</v>
      </c>
      <c r="Q3205" s="103">
        <v>45420.0</v>
      </c>
      <c r="R3205" s="104"/>
      <c r="S3205" s="103">
        <v>45429.0</v>
      </c>
      <c r="T3205" s="105"/>
      <c r="U3205" s="98"/>
      <c r="V3205" s="96" t="s">
        <v>3196</v>
      </c>
    </row>
    <row r="3206">
      <c r="A3206" s="95">
        <v>19.0</v>
      </c>
      <c r="B3206" s="96" t="s">
        <v>58</v>
      </c>
      <c r="C3206" s="96" t="s">
        <v>3133</v>
      </c>
      <c r="D3206" s="97"/>
      <c r="E3206" s="41" t="str">
        <f>IFERROR(__xludf.DUMMYFUNCTION("IFNA(vlookup(D3206,IMPORTRANGE(""https://docs.google.com/spreadsheets/d/1swGwZOEqYlTEUCJLY-eeJM1911Kvaei5oySBIxdgtNo/edit?pli=1#gid=257618397"",""stock untanna!B:C""),2,false),V:V)"),"PC RET KY 6173")</f>
        <v>PC RET KY 6173</v>
      </c>
      <c r="F3206" s="70"/>
      <c r="G3206" s="70"/>
      <c r="H3206" s="98"/>
      <c r="I3206" s="99"/>
      <c r="J3206" s="43" t="s">
        <v>1319</v>
      </c>
      <c r="K3206" s="95">
        <v>1.0</v>
      </c>
      <c r="L3206" s="53" t="s">
        <v>62</v>
      </c>
      <c r="M3206" s="106">
        <v>275000.0</v>
      </c>
      <c r="N3206" s="107"/>
      <c r="O3206" s="87">
        <f t="shared" si="11"/>
        <v>275000</v>
      </c>
      <c r="P3206" s="102" t="str">
        <f t="shared" si="2"/>
        <v>Rp275,000-1 LSN-0.00%</v>
      </c>
      <c r="Q3206" s="103">
        <v>45420.0</v>
      </c>
      <c r="R3206" s="104"/>
      <c r="S3206" s="103">
        <v>45429.0</v>
      </c>
      <c r="T3206" s="96" t="s">
        <v>280</v>
      </c>
      <c r="U3206" s="98"/>
      <c r="V3206" s="96" t="s">
        <v>2381</v>
      </c>
    </row>
    <row r="3207">
      <c r="A3207" s="95">
        <v>19.0</v>
      </c>
      <c r="B3207" s="96" t="s">
        <v>58</v>
      </c>
      <c r="C3207" s="96" t="s">
        <v>3133</v>
      </c>
      <c r="D3207" s="96" t="s">
        <v>3053</v>
      </c>
      <c r="E3207" s="41" t="str">
        <f>IFERROR(__xludf.DUMMYFUNCTION("IFNA(vlookup(D3207,IMPORTRANGE(""https://docs.google.com/spreadsheets/d/1swGwZOEqYlTEUCJLY-eeJM1911Kvaei5oySBIxdgtNo/edit?pli=1#gid=257618397"",""stock untanna!B:C""),2,false),V:V)"),"PENCIL CASE XLG BD814")</f>
        <v>PENCIL CASE XLG BD814</v>
      </c>
      <c r="F3207" s="70"/>
      <c r="G3207" s="70"/>
      <c r="H3207" s="98"/>
      <c r="I3207" s="99"/>
      <c r="J3207" s="43" t="s">
        <v>1319</v>
      </c>
      <c r="K3207" s="95">
        <v>12.0</v>
      </c>
      <c r="L3207" s="53" t="s">
        <v>69</v>
      </c>
      <c r="M3207" s="106">
        <v>25500.0</v>
      </c>
      <c r="N3207" s="107"/>
      <c r="O3207" s="87">
        <f t="shared" si="11"/>
        <v>306000</v>
      </c>
      <c r="P3207" s="102" t="str">
        <f t="shared" si="2"/>
        <v>Rp25,500-12 PCS-0.00%</v>
      </c>
      <c r="Q3207" s="103">
        <v>45420.0</v>
      </c>
      <c r="R3207" s="104"/>
      <c r="S3207" s="103">
        <v>45429.0</v>
      </c>
      <c r="T3207" s="105"/>
      <c r="U3207" s="98"/>
      <c r="V3207" s="96" t="s">
        <v>3054</v>
      </c>
    </row>
    <row r="3208">
      <c r="A3208" s="95">
        <v>19.0</v>
      </c>
      <c r="B3208" s="96" t="s">
        <v>58</v>
      </c>
      <c r="C3208" s="96" t="s">
        <v>3133</v>
      </c>
      <c r="D3208" s="96" t="s">
        <v>566</v>
      </c>
      <c r="E3208" s="41" t="str">
        <f>IFERROR(__xludf.DUMMYFUNCTION("IFNA(vlookup(D3208,IMPORTRANGE(""https://docs.google.com/spreadsheets/d/1swGwZOEqYlTEUCJLY-eeJM1911Kvaei5oySBIxdgtNo/edit?pli=1#gid=257618397"",""stock untanna!B:C""),2,false),V:V)"),"PENCIL CASE XLG BD194-B")</f>
        <v>PENCIL CASE XLG BD194-B</v>
      </c>
      <c r="F3208" s="70"/>
      <c r="G3208" s="70"/>
      <c r="H3208" s="98"/>
      <c r="I3208" s="99"/>
      <c r="J3208" s="43" t="s">
        <v>1319</v>
      </c>
      <c r="K3208" s="95">
        <v>12.0</v>
      </c>
      <c r="L3208" s="53" t="s">
        <v>69</v>
      </c>
      <c r="M3208" s="106">
        <v>18500.0</v>
      </c>
      <c r="N3208" s="107"/>
      <c r="O3208" s="87">
        <f t="shared" si="11"/>
        <v>222000</v>
      </c>
      <c r="P3208" s="102" t="str">
        <f t="shared" si="2"/>
        <v>Rp18,500-12 PCS-0.00%</v>
      </c>
      <c r="Q3208" s="103">
        <v>45420.0</v>
      </c>
      <c r="R3208" s="104"/>
      <c r="S3208" s="103">
        <v>45429.0</v>
      </c>
      <c r="T3208" s="105"/>
      <c r="U3208" s="98"/>
      <c r="V3208" s="96" t="s">
        <v>567</v>
      </c>
    </row>
    <row r="3209">
      <c r="A3209" s="95">
        <v>19.0</v>
      </c>
      <c r="B3209" s="96" t="s">
        <v>58</v>
      </c>
      <c r="C3209" s="96" t="s">
        <v>3133</v>
      </c>
      <c r="D3209" s="96" t="s">
        <v>1100</v>
      </c>
      <c r="E3209" s="41" t="str">
        <f>IFERROR(__xludf.DUMMYFUNCTION("IFNA(vlookup(D3209,IMPORTRANGE(""https://docs.google.com/spreadsheets/d/1swGwZOEqYlTEUCJLY-eeJM1911Kvaei5oySBIxdgtNo/edit?pli=1#gid=257618397"",""stock untanna!B:C""),2,false),V:V)"),"PENCIL CASE XLG BD838")</f>
        <v>PENCIL CASE XLG BD838</v>
      </c>
      <c r="F3209" s="70"/>
      <c r="G3209" s="70"/>
      <c r="H3209" s="98"/>
      <c r="I3209" s="99"/>
      <c r="J3209" s="43" t="s">
        <v>1319</v>
      </c>
      <c r="K3209" s="95">
        <v>12.0</v>
      </c>
      <c r="L3209" s="53" t="s">
        <v>69</v>
      </c>
      <c r="M3209" s="106">
        <v>26000.0</v>
      </c>
      <c r="N3209" s="107"/>
      <c r="O3209" s="87">
        <f t="shared" si="11"/>
        <v>312000</v>
      </c>
      <c r="P3209" s="102" t="str">
        <f t="shared" si="2"/>
        <v>Rp26,000-12 PCS-0.00%</v>
      </c>
      <c r="Q3209" s="103">
        <v>45420.0</v>
      </c>
      <c r="R3209" s="104"/>
      <c r="S3209" s="103">
        <v>45429.0</v>
      </c>
      <c r="T3209" s="105"/>
      <c r="U3209" s="98"/>
      <c r="V3209" s="96" t="s">
        <v>1101</v>
      </c>
    </row>
    <row r="3210">
      <c r="A3210" s="95">
        <v>19.0</v>
      </c>
      <c r="B3210" s="96" t="s">
        <v>58</v>
      </c>
      <c r="C3210" s="96" t="s">
        <v>3133</v>
      </c>
      <c r="D3210" s="97"/>
      <c r="E3210" s="41" t="str">
        <f>IFERROR(__xludf.DUMMYFUNCTION("IFNA(vlookup(D3210,IMPORTRANGE(""https://docs.google.com/spreadsheets/d/1swGwZOEqYlTEUCJLY-eeJM1911Kvaei5oySBIxdgtNo/edit?pli=1#gid=257618397"",""stock untanna!B:C""),2,false),V:V)"),"MESIN LEM TEMBAK WOMY 60WATT")</f>
        <v>MESIN LEM TEMBAK WOMY 60WATT</v>
      </c>
      <c r="F3210" s="70"/>
      <c r="G3210" s="70"/>
      <c r="H3210" s="98"/>
      <c r="I3210" s="99"/>
      <c r="J3210" s="43" t="s">
        <v>3190</v>
      </c>
      <c r="K3210" s="95">
        <v>6.0</v>
      </c>
      <c r="L3210" s="53" t="s">
        <v>69</v>
      </c>
      <c r="M3210" s="106">
        <v>37500.0</v>
      </c>
      <c r="N3210" s="107"/>
      <c r="O3210" s="87">
        <f t="shared" si="11"/>
        <v>225000</v>
      </c>
      <c r="P3210" s="102" t="str">
        <f t="shared" si="2"/>
        <v>Rp37,500-6 PCS-0.00%</v>
      </c>
      <c r="Q3210" s="103">
        <v>45420.0</v>
      </c>
      <c r="R3210" s="104"/>
      <c r="S3210" s="103">
        <v>45429.0</v>
      </c>
      <c r="T3210" s="105"/>
      <c r="U3210" s="98"/>
      <c r="V3210" s="96" t="s">
        <v>3197</v>
      </c>
    </row>
    <row r="3211">
      <c r="A3211" s="95">
        <v>20.0</v>
      </c>
      <c r="B3211" s="96" t="s">
        <v>58</v>
      </c>
      <c r="C3211" s="96" t="s">
        <v>3133</v>
      </c>
      <c r="D3211" s="96" t="s">
        <v>1766</v>
      </c>
      <c r="E3211" s="41" t="str">
        <f>IFERROR(__xludf.DUMMYFUNCTION("IFNA(vlookup(D3211,IMPORTRANGE(""https://docs.google.com/spreadsheets/d/1swGwZOEqYlTEUCJLY-eeJM1911Kvaei5oySBIxdgtNo/edit?pli=1#gid=257618397"",""stock untanna!B:C""),2,false),V:V)"),"CAT ACRYLIC PACMAN")</f>
        <v>CAT ACRYLIC PACMAN</v>
      </c>
      <c r="F3211" s="70"/>
      <c r="G3211" s="70"/>
      <c r="H3211" s="98"/>
      <c r="I3211" s="99"/>
      <c r="J3211" s="43" t="s">
        <v>1319</v>
      </c>
      <c r="K3211" s="95">
        <v>12.0</v>
      </c>
      <c r="L3211" s="53" t="s">
        <v>69</v>
      </c>
      <c r="M3211" s="106">
        <v>15500.0</v>
      </c>
      <c r="N3211" s="107"/>
      <c r="O3211" s="87">
        <f t="shared" si="11"/>
        <v>186000</v>
      </c>
      <c r="P3211" s="102" t="str">
        <f t="shared" si="2"/>
        <v>Rp15,500-12 PCS-0.00%</v>
      </c>
      <c r="Q3211" s="103">
        <v>45420.0</v>
      </c>
      <c r="R3211" s="104"/>
      <c r="S3211" s="103">
        <v>45429.0</v>
      </c>
      <c r="T3211" s="105"/>
      <c r="U3211" s="98"/>
      <c r="V3211" s="96" t="s">
        <v>1767</v>
      </c>
    </row>
    <row r="3212">
      <c r="A3212" s="95">
        <v>20.0</v>
      </c>
      <c r="B3212" s="96" t="s">
        <v>58</v>
      </c>
      <c r="C3212" s="96" t="s">
        <v>3133</v>
      </c>
      <c r="D3212" s="96" t="s">
        <v>1088</v>
      </c>
      <c r="E3212" s="41" t="str">
        <f>IFERROR(__xludf.DUMMYFUNCTION("IFNA(vlookup(D3212,IMPORTRANGE(""https://docs.google.com/spreadsheets/d/1swGwZOEqYlTEUCJLY-eeJM1911Kvaei5oySBIxdgtNo/edit?pli=1#gid=257618397"",""stock untanna!B:C""),2,false),V:V)"),"ASAHAN TOPLES GOLDEN (24)")</f>
        <v>ASAHAN TOPLES GOLDEN (24)</v>
      </c>
      <c r="F3212" s="70"/>
      <c r="G3212" s="70"/>
      <c r="H3212" s="98"/>
      <c r="I3212" s="99"/>
      <c r="J3212" s="43" t="s">
        <v>1319</v>
      </c>
      <c r="K3212" s="95">
        <v>6.0</v>
      </c>
      <c r="L3212" s="53" t="s">
        <v>88</v>
      </c>
      <c r="M3212" s="106">
        <v>13000.0</v>
      </c>
      <c r="N3212" s="107"/>
      <c r="O3212" s="87">
        <f t="shared" si="11"/>
        <v>78000</v>
      </c>
      <c r="P3212" s="102" t="str">
        <f t="shared" si="2"/>
        <v>Rp13,000-6 BOX-0.00%</v>
      </c>
      <c r="Q3212" s="103">
        <v>45420.0</v>
      </c>
      <c r="R3212" s="104"/>
      <c r="S3212" s="103">
        <v>45429.0</v>
      </c>
      <c r="T3212" s="105"/>
      <c r="U3212" s="98"/>
      <c r="V3212" s="96" t="s">
        <v>1089</v>
      </c>
    </row>
    <row r="3213">
      <c r="A3213" s="95">
        <v>20.0</v>
      </c>
      <c r="B3213" s="96" t="s">
        <v>58</v>
      </c>
      <c r="C3213" s="96" t="s">
        <v>3133</v>
      </c>
      <c r="D3213" s="96" t="s">
        <v>2029</v>
      </c>
      <c r="E3213" s="41" t="str">
        <f>IFERROR(__xludf.DUMMYFUNCTION("IFNA(vlookup(D3213,IMPORTRANGE(""https://docs.google.com/spreadsheets/d/1swGwZOEqYlTEUCJLY-eeJM1911Kvaei5oySBIxdgtNo/edit?pli=1#gid=257618397"",""stock untanna!B:C""),2,false),V:V)"),"ID CARD 2 SISI TRANSPARANT HIJAU")</f>
        <v>ID CARD 2 SISI TRANSPARANT HIJAU</v>
      </c>
      <c r="F3213" s="70"/>
      <c r="G3213" s="70"/>
      <c r="H3213" s="98"/>
      <c r="I3213" s="99"/>
      <c r="J3213" s="43" t="s">
        <v>1319</v>
      </c>
      <c r="K3213" s="95">
        <v>50.0</v>
      </c>
      <c r="L3213" s="53" t="s">
        <v>69</v>
      </c>
      <c r="M3213" s="106">
        <v>1250.0</v>
      </c>
      <c r="N3213" s="107"/>
      <c r="O3213" s="87">
        <f t="shared" si="11"/>
        <v>62500</v>
      </c>
      <c r="P3213" s="102" t="str">
        <f t="shared" si="2"/>
        <v>Rp1,250-50 PCS-0.00%</v>
      </c>
      <c r="Q3213" s="103">
        <v>45420.0</v>
      </c>
      <c r="R3213" s="104"/>
      <c r="S3213" s="103">
        <v>45429.0</v>
      </c>
      <c r="T3213" s="105"/>
      <c r="U3213" s="98"/>
      <c r="V3213" s="96" t="s">
        <v>2030</v>
      </c>
    </row>
    <row r="3214">
      <c r="A3214" s="95">
        <v>20.0</v>
      </c>
      <c r="B3214" s="96" t="s">
        <v>58</v>
      </c>
      <c r="C3214" s="96" t="s">
        <v>3133</v>
      </c>
      <c r="D3214" s="96" t="s">
        <v>2033</v>
      </c>
      <c r="E3214" s="41" t="str">
        <f>IFERROR(__xludf.DUMMYFUNCTION("IFNA(vlookup(D3214,IMPORTRANGE(""https://docs.google.com/spreadsheets/d/1swGwZOEqYlTEUCJLY-eeJM1911Kvaei5oySBIxdgtNo/edit?pli=1#gid=257618397"",""stock untanna!B:C""),2,false),V:V)"),"ID CARD 2 SISI TRANSPARANT HITAM")</f>
        <v>ID CARD 2 SISI TRANSPARANT HITAM</v>
      </c>
      <c r="F3214" s="70"/>
      <c r="G3214" s="70"/>
      <c r="H3214" s="98"/>
      <c r="I3214" s="99"/>
      <c r="J3214" s="43" t="s">
        <v>1319</v>
      </c>
      <c r="K3214" s="95">
        <v>50.0</v>
      </c>
      <c r="L3214" s="53" t="s">
        <v>69</v>
      </c>
      <c r="M3214" s="106">
        <v>1250.0</v>
      </c>
      <c r="N3214" s="107"/>
      <c r="O3214" s="87">
        <f t="shared" si="11"/>
        <v>62500</v>
      </c>
      <c r="P3214" s="102" t="str">
        <f t="shared" si="2"/>
        <v>Rp1,250-50 PCS-0.00%</v>
      </c>
      <c r="Q3214" s="103">
        <v>45420.0</v>
      </c>
      <c r="R3214" s="104"/>
      <c r="S3214" s="103">
        <v>45429.0</v>
      </c>
      <c r="T3214" s="105"/>
      <c r="U3214" s="98"/>
      <c r="V3214" s="96" t="s">
        <v>2034</v>
      </c>
    </row>
    <row r="3215">
      <c r="A3215" s="95">
        <v>20.0</v>
      </c>
      <c r="B3215" s="96" t="s">
        <v>58</v>
      </c>
      <c r="C3215" s="96" t="s">
        <v>3133</v>
      </c>
      <c r="D3215" s="96" t="s">
        <v>2025</v>
      </c>
      <c r="E3215" s="41" t="str">
        <f>IFERROR(__xludf.DUMMYFUNCTION("IFNA(vlookup(D3215,IMPORTRANGE(""https://docs.google.com/spreadsheets/d/1swGwZOEqYlTEUCJLY-eeJM1911Kvaei5oySBIxdgtNo/edit?pli=1#gid=257618397"",""stock untanna!B:C""),2,false),V:V)"),"ID CARD 2 SISI TRANSPARANT MERAH")</f>
        <v>ID CARD 2 SISI TRANSPARANT MERAH</v>
      </c>
      <c r="F3215" s="70"/>
      <c r="G3215" s="70"/>
      <c r="H3215" s="98"/>
      <c r="I3215" s="99"/>
      <c r="J3215" s="43" t="s">
        <v>1319</v>
      </c>
      <c r="K3215" s="95">
        <v>50.0</v>
      </c>
      <c r="L3215" s="53" t="s">
        <v>69</v>
      </c>
      <c r="M3215" s="106">
        <v>1250.0</v>
      </c>
      <c r="N3215" s="107"/>
      <c r="O3215" s="87">
        <f t="shared" si="11"/>
        <v>62500</v>
      </c>
      <c r="P3215" s="102" t="str">
        <f t="shared" si="2"/>
        <v>Rp1,250-50 PCS-0.00%</v>
      </c>
      <c r="Q3215" s="103">
        <v>45420.0</v>
      </c>
      <c r="R3215" s="104"/>
      <c r="S3215" s="103">
        <v>45429.0</v>
      </c>
      <c r="T3215" s="105"/>
      <c r="U3215" s="98"/>
      <c r="V3215" s="96" t="s">
        <v>2026</v>
      </c>
    </row>
    <row r="3216">
      <c r="A3216" s="95">
        <v>20.0</v>
      </c>
      <c r="B3216" s="96" t="s">
        <v>58</v>
      </c>
      <c r="C3216" s="96" t="s">
        <v>3133</v>
      </c>
      <c r="D3216" s="96" t="s">
        <v>2027</v>
      </c>
      <c r="E3216" s="41" t="str">
        <f>IFERROR(__xludf.DUMMYFUNCTION("IFNA(vlookup(D3216,IMPORTRANGE(""https://docs.google.com/spreadsheets/d/1swGwZOEqYlTEUCJLY-eeJM1911Kvaei5oySBIxdgtNo/edit?pli=1#gid=257618397"",""stock untanna!B:C""),2,false),V:V)"),"ID CARD 2 SISI TRANSPARANT KUNING")</f>
        <v>ID CARD 2 SISI TRANSPARANT KUNING</v>
      </c>
      <c r="F3216" s="70"/>
      <c r="G3216" s="70"/>
      <c r="H3216" s="98"/>
      <c r="I3216" s="99"/>
      <c r="J3216" s="43" t="s">
        <v>1319</v>
      </c>
      <c r="K3216" s="95">
        <v>50.0</v>
      </c>
      <c r="L3216" s="53" t="s">
        <v>69</v>
      </c>
      <c r="M3216" s="106">
        <v>1250.0</v>
      </c>
      <c r="N3216" s="107"/>
      <c r="O3216" s="87">
        <f t="shared" si="11"/>
        <v>62500</v>
      </c>
      <c r="P3216" s="102" t="str">
        <f t="shared" si="2"/>
        <v>Rp1,250-50 PCS-0.00%</v>
      </c>
      <c r="Q3216" s="103">
        <v>45420.0</v>
      </c>
      <c r="R3216" s="104"/>
      <c r="S3216" s="103">
        <v>45429.0</v>
      </c>
      <c r="T3216" s="105"/>
      <c r="U3216" s="98"/>
      <c r="V3216" s="96" t="s">
        <v>2028</v>
      </c>
    </row>
    <row r="3217">
      <c r="A3217" s="95">
        <v>20.0</v>
      </c>
      <c r="B3217" s="96" t="s">
        <v>58</v>
      </c>
      <c r="C3217" s="96" t="s">
        <v>3133</v>
      </c>
      <c r="D3217" s="96" t="s">
        <v>2035</v>
      </c>
      <c r="E3217" s="41" t="str">
        <f>IFERROR(__xludf.DUMMYFUNCTION("IFNA(vlookup(D3217,IMPORTRANGE(""https://docs.google.com/spreadsheets/d/1swGwZOEqYlTEUCJLY-eeJM1911Kvaei5oySBIxdgtNo/edit?pli=1#gid=257618397"",""stock untanna!B:C""),2,false),V:V)"),"ID CARD 2 SISI TRANSPARANT BIRU")</f>
        <v>ID CARD 2 SISI TRANSPARANT BIRU</v>
      </c>
      <c r="F3217" s="70"/>
      <c r="G3217" s="70"/>
      <c r="H3217" s="98"/>
      <c r="I3217" s="99"/>
      <c r="J3217" s="43" t="s">
        <v>1319</v>
      </c>
      <c r="K3217" s="95">
        <v>50.0</v>
      </c>
      <c r="L3217" s="53" t="s">
        <v>69</v>
      </c>
      <c r="M3217" s="106">
        <v>1250.0</v>
      </c>
      <c r="N3217" s="107"/>
      <c r="O3217" s="87">
        <f t="shared" si="11"/>
        <v>62500</v>
      </c>
      <c r="P3217" s="102" t="str">
        <f t="shared" si="2"/>
        <v>Rp1,250-50 PCS-0.00%</v>
      </c>
      <c r="Q3217" s="103">
        <v>45420.0</v>
      </c>
      <c r="R3217" s="104"/>
      <c r="S3217" s="103">
        <v>45429.0</v>
      </c>
      <c r="T3217" s="105"/>
      <c r="U3217" s="98"/>
      <c r="V3217" s="96" t="s">
        <v>2036</v>
      </c>
    </row>
    <row r="3218">
      <c r="A3218" s="95">
        <v>20.0</v>
      </c>
      <c r="B3218" s="96" t="s">
        <v>58</v>
      </c>
      <c r="C3218" s="96" t="s">
        <v>3133</v>
      </c>
      <c r="D3218" s="96" t="s">
        <v>2031</v>
      </c>
      <c r="E3218" s="41" t="str">
        <f>IFERROR(__xludf.DUMMYFUNCTION("IFNA(vlookup(D3218,IMPORTRANGE(""https://docs.google.com/spreadsheets/d/1swGwZOEqYlTEUCJLY-eeJM1911Kvaei5oySBIxdgtNo/edit?pli=1#gid=257618397"",""stock untanna!B:C""),2,false),V:V)"),"ID CARD 2 SISI TRANSPARANT PUTIH")</f>
        <v>ID CARD 2 SISI TRANSPARANT PUTIH</v>
      </c>
      <c r="F3218" s="70"/>
      <c r="G3218" s="70"/>
      <c r="H3218" s="98"/>
      <c r="I3218" s="99"/>
      <c r="J3218" s="43" t="s">
        <v>1319</v>
      </c>
      <c r="K3218" s="95">
        <v>50.0</v>
      </c>
      <c r="L3218" s="53" t="s">
        <v>69</v>
      </c>
      <c r="M3218" s="106">
        <v>1250.0</v>
      </c>
      <c r="N3218" s="107"/>
      <c r="O3218" s="87">
        <f t="shared" si="11"/>
        <v>62500</v>
      </c>
      <c r="P3218" s="102" t="str">
        <f t="shared" si="2"/>
        <v>Rp1,250-50 PCS-0.00%</v>
      </c>
      <c r="Q3218" s="103">
        <v>45420.0</v>
      </c>
      <c r="R3218" s="104"/>
      <c r="S3218" s="103">
        <v>45429.0</v>
      </c>
      <c r="T3218" s="105"/>
      <c r="U3218" s="98"/>
      <c r="V3218" s="96" t="s">
        <v>2032</v>
      </c>
    </row>
    <row r="3219">
      <c r="A3219" s="95">
        <v>20.0</v>
      </c>
      <c r="B3219" s="96" t="s">
        <v>58</v>
      </c>
      <c r="C3219" s="96" t="s">
        <v>3133</v>
      </c>
      <c r="D3219" s="97"/>
      <c r="E3219" s="41" t="str">
        <f>IFERROR(__xludf.DUMMYFUNCTION("IFNA(vlookup(D3219,IMPORTRANGE(""https://docs.google.com/spreadsheets/d/1swGwZOEqYlTEUCJLY-eeJM1911Kvaei5oySBIxdgtNo/edit?pli=1#gid=257618397"",""stock untanna!B:C""),2,false),V:V)"),"ID CARD 501 MERAH")</f>
        <v>ID CARD 501 MERAH</v>
      </c>
      <c r="F3219" s="70"/>
      <c r="G3219" s="70"/>
      <c r="H3219" s="98"/>
      <c r="I3219" s="99"/>
      <c r="J3219" s="43" t="s">
        <v>3190</v>
      </c>
      <c r="K3219" s="95">
        <v>10.0</v>
      </c>
      <c r="L3219" s="53" t="s">
        <v>69</v>
      </c>
      <c r="M3219" s="106">
        <v>1400.0</v>
      </c>
      <c r="N3219" s="107"/>
      <c r="O3219" s="87">
        <f t="shared" si="11"/>
        <v>14000</v>
      </c>
      <c r="P3219" s="102" t="str">
        <f t="shared" si="2"/>
        <v>Rp1,400-10 PCS-0.00%</v>
      </c>
      <c r="Q3219" s="103">
        <v>45420.0</v>
      </c>
      <c r="R3219" s="104"/>
      <c r="S3219" s="103">
        <v>45429.0</v>
      </c>
      <c r="T3219" s="105"/>
      <c r="U3219" s="98"/>
      <c r="V3219" s="96" t="s">
        <v>3198</v>
      </c>
    </row>
    <row r="3220">
      <c r="A3220" s="95">
        <v>20.0</v>
      </c>
      <c r="B3220" s="96" t="s">
        <v>58</v>
      </c>
      <c r="C3220" s="96" t="s">
        <v>3133</v>
      </c>
      <c r="D3220" s="97"/>
      <c r="E3220" s="41" t="str">
        <f>IFERROR(__xludf.DUMMYFUNCTION("IFNA(vlookup(D3220,IMPORTRANGE(""https://docs.google.com/spreadsheets/d/1swGwZOEqYlTEUCJLY-eeJM1911Kvaei5oySBIxdgtNo/edit?pli=1#gid=257618397"",""stock untanna!B:C""),2,false),V:V)"),"ID CARD 501 PUTIH")</f>
        <v>ID CARD 501 PUTIH</v>
      </c>
      <c r="F3220" s="70"/>
      <c r="G3220" s="70"/>
      <c r="H3220" s="98"/>
      <c r="I3220" s="99"/>
      <c r="J3220" s="43" t="s">
        <v>3190</v>
      </c>
      <c r="K3220" s="95">
        <v>10.0</v>
      </c>
      <c r="L3220" s="53" t="s">
        <v>69</v>
      </c>
      <c r="M3220" s="106">
        <v>1400.0</v>
      </c>
      <c r="N3220" s="107"/>
      <c r="O3220" s="87">
        <f t="shared" si="11"/>
        <v>14000</v>
      </c>
      <c r="P3220" s="102" t="str">
        <f t="shared" si="2"/>
        <v>Rp1,400-10 PCS-0.00%</v>
      </c>
      <c r="Q3220" s="103">
        <v>45420.0</v>
      </c>
      <c r="R3220" s="104"/>
      <c r="S3220" s="103">
        <v>45429.0</v>
      </c>
      <c r="T3220" s="105"/>
      <c r="U3220" s="98"/>
      <c r="V3220" s="96" t="s">
        <v>2409</v>
      </c>
    </row>
    <row r="3221">
      <c r="A3221" s="95">
        <v>20.0</v>
      </c>
      <c r="B3221" s="96" t="s">
        <v>58</v>
      </c>
      <c r="C3221" s="96" t="s">
        <v>3133</v>
      </c>
      <c r="D3221" s="97"/>
      <c r="E3221" s="41" t="str">
        <f>IFERROR(__xludf.DUMMYFUNCTION("IFNA(vlookup(D3221,IMPORTRANGE(""https://docs.google.com/spreadsheets/d/1swGwZOEqYlTEUCJLY-eeJM1911Kvaei5oySBIxdgtNo/edit?pli=1#gid=257618397"",""stock untanna!B:C""),2,false),V:V)"),"ID CARD 501 BIRU")</f>
        <v>ID CARD 501 BIRU</v>
      </c>
      <c r="F3221" s="70"/>
      <c r="G3221" s="70"/>
      <c r="H3221" s="98"/>
      <c r="I3221" s="99"/>
      <c r="J3221" s="43" t="s">
        <v>3190</v>
      </c>
      <c r="K3221" s="95">
        <v>10.0</v>
      </c>
      <c r="L3221" s="53" t="s">
        <v>69</v>
      </c>
      <c r="M3221" s="106">
        <v>1400.0</v>
      </c>
      <c r="N3221" s="107"/>
      <c r="O3221" s="87">
        <f t="shared" si="11"/>
        <v>14000</v>
      </c>
      <c r="P3221" s="102" t="str">
        <f t="shared" si="2"/>
        <v>Rp1,400-10 PCS-0.00%</v>
      </c>
      <c r="Q3221" s="103">
        <v>45420.0</v>
      </c>
      <c r="R3221" s="104"/>
      <c r="S3221" s="103">
        <v>45429.0</v>
      </c>
      <c r="T3221" s="105"/>
      <c r="U3221" s="98"/>
      <c r="V3221" s="96" t="s">
        <v>2411</v>
      </c>
    </row>
    <row r="3222">
      <c r="A3222" s="95">
        <v>20.0</v>
      </c>
      <c r="B3222" s="96" t="s">
        <v>58</v>
      </c>
      <c r="C3222" s="96" t="s">
        <v>3133</v>
      </c>
      <c r="D3222" s="96" t="s">
        <v>3199</v>
      </c>
      <c r="E3222" s="41" t="str">
        <f>IFERROR(__xludf.DUMMYFUNCTION("IFNA(vlookup(D3222,IMPORTRANGE(""https://docs.google.com/spreadsheets/d/1swGwZOEqYlTEUCJLY-eeJM1911Kvaei5oySBIxdgtNo/edit?pli=1#gid=257618397"",""stock untanna!B:C""),2,false),V:V)"),"GARISAN 18CM 322 (84) TRANSFORMER")</f>
        <v>GARISAN 18CM 322 (84) TRANSFORMER</v>
      </c>
      <c r="F3222" s="70"/>
      <c r="G3222" s="70"/>
      <c r="H3222" s="98"/>
      <c r="I3222" s="99"/>
      <c r="J3222" s="43" t="s">
        <v>1319</v>
      </c>
      <c r="K3222" s="95">
        <v>1.0</v>
      </c>
      <c r="L3222" s="53" t="s">
        <v>88</v>
      </c>
      <c r="M3222" s="106">
        <v>52500.0</v>
      </c>
      <c r="N3222" s="107"/>
      <c r="O3222" s="87">
        <f t="shared" si="11"/>
        <v>52500</v>
      </c>
      <c r="P3222" s="102" t="str">
        <f t="shared" si="2"/>
        <v>Rp52,500-1 BOX-0.00%</v>
      </c>
      <c r="Q3222" s="103">
        <v>45420.0</v>
      </c>
      <c r="R3222" s="104"/>
      <c r="S3222" s="103">
        <v>45429.0</v>
      </c>
      <c r="T3222" s="105"/>
      <c r="U3222" s="98"/>
      <c r="V3222" s="96" t="s">
        <v>3200</v>
      </c>
    </row>
    <row r="3223">
      <c r="A3223" s="95">
        <v>20.0</v>
      </c>
      <c r="B3223" s="96" t="s">
        <v>58</v>
      </c>
      <c r="C3223" s="96" t="s">
        <v>3133</v>
      </c>
      <c r="D3223" s="97"/>
      <c r="E3223" s="41" t="str">
        <f>IFERROR(__xludf.DUMMYFUNCTION("IFNA(vlookup(D3223,IMPORTRANGE(""https://docs.google.com/spreadsheets/d/1swGwZOEqYlTEUCJLY-eeJM1911Kvaei5oySBIxdgtNo/edit?pli=1#gid=257618397"",""stock untanna!B:C""),2,false),V:V)"),"GUNTING MPL")</f>
        <v>GUNTING MPL</v>
      </c>
      <c r="F3223" s="70"/>
      <c r="G3223" s="70"/>
      <c r="H3223" s="98"/>
      <c r="I3223" s="99"/>
      <c r="J3223" s="43" t="s">
        <v>3190</v>
      </c>
      <c r="K3223" s="95">
        <v>2.0</v>
      </c>
      <c r="L3223" s="53" t="s">
        <v>62</v>
      </c>
      <c r="M3223" s="106">
        <v>45000.0</v>
      </c>
      <c r="N3223" s="107"/>
      <c r="O3223" s="87">
        <f t="shared" si="11"/>
        <v>90000</v>
      </c>
      <c r="P3223" s="102" t="str">
        <f t="shared" si="2"/>
        <v>Rp45,000-2 LSN-0.00%</v>
      </c>
      <c r="Q3223" s="103">
        <v>45420.0</v>
      </c>
      <c r="R3223" s="104"/>
      <c r="S3223" s="103">
        <v>45429.0</v>
      </c>
      <c r="T3223" s="105"/>
      <c r="U3223" s="98"/>
      <c r="V3223" s="96" t="s">
        <v>3201</v>
      </c>
    </row>
    <row r="3224">
      <c r="A3224" s="95">
        <v>20.0</v>
      </c>
      <c r="B3224" s="96" t="s">
        <v>58</v>
      </c>
      <c r="C3224" s="96" t="s">
        <v>3133</v>
      </c>
      <c r="D3224" s="97"/>
      <c r="E3224" s="41" t="str">
        <f>IFERROR(__xludf.DUMMYFUNCTION("IFNA(vlookup(D3224,IMPORTRANGE(""https://docs.google.com/spreadsheets/d/1swGwZOEqYlTEUCJLY-eeJM1911Kvaei5oySBIxdgtNo/edit?pli=1#gid=257618397"",""stock untanna!B:C""),2,false),V:V)"),"TOPI ULTAH KERUCUT 11A")</f>
        <v>TOPI ULTAH KERUCUT 11A</v>
      </c>
      <c r="F3224" s="70"/>
      <c r="G3224" s="70"/>
      <c r="H3224" s="98"/>
      <c r="I3224" s="99"/>
      <c r="J3224" s="43" t="s">
        <v>3190</v>
      </c>
      <c r="K3224" s="95">
        <v>20.0</v>
      </c>
      <c r="L3224" s="53" t="s">
        <v>114</v>
      </c>
      <c r="M3224" s="106">
        <v>4000.0</v>
      </c>
      <c r="N3224" s="107"/>
      <c r="O3224" s="87">
        <f t="shared" si="11"/>
        <v>80000</v>
      </c>
      <c r="P3224" s="102" t="str">
        <f t="shared" si="2"/>
        <v>Rp4,000-20 PAK-0.00%</v>
      </c>
      <c r="Q3224" s="103">
        <v>45420.0</v>
      </c>
      <c r="R3224" s="104"/>
      <c r="S3224" s="103">
        <v>45429.0</v>
      </c>
      <c r="T3224" s="105"/>
      <c r="U3224" s="98"/>
      <c r="V3224" s="96" t="s">
        <v>3202</v>
      </c>
    </row>
    <row r="3225">
      <c r="A3225" s="95">
        <v>20.0</v>
      </c>
      <c r="B3225" s="96" t="s">
        <v>58</v>
      </c>
      <c r="C3225" s="96" t="s">
        <v>3133</v>
      </c>
      <c r="D3225" s="97"/>
      <c r="E3225" s="41" t="str">
        <f>IFERROR(__xludf.DUMMYFUNCTION("IFNA(vlookup(D3225,IMPORTRANGE(""https://docs.google.com/spreadsheets/d/1swGwZOEqYlTEUCJLY-eeJM1911Kvaei5oySBIxdgtNo/edit?pli=1#gid=257618397"",""stock untanna!B:C""),2,false),V:V)"),"TOPI ULTAH KERUCUT 3D HT MIX")</f>
        <v>TOPI ULTAH KERUCUT 3D HT MIX</v>
      </c>
      <c r="F3225" s="70"/>
      <c r="G3225" s="70"/>
      <c r="H3225" s="98"/>
      <c r="I3225" s="99"/>
      <c r="J3225" s="43" t="s">
        <v>3190</v>
      </c>
      <c r="K3225" s="95">
        <v>20.0</v>
      </c>
      <c r="L3225" s="53" t="s">
        <v>114</v>
      </c>
      <c r="M3225" s="106">
        <v>7500.0</v>
      </c>
      <c r="N3225" s="107"/>
      <c r="O3225" s="87">
        <f t="shared" si="11"/>
        <v>150000</v>
      </c>
      <c r="P3225" s="102" t="str">
        <f t="shared" si="2"/>
        <v>Rp7,500-20 PAK-0.00%</v>
      </c>
      <c r="Q3225" s="103">
        <v>45420.0</v>
      </c>
      <c r="R3225" s="104"/>
      <c r="S3225" s="103">
        <v>45429.0</v>
      </c>
      <c r="T3225" s="105"/>
      <c r="U3225" s="98"/>
      <c r="V3225" s="96" t="s">
        <v>3203</v>
      </c>
    </row>
    <row r="3226">
      <c r="A3226" s="95">
        <v>20.0</v>
      </c>
      <c r="B3226" s="96" t="s">
        <v>58</v>
      </c>
      <c r="C3226" s="96" t="s">
        <v>3133</v>
      </c>
      <c r="D3226" s="97"/>
      <c r="E3226" s="41" t="str">
        <f>IFERROR(__xludf.DUMMYFUNCTION("IFNA(vlookup(D3226,IMPORTRANGE(""https://docs.google.com/spreadsheets/d/1swGwZOEqYlTEUCJLY-eeJM1911Kvaei5oySBIxdgtNo/edit?pli=1#gid=257618397"",""stock untanna!B:C""),2,false),V:V)"),"TOPI ULTAH DISNRY ETJ")</f>
        <v>TOPI ULTAH DISNRY ETJ</v>
      </c>
      <c r="F3226" s="70"/>
      <c r="G3226" s="70"/>
      <c r="H3226" s="98"/>
      <c r="I3226" s="99"/>
      <c r="J3226" s="43" t="s">
        <v>3190</v>
      </c>
      <c r="K3226" s="95">
        <v>20.0</v>
      </c>
      <c r="L3226" s="53" t="s">
        <v>114</v>
      </c>
      <c r="M3226" s="106">
        <v>1500.0</v>
      </c>
      <c r="N3226" s="107"/>
      <c r="O3226" s="87">
        <f t="shared" si="11"/>
        <v>30000</v>
      </c>
      <c r="P3226" s="102" t="str">
        <f t="shared" si="2"/>
        <v>Rp1,500-20 PAK-0.00%</v>
      </c>
      <c r="Q3226" s="103">
        <v>45420.0</v>
      </c>
      <c r="R3226" s="104"/>
      <c r="S3226" s="103">
        <v>45429.0</v>
      </c>
      <c r="T3226" s="105"/>
      <c r="U3226" s="98"/>
      <c r="V3226" s="96" t="s">
        <v>3204</v>
      </c>
    </row>
    <row r="3227">
      <c r="A3227" s="95">
        <v>21.0</v>
      </c>
      <c r="B3227" s="96" t="s">
        <v>58</v>
      </c>
      <c r="C3227" s="96" t="s">
        <v>3133</v>
      </c>
      <c r="D3227" s="97"/>
      <c r="E3227" s="41" t="str">
        <f>IFERROR(__xludf.DUMMYFUNCTION("IFNA(vlookup(D3227,IMPORTRANGE(""https://docs.google.com/spreadsheets/d/1swGwZOEqYlTEUCJLY-eeJM1911Kvaei5oySBIxdgtNo/edit?pli=1#gid=257618397"",""stock untanna!B:C""),2,false),V:V)"),"SIPOA 8010")</f>
        <v>SIPOA 8010</v>
      </c>
      <c r="F3227" s="70"/>
      <c r="G3227" s="70"/>
      <c r="H3227" s="98"/>
      <c r="I3227" s="99"/>
      <c r="J3227" s="43" t="s">
        <v>1319</v>
      </c>
      <c r="K3227" s="95">
        <v>2.0</v>
      </c>
      <c r="L3227" s="53" t="s">
        <v>62</v>
      </c>
      <c r="M3227" s="106">
        <v>232500.0</v>
      </c>
      <c r="N3227" s="107"/>
      <c r="O3227" s="87">
        <f t="shared" si="11"/>
        <v>465000</v>
      </c>
      <c r="P3227" s="102" t="str">
        <f t="shared" si="2"/>
        <v>Rp232,500-2 LSN-0.00%</v>
      </c>
      <c r="Q3227" s="103">
        <v>45420.0</v>
      </c>
      <c r="R3227" s="104"/>
      <c r="S3227" s="103">
        <v>45429.0</v>
      </c>
      <c r="T3227" s="96" t="s">
        <v>280</v>
      </c>
      <c r="U3227" s="98"/>
      <c r="V3227" s="96" t="s">
        <v>3205</v>
      </c>
    </row>
    <row r="3228">
      <c r="A3228" s="95">
        <v>21.0</v>
      </c>
      <c r="B3228" s="96" t="s">
        <v>58</v>
      </c>
      <c r="C3228" s="96" t="s">
        <v>3133</v>
      </c>
      <c r="D3228" s="96" t="s">
        <v>3206</v>
      </c>
      <c r="E3228" s="41" t="str">
        <f>IFERROR(__xludf.DUMMYFUNCTION("IFNA(vlookup(D3228,IMPORTRANGE(""https://docs.google.com/spreadsheets/d/1swGwZOEqYlTEUCJLY-eeJM1911Kvaei5oySBIxdgtNo/edit?pli=1#gid=257618397"",""stock untanna!B:C""),2,false),V:V)"),"LILIN ANGKA SHINTOENG NO. 1")</f>
        <v>LILIN ANGKA SHINTOENG NO. 1</v>
      </c>
      <c r="F3228" s="70"/>
      <c r="G3228" s="70"/>
      <c r="H3228" s="98"/>
      <c r="I3228" s="99"/>
      <c r="J3228" s="43" t="s">
        <v>1319</v>
      </c>
      <c r="K3228" s="95">
        <v>2.0</v>
      </c>
      <c r="L3228" s="53" t="s">
        <v>62</v>
      </c>
      <c r="M3228" s="106">
        <v>16000.0</v>
      </c>
      <c r="N3228" s="107"/>
      <c r="O3228" s="87">
        <f t="shared" si="11"/>
        <v>32000</v>
      </c>
      <c r="P3228" s="102" t="str">
        <f t="shared" si="2"/>
        <v>Rp16,000-2 LSN-0.00%</v>
      </c>
      <c r="Q3228" s="103">
        <v>45420.0</v>
      </c>
      <c r="R3228" s="104"/>
      <c r="S3228" s="103">
        <v>45429.0</v>
      </c>
      <c r="T3228" s="105"/>
      <c r="U3228" s="98"/>
      <c r="V3228" s="96" t="s">
        <v>3207</v>
      </c>
    </row>
    <row r="3229">
      <c r="A3229" s="95">
        <v>21.0</v>
      </c>
      <c r="B3229" s="96" t="s">
        <v>58</v>
      </c>
      <c r="C3229" s="96" t="s">
        <v>3133</v>
      </c>
      <c r="D3229" s="96" t="s">
        <v>3208</v>
      </c>
      <c r="E3229" s="41" t="str">
        <f>IFERROR(__xludf.DUMMYFUNCTION("IFNA(vlookup(D3229,IMPORTRANGE(""https://docs.google.com/spreadsheets/d/1swGwZOEqYlTEUCJLY-eeJM1911Kvaei5oySBIxdgtNo/edit?pli=1#gid=257618397"",""stock untanna!B:C""),2,false),V:V)"),"LILIN ANGKA SHINTOENG NO. 2")</f>
        <v>LILIN ANGKA SHINTOENG NO. 2</v>
      </c>
      <c r="F3229" s="70"/>
      <c r="G3229" s="70"/>
      <c r="H3229" s="98"/>
      <c r="I3229" s="99"/>
      <c r="J3229" s="43" t="s">
        <v>1319</v>
      </c>
      <c r="K3229" s="95">
        <v>2.0</v>
      </c>
      <c r="L3229" s="53" t="s">
        <v>62</v>
      </c>
      <c r="M3229" s="106">
        <v>16000.0</v>
      </c>
      <c r="N3229" s="107"/>
      <c r="O3229" s="87">
        <f t="shared" si="11"/>
        <v>32000</v>
      </c>
      <c r="P3229" s="102" t="str">
        <f t="shared" si="2"/>
        <v>Rp16,000-2 LSN-0.00%</v>
      </c>
      <c r="Q3229" s="103">
        <v>45420.0</v>
      </c>
      <c r="R3229" s="104"/>
      <c r="S3229" s="103">
        <v>45429.0</v>
      </c>
      <c r="T3229" s="105"/>
      <c r="U3229" s="98"/>
      <c r="V3229" s="96" t="s">
        <v>3209</v>
      </c>
    </row>
    <row r="3230">
      <c r="A3230" s="95">
        <v>118.0</v>
      </c>
      <c r="B3230" s="96" t="s">
        <v>65</v>
      </c>
      <c r="C3230" s="96" t="s">
        <v>3210</v>
      </c>
      <c r="D3230" s="96" t="s">
        <v>3211</v>
      </c>
      <c r="E3230" s="41" t="str">
        <f>IFERROR(__xludf.DUMMYFUNCTION("IFNA(vlookup(D3230,IMPORTRANGE(""https://docs.google.com/spreadsheets/d/1swGwZOEqYlTEUCJLY-eeJM1911Kvaei5oySBIxdgtNo/edit?pli=1#gid=257618397"",""stock untanna!B:C""),2,false),V:V)"),"SAMPUL METALIK KWARTO WORRY (2)")</f>
        <v>SAMPUL METALIK KWARTO WORRY (2)</v>
      </c>
      <c r="F3230" s="70"/>
      <c r="G3230" s="70"/>
      <c r="H3230" s="98"/>
      <c r="I3230" s="99"/>
      <c r="J3230" s="43" t="s">
        <v>1319</v>
      </c>
      <c r="K3230" s="95">
        <v>10.0</v>
      </c>
      <c r="L3230" s="53" t="s">
        <v>114</v>
      </c>
      <c r="M3230" s="106">
        <v>14000.0</v>
      </c>
      <c r="N3230" s="107"/>
      <c r="O3230" s="87">
        <f t="shared" si="11"/>
        <v>140000</v>
      </c>
      <c r="P3230" s="102" t="str">
        <f t="shared" si="2"/>
        <v>Rp14,000-10 PAK-0.00%</v>
      </c>
      <c r="Q3230" s="103">
        <v>45420.0</v>
      </c>
      <c r="R3230" s="104"/>
      <c r="S3230" s="103">
        <v>45429.0</v>
      </c>
      <c r="T3230" s="105"/>
      <c r="U3230" s="98"/>
      <c r="V3230" s="96" t="s">
        <v>3212</v>
      </c>
    </row>
    <row r="3231">
      <c r="A3231" s="95">
        <v>118.0</v>
      </c>
      <c r="B3231" s="96" t="s">
        <v>65</v>
      </c>
      <c r="C3231" s="96" t="s">
        <v>3210</v>
      </c>
      <c r="D3231" s="96" t="s">
        <v>3213</v>
      </c>
      <c r="E3231" s="41" t="str">
        <f>IFERROR(__xludf.DUMMYFUNCTION("IFNA(vlookup(D3231,IMPORTRANGE(""https://docs.google.com/spreadsheets/d/1swGwZOEqYlTEUCJLY-eeJM1911Kvaei5oySBIxdgtNo/edit?pli=1#gid=257618397"",""stock untanna!B:C""),2,false),V:V)"),"SAMPUL METALIK BOXY WORRY (20)")</f>
        <v>SAMPUL METALIK BOXY WORRY (20)</v>
      </c>
      <c r="F3231" s="70"/>
      <c r="G3231" s="70"/>
      <c r="H3231" s="98"/>
      <c r="I3231" s="99"/>
      <c r="J3231" s="43" t="s">
        <v>1319</v>
      </c>
      <c r="K3231" s="95">
        <v>10.0</v>
      </c>
      <c r="L3231" s="53" t="s">
        <v>114</v>
      </c>
      <c r="M3231" s="106">
        <v>16500.0</v>
      </c>
      <c r="N3231" s="107"/>
      <c r="O3231" s="87">
        <f t="shared" si="11"/>
        <v>165000</v>
      </c>
      <c r="P3231" s="102" t="str">
        <f t="shared" si="2"/>
        <v>Rp16,500-10 PAK-0.00%</v>
      </c>
      <c r="Q3231" s="103">
        <v>45420.0</v>
      </c>
      <c r="R3231" s="104"/>
      <c r="S3231" s="103">
        <v>45429.0</v>
      </c>
      <c r="T3231" s="105"/>
      <c r="U3231" s="98"/>
      <c r="V3231" s="96" t="s">
        <v>3214</v>
      </c>
    </row>
    <row r="3232">
      <c r="A3232" s="95">
        <v>118.0</v>
      </c>
      <c r="B3232" s="96" t="s">
        <v>65</v>
      </c>
      <c r="C3232" s="96" t="s">
        <v>3210</v>
      </c>
      <c r="D3232" s="96" t="s">
        <v>694</v>
      </c>
      <c r="E3232" s="41" t="str">
        <f>IFERROR(__xludf.DUMMYFUNCTION("IFNA(vlookup(D3232,IMPORTRANGE(""https://docs.google.com/spreadsheets/d/1swGwZOEqYlTEUCJLY-eeJM1911Kvaei5oySBIxdgtNo/edit?pli=1#gid=257618397"",""stock untanna!B:C""),2,false),V:V)"),"CLIPBOARD ACRYLIC TF-012")</f>
        <v>CLIPBOARD ACRYLIC TF-012</v>
      </c>
      <c r="F3232" s="70"/>
      <c r="G3232" s="70"/>
      <c r="H3232" s="98"/>
      <c r="I3232" s="99"/>
      <c r="J3232" s="43" t="s">
        <v>1319</v>
      </c>
      <c r="K3232" s="95">
        <v>24.0</v>
      </c>
      <c r="L3232" s="53" t="s">
        <v>69</v>
      </c>
      <c r="M3232" s="106">
        <v>16666.7</v>
      </c>
      <c r="N3232" s="107"/>
      <c r="O3232" s="87">
        <f t="shared" si="11"/>
        <v>400000.8</v>
      </c>
      <c r="P3232" s="102" t="str">
        <f t="shared" si="2"/>
        <v>Rp16,667-24 PCS-0.00%</v>
      </c>
      <c r="Q3232" s="103">
        <v>45420.0</v>
      </c>
      <c r="R3232" s="104"/>
      <c r="S3232" s="103">
        <v>45429.0</v>
      </c>
      <c r="T3232" s="105"/>
      <c r="U3232" s="98"/>
      <c r="V3232" s="96" t="s">
        <v>695</v>
      </c>
    </row>
    <row r="3233">
      <c r="A3233" s="95">
        <v>118.0</v>
      </c>
      <c r="B3233" s="96" t="s">
        <v>65</v>
      </c>
      <c r="C3233" s="96" t="s">
        <v>3210</v>
      </c>
      <c r="D3233" s="96" t="s">
        <v>692</v>
      </c>
      <c r="E3233" s="41" t="str">
        <f>IFERROR(__xludf.DUMMYFUNCTION("IFNA(vlookup(D3233,IMPORTRANGE(""https://docs.google.com/spreadsheets/d/1swGwZOEqYlTEUCJLY-eeJM1911Kvaei5oySBIxdgtNo/edit?pli=1#gid=257618397"",""stock untanna!B:C""),2,false),V:V)"),"CLIPBOARD ACRYLIC TF-013")</f>
        <v>CLIPBOARD ACRYLIC TF-013</v>
      </c>
      <c r="F3233" s="70"/>
      <c r="G3233" s="70"/>
      <c r="H3233" s="98"/>
      <c r="I3233" s="99"/>
      <c r="J3233" s="43" t="s">
        <v>1319</v>
      </c>
      <c r="K3233" s="95">
        <v>24.0</v>
      </c>
      <c r="L3233" s="53" t="s">
        <v>69</v>
      </c>
      <c r="M3233" s="106">
        <v>16666.7</v>
      </c>
      <c r="N3233" s="107"/>
      <c r="O3233" s="87">
        <f t="shared" si="11"/>
        <v>400000.8</v>
      </c>
      <c r="P3233" s="102" t="str">
        <f t="shared" si="2"/>
        <v>Rp16,667-24 PCS-0.00%</v>
      </c>
      <c r="Q3233" s="103">
        <v>45420.0</v>
      </c>
      <c r="R3233" s="104"/>
      <c r="S3233" s="103">
        <v>45429.0</v>
      </c>
      <c r="T3233" s="105"/>
      <c r="U3233" s="98"/>
      <c r="V3233" s="96" t="s">
        <v>2766</v>
      </c>
    </row>
    <row r="3234">
      <c r="A3234" s="95">
        <v>118.0</v>
      </c>
      <c r="B3234" s="96" t="s">
        <v>65</v>
      </c>
      <c r="C3234" s="96" t="s">
        <v>3210</v>
      </c>
      <c r="D3234" s="96" t="s">
        <v>690</v>
      </c>
      <c r="E3234" s="41" t="str">
        <f>IFERROR(__xludf.DUMMYFUNCTION("IFNA(vlookup(D3234,IMPORTRANGE(""https://docs.google.com/spreadsheets/d/1swGwZOEqYlTEUCJLY-eeJM1911Kvaei5oySBIxdgtNo/edit?pli=1#gid=257618397"",""stock untanna!B:C""),2,false),V:V)"),"CLIPBOARD ACRYLIC TF-016")</f>
        <v>CLIPBOARD ACRYLIC TF-016</v>
      </c>
      <c r="F3234" s="70"/>
      <c r="G3234" s="70"/>
      <c r="H3234" s="98"/>
      <c r="I3234" s="99"/>
      <c r="J3234" s="43" t="s">
        <v>1319</v>
      </c>
      <c r="K3234" s="95">
        <v>24.0</v>
      </c>
      <c r="L3234" s="53" t="s">
        <v>69</v>
      </c>
      <c r="M3234" s="106">
        <v>16666.7</v>
      </c>
      <c r="N3234" s="107"/>
      <c r="O3234" s="87">
        <f t="shared" si="11"/>
        <v>400000.8</v>
      </c>
      <c r="P3234" s="102" t="str">
        <f t="shared" si="2"/>
        <v>Rp16,667-24 PCS-0.00%</v>
      </c>
      <c r="Q3234" s="103">
        <v>45420.0</v>
      </c>
      <c r="R3234" s="104"/>
      <c r="S3234" s="103">
        <v>45429.0</v>
      </c>
      <c r="T3234" s="105"/>
      <c r="U3234" s="98"/>
      <c r="V3234" s="96" t="s">
        <v>691</v>
      </c>
    </row>
    <row r="3235">
      <c r="A3235" s="95">
        <v>118.0</v>
      </c>
      <c r="B3235" s="96" t="s">
        <v>65</v>
      </c>
      <c r="C3235" s="96" t="s">
        <v>3210</v>
      </c>
      <c r="D3235" s="96" t="s">
        <v>1577</v>
      </c>
      <c r="E3235" s="41" t="str">
        <f>IFERROR(__xludf.DUMMYFUNCTION("IFNA(vlookup(D3235,IMPORTRANGE(""https://docs.google.com/spreadsheets/d/1swGwZOEqYlTEUCJLY-eeJM1911Kvaei5oySBIxdgtNo/edit?pli=1#gid=257618397"",""stock untanna!B:C""),2,false),V:V)"),"STABILLO TIZO TF610")</f>
        <v>STABILLO TIZO TF610</v>
      </c>
      <c r="F3235" s="70"/>
      <c r="G3235" s="70"/>
      <c r="H3235" s="98"/>
      <c r="I3235" s="99"/>
      <c r="J3235" s="43" t="s">
        <v>1319</v>
      </c>
      <c r="K3235" s="95">
        <v>3.0</v>
      </c>
      <c r="L3235" s="53" t="s">
        <v>88</v>
      </c>
      <c r="M3235" s="106">
        <v>120000.0</v>
      </c>
      <c r="N3235" s="107"/>
      <c r="O3235" s="87">
        <f t="shared" si="11"/>
        <v>360000</v>
      </c>
      <c r="P3235" s="102" t="str">
        <f t="shared" si="2"/>
        <v>Rp120,000-3 BOX-0.00%</v>
      </c>
      <c r="Q3235" s="103">
        <v>45420.0</v>
      </c>
      <c r="R3235" s="104"/>
      <c r="S3235" s="103">
        <v>45429.0</v>
      </c>
      <c r="T3235" s="105"/>
      <c r="U3235" s="98"/>
      <c r="V3235" s="96" t="s">
        <v>1578</v>
      </c>
    </row>
    <row r="3236">
      <c r="A3236" s="95">
        <v>118.0</v>
      </c>
      <c r="B3236" s="96" t="s">
        <v>65</v>
      </c>
      <c r="C3236" s="96" t="s">
        <v>3210</v>
      </c>
      <c r="D3236" s="97"/>
      <c r="E3236" s="41" t="str">
        <f>IFERROR(__xludf.DUMMYFUNCTION("IFNA(vlookup(D3236,IMPORTRANGE(""https://docs.google.com/spreadsheets/d/1swGwZOEqYlTEUCJLY-eeJM1911Kvaei5oySBIxdgtNo/edit?pli=1#gid=257618397"",""stock untanna!B:C""),2,false),V:V)"),"BALLPEN CS-651")</f>
        <v>BALLPEN CS-651</v>
      </c>
      <c r="F3236" s="70"/>
      <c r="G3236" s="70"/>
      <c r="H3236" s="98"/>
      <c r="I3236" s="99"/>
      <c r="J3236" s="43" t="s">
        <v>3190</v>
      </c>
      <c r="K3236" s="95">
        <v>12.0</v>
      </c>
      <c r="L3236" s="53" t="s">
        <v>84</v>
      </c>
      <c r="M3236" s="106">
        <v>21000.0</v>
      </c>
      <c r="N3236" s="107"/>
      <c r="O3236" s="87">
        <f t="shared" si="11"/>
        <v>252000</v>
      </c>
      <c r="P3236" s="102" t="str">
        <f t="shared" si="2"/>
        <v>Rp21,000-12 SET-0.00%</v>
      </c>
      <c r="Q3236" s="103">
        <v>45420.0</v>
      </c>
      <c r="R3236" s="104"/>
      <c r="S3236" s="103">
        <v>45429.0</v>
      </c>
      <c r="T3236" s="105"/>
      <c r="U3236" s="98"/>
      <c r="V3236" s="96" t="s">
        <v>3215</v>
      </c>
    </row>
    <row r="3237">
      <c r="A3237" s="95">
        <v>118.0</v>
      </c>
      <c r="B3237" s="96" t="s">
        <v>65</v>
      </c>
      <c r="C3237" s="96" t="s">
        <v>3210</v>
      </c>
      <c r="D3237" s="97"/>
      <c r="E3237" s="41" t="str">
        <f>IFERROR(__xludf.DUMMYFUNCTION("IFNA(vlookup(D3237,IMPORTRANGE(""https://docs.google.com/spreadsheets/d/1swGwZOEqYlTEUCJLY-eeJM1911Kvaei5oySBIxdgtNo/edit?pli=1#gid=257618397"",""stock untanna!B:C""),2,false),V:V)"),"HIGHLIGHTER PEN XL-102-6")</f>
        <v>HIGHLIGHTER PEN XL-102-6</v>
      </c>
      <c r="F3237" s="70"/>
      <c r="G3237" s="70"/>
      <c r="H3237" s="98"/>
      <c r="I3237" s="99"/>
      <c r="J3237" s="43" t="s">
        <v>1319</v>
      </c>
      <c r="K3237" s="95">
        <v>24.0</v>
      </c>
      <c r="L3237" s="53" t="s">
        <v>84</v>
      </c>
      <c r="M3237" s="106">
        <v>18000.0</v>
      </c>
      <c r="N3237" s="107"/>
      <c r="O3237" s="87">
        <f t="shared" si="11"/>
        <v>432000</v>
      </c>
      <c r="P3237" s="102" t="str">
        <f t="shared" si="2"/>
        <v>Rp18,000-24 SET-0.00%</v>
      </c>
      <c r="Q3237" s="103">
        <v>45420.0</v>
      </c>
      <c r="R3237" s="104"/>
      <c r="S3237" s="103">
        <v>45429.0</v>
      </c>
      <c r="T3237" s="96" t="s">
        <v>280</v>
      </c>
      <c r="U3237" s="98"/>
      <c r="V3237" s="96" t="s">
        <v>3216</v>
      </c>
    </row>
    <row r="3238">
      <c r="A3238" s="95">
        <v>118.0</v>
      </c>
      <c r="B3238" s="96" t="s">
        <v>65</v>
      </c>
      <c r="C3238" s="96" t="s">
        <v>3210</v>
      </c>
      <c r="D3238" s="96" t="s">
        <v>2870</v>
      </c>
      <c r="E3238" s="41" t="str">
        <f>IFERROR(__xludf.DUMMYFUNCTION("IFNA(vlookup(D3238,IMPORTRANGE(""https://docs.google.com/spreadsheets/d/1swGwZOEqYlTEUCJLY-eeJM1911Kvaei5oySBIxdgtNo/edit?pli=1#gid=257618397"",""stock untanna!B:C""),2,false),V:V)"),"ISI GELL RETRACT DB GR-900")</f>
        <v>ISI GELL RETRACT DB GR-900</v>
      </c>
      <c r="F3238" s="70"/>
      <c r="G3238" s="70"/>
      <c r="H3238" s="98"/>
      <c r="I3238" s="99"/>
      <c r="J3238" s="43" t="str">
        <f>IF(D3238="","TIDAK ADA","ADA")</f>
        <v>ADA</v>
      </c>
      <c r="K3238" s="95">
        <v>3.0</v>
      </c>
      <c r="L3238" s="53" t="s">
        <v>114</v>
      </c>
      <c r="M3238" s="106">
        <v>30000.0</v>
      </c>
      <c r="N3238" s="107"/>
      <c r="O3238" s="87">
        <f t="shared" si="11"/>
        <v>90000</v>
      </c>
      <c r="P3238" s="102" t="str">
        <f t="shared" si="2"/>
        <v>Rp30,000-3 PAK-0.00%</v>
      </c>
      <c r="Q3238" s="103">
        <v>45420.0</v>
      </c>
      <c r="R3238" s="104"/>
      <c r="S3238" s="103">
        <v>45429.0</v>
      </c>
      <c r="T3238" s="96" t="s">
        <v>280</v>
      </c>
      <c r="U3238" s="98"/>
      <c r="V3238" s="96" t="s">
        <v>2871</v>
      </c>
    </row>
    <row r="3239">
      <c r="A3239" s="95">
        <v>118.0</v>
      </c>
      <c r="B3239" s="96" t="s">
        <v>65</v>
      </c>
      <c r="C3239" s="96" t="s">
        <v>3210</v>
      </c>
      <c r="D3239" s="96" t="s">
        <v>3217</v>
      </c>
      <c r="E3239" s="41" t="str">
        <f>IFERROR(__xludf.DUMMYFUNCTION("IFNA(vlookup(D3239,IMPORTRANGE(""https://docs.google.com/spreadsheets/d/1swGwZOEqYlTEUCJLY-eeJM1911Kvaei5oySBIxdgtNo/edit?pli=1#gid=257618397"",""stock untanna!B:C""),2,false),V:V)"),"BP GEL CS-H764 6WR + STABILLO")</f>
        <v>BP GEL CS-H764 6WR + STABILLO</v>
      </c>
      <c r="F3239" s="70"/>
      <c r="G3239" s="70"/>
      <c r="H3239" s="98"/>
      <c r="I3239" s="99"/>
      <c r="J3239" s="43" t="s">
        <v>1319</v>
      </c>
      <c r="K3239" s="95">
        <v>40.0</v>
      </c>
      <c r="L3239" s="53" t="s">
        <v>84</v>
      </c>
      <c r="M3239" s="106">
        <v>16500.0</v>
      </c>
      <c r="N3239" s="107"/>
      <c r="O3239" s="87">
        <f t="shared" si="11"/>
        <v>660000</v>
      </c>
      <c r="P3239" s="102" t="str">
        <f t="shared" si="2"/>
        <v>Rp16,500-40 SET-0.00%</v>
      </c>
      <c r="Q3239" s="103">
        <v>45420.0</v>
      </c>
      <c r="R3239" s="104"/>
      <c r="S3239" s="103">
        <v>45429.0</v>
      </c>
      <c r="T3239" s="105"/>
      <c r="U3239" s="98"/>
      <c r="V3239" s="96" t="s">
        <v>3218</v>
      </c>
    </row>
    <row r="3240">
      <c r="A3240" s="95">
        <v>118.0</v>
      </c>
      <c r="B3240" s="96" t="s">
        <v>65</v>
      </c>
      <c r="C3240" s="96" t="s">
        <v>3210</v>
      </c>
      <c r="D3240" s="96" t="s">
        <v>2218</v>
      </c>
      <c r="E3240" s="41" t="str">
        <f>IFERROR(__xludf.DUMMYFUNCTION("IFNA(vlookup(D3240,IMPORTRANGE(""https://docs.google.com/spreadsheets/d/1swGwZOEqYlTEUCJLY-eeJM1911Kvaei5oySBIxdgtNo/edit?pli=1#gid=257618397"",""stock untanna!B:C""),2,false),V:V)"),"HIGHLIGHTER Q1313 STAR-STAMP ISI 5")</f>
        <v>HIGHLIGHTER Q1313 STAR-STAMP ISI 5</v>
      </c>
      <c r="F3240" s="70"/>
      <c r="G3240" s="70"/>
      <c r="H3240" s="98"/>
      <c r="I3240" s="99"/>
      <c r="J3240" s="43" t="s">
        <v>1319</v>
      </c>
      <c r="K3240" s="95">
        <v>24.0</v>
      </c>
      <c r="L3240" s="53" t="s">
        <v>84</v>
      </c>
      <c r="M3240" s="106">
        <v>16500.0</v>
      </c>
      <c r="N3240" s="107"/>
      <c r="O3240" s="87">
        <f t="shared" si="11"/>
        <v>396000</v>
      </c>
      <c r="P3240" s="102" t="str">
        <f t="shared" si="2"/>
        <v>Rp16,500-24 SET-0.00%</v>
      </c>
      <c r="Q3240" s="103">
        <v>45420.0</v>
      </c>
      <c r="R3240" s="104"/>
      <c r="S3240" s="103">
        <v>45429.0</v>
      </c>
      <c r="T3240" s="105"/>
      <c r="U3240" s="98"/>
      <c r="V3240" s="96" t="s">
        <v>2219</v>
      </c>
    </row>
    <row r="3241">
      <c r="A3241" s="95">
        <v>118.0</v>
      </c>
      <c r="B3241" s="96" t="s">
        <v>65</v>
      </c>
      <c r="C3241" s="96" t="s">
        <v>3210</v>
      </c>
      <c r="D3241" s="97"/>
      <c r="E3241" s="41" t="str">
        <f>IFERROR(__xludf.DUMMYFUNCTION("IFNA(vlookup(D3241,IMPORTRANGE(""https://docs.google.com/spreadsheets/d/1swGwZOEqYlTEUCJLY-eeJM1911Kvaei5oySBIxdgtNo/edit?pli=1#gid=257618397"",""stock untanna!B:C""),2,false),V:V)"),"BALLPEN KOALA GP-303")</f>
        <v>BALLPEN KOALA GP-303</v>
      </c>
      <c r="F3241" s="70"/>
      <c r="G3241" s="70"/>
      <c r="H3241" s="98"/>
      <c r="I3241" s="99"/>
      <c r="J3241" s="43" t="s">
        <v>3190</v>
      </c>
      <c r="K3241" s="95">
        <v>12.0</v>
      </c>
      <c r="L3241" s="53" t="s">
        <v>62</v>
      </c>
      <c r="M3241" s="106">
        <v>21000.0</v>
      </c>
      <c r="N3241" s="107"/>
      <c r="O3241" s="87">
        <f t="shared" si="11"/>
        <v>252000</v>
      </c>
      <c r="P3241" s="102" t="str">
        <f t="shared" si="2"/>
        <v>Rp21,000-12 LSN-0.00%</v>
      </c>
      <c r="Q3241" s="103">
        <v>45420.0</v>
      </c>
      <c r="R3241" s="104"/>
      <c r="S3241" s="103">
        <v>45429.0</v>
      </c>
      <c r="T3241" s="105"/>
      <c r="U3241" s="98"/>
      <c r="V3241" s="96" t="s">
        <v>3219</v>
      </c>
    </row>
    <row r="3242">
      <c r="A3242" s="95">
        <v>118.0</v>
      </c>
      <c r="B3242" s="96" t="s">
        <v>65</v>
      </c>
      <c r="C3242" s="96" t="s">
        <v>3210</v>
      </c>
      <c r="D3242" s="96" t="s">
        <v>3220</v>
      </c>
      <c r="E3242" s="41" t="str">
        <f>IFERROR(__xludf.DUMMYFUNCTION("IFNA(vlookup(D3242,IMPORTRANGE(""https://docs.google.com/spreadsheets/d/1swGwZOEqYlTEUCJLY-eeJM1911Kvaei5oySBIxdgtNo/edit?pli=1#gid=257618397"",""stock untanna!B:C""),2,false),V:V)"),"BP GEL 708")</f>
        <v>BP GEL 708</v>
      </c>
      <c r="F3242" s="70"/>
      <c r="G3242" s="70"/>
      <c r="H3242" s="98"/>
      <c r="I3242" s="99"/>
      <c r="J3242" s="43" t="s">
        <v>1319</v>
      </c>
      <c r="K3242" s="95">
        <v>12.0</v>
      </c>
      <c r="L3242" s="53" t="s">
        <v>62</v>
      </c>
      <c r="M3242" s="106">
        <v>22000.0</v>
      </c>
      <c r="N3242" s="107"/>
      <c r="O3242" s="87">
        <f t="shared" si="11"/>
        <v>264000</v>
      </c>
      <c r="P3242" s="102" t="str">
        <f t="shared" si="2"/>
        <v>Rp22,000-12 LSN-0.00%</v>
      </c>
      <c r="Q3242" s="103">
        <v>45420.0</v>
      </c>
      <c r="R3242" s="104"/>
      <c r="S3242" s="103">
        <v>45429.0</v>
      </c>
      <c r="T3242" s="105"/>
      <c r="U3242" s="98"/>
      <c r="V3242" s="96" t="s">
        <v>3221</v>
      </c>
    </row>
    <row r="3243">
      <c r="A3243" s="95">
        <v>118.0</v>
      </c>
      <c r="B3243" s="96" t="s">
        <v>65</v>
      </c>
      <c r="C3243" s="96" t="s">
        <v>3210</v>
      </c>
      <c r="D3243" s="96" t="s">
        <v>197</v>
      </c>
      <c r="E3243" s="41" t="str">
        <f>IFERROR(__xludf.DUMMYFUNCTION("IFNA(vlookup(D3243,IMPORTRANGE(""https://docs.google.com/spreadsheets/d/1swGwZOEqYlTEUCJLY-eeJM1911Kvaei5oySBIxdgtNo/edit?pli=1#gid=257618397"",""stock untanna!B:C""),2,false),V:V)"),"BP TF G-3114 0.3MM HIGHTECH KNOCK")</f>
        <v>BP TF G-3114 0.3MM HIGHTECH KNOCK</v>
      </c>
      <c r="F3243" s="70"/>
      <c r="G3243" s="70"/>
      <c r="H3243" s="98"/>
      <c r="I3243" s="99"/>
      <c r="J3243" s="43" t="s">
        <v>1319</v>
      </c>
      <c r="K3243" s="95">
        <v>12.0</v>
      </c>
      <c r="L3243" s="53" t="s">
        <v>62</v>
      </c>
      <c r="M3243" s="106">
        <v>36500.0</v>
      </c>
      <c r="N3243" s="107"/>
      <c r="O3243" s="87">
        <f t="shared" si="11"/>
        <v>438000</v>
      </c>
      <c r="P3243" s="102" t="str">
        <f t="shared" si="2"/>
        <v>Rp36,500-12 LSN-0.00%</v>
      </c>
      <c r="Q3243" s="103">
        <v>45420.0</v>
      </c>
      <c r="R3243" s="104"/>
      <c r="S3243" s="103">
        <v>45429.0</v>
      </c>
      <c r="T3243" s="105"/>
      <c r="U3243" s="98"/>
      <c r="V3243" s="96" t="s">
        <v>198</v>
      </c>
    </row>
    <row r="3244">
      <c r="A3244" s="95">
        <v>118.0</v>
      </c>
      <c r="B3244" s="96" t="s">
        <v>65</v>
      </c>
      <c r="C3244" s="96" t="s">
        <v>3210</v>
      </c>
      <c r="D3244" s="96" t="s">
        <v>1956</v>
      </c>
      <c r="E3244" s="41" t="str">
        <f>IFERROR(__xludf.DUMMYFUNCTION("IFNA(vlookup(D3244,IMPORTRANGE(""https://docs.google.com/spreadsheets/d/1swGwZOEqYlTEUCJLY-eeJM1911Kvaei5oySBIxdgtNo/edit?pli=1#gid=257618397"",""stock untanna!B:C""),2,false),V:V)"),"KUAS 21839-W")</f>
        <v>KUAS 21839-W</v>
      </c>
      <c r="F3244" s="70"/>
      <c r="G3244" s="70"/>
      <c r="H3244" s="98"/>
      <c r="I3244" s="99"/>
      <c r="J3244" s="43" t="s">
        <v>1319</v>
      </c>
      <c r="K3244" s="95">
        <v>12.0</v>
      </c>
      <c r="L3244" s="53" t="s">
        <v>69</v>
      </c>
      <c r="M3244" s="106">
        <v>14583.3</v>
      </c>
      <c r="N3244" s="107"/>
      <c r="O3244" s="87">
        <f t="shared" si="11"/>
        <v>174999.6</v>
      </c>
      <c r="P3244" s="102" t="str">
        <f t="shared" si="2"/>
        <v>Rp14,583-12 PCS-0.00%</v>
      </c>
      <c r="Q3244" s="103">
        <v>45420.0</v>
      </c>
      <c r="R3244" s="104"/>
      <c r="S3244" s="103">
        <v>45429.0</v>
      </c>
      <c r="T3244" s="105"/>
      <c r="U3244" s="98"/>
      <c r="V3244" s="96" t="s">
        <v>1957</v>
      </c>
    </row>
    <row r="3245">
      <c r="A3245" s="95">
        <v>118.0</v>
      </c>
      <c r="B3245" s="96" t="s">
        <v>65</v>
      </c>
      <c r="C3245" s="96" t="s">
        <v>3210</v>
      </c>
      <c r="D3245" s="96" t="s">
        <v>98</v>
      </c>
      <c r="E3245" s="41" t="str">
        <f>IFERROR(__xludf.DUMMYFUNCTION("IFNA(vlookup(D3245,IMPORTRANGE(""https://docs.google.com/spreadsheets/d/1swGwZOEqYlTEUCJLY-eeJM1911Kvaei5oySBIxdgtNo/edit?pli=1#gid=257618397"",""stock untanna!B:C""),2,false),V:V)"),"TALI ID CARD PEONY MERAH")</f>
        <v>TALI ID CARD PEONY MERAH</v>
      </c>
      <c r="F3245" s="70"/>
      <c r="G3245" s="70"/>
      <c r="H3245" s="98"/>
      <c r="I3245" s="99"/>
      <c r="J3245" s="43" t="s">
        <v>1319</v>
      </c>
      <c r="K3245" s="95">
        <v>400.0</v>
      </c>
      <c r="L3245" s="53" t="s">
        <v>69</v>
      </c>
      <c r="M3245" s="106">
        <v>475.0</v>
      </c>
      <c r="N3245" s="107"/>
      <c r="O3245" s="87">
        <f t="shared" si="11"/>
        <v>190000</v>
      </c>
      <c r="P3245" s="102" t="str">
        <f t="shared" si="2"/>
        <v>Rp475-400 PCS-0.00%</v>
      </c>
      <c r="Q3245" s="103">
        <v>45420.0</v>
      </c>
      <c r="R3245" s="104"/>
      <c r="S3245" s="103">
        <v>45429.0</v>
      </c>
      <c r="T3245" s="105"/>
      <c r="U3245" s="98"/>
      <c r="V3245" s="96" t="s">
        <v>99</v>
      </c>
    </row>
    <row r="3246">
      <c r="A3246" s="95">
        <v>119.0</v>
      </c>
      <c r="B3246" s="96" t="s">
        <v>65</v>
      </c>
      <c r="C3246" s="96" t="s">
        <v>3210</v>
      </c>
      <c r="D3246" s="96" t="s">
        <v>101</v>
      </c>
      <c r="E3246" s="41" t="str">
        <f>IFERROR(__xludf.DUMMYFUNCTION("IFNA(vlookup(D3246,IMPORTRANGE(""https://docs.google.com/spreadsheets/d/1swGwZOEqYlTEUCJLY-eeJM1911Kvaei5oySBIxdgtNo/edit?pli=1#gid=257618397"",""stock untanna!B:C""),2,false),V:V)"),"TALI ID CARD PEONY BIRU")</f>
        <v>TALI ID CARD PEONY BIRU</v>
      </c>
      <c r="F3246" s="70"/>
      <c r="G3246" s="70"/>
      <c r="H3246" s="98"/>
      <c r="I3246" s="99"/>
      <c r="J3246" s="43" t="s">
        <v>1319</v>
      </c>
      <c r="K3246" s="95">
        <v>400.0</v>
      </c>
      <c r="L3246" s="53" t="s">
        <v>69</v>
      </c>
      <c r="M3246" s="106">
        <v>475.0</v>
      </c>
      <c r="N3246" s="107"/>
      <c r="O3246" s="87">
        <f t="shared" si="11"/>
        <v>190000</v>
      </c>
      <c r="P3246" s="102" t="str">
        <f t="shared" si="2"/>
        <v>Rp475-400 PCS-0.00%</v>
      </c>
      <c r="Q3246" s="103">
        <v>45420.0</v>
      </c>
      <c r="R3246" s="104"/>
      <c r="S3246" s="103">
        <v>45429.0</v>
      </c>
      <c r="T3246" s="105"/>
      <c r="U3246" s="98"/>
      <c r="V3246" s="96" t="s">
        <v>102</v>
      </c>
    </row>
    <row r="3247">
      <c r="A3247" s="95">
        <v>119.0</v>
      </c>
      <c r="B3247" s="96" t="s">
        <v>65</v>
      </c>
      <c r="C3247" s="96" t="s">
        <v>3210</v>
      </c>
      <c r="D3247" s="97"/>
      <c r="E3247" s="41" t="str">
        <f>IFERROR(__xludf.DUMMYFUNCTION("IFNA(vlookup(D3247,IMPORTRANGE(""https://docs.google.com/spreadsheets/d/1swGwZOEqYlTEUCJLY-eeJM1911Kvaei5oySBIxdgtNo/edit?pli=1#gid=257618397"",""stock untanna!B:C""),2,false),V:V)"),"KUAS WLT 5796")</f>
        <v>KUAS WLT 5796</v>
      </c>
      <c r="F3247" s="70"/>
      <c r="G3247" s="70"/>
      <c r="H3247" s="98"/>
      <c r="I3247" s="99"/>
      <c r="J3247" s="43" t="s">
        <v>3190</v>
      </c>
      <c r="K3247" s="95">
        <v>6.0</v>
      </c>
      <c r="L3247" s="53" t="s">
        <v>84</v>
      </c>
      <c r="M3247" s="106">
        <v>17500.0</v>
      </c>
      <c r="N3247" s="107"/>
      <c r="O3247" s="87">
        <f t="shared" si="11"/>
        <v>105000</v>
      </c>
      <c r="P3247" s="102" t="str">
        <f t="shared" si="2"/>
        <v>Rp17,500-6 SET-0.00%</v>
      </c>
      <c r="Q3247" s="103">
        <v>45420.0</v>
      </c>
      <c r="R3247" s="104"/>
      <c r="S3247" s="103">
        <v>45429.0</v>
      </c>
      <c r="T3247" s="105"/>
      <c r="U3247" s="98"/>
      <c r="V3247" s="96" t="s">
        <v>3222</v>
      </c>
    </row>
    <row r="3248">
      <c r="A3248" s="95">
        <v>119.0</v>
      </c>
      <c r="B3248" s="96" t="s">
        <v>65</v>
      </c>
      <c r="C3248" s="96" t="s">
        <v>3210</v>
      </c>
      <c r="D3248" s="96" t="s">
        <v>647</v>
      </c>
      <c r="E3248" s="41" t="str">
        <f>IFERROR(__xludf.DUMMYFUNCTION("IFNA(vlookup(D3248,IMPORTRANGE(""https://docs.google.com/spreadsheets/d/1swGwZOEqYlTEUCJLY-eeJM1911Kvaei5oySBIxdgtNo/edit?pli=1#gid=257618397"",""stock untanna!B:C""),2,false),V:V)"),"KUAS 251-6CJ")</f>
        <v>KUAS 251-6CJ</v>
      </c>
      <c r="F3248" s="70"/>
      <c r="G3248" s="70"/>
      <c r="H3248" s="98"/>
      <c r="I3248" s="99"/>
      <c r="J3248" s="43" t="s">
        <v>1319</v>
      </c>
      <c r="K3248" s="95">
        <v>6.0</v>
      </c>
      <c r="L3248" s="53" t="s">
        <v>84</v>
      </c>
      <c r="M3248" s="106">
        <v>10000.0</v>
      </c>
      <c r="N3248" s="107"/>
      <c r="O3248" s="87">
        <f t="shared" si="11"/>
        <v>60000</v>
      </c>
      <c r="P3248" s="102" t="str">
        <f t="shared" si="2"/>
        <v>Rp10,000-6 SET-0.00%</v>
      </c>
      <c r="Q3248" s="103">
        <v>45420.0</v>
      </c>
      <c r="R3248" s="104"/>
      <c r="S3248" s="103">
        <v>45429.0</v>
      </c>
      <c r="T3248" s="105"/>
      <c r="U3248" s="98"/>
      <c r="V3248" s="96" t="s">
        <v>648</v>
      </c>
    </row>
    <row r="3249">
      <c r="A3249" s="95">
        <v>119.0</v>
      </c>
      <c r="B3249" s="96" t="s">
        <v>65</v>
      </c>
      <c r="C3249" s="96" t="s">
        <v>3210</v>
      </c>
      <c r="D3249" s="97"/>
      <c r="E3249" s="41" t="str">
        <f>IFERROR(__xludf.DUMMYFUNCTION("IFNA(vlookup(D3249,IMPORTRANGE(""https://docs.google.com/spreadsheets/d/1swGwZOEqYlTEUCJLY-eeJM1911Kvaei5oySBIxdgtNo/edit?pli=1#gid=257618397"",""stock untanna!B:C""),2,false),V:V)"),"KUAS 21839-5HB")</f>
        <v>KUAS 21839-5HB</v>
      </c>
      <c r="F3249" s="70"/>
      <c r="G3249" s="70"/>
      <c r="H3249" s="98"/>
      <c r="I3249" s="99"/>
      <c r="J3249" s="43" t="s">
        <v>1319</v>
      </c>
      <c r="K3249" s="95">
        <v>6.0</v>
      </c>
      <c r="L3249" s="53" t="s">
        <v>84</v>
      </c>
      <c r="M3249" s="106">
        <v>15000.0</v>
      </c>
      <c r="N3249" s="107"/>
      <c r="O3249" s="87">
        <f t="shared" si="11"/>
        <v>90000</v>
      </c>
      <c r="P3249" s="102" t="str">
        <f t="shared" si="2"/>
        <v>Rp15,000-6 SET-0.00%</v>
      </c>
      <c r="Q3249" s="103">
        <v>45420.0</v>
      </c>
      <c r="R3249" s="104"/>
      <c r="S3249" s="103">
        <v>45429.0</v>
      </c>
      <c r="T3249" s="96" t="s">
        <v>280</v>
      </c>
      <c r="U3249" s="98"/>
      <c r="V3249" s="96" t="s">
        <v>191</v>
      </c>
    </row>
    <row r="3250">
      <c r="A3250" s="95">
        <v>119.0</v>
      </c>
      <c r="B3250" s="96" t="s">
        <v>65</v>
      </c>
      <c r="C3250" s="96" t="s">
        <v>3210</v>
      </c>
      <c r="D3250" s="96" t="s">
        <v>3223</v>
      </c>
      <c r="E3250" s="41" t="str">
        <f>IFERROR(__xludf.DUMMYFUNCTION("IFNA(vlookup(D3250,IMPORTRANGE(""https://docs.google.com/spreadsheets/d/1swGwZOEqYlTEUCJLY-eeJM1911Kvaei5oySBIxdgtNo/edit?pli=1#gid=257618397"",""stock untanna!B:C""),2,false),V:V)"),"KUAS 21839-10B")</f>
        <v>KUAS 21839-10B</v>
      </c>
      <c r="F3250" s="70"/>
      <c r="G3250" s="70"/>
      <c r="H3250" s="98"/>
      <c r="I3250" s="99"/>
      <c r="J3250" s="43" t="s">
        <v>1319</v>
      </c>
      <c r="K3250" s="95">
        <v>6.0</v>
      </c>
      <c r="L3250" s="53" t="s">
        <v>84</v>
      </c>
      <c r="M3250" s="106">
        <v>25000.0</v>
      </c>
      <c r="N3250" s="107"/>
      <c r="O3250" s="87">
        <f t="shared" si="11"/>
        <v>150000</v>
      </c>
      <c r="P3250" s="102" t="str">
        <f t="shared" si="2"/>
        <v>Rp25,000-6 SET-0.00%</v>
      </c>
      <c r="Q3250" s="103">
        <v>45420.0</v>
      </c>
      <c r="R3250" s="104"/>
      <c r="S3250" s="103">
        <v>45429.0</v>
      </c>
      <c r="T3250" s="105"/>
      <c r="U3250" s="98"/>
      <c r="V3250" s="96" t="s">
        <v>3224</v>
      </c>
    </row>
    <row r="3251">
      <c r="A3251" s="95">
        <v>119.0</v>
      </c>
      <c r="B3251" s="96" t="s">
        <v>65</v>
      </c>
      <c r="C3251" s="96" t="s">
        <v>3210</v>
      </c>
      <c r="D3251" s="97"/>
      <c r="E3251" s="41" t="str">
        <f>IFERROR(__xludf.DUMMYFUNCTION("IFNA(vlookup(D3251,IMPORTRANGE(""https://docs.google.com/spreadsheets/d/1swGwZOEqYlTEUCJLY-eeJM1911Kvaei5oySBIxdgtNo/edit?pli=1#gid=257618397"",""stock untanna!B:C""),2,false),V:V)"),"KUAS A-1")</f>
        <v>KUAS A-1</v>
      </c>
      <c r="F3251" s="70"/>
      <c r="G3251" s="70"/>
      <c r="H3251" s="98"/>
      <c r="I3251" s="99"/>
      <c r="J3251" s="43" t="s">
        <v>1319</v>
      </c>
      <c r="K3251" s="95">
        <v>6.0</v>
      </c>
      <c r="L3251" s="53" t="s">
        <v>84</v>
      </c>
      <c r="M3251" s="106">
        <v>11000.0</v>
      </c>
      <c r="N3251" s="107"/>
      <c r="O3251" s="87">
        <f t="shared" si="11"/>
        <v>66000</v>
      </c>
      <c r="P3251" s="102" t="str">
        <f t="shared" si="2"/>
        <v>Rp11,000-6 SET-0.00%</v>
      </c>
      <c r="Q3251" s="103">
        <v>45420.0</v>
      </c>
      <c r="R3251" s="104"/>
      <c r="S3251" s="103">
        <v>45429.0</v>
      </c>
      <c r="T3251" s="96" t="s">
        <v>280</v>
      </c>
      <c r="U3251" s="98"/>
      <c r="V3251" s="96" t="s">
        <v>2752</v>
      </c>
    </row>
    <row r="3252">
      <c r="A3252" s="95">
        <v>119.0</v>
      </c>
      <c r="B3252" s="96" t="s">
        <v>65</v>
      </c>
      <c r="C3252" s="96" t="s">
        <v>3210</v>
      </c>
      <c r="D3252" s="96" t="s">
        <v>849</v>
      </c>
      <c r="E3252" s="41" t="str">
        <f>IFERROR(__xludf.DUMMYFUNCTION("IFNA(vlookup(D3252,IMPORTRANGE(""https://docs.google.com/spreadsheets/d/1swGwZOEqYlTEUCJLY-eeJM1911Kvaei5oySBIxdgtNo/edit?pli=1#gid=257618397"",""stock untanna!B:C""),2,false),V:V)"),"LOOSE LEAF HOLO A5 SOFIA")</f>
        <v>LOOSE LEAF HOLO A5 SOFIA</v>
      </c>
      <c r="F3252" s="70"/>
      <c r="G3252" s="70"/>
      <c r="H3252" s="98"/>
      <c r="I3252" s="99"/>
      <c r="J3252" s="43" t="s">
        <v>1319</v>
      </c>
      <c r="K3252" s="95">
        <v>40.0</v>
      </c>
      <c r="L3252" s="53" t="s">
        <v>69</v>
      </c>
      <c r="M3252" s="106">
        <v>2500.0</v>
      </c>
      <c r="N3252" s="107"/>
      <c r="O3252" s="87">
        <f t="shared" si="11"/>
        <v>100000</v>
      </c>
      <c r="P3252" s="102" t="str">
        <f t="shared" si="2"/>
        <v>Rp2,500-40 PCS-0.00%</v>
      </c>
      <c r="Q3252" s="103">
        <v>45420.0</v>
      </c>
      <c r="R3252" s="104"/>
      <c r="S3252" s="103">
        <v>45429.0</v>
      </c>
      <c r="T3252" s="105"/>
      <c r="U3252" s="98"/>
      <c r="V3252" s="96" t="s">
        <v>850</v>
      </c>
    </row>
    <row r="3253">
      <c r="A3253" s="95">
        <v>119.0</v>
      </c>
      <c r="B3253" s="96" t="s">
        <v>65</v>
      </c>
      <c r="C3253" s="96" t="s">
        <v>3210</v>
      </c>
      <c r="D3253" s="97"/>
      <c r="E3253" s="41" t="str">
        <f>IFERROR(__xludf.DUMMYFUNCTION("IFNA(vlookup(D3253,IMPORTRANGE(""https://docs.google.com/spreadsheets/d/1swGwZOEqYlTEUCJLY-eeJM1911Kvaei5oySBIxdgtNo/edit?pli=1#gid=257618397"",""stock untanna!B:C""),2,false),V:V)"),"L LEAF A5 LLP 15 BIASA")</f>
        <v>L LEAF A5 LLP 15 BIASA</v>
      </c>
      <c r="F3253" s="70"/>
      <c r="G3253" s="70"/>
      <c r="H3253" s="98"/>
      <c r="I3253" s="99"/>
      <c r="J3253" s="43" t="s">
        <v>3190</v>
      </c>
      <c r="K3253" s="95">
        <v>10.0</v>
      </c>
      <c r="L3253" s="53" t="s">
        <v>69</v>
      </c>
      <c r="M3253" s="106">
        <v>2500.0</v>
      </c>
      <c r="N3253" s="107"/>
      <c r="O3253" s="87">
        <f t="shared" si="11"/>
        <v>25000</v>
      </c>
      <c r="P3253" s="102" t="str">
        <f t="shared" si="2"/>
        <v>Rp2,500-10 PCS-0.00%</v>
      </c>
      <c r="Q3253" s="103">
        <v>45420.0</v>
      </c>
      <c r="R3253" s="104"/>
      <c r="S3253" s="103">
        <v>45429.0</v>
      </c>
      <c r="T3253" s="105"/>
      <c r="U3253" s="98"/>
      <c r="V3253" s="96" t="s">
        <v>3225</v>
      </c>
    </row>
    <row r="3254">
      <c r="A3254" s="95">
        <v>119.0</v>
      </c>
      <c r="B3254" s="96" t="s">
        <v>65</v>
      </c>
      <c r="C3254" s="96" t="s">
        <v>3210</v>
      </c>
      <c r="D3254" s="96" t="s">
        <v>3226</v>
      </c>
      <c r="E3254" s="41" t="str">
        <f>IFERROR(__xludf.DUMMYFUNCTION("IFNA(vlookup(D3254,IMPORTRANGE(""https://docs.google.com/spreadsheets/d/1swGwZOEqYlTEUCJLY-eeJM1911Kvaei5oySBIxdgtNo/edit?pli=1#gid=257618397"",""stock untanna!B:C""),2,false),V:V)"),"LOOSE LEAF A5-50LBR RAINBOW POLOS")</f>
        <v>LOOSE LEAF A5-50LBR RAINBOW POLOS</v>
      </c>
      <c r="F3254" s="70"/>
      <c r="G3254" s="70"/>
      <c r="H3254" s="98"/>
      <c r="I3254" s="99"/>
      <c r="J3254" s="43" t="s">
        <v>1319</v>
      </c>
      <c r="K3254" s="95">
        <v>10.0</v>
      </c>
      <c r="L3254" s="53" t="s">
        <v>69</v>
      </c>
      <c r="M3254" s="106">
        <v>7000.0</v>
      </c>
      <c r="N3254" s="107"/>
      <c r="O3254" s="87">
        <f t="shared" si="11"/>
        <v>70000</v>
      </c>
      <c r="P3254" s="102" t="str">
        <f t="shared" si="2"/>
        <v>Rp7,000-10 PCS-0.00%</v>
      </c>
      <c r="Q3254" s="103">
        <v>45420.0</v>
      </c>
      <c r="R3254" s="104"/>
      <c r="S3254" s="103">
        <v>45429.0</v>
      </c>
      <c r="T3254" s="96" t="s">
        <v>100</v>
      </c>
      <c r="U3254" s="98"/>
      <c r="V3254" s="96" t="s">
        <v>3227</v>
      </c>
    </row>
    <row r="3255">
      <c r="A3255" s="95">
        <v>119.0</v>
      </c>
      <c r="B3255" s="96" t="s">
        <v>65</v>
      </c>
      <c r="C3255" s="96" t="s">
        <v>3210</v>
      </c>
      <c r="D3255" s="96" t="s">
        <v>3069</v>
      </c>
      <c r="E3255" s="41" t="str">
        <f>IFERROR(__xludf.DUMMYFUNCTION("IFNA(vlookup(D3255,IMPORTRANGE(""https://docs.google.com/spreadsheets/d/1swGwZOEqYlTEUCJLY-eeJM1911Kvaei5oySBIxdgtNo/edit?pli=1#gid=257618397"",""stock untanna!B:C""),2,false),V:V)"),"PC K 93")</f>
        <v>PC K 93</v>
      </c>
      <c r="F3255" s="70"/>
      <c r="G3255" s="70"/>
      <c r="H3255" s="98"/>
      <c r="I3255" s="99"/>
      <c r="J3255" s="43" t="s">
        <v>1319</v>
      </c>
      <c r="K3255" s="95">
        <v>24.0</v>
      </c>
      <c r="L3255" s="53" t="s">
        <v>69</v>
      </c>
      <c r="M3255" s="106">
        <v>7083.33</v>
      </c>
      <c r="N3255" s="107"/>
      <c r="O3255" s="87">
        <f t="shared" si="11"/>
        <v>169999.92</v>
      </c>
      <c r="P3255" s="102" t="str">
        <f t="shared" si="2"/>
        <v>Rp7,083-24 PCS-0.00%</v>
      </c>
      <c r="Q3255" s="103">
        <v>45420.0</v>
      </c>
      <c r="R3255" s="104"/>
      <c r="S3255" s="103">
        <v>45429.0</v>
      </c>
      <c r="T3255" s="105"/>
      <c r="U3255" s="98"/>
      <c r="V3255" s="96" t="s">
        <v>3070</v>
      </c>
    </row>
    <row r="3256">
      <c r="A3256" s="95">
        <v>119.0</v>
      </c>
      <c r="B3256" s="96" t="s">
        <v>65</v>
      </c>
      <c r="C3256" s="96" t="s">
        <v>3210</v>
      </c>
      <c r="D3256" s="96" t="s">
        <v>2174</v>
      </c>
      <c r="E3256" s="41" t="str">
        <f>IFERROR(__xludf.DUMMYFUNCTION("IFNA(vlookup(D3256,IMPORTRANGE(""https://docs.google.com/spreadsheets/d/1swGwZOEqYlTEUCJLY-eeJM1911Kvaei5oySBIxdgtNo/edit?pli=1#gid=257618397"",""stock untanna!B:C""),2,false),V:V)"),"TALI ID CARD PEONY HITAM")</f>
        <v>TALI ID CARD PEONY HITAM</v>
      </c>
      <c r="F3256" s="70"/>
      <c r="G3256" s="70"/>
      <c r="H3256" s="98"/>
      <c r="I3256" s="99"/>
      <c r="J3256" s="43" t="s">
        <v>1319</v>
      </c>
      <c r="K3256" s="95">
        <v>200.0</v>
      </c>
      <c r="L3256" s="53" t="s">
        <v>69</v>
      </c>
      <c r="M3256" s="106">
        <v>475.0</v>
      </c>
      <c r="N3256" s="107"/>
      <c r="O3256" s="87">
        <f t="shared" si="11"/>
        <v>95000</v>
      </c>
      <c r="P3256" s="102" t="str">
        <f t="shared" si="2"/>
        <v>Rp475-200 PCS-0.00%</v>
      </c>
      <c r="Q3256" s="103">
        <v>45420.0</v>
      </c>
      <c r="R3256" s="104"/>
      <c r="S3256" s="103">
        <v>45429.0</v>
      </c>
      <c r="T3256" s="105"/>
      <c r="U3256" s="98"/>
      <c r="V3256" s="96" t="s">
        <v>2175</v>
      </c>
    </row>
    <row r="3257">
      <c r="A3257" s="95">
        <v>119.0</v>
      </c>
      <c r="B3257" s="96" t="s">
        <v>65</v>
      </c>
      <c r="C3257" s="96" t="s">
        <v>3210</v>
      </c>
      <c r="D3257" s="96" t="s">
        <v>2172</v>
      </c>
      <c r="E3257" s="41" t="str">
        <f>IFERROR(__xludf.DUMMYFUNCTION("IFNA(vlookup(D3257,IMPORTRANGE(""https://docs.google.com/spreadsheets/d/1swGwZOEqYlTEUCJLY-eeJM1911Kvaei5oySBIxdgtNo/edit?pli=1#gid=257618397"",""stock untanna!B:C""),2,false),V:V)"),"TALI ID CARD PEONY KUNING")</f>
        <v>TALI ID CARD PEONY KUNING</v>
      </c>
      <c r="F3257" s="70"/>
      <c r="G3257" s="70"/>
      <c r="H3257" s="98"/>
      <c r="I3257" s="99"/>
      <c r="J3257" s="43" t="s">
        <v>1319</v>
      </c>
      <c r="K3257" s="95">
        <v>200.0</v>
      </c>
      <c r="L3257" s="53" t="s">
        <v>69</v>
      </c>
      <c r="M3257" s="106">
        <v>475.0</v>
      </c>
      <c r="N3257" s="107"/>
      <c r="O3257" s="87">
        <f t="shared" si="11"/>
        <v>95000</v>
      </c>
      <c r="P3257" s="102" t="str">
        <f t="shared" si="2"/>
        <v>Rp475-200 PCS-0.00%</v>
      </c>
      <c r="Q3257" s="103">
        <v>45420.0</v>
      </c>
      <c r="R3257" s="104"/>
      <c r="S3257" s="103">
        <v>45429.0</v>
      </c>
      <c r="T3257" s="105"/>
      <c r="U3257" s="98"/>
      <c r="V3257" s="96" t="s">
        <v>2173</v>
      </c>
    </row>
    <row r="3258">
      <c r="A3258" s="95">
        <v>119.0</v>
      </c>
      <c r="B3258" s="96" t="s">
        <v>65</v>
      </c>
      <c r="C3258" s="96" t="s">
        <v>3210</v>
      </c>
      <c r="D3258" s="96" t="s">
        <v>3228</v>
      </c>
      <c r="E3258" s="41" t="str">
        <f>IFERROR(__xludf.DUMMYFUNCTION("IFNA(vlookup(D3258,IMPORTRANGE(""https://docs.google.com/spreadsheets/d/1swGwZOEqYlTEUCJLY-eeJM1911Kvaei5oySBIxdgtNo/edit?pli=1#gid=257618397"",""stock untanna!B:C""),2,false),V:V)"),"TALI ID CARD PEONY PUTIH")</f>
        <v>TALI ID CARD PEONY PUTIH</v>
      </c>
      <c r="F3258" s="70"/>
      <c r="G3258" s="70"/>
      <c r="H3258" s="98"/>
      <c r="I3258" s="99"/>
      <c r="J3258" s="43" t="s">
        <v>1319</v>
      </c>
      <c r="K3258" s="95">
        <v>200.0</v>
      </c>
      <c r="L3258" s="53" t="s">
        <v>69</v>
      </c>
      <c r="M3258" s="106">
        <v>475.0</v>
      </c>
      <c r="N3258" s="107"/>
      <c r="O3258" s="87">
        <f t="shared" si="11"/>
        <v>95000</v>
      </c>
      <c r="P3258" s="102" t="str">
        <f t="shared" si="2"/>
        <v>Rp475-200 PCS-0.00%</v>
      </c>
      <c r="Q3258" s="103">
        <v>45420.0</v>
      </c>
      <c r="R3258" s="104"/>
      <c r="S3258" s="103">
        <v>45429.0</v>
      </c>
      <c r="T3258" s="105"/>
      <c r="U3258" s="98"/>
      <c r="V3258" s="96" t="s">
        <v>3229</v>
      </c>
    </row>
    <row r="3259">
      <c r="A3259" s="95">
        <v>119.0</v>
      </c>
      <c r="B3259" s="96" t="s">
        <v>65</v>
      </c>
      <c r="C3259" s="96" t="s">
        <v>3210</v>
      </c>
      <c r="D3259" s="96" t="s">
        <v>3230</v>
      </c>
      <c r="E3259" s="41" t="str">
        <f>IFERROR(__xludf.DUMMYFUNCTION("IFNA(vlookup(D3259,IMPORTRANGE(""https://docs.google.com/spreadsheets/d/1swGwZOEqYlTEUCJLY-eeJM1911Kvaei5oySBIxdgtNo/edit?pli=1#gid=257618397"",""stock untanna!B:C""),2,false),V:V)"),"TALI ID CARD PEONY HIJAU")</f>
        <v>TALI ID CARD PEONY HIJAU</v>
      </c>
      <c r="F3259" s="70"/>
      <c r="G3259" s="70"/>
      <c r="H3259" s="98"/>
      <c r="I3259" s="99"/>
      <c r="J3259" s="43" t="s">
        <v>1319</v>
      </c>
      <c r="K3259" s="95">
        <v>200.0</v>
      </c>
      <c r="L3259" s="53" t="s">
        <v>69</v>
      </c>
      <c r="M3259" s="106">
        <v>475.0</v>
      </c>
      <c r="N3259" s="107"/>
      <c r="O3259" s="87">
        <f t="shared" si="11"/>
        <v>95000</v>
      </c>
      <c r="P3259" s="102" t="str">
        <f t="shared" si="2"/>
        <v>Rp475-200 PCS-0.00%</v>
      </c>
      <c r="Q3259" s="103">
        <v>45420.0</v>
      </c>
      <c r="R3259" s="104"/>
      <c r="S3259" s="103">
        <v>45429.0</v>
      </c>
      <c r="T3259" s="105"/>
      <c r="U3259" s="98"/>
      <c r="V3259" s="96" t="s">
        <v>3231</v>
      </c>
    </row>
    <row r="3260">
      <c r="A3260" s="95">
        <v>119.0</v>
      </c>
      <c r="B3260" s="96" t="s">
        <v>65</v>
      </c>
      <c r="C3260" s="96" t="s">
        <v>3210</v>
      </c>
      <c r="D3260" s="96" t="s">
        <v>3232</v>
      </c>
      <c r="E3260" s="41" t="str">
        <f>IFERROR(__xludf.DUMMYFUNCTION("IFNA(vlookup(D3260,IMPORTRANGE(""https://docs.google.com/spreadsheets/d/1swGwZOEqYlTEUCJLY-eeJM1911Kvaei5oySBIxdgtNo/edit?pli=1#gid=257618397"",""stock untanna!B:C""),2,false),V:V)"),"TALI ID CARD PEONY ORANYE")</f>
        <v>TALI ID CARD PEONY ORANYE</v>
      </c>
      <c r="F3260" s="70"/>
      <c r="G3260" s="70"/>
      <c r="H3260" s="98"/>
      <c r="I3260" s="99"/>
      <c r="J3260" s="43" t="s">
        <v>1319</v>
      </c>
      <c r="K3260" s="95">
        <v>200.0</v>
      </c>
      <c r="L3260" s="53" t="s">
        <v>69</v>
      </c>
      <c r="M3260" s="106">
        <v>475.0</v>
      </c>
      <c r="N3260" s="107"/>
      <c r="O3260" s="87">
        <f t="shared" si="11"/>
        <v>95000</v>
      </c>
      <c r="P3260" s="102" t="str">
        <f t="shared" si="2"/>
        <v>Rp475-200 PCS-0.00%</v>
      </c>
      <c r="Q3260" s="103">
        <v>45420.0</v>
      </c>
      <c r="R3260" s="104"/>
      <c r="S3260" s="103">
        <v>45429.0</v>
      </c>
      <c r="T3260" s="105"/>
      <c r="U3260" s="98"/>
      <c r="V3260" s="96" t="s">
        <v>3233</v>
      </c>
    </row>
    <row r="3261">
      <c r="A3261" s="95">
        <v>120.0</v>
      </c>
      <c r="B3261" s="96" t="s">
        <v>65</v>
      </c>
      <c r="C3261" s="96" t="s">
        <v>3210</v>
      </c>
      <c r="D3261" s="97"/>
      <c r="E3261" s="41" t="str">
        <f>IFERROR(__xludf.DUMMYFUNCTION("IFNA(vlookup(D3261,IMPORTRANGE(""https://docs.google.com/spreadsheets/d/1swGwZOEqYlTEUCJLY-eeJM1911Kvaei5oySBIxdgtNo/edit?pli=1#gid=257618397"",""stock untanna!B:C""),2,false),V:V)"),"PC RET KY 6173")</f>
        <v>PC RET KY 6173</v>
      </c>
      <c r="F3261" s="70"/>
      <c r="G3261" s="70"/>
      <c r="H3261" s="98"/>
      <c r="I3261" s="99"/>
      <c r="J3261" s="43" t="s">
        <v>1319</v>
      </c>
      <c r="K3261" s="95">
        <v>1.0</v>
      </c>
      <c r="L3261" s="53" t="s">
        <v>62</v>
      </c>
      <c r="M3261" s="106">
        <v>275000.0</v>
      </c>
      <c r="N3261" s="107"/>
      <c r="O3261" s="87">
        <f t="shared" si="11"/>
        <v>275000</v>
      </c>
      <c r="P3261" s="102" t="str">
        <f t="shared" si="2"/>
        <v>Rp275,000-1 LSN-0.00%</v>
      </c>
      <c r="Q3261" s="103">
        <v>45420.0</v>
      </c>
      <c r="R3261" s="104"/>
      <c r="S3261" s="103">
        <v>45429.0</v>
      </c>
      <c r="T3261" s="96" t="s">
        <v>280</v>
      </c>
      <c r="U3261" s="98"/>
      <c r="V3261" s="96" t="s">
        <v>2381</v>
      </c>
    </row>
    <row r="3262">
      <c r="A3262" s="95">
        <v>120.0</v>
      </c>
      <c r="B3262" s="96" t="s">
        <v>65</v>
      </c>
      <c r="C3262" s="96" t="s">
        <v>3210</v>
      </c>
      <c r="D3262" s="96" t="s">
        <v>1047</v>
      </c>
      <c r="E3262" s="41" t="str">
        <f>IFERROR(__xludf.DUMMYFUNCTION("IFNA(vlookup(D3262,IMPORTRANGE(""https://docs.google.com/spreadsheets/d/1swGwZOEqYlTEUCJLY-eeJM1911Kvaei5oySBIxdgtNo/edit?pli=1#gid=257618397"",""stock untanna!B:C""),2,false),V:V)"),"PENSIL CASE 5871")</f>
        <v>PENSIL CASE 5871</v>
      </c>
      <c r="F3262" s="70"/>
      <c r="G3262" s="70"/>
      <c r="H3262" s="98"/>
      <c r="I3262" s="99"/>
      <c r="J3262" s="43" t="s">
        <v>1319</v>
      </c>
      <c r="K3262" s="95">
        <v>12.0</v>
      </c>
      <c r="L3262" s="53" t="s">
        <v>69</v>
      </c>
      <c r="M3262" s="106">
        <v>25000.0</v>
      </c>
      <c r="N3262" s="107"/>
      <c r="O3262" s="87">
        <f t="shared" si="11"/>
        <v>300000</v>
      </c>
      <c r="P3262" s="102" t="str">
        <f t="shared" si="2"/>
        <v>Rp25,000-12 PCS-0.00%</v>
      </c>
      <c r="Q3262" s="103">
        <v>45420.0</v>
      </c>
      <c r="R3262" s="104"/>
      <c r="S3262" s="103">
        <v>45429.0</v>
      </c>
      <c r="T3262" s="105"/>
      <c r="U3262" s="98"/>
      <c r="V3262" s="96" t="s">
        <v>1048</v>
      </c>
    </row>
    <row r="3263">
      <c r="A3263" s="95">
        <v>120.0</v>
      </c>
      <c r="B3263" s="96" t="s">
        <v>65</v>
      </c>
      <c r="C3263" s="96" t="s">
        <v>3210</v>
      </c>
      <c r="D3263" s="96" t="s">
        <v>1107</v>
      </c>
      <c r="E3263" s="41" t="str">
        <f>IFERROR(__xludf.DUMMYFUNCTION("IFNA(vlookup(D3263,IMPORTRANGE(""https://docs.google.com/spreadsheets/d/1swGwZOEqYlTEUCJLY-eeJM1911Kvaei5oySBIxdgtNo/edit?pli=1#gid=257618397"",""stock untanna!B:C""),2,false),V:V)"),"PENCIL CASE 5866")</f>
        <v>PENCIL CASE 5866</v>
      </c>
      <c r="F3263" s="70"/>
      <c r="G3263" s="70"/>
      <c r="H3263" s="98"/>
      <c r="I3263" s="99"/>
      <c r="J3263" s="43" t="s">
        <v>1319</v>
      </c>
      <c r="K3263" s="95">
        <v>12.0</v>
      </c>
      <c r="L3263" s="53" t="s">
        <v>69</v>
      </c>
      <c r="M3263" s="106">
        <v>25000.0</v>
      </c>
      <c r="N3263" s="107"/>
      <c r="O3263" s="87">
        <f t="shared" si="11"/>
        <v>300000</v>
      </c>
      <c r="P3263" s="102" t="str">
        <f t="shared" si="2"/>
        <v>Rp25,000-12 PCS-0.00%</v>
      </c>
      <c r="Q3263" s="103">
        <v>45420.0</v>
      </c>
      <c r="R3263" s="104"/>
      <c r="S3263" s="103">
        <v>45429.0</v>
      </c>
      <c r="T3263" s="105"/>
      <c r="U3263" s="98"/>
      <c r="V3263" s="96" t="s">
        <v>1108</v>
      </c>
    </row>
    <row r="3264">
      <c r="A3264" s="95">
        <v>120.0</v>
      </c>
      <c r="B3264" s="96" t="s">
        <v>65</v>
      </c>
      <c r="C3264" s="96" t="s">
        <v>3210</v>
      </c>
      <c r="D3264" s="96" t="s">
        <v>3234</v>
      </c>
      <c r="E3264" s="41" t="str">
        <f>IFERROR(__xludf.DUMMYFUNCTION("IFNA(vlookup(D3264,IMPORTRANGE(""https://docs.google.com/spreadsheets/d/1swGwZOEqYlTEUCJLY-eeJM1911Kvaei5oySBIxdgtNo/edit?pli=1#gid=257618397"",""stock untanna!B:C""),2,false),V:V)"),"TIPEX (706) 001")</f>
        <v>TIPEX (706) 001</v>
      </c>
      <c r="F3264" s="70"/>
      <c r="G3264" s="70"/>
      <c r="H3264" s="98"/>
      <c r="I3264" s="99"/>
      <c r="J3264" s="43" t="s">
        <v>1319</v>
      </c>
      <c r="K3264" s="95">
        <v>0.166666667</v>
      </c>
      <c r="L3264" s="53" t="s">
        <v>62</v>
      </c>
      <c r="M3264" s="106">
        <v>444000.0</v>
      </c>
      <c r="N3264" s="107"/>
      <c r="O3264" s="87">
        <f t="shared" si="11"/>
        <v>74000.00015</v>
      </c>
      <c r="P3264" s="102" t="str">
        <f t="shared" si="2"/>
        <v>Rp444,000-0.166666667 LSN-0.00%</v>
      </c>
      <c r="Q3264" s="103">
        <v>45420.0</v>
      </c>
      <c r="R3264" s="104"/>
      <c r="S3264" s="103">
        <v>45429.0</v>
      </c>
      <c r="T3264" s="105"/>
      <c r="U3264" s="98"/>
      <c r="V3264" s="96" t="s">
        <v>3235</v>
      </c>
    </row>
    <row r="3265">
      <c r="A3265" s="95">
        <v>120.0</v>
      </c>
      <c r="B3265" s="96" t="s">
        <v>65</v>
      </c>
      <c r="C3265" s="96" t="s">
        <v>3210</v>
      </c>
      <c r="D3265" s="96" t="s">
        <v>3236</v>
      </c>
      <c r="E3265" s="41" t="str">
        <f>IFERROR(__xludf.DUMMYFUNCTION("IFNA(vlookup(D3265,IMPORTRANGE(""https://docs.google.com/spreadsheets/d/1swGwZOEqYlTEUCJLY-eeJM1911Kvaei5oySBIxdgtNo/edit?pli=1#gid=257618397"",""stock untanna!B:C""),2,false),V:V)"),"BP GEL GP-801 NEW KOALA HTM")</f>
        <v>BP GEL GP-801 NEW KOALA HTM</v>
      </c>
      <c r="F3265" s="70"/>
      <c r="G3265" s="70"/>
      <c r="H3265" s="98"/>
      <c r="I3265" s="99"/>
      <c r="J3265" s="43" t="s">
        <v>1319</v>
      </c>
      <c r="K3265" s="95">
        <v>12.0</v>
      </c>
      <c r="L3265" s="53" t="s">
        <v>62</v>
      </c>
      <c r="M3265" s="106">
        <v>12500.0</v>
      </c>
      <c r="N3265" s="107"/>
      <c r="O3265" s="87">
        <f t="shared" si="11"/>
        <v>150000</v>
      </c>
      <c r="P3265" s="102" t="str">
        <f t="shared" si="2"/>
        <v>Rp12,500-12 LSN-0.00%</v>
      </c>
      <c r="Q3265" s="103">
        <v>45420.0</v>
      </c>
      <c r="R3265" s="104"/>
      <c r="S3265" s="103">
        <v>45429.0</v>
      </c>
      <c r="T3265" s="105"/>
      <c r="U3265" s="98"/>
      <c r="V3265" s="96" t="s">
        <v>3237</v>
      </c>
    </row>
    <row r="3266">
      <c r="A3266" s="95">
        <v>120.0</v>
      </c>
      <c r="B3266" s="96" t="s">
        <v>65</v>
      </c>
      <c r="C3266" s="96" t="s">
        <v>3210</v>
      </c>
      <c r="D3266" s="96" t="s">
        <v>3238</v>
      </c>
      <c r="E3266" s="41" t="str">
        <f>IFERROR(__xludf.DUMMYFUNCTION("IFNA(vlookup(D3266,IMPORTRANGE(""https://docs.google.com/spreadsheets/d/1swGwZOEqYlTEUCJLY-eeJM1911Kvaei5oySBIxdgtNo/edit?pli=1#gid=257618397"",""stock untanna!B:C""),2,false),V:V)"),"BP GEL GP-801 NEW KOALA MRH")</f>
        <v>BP GEL GP-801 NEW KOALA MRH</v>
      </c>
      <c r="F3266" s="70"/>
      <c r="G3266" s="70"/>
      <c r="H3266" s="98"/>
      <c r="I3266" s="99"/>
      <c r="J3266" s="43" t="s">
        <v>1319</v>
      </c>
      <c r="K3266" s="95">
        <v>12.0</v>
      </c>
      <c r="L3266" s="53" t="s">
        <v>62</v>
      </c>
      <c r="M3266" s="106">
        <v>12500.0</v>
      </c>
      <c r="N3266" s="107"/>
      <c r="O3266" s="87">
        <f t="shared" si="11"/>
        <v>150000</v>
      </c>
      <c r="P3266" s="102" t="str">
        <f t="shared" si="2"/>
        <v>Rp12,500-12 LSN-0.00%</v>
      </c>
      <c r="Q3266" s="103">
        <v>45420.0</v>
      </c>
      <c r="R3266" s="104"/>
      <c r="S3266" s="103">
        <v>45429.0</v>
      </c>
      <c r="T3266" s="105"/>
      <c r="U3266" s="98"/>
      <c r="V3266" s="96" t="s">
        <v>3239</v>
      </c>
    </row>
    <row r="3267">
      <c r="A3267" s="95">
        <v>120.0</v>
      </c>
      <c r="B3267" s="96" t="s">
        <v>65</v>
      </c>
      <c r="C3267" s="96" t="s">
        <v>3210</v>
      </c>
      <c r="D3267" s="96" t="s">
        <v>776</v>
      </c>
      <c r="E3267" s="41" t="str">
        <f>IFERROR(__xludf.DUMMYFUNCTION("IFNA(vlookup(D3267,IMPORTRANGE(""https://docs.google.com/spreadsheets/d/1swGwZOEqYlTEUCJLY-eeJM1911Kvaei5oySBIxdgtNo/edit?pli=1#gid=257618397"",""stock untanna!B:C""),2,false),V:V)"),"STABILLO TOZCHA TZ 8001")</f>
        <v>STABILLO TOZCHA TZ 8001</v>
      </c>
      <c r="F3267" s="70"/>
      <c r="G3267" s="70"/>
      <c r="H3267" s="98"/>
      <c r="I3267" s="99"/>
      <c r="J3267" s="43" t="s">
        <v>1319</v>
      </c>
      <c r="K3267" s="95">
        <v>1.0</v>
      </c>
      <c r="L3267" s="53" t="s">
        <v>62</v>
      </c>
      <c r="M3267" s="106">
        <v>318000.0</v>
      </c>
      <c r="N3267" s="107"/>
      <c r="O3267" s="87">
        <f t="shared" si="11"/>
        <v>318000</v>
      </c>
      <c r="P3267" s="102" t="str">
        <f t="shared" si="2"/>
        <v>Rp318,000-1 LSN-0.00%</v>
      </c>
      <c r="Q3267" s="103">
        <v>45420.0</v>
      </c>
      <c r="R3267" s="104"/>
      <c r="S3267" s="103">
        <v>45429.0</v>
      </c>
      <c r="T3267" s="105"/>
      <c r="U3267" s="98"/>
      <c r="V3267" s="96" t="s">
        <v>777</v>
      </c>
    </row>
    <row r="3268">
      <c r="A3268" s="95">
        <v>120.0</v>
      </c>
      <c r="B3268" s="96" t="s">
        <v>65</v>
      </c>
      <c r="C3268" s="96" t="s">
        <v>3210</v>
      </c>
      <c r="D3268" s="96" t="s">
        <v>2002</v>
      </c>
      <c r="E3268" s="41" t="str">
        <f>IFERROR(__xludf.DUMMYFUNCTION("IFNA(vlookup(D3268,IMPORTRANGE(""https://docs.google.com/spreadsheets/d/1swGwZOEqYlTEUCJLY-eeJM1911Kvaei5oySBIxdgtNo/edit?pli=1#gid=257618397"",""stock untanna!B:C""),2,false),V:V)"),"STABILO DEBOZZ SB 007")</f>
        <v>STABILO DEBOZZ SB 007</v>
      </c>
      <c r="F3268" s="70"/>
      <c r="G3268" s="70"/>
      <c r="H3268" s="98"/>
      <c r="I3268" s="99"/>
      <c r="J3268" s="43" t="s">
        <v>1319</v>
      </c>
      <c r="K3268" s="95">
        <v>1.0</v>
      </c>
      <c r="L3268" s="53" t="s">
        <v>62</v>
      </c>
      <c r="M3268" s="106">
        <v>270000.0</v>
      </c>
      <c r="N3268" s="107"/>
      <c r="O3268" s="87">
        <f t="shared" si="11"/>
        <v>270000</v>
      </c>
      <c r="P3268" s="102" t="str">
        <f t="shared" si="2"/>
        <v>Rp270,000-1 LSN-0.00%</v>
      </c>
      <c r="Q3268" s="103">
        <v>45420.0</v>
      </c>
      <c r="R3268" s="104"/>
      <c r="S3268" s="103">
        <v>45429.0</v>
      </c>
      <c r="T3268" s="105"/>
      <c r="U3268" s="98"/>
      <c r="V3268" s="96" t="s">
        <v>2003</v>
      </c>
    </row>
    <row r="3269">
      <c r="A3269" s="95">
        <v>120.0</v>
      </c>
      <c r="B3269" s="96" t="s">
        <v>65</v>
      </c>
      <c r="C3269" s="96" t="s">
        <v>3210</v>
      </c>
      <c r="D3269" s="96" t="s">
        <v>631</v>
      </c>
      <c r="E3269" s="41" t="str">
        <f>IFERROR(__xludf.DUMMYFUNCTION("IFNA(vlookup(D3269,IMPORTRANGE(""https://docs.google.com/spreadsheets/d/1swGwZOEqYlTEUCJLY-eeJM1911Kvaei5oySBIxdgtNo/edit?pli=1#gid=257618397"",""stock untanna!B:C""),2,false),V:V)"),"BP TIZO 31810F FANCY")</f>
        <v>BP TIZO 31810F FANCY</v>
      </c>
      <c r="F3269" s="70"/>
      <c r="G3269" s="70"/>
      <c r="H3269" s="98"/>
      <c r="I3269" s="99"/>
      <c r="J3269" s="43" t="s">
        <v>1319</v>
      </c>
      <c r="K3269" s="95">
        <v>6.0</v>
      </c>
      <c r="L3269" s="53" t="s">
        <v>62</v>
      </c>
      <c r="M3269" s="106">
        <v>18250.0</v>
      </c>
      <c r="N3269" s="107"/>
      <c r="O3269" s="87">
        <f t="shared" si="11"/>
        <v>109500</v>
      </c>
      <c r="P3269" s="102" t="str">
        <f t="shared" si="2"/>
        <v>Rp18,250-6 LSN-0.00%</v>
      </c>
      <c r="Q3269" s="103">
        <v>45420.0</v>
      </c>
      <c r="R3269" s="104"/>
      <c r="S3269" s="103">
        <v>45429.0</v>
      </c>
      <c r="T3269" s="105"/>
      <c r="U3269" s="98"/>
      <c r="V3269" s="96" t="s">
        <v>632</v>
      </c>
    </row>
    <row r="3270">
      <c r="A3270" s="95">
        <v>120.0</v>
      </c>
      <c r="B3270" s="96" t="s">
        <v>65</v>
      </c>
      <c r="C3270" s="96" t="s">
        <v>3210</v>
      </c>
      <c r="D3270" s="96" t="s">
        <v>641</v>
      </c>
      <c r="E3270" s="41" t="str">
        <f>IFERROR(__xludf.DUMMYFUNCTION("IFNA(vlookup(D3270,IMPORTRANGE(""https://docs.google.com/spreadsheets/d/1swGwZOEqYlTEUCJLY-eeJM1911Kvaei5oySBIxdgtNo/edit?pli=1#gid=257618397"",""stock untanna!B:C""),2,false),V:V)"),"BP GEL TIZO TG 348F FANCY")</f>
        <v>BP GEL TIZO TG 348F FANCY</v>
      </c>
      <c r="F3270" s="70"/>
      <c r="G3270" s="70"/>
      <c r="H3270" s="98"/>
      <c r="I3270" s="99"/>
      <c r="J3270" s="43" t="s">
        <v>1319</v>
      </c>
      <c r="K3270" s="95">
        <v>10.0</v>
      </c>
      <c r="L3270" s="53" t="s">
        <v>62</v>
      </c>
      <c r="M3270" s="106">
        <v>18250.0</v>
      </c>
      <c r="N3270" s="107"/>
      <c r="O3270" s="87">
        <f t="shared" si="11"/>
        <v>182500</v>
      </c>
      <c r="P3270" s="102" t="str">
        <f t="shared" si="2"/>
        <v>Rp18,250-10 LSN-0.00%</v>
      </c>
      <c r="Q3270" s="103">
        <v>45420.0</v>
      </c>
      <c r="R3270" s="104"/>
      <c r="S3270" s="103">
        <v>45429.0</v>
      </c>
      <c r="T3270" s="105"/>
      <c r="U3270" s="98"/>
      <c r="V3270" s="96" t="s">
        <v>2255</v>
      </c>
    </row>
    <row r="3271">
      <c r="A3271" s="95">
        <v>120.0</v>
      </c>
      <c r="B3271" s="96" t="s">
        <v>65</v>
      </c>
      <c r="C3271" s="96" t="s">
        <v>3210</v>
      </c>
      <c r="D3271" s="96" t="s">
        <v>698</v>
      </c>
      <c r="E3271" s="41" t="str">
        <f>IFERROR(__xludf.DUMMYFUNCTION("IFNA(vlookup(D3271,IMPORTRANGE(""https://docs.google.com/spreadsheets/d/1swGwZOEqYlTEUCJLY-eeJM1911Kvaei5oySBIxdgtNo/edit?pli=1#gid=257618397"",""stock untanna!B:C""),2,false),V:V)"),"BP GEL TIZO 1.0 TG630-A")</f>
        <v>BP GEL TIZO 1.0 TG630-A</v>
      </c>
      <c r="F3271" s="70"/>
      <c r="G3271" s="70"/>
      <c r="H3271" s="98"/>
      <c r="I3271" s="99"/>
      <c r="J3271" s="43" t="s">
        <v>1319</v>
      </c>
      <c r="K3271" s="95">
        <v>3.0</v>
      </c>
      <c r="L3271" s="53" t="s">
        <v>62</v>
      </c>
      <c r="M3271" s="106">
        <v>50000.0</v>
      </c>
      <c r="N3271" s="107"/>
      <c r="O3271" s="87">
        <f t="shared" si="11"/>
        <v>150000</v>
      </c>
      <c r="P3271" s="102" t="str">
        <f t="shared" si="2"/>
        <v>Rp50,000-3 LSN-0.00%</v>
      </c>
      <c r="Q3271" s="103">
        <v>45420.0</v>
      </c>
      <c r="R3271" s="104"/>
      <c r="S3271" s="103">
        <v>45429.0</v>
      </c>
      <c r="T3271" s="105"/>
      <c r="U3271" s="98"/>
      <c r="V3271" s="96" t="s">
        <v>699</v>
      </c>
    </row>
    <row r="3272">
      <c r="A3272" s="95">
        <v>120.0</v>
      </c>
      <c r="B3272" s="96" t="s">
        <v>65</v>
      </c>
      <c r="C3272" s="96" t="s">
        <v>3210</v>
      </c>
      <c r="D3272" s="96" t="s">
        <v>1088</v>
      </c>
      <c r="E3272" s="41" t="str">
        <f>IFERROR(__xludf.DUMMYFUNCTION("IFNA(vlookup(D3272,IMPORTRANGE(""https://docs.google.com/spreadsheets/d/1swGwZOEqYlTEUCJLY-eeJM1911Kvaei5oySBIxdgtNo/edit?pli=1#gid=257618397"",""stock untanna!B:C""),2,false),V:V)"),"ASAHAN TOPLES GOLDEN (24)")</f>
        <v>ASAHAN TOPLES GOLDEN (24)</v>
      </c>
      <c r="F3272" s="70"/>
      <c r="G3272" s="70"/>
      <c r="H3272" s="98"/>
      <c r="I3272" s="99"/>
      <c r="J3272" s="43" t="s">
        <v>1319</v>
      </c>
      <c r="K3272" s="95">
        <v>25.0</v>
      </c>
      <c r="L3272" s="53" t="s">
        <v>88</v>
      </c>
      <c r="M3272" s="106">
        <v>12000.0</v>
      </c>
      <c r="N3272" s="107"/>
      <c r="O3272" s="87">
        <f t="shared" si="11"/>
        <v>300000</v>
      </c>
      <c r="P3272" s="102" t="str">
        <f t="shared" si="2"/>
        <v>Rp12,000-25 BOX-0.00%</v>
      </c>
      <c r="Q3272" s="103">
        <v>45420.0</v>
      </c>
      <c r="R3272" s="104"/>
      <c r="S3272" s="103">
        <v>45429.0</v>
      </c>
      <c r="T3272" s="105"/>
      <c r="U3272" s="98"/>
      <c r="V3272" s="96" t="s">
        <v>1089</v>
      </c>
    </row>
    <row r="3273">
      <c r="A3273" s="95">
        <v>120.0</v>
      </c>
      <c r="B3273" s="96" t="s">
        <v>65</v>
      </c>
      <c r="C3273" s="96" t="s">
        <v>3210</v>
      </c>
      <c r="D3273" s="96" t="s">
        <v>136</v>
      </c>
      <c r="E3273" s="41" t="str">
        <f>IFERROR(__xludf.DUMMYFUNCTION("IFNA(vlookup(D3273,IMPORTRANGE(""https://docs.google.com/spreadsheets/d/1swGwZOEqYlTEUCJLY-eeJM1911Kvaei5oySBIxdgtNo/edit?pli=1#gid=257618397"",""stock untanna!B:C""),2,false),V:V)"),"PENSIL TF 168")</f>
        <v>PENSIL TF 168</v>
      </c>
      <c r="F3273" s="70"/>
      <c r="G3273" s="70"/>
      <c r="H3273" s="98"/>
      <c r="I3273" s="99"/>
      <c r="J3273" s="43" t="str">
        <f>IF(D3273="","TIDAK ADA","ADA")</f>
        <v>ADA</v>
      </c>
      <c r="K3273" s="95">
        <v>1.0</v>
      </c>
      <c r="L3273" s="53" t="s">
        <v>131</v>
      </c>
      <c r="M3273" s="106">
        <v>100000.0</v>
      </c>
      <c r="N3273" s="107"/>
      <c r="O3273" s="87">
        <f t="shared" si="11"/>
        <v>100000</v>
      </c>
      <c r="P3273" s="102" t="str">
        <f t="shared" si="2"/>
        <v>Rp100,000-1 GRS-0.00%</v>
      </c>
      <c r="Q3273" s="103">
        <v>45420.0</v>
      </c>
      <c r="R3273" s="104"/>
      <c r="S3273" s="103">
        <v>45429.0</v>
      </c>
      <c r="T3273" s="96" t="s">
        <v>280</v>
      </c>
      <c r="U3273" s="98"/>
      <c r="V3273" s="96" t="s">
        <v>137</v>
      </c>
    </row>
    <row r="3274">
      <c r="A3274" s="95">
        <v>120.0</v>
      </c>
      <c r="B3274" s="96" t="s">
        <v>65</v>
      </c>
      <c r="C3274" s="96" t="s">
        <v>3210</v>
      </c>
      <c r="D3274" s="96" t="s">
        <v>2236</v>
      </c>
      <c r="E3274" s="41" t="str">
        <f>IFERROR(__xludf.DUMMYFUNCTION("IFNA(vlookup(D3274,IMPORTRANGE(""https://docs.google.com/spreadsheets/d/1swGwZOEqYlTEUCJLY-eeJM1911Kvaei5oySBIxdgtNo/edit?pli=1#gid=257618397"",""stock untanna!B:C""),2,false),V:V)"),"BALON DOF 12'' RI MERAH")</f>
        <v>BALON DOF 12'' RI MERAH</v>
      </c>
      <c r="F3274" s="70"/>
      <c r="G3274" s="70"/>
      <c r="H3274" s="98"/>
      <c r="I3274" s="99"/>
      <c r="J3274" s="43" t="s">
        <v>1319</v>
      </c>
      <c r="K3274" s="95">
        <v>6.0</v>
      </c>
      <c r="L3274" s="53" t="s">
        <v>1521</v>
      </c>
      <c r="M3274" s="106">
        <v>40000.0</v>
      </c>
      <c r="N3274" s="107"/>
      <c r="O3274" s="87">
        <f t="shared" si="11"/>
        <v>240000</v>
      </c>
      <c r="P3274" s="102" t="str">
        <f t="shared" si="2"/>
        <v>Rp40,000-6 DISP-0.00%</v>
      </c>
      <c r="Q3274" s="103">
        <v>45420.0</v>
      </c>
      <c r="R3274" s="104"/>
      <c r="S3274" s="103">
        <v>45429.0</v>
      </c>
      <c r="T3274" s="105"/>
      <c r="U3274" s="98"/>
      <c r="V3274" s="96" t="s">
        <v>2237</v>
      </c>
    </row>
    <row r="3275">
      <c r="A3275" s="95">
        <v>120.0</v>
      </c>
      <c r="B3275" s="96" t="s">
        <v>65</v>
      </c>
      <c r="C3275" s="96" t="s">
        <v>3210</v>
      </c>
      <c r="D3275" s="96" t="s">
        <v>2238</v>
      </c>
      <c r="E3275" s="41" t="str">
        <f>IFERROR(__xludf.DUMMYFUNCTION("IFNA(vlookup(D3275,IMPORTRANGE(""https://docs.google.com/spreadsheets/d/1swGwZOEqYlTEUCJLY-eeJM1911Kvaei5oySBIxdgtNo/edit?pli=1#gid=257618397"",""stock untanna!B:C""),2,false),V:V)"),"BALON DOF 12"" RI PUTIH")</f>
        <v>BALON DOF 12" RI PUTIH</v>
      </c>
      <c r="F3275" s="70"/>
      <c r="G3275" s="70"/>
      <c r="H3275" s="98"/>
      <c r="I3275" s="99"/>
      <c r="J3275" s="43" t="s">
        <v>1319</v>
      </c>
      <c r="K3275" s="95">
        <v>6.0</v>
      </c>
      <c r="L3275" s="53" t="s">
        <v>1521</v>
      </c>
      <c r="M3275" s="106">
        <v>40000.0</v>
      </c>
      <c r="N3275" s="107"/>
      <c r="O3275" s="87">
        <f t="shared" si="11"/>
        <v>240000</v>
      </c>
      <c r="P3275" s="102" t="str">
        <f t="shared" si="2"/>
        <v>Rp40,000-6 DISP-0.00%</v>
      </c>
      <c r="Q3275" s="103">
        <v>45420.0</v>
      </c>
      <c r="R3275" s="104"/>
      <c r="S3275" s="103">
        <v>45429.0</v>
      </c>
      <c r="T3275" s="105"/>
      <c r="U3275" s="98"/>
      <c r="V3275" s="96" t="s">
        <v>2239</v>
      </c>
    </row>
    <row r="3276">
      <c r="A3276" s="95">
        <v>120.0</v>
      </c>
      <c r="B3276" s="96" t="s">
        <v>65</v>
      </c>
      <c r="C3276" s="96" t="s">
        <v>3210</v>
      </c>
      <c r="D3276" s="97"/>
      <c r="E3276" s="41" t="str">
        <f>IFERROR(__xludf.DUMMYFUNCTION("IFNA(vlookup(D3276,IMPORTRANGE(""https://docs.google.com/spreadsheets/d/1swGwZOEqYlTEUCJLY-eeJM1911Kvaei5oySBIxdgtNo/edit?pli=1#gid=257618397"",""stock untanna!B:C""),2,false),V:V)"),"PC RET KY 1194")</f>
        <v>PC RET KY 1194</v>
      </c>
      <c r="F3276" s="70"/>
      <c r="G3276" s="70"/>
      <c r="H3276" s="98"/>
      <c r="I3276" s="99"/>
      <c r="J3276" s="43" t="s">
        <v>1319</v>
      </c>
      <c r="K3276" s="95">
        <v>1.0</v>
      </c>
      <c r="L3276" s="53" t="s">
        <v>62</v>
      </c>
      <c r="M3276" s="106">
        <v>330000.0</v>
      </c>
      <c r="N3276" s="107"/>
      <c r="O3276" s="87">
        <f t="shared" si="11"/>
        <v>330000</v>
      </c>
      <c r="P3276" s="102" t="str">
        <f t="shared" si="2"/>
        <v>Rp330,000-1 LSN-0.00%</v>
      </c>
      <c r="Q3276" s="103">
        <v>45420.0</v>
      </c>
      <c r="R3276" s="104"/>
      <c r="S3276" s="103">
        <v>45429.0</v>
      </c>
      <c r="T3276" s="96" t="s">
        <v>280</v>
      </c>
      <c r="U3276" s="98"/>
      <c r="V3276" s="96" t="s">
        <v>3240</v>
      </c>
    </row>
    <row r="3277">
      <c r="A3277" s="95">
        <v>121.0</v>
      </c>
      <c r="B3277" s="96" t="s">
        <v>65</v>
      </c>
      <c r="C3277" s="96" t="s">
        <v>3210</v>
      </c>
      <c r="D3277" s="97"/>
      <c r="E3277" s="41" t="str">
        <f>IFERROR(__xludf.DUMMYFUNCTION("IFNA(vlookup(D3277,IMPORTRANGE(""https://docs.google.com/spreadsheets/d/1swGwZOEqYlTEUCJLY-eeJM1911Kvaei5oySBIxdgtNo/edit?pli=1#gid=257618397"",""stock untanna!B:C""),2,false),V:V)"),"ID CARD 501 BIRU")</f>
        <v>ID CARD 501 BIRU</v>
      </c>
      <c r="F3277" s="70"/>
      <c r="G3277" s="70"/>
      <c r="H3277" s="98"/>
      <c r="I3277" s="99"/>
      <c r="J3277" s="43" t="s">
        <v>3190</v>
      </c>
      <c r="K3277" s="95">
        <v>20.0</v>
      </c>
      <c r="L3277" s="53" t="s">
        <v>69</v>
      </c>
      <c r="M3277" s="106">
        <v>1250.0</v>
      </c>
      <c r="N3277" s="107"/>
      <c r="O3277" s="87">
        <f t="shared" si="11"/>
        <v>25000</v>
      </c>
      <c r="P3277" s="102" t="str">
        <f t="shared" si="2"/>
        <v>Rp1,250-20 PCS-0.00%</v>
      </c>
      <c r="Q3277" s="103">
        <v>45420.0</v>
      </c>
      <c r="R3277" s="104"/>
      <c r="S3277" s="103">
        <v>45429.0</v>
      </c>
      <c r="T3277" s="105"/>
      <c r="U3277" s="98"/>
      <c r="V3277" s="96" t="s">
        <v>2411</v>
      </c>
    </row>
    <row r="3278">
      <c r="A3278" s="95">
        <v>121.0</v>
      </c>
      <c r="B3278" s="96" t="s">
        <v>65</v>
      </c>
      <c r="C3278" s="96" t="s">
        <v>3210</v>
      </c>
      <c r="D3278" s="97"/>
      <c r="E3278" s="41" t="str">
        <f>IFERROR(__xludf.DUMMYFUNCTION("IFNA(vlookup(D3278,IMPORTRANGE(""https://docs.google.com/spreadsheets/d/1swGwZOEqYlTEUCJLY-eeJM1911Kvaei5oySBIxdgtNo/edit?pli=1#gid=257618397"",""stock untanna!B:C""),2,false),V:V)"),"ID CARD 501 MERAH")</f>
        <v>ID CARD 501 MERAH</v>
      </c>
      <c r="F3278" s="70"/>
      <c r="G3278" s="70"/>
      <c r="H3278" s="98"/>
      <c r="I3278" s="99"/>
      <c r="J3278" s="43" t="s">
        <v>3190</v>
      </c>
      <c r="K3278" s="95">
        <v>20.0</v>
      </c>
      <c r="L3278" s="53" t="s">
        <v>69</v>
      </c>
      <c r="M3278" s="106">
        <v>1250.0</v>
      </c>
      <c r="N3278" s="107"/>
      <c r="O3278" s="87">
        <f t="shared" si="11"/>
        <v>25000</v>
      </c>
      <c r="P3278" s="102" t="str">
        <f t="shared" si="2"/>
        <v>Rp1,250-20 PCS-0.00%</v>
      </c>
      <c r="Q3278" s="103">
        <v>45420.0</v>
      </c>
      <c r="R3278" s="104"/>
      <c r="S3278" s="103">
        <v>45429.0</v>
      </c>
      <c r="T3278" s="105"/>
      <c r="U3278" s="98"/>
      <c r="V3278" s="96" t="s">
        <v>3198</v>
      </c>
    </row>
    <row r="3279">
      <c r="A3279" s="95">
        <v>121.0</v>
      </c>
      <c r="B3279" s="96" t="s">
        <v>65</v>
      </c>
      <c r="C3279" s="96" t="s">
        <v>3210</v>
      </c>
      <c r="D3279" s="97"/>
      <c r="E3279" s="41" t="str">
        <f>IFERROR(__xludf.DUMMYFUNCTION("IFNA(vlookup(D3279,IMPORTRANGE(""https://docs.google.com/spreadsheets/d/1swGwZOEqYlTEUCJLY-eeJM1911Kvaei5oySBIxdgtNo/edit?pli=1#gid=257618397"",""stock untanna!B:C""),2,false),V:V)"),"ID CARD 501 KUNING")</f>
        <v>ID CARD 501 KUNING</v>
      </c>
      <c r="F3279" s="70"/>
      <c r="G3279" s="70"/>
      <c r="H3279" s="98"/>
      <c r="I3279" s="99"/>
      <c r="J3279" s="43" t="s">
        <v>3190</v>
      </c>
      <c r="K3279" s="95">
        <v>20.0</v>
      </c>
      <c r="L3279" s="53" t="s">
        <v>69</v>
      </c>
      <c r="M3279" s="106">
        <v>1250.0</v>
      </c>
      <c r="N3279" s="107"/>
      <c r="O3279" s="87">
        <f t="shared" si="11"/>
        <v>25000</v>
      </c>
      <c r="P3279" s="102" t="str">
        <f t="shared" si="2"/>
        <v>Rp1,250-20 PCS-0.00%</v>
      </c>
      <c r="Q3279" s="103">
        <v>45420.0</v>
      </c>
      <c r="R3279" s="104"/>
      <c r="S3279" s="103">
        <v>45429.0</v>
      </c>
      <c r="T3279" s="105"/>
      <c r="U3279" s="98"/>
      <c r="V3279" s="96" t="s">
        <v>3241</v>
      </c>
    </row>
    <row r="3280">
      <c r="A3280" s="95">
        <v>121.0</v>
      </c>
      <c r="B3280" s="96" t="s">
        <v>65</v>
      </c>
      <c r="C3280" s="96" t="s">
        <v>3210</v>
      </c>
      <c r="D3280" s="97"/>
      <c r="E3280" s="41" t="str">
        <f>IFERROR(__xludf.DUMMYFUNCTION("IFNA(vlookup(D3280,IMPORTRANGE(""https://docs.google.com/spreadsheets/d/1swGwZOEqYlTEUCJLY-eeJM1911Kvaei5oySBIxdgtNo/edit?pli=1#gid=257618397"",""stock untanna!B:C""),2,false),V:V)"),"ID CARD 501 PUTIH")</f>
        <v>ID CARD 501 PUTIH</v>
      </c>
      <c r="F3280" s="70"/>
      <c r="G3280" s="70"/>
      <c r="H3280" s="98"/>
      <c r="I3280" s="99"/>
      <c r="J3280" s="43" t="s">
        <v>3190</v>
      </c>
      <c r="K3280" s="95">
        <v>20.0</v>
      </c>
      <c r="L3280" s="53" t="s">
        <v>69</v>
      </c>
      <c r="M3280" s="106">
        <v>1250.0</v>
      </c>
      <c r="N3280" s="107"/>
      <c r="O3280" s="87">
        <f t="shared" si="11"/>
        <v>25000</v>
      </c>
      <c r="P3280" s="102" t="str">
        <f t="shared" si="2"/>
        <v>Rp1,250-20 PCS-0.00%</v>
      </c>
      <c r="Q3280" s="103">
        <v>45420.0</v>
      </c>
      <c r="R3280" s="104"/>
      <c r="S3280" s="103">
        <v>45429.0</v>
      </c>
      <c r="T3280" s="105"/>
      <c r="U3280" s="98"/>
      <c r="V3280" s="96" t="s">
        <v>2409</v>
      </c>
    </row>
    <row r="3281">
      <c r="A3281" s="95">
        <v>4446.0</v>
      </c>
      <c r="B3281" s="96" t="s">
        <v>29</v>
      </c>
      <c r="C3281" s="96" t="s">
        <v>3242</v>
      </c>
      <c r="D3281" s="97"/>
      <c r="E3281" s="41" t="str">
        <f>IFERROR(__xludf.DUMMYFUNCTION("IFNA(vlookup(D3281,IMPORTRANGE(""https://docs.google.com/spreadsheets/d/1swGwZOEqYlTEUCJLY-eeJM1911Kvaei5oySBIxdgtNo/edit?pli=1#gid=257618397"",""stock untanna!B:C""),2,false),V:V)"),"CLIP BOARD W/B HOLO 2 MK")</f>
        <v>CLIP BOARD W/B HOLO 2 MK</v>
      </c>
      <c r="F3281" s="70"/>
      <c r="G3281" s="70"/>
      <c r="H3281" s="98"/>
      <c r="I3281" s="99"/>
      <c r="J3281" s="43" t="s">
        <v>1319</v>
      </c>
      <c r="K3281" s="95">
        <v>6.0</v>
      </c>
      <c r="L3281" s="53" t="s">
        <v>62</v>
      </c>
      <c r="M3281" s="106">
        <v>90000.0</v>
      </c>
      <c r="N3281" s="107"/>
      <c r="O3281" s="87">
        <f t="shared" si="11"/>
        <v>540000</v>
      </c>
      <c r="P3281" s="102" t="str">
        <f t="shared" si="2"/>
        <v>Rp90,000-6 LSN-0.00%</v>
      </c>
      <c r="Q3281" s="103">
        <v>45420.0</v>
      </c>
      <c r="R3281" s="104"/>
      <c r="S3281" s="103">
        <v>45429.0</v>
      </c>
      <c r="T3281" s="96" t="s">
        <v>280</v>
      </c>
      <c r="U3281" s="98"/>
      <c r="V3281" s="96" t="s">
        <v>1907</v>
      </c>
    </row>
    <row r="3282">
      <c r="A3282" s="95">
        <v>4446.0</v>
      </c>
      <c r="B3282" s="96" t="s">
        <v>29</v>
      </c>
      <c r="C3282" s="96" t="s">
        <v>3242</v>
      </c>
      <c r="D3282" s="96" t="s">
        <v>218</v>
      </c>
      <c r="E3282" s="41" t="str">
        <f>IFERROR(__xludf.DUMMYFUNCTION("IFNA(vlookup(D3282,IMPORTRANGE(""https://docs.google.com/spreadsheets/d/1swGwZOEqYlTEUCJLY-eeJM1911Kvaei5oySBIxdgtNo/edit?pli=1#gid=257618397"",""stock untanna!B:C""),2,false),V:V)"),"TAS TALI GG-03 BESAR GLITTER")</f>
        <v>TAS TALI GG-03 BESAR GLITTER</v>
      </c>
      <c r="F3282" s="70"/>
      <c r="G3282" s="70"/>
      <c r="H3282" s="98"/>
      <c r="I3282" s="99"/>
      <c r="J3282" s="43" t="s">
        <v>1319</v>
      </c>
      <c r="K3282" s="95">
        <v>1.0</v>
      </c>
      <c r="L3282" s="53" t="s">
        <v>62</v>
      </c>
      <c r="M3282" s="106">
        <v>142000.0</v>
      </c>
      <c r="N3282" s="107"/>
      <c r="O3282" s="87">
        <f t="shared" si="11"/>
        <v>142000</v>
      </c>
      <c r="P3282" s="102" t="str">
        <f t="shared" si="2"/>
        <v>Rp142,000-1 LSN-0.00%</v>
      </c>
      <c r="Q3282" s="103">
        <v>45420.0</v>
      </c>
      <c r="R3282" s="104"/>
      <c r="S3282" s="103">
        <v>45429.0</v>
      </c>
      <c r="T3282" s="105"/>
      <c r="U3282" s="98"/>
      <c r="V3282" s="96" t="s">
        <v>219</v>
      </c>
    </row>
    <row r="3283">
      <c r="A3283" s="95">
        <v>4446.0</v>
      </c>
      <c r="B3283" s="96" t="s">
        <v>29</v>
      </c>
      <c r="C3283" s="96" t="s">
        <v>3242</v>
      </c>
      <c r="D3283" s="97"/>
      <c r="E3283" s="41" t="str">
        <f>IFERROR(__xludf.DUMMYFUNCTION("IFNA(vlookup(D3283,IMPORTRANGE(""https://docs.google.com/spreadsheets/d/1swGwZOEqYlTEUCJLY-eeJM1911Kvaei5oySBIxdgtNo/edit?pli=1#gid=257618397"",""stock untanna!B:C""),2,false),V:V)"),"TAS GLITTER SM 105 L BESAR")</f>
        <v>TAS GLITTER SM 105 L BESAR</v>
      </c>
      <c r="F3283" s="70"/>
      <c r="G3283" s="70"/>
      <c r="H3283" s="98"/>
      <c r="I3283" s="99"/>
      <c r="J3283" s="43" t="s">
        <v>3190</v>
      </c>
      <c r="K3283" s="95">
        <v>1.0</v>
      </c>
      <c r="L3283" s="53" t="s">
        <v>62</v>
      </c>
      <c r="M3283" s="106">
        <v>142000.0</v>
      </c>
      <c r="N3283" s="107"/>
      <c r="O3283" s="87">
        <f t="shared" si="11"/>
        <v>142000</v>
      </c>
      <c r="P3283" s="102" t="str">
        <f t="shared" si="2"/>
        <v>Rp142,000-1 LSN-0.00%</v>
      </c>
      <c r="Q3283" s="103">
        <v>45420.0</v>
      </c>
      <c r="R3283" s="104"/>
      <c r="S3283" s="103">
        <v>45429.0</v>
      </c>
      <c r="T3283" s="105"/>
      <c r="U3283" s="98"/>
      <c r="V3283" s="96" t="s">
        <v>3243</v>
      </c>
    </row>
    <row r="3284">
      <c r="A3284" s="95">
        <v>4446.0</v>
      </c>
      <c r="B3284" s="96" t="s">
        <v>29</v>
      </c>
      <c r="C3284" s="96" t="s">
        <v>3242</v>
      </c>
      <c r="D3284" s="96" t="s">
        <v>251</v>
      </c>
      <c r="E3284" s="41" t="str">
        <f>IFERROR(__xludf.DUMMYFUNCTION("IFNA(vlookup(D3284,IMPORTRANGE(""https://docs.google.com/spreadsheets/d/1swGwZOEqYlTEUCJLY-eeJM1911Kvaei5oySBIxdgtNo/edit?pli=1#gid=257618397"",""stock untanna!B:C""),2,false),V:V)"),"TAS TUTUP PITA KADO FG-401 JUMBO")</f>
        <v>TAS TUTUP PITA KADO FG-401 JUMBO</v>
      </c>
      <c r="F3284" s="70"/>
      <c r="G3284" s="70"/>
      <c r="H3284" s="98"/>
      <c r="I3284" s="99"/>
      <c r="J3284" s="43" t="s">
        <v>1319</v>
      </c>
      <c r="K3284" s="95">
        <v>1.0</v>
      </c>
      <c r="L3284" s="53" t="s">
        <v>62</v>
      </c>
      <c r="M3284" s="106">
        <v>150000.0</v>
      </c>
      <c r="N3284" s="107"/>
      <c r="O3284" s="87">
        <f t="shared" si="11"/>
        <v>150000</v>
      </c>
      <c r="P3284" s="102" t="str">
        <f t="shared" si="2"/>
        <v>Rp150,000-1 LSN-0.00%</v>
      </c>
      <c r="Q3284" s="103">
        <v>45420.0</v>
      </c>
      <c r="R3284" s="104"/>
      <c r="S3284" s="103">
        <v>45429.0</v>
      </c>
      <c r="T3284" s="105"/>
      <c r="U3284" s="98"/>
      <c r="V3284" s="96" t="s">
        <v>252</v>
      </c>
    </row>
    <row r="3285">
      <c r="A3285" s="95">
        <v>4446.0</v>
      </c>
      <c r="B3285" s="96" t="s">
        <v>29</v>
      </c>
      <c r="C3285" s="96" t="s">
        <v>3242</v>
      </c>
      <c r="D3285" s="96" t="s">
        <v>251</v>
      </c>
      <c r="E3285" s="41" t="str">
        <f>IFERROR(__xludf.DUMMYFUNCTION("IFNA(vlookup(D3285,IMPORTRANGE(""https://docs.google.com/spreadsheets/d/1swGwZOEqYlTEUCJLY-eeJM1911Kvaei5oySBIxdgtNo/edit?pli=1#gid=257618397"",""stock untanna!B:C""),2,false),V:V)"),"TAS TUTUP PITA KADO FG-401 JUMBO")</f>
        <v>TAS TUTUP PITA KADO FG-401 JUMBO</v>
      </c>
      <c r="F3285" s="70"/>
      <c r="G3285" s="70"/>
      <c r="H3285" s="98"/>
      <c r="I3285" s="99"/>
      <c r="J3285" s="43" t="s">
        <v>1319</v>
      </c>
      <c r="K3285" s="95">
        <v>1.0</v>
      </c>
      <c r="L3285" s="53" t="s">
        <v>62</v>
      </c>
      <c r="M3285" s="106">
        <v>150000.0</v>
      </c>
      <c r="N3285" s="107"/>
      <c r="O3285" s="87">
        <f t="shared" si="11"/>
        <v>150000</v>
      </c>
      <c r="P3285" s="102" t="str">
        <f t="shared" si="2"/>
        <v>Rp150,000-1 LSN-0.00%</v>
      </c>
      <c r="Q3285" s="103">
        <v>45420.0</v>
      </c>
      <c r="R3285" s="104"/>
      <c r="S3285" s="103">
        <v>45429.0</v>
      </c>
      <c r="T3285" s="105"/>
      <c r="U3285" s="98"/>
      <c r="V3285" s="96" t="s">
        <v>252</v>
      </c>
    </row>
    <row r="3286">
      <c r="A3286" s="95">
        <v>4446.0</v>
      </c>
      <c r="B3286" s="96" t="s">
        <v>29</v>
      </c>
      <c r="C3286" s="96" t="s">
        <v>3242</v>
      </c>
      <c r="D3286" s="96" t="s">
        <v>247</v>
      </c>
      <c r="E3286" s="41" t="str">
        <f>IFERROR(__xludf.DUMMYFUNCTION("IFNA(vlookup(D3286,IMPORTRANGE(""https://docs.google.com/spreadsheets/d/1swGwZOEqYlTEUCJLY-eeJM1911Kvaei5oySBIxdgtNo/edit?pli=1#gid=257618397"",""stock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286" s="70"/>
      <c r="G3286" s="70"/>
      <c r="H3286" s="98"/>
      <c r="I3286" s="99"/>
      <c r="J3286" s="43" t="s">
        <v>1319</v>
      </c>
      <c r="K3286" s="95">
        <v>1.0</v>
      </c>
      <c r="L3286" s="53" t="s">
        <v>62</v>
      </c>
      <c r="M3286" s="106">
        <v>105000.0</v>
      </c>
      <c r="N3286" s="107"/>
      <c r="O3286" s="87">
        <f t="shared" si="11"/>
        <v>105000</v>
      </c>
      <c r="P3286" s="102" t="str">
        <f t="shared" si="2"/>
        <v>Rp105,000-1 LSN-0.00%</v>
      </c>
      <c r="Q3286" s="103">
        <v>45420.0</v>
      </c>
      <c r="R3286" s="104"/>
      <c r="S3286" s="103">
        <v>45429.0</v>
      </c>
      <c r="T3286" s="105"/>
      <c r="U3286" s="98"/>
      <c r="V3286" s="96" t="s">
        <v>248</v>
      </c>
    </row>
    <row r="3287">
      <c r="A3287" s="95">
        <v>4446.0</v>
      </c>
      <c r="B3287" s="96" t="s">
        <v>29</v>
      </c>
      <c r="C3287" s="96" t="s">
        <v>3242</v>
      </c>
      <c r="D3287" s="96" t="s">
        <v>247</v>
      </c>
      <c r="E3287" s="41" t="str">
        <f>IFERROR(__xludf.DUMMYFUNCTION("IFNA(vlookup(D3287,IMPORTRANGE(""https://docs.google.com/spreadsheets/d/1swGwZOEqYlTEUCJLY-eeJM1911Kvaei5oySBIxdgtNo/edit?pli=1#gid=257618397"",""stock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287" s="70"/>
      <c r="G3287" s="70"/>
      <c r="H3287" s="98"/>
      <c r="I3287" s="99"/>
      <c r="J3287" s="43" t="s">
        <v>1319</v>
      </c>
      <c r="K3287" s="95">
        <v>1.0</v>
      </c>
      <c r="L3287" s="53" t="s">
        <v>62</v>
      </c>
      <c r="M3287" s="106">
        <v>105000.0</v>
      </c>
      <c r="N3287" s="107"/>
      <c r="O3287" s="87">
        <f t="shared" si="11"/>
        <v>105000</v>
      </c>
      <c r="P3287" s="102" t="str">
        <f t="shared" si="2"/>
        <v>Rp105,000-1 LSN-0.00%</v>
      </c>
      <c r="Q3287" s="103">
        <v>45420.0</v>
      </c>
      <c r="R3287" s="104"/>
      <c r="S3287" s="103">
        <v>45429.0</v>
      </c>
      <c r="T3287" s="105"/>
      <c r="U3287" s="98"/>
      <c r="V3287" s="96" t="s">
        <v>248</v>
      </c>
    </row>
    <row r="3288">
      <c r="A3288" s="95">
        <v>4446.0</v>
      </c>
      <c r="B3288" s="96" t="s">
        <v>29</v>
      </c>
      <c r="C3288" s="96" t="s">
        <v>3242</v>
      </c>
      <c r="D3288" s="96" t="s">
        <v>247</v>
      </c>
      <c r="E3288" s="41" t="str">
        <f>IFERROR(__xludf.DUMMYFUNCTION("IFNA(vlookup(D3288,IMPORTRANGE(""https://docs.google.com/spreadsheets/d/1swGwZOEqYlTEUCJLY-eeJM1911Kvaei5oySBIxdgtNo/edit?pli=1#gid=257618397"",""stock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288" s="70"/>
      <c r="G3288" s="70"/>
      <c r="H3288" s="98"/>
      <c r="I3288" s="99"/>
      <c r="J3288" s="43" t="s">
        <v>1319</v>
      </c>
      <c r="K3288" s="95">
        <v>1.0</v>
      </c>
      <c r="L3288" s="53" t="s">
        <v>62</v>
      </c>
      <c r="M3288" s="106">
        <v>105000.0</v>
      </c>
      <c r="N3288" s="107"/>
      <c r="O3288" s="87">
        <f t="shared" si="11"/>
        <v>105000</v>
      </c>
      <c r="P3288" s="102" t="str">
        <f t="shared" si="2"/>
        <v>Rp105,000-1 LSN-0.00%</v>
      </c>
      <c r="Q3288" s="103">
        <v>45420.0</v>
      </c>
      <c r="R3288" s="104"/>
      <c r="S3288" s="103">
        <v>45429.0</v>
      </c>
      <c r="T3288" s="105"/>
      <c r="U3288" s="98"/>
      <c r="V3288" s="96" t="s">
        <v>248</v>
      </c>
    </row>
    <row r="3289">
      <c r="A3289" s="95">
        <v>4447.0</v>
      </c>
      <c r="B3289" s="96" t="s">
        <v>29</v>
      </c>
      <c r="C3289" s="96" t="s">
        <v>3242</v>
      </c>
      <c r="D3289" s="97"/>
      <c r="E3289" s="41" t="str">
        <f>IFERROR(__xludf.DUMMYFUNCTION("IFNA(vlookup(D3289,IMPORTRANGE(""https://docs.google.com/spreadsheets/d/1swGwZOEqYlTEUCJLY-eeJM1911Kvaei5oySBIxdgtNo/edit?pli=1#gid=257618397"",""stock untanna!B:C""),2,false),V:V)"),"BUKU MEWARNAI 6-8 04")</f>
        <v>BUKU MEWARNAI 6-8 04</v>
      </c>
      <c r="F3289" s="70"/>
      <c r="G3289" s="70"/>
      <c r="H3289" s="98"/>
      <c r="I3289" s="99"/>
      <c r="J3289" s="43" t="s">
        <v>3190</v>
      </c>
      <c r="K3289" s="95">
        <v>5.0</v>
      </c>
      <c r="L3289" s="53" t="s">
        <v>62</v>
      </c>
      <c r="M3289" s="106">
        <v>75000.0</v>
      </c>
      <c r="N3289" s="107"/>
      <c r="O3289" s="87">
        <f t="shared" si="11"/>
        <v>375000</v>
      </c>
      <c r="P3289" s="102" t="str">
        <f t="shared" si="2"/>
        <v>Rp75,000-5 LSN-0.00%</v>
      </c>
      <c r="Q3289" s="103">
        <v>45420.0</v>
      </c>
      <c r="R3289" s="104"/>
      <c r="S3289" s="103">
        <v>45429.0</v>
      </c>
      <c r="T3289" s="105"/>
      <c r="U3289" s="98"/>
      <c r="V3289" s="96" t="s">
        <v>3244</v>
      </c>
    </row>
    <row r="3290">
      <c r="A3290" s="95">
        <v>4447.0</v>
      </c>
      <c r="B3290" s="96" t="s">
        <v>29</v>
      </c>
      <c r="C3290" s="96" t="s">
        <v>3242</v>
      </c>
      <c r="D3290" s="97"/>
      <c r="E3290" s="41" t="str">
        <f>IFERROR(__xludf.DUMMYFUNCTION("IFNA(vlookup(D3290,IMPORTRANGE(""https://docs.google.com/spreadsheets/d/1swGwZOEqYlTEUCJLY-eeJM1911Kvaei5oySBIxdgtNo/edit?pli=1#gid=257618397"",""stock untanna!B:C""),2,false),V:V)"),"BUKU MEWARNAI HT 604 A")</f>
        <v>BUKU MEWARNAI HT 604 A</v>
      </c>
      <c r="F3290" s="70"/>
      <c r="G3290" s="70"/>
      <c r="H3290" s="98"/>
      <c r="I3290" s="99"/>
      <c r="J3290" s="43" t="s">
        <v>3190</v>
      </c>
      <c r="K3290" s="95">
        <v>5.0</v>
      </c>
      <c r="L3290" s="53" t="s">
        <v>62</v>
      </c>
      <c r="M3290" s="106">
        <v>100000.0</v>
      </c>
      <c r="N3290" s="107"/>
      <c r="O3290" s="87">
        <f t="shared" si="11"/>
        <v>500000</v>
      </c>
      <c r="P3290" s="102" t="str">
        <f t="shared" si="2"/>
        <v>Rp100,000-5 LSN-0.00%</v>
      </c>
      <c r="Q3290" s="103">
        <v>45420.0</v>
      </c>
      <c r="R3290" s="104"/>
      <c r="S3290" s="103">
        <v>45429.0</v>
      </c>
      <c r="T3290" s="105"/>
      <c r="U3290" s="98"/>
      <c r="V3290" s="96" t="s">
        <v>3245</v>
      </c>
    </row>
    <row r="3291">
      <c r="A3291" s="95">
        <v>4447.0</v>
      </c>
      <c r="B3291" s="96" t="s">
        <v>29</v>
      </c>
      <c r="C3291" s="96" t="s">
        <v>3242</v>
      </c>
      <c r="D3291" s="97"/>
      <c r="E3291" s="41" t="str">
        <f>IFERROR(__xludf.DUMMYFUNCTION("IFNA(vlookup(D3291,IMPORTRANGE(""https://docs.google.com/spreadsheets/d/1swGwZOEqYlTEUCJLY-eeJM1911Kvaei5oySBIxdgtNo/edit?pli=1#gid=257618397"",""stock untanna!B:C""),2,false),V:V)"),"BUKU MEARNAI SPS")</f>
        <v>BUKU MEARNAI SPS</v>
      </c>
      <c r="F3291" s="70"/>
      <c r="G3291" s="70"/>
      <c r="H3291" s="98"/>
      <c r="I3291" s="99"/>
      <c r="J3291" s="43" t="s">
        <v>3190</v>
      </c>
      <c r="K3291" s="95">
        <v>5.0</v>
      </c>
      <c r="L3291" s="53" t="s">
        <v>62</v>
      </c>
      <c r="M3291" s="106">
        <v>45000.0</v>
      </c>
      <c r="N3291" s="107"/>
      <c r="O3291" s="87">
        <f t="shared" si="11"/>
        <v>225000</v>
      </c>
      <c r="P3291" s="102" t="str">
        <f t="shared" si="2"/>
        <v>Rp45,000-5 LSN-0.00%</v>
      </c>
      <c r="Q3291" s="103">
        <v>45420.0</v>
      </c>
      <c r="R3291" s="104"/>
      <c r="S3291" s="103">
        <v>45429.0</v>
      </c>
      <c r="T3291" s="105"/>
      <c r="U3291" s="98"/>
      <c r="V3291" s="96" t="s">
        <v>3246</v>
      </c>
    </row>
    <row r="3292">
      <c r="A3292" s="95">
        <v>4447.0</v>
      </c>
      <c r="B3292" s="96" t="s">
        <v>29</v>
      </c>
      <c r="C3292" s="96" t="s">
        <v>3242</v>
      </c>
      <c r="D3292" s="97"/>
      <c r="E3292" s="41" t="str">
        <f>IFERROR(__xludf.DUMMYFUNCTION("IFNA(vlookup(D3292,IMPORTRANGE(""https://docs.google.com/spreadsheets/d/1swGwZOEqYlTEUCJLY-eeJM1911Kvaei5oySBIxdgtNo/edit?pli=1#gid=257618397"",""stock untanna!B:C""),2,false),V:V)"),"BUKU MEWARNAI SIKA")</f>
        <v>BUKU MEWARNAI SIKA</v>
      </c>
      <c r="F3292" s="70"/>
      <c r="G3292" s="70"/>
      <c r="H3292" s="98"/>
      <c r="I3292" s="99"/>
      <c r="J3292" s="43" t="s">
        <v>3190</v>
      </c>
      <c r="K3292" s="95">
        <v>5.0</v>
      </c>
      <c r="L3292" s="53" t="s">
        <v>62</v>
      </c>
      <c r="M3292" s="106">
        <v>45000.0</v>
      </c>
      <c r="N3292" s="107"/>
      <c r="O3292" s="87">
        <f t="shared" si="11"/>
        <v>225000</v>
      </c>
      <c r="P3292" s="102" t="str">
        <f t="shared" si="2"/>
        <v>Rp45,000-5 LSN-0.00%</v>
      </c>
      <c r="Q3292" s="103">
        <v>45420.0</v>
      </c>
      <c r="R3292" s="104"/>
      <c r="S3292" s="103">
        <v>45429.0</v>
      </c>
      <c r="T3292" s="105"/>
      <c r="U3292" s="98"/>
      <c r="V3292" s="96" t="s">
        <v>3247</v>
      </c>
    </row>
    <row r="3293">
      <c r="A3293" s="95">
        <v>4447.0</v>
      </c>
      <c r="B3293" s="96" t="s">
        <v>29</v>
      </c>
      <c r="C3293" s="96" t="s">
        <v>3242</v>
      </c>
      <c r="D3293" s="96" t="s">
        <v>1193</v>
      </c>
      <c r="E3293" s="41" t="str">
        <f>IFERROR(__xludf.DUMMYFUNCTION("IFNA(vlookup(D3293,IMPORTRANGE(""https://docs.google.com/spreadsheets/d/1swGwZOEqYlTEUCJLY-eeJM1911Kvaei5oySBIxdgtNo/edit?pli=1#gid=257618397"",""stock untanna!B:C""),2,false),V:V)"),"ISI GEL GR 090 (20PCS TABUNG)")</f>
        <v>ISI GEL GR 090 (20PCS TABUNG)</v>
      </c>
      <c r="F3293" s="70"/>
      <c r="G3293" s="70"/>
      <c r="H3293" s="98"/>
      <c r="I3293" s="99"/>
      <c r="J3293" s="43" t="s">
        <v>1319</v>
      </c>
      <c r="K3293" s="95">
        <v>3.0</v>
      </c>
      <c r="L3293" s="53" t="s">
        <v>88</v>
      </c>
      <c r="M3293" s="106">
        <v>192000.0</v>
      </c>
      <c r="N3293" s="107"/>
      <c r="O3293" s="87">
        <f t="shared" si="11"/>
        <v>576000</v>
      </c>
      <c r="P3293" s="102" t="str">
        <f t="shared" si="2"/>
        <v>Rp192,000-3 BOX-0.00%</v>
      </c>
      <c r="Q3293" s="103">
        <v>45420.0</v>
      </c>
      <c r="R3293" s="104"/>
      <c r="S3293" s="103">
        <v>45429.0</v>
      </c>
      <c r="T3293" s="105"/>
      <c r="U3293" s="98"/>
      <c r="V3293" s="96" t="s">
        <v>1194</v>
      </c>
    </row>
    <row r="3294">
      <c r="A3294" s="95">
        <v>4447.0</v>
      </c>
      <c r="B3294" s="96" t="s">
        <v>29</v>
      </c>
      <c r="C3294" s="96" t="s">
        <v>3242</v>
      </c>
      <c r="D3294" s="96" t="s">
        <v>2398</v>
      </c>
      <c r="E3294" s="41" t="str">
        <f>IFERROR(__xludf.DUMMYFUNCTION("IFNA(vlookup(D3294,IMPORTRANGE(""https://docs.google.com/spreadsheets/d/1swGwZOEqYlTEUCJLY-eeJM1911Kvaei5oySBIxdgtNo/edit?pli=1#gid=257618397"",""stock untanna!B:C""),2,false),V:V)"),"NOTEBOOK  A5-508")</f>
        <v>NOTEBOOK  A5-508</v>
      </c>
      <c r="F3294" s="70"/>
      <c r="G3294" s="70"/>
      <c r="H3294" s="98"/>
      <c r="I3294" s="99"/>
      <c r="J3294" s="43" t="s">
        <v>1319</v>
      </c>
      <c r="K3294" s="95">
        <v>1.0</v>
      </c>
      <c r="L3294" s="53" t="s">
        <v>62</v>
      </c>
      <c r="M3294" s="106">
        <v>210000.0</v>
      </c>
      <c r="N3294" s="107"/>
      <c r="O3294" s="87">
        <f t="shared" si="11"/>
        <v>210000</v>
      </c>
      <c r="P3294" s="102" t="str">
        <f t="shared" si="2"/>
        <v>Rp210,000-1 LSN-0.00%</v>
      </c>
      <c r="Q3294" s="103">
        <v>45420.0</v>
      </c>
      <c r="R3294" s="104"/>
      <c r="S3294" s="103">
        <v>45429.0</v>
      </c>
      <c r="T3294" s="105"/>
      <c r="U3294" s="98"/>
      <c r="V3294" s="96" t="s">
        <v>2399</v>
      </c>
    </row>
    <row r="3295">
      <c r="A3295" s="95">
        <v>4447.0</v>
      </c>
      <c r="B3295" s="96" t="s">
        <v>29</v>
      </c>
      <c r="C3295" s="96" t="s">
        <v>3242</v>
      </c>
      <c r="D3295" s="96" t="s">
        <v>1889</v>
      </c>
      <c r="E3295" s="41" t="str">
        <f>IFERROR(__xludf.DUMMYFUNCTION("IFNA(vlookup(D3295,IMPORTRANGE(""https://docs.google.com/spreadsheets/d/1swGwZOEqYlTEUCJLY-eeJM1911Kvaei5oySBIxdgtNo/edit?pli=1#gid=257618397"",""stock untanna!B:C""),2,false),V:V)"),"NOTEBOOK  A5-107")</f>
        <v>NOTEBOOK  A5-107</v>
      </c>
      <c r="F3295" s="70"/>
      <c r="G3295" s="70"/>
      <c r="H3295" s="98"/>
      <c r="I3295" s="99"/>
      <c r="J3295" s="43" t="s">
        <v>1319</v>
      </c>
      <c r="K3295" s="95">
        <v>1.0</v>
      </c>
      <c r="L3295" s="53" t="s">
        <v>62</v>
      </c>
      <c r="M3295" s="106">
        <v>210000.0</v>
      </c>
      <c r="N3295" s="107"/>
      <c r="O3295" s="87">
        <f t="shared" si="11"/>
        <v>210000</v>
      </c>
      <c r="P3295" s="102" t="str">
        <f t="shared" si="2"/>
        <v>Rp210,000-1 LSN-0.00%</v>
      </c>
      <c r="Q3295" s="103">
        <v>45420.0</v>
      </c>
      <c r="R3295" s="104"/>
      <c r="S3295" s="103">
        <v>45429.0</v>
      </c>
      <c r="T3295" s="105"/>
      <c r="U3295" s="98"/>
      <c r="V3295" s="96" t="s">
        <v>1890</v>
      </c>
    </row>
    <row r="3296">
      <c r="A3296" s="95">
        <v>4447.0</v>
      </c>
      <c r="B3296" s="96" t="s">
        <v>29</v>
      </c>
      <c r="C3296" s="96" t="s">
        <v>3242</v>
      </c>
      <c r="D3296" s="96" t="s">
        <v>1370</v>
      </c>
      <c r="E3296" s="41" t="str">
        <f>IFERROR(__xludf.DUMMYFUNCTION("IFNA(vlookup(D3296,IMPORTRANGE(""https://docs.google.com/spreadsheets/d/1swGwZOEqYlTEUCJLY-eeJM1911Kvaei5oySBIxdgtNo/edit?pli=1#gid=257618397"",""stock untanna!B:C""),2,false),V:V)"),"NOTEBOOK  A5-UN")</f>
        <v>NOTEBOOK  A5-UN</v>
      </c>
      <c r="F3296" s="70"/>
      <c r="G3296" s="70"/>
      <c r="H3296" s="98"/>
      <c r="I3296" s="99"/>
      <c r="J3296" s="43" t="s">
        <v>1319</v>
      </c>
      <c r="K3296" s="95">
        <v>1.0</v>
      </c>
      <c r="L3296" s="53" t="s">
        <v>62</v>
      </c>
      <c r="M3296" s="106">
        <v>210000.0</v>
      </c>
      <c r="N3296" s="107"/>
      <c r="O3296" s="87">
        <f t="shared" si="11"/>
        <v>210000</v>
      </c>
      <c r="P3296" s="102" t="str">
        <f t="shared" si="2"/>
        <v>Rp210,000-1 LSN-0.00%</v>
      </c>
      <c r="Q3296" s="103">
        <v>45420.0</v>
      </c>
      <c r="R3296" s="104"/>
      <c r="S3296" s="103">
        <v>45429.0</v>
      </c>
      <c r="T3296" s="105"/>
      <c r="U3296" s="98"/>
      <c r="V3296" s="96" t="s">
        <v>1371</v>
      </c>
    </row>
    <row r="3297">
      <c r="A3297" s="95">
        <v>4447.0</v>
      </c>
      <c r="B3297" s="96" t="s">
        <v>29</v>
      </c>
      <c r="C3297" s="96" t="s">
        <v>3242</v>
      </c>
      <c r="D3297" s="97"/>
      <c r="E3297" s="41" t="str">
        <f>IFERROR(__xludf.DUMMYFUNCTION("IFNA(vlookup(D3297,IMPORTRANGE(""https://docs.google.com/spreadsheets/d/1swGwZOEqYlTEUCJLY-eeJM1911Kvaei5oySBIxdgtNo/edit?pli=1#gid=257618397"",""stock untanna!B:C""),2,false),V:V)"),"NOTEBOOK A5-ME")</f>
        <v>NOTEBOOK A5-ME</v>
      </c>
      <c r="F3297" s="70"/>
      <c r="G3297" s="70"/>
      <c r="H3297" s="98"/>
      <c r="I3297" s="99"/>
      <c r="J3297" s="43" t="s">
        <v>1319</v>
      </c>
      <c r="K3297" s="95">
        <v>12.0</v>
      </c>
      <c r="L3297" s="53" t="s">
        <v>69</v>
      </c>
      <c r="M3297" s="106">
        <v>17500.0</v>
      </c>
      <c r="N3297" s="107"/>
      <c r="O3297" s="87">
        <f t="shared" si="11"/>
        <v>210000</v>
      </c>
      <c r="P3297" s="102" t="str">
        <f t="shared" si="2"/>
        <v>Rp17,500-12 PCS-0.00%</v>
      </c>
      <c r="Q3297" s="103">
        <v>45420.0</v>
      </c>
      <c r="R3297" s="104"/>
      <c r="S3297" s="103">
        <v>45429.0</v>
      </c>
      <c r="T3297" s="96" t="s">
        <v>280</v>
      </c>
      <c r="U3297" s="98"/>
      <c r="V3297" s="96" t="s">
        <v>3248</v>
      </c>
    </row>
    <row r="3298">
      <c r="A3298" s="95">
        <v>4447.0</v>
      </c>
      <c r="B3298" s="96" t="s">
        <v>29</v>
      </c>
      <c r="C3298" s="96" t="s">
        <v>3242</v>
      </c>
      <c r="D3298" s="96" t="s">
        <v>2604</v>
      </c>
      <c r="E3298" s="41" t="str">
        <f>IFERROR(__xludf.DUMMYFUNCTION("IFNA(vlookup(D3298,IMPORTRANGE(""https://docs.google.com/spreadsheets/d/1swGwZOEqYlTEUCJLY-eeJM1911Kvaei5oySBIxdgtNo/edit?pli=1#gid=257618397"",""stock untanna!B:C""),2,false),V:V)"),"PENSIL CASE A-6500")</f>
        <v>PENSIL CASE A-6500</v>
      </c>
      <c r="F3298" s="70"/>
      <c r="G3298" s="70"/>
      <c r="H3298" s="98"/>
      <c r="I3298" s="99"/>
      <c r="J3298" s="43" t="s">
        <v>1319</v>
      </c>
      <c r="K3298" s="95">
        <v>12.0</v>
      </c>
      <c r="L3298" s="53" t="s">
        <v>69</v>
      </c>
      <c r="M3298" s="106">
        <v>29166.7</v>
      </c>
      <c r="N3298" s="107"/>
      <c r="O3298" s="87">
        <f t="shared" si="11"/>
        <v>350000.4</v>
      </c>
      <c r="P3298" s="102" t="str">
        <f t="shared" si="2"/>
        <v>Rp29,167-12 PCS-0.00%</v>
      </c>
      <c r="Q3298" s="103">
        <v>45420.0</v>
      </c>
      <c r="R3298" s="104"/>
      <c r="S3298" s="103">
        <v>45429.0</v>
      </c>
      <c r="T3298" s="105"/>
      <c r="U3298" s="98"/>
      <c r="V3298" s="96" t="s">
        <v>2605</v>
      </c>
    </row>
    <row r="3299">
      <c r="A3299" s="95">
        <v>4447.0</v>
      </c>
      <c r="B3299" s="96" t="s">
        <v>29</v>
      </c>
      <c r="C3299" s="96" t="s">
        <v>3242</v>
      </c>
      <c r="D3299" s="96" t="s">
        <v>1115</v>
      </c>
      <c r="E3299" s="41" t="str">
        <f>IFERROR(__xludf.DUMMYFUNCTION("IFNA(vlookup(D3299,IMPORTRANGE(""https://docs.google.com/spreadsheets/d/1swGwZOEqYlTEUCJLY-eeJM1911Kvaei5oySBIxdgtNo/edit?pli=1#gid=257618397"",""stock untanna!B:C""),2,false),V:V)"),"PENSIL CASE SH-02 (HARUS DIPISAH, ADA 6 MACAM)")</f>
        <v>PENSIL CASE SH-02 (HARUS DIPISAH, ADA 6 MACAM)</v>
      </c>
      <c r="F3299" s="70"/>
      <c r="G3299" s="70"/>
      <c r="H3299" s="98"/>
      <c r="I3299" s="99"/>
      <c r="J3299" s="43" t="s">
        <v>1319</v>
      </c>
      <c r="K3299" s="95">
        <v>12.0</v>
      </c>
      <c r="L3299" s="53" t="s">
        <v>69</v>
      </c>
      <c r="M3299" s="106">
        <v>12500.0</v>
      </c>
      <c r="N3299" s="107"/>
      <c r="O3299" s="87">
        <f t="shared" si="11"/>
        <v>150000</v>
      </c>
      <c r="P3299" s="102" t="str">
        <f t="shared" si="2"/>
        <v>Rp12,500-12 PCS-0.00%</v>
      </c>
      <c r="Q3299" s="103">
        <v>45420.0</v>
      </c>
      <c r="R3299" s="104"/>
      <c r="S3299" s="103">
        <v>45429.0</v>
      </c>
      <c r="T3299" s="105"/>
      <c r="U3299" s="98"/>
      <c r="V3299" s="96" t="s">
        <v>1116</v>
      </c>
    </row>
    <row r="3300">
      <c r="A3300" s="95">
        <v>4447.0</v>
      </c>
      <c r="B3300" s="96" t="s">
        <v>29</v>
      </c>
      <c r="C3300" s="96" t="s">
        <v>3242</v>
      </c>
      <c r="D3300" s="96" t="s">
        <v>993</v>
      </c>
      <c r="E3300" s="41" t="str">
        <f>IFERROR(__xludf.DUMMYFUNCTION("IFNA(vlookup(D3300,IMPORTRANGE(""https://docs.google.com/spreadsheets/d/1swGwZOEqYlTEUCJLY-eeJM1911Kvaei5oySBIxdgtNo/edit?pli=1#gid=257618397"",""stock untanna!B:C""),2,false),V:V)"),"PW 8880-12")</f>
        <v>PW 8880-12</v>
      </c>
      <c r="F3300" s="70"/>
      <c r="G3300" s="70"/>
      <c r="H3300" s="98"/>
      <c r="I3300" s="99"/>
      <c r="J3300" s="43" t="s">
        <v>1319</v>
      </c>
      <c r="K3300" s="95">
        <v>6.0</v>
      </c>
      <c r="L3300" s="53" t="s">
        <v>62</v>
      </c>
      <c r="M3300" s="106">
        <v>175000.0</v>
      </c>
      <c r="N3300" s="107"/>
      <c r="O3300" s="87">
        <f t="shared" si="11"/>
        <v>1050000</v>
      </c>
      <c r="P3300" s="102" t="str">
        <f t="shared" si="2"/>
        <v>Rp175,000-6 LSN-0.00%</v>
      </c>
      <c r="Q3300" s="103">
        <v>45420.0</v>
      </c>
      <c r="R3300" s="104"/>
      <c r="S3300" s="103">
        <v>45429.0</v>
      </c>
      <c r="T3300" s="105"/>
      <c r="U3300" s="98"/>
      <c r="V3300" s="96" t="s">
        <v>994</v>
      </c>
    </row>
    <row r="3301">
      <c r="A3301" s="95">
        <v>4447.0</v>
      </c>
      <c r="B3301" s="96" t="s">
        <v>29</v>
      </c>
      <c r="C3301" s="96" t="s">
        <v>3242</v>
      </c>
      <c r="D3301" s="96" t="s">
        <v>2008</v>
      </c>
      <c r="E3301" s="41" t="str">
        <f>IFERROR(__xludf.DUMMYFUNCTION("IFNA(vlookup(D3301,IMPORTRANGE(""https://docs.google.com/spreadsheets/d/1swGwZOEqYlTEUCJLY-eeJM1911Kvaei5oySBIxdgtNo/edit?pli=1#gid=257618397"",""stock untanna!B:C""),2,false),V:V)"),"PW 9999-12")</f>
        <v>PW 9999-12</v>
      </c>
      <c r="F3301" s="70"/>
      <c r="G3301" s="70"/>
      <c r="H3301" s="98"/>
      <c r="I3301" s="99"/>
      <c r="J3301" s="43" t="s">
        <v>1319</v>
      </c>
      <c r="K3301" s="95">
        <v>6.0</v>
      </c>
      <c r="L3301" s="53" t="s">
        <v>62</v>
      </c>
      <c r="M3301" s="106">
        <v>175000.0</v>
      </c>
      <c r="N3301" s="107"/>
      <c r="O3301" s="87">
        <f t="shared" si="11"/>
        <v>1050000</v>
      </c>
      <c r="P3301" s="102" t="str">
        <f t="shared" si="2"/>
        <v>Rp175,000-6 LSN-0.00%</v>
      </c>
      <c r="Q3301" s="103">
        <v>45420.0</v>
      </c>
      <c r="R3301" s="104"/>
      <c r="S3301" s="103">
        <v>45429.0</v>
      </c>
      <c r="T3301" s="105"/>
      <c r="U3301" s="98"/>
      <c r="V3301" s="96" t="s">
        <v>2009</v>
      </c>
    </row>
    <row r="3302">
      <c r="A3302" s="95">
        <v>4447.0</v>
      </c>
      <c r="B3302" s="96" t="s">
        <v>29</v>
      </c>
      <c r="C3302" s="96" t="s">
        <v>3242</v>
      </c>
      <c r="D3302" s="97"/>
      <c r="E3302" s="41" t="str">
        <f>IFERROR(__xludf.DUMMYFUNCTION("IFNA(vlookup(D3302,IMPORTRANGE(""https://docs.google.com/spreadsheets/d/1swGwZOEqYlTEUCJLY-eeJM1911Kvaei5oySBIxdgtNo/edit?pli=1#gid=257618397"",""stock untanna!B:C""),2,false),V:V)"),"P WARNA 12W PJG 8891")</f>
        <v>P WARNA 12W PJG 8891</v>
      </c>
      <c r="F3302" s="70"/>
      <c r="G3302" s="70"/>
      <c r="H3302" s="98"/>
      <c r="I3302" s="99"/>
      <c r="J3302" s="43" t="s">
        <v>3190</v>
      </c>
      <c r="K3302" s="95">
        <v>2.0</v>
      </c>
      <c r="L3302" s="53" t="s">
        <v>62</v>
      </c>
      <c r="M3302" s="106">
        <v>140000.0</v>
      </c>
      <c r="N3302" s="107"/>
      <c r="O3302" s="87">
        <f t="shared" si="11"/>
        <v>280000</v>
      </c>
      <c r="P3302" s="102" t="str">
        <f t="shared" si="2"/>
        <v>Rp140,000-2 LSN-0.00%</v>
      </c>
      <c r="Q3302" s="103">
        <v>45420.0</v>
      </c>
      <c r="R3302" s="104"/>
      <c r="S3302" s="103">
        <v>45429.0</v>
      </c>
      <c r="T3302" s="105"/>
      <c r="U3302" s="98"/>
      <c r="V3302" s="96" t="s">
        <v>3249</v>
      </c>
    </row>
    <row r="3303">
      <c r="A3303" s="95">
        <v>4447.0</v>
      </c>
      <c r="B3303" s="96" t="s">
        <v>29</v>
      </c>
      <c r="C3303" s="96" t="s">
        <v>3242</v>
      </c>
      <c r="D3303" s="96" t="s">
        <v>3184</v>
      </c>
      <c r="E3303" s="41" t="str">
        <f>IFERROR(__xludf.DUMMYFUNCTION("IFNA(vlookup(D3303,IMPORTRANGE(""https://docs.google.com/spreadsheets/d/1swGwZOEqYlTEUCJLY-eeJM1911Kvaei5oySBIxdgtNo/edit?pli=1#gid=257618397"",""stock untanna!B:C""),2,false),V:V)"),"PENSIL 8894-12")</f>
        <v>PENSIL 8894-12</v>
      </c>
      <c r="F3303" s="70"/>
      <c r="G3303" s="70"/>
      <c r="H3303" s="98"/>
      <c r="I3303" s="99"/>
      <c r="J3303" s="43" t="s">
        <v>1319</v>
      </c>
      <c r="K3303" s="95">
        <v>24.0</v>
      </c>
      <c r="L3303" s="53" t="s">
        <v>69</v>
      </c>
      <c r="M3303" s="106">
        <v>11666.7</v>
      </c>
      <c r="N3303" s="107"/>
      <c r="O3303" s="87">
        <f t="shared" si="11"/>
        <v>280000.8</v>
      </c>
      <c r="P3303" s="102" t="str">
        <f t="shared" si="2"/>
        <v>Rp11,667-24 PCS-0.00%</v>
      </c>
      <c r="Q3303" s="103">
        <v>45420.0</v>
      </c>
      <c r="R3303" s="104"/>
      <c r="S3303" s="103">
        <v>45429.0</v>
      </c>
      <c r="T3303" s="105"/>
      <c r="U3303" s="98"/>
      <c r="V3303" s="96" t="s">
        <v>3185</v>
      </c>
    </row>
    <row r="3304">
      <c r="A3304" s="95">
        <v>4447.0</v>
      </c>
      <c r="B3304" s="96" t="s">
        <v>29</v>
      </c>
      <c r="C3304" s="96" t="s">
        <v>3242</v>
      </c>
      <c r="D3304" s="96" t="s">
        <v>596</v>
      </c>
      <c r="E3304" s="41" t="str">
        <f>IFERROR(__xludf.DUMMYFUNCTION("IFNA(vlookup(D3304,IMPORTRANGE(""https://docs.google.com/spreadsheets/d/1swGwZOEqYlTEUCJLY-eeJM1911Kvaei5oySBIxdgtNo/edit?pli=1#gid=257618397"",""stock untanna!B:C""),2,false),V:V)"),"PENSIL CASE 6A-26")</f>
        <v>PENSIL CASE 6A-26</v>
      </c>
      <c r="F3304" s="70"/>
      <c r="G3304" s="70"/>
      <c r="H3304" s="98"/>
      <c r="I3304" s="99"/>
      <c r="J3304" s="43" t="s">
        <v>1319</v>
      </c>
      <c r="K3304" s="95">
        <v>12.0</v>
      </c>
      <c r="L3304" s="53" t="s">
        <v>69</v>
      </c>
      <c r="M3304" s="106">
        <v>18750.0</v>
      </c>
      <c r="N3304" s="107"/>
      <c r="O3304" s="87">
        <f t="shared" si="11"/>
        <v>225000</v>
      </c>
      <c r="P3304" s="102" t="str">
        <f t="shared" si="2"/>
        <v>Rp18,750-12 PCS-0.00%</v>
      </c>
      <c r="Q3304" s="103">
        <v>45420.0</v>
      </c>
      <c r="R3304" s="104"/>
      <c r="S3304" s="103">
        <v>45429.0</v>
      </c>
      <c r="T3304" s="105"/>
      <c r="U3304" s="98"/>
      <c r="V3304" s="96" t="s">
        <v>597</v>
      </c>
    </row>
    <row r="3305">
      <c r="A3305" s="95">
        <v>4448.0</v>
      </c>
      <c r="B3305" s="96" t="s">
        <v>29</v>
      </c>
      <c r="C3305" s="96" t="s">
        <v>3242</v>
      </c>
      <c r="D3305" s="97"/>
      <c r="E3305" s="41" t="str">
        <f>IFERROR(__xludf.DUMMYFUNCTION("IFNA(vlookup(D3305,IMPORTRANGE(""https://docs.google.com/spreadsheets/d/1swGwZOEqYlTEUCJLY-eeJM1911Kvaei5oySBIxdgtNo/edit?pli=1#gid=257618397"",""stock untanna!B:C""),2,false),V:V)"),"TAS GG 1 1833 L BESAR")</f>
        <v>TAS GG 1 1833 L BESAR</v>
      </c>
      <c r="F3305" s="70"/>
      <c r="G3305" s="70"/>
      <c r="H3305" s="98"/>
      <c r="I3305" s="99"/>
      <c r="J3305" s="43" t="s">
        <v>3190</v>
      </c>
      <c r="K3305" s="95">
        <v>1.0</v>
      </c>
      <c r="L3305" s="53" t="s">
        <v>62</v>
      </c>
      <c r="M3305" s="106">
        <v>142000.0</v>
      </c>
      <c r="N3305" s="107"/>
      <c r="O3305" s="87">
        <f t="shared" si="11"/>
        <v>142000</v>
      </c>
      <c r="P3305" s="102" t="str">
        <f t="shared" si="2"/>
        <v>Rp142,000-1 LSN-0.00%</v>
      </c>
      <c r="Q3305" s="103">
        <v>45420.0</v>
      </c>
      <c r="R3305" s="104"/>
      <c r="S3305" s="103">
        <v>45429.0</v>
      </c>
      <c r="T3305" s="105"/>
      <c r="U3305" s="98"/>
      <c r="V3305" s="96" t="s">
        <v>3250</v>
      </c>
    </row>
    <row r="3306">
      <c r="A3306" s="95">
        <v>4448.0</v>
      </c>
      <c r="B3306" s="96" t="s">
        <v>29</v>
      </c>
      <c r="C3306" s="96" t="s">
        <v>3242</v>
      </c>
      <c r="D3306" s="97"/>
      <c r="E3306" s="41" t="str">
        <f>IFERROR(__xludf.DUMMYFUNCTION("IFNA(vlookup(D3306,IMPORTRANGE(""https://docs.google.com/spreadsheets/d/1swGwZOEqYlTEUCJLY-eeJM1911Kvaei5oySBIxdgtNo/edit?pli=1#gid=257618397"",""stock untanna!B:C""),2,false),V:V)"),"LILIN ULTAH 12W SHINTOENG")</f>
        <v>LILIN ULTAH 12W SHINTOENG</v>
      </c>
      <c r="F3306" s="70"/>
      <c r="G3306" s="70"/>
      <c r="H3306" s="98"/>
      <c r="I3306" s="99"/>
      <c r="J3306" s="43" t="s">
        <v>3190</v>
      </c>
      <c r="K3306" s="95">
        <v>6.0</v>
      </c>
      <c r="L3306" s="53" t="s">
        <v>62</v>
      </c>
      <c r="M3306" s="106">
        <v>45000.0</v>
      </c>
      <c r="N3306" s="107"/>
      <c r="O3306" s="87">
        <f t="shared" si="11"/>
        <v>270000</v>
      </c>
      <c r="P3306" s="102" t="str">
        <f t="shared" si="2"/>
        <v>Rp45,000-6 LSN-0.00%</v>
      </c>
      <c r="Q3306" s="103">
        <v>45420.0</v>
      </c>
      <c r="R3306" s="104"/>
      <c r="S3306" s="103">
        <v>45429.0</v>
      </c>
      <c r="T3306" s="105"/>
      <c r="U3306" s="98"/>
      <c r="V3306" s="96" t="s">
        <v>3251</v>
      </c>
    </row>
    <row r="3307">
      <c r="A3307" s="95">
        <v>4448.0</v>
      </c>
      <c r="B3307" s="96" t="s">
        <v>29</v>
      </c>
      <c r="C3307" s="96" t="s">
        <v>3242</v>
      </c>
      <c r="D3307" s="96" t="s">
        <v>2654</v>
      </c>
      <c r="E3307" s="41" t="str">
        <f>IFERROR(__xludf.DUMMYFUNCTION("IFNA(vlookup(D3307,IMPORTRANGE(""https://docs.google.com/spreadsheets/d/1swGwZOEqYlTEUCJLY-eeJM1911Kvaei5oySBIxdgtNo/edit?pli=1#gid=257618397"",""stock untanna!B:C""),2,false),V:V)"),"MAP ZIPPER KANCING 2 SIKA MERAH")</f>
        <v>MAP ZIPPER KANCING 2 SIKA MERAH</v>
      </c>
      <c r="F3307" s="70"/>
      <c r="G3307" s="70"/>
      <c r="H3307" s="98"/>
      <c r="I3307" s="99"/>
      <c r="J3307" s="43" t="s">
        <v>1319</v>
      </c>
      <c r="K3307" s="95">
        <v>0.5</v>
      </c>
      <c r="L3307" s="53" t="s">
        <v>62</v>
      </c>
      <c r="M3307" s="106">
        <v>194000.0</v>
      </c>
      <c r="N3307" s="107"/>
      <c r="O3307" s="87">
        <f t="shared" si="11"/>
        <v>97000</v>
      </c>
      <c r="P3307" s="102" t="str">
        <f t="shared" si="2"/>
        <v>Rp194,000-0.5 LSN-0.00%</v>
      </c>
      <c r="Q3307" s="103">
        <v>45420.0</v>
      </c>
      <c r="R3307" s="104"/>
      <c r="S3307" s="103">
        <v>45429.0</v>
      </c>
      <c r="T3307" s="105"/>
      <c r="U3307" s="98"/>
      <c r="V3307" s="96" t="s">
        <v>2655</v>
      </c>
    </row>
    <row r="3308">
      <c r="A3308" s="95">
        <v>4448.0</v>
      </c>
      <c r="B3308" s="96" t="s">
        <v>29</v>
      </c>
      <c r="C3308" s="96" t="s">
        <v>3242</v>
      </c>
      <c r="D3308" s="96" t="s">
        <v>3252</v>
      </c>
      <c r="E3308" s="41" t="str">
        <f>IFERROR(__xludf.DUMMYFUNCTION("IFNA(vlookup(D3308,IMPORTRANGE(""https://docs.google.com/spreadsheets/d/1swGwZOEqYlTEUCJLY-eeJM1911Kvaei5oySBIxdgtNo/edit?pli=1#gid=257618397"",""stock untanna!B:C""),2,false),V:V)"),"MAP ZIPPER KANCING 2 SIKA KUNING")</f>
        <v>MAP ZIPPER KANCING 2 SIKA KUNING</v>
      </c>
      <c r="F3308" s="70"/>
      <c r="G3308" s="70"/>
      <c r="H3308" s="98"/>
      <c r="I3308" s="99"/>
      <c r="J3308" s="43" t="s">
        <v>1319</v>
      </c>
      <c r="K3308" s="95">
        <v>0.5</v>
      </c>
      <c r="L3308" s="53" t="s">
        <v>62</v>
      </c>
      <c r="M3308" s="106">
        <v>194000.0</v>
      </c>
      <c r="N3308" s="107"/>
      <c r="O3308" s="87">
        <f t="shared" si="11"/>
        <v>97000</v>
      </c>
      <c r="P3308" s="102" t="str">
        <f t="shared" si="2"/>
        <v>Rp194,000-0.5 LSN-0.00%</v>
      </c>
      <c r="Q3308" s="103">
        <v>45420.0</v>
      </c>
      <c r="R3308" s="104"/>
      <c r="S3308" s="103">
        <v>45429.0</v>
      </c>
      <c r="T3308" s="105"/>
      <c r="U3308" s="98"/>
      <c r="V3308" s="96" t="s">
        <v>3253</v>
      </c>
    </row>
    <row r="3309">
      <c r="A3309" s="95">
        <v>4448.0</v>
      </c>
      <c r="B3309" s="96" t="s">
        <v>29</v>
      </c>
      <c r="C3309" s="96" t="s">
        <v>3242</v>
      </c>
      <c r="D3309" s="96" t="s">
        <v>2658</v>
      </c>
      <c r="E3309" s="41" t="str">
        <f>IFERROR(__xludf.DUMMYFUNCTION("IFNA(vlookup(D3309,IMPORTRANGE(""https://docs.google.com/spreadsheets/d/1swGwZOEqYlTEUCJLY-eeJM1911Kvaei5oySBIxdgtNo/edit?pli=1#gid=257618397"",""stock untanna!B:C""),2,false),V:V)"),"MAP ZIPPER KANCING 2 SIKA HIJAU")</f>
        <v>MAP ZIPPER KANCING 2 SIKA HIJAU</v>
      </c>
      <c r="F3309" s="70"/>
      <c r="G3309" s="70"/>
      <c r="H3309" s="98"/>
      <c r="I3309" s="99"/>
      <c r="J3309" s="43" t="s">
        <v>1319</v>
      </c>
      <c r="K3309" s="95">
        <v>0.5</v>
      </c>
      <c r="L3309" s="53" t="s">
        <v>62</v>
      </c>
      <c r="M3309" s="106">
        <v>194000.0</v>
      </c>
      <c r="N3309" s="107"/>
      <c r="O3309" s="87">
        <f t="shared" si="11"/>
        <v>97000</v>
      </c>
      <c r="P3309" s="102" t="str">
        <f t="shared" si="2"/>
        <v>Rp194,000-0.5 LSN-0.00%</v>
      </c>
      <c r="Q3309" s="103">
        <v>45420.0</v>
      </c>
      <c r="R3309" s="104"/>
      <c r="S3309" s="103">
        <v>45429.0</v>
      </c>
      <c r="T3309" s="105"/>
      <c r="U3309" s="98"/>
      <c r="V3309" s="96" t="s">
        <v>2659</v>
      </c>
    </row>
    <row r="3310">
      <c r="A3310" s="95">
        <v>4448.0</v>
      </c>
      <c r="B3310" s="96" t="s">
        <v>29</v>
      </c>
      <c r="C3310" s="96" t="s">
        <v>3242</v>
      </c>
      <c r="D3310" s="96" t="s">
        <v>2656</v>
      </c>
      <c r="E3310" s="41" t="str">
        <f>IFERROR(__xludf.DUMMYFUNCTION("IFNA(vlookup(D3310,IMPORTRANGE(""https://docs.google.com/spreadsheets/d/1swGwZOEqYlTEUCJLY-eeJM1911Kvaei5oySBIxdgtNo/edit?pli=1#gid=257618397"",""stock untanna!B:C""),2,false),V:V)"),"MAP ZIPPER KANCING 2 SIKA BIRU")</f>
        <v>MAP ZIPPER KANCING 2 SIKA BIRU</v>
      </c>
      <c r="F3310" s="70"/>
      <c r="G3310" s="70"/>
      <c r="H3310" s="98"/>
      <c r="I3310" s="99"/>
      <c r="J3310" s="43" t="s">
        <v>1319</v>
      </c>
      <c r="K3310" s="95">
        <v>0.5</v>
      </c>
      <c r="L3310" s="53" t="s">
        <v>62</v>
      </c>
      <c r="M3310" s="106">
        <v>194000.0</v>
      </c>
      <c r="N3310" s="107"/>
      <c r="O3310" s="87">
        <f t="shared" si="11"/>
        <v>97000</v>
      </c>
      <c r="P3310" s="102" t="str">
        <f t="shared" si="2"/>
        <v>Rp194,000-0.5 LSN-0.00%</v>
      </c>
      <c r="Q3310" s="103">
        <v>45420.0</v>
      </c>
      <c r="R3310" s="104"/>
      <c r="S3310" s="103">
        <v>45429.0</v>
      </c>
      <c r="T3310" s="105"/>
      <c r="U3310" s="98"/>
      <c r="V3310" s="96" t="s">
        <v>2657</v>
      </c>
    </row>
    <row r="3311">
      <c r="A3311" s="95">
        <v>4448.0</v>
      </c>
      <c r="B3311" s="96" t="s">
        <v>29</v>
      </c>
      <c r="C3311" s="96" t="s">
        <v>3242</v>
      </c>
      <c r="D3311" s="96" t="s">
        <v>1557</v>
      </c>
      <c r="E3311" s="41" t="str">
        <f>IFERROR(__xludf.DUMMYFUNCTION("IFNA(vlookup(D3311,IMPORTRANGE(""https://docs.google.com/spreadsheets/d/1swGwZOEqYlTEUCJLY-eeJM1911Kvaei5oySBIxdgtNo/edit?pli=1#gid=257618397"",""stock untanna!B:C""),2,false),V:V)"),"NOTEBOOK  A5-103")</f>
        <v>NOTEBOOK  A5-103</v>
      </c>
      <c r="F3311" s="70"/>
      <c r="G3311" s="70"/>
      <c r="H3311" s="98"/>
      <c r="I3311" s="99"/>
      <c r="J3311" s="43" t="s">
        <v>1319</v>
      </c>
      <c r="K3311" s="95">
        <v>2.0</v>
      </c>
      <c r="L3311" s="53" t="s">
        <v>62</v>
      </c>
      <c r="M3311" s="106">
        <v>210000.0</v>
      </c>
      <c r="N3311" s="107"/>
      <c r="O3311" s="87">
        <f t="shared" si="11"/>
        <v>420000</v>
      </c>
      <c r="P3311" s="102" t="str">
        <f t="shared" si="2"/>
        <v>Rp210,000-2 LSN-0.00%</v>
      </c>
      <c r="Q3311" s="103">
        <v>45420.0</v>
      </c>
      <c r="R3311" s="104"/>
      <c r="S3311" s="103">
        <v>45429.0</v>
      </c>
      <c r="T3311" s="105"/>
      <c r="U3311" s="98"/>
      <c r="V3311" s="96" t="s">
        <v>1558</v>
      </c>
    </row>
    <row r="3312">
      <c r="A3312" s="95">
        <v>4448.0</v>
      </c>
      <c r="B3312" s="96" t="s">
        <v>29</v>
      </c>
      <c r="C3312" s="96" t="s">
        <v>3242</v>
      </c>
      <c r="D3312" s="96" t="s">
        <v>3254</v>
      </c>
      <c r="E3312" s="41" t="str">
        <f>IFERROR(__xludf.DUMMYFUNCTION("IFNA(vlookup(D3312,IMPORTRANGE(""https://docs.google.com/spreadsheets/d/1swGwZOEqYlTEUCJLY-eeJM1911Kvaei5oySBIxdgtNo/edit?pli=1#gid=257618397"",""stock untanna!B:C""),2,false),V:V)"),"PITA TARIK/KADO 30 CM BIASA")</f>
        <v>PITA TARIK/KADO 30 CM BIASA</v>
      </c>
      <c r="F3312" s="70"/>
      <c r="G3312" s="70"/>
      <c r="H3312" s="98"/>
      <c r="I3312" s="99"/>
      <c r="J3312" s="43" t="s">
        <v>1319</v>
      </c>
      <c r="K3312" s="95">
        <v>50.0</v>
      </c>
      <c r="L3312" s="53" t="s">
        <v>69</v>
      </c>
      <c r="M3312" s="106">
        <v>4500.0</v>
      </c>
      <c r="N3312" s="107"/>
      <c r="O3312" s="87">
        <f t="shared" si="11"/>
        <v>225000</v>
      </c>
      <c r="P3312" s="102" t="str">
        <f t="shared" si="2"/>
        <v>Rp4,500-50 PCS-0.00%</v>
      </c>
      <c r="Q3312" s="103">
        <v>45420.0</v>
      </c>
      <c r="R3312" s="104"/>
      <c r="S3312" s="103">
        <v>45429.0</v>
      </c>
      <c r="T3312" s="105"/>
      <c r="U3312" s="98"/>
      <c r="V3312" s="96" t="s">
        <v>3255</v>
      </c>
      <c r="W3312" s="108"/>
      <c r="X3312" s="108"/>
      <c r="Y3312" s="108"/>
      <c r="Z3312" s="108"/>
      <c r="AA3312" s="108"/>
      <c r="AB3312" s="108"/>
      <c r="AC3312" s="108"/>
      <c r="AD3312" s="108"/>
      <c r="AE3312" s="108"/>
      <c r="AF3312" s="108"/>
      <c r="AG3312" s="108"/>
      <c r="AH3312" s="108"/>
      <c r="AI3312" s="108"/>
    </row>
    <row r="3313">
      <c r="A3313" s="95">
        <v>4448.0</v>
      </c>
      <c r="B3313" s="96" t="s">
        <v>29</v>
      </c>
      <c r="C3313" s="96" t="s">
        <v>3242</v>
      </c>
      <c r="D3313" s="96" t="s">
        <v>247</v>
      </c>
      <c r="E3313" s="41" t="str">
        <f>IFERROR(__xludf.DUMMYFUNCTION("IFNA(vlookup(D3313,IMPORTRANGE(""https://docs.google.com/spreadsheets/d/1swGwZOEqYlTEUCJLY-eeJM1911Kvaei5oySBIxdgtNo/edit?pli=1#gid=257618397"",""stock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313" s="70"/>
      <c r="G3313" s="70"/>
      <c r="H3313" s="98"/>
      <c r="I3313" s="99"/>
      <c r="J3313" s="43" t="s">
        <v>1319</v>
      </c>
      <c r="K3313" s="95">
        <v>2.0</v>
      </c>
      <c r="L3313" s="53" t="s">
        <v>62</v>
      </c>
      <c r="M3313" s="106">
        <v>105000.0</v>
      </c>
      <c r="N3313" s="107"/>
      <c r="O3313" s="87">
        <f t="shared" si="11"/>
        <v>210000</v>
      </c>
      <c r="P3313" s="102" t="str">
        <f t="shared" si="2"/>
        <v>Rp105,000-2 LSN-0.00%</v>
      </c>
      <c r="Q3313" s="103">
        <v>45420.0</v>
      </c>
      <c r="R3313" s="104"/>
      <c r="S3313" s="103">
        <v>45429.0</v>
      </c>
      <c r="T3313" s="105"/>
      <c r="U3313" s="98"/>
      <c r="V3313" s="96" t="s">
        <v>248</v>
      </c>
    </row>
    <row r="3314">
      <c r="A3314" s="95">
        <v>4448.0</v>
      </c>
      <c r="B3314" s="96" t="s">
        <v>29</v>
      </c>
      <c r="C3314" s="96" t="s">
        <v>3242</v>
      </c>
      <c r="D3314" s="96" t="s">
        <v>653</v>
      </c>
      <c r="E3314" s="41" t="str">
        <f>IFERROR(__xludf.DUMMYFUNCTION("IFNA(vlookup(D3314,IMPORTRANGE(""https://docs.google.com/spreadsheets/d/1swGwZOEqYlTEUCJLY-eeJM1911Kvaei5oySBIxdgtNo/edit?pli=1#gid=257618397"",""stock untanna!B:C""),2,false),V:V)"),"TAS TALI GG-03 BESAR GILAP")</f>
        <v>TAS TALI GG-03 BESAR GILAP</v>
      </c>
      <c r="F3314" s="70"/>
      <c r="G3314" s="70"/>
      <c r="H3314" s="98"/>
      <c r="I3314" s="99"/>
      <c r="J3314" s="43" t="s">
        <v>1319</v>
      </c>
      <c r="K3314" s="95">
        <v>1.0</v>
      </c>
      <c r="L3314" s="53" t="s">
        <v>62</v>
      </c>
      <c r="M3314" s="106">
        <v>126000.0</v>
      </c>
      <c r="N3314" s="107"/>
      <c r="O3314" s="87">
        <f t="shared" si="11"/>
        <v>126000</v>
      </c>
      <c r="P3314" s="102" t="str">
        <f t="shared" si="2"/>
        <v>Rp126,000-1 LSN-0.00%</v>
      </c>
      <c r="Q3314" s="103">
        <v>45420.0</v>
      </c>
      <c r="R3314" s="104"/>
      <c r="S3314" s="103">
        <v>45429.0</v>
      </c>
      <c r="T3314" s="105"/>
      <c r="U3314" s="98"/>
      <c r="V3314" s="96" t="s">
        <v>654</v>
      </c>
    </row>
    <row r="3315">
      <c r="A3315" s="95">
        <v>4448.0</v>
      </c>
      <c r="B3315" s="96" t="s">
        <v>29</v>
      </c>
      <c r="C3315" s="96" t="s">
        <v>3242</v>
      </c>
      <c r="D3315" s="96" t="s">
        <v>3256</v>
      </c>
      <c r="E3315" s="41" t="str">
        <f>IFERROR(__xludf.DUMMYFUNCTION("IFNA(vlookup(D3315,IMPORTRANGE(""https://docs.google.com/spreadsheets/d/1swGwZOEqYlTEUCJLY-eeJM1911Kvaei5oySBIxdgtNo/edit?pli=1#gid=257618397"",""stock untanna!B:C""),2,false),V:V)"),"TIPEX KERTAS 91038HG")</f>
        <v>TIPEX KERTAS 91038HG</v>
      </c>
      <c r="F3315" s="70"/>
      <c r="G3315" s="70"/>
      <c r="H3315" s="98"/>
      <c r="I3315" s="99"/>
      <c r="J3315" s="43" t="s">
        <v>1319</v>
      </c>
      <c r="K3315" s="95">
        <v>4.0</v>
      </c>
      <c r="L3315" s="53" t="s">
        <v>62</v>
      </c>
      <c r="M3315" s="106">
        <v>50000.0</v>
      </c>
      <c r="N3315" s="107"/>
      <c r="O3315" s="87">
        <f t="shared" si="11"/>
        <v>200000</v>
      </c>
      <c r="P3315" s="102" t="str">
        <f t="shared" si="2"/>
        <v>Rp50,000-4 LSN-0.00%</v>
      </c>
      <c r="Q3315" s="103">
        <v>45420.0</v>
      </c>
      <c r="R3315" s="104"/>
      <c r="S3315" s="103">
        <v>45429.0</v>
      </c>
      <c r="T3315" s="105"/>
      <c r="U3315" s="98"/>
      <c r="V3315" s="96" t="s">
        <v>3257</v>
      </c>
    </row>
    <row r="3316">
      <c r="A3316" s="95">
        <v>4448.0</v>
      </c>
      <c r="B3316" s="96" t="s">
        <v>29</v>
      </c>
      <c r="C3316" s="96" t="s">
        <v>3242</v>
      </c>
      <c r="D3316" s="77" t="s">
        <v>3018</v>
      </c>
      <c r="E3316" s="41" t="str">
        <f>IFERROR(__xludf.DUMMYFUNCTION("IFNA(vlookup(D3316,IMPORTRANGE(""https://docs.google.com/spreadsheets/d/1swGwZOEqYlTEUCJLY-eeJM1911Kvaei5oySBIxdgtNo/edit?pli=1#gid=257618397"",""stock untanna!B:C""),2,false),V:V)"),"TIPEX KERTAS 91040HG")</f>
        <v>TIPEX KERTAS 91040HG</v>
      </c>
      <c r="F3316" s="70"/>
      <c r="G3316" s="70"/>
      <c r="H3316" s="98"/>
      <c r="I3316" s="99"/>
      <c r="J3316" s="43" t="s">
        <v>1319</v>
      </c>
      <c r="K3316" s="95">
        <v>4.0</v>
      </c>
      <c r="L3316" s="53" t="s">
        <v>62</v>
      </c>
      <c r="M3316" s="106">
        <v>50000.0</v>
      </c>
      <c r="N3316" s="107"/>
      <c r="O3316" s="87">
        <f t="shared" si="11"/>
        <v>200000</v>
      </c>
      <c r="P3316" s="102" t="str">
        <f t="shared" si="2"/>
        <v>Rp50,000-4 LSN-0.00%</v>
      </c>
      <c r="Q3316" s="103">
        <v>45420.0</v>
      </c>
      <c r="R3316" s="104"/>
      <c r="S3316" s="103">
        <v>45429.0</v>
      </c>
      <c r="T3316" s="96"/>
      <c r="U3316" s="98"/>
      <c r="V3316" s="96" t="s">
        <v>3019</v>
      </c>
    </row>
    <row r="3317">
      <c r="A3317" s="95">
        <v>4448.0</v>
      </c>
      <c r="B3317" s="96" t="s">
        <v>29</v>
      </c>
      <c r="C3317" s="96" t="s">
        <v>3242</v>
      </c>
      <c r="D3317" s="96" t="s">
        <v>118</v>
      </c>
      <c r="E3317" s="41" t="str">
        <f>IFERROR(__xludf.DUMMYFUNCTION("IFNA(vlookup(D3317,IMPORTRANGE(""https://docs.google.com/spreadsheets/d/1swGwZOEqYlTEUCJLY-eeJM1911Kvaei5oySBIxdgtNo/edit?pli=1#gid=257618397"",""stock untanna!B:C""),2,false),V:V)"),"TIPEX KERTAS NO.9443")</f>
        <v>TIPEX KERTAS NO.9443</v>
      </c>
      <c r="F3317" s="70"/>
      <c r="G3317" s="70"/>
      <c r="H3317" s="98"/>
      <c r="I3317" s="99"/>
      <c r="J3317" s="43" t="s">
        <v>1319</v>
      </c>
      <c r="K3317" s="95">
        <v>4.0</v>
      </c>
      <c r="L3317" s="53" t="s">
        <v>62</v>
      </c>
      <c r="M3317" s="106">
        <v>50000.0</v>
      </c>
      <c r="N3317" s="107"/>
      <c r="O3317" s="87">
        <f t="shared" si="11"/>
        <v>200000</v>
      </c>
      <c r="P3317" s="102" t="str">
        <f t="shared" si="2"/>
        <v>Rp50,000-4 LSN-0.00%</v>
      </c>
      <c r="Q3317" s="103">
        <v>45420.0</v>
      </c>
      <c r="R3317" s="104"/>
      <c r="S3317" s="103">
        <v>45429.0</v>
      </c>
      <c r="T3317" s="105"/>
      <c r="U3317" s="98"/>
      <c r="V3317" s="96" t="s">
        <v>119</v>
      </c>
    </row>
    <row r="3318">
      <c r="A3318" s="95">
        <v>4448.0</v>
      </c>
      <c r="B3318" s="96" t="s">
        <v>29</v>
      </c>
      <c r="C3318" s="96" t="s">
        <v>3242</v>
      </c>
      <c r="D3318" s="96" t="s">
        <v>2864</v>
      </c>
      <c r="E3318" s="41" t="str">
        <f>IFERROR(__xludf.DUMMYFUNCTION("IFNA(vlookup(D3318,IMPORTRANGE(""https://docs.google.com/spreadsheets/d/1swGwZOEqYlTEUCJLY-eeJM1911Kvaei5oySBIxdgtNo/edit?pli=1#gid=257618397"",""stock untanna!B:C""),2,false),V:V)"),"TIPEX KERTAS NO.9473")</f>
        <v>TIPEX KERTAS NO.9473</v>
      </c>
      <c r="F3318" s="70"/>
      <c r="G3318" s="70"/>
      <c r="H3318" s="98"/>
      <c r="I3318" s="99"/>
      <c r="J3318" s="43" t="s">
        <v>1319</v>
      </c>
      <c r="K3318" s="95">
        <v>4.0</v>
      </c>
      <c r="L3318" s="53" t="s">
        <v>62</v>
      </c>
      <c r="M3318" s="106">
        <v>50000.0</v>
      </c>
      <c r="N3318" s="107"/>
      <c r="O3318" s="87">
        <f t="shared" si="11"/>
        <v>200000</v>
      </c>
      <c r="P3318" s="102" t="str">
        <f t="shared" si="2"/>
        <v>Rp50,000-4 LSN-0.00%</v>
      </c>
      <c r="Q3318" s="103">
        <v>45420.0</v>
      </c>
      <c r="R3318" s="104"/>
      <c r="S3318" s="103">
        <v>45429.0</v>
      </c>
      <c r="T3318" s="105"/>
      <c r="U3318" s="98"/>
      <c r="V3318" s="96" t="s">
        <v>2865</v>
      </c>
    </row>
    <row r="3319">
      <c r="A3319" s="95">
        <v>4448.0</v>
      </c>
      <c r="B3319" s="96" t="s">
        <v>29</v>
      </c>
      <c r="C3319" s="96" t="s">
        <v>3242</v>
      </c>
      <c r="D3319" s="96" t="s">
        <v>3189</v>
      </c>
      <c r="E3319" s="41" t="str">
        <f>IFERROR(__xludf.DUMMYFUNCTION("IFNA(vlookup(D3319,IMPORTRANGE(""https://docs.google.com/spreadsheets/d/1swGwZOEqYlTEUCJLY-eeJM1911Kvaei5oySBIxdgtNo/edit?pli=1#gid=257618397"",""stock untanna!B:C""),2,false),V:V)"),"TIPEX KERTAS NO.9462")</f>
        <v>TIPEX KERTAS NO.9462</v>
      </c>
      <c r="F3319" s="70"/>
      <c r="G3319" s="70"/>
      <c r="H3319" s="98"/>
      <c r="I3319" s="99"/>
      <c r="J3319" s="43" t="s">
        <v>1319</v>
      </c>
      <c r="K3319" s="95">
        <v>4.0</v>
      </c>
      <c r="L3319" s="53" t="s">
        <v>62</v>
      </c>
      <c r="M3319" s="106">
        <v>50000.0</v>
      </c>
      <c r="N3319" s="107"/>
      <c r="O3319" s="87">
        <f t="shared" si="11"/>
        <v>200000</v>
      </c>
      <c r="P3319" s="102" t="str">
        <f t="shared" si="2"/>
        <v>Rp50,000-4 LSN-0.00%</v>
      </c>
      <c r="Q3319" s="103">
        <v>45420.0</v>
      </c>
      <c r="R3319" s="104"/>
      <c r="S3319" s="103">
        <v>45429.0</v>
      </c>
      <c r="T3319" s="105"/>
      <c r="U3319" s="98"/>
      <c r="V3319" s="96" t="s">
        <v>1607</v>
      </c>
    </row>
    <row r="3320">
      <c r="A3320" s="95">
        <v>4448.0</v>
      </c>
      <c r="B3320" s="96" t="s">
        <v>29</v>
      </c>
      <c r="C3320" s="96" t="s">
        <v>3242</v>
      </c>
      <c r="D3320" s="96" t="s">
        <v>2860</v>
      </c>
      <c r="E3320" s="41" t="str">
        <f>IFERROR(__xludf.DUMMYFUNCTION("IFNA(vlookup(D3320,IMPORTRANGE(""https://docs.google.com/spreadsheets/d/1swGwZOEqYlTEUCJLY-eeJM1911Kvaei5oySBIxdgtNo/edit?pli=1#gid=257618397"",""stock untanna!B:C""),2,false),V:V)"),"TIPEX KERTAS NO.9459")</f>
        <v>TIPEX KERTAS NO.9459</v>
      </c>
      <c r="F3320" s="70"/>
      <c r="G3320" s="70"/>
      <c r="H3320" s="98"/>
      <c r="I3320" s="99"/>
      <c r="J3320" s="43" t="s">
        <v>1319</v>
      </c>
      <c r="K3320" s="95">
        <v>4.0</v>
      </c>
      <c r="L3320" s="53" t="s">
        <v>62</v>
      </c>
      <c r="M3320" s="106">
        <v>50000.0</v>
      </c>
      <c r="N3320" s="107"/>
      <c r="O3320" s="87">
        <f t="shared" si="11"/>
        <v>200000</v>
      </c>
      <c r="P3320" s="102" t="str">
        <f t="shared" si="2"/>
        <v>Rp50,000-4 LSN-0.00%</v>
      </c>
      <c r="Q3320" s="103">
        <v>45420.0</v>
      </c>
      <c r="R3320" s="104"/>
      <c r="S3320" s="103">
        <v>45429.0</v>
      </c>
      <c r="T3320" s="105"/>
      <c r="U3320" s="98"/>
      <c r="V3320" s="96" t="s">
        <v>2861</v>
      </c>
    </row>
    <row r="3321">
      <c r="A3321" s="95">
        <v>4449.0</v>
      </c>
      <c r="B3321" s="96" t="s">
        <v>29</v>
      </c>
      <c r="C3321" s="96" t="s">
        <v>3242</v>
      </c>
      <c r="D3321" s="96" t="s">
        <v>2858</v>
      </c>
      <c r="E3321" s="41" t="str">
        <f>IFERROR(__xludf.DUMMYFUNCTION("IFNA(vlookup(D3321,IMPORTRANGE(""https://docs.google.com/spreadsheets/d/1swGwZOEqYlTEUCJLY-eeJM1911Kvaei5oySBIxdgtNo/edit?pli=1#gid=257618397"",""stock untanna!B:C""),2,false),V:V)"),"TIPEX KERTAS NO.9461")</f>
        <v>TIPEX KERTAS NO.9461</v>
      </c>
      <c r="F3321" s="70"/>
      <c r="G3321" s="70"/>
      <c r="H3321" s="98"/>
      <c r="I3321" s="99"/>
      <c r="J3321" s="43" t="s">
        <v>1319</v>
      </c>
      <c r="K3321" s="95">
        <v>4.0</v>
      </c>
      <c r="L3321" s="53" t="s">
        <v>62</v>
      </c>
      <c r="M3321" s="106">
        <v>50000.0</v>
      </c>
      <c r="N3321" s="107"/>
      <c r="O3321" s="87">
        <f t="shared" si="11"/>
        <v>200000</v>
      </c>
      <c r="P3321" s="102" t="str">
        <f t="shared" si="2"/>
        <v>Rp50,000-4 LSN-0.00%</v>
      </c>
      <c r="Q3321" s="103">
        <v>45420.0</v>
      </c>
      <c r="R3321" s="104"/>
      <c r="S3321" s="103">
        <v>45429.0</v>
      </c>
      <c r="T3321" s="105"/>
      <c r="U3321" s="98"/>
      <c r="V3321" s="96" t="s">
        <v>2859</v>
      </c>
    </row>
    <row r="3322">
      <c r="A3322" s="95">
        <v>4449.0</v>
      </c>
      <c r="B3322" s="96" t="s">
        <v>29</v>
      </c>
      <c r="C3322" s="96" t="s">
        <v>3242</v>
      </c>
      <c r="D3322" s="96" t="s">
        <v>1023</v>
      </c>
      <c r="E3322" s="41" t="str">
        <f>IFERROR(__xludf.DUMMYFUNCTION("IFNA(vlookup(D3322,IMPORTRANGE(""https://docs.google.com/spreadsheets/d/1swGwZOEqYlTEUCJLY-eeJM1911Kvaei5oySBIxdgtNo/edit?pli=1#gid=257618397"",""stock untanna!B:C""),2,false),V:V)"),"TIPEX KERTAS 91033HG")</f>
        <v>TIPEX KERTAS 91033HG</v>
      </c>
      <c r="F3322" s="70"/>
      <c r="G3322" s="70"/>
      <c r="H3322" s="98"/>
      <c r="I3322" s="99"/>
      <c r="J3322" s="43" t="s">
        <v>1319</v>
      </c>
      <c r="K3322" s="95">
        <v>4.0</v>
      </c>
      <c r="L3322" s="53" t="s">
        <v>62</v>
      </c>
      <c r="M3322" s="106">
        <v>50000.0</v>
      </c>
      <c r="N3322" s="107"/>
      <c r="O3322" s="87">
        <f t="shared" si="11"/>
        <v>200000</v>
      </c>
      <c r="P3322" s="102" t="str">
        <f t="shared" si="2"/>
        <v>Rp50,000-4 LSN-0.00%</v>
      </c>
      <c r="Q3322" s="103">
        <v>45420.0</v>
      </c>
      <c r="R3322" s="104"/>
      <c r="S3322" s="103">
        <v>45429.0</v>
      </c>
      <c r="T3322" s="105"/>
      <c r="U3322" s="98"/>
      <c r="V3322" s="96" t="s">
        <v>1024</v>
      </c>
    </row>
    <row r="3323">
      <c r="A3323" s="95">
        <v>4449.0</v>
      </c>
      <c r="B3323" s="96" t="s">
        <v>29</v>
      </c>
      <c r="C3323" s="96" t="s">
        <v>3242</v>
      </c>
      <c r="D3323" s="96" t="s">
        <v>3258</v>
      </c>
      <c r="E3323" s="41" t="str">
        <f>IFERROR(__xludf.DUMMYFUNCTION("IFNA(vlookup(D3323,IMPORTRANGE(""https://docs.google.com/spreadsheets/d/1swGwZOEqYlTEUCJLY-eeJM1911Kvaei5oySBIxdgtNo/edit?pli=1#gid=257618397"",""stock untanna!B:C""),2,false),V:V)"),"TIPEX KERTAS NO.8018")</f>
        <v>TIPEX KERTAS NO.8018</v>
      </c>
      <c r="F3323" s="70"/>
      <c r="G3323" s="70"/>
      <c r="H3323" s="98"/>
      <c r="I3323" s="99"/>
      <c r="J3323" s="43" t="s">
        <v>1319</v>
      </c>
      <c r="K3323" s="95">
        <v>2.0</v>
      </c>
      <c r="L3323" s="53" t="s">
        <v>62</v>
      </c>
      <c r="M3323" s="106">
        <v>120000.0</v>
      </c>
      <c r="N3323" s="107"/>
      <c r="O3323" s="87">
        <f t="shared" si="11"/>
        <v>240000</v>
      </c>
      <c r="P3323" s="102" t="str">
        <f t="shared" si="2"/>
        <v>Rp120,000-2 LSN-0.00%</v>
      </c>
      <c r="Q3323" s="103">
        <v>45420.0</v>
      </c>
      <c r="R3323" s="104"/>
      <c r="S3323" s="103">
        <v>45429.0</v>
      </c>
      <c r="T3323" s="96"/>
      <c r="U3323" s="98"/>
      <c r="V3323" s="96" t="s">
        <v>3259</v>
      </c>
    </row>
    <row r="3324">
      <c r="A3324" s="95">
        <v>4449.0</v>
      </c>
      <c r="B3324" s="96" t="s">
        <v>29</v>
      </c>
      <c r="C3324" s="96" t="s">
        <v>3242</v>
      </c>
      <c r="D3324" s="96" t="s">
        <v>1031</v>
      </c>
      <c r="E3324" s="41" t="str">
        <f>IFERROR(__xludf.DUMMYFUNCTION("IFNA(vlookup(D3324,IMPORTRANGE(""https://docs.google.com/spreadsheets/d/1swGwZOEqYlTEUCJLY-eeJM1911Kvaei5oySBIxdgtNo/edit?pli=1#gid=257618397"",""stock untanna!B:C""),2,false),V:V)"),"TIPEX KERTAS NO.8017")</f>
        <v>TIPEX KERTAS NO.8017</v>
      </c>
      <c r="F3324" s="70"/>
      <c r="G3324" s="70"/>
      <c r="H3324" s="98"/>
      <c r="I3324" s="99"/>
      <c r="J3324" s="43" t="s">
        <v>1319</v>
      </c>
      <c r="K3324" s="95">
        <v>2.0</v>
      </c>
      <c r="L3324" s="53" t="s">
        <v>62</v>
      </c>
      <c r="M3324" s="106">
        <v>120000.0</v>
      </c>
      <c r="N3324" s="107"/>
      <c r="O3324" s="87">
        <f t="shared" si="11"/>
        <v>240000</v>
      </c>
      <c r="P3324" s="102" t="str">
        <f t="shared" si="2"/>
        <v>Rp120,000-2 LSN-0.00%</v>
      </c>
      <c r="Q3324" s="103">
        <v>45420.0</v>
      </c>
      <c r="R3324" s="104"/>
      <c r="S3324" s="103">
        <v>45429.0</v>
      </c>
      <c r="T3324" s="105"/>
      <c r="U3324" s="98"/>
      <c r="V3324" s="96" t="s">
        <v>1032</v>
      </c>
    </row>
    <row r="3325">
      <c r="A3325" s="95">
        <v>4449.0</v>
      </c>
      <c r="B3325" s="96" t="s">
        <v>29</v>
      </c>
      <c r="C3325" s="96" t="s">
        <v>3242</v>
      </c>
      <c r="D3325" s="96" t="s">
        <v>3016</v>
      </c>
      <c r="E3325" s="41" t="str">
        <f>IFERROR(__xludf.DUMMYFUNCTION("IFNA(vlookup(D3325,IMPORTRANGE(""https://docs.google.com/spreadsheets/d/1swGwZOEqYlTEUCJLY-eeJM1911Kvaei5oySBIxdgtNo/edit?pli=1#gid=257618397"",""stock untanna!B:C""),2,false),V:V)"),"TIPEX KERTAS NO.8557")</f>
        <v>TIPEX KERTAS NO.8557</v>
      </c>
      <c r="F3325" s="70"/>
      <c r="G3325" s="70"/>
      <c r="H3325" s="98"/>
      <c r="I3325" s="99"/>
      <c r="J3325" s="43" t="s">
        <v>1319</v>
      </c>
      <c r="K3325" s="95">
        <v>2.0</v>
      </c>
      <c r="L3325" s="53" t="s">
        <v>62</v>
      </c>
      <c r="M3325" s="106">
        <v>120000.0</v>
      </c>
      <c r="N3325" s="107"/>
      <c r="O3325" s="87">
        <f t="shared" si="11"/>
        <v>240000</v>
      </c>
      <c r="P3325" s="102" t="str">
        <f t="shared" si="2"/>
        <v>Rp120,000-2 LSN-0.00%</v>
      </c>
      <c r="Q3325" s="103">
        <v>45420.0</v>
      </c>
      <c r="R3325" s="104"/>
      <c r="S3325" s="103">
        <v>45429.0</v>
      </c>
      <c r="T3325" s="105"/>
      <c r="U3325" s="98"/>
      <c r="V3325" s="96" t="s">
        <v>3017</v>
      </c>
    </row>
    <row r="3326">
      <c r="A3326" s="95">
        <v>4449.0</v>
      </c>
      <c r="B3326" s="96" t="s">
        <v>29</v>
      </c>
      <c r="C3326" s="96" t="s">
        <v>3242</v>
      </c>
      <c r="D3326" s="96" t="s">
        <v>1935</v>
      </c>
      <c r="E3326" s="41" t="str">
        <f>IFERROR(__xludf.DUMMYFUNCTION("IFNA(vlookup(D3326,IMPORTRANGE(""https://docs.google.com/spreadsheets/d/1swGwZOEqYlTEUCJLY-eeJM1911Kvaei5oySBIxdgtNo/edit?pli=1#gid=257618397"",""stock untanna!B:C""),2,false),V:V)"),"TIPEX KERTAS NO.8522")</f>
        <v>TIPEX KERTAS NO.8522</v>
      </c>
      <c r="F3326" s="70"/>
      <c r="G3326" s="70"/>
      <c r="H3326" s="98"/>
      <c r="I3326" s="99"/>
      <c r="J3326" s="43" t="s">
        <v>1319</v>
      </c>
      <c r="K3326" s="95">
        <v>2.0</v>
      </c>
      <c r="L3326" s="53" t="s">
        <v>62</v>
      </c>
      <c r="M3326" s="106">
        <v>120000.0</v>
      </c>
      <c r="N3326" s="107"/>
      <c r="O3326" s="87">
        <f t="shared" si="11"/>
        <v>240000</v>
      </c>
      <c r="P3326" s="102" t="str">
        <f t="shared" si="2"/>
        <v>Rp120,000-2 LSN-0.00%</v>
      </c>
      <c r="Q3326" s="103">
        <v>45420.0</v>
      </c>
      <c r="R3326" s="104"/>
      <c r="S3326" s="103">
        <v>45429.0</v>
      </c>
      <c r="T3326" s="105"/>
      <c r="U3326" s="98"/>
      <c r="V3326" s="96" t="s">
        <v>1936</v>
      </c>
    </row>
    <row r="3327">
      <c r="A3327" s="95">
        <v>4449.0</v>
      </c>
      <c r="B3327" s="96" t="s">
        <v>29</v>
      </c>
      <c r="C3327" s="96" t="s">
        <v>3242</v>
      </c>
      <c r="D3327" s="96" t="s">
        <v>465</v>
      </c>
      <c r="E3327" s="41" t="str">
        <f>IFERROR(__xludf.DUMMYFUNCTION("IFNA(vlookup(D3327,IMPORTRANGE(""https://docs.google.com/spreadsheets/d/1swGwZOEqYlTEUCJLY-eeJM1911Kvaei5oySBIxdgtNo/edit?pli=1#gid=257618397"",""stock untanna!B:C""),2,false),V:V)"),"TIPEX KERTAS 8525")</f>
        <v>TIPEX KERTAS 8525</v>
      </c>
      <c r="F3327" s="70"/>
      <c r="G3327" s="70"/>
      <c r="H3327" s="98"/>
      <c r="I3327" s="99"/>
      <c r="J3327" s="43" t="s">
        <v>1319</v>
      </c>
      <c r="K3327" s="95">
        <v>2.0</v>
      </c>
      <c r="L3327" s="53" t="s">
        <v>62</v>
      </c>
      <c r="M3327" s="106">
        <v>120000.0</v>
      </c>
      <c r="N3327" s="107"/>
      <c r="O3327" s="87">
        <f t="shared" si="11"/>
        <v>240000</v>
      </c>
      <c r="P3327" s="102" t="str">
        <f t="shared" si="2"/>
        <v>Rp120,000-2 LSN-0.00%</v>
      </c>
      <c r="Q3327" s="103">
        <v>45420.0</v>
      </c>
      <c r="R3327" s="104"/>
      <c r="S3327" s="103">
        <v>45429.0</v>
      </c>
      <c r="T3327" s="105"/>
      <c r="U3327" s="98"/>
      <c r="V3327" s="96" t="s">
        <v>466</v>
      </c>
    </row>
    <row r="3328">
      <c r="A3328" s="95">
        <v>4449.0</v>
      </c>
      <c r="B3328" s="96" t="s">
        <v>29</v>
      </c>
      <c r="C3328" s="96" t="s">
        <v>3242</v>
      </c>
      <c r="D3328" s="96" t="s">
        <v>1111</v>
      </c>
      <c r="E3328" s="41" t="str">
        <f>IFERROR(__xludf.DUMMYFUNCTION("IFNA(vlookup(D3328,IMPORTRANGE(""https://docs.google.com/spreadsheets/d/1swGwZOEqYlTEUCJLY-eeJM1911Kvaei5oySBIxdgtNo/edit?pli=1#gid=257618397"",""stock untanna!B:C""),2,false),V:V)"),"PENSIL CASE SH-16")</f>
        <v>PENSIL CASE SH-16</v>
      </c>
      <c r="F3328" s="70"/>
      <c r="G3328" s="70"/>
      <c r="H3328" s="98"/>
      <c r="I3328" s="99"/>
      <c r="J3328" s="43" t="s">
        <v>1319</v>
      </c>
      <c r="K3328" s="95">
        <v>12.0</v>
      </c>
      <c r="L3328" s="53" t="s">
        <v>69</v>
      </c>
      <c r="M3328" s="106">
        <v>12500.0</v>
      </c>
      <c r="N3328" s="107"/>
      <c r="O3328" s="87">
        <f t="shared" si="11"/>
        <v>150000</v>
      </c>
      <c r="P3328" s="102" t="str">
        <f t="shared" si="2"/>
        <v>Rp12,500-12 PCS-0.00%</v>
      </c>
      <c r="Q3328" s="103">
        <v>45420.0</v>
      </c>
      <c r="R3328" s="104"/>
      <c r="S3328" s="103">
        <v>45429.0</v>
      </c>
      <c r="T3328" s="105"/>
      <c r="U3328" s="98"/>
      <c r="V3328" s="96" t="s">
        <v>1112</v>
      </c>
    </row>
    <row r="3329">
      <c r="A3329" s="95">
        <v>4449.0</v>
      </c>
      <c r="B3329" s="96" t="s">
        <v>29</v>
      </c>
      <c r="C3329" s="96" t="s">
        <v>3242</v>
      </c>
      <c r="D3329" s="96" t="s">
        <v>463</v>
      </c>
      <c r="E3329" s="41" t="str">
        <f>IFERROR(__xludf.DUMMYFUNCTION("IFNA(vlookup(D3329,IMPORTRANGE(""https://docs.google.com/spreadsheets/d/1swGwZOEqYlTEUCJLY-eeJM1911Kvaei5oySBIxdgtNo/edit?pli=1#gid=257618397"",""stock untanna!B:C""),2,false),V:V)"),"TIPEX KERTAS NO.8546")</f>
        <v>TIPEX KERTAS NO.8546</v>
      </c>
      <c r="F3329" s="70"/>
      <c r="G3329" s="70"/>
      <c r="H3329" s="98"/>
      <c r="I3329" s="99"/>
      <c r="J3329" s="43" t="s">
        <v>1319</v>
      </c>
      <c r="K3329" s="95">
        <v>2.0</v>
      </c>
      <c r="L3329" s="53" t="s">
        <v>62</v>
      </c>
      <c r="M3329" s="106">
        <v>120000.0</v>
      </c>
      <c r="N3329" s="107"/>
      <c r="O3329" s="87">
        <f t="shared" si="11"/>
        <v>240000</v>
      </c>
      <c r="P3329" s="102" t="str">
        <f t="shared" si="2"/>
        <v>Rp120,000-2 LSN-0.00%</v>
      </c>
      <c r="Q3329" s="103">
        <v>45420.0</v>
      </c>
      <c r="R3329" s="104"/>
      <c r="S3329" s="103">
        <v>45429.0</v>
      </c>
      <c r="T3329" s="105"/>
      <c r="U3329" s="98"/>
      <c r="V3329" s="96" t="s">
        <v>464</v>
      </c>
    </row>
    <row r="3330">
      <c r="A3330" s="95">
        <v>4444.0</v>
      </c>
      <c r="B3330" s="96" t="s">
        <v>3260</v>
      </c>
      <c r="C3330" s="96" t="s">
        <v>2595</v>
      </c>
      <c r="D3330" s="96" t="s">
        <v>1766</v>
      </c>
      <c r="E3330" s="41" t="str">
        <f>IFERROR(__xludf.DUMMYFUNCTION("IFNA(vlookup(D3330,IMPORTRANGE(""https://docs.google.com/spreadsheets/d/1swGwZOEqYlTEUCJLY-eeJM1911Kvaei5oySBIxdgtNo/edit?pli=1#gid=257618397"",""stock untanna!B:C""),2,false),V:V)"),"CAT ACRYLIC PACMAN")</f>
        <v>CAT ACRYLIC PACMAN</v>
      </c>
      <c r="F3330" s="70"/>
      <c r="G3330" s="70"/>
      <c r="H3330" s="98"/>
      <c r="I3330" s="99"/>
      <c r="J3330" s="43" t="s">
        <v>1319</v>
      </c>
      <c r="K3330" s="95">
        <v>24.0</v>
      </c>
      <c r="L3330" s="53" t="s">
        <v>69</v>
      </c>
      <c r="M3330" s="106">
        <v>16666.7</v>
      </c>
      <c r="N3330" s="107"/>
      <c r="O3330" s="87">
        <f t="shared" si="11"/>
        <v>400000.8</v>
      </c>
      <c r="P3330" s="102" t="str">
        <f t="shared" si="2"/>
        <v>Rp16,667-24 PCS-0.00%</v>
      </c>
      <c r="Q3330" s="103">
        <v>45420.0</v>
      </c>
      <c r="R3330" s="104"/>
      <c r="S3330" s="103">
        <v>45429.0</v>
      </c>
      <c r="T3330" s="105"/>
      <c r="U3330" s="98"/>
      <c r="V3330" s="96" t="s">
        <v>1767</v>
      </c>
    </row>
    <row r="3331">
      <c r="A3331" s="95">
        <v>4444.0</v>
      </c>
      <c r="B3331" s="96" t="s">
        <v>3260</v>
      </c>
      <c r="C3331" s="96" t="s">
        <v>2595</v>
      </c>
      <c r="D3331" s="96" t="s">
        <v>2470</v>
      </c>
      <c r="E3331" s="41" t="str">
        <f>IFERROR(__xludf.DUMMYFUNCTION("IFNA(vlookup(D3331,IMPORTRANGE(""https://docs.google.com/spreadsheets/d/1swGwZOEqYlTEUCJLY-eeJM1911Kvaei5oySBIxdgtNo/edit?pli=1#gid=257618397"",""stock untanna!B:C""),2,false),V:V)"),"CAT ACRYLIC COLOUR TF AC-004N NEON")</f>
        <v>CAT ACRYLIC COLOUR TF AC-004N NEON</v>
      </c>
      <c r="F3331" s="70"/>
      <c r="G3331" s="70"/>
      <c r="H3331" s="98"/>
      <c r="I3331" s="99"/>
      <c r="J3331" s="43" t="s">
        <v>1319</v>
      </c>
      <c r="K3331" s="95">
        <v>2.0</v>
      </c>
      <c r="L3331" s="53" t="s">
        <v>62</v>
      </c>
      <c r="M3331" s="106">
        <v>250000.0</v>
      </c>
      <c r="N3331" s="107"/>
      <c r="O3331" s="87">
        <f t="shared" si="11"/>
        <v>500000</v>
      </c>
      <c r="P3331" s="102" t="str">
        <f t="shared" si="2"/>
        <v>Rp250,000-2 LSN-0.00%</v>
      </c>
      <c r="Q3331" s="103">
        <v>45420.0</v>
      </c>
      <c r="R3331" s="104"/>
      <c r="S3331" s="103">
        <v>45429.0</v>
      </c>
      <c r="T3331" s="105"/>
      <c r="U3331" s="98"/>
      <c r="V3331" s="96" t="s">
        <v>2471</v>
      </c>
    </row>
    <row r="3332">
      <c r="A3332" s="95">
        <v>4444.0</v>
      </c>
      <c r="B3332" s="96" t="s">
        <v>3260</v>
      </c>
      <c r="C3332" s="96" t="s">
        <v>2595</v>
      </c>
      <c r="D3332" s="96" t="s">
        <v>430</v>
      </c>
      <c r="E3332" s="41" t="str">
        <f>IFERROR(__xludf.DUMMYFUNCTION("IFNA(vlookup(D3332,IMPORTRANGE(""https://docs.google.com/spreadsheets/d/1swGwZOEqYlTEUCJLY-eeJM1911Kvaei5oySBIxdgtNo/edit?pli=1#gid=257618397"",""stock untanna!B:C""),2,false),V:V)"),"CAT ACRYLIC COLOUR TF AC-006M METALIC")</f>
        <v>CAT ACRYLIC COLOUR TF AC-006M METALIC</v>
      </c>
      <c r="F3332" s="70"/>
      <c r="G3332" s="70"/>
      <c r="H3332" s="98"/>
      <c r="I3332" s="99"/>
      <c r="J3332" s="43" t="s">
        <v>1319</v>
      </c>
      <c r="K3332" s="95">
        <v>2.0</v>
      </c>
      <c r="L3332" s="53" t="s">
        <v>62</v>
      </c>
      <c r="M3332" s="106">
        <v>250000.0</v>
      </c>
      <c r="N3332" s="107"/>
      <c r="O3332" s="87">
        <f t="shared" si="11"/>
        <v>500000</v>
      </c>
      <c r="P3332" s="102" t="str">
        <f t="shared" si="2"/>
        <v>Rp250,000-2 LSN-0.00%</v>
      </c>
      <c r="Q3332" s="103">
        <v>45420.0</v>
      </c>
      <c r="R3332" s="104"/>
      <c r="S3332" s="103">
        <v>45429.0</v>
      </c>
      <c r="T3332" s="105"/>
      <c r="U3332" s="98"/>
      <c r="V3332" s="96" t="s">
        <v>431</v>
      </c>
    </row>
    <row r="3333">
      <c r="A3333" s="95">
        <v>4444.0</v>
      </c>
      <c r="B3333" s="96" t="s">
        <v>3260</v>
      </c>
      <c r="C3333" s="96" t="s">
        <v>2595</v>
      </c>
      <c r="D3333" s="96" t="s">
        <v>2339</v>
      </c>
      <c r="E3333" s="41" t="str">
        <f>IFERROR(__xludf.DUMMYFUNCTION("IFNA(vlookup(D3333,IMPORTRANGE(""https://docs.google.com/spreadsheets/d/1swGwZOEqYlTEUCJLY-eeJM1911Kvaei5oySBIxdgtNo/edit?pli=1#gid=257618397"",""stock untanna!B:C""),2,false),V:V)"),"BP GEL KOALA GP-168-C HJ")</f>
        <v>BP GEL KOALA GP-168-C HJ</v>
      </c>
      <c r="F3333" s="70"/>
      <c r="G3333" s="70"/>
      <c r="H3333" s="98"/>
      <c r="I3333" s="99"/>
      <c r="J3333" s="43" t="s">
        <v>1319</v>
      </c>
      <c r="K3333" s="95">
        <v>2.0</v>
      </c>
      <c r="L3333" s="53" t="s">
        <v>62</v>
      </c>
      <c r="M3333" s="106">
        <v>25000.0</v>
      </c>
      <c r="N3333" s="107"/>
      <c r="O3333" s="87">
        <f t="shared" si="11"/>
        <v>50000</v>
      </c>
      <c r="P3333" s="102" t="str">
        <f t="shared" si="2"/>
        <v>Rp25,000-2 LSN-0.00%</v>
      </c>
      <c r="Q3333" s="103">
        <v>45420.0</v>
      </c>
      <c r="R3333" s="104"/>
      <c r="S3333" s="103">
        <v>45429.0</v>
      </c>
      <c r="T3333" s="105"/>
      <c r="U3333" s="98"/>
      <c r="V3333" s="96" t="s">
        <v>2340</v>
      </c>
    </row>
    <row r="3334">
      <c r="A3334" s="95">
        <v>4444.0</v>
      </c>
      <c r="B3334" s="96" t="s">
        <v>3260</v>
      </c>
      <c r="C3334" s="96" t="s">
        <v>2595</v>
      </c>
      <c r="D3334" s="97"/>
      <c r="E3334" s="41" t="str">
        <f>IFERROR(__xludf.DUMMYFUNCTION("IFNA(vlookup(D3334,IMPORTRANGE(""https://docs.google.com/spreadsheets/d/1swGwZOEqYlTEUCJLY-eeJM1911Kvaei5oySBIxdgtNo/edit?pli=1#gid=257618397"",""stock untanna!B:C""),2,false),V:V)"),"SAMPUL HUTANG PIUTANG")</f>
        <v>SAMPUL HUTANG PIUTANG</v>
      </c>
      <c r="F3334" s="70"/>
      <c r="G3334" s="70"/>
      <c r="H3334" s="98"/>
      <c r="I3334" s="99"/>
      <c r="J3334" s="43" t="s">
        <v>3190</v>
      </c>
      <c r="K3334" s="95">
        <v>50.0</v>
      </c>
      <c r="L3334" s="53" t="s">
        <v>114</v>
      </c>
      <c r="M3334" s="106">
        <v>4750.0</v>
      </c>
      <c r="N3334" s="107"/>
      <c r="O3334" s="87">
        <f t="shared" si="11"/>
        <v>237500</v>
      </c>
      <c r="P3334" s="102" t="str">
        <f t="shared" si="2"/>
        <v>Rp4,750-50 PAK-0.00%</v>
      </c>
      <c r="Q3334" s="103">
        <v>45420.0</v>
      </c>
      <c r="R3334" s="104"/>
      <c r="S3334" s="103">
        <v>45429.0</v>
      </c>
      <c r="T3334" s="105"/>
      <c r="U3334" s="98"/>
      <c r="V3334" s="96" t="s">
        <v>3261</v>
      </c>
    </row>
    <row r="3335">
      <c r="A3335" s="95">
        <v>4444.0</v>
      </c>
      <c r="B3335" s="96" t="s">
        <v>3260</v>
      </c>
      <c r="C3335" s="96" t="s">
        <v>2595</v>
      </c>
      <c r="D3335" s="96" t="s">
        <v>2025</v>
      </c>
      <c r="E3335" s="41" t="str">
        <f>IFERROR(__xludf.DUMMYFUNCTION("IFNA(vlookup(D3335,IMPORTRANGE(""https://docs.google.com/spreadsheets/d/1swGwZOEqYlTEUCJLY-eeJM1911Kvaei5oySBIxdgtNo/edit?pli=1#gid=257618397"",""stock untanna!B:C""),2,false),V:V)"),"ID CARD 2 SISI TRANSPARANT MERAH")</f>
        <v>ID CARD 2 SISI TRANSPARANT MERAH</v>
      </c>
      <c r="F3335" s="70"/>
      <c r="G3335" s="70"/>
      <c r="H3335" s="98"/>
      <c r="I3335" s="99"/>
      <c r="J3335" s="43" t="s">
        <v>1319</v>
      </c>
      <c r="K3335" s="95">
        <v>200.0</v>
      </c>
      <c r="L3335" s="53" t="s">
        <v>69</v>
      </c>
      <c r="M3335" s="106">
        <v>1400.0</v>
      </c>
      <c r="N3335" s="107"/>
      <c r="O3335" s="87">
        <f t="shared" si="11"/>
        <v>280000</v>
      </c>
      <c r="P3335" s="102" t="str">
        <f t="shared" si="2"/>
        <v>Rp1,400-200 PCS-0.00%</v>
      </c>
      <c r="Q3335" s="103">
        <v>45420.0</v>
      </c>
      <c r="R3335" s="104"/>
      <c r="S3335" s="103">
        <v>45429.0</v>
      </c>
      <c r="T3335" s="105"/>
      <c r="U3335" s="98"/>
      <c r="V3335" s="96" t="s">
        <v>2026</v>
      </c>
    </row>
    <row r="3336">
      <c r="A3336" s="95">
        <v>4444.0</v>
      </c>
      <c r="B3336" s="96" t="s">
        <v>3260</v>
      </c>
      <c r="C3336" s="96" t="s">
        <v>2595</v>
      </c>
      <c r="D3336" s="96" t="s">
        <v>2031</v>
      </c>
      <c r="E3336" s="41" t="str">
        <f>IFERROR(__xludf.DUMMYFUNCTION("IFNA(vlookup(D3336,IMPORTRANGE(""https://docs.google.com/spreadsheets/d/1swGwZOEqYlTEUCJLY-eeJM1911Kvaei5oySBIxdgtNo/edit?pli=1#gid=257618397"",""stock untanna!B:C""),2,false),V:V)"),"ID CARD 2 SISI TRANSPARANT PUTIH")</f>
        <v>ID CARD 2 SISI TRANSPARANT PUTIH</v>
      </c>
      <c r="F3336" s="70"/>
      <c r="G3336" s="70"/>
      <c r="H3336" s="98"/>
      <c r="I3336" s="99"/>
      <c r="J3336" s="43" t="s">
        <v>1319</v>
      </c>
      <c r="K3336" s="95">
        <v>200.0</v>
      </c>
      <c r="L3336" s="53" t="s">
        <v>69</v>
      </c>
      <c r="M3336" s="106">
        <v>1400.0</v>
      </c>
      <c r="N3336" s="107"/>
      <c r="O3336" s="87">
        <f t="shared" si="11"/>
        <v>280000</v>
      </c>
      <c r="P3336" s="102" t="str">
        <f t="shared" si="2"/>
        <v>Rp1,400-200 PCS-0.00%</v>
      </c>
      <c r="Q3336" s="103">
        <v>45420.0</v>
      </c>
      <c r="R3336" s="104"/>
      <c r="S3336" s="103">
        <v>45429.0</v>
      </c>
      <c r="T3336" s="105"/>
      <c r="U3336" s="98"/>
      <c r="V3336" s="96" t="s">
        <v>2032</v>
      </c>
    </row>
    <row r="3337">
      <c r="A3337" s="95">
        <v>4444.0</v>
      </c>
      <c r="B3337" s="96" t="s">
        <v>3260</v>
      </c>
      <c r="C3337" s="96" t="s">
        <v>2595</v>
      </c>
      <c r="D3337" s="96" t="s">
        <v>2033</v>
      </c>
      <c r="E3337" s="41" t="str">
        <f>IFERROR(__xludf.DUMMYFUNCTION("IFNA(vlookup(D3337,IMPORTRANGE(""https://docs.google.com/spreadsheets/d/1swGwZOEqYlTEUCJLY-eeJM1911Kvaei5oySBIxdgtNo/edit?pli=1#gid=257618397"",""stock untanna!B:C""),2,false),V:V)"),"ID CARD 2 SISI TRANSPARANT HITAM")</f>
        <v>ID CARD 2 SISI TRANSPARANT HITAM</v>
      </c>
      <c r="F3337" s="70"/>
      <c r="G3337" s="70"/>
      <c r="H3337" s="98"/>
      <c r="I3337" s="99"/>
      <c r="J3337" s="43" t="s">
        <v>1319</v>
      </c>
      <c r="K3337" s="95">
        <v>200.0</v>
      </c>
      <c r="L3337" s="53" t="s">
        <v>69</v>
      </c>
      <c r="M3337" s="106">
        <v>1400.0</v>
      </c>
      <c r="N3337" s="107"/>
      <c r="O3337" s="87">
        <f t="shared" si="11"/>
        <v>280000</v>
      </c>
      <c r="P3337" s="102" t="str">
        <f t="shared" si="2"/>
        <v>Rp1,400-200 PCS-0.00%</v>
      </c>
      <c r="Q3337" s="103">
        <v>45420.0</v>
      </c>
      <c r="R3337" s="104"/>
      <c r="S3337" s="103">
        <v>45429.0</v>
      </c>
      <c r="T3337" s="105"/>
      <c r="U3337" s="98"/>
      <c r="V3337" s="96" t="s">
        <v>2034</v>
      </c>
    </row>
    <row r="3338">
      <c r="A3338" s="95">
        <v>4444.0</v>
      </c>
      <c r="B3338" s="96" t="s">
        <v>3260</v>
      </c>
      <c r="C3338" s="96" t="s">
        <v>2595</v>
      </c>
      <c r="D3338" s="96" t="s">
        <v>2029</v>
      </c>
      <c r="E3338" s="41" t="str">
        <f>IFERROR(__xludf.DUMMYFUNCTION("IFNA(vlookup(D3338,IMPORTRANGE(""https://docs.google.com/spreadsheets/d/1swGwZOEqYlTEUCJLY-eeJM1911Kvaei5oySBIxdgtNo/edit?pli=1#gid=257618397"",""stock untanna!B:C""),2,false),V:V)"),"ID CARD 2 SISI TRANSPARANT HIJAU")</f>
        <v>ID CARD 2 SISI TRANSPARANT HIJAU</v>
      </c>
      <c r="F3338" s="70"/>
      <c r="G3338" s="70"/>
      <c r="H3338" s="98"/>
      <c r="I3338" s="99"/>
      <c r="J3338" s="43" t="s">
        <v>1319</v>
      </c>
      <c r="K3338" s="95">
        <v>200.0</v>
      </c>
      <c r="L3338" s="53" t="s">
        <v>69</v>
      </c>
      <c r="M3338" s="106">
        <v>1400.0</v>
      </c>
      <c r="N3338" s="107"/>
      <c r="O3338" s="87">
        <f t="shared" si="11"/>
        <v>280000</v>
      </c>
      <c r="P3338" s="102" t="str">
        <f t="shared" si="2"/>
        <v>Rp1,400-200 PCS-0.00%</v>
      </c>
      <c r="Q3338" s="103">
        <v>45420.0</v>
      </c>
      <c r="R3338" s="104"/>
      <c r="S3338" s="103">
        <v>45429.0</v>
      </c>
      <c r="T3338" s="105"/>
      <c r="U3338" s="98"/>
      <c r="V3338" s="96" t="s">
        <v>2030</v>
      </c>
    </row>
    <row r="3339">
      <c r="A3339" s="95">
        <v>4444.0</v>
      </c>
      <c r="B3339" s="96" t="s">
        <v>3260</v>
      </c>
      <c r="C3339" s="96" t="s">
        <v>2595</v>
      </c>
      <c r="D3339" s="96" t="s">
        <v>2027</v>
      </c>
      <c r="E3339" s="41" t="str">
        <f>IFERROR(__xludf.DUMMYFUNCTION("IFNA(vlookup(D3339,IMPORTRANGE(""https://docs.google.com/spreadsheets/d/1swGwZOEqYlTEUCJLY-eeJM1911Kvaei5oySBIxdgtNo/edit?pli=1#gid=257618397"",""stock untanna!B:C""),2,false),V:V)"),"ID CARD 2 SISI TRANSPARANT KUNING")</f>
        <v>ID CARD 2 SISI TRANSPARANT KUNING</v>
      </c>
      <c r="F3339" s="70"/>
      <c r="G3339" s="70"/>
      <c r="H3339" s="98"/>
      <c r="I3339" s="99"/>
      <c r="J3339" s="43" t="s">
        <v>1319</v>
      </c>
      <c r="K3339" s="95">
        <v>200.0</v>
      </c>
      <c r="L3339" s="53" t="s">
        <v>69</v>
      </c>
      <c r="M3339" s="106">
        <v>1400.0</v>
      </c>
      <c r="N3339" s="107"/>
      <c r="O3339" s="87">
        <f t="shared" si="11"/>
        <v>280000</v>
      </c>
      <c r="P3339" s="102" t="str">
        <f t="shared" si="2"/>
        <v>Rp1,400-200 PCS-0.00%</v>
      </c>
      <c r="Q3339" s="103">
        <v>45420.0</v>
      </c>
      <c r="R3339" s="104"/>
      <c r="S3339" s="103">
        <v>45429.0</v>
      </c>
      <c r="T3339" s="105"/>
      <c r="U3339" s="98"/>
      <c r="V3339" s="96" t="s">
        <v>2028</v>
      </c>
    </row>
    <row r="3340">
      <c r="A3340" s="95">
        <v>4444.0</v>
      </c>
      <c r="B3340" s="96" t="s">
        <v>3260</v>
      </c>
      <c r="C3340" s="96" t="s">
        <v>2595</v>
      </c>
      <c r="D3340" s="96" t="s">
        <v>2035</v>
      </c>
      <c r="E3340" s="41" t="str">
        <f>IFERROR(__xludf.DUMMYFUNCTION("IFNA(vlookup(D3340,IMPORTRANGE(""https://docs.google.com/spreadsheets/d/1swGwZOEqYlTEUCJLY-eeJM1911Kvaei5oySBIxdgtNo/edit?pli=1#gid=257618397"",""stock untanna!B:C""),2,false),V:V)"),"ID CARD 2 SISI TRANSPARANT BIRU")</f>
        <v>ID CARD 2 SISI TRANSPARANT BIRU</v>
      </c>
      <c r="F3340" s="70"/>
      <c r="G3340" s="70"/>
      <c r="H3340" s="98"/>
      <c r="I3340" s="99"/>
      <c r="J3340" s="43" t="s">
        <v>1319</v>
      </c>
      <c r="K3340" s="95">
        <v>200.0</v>
      </c>
      <c r="L3340" s="53" t="s">
        <v>69</v>
      </c>
      <c r="M3340" s="106">
        <v>1400.0</v>
      </c>
      <c r="N3340" s="107"/>
      <c r="O3340" s="87">
        <f t="shared" si="11"/>
        <v>280000</v>
      </c>
      <c r="P3340" s="102" t="str">
        <f t="shared" si="2"/>
        <v>Rp1,400-200 PCS-0.00%</v>
      </c>
      <c r="Q3340" s="103">
        <v>45420.0</v>
      </c>
      <c r="R3340" s="104"/>
      <c r="S3340" s="103">
        <v>45429.0</v>
      </c>
      <c r="T3340" s="105"/>
      <c r="U3340" s="98"/>
      <c r="V3340" s="96" t="s">
        <v>2036</v>
      </c>
    </row>
    <row r="3341">
      <c r="A3341" s="95">
        <v>4444.0</v>
      </c>
      <c r="B3341" s="96" t="s">
        <v>3260</v>
      </c>
      <c r="C3341" s="96" t="s">
        <v>2595</v>
      </c>
      <c r="D3341" s="97"/>
      <c r="E3341" s="41" t="str">
        <f>IFERROR(__xludf.DUMMYFUNCTION("IFNA(vlookup(D3341,IMPORTRANGE(""https://docs.google.com/spreadsheets/d/1swGwZOEqYlTEUCJLY-eeJM1911Kvaei5oySBIxdgtNo/edit?pli=1#gid=257618397"",""stock untanna!B:C""),2,false),V:V)"),"LILIN GOLD NO.0")</f>
        <v>LILIN GOLD NO.0</v>
      </c>
      <c r="F3341" s="70"/>
      <c r="G3341" s="70"/>
      <c r="H3341" s="98"/>
      <c r="I3341" s="99"/>
      <c r="J3341" s="43" t="s">
        <v>3190</v>
      </c>
      <c r="K3341" s="95">
        <v>10.0</v>
      </c>
      <c r="L3341" s="53" t="s">
        <v>88</v>
      </c>
      <c r="M3341" s="106">
        <v>4000.0</v>
      </c>
      <c r="N3341" s="107"/>
      <c r="O3341" s="87">
        <f t="shared" si="11"/>
        <v>40000</v>
      </c>
      <c r="P3341" s="102" t="str">
        <f t="shared" si="2"/>
        <v>Rp4,000-10 BOX-0.00%</v>
      </c>
      <c r="Q3341" s="103">
        <v>45420.0</v>
      </c>
      <c r="R3341" s="104"/>
      <c r="S3341" s="103">
        <v>45429.0</v>
      </c>
      <c r="T3341" s="105"/>
      <c r="U3341" s="98"/>
      <c r="V3341" s="96" t="s">
        <v>1345</v>
      </c>
    </row>
    <row r="3342">
      <c r="A3342" s="95">
        <v>4444.0</v>
      </c>
      <c r="B3342" s="96" t="s">
        <v>3260</v>
      </c>
      <c r="C3342" s="96" t="s">
        <v>2595</v>
      </c>
      <c r="D3342" s="96" t="s">
        <v>1347</v>
      </c>
      <c r="E3342" s="41" t="str">
        <f>IFERROR(__xludf.DUMMYFUNCTION("IFNA(vlookup(D3342,IMPORTRANGE(""https://docs.google.com/spreadsheets/d/1swGwZOEqYlTEUCJLY-eeJM1911Kvaei5oySBIxdgtNo/edit?pli=1#gid=257618397"",""stock untanna!B:C""),2,false),V:V)"),"LILIN GOLD NO.1")</f>
        <v>LILIN GOLD NO.1</v>
      </c>
      <c r="F3342" s="70"/>
      <c r="G3342" s="70"/>
      <c r="H3342" s="98"/>
      <c r="I3342" s="99"/>
      <c r="J3342" s="43" t="s">
        <v>1319</v>
      </c>
      <c r="K3342" s="95">
        <v>10.0</v>
      </c>
      <c r="L3342" s="53" t="s">
        <v>88</v>
      </c>
      <c r="M3342" s="106">
        <v>4000.0</v>
      </c>
      <c r="N3342" s="107"/>
      <c r="O3342" s="87">
        <f t="shared" si="11"/>
        <v>40000</v>
      </c>
      <c r="P3342" s="102" t="str">
        <f t="shared" si="2"/>
        <v>Rp4,000-10 BOX-0.00%</v>
      </c>
      <c r="Q3342" s="103">
        <v>45420.0</v>
      </c>
      <c r="R3342" s="104"/>
      <c r="S3342" s="103">
        <v>45429.0</v>
      </c>
      <c r="T3342" s="105"/>
      <c r="U3342" s="98"/>
      <c r="V3342" s="96" t="s">
        <v>1348</v>
      </c>
    </row>
    <row r="3343">
      <c r="A3343" s="95">
        <v>4444.0</v>
      </c>
      <c r="B3343" s="96" t="s">
        <v>3260</v>
      </c>
      <c r="C3343" s="96" t="s">
        <v>2595</v>
      </c>
      <c r="D3343" s="96" t="s">
        <v>1349</v>
      </c>
      <c r="E3343" s="41" t="str">
        <f>IFERROR(__xludf.DUMMYFUNCTION("IFNA(vlookup(D3343,IMPORTRANGE(""https://docs.google.com/spreadsheets/d/1swGwZOEqYlTEUCJLY-eeJM1911Kvaei5oySBIxdgtNo/edit?pli=1#gid=257618397"",""stock untanna!B:C""),2,false),V:V)"),"LILIN GOLD NO.2")</f>
        <v>LILIN GOLD NO.2</v>
      </c>
      <c r="F3343" s="70"/>
      <c r="G3343" s="70"/>
      <c r="H3343" s="98"/>
      <c r="I3343" s="99"/>
      <c r="J3343" s="43" t="s">
        <v>1319</v>
      </c>
      <c r="K3343" s="95">
        <v>10.0</v>
      </c>
      <c r="L3343" s="53" t="s">
        <v>88</v>
      </c>
      <c r="M3343" s="106">
        <v>4000.0</v>
      </c>
      <c r="N3343" s="107"/>
      <c r="O3343" s="87">
        <f t="shared" si="11"/>
        <v>40000</v>
      </c>
      <c r="P3343" s="102" t="str">
        <f t="shared" si="2"/>
        <v>Rp4,000-10 BOX-0.00%</v>
      </c>
      <c r="Q3343" s="103">
        <v>45420.0</v>
      </c>
      <c r="R3343" s="104"/>
      <c r="S3343" s="103">
        <v>45429.0</v>
      </c>
      <c r="T3343" s="105"/>
      <c r="U3343" s="98"/>
      <c r="V3343" s="96" t="s">
        <v>1350</v>
      </c>
    </row>
    <row r="3344">
      <c r="A3344" s="95">
        <v>4444.0</v>
      </c>
      <c r="B3344" s="96" t="s">
        <v>3260</v>
      </c>
      <c r="C3344" s="96" t="s">
        <v>2595</v>
      </c>
      <c r="D3344" s="96" t="s">
        <v>1351</v>
      </c>
      <c r="E3344" s="41" t="str">
        <f>IFERROR(__xludf.DUMMYFUNCTION("IFNA(vlookup(D3344,IMPORTRANGE(""https://docs.google.com/spreadsheets/d/1swGwZOEqYlTEUCJLY-eeJM1911Kvaei5oySBIxdgtNo/edit?pli=1#gid=257618397"",""stock untanna!B:C""),2,false),V:V)"),"LILIN GOLD NO.3")</f>
        <v>LILIN GOLD NO.3</v>
      </c>
      <c r="F3344" s="70"/>
      <c r="G3344" s="70"/>
      <c r="H3344" s="98"/>
      <c r="I3344" s="99"/>
      <c r="J3344" s="43" t="s">
        <v>1319</v>
      </c>
      <c r="K3344" s="95">
        <v>10.0</v>
      </c>
      <c r="L3344" s="53" t="s">
        <v>88</v>
      </c>
      <c r="M3344" s="106">
        <v>4000.0</v>
      </c>
      <c r="N3344" s="107"/>
      <c r="O3344" s="87">
        <f t="shared" si="11"/>
        <v>40000</v>
      </c>
      <c r="P3344" s="102" t="str">
        <f t="shared" si="2"/>
        <v>Rp4,000-10 BOX-0.00%</v>
      </c>
      <c r="Q3344" s="103">
        <v>45420.0</v>
      </c>
      <c r="R3344" s="104"/>
      <c r="S3344" s="103">
        <v>45429.0</v>
      </c>
      <c r="T3344" s="105"/>
      <c r="U3344" s="98"/>
      <c r="V3344" s="96" t="s">
        <v>1352</v>
      </c>
    </row>
    <row r="3345">
      <c r="A3345" s="95">
        <v>4444.0</v>
      </c>
      <c r="B3345" s="96" t="s">
        <v>3260</v>
      </c>
      <c r="C3345" s="96" t="s">
        <v>2595</v>
      </c>
      <c r="D3345" s="97"/>
      <c r="E3345" s="41" t="str">
        <f>IFERROR(__xludf.DUMMYFUNCTION("IFNA(vlookup(D3345,IMPORTRANGE(""https://docs.google.com/spreadsheets/d/1swGwZOEqYlTEUCJLY-eeJM1911Kvaei5oySBIxdgtNo/edit?pli=1#gid=257618397"",""stock untanna!B:C""),2,false),V:V)"),"LILIN GOLD NO.4")</f>
        <v>LILIN GOLD NO.4</v>
      </c>
      <c r="F3345" s="70"/>
      <c r="G3345" s="70"/>
      <c r="H3345" s="98"/>
      <c r="I3345" s="99"/>
      <c r="J3345" s="43" t="s">
        <v>3190</v>
      </c>
      <c r="K3345" s="95">
        <v>10.0</v>
      </c>
      <c r="L3345" s="53" t="s">
        <v>88</v>
      </c>
      <c r="M3345" s="106">
        <v>4000.0</v>
      </c>
      <c r="N3345" s="107"/>
      <c r="O3345" s="87">
        <f t="shared" si="11"/>
        <v>40000</v>
      </c>
      <c r="P3345" s="102" t="str">
        <f t="shared" si="2"/>
        <v>Rp4,000-10 BOX-0.00%</v>
      </c>
      <c r="Q3345" s="103">
        <v>45420.0</v>
      </c>
      <c r="R3345" s="104"/>
      <c r="S3345" s="103">
        <v>45429.0</v>
      </c>
      <c r="T3345" s="105"/>
      <c r="U3345" s="98"/>
      <c r="V3345" s="96" t="s">
        <v>1353</v>
      </c>
    </row>
    <row r="3346">
      <c r="A3346" s="95">
        <v>4444.0</v>
      </c>
      <c r="B3346" s="96" t="s">
        <v>3260</v>
      </c>
      <c r="C3346" s="96" t="s">
        <v>2595</v>
      </c>
      <c r="D3346" s="97"/>
      <c r="E3346" s="41" t="str">
        <f>IFERROR(__xludf.DUMMYFUNCTION("IFNA(vlookup(D3346,IMPORTRANGE(""https://docs.google.com/spreadsheets/d/1swGwZOEqYlTEUCJLY-eeJM1911Kvaei5oySBIxdgtNo/edit?pli=1#gid=257618397"",""stock untanna!B:C""),2,false),V:V)"),"LILIN GOLD NO.5")</f>
        <v>LILIN GOLD NO.5</v>
      </c>
      <c r="F3346" s="70"/>
      <c r="G3346" s="70"/>
      <c r="H3346" s="98"/>
      <c r="I3346" s="99"/>
      <c r="J3346" s="43" t="s">
        <v>3190</v>
      </c>
      <c r="K3346" s="95">
        <v>10.0</v>
      </c>
      <c r="L3346" s="53" t="s">
        <v>88</v>
      </c>
      <c r="M3346" s="106">
        <v>4000.0</v>
      </c>
      <c r="N3346" s="107"/>
      <c r="O3346" s="87">
        <f t="shared" si="11"/>
        <v>40000</v>
      </c>
      <c r="P3346" s="102" t="str">
        <f t="shared" si="2"/>
        <v>Rp4,000-10 BOX-0.00%</v>
      </c>
      <c r="Q3346" s="103">
        <v>45420.0</v>
      </c>
      <c r="R3346" s="104"/>
      <c r="S3346" s="103">
        <v>45429.0</v>
      </c>
      <c r="T3346" s="105"/>
      <c r="U3346" s="98"/>
      <c r="V3346" s="96" t="s">
        <v>1354</v>
      </c>
    </row>
    <row r="3347">
      <c r="A3347" s="95">
        <v>4444.0</v>
      </c>
      <c r="B3347" s="96" t="s">
        <v>3260</v>
      </c>
      <c r="C3347" s="96" t="s">
        <v>2595</v>
      </c>
      <c r="D3347" s="97"/>
      <c r="E3347" s="41" t="str">
        <f>IFERROR(__xludf.DUMMYFUNCTION("IFNA(vlookup(D3347,IMPORTRANGE(""https://docs.google.com/spreadsheets/d/1swGwZOEqYlTEUCJLY-eeJM1911Kvaei5oySBIxdgtNo/edit?pli=1#gid=257618397"",""stock untanna!B:C""),2,false),V:V)"),"LILIN GOLD NO.6")</f>
        <v>LILIN GOLD NO.6</v>
      </c>
      <c r="F3347" s="70"/>
      <c r="G3347" s="70"/>
      <c r="H3347" s="98"/>
      <c r="I3347" s="99"/>
      <c r="J3347" s="43" t="s">
        <v>3190</v>
      </c>
      <c r="K3347" s="95">
        <v>10.0</v>
      </c>
      <c r="L3347" s="53" t="s">
        <v>88</v>
      </c>
      <c r="M3347" s="106">
        <v>4000.0</v>
      </c>
      <c r="N3347" s="107"/>
      <c r="O3347" s="87">
        <f t="shared" si="11"/>
        <v>40000</v>
      </c>
      <c r="P3347" s="102" t="str">
        <f t="shared" si="2"/>
        <v>Rp4,000-10 BOX-0.00%</v>
      </c>
      <c r="Q3347" s="103">
        <v>45420.0</v>
      </c>
      <c r="R3347" s="104"/>
      <c r="S3347" s="103">
        <v>45429.0</v>
      </c>
      <c r="T3347" s="105"/>
      <c r="U3347" s="98"/>
      <c r="V3347" s="96" t="s">
        <v>1355</v>
      </c>
    </row>
    <row r="3348">
      <c r="A3348" s="95">
        <v>4444.0</v>
      </c>
      <c r="B3348" s="96" t="s">
        <v>3260</v>
      </c>
      <c r="C3348" s="96" t="s">
        <v>2595</v>
      </c>
      <c r="D3348" s="97"/>
      <c r="E3348" s="41" t="str">
        <f>IFERROR(__xludf.DUMMYFUNCTION("IFNA(vlookup(D3348,IMPORTRANGE(""https://docs.google.com/spreadsheets/d/1swGwZOEqYlTEUCJLY-eeJM1911Kvaei5oySBIxdgtNo/edit?pli=1#gid=257618397"",""stock untanna!B:C""),2,false),V:V)"),"LILIN GOLD NO.7")</f>
        <v>LILIN GOLD NO.7</v>
      </c>
      <c r="F3348" s="70"/>
      <c r="G3348" s="70"/>
      <c r="H3348" s="98"/>
      <c r="I3348" s="99"/>
      <c r="J3348" s="43" t="s">
        <v>3190</v>
      </c>
      <c r="K3348" s="95">
        <v>10.0</v>
      </c>
      <c r="L3348" s="53" t="s">
        <v>88</v>
      </c>
      <c r="M3348" s="106">
        <v>4000.0</v>
      </c>
      <c r="N3348" s="107"/>
      <c r="O3348" s="87">
        <f t="shared" si="11"/>
        <v>40000</v>
      </c>
      <c r="P3348" s="102" t="str">
        <f t="shared" si="2"/>
        <v>Rp4,000-10 BOX-0.00%</v>
      </c>
      <c r="Q3348" s="103">
        <v>45420.0</v>
      </c>
      <c r="R3348" s="104"/>
      <c r="S3348" s="103">
        <v>45429.0</v>
      </c>
      <c r="T3348" s="105"/>
      <c r="U3348" s="98"/>
      <c r="V3348" s="96" t="s">
        <v>1356</v>
      </c>
    </row>
    <row r="3349">
      <c r="A3349" s="95">
        <v>4444.0</v>
      </c>
      <c r="B3349" s="96" t="s">
        <v>3260</v>
      </c>
      <c r="C3349" s="96" t="s">
        <v>2595</v>
      </c>
      <c r="D3349" s="97"/>
      <c r="E3349" s="41" t="str">
        <f>IFERROR(__xludf.DUMMYFUNCTION("IFNA(vlookup(D3349,IMPORTRANGE(""https://docs.google.com/spreadsheets/d/1swGwZOEqYlTEUCJLY-eeJM1911Kvaei5oySBIxdgtNo/edit?pli=1#gid=257618397"",""stock untanna!B:C""),2,false),V:V)"),"LILIN GOLD NO.8")</f>
        <v>LILIN GOLD NO.8</v>
      </c>
      <c r="F3349" s="70"/>
      <c r="G3349" s="70"/>
      <c r="H3349" s="98"/>
      <c r="I3349" s="99"/>
      <c r="J3349" s="43" t="s">
        <v>3190</v>
      </c>
      <c r="K3349" s="95">
        <v>10.0</v>
      </c>
      <c r="L3349" s="53" t="s">
        <v>88</v>
      </c>
      <c r="M3349" s="106">
        <v>4000.0</v>
      </c>
      <c r="N3349" s="107"/>
      <c r="O3349" s="87">
        <f t="shared" si="11"/>
        <v>40000</v>
      </c>
      <c r="P3349" s="102" t="str">
        <f t="shared" si="2"/>
        <v>Rp4,000-10 BOX-0.00%</v>
      </c>
      <c r="Q3349" s="103">
        <v>45420.0</v>
      </c>
      <c r="R3349" s="104"/>
      <c r="S3349" s="103">
        <v>45429.0</v>
      </c>
      <c r="T3349" s="105"/>
      <c r="U3349" s="98"/>
      <c r="V3349" s="96" t="s">
        <v>1357</v>
      </c>
    </row>
    <row r="3350">
      <c r="A3350" s="95">
        <v>4444.0</v>
      </c>
      <c r="B3350" s="96" t="s">
        <v>3260</v>
      </c>
      <c r="C3350" s="96" t="s">
        <v>2595</v>
      </c>
      <c r="D3350" s="97"/>
      <c r="E3350" s="41" t="str">
        <f>IFERROR(__xludf.DUMMYFUNCTION("IFNA(vlookup(D3350,IMPORTRANGE(""https://docs.google.com/spreadsheets/d/1swGwZOEqYlTEUCJLY-eeJM1911Kvaei5oySBIxdgtNo/edit?pli=1#gid=257618397"",""stock untanna!B:C""),2,false),V:V)"),"LILIN GOLD NO.9")</f>
        <v>LILIN GOLD NO.9</v>
      </c>
      <c r="F3350" s="70"/>
      <c r="G3350" s="70"/>
      <c r="H3350" s="98"/>
      <c r="I3350" s="99"/>
      <c r="J3350" s="43" t="s">
        <v>3190</v>
      </c>
      <c r="K3350" s="95">
        <v>10.0</v>
      </c>
      <c r="L3350" s="53" t="s">
        <v>88</v>
      </c>
      <c r="M3350" s="106">
        <v>4000.0</v>
      </c>
      <c r="N3350" s="107"/>
      <c r="O3350" s="87">
        <f t="shared" si="11"/>
        <v>40000</v>
      </c>
      <c r="P3350" s="102" t="str">
        <f t="shared" si="2"/>
        <v>Rp4,000-10 BOX-0.00%</v>
      </c>
      <c r="Q3350" s="103">
        <v>45420.0</v>
      </c>
      <c r="R3350" s="104"/>
      <c r="S3350" s="103">
        <v>45429.0</v>
      </c>
      <c r="T3350" s="105"/>
      <c r="U3350" s="98"/>
      <c r="V3350" s="96" t="s">
        <v>1358</v>
      </c>
    </row>
    <row r="3351">
      <c r="A3351" s="95">
        <v>4444.0</v>
      </c>
      <c r="B3351" s="96" t="s">
        <v>3260</v>
      </c>
      <c r="C3351" s="96" t="s">
        <v>2595</v>
      </c>
      <c r="D3351" s="96" t="s">
        <v>732</v>
      </c>
      <c r="E3351" s="41" t="str">
        <f>IFERROR(__xludf.DUMMYFUNCTION("IFNA(vlookup(D3351,IMPORTRANGE(""https://docs.google.com/spreadsheets/d/1swGwZOEqYlTEUCJLY-eeJM1911Kvaei5oySBIxdgtNo/edit?pli=1#gid=257618397"",""stock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3351" s="70"/>
      <c r="G3351" s="70"/>
      <c r="H3351" s="98"/>
      <c r="I3351" s="99"/>
      <c r="J3351" s="43" t="s">
        <v>1319</v>
      </c>
      <c r="K3351" s="95">
        <v>12.0</v>
      </c>
      <c r="L3351" s="53" t="s">
        <v>69</v>
      </c>
      <c r="M3351" s="106">
        <v>26000.0</v>
      </c>
      <c r="N3351" s="107"/>
      <c r="O3351" s="87">
        <f t="shared" si="11"/>
        <v>312000</v>
      </c>
      <c r="P3351" s="102" t="str">
        <f t="shared" si="2"/>
        <v>Rp26,000-12 PCS-0.00%</v>
      </c>
      <c r="Q3351" s="103">
        <v>45420.0</v>
      </c>
      <c r="R3351" s="104"/>
      <c r="S3351" s="103">
        <v>45429.0</v>
      </c>
      <c r="T3351" s="105"/>
      <c r="U3351" s="98"/>
      <c r="V3351" s="96" t="s">
        <v>733</v>
      </c>
    </row>
    <row r="3352">
      <c r="A3352" s="95">
        <v>4444.0</v>
      </c>
      <c r="B3352" s="96" t="s">
        <v>3260</v>
      </c>
      <c r="C3352" s="96" t="s">
        <v>2595</v>
      </c>
      <c r="D3352" s="96" t="s">
        <v>2337</v>
      </c>
      <c r="E3352" s="41" t="str">
        <f>IFERROR(__xludf.DUMMYFUNCTION("IFNA(vlookup(D3352,IMPORTRANGE(""https://docs.google.com/spreadsheets/d/1swGwZOEqYlTEUCJLY-eeJM1911Kvaei5oySBIxdgtNo/edit?pli=1#gid=257618397"",""stock untanna!B:C""),2,false),V:V)"),"BP GEL KOALA GP-168-B BR")</f>
        <v>BP GEL KOALA GP-168-B BR</v>
      </c>
      <c r="F3352" s="70"/>
      <c r="G3352" s="70"/>
      <c r="H3352" s="98"/>
      <c r="I3352" s="99"/>
      <c r="J3352" s="43" t="s">
        <v>1319</v>
      </c>
      <c r="K3352" s="95">
        <v>1.0</v>
      </c>
      <c r="L3352" s="53" t="s">
        <v>62</v>
      </c>
      <c r="M3352" s="106">
        <v>27500.0</v>
      </c>
      <c r="N3352" s="107"/>
      <c r="O3352" s="87">
        <f t="shared" si="11"/>
        <v>27500</v>
      </c>
      <c r="P3352" s="102" t="str">
        <f t="shared" si="2"/>
        <v>Rp27,500-1 LSN-0.00%</v>
      </c>
      <c r="Q3352" s="103">
        <v>45420.0</v>
      </c>
      <c r="R3352" s="104"/>
      <c r="S3352" s="103">
        <v>45429.0</v>
      </c>
      <c r="T3352" s="105"/>
      <c r="U3352" s="98"/>
      <c r="V3352" s="96" t="s">
        <v>2338</v>
      </c>
    </row>
    <row r="3353">
      <c r="A3353" s="95">
        <v>4444.0</v>
      </c>
      <c r="B3353" s="96" t="s">
        <v>3260</v>
      </c>
      <c r="C3353" s="96" t="s">
        <v>2595</v>
      </c>
      <c r="D3353" s="96" t="s">
        <v>2341</v>
      </c>
      <c r="E3353" s="41" t="str">
        <f>IFERROR(__xludf.DUMMYFUNCTION("IFNA(vlookup(D3353,IMPORTRANGE(""https://docs.google.com/spreadsheets/d/1swGwZOEqYlTEUCJLY-eeJM1911Kvaei5oySBIxdgtNo/edit?pli=1#gid=257618397"",""stock untanna!B:C""),2,false),V:V)"),"BP GEL KOALA GP-168-D VL")</f>
        <v>BP GEL KOALA GP-168-D VL</v>
      </c>
      <c r="F3353" s="70"/>
      <c r="G3353" s="70"/>
      <c r="H3353" s="98"/>
      <c r="I3353" s="99"/>
      <c r="J3353" s="43" t="s">
        <v>1319</v>
      </c>
      <c r="K3353" s="95">
        <v>1.0</v>
      </c>
      <c r="L3353" s="53" t="s">
        <v>62</v>
      </c>
      <c r="M3353" s="106">
        <v>27500.0</v>
      </c>
      <c r="N3353" s="107"/>
      <c r="O3353" s="87">
        <f t="shared" si="11"/>
        <v>27500</v>
      </c>
      <c r="P3353" s="102" t="str">
        <f t="shared" si="2"/>
        <v>Rp27,500-1 LSN-0.00%</v>
      </c>
      <c r="Q3353" s="103">
        <v>45420.0</v>
      </c>
      <c r="R3353" s="104"/>
      <c r="S3353" s="103">
        <v>45429.0</v>
      </c>
      <c r="T3353" s="105"/>
      <c r="U3353" s="98"/>
      <c r="V3353" s="96" t="s">
        <v>2342</v>
      </c>
    </row>
    <row r="3354">
      <c r="A3354" s="95">
        <v>4445.0</v>
      </c>
      <c r="B3354" s="96" t="s">
        <v>29</v>
      </c>
      <c r="C3354" s="96" t="s">
        <v>2595</v>
      </c>
      <c r="D3354" s="96" t="s">
        <v>2343</v>
      </c>
      <c r="E3354" s="41" t="str">
        <f>IFERROR(__xludf.DUMMYFUNCTION("IFNA(vlookup(D3354,IMPORTRANGE(""https://docs.google.com/spreadsheets/d/1swGwZOEqYlTEUCJLY-eeJM1911Kvaei5oySBIxdgtNo/edit?pli=1#gid=257618397"",""stock untanna!B:C""),2,false),V:V)"),"BP GEL KOALA GP-168-E OR")</f>
        <v>BP GEL KOALA GP-168-E OR</v>
      </c>
      <c r="F3354" s="70"/>
      <c r="G3354" s="70"/>
      <c r="H3354" s="98"/>
      <c r="I3354" s="99"/>
      <c r="J3354" s="43" t="s">
        <v>1319</v>
      </c>
      <c r="K3354" s="95">
        <v>1.0</v>
      </c>
      <c r="L3354" s="53" t="s">
        <v>62</v>
      </c>
      <c r="M3354" s="106">
        <v>27500.0</v>
      </c>
      <c r="N3354" s="107"/>
      <c r="O3354" s="87">
        <f t="shared" si="11"/>
        <v>27500</v>
      </c>
      <c r="P3354" s="102" t="str">
        <f t="shared" si="2"/>
        <v>Rp27,500-1 LSN-0.00%</v>
      </c>
      <c r="Q3354" s="103">
        <v>45420.0</v>
      </c>
      <c r="R3354" s="104"/>
      <c r="S3354" s="103">
        <v>45429.0</v>
      </c>
      <c r="T3354" s="105"/>
      <c r="U3354" s="98"/>
      <c r="V3354" s="96" t="s">
        <v>2344</v>
      </c>
    </row>
    <row r="3355">
      <c r="A3355" s="95">
        <v>4445.0</v>
      </c>
      <c r="B3355" s="96" t="s">
        <v>29</v>
      </c>
      <c r="C3355" s="96" t="s">
        <v>2595</v>
      </c>
      <c r="D3355" s="96" t="s">
        <v>2345</v>
      </c>
      <c r="E3355" s="41" t="str">
        <f>IFERROR(__xludf.DUMMYFUNCTION("IFNA(vlookup(D3355,IMPORTRANGE(""https://docs.google.com/spreadsheets/d/1swGwZOEqYlTEUCJLY-eeJM1911Kvaei5oySBIxdgtNo/edit?pli=1#gid=257618397"",""stock untanna!B:C""),2,false),V:V)"),"BP GEL KOALA GP-168-F BR TUA")</f>
        <v>BP GEL KOALA GP-168-F BR TUA</v>
      </c>
      <c r="F3355" s="70"/>
      <c r="G3355" s="70"/>
      <c r="H3355" s="98"/>
      <c r="I3355" s="99"/>
      <c r="J3355" s="43" t="s">
        <v>1319</v>
      </c>
      <c r="K3355" s="95">
        <v>1.0</v>
      </c>
      <c r="L3355" s="53" t="s">
        <v>62</v>
      </c>
      <c r="M3355" s="106">
        <v>27500.0</v>
      </c>
      <c r="N3355" s="107"/>
      <c r="O3355" s="87">
        <f t="shared" si="11"/>
        <v>27500</v>
      </c>
      <c r="P3355" s="102" t="str">
        <f t="shared" si="2"/>
        <v>Rp27,500-1 LSN-0.00%</v>
      </c>
      <c r="Q3355" s="103">
        <v>45420.0</v>
      </c>
      <c r="R3355" s="104"/>
      <c r="S3355" s="103">
        <v>45429.0</v>
      </c>
      <c r="T3355" s="105"/>
      <c r="U3355" s="98"/>
      <c r="V3355" s="96" t="s">
        <v>2346</v>
      </c>
    </row>
    <row r="3356">
      <c r="A3356" s="95">
        <v>4445.0</v>
      </c>
      <c r="B3356" s="96" t="s">
        <v>29</v>
      </c>
      <c r="C3356" s="96" t="s">
        <v>2595</v>
      </c>
      <c r="D3356" s="96" t="s">
        <v>2347</v>
      </c>
      <c r="E3356" s="41" t="str">
        <f>IFERROR(__xludf.DUMMYFUNCTION("IFNA(vlookup(D3356,IMPORTRANGE(""https://docs.google.com/spreadsheets/d/1swGwZOEqYlTEUCJLY-eeJM1911Kvaei5oySBIxdgtNo/edit?pli=1#gid=257618397"",""stock untanna!B:C""),2,false),V:V)"),"BP GEL KOALA GP-168-G PK")</f>
        <v>BP GEL KOALA GP-168-G PK</v>
      </c>
      <c r="F3356" s="70"/>
      <c r="G3356" s="70"/>
      <c r="H3356" s="98"/>
      <c r="I3356" s="99"/>
      <c r="J3356" s="43" t="s">
        <v>1319</v>
      </c>
      <c r="K3356" s="95">
        <v>1.0</v>
      </c>
      <c r="L3356" s="53" t="s">
        <v>62</v>
      </c>
      <c r="M3356" s="106">
        <v>27500.0</v>
      </c>
      <c r="N3356" s="107"/>
      <c r="O3356" s="87">
        <f t="shared" si="11"/>
        <v>27500</v>
      </c>
      <c r="P3356" s="102" t="str">
        <f t="shared" si="2"/>
        <v>Rp27,500-1 LSN-0.00%</v>
      </c>
      <c r="Q3356" s="103">
        <v>45420.0</v>
      </c>
      <c r="R3356" s="104"/>
      <c r="S3356" s="103">
        <v>45429.0</v>
      </c>
      <c r="T3356" s="105"/>
      <c r="U3356" s="98"/>
      <c r="V3356" s="96" t="s">
        <v>2348</v>
      </c>
    </row>
    <row r="3357">
      <c r="A3357" s="95">
        <v>4445.0</v>
      </c>
      <c r="B3357" s="96" t="s">
        <v>29</v>
      </c>
      <c r="C3357" s="96" t="s">
        <v>2595</v>
      </c>
      <c r="D3357" s="96" t="s">
        <v>2349</v>
      </c>
      <c r="E3357" s="41" t="str">
        <f>IFERROR(__xludf.DUMMYFUNCTION("IFNA(vlookup(D3357,IMPORTRANGE(""https://docs.google.com/spreadsheets/d/1swGwZOEqYlTEUCJLY-eeJM1911Kvaei5oySBIxdgtNo/edit?pli=1#gid=257618397"",""stock untanna!B:C""),2,false),V:V)"),"BP GEL KOALA GP-168-H HJ MUDA")</f>
        <v>BP GEL KOALA GP-168-H HJ MUDA</v>
      </c>
      <c r="F3357" s="70"/>
      <c r="G3357" s="70"/>
      <c r="H3357" s="98"/>
      <c r="I3357" s="99"/>
      <c r="J3357" s="43" t="s">
        <v>1319</v>
      </c>
      <c r="K3357" s="95">
        <v>1.0</v>
      </c>
      <c r="L3357" s="53" t="s">
        <v>62</v>
      </c>
      <c r="M3357" s="106">
        <v>27500.0</v>
      </c>
      <c r="N3357" s="107"/>
      <c r="O3357" s="87">
        <f t="shared" si="11"/>
        <v>27500</v>
      </c>
      <c r="P3357" s="102" t="str">
        <f t="shared" si="2"/>
        <v>Rp27,500-1 LSN-0.00%</v>
      </c>
      <c r="Q3357" s="103">
        <v>45420.0</v>
      </c>
      <c r="R3357" s="104"/>
      <c r="S3357" s="103">
        <v>45429.0</v>
      </c>
      <c r="T3357" s="105"/>
      <c r="U3357" s="98"/>
      <c r="V3357" s="96" t="s">
        <v>2350</v>
      </c>
    </row>
    <row r="3358">
      <c r="A3358" s="95">
        <v>4445.0</v>
      </c>
      <c r="B3358" s="96" t="s">
        <v>29</v>
      </c>
      <c r="C3358" s="96" t="s">
        <v>2595</v>
      </c>
      <c r="D3358" s="96" t="s">
        <v>2351</v>
      </c>
      <c r="E3358" s="41" t="str">
        <f>IFERROR(__xludf.DUMMYFUNCTION("IFNA(vlookup(D3358,IMPORTRANGE(""https://docs.google.com/spreadsheets/d/1swGwZOEqYlTEUCJLY-eeJM1911Kvaei5oySBIxdgtNo/edit?pli=1#gid=257618397"",""stock untanna!B:C""),2,false),V:V)"),"BP GEL KOALA GP-168-I COKLAT")</f>
        <v>BP GEL KOALA GP-168-I COKLAT</v>
      </c>
      <c r="F3358" s="70"/>
      <c r="G3358" s="70"/>
      <c r="H3358" s="98"/>
      <c r="I3358" s="99"/>
      <c r="J3358" s="43" t="s">
        <v>1319</v>
      </c>
      <c r="K3358" s="95">
        <v>1.0</v>
      </c>
      <c r="L3358" s="53" t="s">
        <v>62</v>
      </c>
      <c r="M3358" s="106">
        <v>27500.0</v>
      </c>
      <c r="N3358" s="107"/>
      <c r="O3358" s="87">
        <f t="shared" si="11"/>
        <v>27500</v>
      </c>
      <c r="P3358" s="102" t="str">
        <f t="shared" si="2"/>
        <v>Rp27,500-1 LSN-0.00%</v>
      </c>
      <c r="Q3358" s="103">
        <v>45420.0</v>
      </c>
      <c r="R3358" s="104"/>
      <c r="S3358" s="103">
        <v>45429.0</v>
      </c>
      <c r="T3358" s="105"/>
      <c r="U3358" s="98"/>
      <c r="V3358" s="96" t="s">
        <v>2352</v>
      </c>
    </row>
    <row r="3359">
      <c r="A3359" s="95">
        <v>4445.0</v>
      </c>
      <c r="B3359" s="96" t="s">
        <v>29</v>
      </c>
      <c r="C3359" s="96" t="s">
        <v>2595</v>
      </c>
      <c r="D3359" s="96" t="s">
        <v>2353</v>
      </c>
      <c r="E3359" s="41" t="str">
        <f>IFERROR(__xludf.DUMMYFUNCTION("IFNA(vlookup(D3359,IMPORTRANGE(""https://docs.google.com/spreadsheets/d/1swGwZOEqYlTEUCJLY-eeJM1911Kvaei5oySBIxdgtNo/edit?pli=1#gid=257618397"",""stock untanna!B:C""),2,false),V:V)"),"BP GEL KOALA GP-168-J KNG")</f>
        <v>BP GEL KOALA GP-168-J KNG</v>
      </c>
      <c r="F3359" s="70"/>
      <c r="G3359" s="70"/>
      <c r="H3359" s="98"/>
      <c r="I3359" s="99"/>
      <c r="J3359" s="43" t="s">
        <v>1319</v>
      </c>
      <c r="K3359" s="95">
        <v>1.0</v>
      </c>
      <c r="L3359" s="53" t="s">
        <v>62</v>
      </c>
      <c r="M3359" s="106">
        <v>27500.0</v>
      </c>
      <c r="N3359" s="107"/>
      <c r="O3359" s="87">
        <f t="shared" si="11"/>
        <v>27500</v>
      </c>
      <c r="P3359" s="102" t="str">
        <f t="shared" si="2"/>
        <v>Rp27,500-1 LSN-0.00%</v>
      </c>
      <c r="Q3359" s="103">
        <v>45420.0</v>
      </c>
      <c r="R3359" s="104"/>
      <c r="S3359" s="103">
        <v>45429.0</v>
      </c>
      <c r="T3359" s="105"/>
      <c r="U3359" s="98"/>
      <c r="V3359" s="96" t="s">
        <v>2354</v>
      </c>
    </row>
    <row r="3360">
      <c r="A3360" s="95">
        <v>4445.0</v>
      </c>
      <c r="B3360" s="96" t="s">
        <v>29</v>
      </c>
      <c r="C3360" s="96" t="s">
        <v>2595</v>
      </c>
      <c r="D3360" s="96" t="s">
        <v>2335</v>
      </c>
      <c r="E3360" s="41" t="str">
        <f>IFERROR(__xludf.DUMMYFUNCTION("IFNA(vlookup(D3360,IMPORTRANGE(""https://docs.google.com/spreadsheets/d/1swGwZOEqYlTEUCJLY-eeJM1911Kvaei5oySBIxdgtNo/edit?pli=1#gid=257618397"",""stock untanna!B:C""),2,false),V:V)"),"BP GEL KOALA GP-168-A MERAH")</f>
        <v>BP GEL KOALA GP-168-A MERAH</v>
      </c>
      <c r="F3360" s="70"/>
      <c r="G3360" s="70"/>
      <c r="H3360" s="98"/>
      <c r="I3360" s="99"/>
      <c r="J3360" s="43" t="s">
        <v>1319</v>
      </c>
      <c r="K3360" s="95">
        <v>1.0</v>
      </c>
      <c r="L3360" s="53" t="s">
        <v>62</v>
      </c>
      <c r="M3360" s="106">
        <v>25000.0</v>
      </c>
      <c r="N3360" s="107"/>
      <c r="O3360" s="87">
        <f t="shared" si="11"/>
        <v>25000</v>
      </c>
      <c r="P3360" s="102" t="str">
        <f t="shared" si="2"/>
        <v>Rp25,000-1 LSN-0.00%</v>
      </c>
      <c r="Q3360" s="103">
        <v>45420.0</v>
      </c>
      <c r="R3360" s="104"/>
      <c r="S3360" s="103">
        <v>45429.0</v>
      </c>
      <c r="T3360" s="105"/>
      <c r="U3360" s="98"/>
      <c r="V3360" s="96" t="s">
        <v>2336</v>
      </c>
    </row>
    <row r="3361">
      <c r="A3361" s="95">
        <v>4445.0</v>
      </c>
      <c r="B3361" s="96" t="s">
        <v>29</v>
      </c>
      <c r="C3361" s="96" t="s">
        <v>2595</v>
      </c>
      <c r="D3361" s="97"/>
      <c r="E3361" s="41" t="str">
        <f>IFERROR(__xludf.DUMMYFUNCTION("IFNA(vlookup(D3361,IMPORTRANGE(""https://docs.google.com/spreadsheets/d/1swGwZOEqYlTEUCJLY-eeJM1911Kvaei5oySBIxdgtNo/edit?pli=1#gid=257618397"",""stock untanna!B:C""),2,false),V:V)"),"MEJA BELAJAR FANCY")</f>
        <v>MEJA BELAJAR FANCY</v>
      </c>
      <c r="F3361" s="70"/>
      <c r="G3361" s="70"/>
      <c r="H3361" s="98"/>
      <c r="I3361" s="99"/>
      <c r="J3361" s="43" t="s">
        <v>3190</v>
      </c>
      <c r="K3361" s="95">
        <v>10.0</v>
      </c>
      <c r="L3361" s="53" t="s">
        <v>69</v>
      </c>
      <c r="M3361" s="106">
        <v>60000.0</v>
      </c>
      <c r="N3361" s="107"/>
      <c r="O3361" s="87">
        <f t="shared" si="11"/>
        <v>600000</v>
      </c>
      <c r="P3361" s="102" t="str">
        <f t="shared" si="2"/>
        <v>Rp60,000-10 PCS-0.00%</v>
      </c>
      <c r="Q3361" s="103">
        <v>45420.0</v>
      </c>
      <c r="R3361" s="104"/>
      <c r="S3361" s="103">
        <v>45429.0</v>
      </c>
      <c r="T3361" s="105"/>
      <c r="U3361" s="98"/>
      <c r="V3361" s="96" t="s">
        <v>2407</v>
      </c>
    </row>
    <row r="3362">
      <c r="A3362" s="95">
        <v>4350.0</v>
      </c>
      <c r="B3362" s="96" t="s">
        <v>29</v>
      </c>
      <c r="C3362" s="96" t="s">
        <v>3242</v>
      </c>
      <c r="D3362" s="96" t="s">
        <v>3262</v>
      </c>
      <c r="E3362" s="41" t="str">
        <f>IFERROR(__xludf.DUMMYFUNCTION("IFNA(vlookup(D3362,IMPORTRANGE(""https://docs.google.com/spreadsheets/d/1swGwZOEqYlTEUCJLY-eeJM1911Kvaei5oySBIxdgtNo/edit?pli=1#gid=257618397"",""stock untanna!B:C""),2,false),V:V)"),"SAMPUL BOXY FANCY (STOK 26)")</f>
        <v>SAMPUL BOXY FANCY (STOK 26)</v>
      </c>
      <c r="F3362" s="70"/>
      <c r="G3362" s="70"/>
      <c r="H3362" s="98"/>
      <c r="I3362" s="99"/>
      <c r="J3362" s="43" t="s">
        <v>1319</v>
      </c>
      <c r="K3362" s="95">
        <v>200.0</v>
      </c>
      <c r="L3362" s="53" t="s">
        <v>114</v>
      </c>
      <c r="M3362" s="106">
        <v>7750.0</v>
      </c>
      <c r="N3362" s="107"/>
      <c r="O3362" s="87">
        <f t="shared" si="11"/>
        <v>1550000</v>
      </c>
      <c r="P3362" s="102" t="str">
        <f t="shared" si="2"/>
        <v>Rp7,750-200 PAK-0.00%</v>
      </c>
      <c r="Q3362" s="103">
        <v>45420.0</v>
      </c>
      <c r="R3362" s="104"/>
      <c r="S3362" s="103">
        <v>45429.0</v>
      </c>
      <c r="T3362" s="96" t="s">
        <v>100</v>
      </c>
      <c r="U3362" s="98"/>
      <c r="V3362" s="96" t="s">
        <v>3263</v>
      </c>
    </row>
    <row r="3363">
      <c r="A3363" s="95">
        <v>113.0</v>
      </c>
      <c r="B3363" s="96" t="s">
        <v>65</v>
      </c>
      <c r="C3363" s="96" t="s">
        <v>2601</v>
      </c>
      <c r="D3363" s="97"/>
      <c r="E3363" s="41" t="str">
        <f>IFERROR(__xludf.DUMMYFUNCTION("IFNA(vlookup(D3363,IMPORTRANGE(""https://docs.google.com/spreadsheets/d/1swGwZOEqYlTEUCJLY-eeJM1911Kvaei5oySBIxdgtNo/edit?pli=1#gid=257618397"",""stock untanna!B:C""),2,false),V:V)"),"OIL PASTEL BB 12/ HW 12")</f>
        <v>OIL PASTEL BB 12/ HW 12</v>
      </c>
      <c r="F3363" s="70"/>
      <c r="G3363" s="70"/>
      <c r="H3363" s="98"/>
      <c r="I3363" s="99"/>
      <c r="J3363" s="43" t="s">
        <v>1319</v>
      </c>
      <c r="K3363" s="95">
        <v>12.0</v>
      </c>
      <c r="L3363" s="53" t="s">
        <v>62</v>
      </c>
      <c r="M3363" s="106">
        <v>70000.0</v>
      </c>
      <c r="N3363" s="107"/>
      <c r="O3363" s="87">
        <f t="shared" si="11"/>
        <v>840000</v>
      </c>
      <c r="P3363" s="102" t="str">
        <f t="shared" si="2"/>
        <v>Rp70,000-12 LSN-0.00%</v>
      </c>
      <c r="Q3363" s="103">
        <v>45420.0</v>
      </c>
      <c r="R3363" s="104"/>
      <c r="S3363" s="103">
        <v>45429.0</v>
      </c>
      <c r="T3363" s="96" t="s">
        <v>280</v>
      </c>
      <c r="U3363" s="98"/>
      <c r="V3363" s="96" t="s">
        <v>3264</v>
      </c>
    </row>
    <row r="3364">
      <c r="A3364" s="95">
        <v>113.0</v>
      </c>
      <c r="B3364" s="96" t="s">
        <v>65</v>
      </c>
      <c r="C3364" s="96" t="s">
        <v>2601</v>
      </c>
      <c r="D3364" s="97"/>
      <c r="E3364" s="41" t="str">
        <f>IFERROR(__xludf.DUMMYFUNCTION("IFNA(vlookup(D3364,IMPORTRANGE(""https://docs.google.com/spreadsheets/d/1swGwZOEqYlTEUCJLY-eeJM1911Kvaei5oySBIxdgtNo/edit?pli=1#gid=257618397"",""stock untanna!B:C""),2,false),V:V)"),"ASAHAN PAYU")</f>
        <v>ASAHAN PAYU</v>
      </c>
      <c r="F3364" s="70"/>
      <c r="G3364" s="70"/>
      <c r="H3364" s="98"/>
      <c r="I3364" s="99"/>
      <c r="J3364" s="43" t="s">
        <v>3190</v>
      </c>
      <c r="K3364" s="95">
        <v>120.0</v>
      </c>
      <c r="L3364" s="53" t="s">
        <v>88</v>
      </c>
      <c r="M3364" s="106">
        <v>12000.0</v>
      </c>
      <c r="N3364" s="107"/>
      <c r="O3364" s="87">
        <f t="shared" si="11"/>
        <v>1440000</v>
      </c>
      <c r="P3364" s="102" t="str">
        <f t="shared" si="2"/>
        <v>Rp12,000-120 BOX-0.00%</v>
      </c>
      <c r="Q3364" s="103">
        <v>45420.0</v>
      </c>
      <c r="R3364" s="104"/>
      <c r="S3364" s="103">
        <v>45429.0</v>
      </c>
      <c r="T3364" s="105"/>
      <c r="U3364" s="98"/>
      <c r="V3364" s="96" t="s">
        <v>142</v>
      </c>
    </row>
    <row r="3365">
      <c r="A3365" s="95">
        <v>1889.0</v>
      </c>
      <c r="B3365" s="96" t="s">
        <v>29</v>
      </c>
      <c r="C3365" s="96" t="s">
        <v>2243</v>
      </c>
      <c r="D3365" s="97"/>
      <c r="E3365" s="41" t="str">
        <f>IFERROR(__xludf.DUMMYFUNCTION("IFNA(vlookup(D3365,IMPORTRANGE(""https://docs.google.com/spreadsheets/d/1swGwZOEqYlTEUCJLY-eeJM1911Kvaei5oySBIxdgtNo/edit?pli=1#gid=257618397"",""stock untanna!B:C""),2,false),V:V)"),"Pc B 124")</f>
        <v>Pc B 124</v>
      </c>
      <c r="F3365" s="70"/>
      <c r="G3365" s="70"/>
      <c r="H3365" s="98"/>
      <c r="I3365" s="99"/>
      <c r="J3365" s="43" t="s">
        <v>3190</v>
      </c>
      <c r="K3365" s="95">
        <v>28.0</v>
      </c>
      <c r="L3365" s="53" t="s">
        <v>62</v>
      </c>
      <c r="M3365" s="106">
        <v>110000.0</v>
      </c>
      <c r="N3365" s="107"/>
      <c r="O3365" s="87">
        <f t="shared" si="11"/>
        <v>3080000</v>
      </c>
      <c r="P3365" s="102" t="str">
        <f t="shared" si="2"/>
        <v>Rp110,000-28 LSN-0.00%</v>
      </c>
      <c r="Q3365" s="103">
        <v>45420.0</v>
      </c>
      <c r="R3365" s="104"/>
      <c r="S3365" s="103">
        <v>45429.0</v>
      </c>
      <c r="T3365" s="105"/>
      <c r="U3365" s="98"/>
      <c r="V3365" s="96" t="s">
        <v>3265</v>
      </c>
    </row>
    <row r="3366">
      <c r="A3366" s="95">
        <v>308.0</v>
      </c>
      <c r="B3366" s="97"/>
      <c r="C3366" s="96" t="s">
        <v>2603</v>
      </c>
      <c r="D3366" s="96" t="s">
        <v>3266</v>
      </c>
      <c r="E3366" s="41" t="str">
        <f>IFERROR(__xludf.DUMMYFUNCTION("IFNA(vlookup(D3366,IMPORTRANGE(""https://docs.google.com/spreadsheets/d/1swGwZOEqYlTEUCJLY-eeJM1911Kvaei5oySBIxdgtNo/edit?pli=1#gid=257618397"",""stock untanna!B:C""),2,false),V:V)"),"GUNTING KUKU VANCO GK 605")</f>
        <v>GUNTING KUKU VANCO GK 605</v>
      </c>
      <c r="F3366" s="70"/>
      <c r="G3366" s="70"/>
      <c r="H3366" s="98"/>
      <c r="I3366" s="99"/>
      <c r="J3366" s="43" t="s">
        <v>1319</v>
      </c>
      <c r="K3366" s="95">
        <v>1.0</v>
      </c>
      <c r="L3366" s="53" t="s">
        <v>62</v>
      </c>
      <c r="M3366" s="106">
        <v>41000.0</v>
      </c>
      <c r="N3366" s="107"/>
      <c r="O3366" s="87">
        <f t="shared" si="11"/>
        <v>41000</v>
      </c>
      <c r="P3366" s="102" t="str">
        <f t="shared" si="2"/>
        <v>Rp41,000-1 LSN-0.00%</v>
      </c>
      <c r="Q3366" s="103">
        <v>45415.0</v>
      </c>
      <c r="R3366" s="104"/>
      <c r="S3366" s="103">
        <v>45429.0</v>
      </c>
      <c r="T3366" s="105"/>
      <c r="U3366" s="98"/>
      <c r="V3366" s="96" t="s">
        <v>3267</v>
      </c>
    </row>
    <row r="3367">
      <c r="A3367" s="95">
        <v>308.0</v>
      </c>
      <c r="B3367" s="97"/>
      <c r="C3367" s="96" t="s">
        <v>2603</v>
      </c>
      <c r="D3367" s="97"/>
      <c r="E3367" s="41" t="str">
        <f>IFERROR(__xludf.DUMMYFUNCTION("IFNA(vlookup(D3367,IMPORTRANGE(""https://docs.google.com/spreadsheets/d/1swGwZOEqYlTEUCJLY-eeJM1911Kvaei5oySBIxdgtNo/edit?pli=1#gid=257618397"",""stock untanna!B:C""),2,false),V:V)"),"KUAS MONTANA NO 1")</f>
        <v>KUAS MONTANA NO 1</v>
      </c>
      <c r="F3367" s="70"/>
      <c r="G3367" s="70"/>
      <c r="H3367" s="98"/>
      <c r="I3367" s="99"/>
      <c r="J3367" s="43" t="s">
        <v>1319</v>
      </c>
      <c r="K3367" s="95">
        <v>2.0</v>
      </c>
      <c r="L3367" s="53" t="s">
        <v>62</v>
      </c>
      <c r="M3367" s="106">
        <v>12500.0</v>
      </c>
      <c r="N3367" s="107"/>
      <c r="O3367" s="87">
        <f t="shared" si="11"/>
        <v>25000</v>
      </c>
      <c r="P3367" s="102" t="str">
        <f t="shared" si="2"/>
        <v>Rp12,500-2 LSN-0.00%</v>
      </c>
      <c r="Q3367" s="103">
        <v>45415.0</v>
      </c>
      <c r="R3367" s="104"/>
      <c r="S3367" s="103">
        <v>45429.0</v>
      </c>
      <c r="T3367" s="96" t="s">
        <v>280</v>
      </c>
      <c r="U3367" s="98"/>
      <c r="V3367" s="96" t="s">
        <v>3268</v>
      </c>
    </row>
    <row r="3368">
      <c r="A3368" s="95">
        <v>308.0</v>
      </c>
      <c r="B3368" s="97"/>
      <c r="C3368" s="96" t="s">
        <v>2603</v>
      </c>
      <c r="D3368" s="97"/>
      <c r="E3368" s="41" t="str">
        <f>IFERROR(__xludf.DUMMYFUNCTION("IFNA(vlookup(D3368,IMPORTRANGE(""https://docs.google.com/spreadsheets/d/1swGwZOEqYlTEUCJLY-eeJM1911Kvaei5oySBIxdgtNo/edit?pli=1#gid=257618397"",""stock untanna!B:C""),2,false),V:V)"),"KUAS MONTANA NO 2")</f>
        <v>KUAS MONTANA NO 2</v>
      </c>
      <c r="F3368" s="70"/>
      <c r="G3368" s="70"/>
      <c r="H3368" s="98"/>
      <c r="I3368" s="99"/>
      <c r="J3368" s="43" t="s">
        <v>1319</v>
      </c>
      <c r="K3368" s="95">
        <v>2.0</v>
      </c>
      <c r="L3368" s="53" t="s">
        <v>62</v>
      </c>
      <c r="M3368" s="106">
        <v>15000.0</v>
      </c>
      <c r="N3368" s="107"/>
      <c r="O3368" s="87">
        <f t="shared" si="11"/>
        <v>30000</v>
      </c>
      <c r="P3368" s="102" t="str">
        <f t="shared" si="2"/>
        <v>Rp15,000-2 LSN-0.00%</v>
      </c>
      <c r="Q3368" s="103">
        <v>45415.0</v>
      </c>
      <c r="R3368" s="104"/>
      <c r="S3368" s="103">
        <v>45429.0</v>
      </c>
      <c r="T3368" s="96" t="s">
        <v>280</v>
      </c>
      <c r="U3368" s="98"/>
      <c r="V3368" s="96" t="s">
        <v>3269</v>
      </c>
    </row>
    <row r="3369">
      <c r="A3369" s="95">
        <v>308.0</v>
      </c>
      <c r="B3369" s="97"/>
      <c r="C3369" s="96" t="s">
        <v>2603</v>
      </c>
      <c r="D3369" s="96" t="s">
        <v>3270</v>
      </c>
      <c r="E3369" s="41" t="str">
        <f>IFERROR(__xludf.DUMMYFUNCTION("IFNA(vlookup(D3369,IMPORTRANGE(""https://docs.google.com/spreadsheets/d/1swGwZOEqYlTEUCJLY-eeJM1911Kvaei5oySBIxdgtNo/edit?pli=1#gid=257618397"",""stock untanna!B:C""),2,false),V:V)"),"GARISAN BESI YOEKER (5030) 30 CM")</f>
        <v>GARISAN BESI YOEKER (5030) 30 CM</v>
      </c>
      <c r="F3369" s="70"/>
      <c r="G3369" s="70"/>
      <c r="H3369" s="98"/>
      <c r="I3369" s="99"/>
      <c r="J3369" s="43" t="s">
        <v>1319</v>
      </c>
      <c r="K3369" s="95">
        <v>1.0</v>
      </c>
      <c r="L3369" s="53" t="s">
        <v>62</v>
      </c>
      <c r="M3369" s="106">
        <v>19000.0</v>
      </c>
      <c r="N3369" s="107"/>
      <c r="O3369" s="87">
        <f t="shared" si="11"/>
        <v>19000</v>
      </c>
      <c r="P3369" s="102" t="str">
        <f t="shared" si="2"/>
        <v>Rp19,000-1 LSN-0.00%</v>
      </c>
      <c r="Q3369" s="103">
        <v>45415.0</v>
      </c>
      <c r="R3369" s="104"/>
      <c r="S3369" s="103">
        <v>45429.0</v>
      </c>
      <c r="T3369" s="105"/>
      <c r="U3369" s="98"/>
      <c r="V3369" s="96" t="s">
        <v>3271</v>
      </c>
    </row>
    <row r="3370">
      <c r="A3370" s="95">
        <v>310.0</v>
      </c>
      <c r="B3370" s="97"/>
      <c r="C3370" s="96" t="s">
        <v>2603</v>
      </c>
      <c r="D3370" s="96" t="s">
        <v>1455</v>
      </c>
      <c r="E3370" s="41" t="str">
        <f>IFERROR(__xludf.DUMMYFUNCTION("IFNA(vlookup(D3370,IMPORTRANGE(""https://docs.google.com/spreadsheets/d/1swGwZOEqYlTEUCJLY-eeJM1911Kvaei5oySBIxdgtNo/edit?pli=1#gid=257618397"",""stock untanna!B:C""),2,false),V:V)"),"GARISAN BT 20 CM")</f>
        <v>GARISAN BT 20 CM</v>
      </c>
      <c r="F3370" s="70"/>
      <c r="G3370" s="70"/>
      <c r="H3370" s="98"/>
      <c r="I3370" s="99"/>
      <c r="J3370" s="43" t="s">
        <v>1319</v>
      </c>
      <c r="K3370" s="95">
        <v>1.0</v>
      </c>
      <c r="L3370" s="53" t="s">
        <v>62</v>
      </c>
      <c r="M3370" s="106">
        <v>21380.0</v>
      </c>
      <c r="N3370" s="109">
        <v>0.2</v>
      </c>
      <c r="O3370" s="87">
        <f t="shared" si="11"/>
        <v>17104</v>
      </c>
      <c r="P3370" s="102" t="str">
        <f t="shared" si="2"/>
        <v>Rp21,380-1 LSN-20.00%</v>
      </c>
      <c r="Q3370" s="103">
        <v>45419.0</v>
      </c>
      <c r="R3370" s="104"/>
      <c r="S3370" s="103">
        <v>45429.0</v>
      </c>
      <c r="T3370" s="105"/>
      <c r="U3370" s="98"/>
      <c r="V3370" s="96" t="s">
        <v>1456</v>
      </c>
    </row>
    <row r="3371">
      <c r="A3371" s="95">
        <v>310.0</v>
      </c>
      <c r="B3371" s="97"/>
      <c r="C3371" s="96" t="s">
        <v>2603</v>
      </c>
      <c r="D3371" s="96" t="s">
        <v>732</v>
      </c>
      <c r="E3371" s="41" t="str">
        <f>IFERROR(__xludf.DUMMYFUNCTION("IFNA(vlookup(D3371,IMPORTRANGE(""https://docs.google.com/spreadsheets/d/1swGwZOEqYlTEUCJLY-eeJM1911Kvaei5oySBIxdgtNo/edit?pli=1#gid=257618397"",""stock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3371" s="70"/>
      <c r="G3371" s="70"/>
      <c r="H3371" s="98"/>
      <c r="I3371" s="99"/>
      <c r="J3371" s="43" t="s">
        <v>1319</v>
      </c>
      <c r="K3371" s="95">
        <v>3.0</v>
      </c>
      <c r="L3371" s="53" t="s">
        <v>69</v>
      </c>
      <c r="M3371" s="106">
        <v>24000.0</v>
      </c>
      <c r="N3371" s="110"/>
      <c r="O3371" s="87">
        <f t="shared" si="11"/>
        <v>72000</v>
      </c>
      <c r="P3371" s="102" t="str">
        <f t="shared" si="2"/>
        <v>Rp24,000-3 PCS-0.00%</v>
      </c>
      <c r="Q3371" s="103">
        <v>45419.0</v>
      </c>
      <c r="R3371" s="104"/>
      <c r="S3371" s="103">
        <v>45429.0</v>
      </c>
      <c r="T3371" s="105"/>
      <c r="U3371" s="98"/>
      <c r="V3371" s="96" t="s">
        <v>733</v>
      </c>
    </row>
    <row r="3372">
      <c r="A3372" s="95">
        <v>4855.0</v>
      </c>
      <c r="B3372" s="96" t="s">
        <v>58</v>
      </c>
      <c r="C3372" s="96" t="s">
        <v>3272</v>
      </c>
      <c r="D3372" s="97"/>
      <c r="E3372" s="41" t="str">
        <f>IFERROR(__xludf.DUMMYFUNCTION("IFNA(vlookup(D3372,IMPORTRANGE(""https://docs.google.com/spreadsheets/d/1swGwZOEqYlTEUCJLY-eeJM1911Kvaei5oySBIxdgtNo/edit?pli=1#gid=257618397"",""stock untanna!B:C""),2,false),V:V)"),"CUTTER KENKO L 500")</f>
        <v>CUTTER KENKO L 500</v>
      </c>
      <c r="F3372" s="70"/>
      <c r="G3372" s="70"/>
      <c r="H3372" s="98"/>
      <c r="I3372" s="99"/>
      <c r="J3372" s="43" t="s">
        <v>3190</v>
      </c>
      <c r="K3372" s="95">
        <v>20.0</v>
      </c>
      <c r="L3372" s="53" t="s">
        <v>62</v>
      </c>
      <c r="M3372" s="106">
        <v>147600.0</v>
      </c>
      <c r="N3372" s="109">
        <v>0.125</v>
      </c>
      <c r="O3372" s="87">
        <f t="shared" si="11"/>
        <v>2583000</v>
      </c>
      <c r="P3372" s="102" t="str">
        <f t="shared" si="2"/>
        <v>Rp147,600-20 LSN-12.50%</v>
      </c>
      <c r="Q3372" s="103">
        <v>45420.0</v>
      </c>
      <c r="R3372" s="104"/>
      <c r="S3372" s="103">
        <v>45429.0</v>
      </c>
      <c r="T3372" s="105"/>
      <c r="U3372" s="98"/>
      <c r="V3372" s="96" t="s">
        <v>3273</v>
      </c>
    </row>
    <row r="3373">
      <c r="A3373" s="95">
        <v>116.0</v>
      </c>
      <c r="B3373" s="96" t="s">
        <v>65</v>
      </c>
      <c r="C3373" s="96" t="s">
        <v>2465</v>
      </c>
      <c r="D3373" s="97"/>
      <c r="E3373" s="41" t="str">
        <f>IFERROR(__xludf.DUMMYFUNCTION("IFNA(vlookup(D3373,IMPORTRANGE(""https://docs.google.com/spreadsheets/d/1swGwZOEqYlTEUCJLY-eeJM1911Kvaei5oySBIxdgtNo/edit?pli=1#gid=257618397"",""stock untanna!B:C""),2,false),V:V)"),"PC KLG B-905 MOBIL")</f>
        <v>PC KLG B-905 MOBIL</v>
      </c>
      <c r="F3373" s="70"/>
      <c r="G3373" s="70"/>
      <c r="H3373" s="98"/>
      <c r="I3373" s="99"/>
      <c r="J3373" s="43" t="s">
        <v>1319</v>
      </c>
      <c r="K3373" s="95">
        <v>10.0</v>
      </c>
      <c r="L3373" s="53" t="s">
        <v>62</v>
      </c>
      <c r="M3373" s="106">
        <v>150000.0</v>
      </c>
      <c r="N3373" s="111">
        <v>0.1</v>
      </c>
      <c r="O3373" s="87">
        <f t="shared" si="11"/>
        <v>1350000</v>
      </c>
      <c r="P3373" s="102" t="str">
        <f t="shared" si="2"/>
        <v>Rp150,000-10 LSN-10.00%</v>
      </c>
      <c r="Q3373" s="103">
        <v>45420.0</v>
      </c>
      <c r="R3373" s="104"/>
      <c r="S3373" s="103">
        <v>45429.0</v>
      </c>
      <c r="T3373" s="96" t="s">
        <v>280</v>
      </c>
      <c r="U3373" s="98"/>
      <c r="V3373" s="96" t="s">
        <v>602</v>
      </c>
    </row>
    <row r="3374">
      <c r="A3374" s="95">
        <v>116.0</v>
      </c>
      <c r="B3374" s="96" t="s">
        <v>65</v>
      </c>
      <c r="C3374" s="96" t="s">
        <v>2465</v>
      </c>
      <c r="D3374" s="96" t="s">
        <v>3077</v>
      </c>
      <c r="E3374" s="41" t="str">
        <f>IFERROR(__xludf.DUMMYFUNCTION("IFNA(vlookup(D3374,IMPORTRANGE(""https://docs.google.com/spreadsheets/d/1swGwZOEqYlTEUCJLY-eeJM1911Kvaei5oySBIxdgtNo/edit?pli=1#gid=257618397"",""stock untanna!B:C""),2,false),V:V)"),"PENSIL CASE 168-69-3")</f>
        <v>PENSIL CASE 168-69-3</v>
      </c>
      <c r="F3374" s="70"/>
      <c r="G3374" s="70"/>
      <c r="H3374" s="98"/>
      <c r="I3374" s="99"/>
      <c r="J3374" s="43" t="s">
        <v>1319</v>
      </c>
      <c r="K3374" s="95">
        <v>120.0</v>
      </c>
      <c r="L3374" s="53" t="s">
        <v>69</v>
      </c>
      <c r="M3374" s="106">
        <v>16666.7</v>
      </c>
      <c r="N3374" s="111">
        <v>0.1</v>
      </c>
      <c r="O3374" s="87">
        <f t="shared" si="11"/>
        <v>1800003.6</v>
      </c>
      <c r="P3374" s="102" t="str">
        <f t="shared" si="2"/>
        <v>Rp16,667-120 PCS-10.00%</v>
      </c>
      <c r="Q3374" s="103">
        <v>45420.0</v>
      </c>
      <c r="R3374" s="104"/>
      <c r="S3374" s="103">
        <v>45429.0</v>
      </c>
      <c r="T3374" s="105"/>
      <c r="U3374" s="98"/>
      <c r="V3374" s="96" t="s">
        <v>3078</v>
      </c>
    </row>
    <row r="3375">
      <c r="A3375" s="95">
        <v>116.0</v>
      </c>
      <c r="B3375" s="96" t="s">
        <v>65</v>
      </c>
      <c r="C3375" s="96" t="s">
        <v>2465</v>
      </c>
      <c r="D3375" s="96" t="s">
        <v>821</v>
      </c>
      <c r="E3375" s="41" t="str">
        <f>IFERROR(__xludf.DUMMYFUNCTION("IFNA(vlookup(D3375,IMPORTRANGE(""https://docs.google.com/spreadsheets/d/1swGwZOEqYlTEUCJLY-eeJM1911Kvaei5oySBIxdgtNo/edit?pli=1#gid=257618397"",""stock untanna!B:C""),2,false),V:V)"),"PENSIL CASE C-8023")</f>
        <v>PENSIL CASE C-8023</v>
      </c>
      <c r="F3375" s="70"/>
      <c r="G3375" s="70"/>
      <c r="H3375" s="98"/>
      <c r="I3375" s="99"/>
      <c r="J3375" s="43" t="s">
        <v>1319</v>
      </c>
      <c r="K3375" s="95">
        <v>96.0</v>
      </c>
      <c r="L3375" s="53" t="s">
        <v>69</v>
      </c>
      <c r="M3375" s="106">
        <v>20000.0</v>
      </c>
      <c r="N3375" s="111">
        <v>0.15</v>
      </c>
      <c r="O3375" s="87">
        <f t="shared" si="11"/>
        <v>1632000</v>
      </c>
      <c r="P3375" s="102" t="str">
        <f t="shared" si="2"/>
        <v>Rp20,000-96 PCS-15.00%</v>
      </c>
      <c r="Q3375" s="103">
        <v>45420.0</v>
      </c>
      <c r="R3375" s="104"/>
      <c r="S3375" s="103">
        <v>45429.0</v>
      </c>
      <c r="T3375" s="105"/>
      <c r="U3375" s="98"/>
      <c r="V3375" s="96" t="s">
        <v>822</v>
      </c>
    </row>
    <row r="3376">
      <c r="A3376" s="95">
        <v>114.0</v>
      </c>
      <c r="B3376" s="96" t="s">
        <v>65</v>
      </c>
      <c r="C3376" s="96" t="s">
        <v>3274</v>
      </c>
      <c r="D3376" s="97"/>
      <c r="E3376" s="41" t="str">
        <f>IFERROR(__xludf.DUMMYFUNCTION("IFNA(vlookup(D3376,IMPORTRANGE(""https://docs.google.com/spreadsheets/d/1swGwZOEqYlTEUCJLY-eeJM1911Kvaei5oySBIxdgtNo/edit?pli=1#gid=257618397"",""stock untanna!B:C""),2,false),V:V)"),"ID CARD UTN 501 PUTIH")</f>
        <v>ID CARD UTN 501 PUTIH</v>
      </c>
      <c r="F3376" s="70"/>
      <c r="G3376" s="70"/>
      <c r="H3376" s="98"/>
      <c r="I3376" s="99"/>
      <c r="J3376" s="43" t="s">
        <v>3190</v>
      </c>
      <c r="K3376" s="95">
        <v>500.0</v>
      </c>
      <c r="L3376" s="53" t="s">
        <v>69</v>
      </c>
      <c r="M3376" s="106">
        <v>1250.0</v>
      </c>
      <c r="N3376" s="110"/>
      <c r="O3376" s="87">
        <f t="shared" si="11"/>
        <v>625000</v>
      </c>
      <c r="P3376" s="102" t="str">
        <f t="shared" si="2"/>
        <v>Rp1,250-500 PCS-0.00%</v>
      </c>
      <c r="Q3376" s="103">
        <v>45420.0</v>
      </c>
      <c r="R3376" s="104"/>
      <c r="S3376" s="103">
        <v>45429.0</v>
      </c>
      <c r="T3376" s="105"/>
      <c r="U3376" s="98"/>
      <c r="V3376" s="96" t="s">
        <v>3275</v>
      </c>
    </row>
    <row r="3377">
      <c r="A3377" s="95">
        <v>114.0</v>
      </c>
      <c r="B3377" s="96" t="s">
        <v>65</v>
      </c>
      <c r="C3377" s="96" t="s">
        <v>3274</v>
      </c>
      <c r="D3377" s="97"/>
      <c r="E3377" s="41" t="str">
        <f>IFERROR(__xludf.DUMMYFUNCTION("IFNA(vlookup(D3377,IMPORTRANGE(""https://docs.google.com/spreadsheets/d/1swGwZOEqYlTEUCJLY-eeJM1911Kvaei5oySBIxdgtNo/edit?pli=1#gid=257618397"",""stock untanna!B:C""),2,false),V:V)"),"POST IT PLASTIK GAMBAR (FANCY) BIASA/ HOLO")</f>
        <v>POST IT PLASTIK GAMBAR (FANCY) BIASA/ HOLO</v>
      </c>
      <c r="F3377" s="70"/>
      <c r="G3377" s="70"/>
      <c r="H3377" s="98"/>
      <c r="I3377" s="99"/>
      <c r="J3377" s="43" t="s">
        <v>1319</v>
      </c>
      <c r="K3377" s="95">
        <v>600.0</v>
      </c>
      <c r="L3377" s="53" t="s">
        <v>69</v>
      </c>
      <c r="M3377" s="106">
        <v>3000.0</v>
      </c>
      <c r="N3377" s="107"/>
      <c r="O3377" s="87">
        <f t="shared" si="11"/>
        <v>1800000</v>
      </c>
      <c r="P3377" s="102" t="str">
        <f t="shared" si="2"/>
        <v>Rp3,000-600 PCS-0.00%</v>
      </c>
      <c r="Q3377" s="103">
        <v>45420.0</v>
      </c>
      <c r="R3377" s="104"/>
      <c r="S3377" s="103">
        <v>45429.0</v>
      </c>
      <c r="T3377" s="96" t="s">
        <v>280</v>
      </c>
      <c r="U3377" s="98"/>
      <c r="V3377" s="96" t="s">
        <v>3276</v>
      </c>
    </row>
    <row r="3378">
      <c r="A3378" s="95">
        <v>114.0</v>
      </c>
      <c r="B3378" s="96" t="s">
        <v>65</v>
      </c>
      <c r="C3378" s="96" t="s">
        <v>3274</v>
      </c>
      <c r="D3378" s="97"/>
      <c r="E3378" s="41" t="str">
        <f>IFERROR(__xludf.DUMMYFUNCTION("IFNA(vlookup(D3378,IMPORTRANGE(""https://docs.google.com/spreadsheets/d/1swGwZOEqYlTEUCJLY-eeJM1911Kvaei5oySBIxdgtNo/edit?pli=1#gid=257618397"",""stock untanna!B:C""),2,false),V:V)"),"MECHPEN TIZO G 9000 A")</f>
        <v>MECHPEN TIZO G 9000 A</v>
      </c>
      <c r="F3378" s="70"/>
      <c r="G3378" s="70"/>
      <c r="H3378" s="98"/>
      <c r="I3378" s="99"/>
      <c r="J3378" s="43" t="s">
        <v>1319</v>
      </c>
      <c r="K3378" s="95">
        <v>23.0</v>
      </c>
      <c r="L3378" s="53" t="s">
        <v>62</v>
      </c>
      <c r="M3378" s="106">
        <v>15000.0</v>
      </c>
      <c r="N3378" s="107"/>
      <c r="O3378" s="87">
        <f t="shared" si="11"/>
        <v>345000</v>
      </c>
      <c r="P3378" s="102" t="str">
        <f t="shared" si="2"/>
        <v>Rp15,000-23 LSN-0.00%</v>
      </c>
      <c r="Q3378" s="103">
        <v>45420.0</v>
      </c>
      <c r="R3378" s="104"/>
      <c r="S3378" s="103">
        <v>45429.0</v>
      </c>
      <c r="T3378" s="96" t="s">
        <v>280</v>
      </c>
      <c r="U3378" s="98"/>
      <c r="V3378" s="96" t="s">
        <v>2131</v>
      </c>
    </row>
    <row r="3379">
      <c r="A3379" s="95">
        <v>114.0</v>
      </c>
      <c r="B3379" s="96" t="s">
        <v>65</v>
      </c>
      <c r="C3379" s="96" t="s">
        <v>3274</v>
      </c>
      <c r="D3379" s="97"/>
      <c r="E3379" s="41" t="str">
        <f>IFERROR(__xludf.DUMMYFUNCTION("IFNA(vlookup(D3379,IMPORTRANGE(""https://docs.google.com/spreadsheets/d/1swGwZOEqYlTEUCJLY-eeJM1911Kvaei5oySBIxdgtNo/edit?pli=1#gid=257618397"",""stock untanna!B:C""),2,false),V:V)"),"POST IT MAGNIT")</f>
        <v>POST IT MAGNIT</v>
      </c>
      <c r="F3379" s="70"/>
      <c r="G3379" s="70"/>
      <c r="H3379" s="98"/>
      <c r="I3379" s="99"/>
      <c r="J3379" s="43" t="s">
        <v>3190</v>
      </c>
      <c r="K3379" s="95">
        <v>300.0</v>
      </c>
      <c r="L3379" s="53" t="s">
        <v>1521</v>
      </c>
      <c r="M3379" s="106">
        <v>9000.0</v>
      </c>
      <c r="N3379" s="109">
        <v>0.1</v>
      </c>
      <c r="O3379" s="87">
        <f t="shared" si="11"/>
        <v>2430000</v>
      </c>
      <c r="P3379" s="102" t="str">
        <f t="shared" si="2"/>
        <v>Rp9,000-300 DISP-10.00%</v>
      </c>
      <c r="Q3379" s="103">
        <v>45420.0</v>
      </c>
      <c r="R3379" s="104"/>
      <c r="S3379" s="103">
        <v>45429.0</v>
      </c>
      <c r="T3379" s="105"/>
      <c r="U3379" s="98"/>
      <c r="V3379" s="96" t="s">
        <v>3277</v>
      </c>
    </row>
    <row r="3380">
      <c r="A3380" s="95">
        <v>115.0</v>
      </c>
      <c r="B3380" s="96" t="s">
        <v>65</v>
      </c>
      <c r="C3380" s="96" t="s">
        <v>3278</v>
      </c>
      <c r="D3380" s="96" t="s">
        <v>31</v>
      </c>
      <c r="E3380" s="41" t="str">
        <f>IFERROR(__xludf.DUMMYFUNCTION("IFNA(vlookup(D3380,IMPORTRANGE(""https://docs.google.com/spreadsheets/d/1swGwZOEqYlTEUCJLY-eeJM1911Kvaei5oySBIxdgtNo/edit?pli=1#gid=257618397"",""stock untanna!B:C""),2,false),V:V)"),"ISI STAPLER 13/8 JOSS")</f>
        <v>ISI STAPLER 13/8 JOSS</v>
      </c>
      <c r="F3380" s="70"/>
      <c r="G3380" s="70"/>
      <c r="H3380" s="98"/>
      <c r="I3380" s="99"/>
      <c r="J3380" s="43" t="s">
        <v>1319</v>
      </c>
      <c r="K3380" s="95">
        <v>200.0</v>
      </c>
      <c r="L3380" s="53" t="s">
        <v>114</v>
      </c>
      <c r="M3380" s="106">
        <v>18500.0</v>
      </c>
      <c r="N3380" s="110"/>
      <c r="O3380" s="87">
        <f t="shared" si="11"/>
        <v>3700000</v>
      </c>
      <c r="P3380" s="102" t="str">
        <f t="shared" si="2"/>
        <v>Rp18,500-200 PAK-0.00%</v>
      </c>
      <c r="Q3380" s="103">
        <v>45420.0</v>
      </c>
      <c r="R3380" s="104"/>
      <c r="S3380" s="103">
        <v>45429.0</v>
      </c>
      <c r="T3380" s="105"/>
      <c r="U3380" s="98"/>
      <c r="V3380" s="96" t="s">
        <v>113</v>
      </c>
    </row>
    <row r="3381">
      <c r="A3381" s="95">
        <v>115.0</v>
      </c>
      <c r="B3381" s="96" t="s">
        <v>65</v>
      </c>
      <c r="C3381" s="96" t="s">
        <v>3278</v>
      </c>
      <c r="D3381" s="97"/>
      <c r="E3381" s="41" t="str">
        <f>IFERROR(__xludf.DUMMYFUNCTION("IFNA(vlookup(D3381,IMPORTRANGE(""https://docs.google.com/spreadsheets/d/1swGwZOEqYlTEUCJLY-eeJM1911Kvaei5oySBIxdgtNo/edit?pli=1#gid=257618397"",""stock untanna!B:C""),2,false),V:V)"),"TOPI ULTAH KERUCUT VITA")</f>
        <v>TOPI ULTAH KERUCUT VITA</v>
      </c>
      <c r="F3381" s="70"/>
      <c r="G3381" s="70"/>
      <c r="H3381" s="98"/>
      <c r="I3381" s="99"/>
      <c r="J3381" s="43" t="s">
        <v>3190</v>
      </c>
      <c r="K3381" s="95">
        <v>300.0</v>
      </c>
      <c r="L3381" s="53" t="s">
        <v>69</v>
      </c>
      <c r="M3381" s="106">
        <v>3500.0</v>
      </c>
      <c r="N3381" s="107"/>
      <c r="O3381" s="87">
        <f t="shared" si="11"/>
        <v>1050000</v>
      </c>
      <c r="P3381" s="102" t="str">
        <f t="shared" si="2"/>
        <v>Rp3,500-300 PCS-0.00%</v>
      </c>
      <c r="Q3381" s="103">
        <v>45420.0</v>
      </c>
      <c r="R3381" s="104"/>
      <c r="S3381" s="103">
        <v>45429.0</v>
      </c>
      <c r="T3381" s="105"/>
      <c r="U3381" s="98"/>
      <c r="V3381" s="96" t="s">
        <v>3279</v>
      </c>
    </row>
    <row r="3382">
      <c r="A3382" s="95">
        <v>115.0</v>
      </c>
      <c r="B3382" s="96" t="s">
        <v>65</v>
      </c>
      <c r="C3382" s="96" t="s">
        <v>3278</v>
      </c>
      <c r="D3382" s="96" t="s">
        <v>2126</v>
      </c>
      <c r="E3382" s="41" t="str">
        <f>IFERROR(__xludf.DUMMYFUNCTION("IFNA(vlookup(D3382,IMPORTRANGE(""https://docs.google.com/spreadsheets/d/1swGwZOEqYlTEUCJLY-eeJM1911Kvaei5oySBIxdgtNo/edit?pli=1#gid=257618397"",""stock untanna!B:C""),2,false),V:V)"),"GUNTING JUNIOR J-500")</f>
        <v>GUNTING JUNIOR J-500</v>
      </c>
      <c r="F3382" s="70"/>
      <c r="G3382" s="70"/>
      <c r="H3382" s="98"/>
      <c r="I3382" s="99"/>
      <c r="J3382" s="43" t="s">
        <v>1319</v>
      </c>
      <c r="K3382" s="95">
        <v>20.0</v>
      </c>
      <c r="L3382" s="53" t="s">
        <v>62</v>
      </c>
      <c r="M3382" s="106">
        <v>78500.0</v>
      </c>
      <c r="N3382" s="107"/>
      <c r="O3382" s="87">
        <f t="shared" si="11"/>
        <v>1570000</v>
      </c>
      <c r="P3382" s="102" t="str">
        <f t="shared" si="2"/>
        <v>Rp78,500-20 LSN-0.00%</v>
      </c>
      <c r="Q3382" s="103">
        <v>45420.0</v>
      </c>
      <c r="R3382" s="104"/>
      <c r="S3382" s="103">
        <v>45429.0</v>
      </c>
      <c r="T3382" s="105"/>
      <c r="U3382" s="98"/>
      <c r="V3382" s="96" t="s">
        <v>2127</v>
      </c>
    </row>
    <row r="3383">
      <c r="A3383" s="95">
        <v>115.0</v>
      </c>
      <c r="B3383" s="96" t="s">
        <v>65</v>
      </c>
      <c r="C3383" s="96" t="s">
        <v>3278</v>
      </c>
      <c r="D3383" s="96" t="s">
        <v>20</v>
      </c>
      <c r="E3383" s="41" t="str">
        <f>IFERROR(__xludf.DUMMYFUNCTION("IFNA(vlookup(D3383,IMPORTRANGE(""https://docs.google.com/spreadsheets/d/1swGwZOEqYlTEUCJLY-eeJM1911Kvaei5oySBIxdgtNo/edit?pli=1#gid=257618397"",""stock untanna!B:C""),2,false),V:V)"),"KARTU UNDANGAN ANAK BESAR A1100")</f>
        <v>KARTU UNDANGAN ANAK BESAR A1100</v>
      </c>
      <c r="F3383" s="70"/>
      <c r="G3383" s="70"/>
      <c r="H3383" s="98"/>
      <c r="I3383" s="99"/>
      <c r="J3383" s="43" t="s">
        <v>1319</v>
      </c>
      <c r="K3383" s="95">
        <v>500.0</v>
      </c>
      <c r="L3383" s="53" t="s">
        <v>69</v>
      </c>
      <c r="M3383" s="106">
        <v>1250.0</v>
      </c>
      <c r="N3383" s="107"/>
      <c r="O3383" s="87">
        <f t="shared" si="11"/>
        <v>625000</v>
      </c>
      <c r="P3383" s="102" t="str">
        <f t="shared" si="2"/>
        <v>Rp1,250-500 PCS-0.00%</v>
      </c>
      <c r="Q3383" s="103">
        <v>45420.0</v>
      </c>
      <c r="R3383" s="104"/>
      <c r="S3383" s="103">
        <v>45429.0</v>
      </c>
      <c r="T3383" s="96" t="s">
        <v>100</v>
      </c>
      <c r="U3383" s="98"/>
      <c r="V3383" s="96" t="s">
        <v>3280</v>
      </c>
    </row>
    <row r="3384">
      <c r="A3384" s="95">
        <v>4375.0</v>
      </c>
      <c r="B3384" s="96" t="s">
        <v>58</v>
      </c>
      <c r="C3384" s="96" t="s">
        <v>2598</v>
      </c>
      <c r="D3384" s="96" t="s">
        <v>503</v>
      </c>
      <c r="E3384" s="41" t="str">
        <f>IFERROR(__xludf.DUMMYFUNCTION("IFNA(vlookup(D3384,IMPORTRANGE(""https://docs.google.com/spreadsheets/d/1swGwZOEqYlTEUCJLY-eeJM1911Kvaei5oySBIxdgtNo/edit?pli=1#gid=257618397"",""stock untanna!B:C""),2,false),V:V)"),"CUTTER TACO 78 KECIL TRANSPARAN")</f>
        <v>CUTTER TACO 78 KECIL TRANSPARAN</v>
      </c>
      <c r="F3384" s="70"/>
      <c r="G3384" s="70"/>
      <c r="H3384" s="98"/>
      <c r="I3384" s="99"/>
      <c r="J3384" s="43" t="s">
        <v>1319</v>
      </c>
      <c r="K3384" s="95">
        <v>120.0</v>
      </c>
      <c r="L3384" s="53" t="s">
        <v>62</v>
      </c>
      <c r="M3384" s="106">
        <v>23000.0</v>
      </c>
      <c r="N3384" s="109">
        <v>0.1</v>
      </c>
      <c r="O3384" s="87">
        <f t="shared" si="11"/>
        <v>2484000</v>
      </c>
      <c r="P3384" s="102" t="str">
        <f t="shared" si="2"/>
        <v>Rp23,000-120 LSN-10.00%</v>
      </c>
      <c r="Q3384" s="103">
        <v>45420.0</v>
      </c>
      <c r="R3384" s="104"/>
      <c r="S3384" s="103">
        <v>45429.0</v>
      </c>
      <c r="T3384" s="105"/>
      <c r="U3384" s="98"/>
      <c r="V3384" s="96" t="s">
        <v>504</v>
      </c>
    </row>
    <row r="3385">
      <c r="A3385" s="95">
        <v>4374.0</v>
      </c>
      <c r="B3385" s="96" t="s">
        <v>58</v>
      </c>
      <c r="C3385" s="96" t="s">
        <v>110</v>
      </c>
      <c r="D3385" s="96" t="s">
        <v>419</v>
      </c>
      <c r="E3385" s="41" t="str">
        <f>IFERROR(__xludf.DUMMYFUNCTION("IFNA(vlookup(D3385,IMPORTRANGE(""https://docs.google.com/spreadsheets/d/1swGwZOEqYlTEUCJLY-eeJM1911Kvaei5oySBIxdgtNo/edit?pli=1#gid=257618397"",""stock untanna!B:C""),2,false),V:V)"),"BP GEL ZUI XUA HY-1020 HITAM")</f>
        <v>BP GEL ZUI XUA HY-1020 HITAM</v>
      </c>
      <c r="F3385" s="70"/>
      <c r="G3385" s="70"/>
      <c r="H3385" s="98"/>
      <c r="I3385" s="99"/>
      <c r="J3385" s="43" t="s">
        <v>1319</v>
      </c>
      <c r="K3385" s="95">
        <v>192.0</v>
      </c>
      <c r="L3385" s="53" t="s">
        <v>62</v>
      </c>
      <c r="M3385" s="106">
        <v>11000.0</v>
      </c>
      <c r="N3385" s="110"/>
      <c r="O3385" s="87">
        <f t="shared" si="11"/>
        <v>2112000</v>
      </c>
      <c r="P3385" s="102" t="str">
        <f t="shared" si="2"/>
        <v>Rp11,000-192 LSN-0.00%</v>
      </c>
      <c r="Q3385" s="103">
        <v>45420.0</v>
      </c>
      <c r="R3385" s="104"/>
      <c r="S3385" s="103">
        <v>45429.0</v>
      </c>
      <c r="T3385" s="105"/>
      <c r="U3385" s="98"/>
      <c r="V3385" s="96" t="s">
        <v>3281</v>
      </c>
    </row>
    <row r="3386">
      <c r="A3386" s="95">
        <v>4443.0</v>
      </c>
      <c r="B3386" s="96" t="s">
        <v>29</v>
      </c>
      <c r="C3386" s="96" t="s">
        <v>2476</v>
      </c>
      <c r="D3386" s="97"/>
      <c r="E3386" s="41" t="str">
        <f>IFERROR(__xludf.DUMMYFUNCTION("IFNA(vlookup(D3386,IMPORTRANGE(""https://docs.google.com/spreadsheets/d/1swGwZOEqYlTEUCJLY-eeJM1911Kvaei5oySBIxdgtNo/edit?pli=1#gid=257618397"",""stock untanna!B:C""),2,false),V:V)"),"TAS BATIK TANGGUNG")</f>
        <v>TAS BATIK TANGGUNG</v>
      </c>
      <c r="F3386" s="70"/>
      <c r="G3386" s="70"/>
      <c r="H3386" s="98"/>
      <c r="I3386" s="99"/>
      <c r="J3386" s="43" t="s">
        <v>3190</v>
      </c>
      <c r="K3386" s="95">
        <v>50.0</v>
      </c>
      <c r="L3386" s="53" t="s">
        <v>62</v>
      </c>
      <c r="M3386" s="106">
        <v>25000.0</v>
      </c>
      <c r="N3386" s="107"/>
      <c r="O3386" s="87">
        <f t="shared" si="11"/>
        <v>1250000</v>
      </c>
      <c r="P3386" s="102" t="str">
        <f t="shared" si="2"/>
        <v>Rp25,000-50 LSN-0.00%</v>
      </c>
      <c r="Q3386" s="103">
        <v>45420.0</v>
      </c>
      <c r="R3386" s="104"/>
      <c r="S3386" s="103">
        <v>45429.0</v>
      </c>
      <c r="T3386" s="105"/>
      <c r="U3386" s="98"/>
      <c r="V3386" s="96" t="s">
        <v>3282</v>
      </c>
    </row>
    <row r="3387">
      <c r="A3387" s="95">
        <v>4443.0</v>
      </c>
      <c r="B3387" s="96" t="s">
        <v>29</v>
      </c>
      <c r="C3387" s="96" t="s">
        <v>2476</v>
      </c>
      <c r="D3387" s="96" t="s">
        <v>77</v>
      </c>
      <c r="E3387" s="41" t="str">
        <f>IFERROR(__xludf.DUMMYFUNCTION("IFNA(vlookup(D3387,IMPORTRANGE(""https://docs.google.com/spreadsheets/d/1swGwZOEqYlTEUCJLY-eeJM1911Kvaei5oySBIxdgtNo/edit?pli=1#gid=257618397"",""stock untanna!B:C""),2,false),V:V)"),"ID CARD B4 IMPORT")</f>
        <v>ID CARD B4 IMPORT</v>
      </c>
      <c r="F3387" s="70"/>
      <c r="G3387" s="70"/>
      <c r="H3387" s="98"/>
      <c r="I3387" s="99"/>
      <c r="J3387" s="43" t="s">
        <v>1319</v>
      </c>
      <c r="K3387" s="95">
        <v>4000.0</v>
      </c>
      <c r="L3387" s="53" t="s">
        <v>69</v>
      </c>
      <c r="M3387" s="106">
        <v>650.0</v>
      </c>
      <c r="N3387" s="107"/>
      <c r="O3387" s="87">
        <f t="shared" si="11"/>
        <v>2600000</v>
      </c>
      <c r="P3387" s="102" t="str">
        <f t="shared" si="2"/>
        <v>Rp650-4000 PCS-0.00%</v>
      </c>
      <c r="Q3387" s="103">
        <v>45420.0</v>
      </c>
      <c r="R3387" s="104"/>
      <c r="S3387" s="103">
        <v>45429.0</v>
      </c>
      <c r="T3387" s="105"/>
      <c r="U3387" s="98"/>
      <c r="V3387" s="96" t="s">
        <v>78</v>
      </c>
    </row>
    <row r="3388">
      <c r="A3388" s="95">
        <v>173.0</v>
      </c>
      <c r="B3388" s="96" t="s">
        <v>29</v>
      </c>
      <c r="C3388" s="96" t="s">
        <v>3283</v>
      </c>
      <c r="D3388" s="96" t="s">
        <v>1256</v>
      </c>
      <c r="E3388" s="41" t="str">
        <f>IFERROR(__xludf.DUMMYFUNCTION("IFNA(vlookup(D3388,IMPORTRANGE(""https://docs.google.com/spreadsheets/d/1swGwZOEqYlTEUCJLY-eeJM1911Kvaei5oySBIxdgtNo/edit?pli=1#gid=257618397"",""stock untanna!B:C""),2,false),V:V)"),"TAS KARUNG TIDUR 40X30")</f>
        <v>TAS KARUNG TIDUR 40X30</v>
      </c>
      <c r="F3388" s="70"/>
      <c r="G3388" s="70"/>
      <c r="H3388" s="98"/>
      <c r="I3388" s="99"/>
      <c r="J3388" s="43" t="s">
        <v>1319</v>
      </c>
      <c r="K3388" s="95">
        <v>3.0</v>
      </c>
      <c r="L3388" s="53" t="s">
        <v>62</v>
      </c>
      <c r="M3388" s="106">
        <v>110000.0</v>
      </c>
      <c r="N3388" s="107"/>
      <c r="O3388" s="87">
        <f t="shared" si="11"/>
        <v>330000</v>
      </c>
      <c r="P3388" s="102" t="str">
        <f t="shared" si="2"/>
        <v>Rp110,000-3 LSN-0.00%</v>
      </c>
      <c r="Q3388" s="103">
        <v>45420.0</v>
      </c>
      <c r="R3388" s="104"/>
      <c r="S3388" s="103">
        <v>45429.0</v>
      </c>
      <c r="T3388" s="105"/>
      <c r="U3388" s="98"/>
      <c r="V3388" s="96" t="s">
        <v>1257</v>
      </c>
    </row>
    <row r="3389">
      <c r="A3389" s="95">
        <v>173.0</v>
      </c>
      <c r="B3389" s="96" t="s">
        <v>29</v>
      </c>
      <c r="C3389" s="96" t="s">
        <v>3283</v>
      </c>
      <c r="D3389" s="96" t="s">
        <v>1258</v>
      </c>
      <c r="E3389" s="41" t="str">
        <f>IFERROR(__xludf.DUMMYFUNCTION("IFNA(vlookup(D3389,IMPORTRANGE(""https://docs.google.com/spreadsheets/d/1swGwZOEqYlTEUCJLY-eeJM1911Kvaei5oySBIxdgtNo/edit?pli=1#gid=257618397"",""stock untanna!B:C""),2,false),V:V)"),"TAS KARUNG 45X50")</f>
        <v>TAS KARUNG 45X50</v>
      </c>
      <c r="F3389" s="70"/>
      <c r="G3389" s="70"/>
      <c r="H3389" s="98"/>
      <c r="I3389" s="99"/>
      <c r="J3389" s="43" t="s">
        <v>1319</v>
      </c>
      <c r="K3389" s="95">
        <v>3.0</v>
      </c>
      <c r="L3389" s="53" t="s">
        <v>62</v>
      </c>
      <c r="M3389" s="106">
        <v>175000.0</v>
      </c>
      <c r="N3389" s="107"/>
      <c r="O3389" s="87">
        <f t="shared" si="11"/>
        <v>525000</v>
      </c>
      <c r="P3389" s="102" t="str">
        <f t="shared" si="2"/>
        <v>Rp175,000-3 LSN-0.00%</v>
      </c>
      <c r="Q3389" s="103">
        <v>45420.0</v>
      </c>
      <c r="R3389" s="104"/>
      <c r="S3389" s="103">
        <v>45429.0</v>
      </c>
      <c r="T3389" s="105"/>
      <c r="U3389" s="98"/>
      <c r="V3389" s="96" t="s">
        <v>1259</v>
      </c>
    </row>
    <row r="3390">
      <c r="A3390" s="95">
        <v>173.0</v>
      </c>
      <c r="B3390" s="96" t="s">
        <v>29</v>
      </c>
      <c r="C3390" s="96" t="s">
        <v>3283</v>
      </c>
      <c r="D3390" s="96" t="s">
        <v>1264</v>
      </c>
      <c r="E3390" s="41" t="str">
        <f>IFERROR(__xludf.DUMMYFUNCTION("IFNA(vlookup(D3390,IMPORTRANGE(""https://docs.google.com/spreadsheets/d/1swGwZOEqYlTEUCJLY-eeJM1911Kvaei5oySBIxdgtNo/edit?pli=1#gid=257618397"",""stock untanna!B:C""),2,false),V:V)"),"TAS KARUNG 45X33")</f>
        <v>TAS KARUNG 45X33</v>
      </c>
      <c r="F3390" s="70"/>
      <c r="G3390" s="70"/>
      <c r="H3390" s="98"/>
      <c r="I3390" s="99"/>
      <c r="J3390" s="43" t="s">
        <v>1319</v>
      </c>
      <c r="K3390" s="95">
        <v>3.0</v>
      </c>
      <c r="L3390" s="53" t="s">
        <v>62</v>
      </c>
      <c r="M3390" s="106">
        <v>135000.0</v>
      </c>
      <c r="N3390" s="107"/>
      <c r="O3390" s="87">
        <f t="shared" si="11"/>
        <v>405000</v>
      </c>
      <c r="P3390" s="102" t="str">
        <f t="shared" si="2"/>
        <v>Rp135,000-3 LSN-0.00%</v>
      </c>
      <c r="Q3390" s="103">
        <v>45420.0</v>
      </c>
      <c r="R3390" s="104"/>
      <c r="S3390" s="103">
        <v>45429.0</v>
      </c>
      <c r="T3390" s="105"/>
      <c r="U3390" s="98"/>
      <c r="V3390" s="96" t="s">
        <v>1265</v>
      </c>
    </row>
    <row r="3391">
      <c r="A3391" s="95">
        <v>173.0</v>
      </c>
      <c r="B3391" s="96" t="s">
        <v>29</v>
      </c>
      <c r="C3391" s="96" t="s">
        <v>3283</v>
      </c>
      <c r="D3391" s="96" t="s">
        <v>156</v>
      </c>
      <c r="E3391" s="41" t="str">
        <f>IFERROR(__xludf.DUMMYFUNCTION("IFNA(vlookup(D3391,IMPORTRANGE(""https://docs.google.com/spreadsheets/d/1swGwZOEqYlTEUCJLY-eeJM1911Kvaei5oySBIxdgtNo/edit?pli=1#gid=257618397"",""stock untanna!B:C""),2,false),V:V)"),"TAS KARUNG 60 X 45 X 20")</f>
        <v>TAS KARUNG 60 X 45 X 20</v>
      </c>
      <c r="F3391" s="70"/>
      <c r="G3391" s="70"/>
      <c r="H3391" s="98"/>
      <c r="I3391" s="99"/>
      <c r="J3391" s="43" t="s">
        <v>1319</v>
      </c>
      <c r="K3391" s="95">
        <v>36.0</v>
      </c>
      <c r="L3391" s="53" t="s">
        <v>69</v>
      </c>
      <c r="M3391" s="106">
        <v>18750.0</v>
      </c>
      <c r="N3391" s="107"/>
      <c r="O3391" s="87">
        <f t="shared" si="11"/>
        <v>675000</v>
      </c>
      <c r="P3391" s="102" t="str">
        <f t="shared" si="2"/>
        <v>Rp18,750-36 PCS-0.00%</v>
      </c>
      <c r="Q3391" s="103">
        <v>45420.0</v>
      </c>
      <c r="R3391" s="104"/>
      <c r="S3391" s="103">
        <v>45429.0</v>
      </c>
      <c r="T3391" s="105"/>
      <c r="U3391" s="98"/>
      <c r="V3391" s="96" t="s">
        <v>3284</v>
      </c>
    </row>
    <row r="3392">
      <c r="A3392" s="95">
        <v>173.0</v>
      </c>
      <c r="B3392" s="96" t="s">
        <v>29</v>
      </c>
      <c r="C3392" s="96" t="s">
        <v>3283</v>
      </c>
      <c r="D3392" s="96" t="s">
        <v>3044</v>
      </c>
      <c r="E3392" s="41" t="str">
        <f>IFERROR(__xludf.DUMMYFUNCTION("IFNA(vlookup(D3392,IMPORTRANGE(""https://docs.google.com/spreadsheets/d/1swGwZOEqYlTEUCJLY-eeJM1911Kvaei5oySBIxdgtNo/edit?pli=1#gid=257618397"",""stock untanna!B:C""),2,false),V:V)"),"TINTA 20MM (1 LINE)")</f>
        <v>TINTA 20MM (1 LINE)</v>
      </c>
      <c r="F3392" s="70"/>
      <c r="G3392" s="70"/>
      <c r="H3392" s="98"/>
      <c r="I3392" s="99"/>
      <c r="J3392" s="43" t="s">
        <v>1319</v>
      </c>
      <c r="K3392" s="95">
        <v>50.0</v>
      </c>
      <c r="L3392" s="53" t="s">
        <v>69</v>
      </c>
      <c r="M3392" s="106">
        <v>5000.0</v>
      </c>
      <c r="N3392" s="109">
        <v>0.125</v>
      </c>
      <c r="O3392" s="87">
        <f t="shared" si="11"/>
        <v>218750</v>
      </c>
      <c r="P3392" s="102" t="str">
        <f t="shared" si="2"/>
        <v>Rp5,000-50 PCS-12.50%</v>
      </c>
      <c r="Q3392" s="103">
        <v>45420.0</v>
      </c>
      <c r="R3392" s="104"/>
      <c r="S3392" s="103">
        <v>45429.0</v>
      </c>
      <c r="T3392" s="105"/>
      <c r="U3392" s="98"/>
      <c r="V3392" s="96" t="s">
        <v>3045</v>
      </c>
    </row>
    <row r="3393">
      <c r="A3393" s="95">
        <v>173.0</v>
      </c>
      <c r="B3393" s="96" t="s">
        <v>29</v>
      </c>
      <c r="C3393" s="96" t="s">
        <v>3283</v>
      </c>
      <c r="D3393" s="97"/>
      <c r="E3393" s="41" t="str">
        <f>IFERROR(__xludf.DUMMYFUNCTION("IFNA(vlookup(D3393,IMPORTRANGE(""https://docs.google.com/spreadsheets/d/1swGwZOEqYlTEUCJLY-eeJM1911Kvaei5oySBIxdgtNo/edit?pli=1#gid=257618397"",""stock untanna!B:C""),2,false),V:V)"),"POMPA BALON")</f>
        <v>POMPA BALON</v>
      </c>
      <c r="F3393" s="70"/>
      <c r="G3393" s="70"/>
      <c r="H3393" s="98"/>
      <c r="I3393" s="99"/>
      <c r="J3393" s="43" t="s">
        <v>3190</v>
      </c>
      <c r="K3393" s="95">
        <v>24.0</v>
      </c>
      <c r="L3393" s="53" t="s">
        <v>69</v>
      </c>
      <c r="M3393" s="106">
        <v>9000.0</v>
      </c>
      <c r="N3393" s="110"/>
      <c r="O3393" s="87">
        <f t="shared" si="11"/>
        <v>216000</v>
      </c>
      <c r="P3393" s="102" t="str">
        <f t="shared" si="2"/>
        <v>Rp9,000-24 PCS-0.00%</v>
      </c>
      <c r="Q3393" s="103">
        <v>45420.0</v>
      </c>
      <c r="R3393" s="104"/>
      <c r="S3393" s="103">
        <v>45429.0</v>
      </c>
      <c r="T3393" s="105"/>
      <c r="U3393" s="98"/>
      <c r="V3393" s="96" t="s">
        <v>3285</v>
      </c>
    </row>
    <row r="3394">
      <c r="A3394" s="95">
        <v>173.0</v>
      </c>
      <c r="B3394" s="96" t="s">
        <v>29</v>
      </c>
      <c r="C3394" s="96" t="s">
        <v>3283</v>
      </c>
      <c r="D3394" s="96" t="s">
        <v>1260</v>
      </c>
      <c r="E3394" s="41" t="str">
        <f>IFERROR(__xludf.DUMMYFUNCTION("IFNA(vlookup(D3394,IMPORTRANGE(""https://docs.google.com/spreadsheets/d/1swGwZOEqYlTEUCJLY-eeJM1911Kvaei5oySBIxdgtNo/edit?pli=1#gid=257618397"",""stock untanna!B:C""),2,false),V:V)"),"TAS KARUNG 40X45 ")</f>
        <v>TAS KARUNG 40X45 </v>
      </c>
      <c r="F3394" s="70"/>
      <c r="G3394" s="70"/>
      <c r="H3394" s="98"/>
      <c r="I3394" s="99"/>
      <c r="J3394" s="43" t="s">
        <v>1319</v>
      </c>
      <c r="K3394" s="95">
        <v>3.0</v>
      </c>
      <c r="L3394" s="53" t="s">
        <v>62</v>
      </c>
      <c r="M3394" s="106">
        <v>150000.0</v>
      </c>
      <c r="N3394" s="107"/>
      <c r="O3394" s="87">
        <f t="shared" si="11"/>
        <v>450000</v>
      </c>
      <c r="P3394" s="102" t="str">
        <f t="shared" si="2"/>
        <v>Rp150,000-3 LSN-0.00%</v>
      </c>
      <c r="Q3394" s="103">
        <v>45420.0</v>
      </c>
      <c r="R3394" s="104"/>
      <c r="S3394" s="103">
        <v>45429.0</v>
      </c>
      <c r="T3394" s="105"/>
      <c r="U3394" s="98"/>
      <c r="V3394" s="96" t="s">
        <v>1261</v>
      </c>
      <c r="W3394" s="108"/>
      <c r="X3394" s="108"/>
      <c r="Y3394" s="108"/>
      <c r="Z3394" s="108"/>
      <c r="AA3394" s="108"/>
      <c r="AB3394" s="108"/>
      <c r="AC3394" s="108"/>
      <c r="AD3394" s="108"/>
      <c r="AE3394" s="108"/>
      <c r="AF3394" s="108"/>
      <c r="AG3394" s="108"/>
      <c r="AH3394" s="108"/>
      <c r="AI3394" s="108"/>
    </row>
    <row r="3395">
      <c r="A3395" s="93">
        <v>110.0</v>
      </c>
      <c r="B3395" s="77" t="s">
        <v>65</v>
      </c>
      <c r="C3395" s="77" t="s">
        <v>2469</v>
      </c>
      <c r="D3395" s="91"/>
      <c r="E3395" s="41" t="str">
        <f>IFERROR(__xludf.DUMMYFUNCTION("IFNA(vlookup(D3395,IMPORTRANGE(""https://docs.google.com/spreadsheets/d/1swGwZOEqYlTEUCJLY-eeJM1911Kvaei5oySBIxdgtNo/edit?pli=1#gid=257618397"",""stock untanna!B:C""),2,false),V:V)"),"STICK MARKER PF-2368")</f>
        <v>STICK MARKER PF-2368</v>
      </c>
      <c r="F3395" s="49"/>
      <c r="G3395" s="71"/>
      <c r="H3395" s="41"/>
      <c r="I3395" s="42"/>
      <c r="J3395" s="85" t="s">
        <v>1319</v>
      </c>
      <c r="K3395" s="93">
        <v>20.0</v>
      </c>
      <c r="L3395" s="112" t="s">
        <v>69</v>
      </c>
      <c r="M3395" s="113">
        <v>3500.0</v>
      </c>
      <c r="N3395" s="74"/>
      <c r="O3395" s="87">
        <f t="shared" si="11"/>
        <v>70000</v>
      </c>
      <c r="P3395" s="102" t="str">
        <f t="shared" si="2"/>
        <v>Rp3,500-20 PCS-0.00%</v>
      </c>
      <c r="Q3395" s="92">
        <v>45419.0</v>
      </c>
      <c r="R3395" s="76"/>
      <c r="S3395" s="92">
        <v>45430.0</v>
      </c>
      <c r="T3395" s="77" t="s">
        <v>280</v>
      </c>
      <c r="V3395" s="21" t="s">
        <v>3286</v>
      </c>
    </row>
    <row r="3396">
      <c r="A3396" s="93">
        <v>110.0</v>
      </c>
      <c r="B3396" s="77" t="s">
        <v>65</v>
      </c>
      <c r="C3396" s="77" t="s">
        <v>2469</v>
      </c>
      <c r="D3396" s="91"/>
      <c r="E3396" s="41" t="str">
        <f>IFERROR(__xludf.DUMMYFUNCTION("IFNA(vlookup(D3396,IMPORTRANGE(""https://docs.google.com/spreadsheets/d/1swGwZOEqYlTEUCJLY-eeJM1911Kvaei5oySBIxdgtNo/edit?pli=1#gid=257618397"",""stock untanna!B:C""),2,false),V:V)"),"STICK MARKER PF-2899")</f>
        <v>STICK MARKER PF-2899</v>
      </c>
      <c r="F3396" s="49"/>
      <c r="G3396" s="71"/>
      <c r="H3396" s="41"/>
      <c r="I3396" s="42"/>
      <c r="J3396" s="85" t="s">
        <v>1319</v>
      </c>
      <c r="K3396" s="93">
        <v>20.0</v>
      </c>
      <c r="L3396" s="112" t="s">
        <v>69</v>
      </c>
      <c r="M3396" s="113">
        <v>3500.0</v>
      </c>
      <c r="N3396" s="74"/>
      <c r="O3396" s="87">
        <f t="shared" si="11"/>
        <v>70000</v>
      </c>
      <c r="P3396" s="102" t="str">
        <f t="shared" si="2"/>
        <v>Rp3,500-20 PCS-0.00%</v>
      </c>
      <c r="Q3396" s="92">
        <v>45419.0</v>
      </c>
      <c r="R3396" s="76"/>
      <c r="S3396" s="92">
        <v>45430.0</v>
      </c>
      <c r="T3396" s="77" t="s">
        <v>280</v>
      </c>
      <c r="V3396" s="21" t="s">
        <v>3287</v>
      </c>
    </row>
    <row r="3397">
      <c r="A3397" s="93">
        <v>110.0</v>
      </c>
      <c r="B3397" s="77" t="s">
        <v>65</v>
      </c>
      <c r="C3397" s="77" t="s">
        <v>2469</v>
      </c>
      <c r="D3397" s="91"/>
      <c r="E3397" s="41" t="str">
        <f>IFERROR(__xludf.DUMMYFUNCTION("IFNA(vlookup(D3397,IMPORTRANGE(""https://docs.google.com/spreadsheets/d/1swGwZOEqYlTEUCJLY-eeJM1911Kvaei5oySBIxdgtNo/edit?pli=1#gid=257618397"",""stock untanna!B:C""),2,false),V:V)"),"STICK MARKER PF-4368")</f>
        <v>STICK MARKER PF-4368</v>
      </c>
      <c r="F3397" s="49"/>
      <c r="G3397" s="71"/>
      <c r="H3397" s="41"/>
      <c r="I3397" s="42"/>
      <c r="J3397" s="85" t="s">
        <v>1319</v>
      </c>
      <c r="K3397" s="93">
        <v>20.0</v>
      </c>
      <c r="L3397" s="112" t="s">
        <v>69</v>
      </c>
      <c r="M3397" s="113">
        <v>3500.0</v>
      </c>
      <c r="N3397" s="74"/>
      <c r="O3397" s="87">
        <f t="shared" si="11"/>
        <v>70000</v>
      </c>
      <c r="P3397" s="102" t="str">
        <f t="shared" si="2"/>
        <v>Rp3,500-20 PCS-0.00%</v>
      </c>
      <c r="Q3397" s="92">
        <v>45419.0</v>
      </c>
      <c r="R3397" s="76"/>
      <c r="S3397" s="92">
        <v>45430.0</v>
      </c>
      <c r="T3397" s="77" t="s">
        <v>280</v>
      </c>
      <c r="V3397" s="21" t="s">
        <v>3288</v>
      </c>
    </row>
    <row r="3398">
      <c r="A3398" s="93">
        <v>110.0</v>
      </c>
      <c r="B3398" s="77" t="s">
        <v>65</v>
      </c>
      <c r="C3398" s="77" t="s">
        <v>2469</v>
      </c>
      <c r="D3398" s="91"/>
      <c r="E3398" s="41" t="str">
        <f>IFERROR(__xludf.DUMMYFUNCTION("IFNA(vlookup(D3398,IMPORTRANGE(""https://docs.google.com/spreadsheets/d/1swGwZOEqYlTEUCJLY-eeJM1911Kvaei5oySBIxdgtNo/edit?pli=1#gid=257618397"",""stock untanna!B:C""),2,false),V:V)"),"STICK MARKER PF-3899")</f>
        <v>STICK MARKER PF-3899</v>
      </c>
      <c r="F3398" s="49"/>
      <c r="G3398" s="71"/>
      <c r="H3398" s="41"/>
      <c r="I3398" s="42"/>
      <c r="J3398" s="85" t="s">
        <v>1319</v>
      </c>
      <c r="K3398" s="93">
        <v>20.0</v>
      </c>
      <c r="L3398" s="112" t="s">
        <v>69</v>
      </c>
      <c r="M3398" s="113">
        <v>3500.0</v>
      </c>
      <c r="N3398" s="74"/>
      <c r="O3398" s="87">
        <f t="shared" si="11"/>
        <v>70000</v>
      </c>
      <c r="P3398" s="102" t="str">
        <f t="shared" si="2"/>
        <v>Rp3,500-20 PCS-0.00%</v>
      </c>
      <c r="Q3398" s="92">
        <v>45419.0</v>
      </c>
      <c r="R3398" s="76"/>
      <c r="S3398" s="92">
        <v>45430.0</v>
      </c>
      <c r="T3398" s="77" t="s">
        <v>280</v>
      </c>
      <c r="V3398" s="21" t="s">
        <v>3289</v>
      </c>
    </row>
    <row r="3399">
      <c r="A3399" s="93">
        <v>110.0</v>
      </c>
      <c r="B3399" s="77" t="s">
        <v>65</v>
      </c>
      <c r="C3399" s="77" t="s">
        <v>2469</v>
      </c>
      <c r="D3399" s="91"/>
      <c r="E3399" s="41" t="str">
        <f>IFERROR(__xludf.DUMMYFUNCTION("IFNA(vlookup(D3399,IMPORTRANGE(""https://docs.google.com/spreadsheets/d/1swGwZOEqYlTEUCJLY-eeJM1911Kvaei5oySBIxdgtNo/edit?pli=1#gid=257618397"",""stock untanna!B:C""),2,false),V:V)"),"STICK MARKER PF-6368")</f>
        <v>STICK MARKER PF-6368</v>
      </c>
      <c r="F3399" s="49"/>
      <c r="G3399" s="71"/>
      <c r="H3399" s="41"/>
      <c r="I3399" s="42"/>
      <c r="J3399" s="85" t="s">
        <v>1319</v>
      </c>
      <c r="K3399" s="93">
        <v>20.0</v>
      </c>
      <c r="L3399" s="112" t="s">
        <v>69</v>
      </c>
      <c r="M3399" s="113">
        <v>3500.0</v>
      </c>
      <c r="N3399" s="74"/>
      <c r="O3399" s="87">
        <f t="shared" si="11"/>
        <v>70000</v>
      </c>
      <c r="P3399" s="102" t="str">
        <f t="shared" si="2"/>
        <v>Rp3,500-20 PCS-0.00%</v>
      </c>
      <c r="Q3399" s="92">
        <v>45419.0</v>
      </c>
      <c r="R3399" s="76"/>
      <c r="S3399" s="92">
        <v>45430.0</v>
      </c>
      <c r="T3399" s="77" t="s">
        <v>280</v>
      </c>
      <c r="V3399" s="21" t="s">
        <v>3290</v>
      </c>
    </row>
    <row r="3400">
      <c r="A3400" s="93">
        <v>110.0</v>
      </c>
      <c r="B3400" s="77" t="s">
        <v>65</v>
      </c>
      <c r="C3400" s="77" t="s">
        <v>2469</v>
      </c>
      <c r="D3400" s="77" t="s">
        <v>374</v>
      </c>
      <c r="E3400" s="41" t="str">
        <f>IFERROR(__xludf.DUMMYFUNCTION("IFNA(vlookup(D3400,IMPORTRANGE(""https://docs.google.com/spreadsheets/d/1swGwZOEqYlTEUCJLY-eeJM1911Kvaei5oySBIxdgtNo/edit?pli=1#gid=257618397"",""stock untanna!B:C""),2,false),V:V)"),"GARISAN TF 1989 LINGKARAN")</f>
        <v>GARISAN TF 1989 LINGKARAN</v>
      </c>
      <c r="F3400" s="49"/>
      <c r="G3400" s="71"/>
      <c r="H3400" s="41"/>
      <c r="I3400" s="42"/>
      <c r="J3400" s="85" t="s">
        <v>1319</v>
      </c>
      <c r="K3400" s="93">
        <v>12.0</v>
      </c>
      <c r="L3400" s="112" t="s">
        <v>62</v>
      </c>
      <c r="M3400" s="113">
        <v>15000.0</v>
      </c>
      <c r="N3400" s="74"/>
      <c r="O3400" s="87">
        <f t="shared" si="11"/>
        <v>180000</v>
      </c>
      <c r="P3400" s="102" t="str">
        <f t="shared" si="2"/>
        <v>Rp15,000-12 LSN-0.00%</v>
      </c>
      <c r="Q3400" s="92">
        <v>45419.0</v>
      </c>
      <c r="R3400" s="76"/>
      <c r="S3400" s="92">
        <v>45430.0</v>
      </c>
      <c r="T3400" s="49"/>
      <c r="V3400" s="21" t="s">
        <v>375</v>
      </c>
    </row>
    <row r="3401">
      <c r="A3401" s="93">
        <v>110.0</v>
      </c>
      <c r="B3401" s="77" t="s">
        <v>65</v>
      </c>
      <c r="C3401" s="77" t="s">
        <v>2469</v>
      </c>
      <c r="D3401" s="77" t="s">
        <v>2335</v>
      </c>
      <c r="E3401" s="41" t="str">
        <f>IFERROR(__xludf.DUMMYFUNCTION("IFNA(vlookup(D3401,IMPORTRANGE(""https://docs.google.com/spreadsheets/d/1swGwZOEqYlTEUCJLY-eeJM1911Kvaei5oySBIxdgtNo/edit?pli=1#gid=257618397"",""stock untanna!B:C""),2,false),V:V)"),"BP GEL KOALA GP-168-A MERAH")</f>
        <v>BP GEL KOALA GP-168-A MERAH</v>
      </c>
      <c r="F3401" s="49"/>
      <c r="G3401" s="71"/>
      <c r="H3401" s="41"/>
      <c r="I3401" s="42"/>
      <c r="J3401" s="85" t="s">
        <v>1319</v>
      </c>
      <c r="K3401" s="93">
        <v>12.0</v>
      </c>
      <c r="L3401" s="112" t="s">
        <v>62</v>
      </c>
      <c r="M3401" s="113">
        <v>25000.0</v>
      </c>
      <c r="N3401" s="74"/>
      <c r="O3401" s="87">
        <f t="shared" si="11"/>
        <v>300000</v>
      </c>
      <c r="P3401" s="102" t="str">
        <f t="shared" si="2"/>
        <v>Rp25,000-12 LSN-0.00%</v>
      </c>
      <c r="Q3401" s="92">
        <v>45419.0</v>
      </c>
      <c r="R3401" s="76"/>
      <c r="S3401" s="92">
        <v>45430.0</v>
      </c>
      <c r="T3401" s="49"/>
      <c r="V3401" s="21" t="s">
        <v>2336</v>
      </c>
    </row>
    <row r="3402">
      <c r="A3402" s="93">
        <v>110.0</v>
      </c>
      <c r="B3402" s="77" t="s">
        <v>65</v>
      </c>
      <c r="C3402" s="77" t="s">
        <v>2469</v>
      </c>
      <c r="D3402" s="77" t="s">
        <v>2337</v>
      </c>
      <c r="E3402" s="41" t="str">
        <f>IFERROR(__xludf.DUMMYFUNCTION("IFNA(vlookup(D3402,IMPORTRANGE(""https://docs.google.com/spreadsheets/d/1swGwZOEqYlTEUCJLY-eeJM1911Kvaei5oySBIxdgtNo/edit?pli=1#gid=257618397"",""stock untanna!B:C""),2,false),V:V)"),"BP GEL KOALA GP-168-B BR")</f>
        <v>BP GEL KOALA GP-168-B BR</v>
      </c>
      <c r="F3402" s="49"/>
      <c r="G3402" s="71"/>
      <c r="H3402" s="41"/>
      <c r="I3402" s="42"/>
      <c r="J3402" s="85" t="s">
        <v>1319</v>
      </c>
      <c r="K3402" s="93">
        <v>12.0</v>
      </c>
      <c r="L3402" s="112" t="s">
        <v>62</v>
      </c>
      <c r="M3402" s="113">
        <v>25000.0</v>
      </c>
      <c r="N3402" s="74"/>
      <c r="O3402" s="87">
        <f t="shared" si="11"/>
        <v>300000</v>
      </c>
      <c r="P3402" s="102" t="str">
        <f t="shared" si="2"/>
        <v>Rp25,000-12 LSN-0.00%</v>
      </c>
      <c r="Q3402" s="92">
        <v>45419.0</v>
      </c>
      <c r="R3402" s="76"/>
      <c r="S3402" s="92">
        <v>45430.0</v>
      </c>
      <c r="T3402" s="49"/>
      <c r="V3402" s="21" t="s">
        <v>2338</v>
      </c>
    </row>
    <row r="3403">
      <c r="A3403" s="93">
        <v>110.0</v>
      </c>
      <c r="B3403" s="77" t="s">
        <v>65</v>
      </c>
      <c r="C3403" s="77" t="s">
        <v>2469</v>
      </c>
      <c r="D3403" s="77" t="s">
        <v>2339</v>
      </c>
      <c r="E3403" s="41" t="str">
        <f>IFERROR(__xludf.DUMMYFUNCTION("IFNA(vlookup(D3403,IMPORTRANGE(""https://docs.google.com/spreadsheets/d/1swGwZOEqYlTEUCJLY-eeJM1911Kvaei5oySBIxdgtNo/edit?pli=1#gid=257618397"",""stock untanna!B:C""),2,false),V:V)"),"BP GEL KOALA GP-168-C HJ")</f>
        <v>BP GEL KOALA GP-168-C HJ</v>
      </c>
      <c r="F3403" s="49"/>
      <c r="G3403" s="71"/>
      <c r="H3403" s="41"/>
      <c r="I3403" s="42"/>
      <c r="J3403" s="85" t="s">
        <v>1319</v>
      </c>
      <c r="K3403" s="93">
        <v>12.0</v>
      </c>
      <c r="L3403" s="112" t="s">
        <v>62</v>
      </c>
      <c r="M3403" s="113">
        <v>25000.0</v>
      </c>
      <c r="N3403" s="74"/>
      <c r="O3403" s="87">
        <f t="shared" si="11"/>
        <v>300000</v>
      </c>
      <c r="P3403" s="102" t="str">
        <f t="shared" si="2"/>
        <v>Rp25,000-12 LSN-0.00%</v>
      </c>
      <c r="Q3403" s="92">
        <v>45419.0</v>
      </c>
      <c r="R3403" s="76"/>
      <c r="S3403" s="92">
        <v>45430.0</v>
      </c>
      <c r="T3403" s="49"/>
      <c r="V3403" s="21" t="s">
        <v>2340</v>
      </c>
    </row>
    <row r="3404">
      <c r="A3404" s="93">
        <v>110.0</v>
      </c>
      <c r="B3404" s="77" t="s">
        <v>65</v>
      </c>
      <c r="C3404" s="77" t="s">
        <v>2469</v>
      </c>
      <c r="D3404" s="77" t="s">
        <v>2341</v>
      </c>
      <c r="E3404" s="41" t="str">
        <f>IFERROR(__xludf.DUMMYFUNCTION("IFNA(vlookup(D3404,IMPORTRANGE(""https://docs.google.com/spreadsheets/d/1swGwZOEqYlTEUCJLY-eeJM1911Kvaei5oySBIxdgtNo/edit?pli=1#gid=257618397"",""stock untanna!B:C""),2,false),V:V)"),"BP GEL KOALA GP-168-D VL")</f>
        <v>BP GEL KOALA GP-168-D VL</v>
      </c>
      <c r="F3404" s="49"/>
      <c r="G3404" s="71"/>
      <c r="H3404" s="41"/>
      <c r="I3404" s="42"/>
      <c r="J3404" s="85" t="s">
        <v>1319</v>
      </c>
      <c r="K3404" s="93">
        <v>12.0</v>
      </c>
      <c r="L3404" s="112" t="s">
        <v>62</v>
      </c>
      <c r="M3404" s="113">
        <v>25000.0</v>
      </c>
      <c r="N3404" s="74"/>
      <c r="O3404" s="87">
        <f t="shared" si="11"/>
        <v>300000</v>
      </c>
      <c r="P3404" s="102" t="str">
        <f t="shared" si="2"/>
        <v>Rp25,000-12 LSN-0.00%</v>
      </c>
      <c r="Q3404" s="92">
        <v>45419.0</v>
      </c>
      <c r="R3404" s="76"/>
      <c r="S3404" s="92">
        <v>45430.0</v>
      </c>
      <c r="T3404" s="49"/>
      <c r="V3404" s="21" t="s">
        <v>2342</v>
      </c>
    </row>
    <row r="3405">
      <c r="A3405" s="93">
        <v>110.0</v>
      </c>
      <c r="B3405" s="77" t="s">
        <v>65</v>
      </c>
      <c r="C3405" s="77" t="s">
        <v>2469</v>
      </c>
      <c r="D3405" s="77" t="s">
        <v>2343</v>
      </c>
      <c r="E3405" s="41" t="str">
        <f>IFERROR(__xludf.DUMMYFUNCTION("IFNA(vlookup(D3405,IMPORTRANGE(""https://docs.google.com/spreadsheets/d/1swGwZOEqYlTEUCJLY-eeJM1911Kvaei5oySBIxdgtNo/edit?pli=1#gid=257618397"",""stock untanna!B:C""),2,false),V:V)"),"BP GEL KOALA GP-168-E OR")</f>
        <v>BP GEL KOALA GP-168-E OR</v>
      </c>
      <c r="F3405" s="49"/>
      <c r="G3405" s="71"/>
      <c r="H3405" s="41"/>
      <c r="I3405" s="42"/>
      <c r="J3405" s="85" t="s">
        <v>1319</v>
      </c>
      <c r="K3405" s="93">
        <v>12.0</v>
      </c>
      <c r="L3405" s="112" t="s">
        <v>62</v>
      </c>
      <c r="M3405" s="113">
        <v>25000.0</v>
      </c>
      <c r="N3405" s="74"/>
      <c r="O3405" s="87">
        <f t="shared" si="11"/>
        <v>300000</v>
      </c>
      <c r="P3405" s="102" t="str">
        <f t="shared" si="2"/>
        <v>Rp25,000-12 LSN-0.00%</v>
      </c>
      <c r="Q3405" s="92">
        <v>45419.0</v>
      </c>
      <c r="R3405" s="76"/>
      <c r="S3405" s="92">
        <v>45430.0</v>
      </c>
      <c r="T3405" s="49"/>
      <c r="V3405" s="21" t="s">
        <v>2344</v>
      </c>
    </row>
    <row r="3406">
      <c r="A3406" s="93">
        <v>110.0</v>
      </c>
      <c r="B3406" s="77" t="s">
        <v>65</v>
      </c>
      <c r="C3406" s="77" t="s">
        <v>2469</v>
      </c>
      <c r="D3406" s="77" t="s">
        <v>2345</v>
      </c>
      <c r="E3406" s="41" t="str">
        <f>IFERROR(__xludf.DUMMYFUNCTION("IFNA(vlookup(D3406,IMPORTRANGE(""https://docs.google.com/spreadsheets/d/1swGwZOEqYlTEUCJLY-eeJM1911Kvaei5oySBIxdgtNo/edit?pli=1#gid=257618397"",""stock untanna!B:C""),2,false),V:V)"),"BP GEL KOALA GP-168-F BR TUA")</f>
        <v>BP GEL KOALA GP-168-F BR TUA</v>
      </c>
      <c r="F3406" s="49"/>
      <c r="G3406" s="71"/>
      <c r="H3406" s="41"/>
      <c r="I3406" s="42"/>
      <c r="J3406" s="85" t="s">
        <v>1319</v>
      </c>
      <c r="K3406" s="93">
        <v>12.0</v>
      </c>
      <c r="L3406" s="112" t="s">
        <v>62</v>
      </c>
      <c r="M3406" s="113">
        <v>25000.0</v>
      </c>
      <c r="N3406" s="74"/>
      <c r="O3406" s="87">
        <f t="shared" si="11"/>
        <v>300000</v>
      </c>
      <c r="P3406" s="102" t="str">
        <f t="shared" si="2"/>
        <v>Rp25,000-12 LSN-0.00%</v>
      </c>
      <c r="Q3406" s="92">
        <v>45419.0</v>
      </c>
      <c r="R3406" s="76"/>
      <c r="S3406" s="92">
        <v>45430.0</v>
      </c>
      <c r="T3406" s="49"/>
      <c r="V3406" s="21" t="s">
        <v>2346</v>
      </c>
    </row>
    <row r="3407">
      <c r="A3407" s="93">
        <v>110.0</v>
      </c>
      <c r="B3407" s="77" t="s">
        <v>65</v>
      </c>
      <c r="C3407" s="77" t="s">
        <v>2469</v>
      </c>
      <c r="D3407" s="77" t="s">
        <v>2347</v>
      </c>
      <c r="E3407" s="41" t="str">
        <f>IFERROR(__xludf.DUMMYFUNCTION("IFNA(vlookup(D3407,IMPORTRANGE(""https://docs.google.com/spreadsheets/d/1swGwZOEqYlTEUCJLY-eeJM1911Kvaei5oySBIxdgtNo/edit?pli=1#gid=257618397"",""stock untanna!B:C""),2,false),V:V)"),"BP GEL KOALA GP-168-G PK")</f>
        <v>BP GEL KOALA GP-168-G PK</v>
      </c>
      <c r="F3407" s="49"/>
      <c r="G3407" s="71"/>
      <c r="H3407" s="41"/>
      <c r="I3407" s="42"/>
      <c r="J3407" s="85" t="s">
        <v>1319</v>
      </c>
      <c r="K3407" s="93">
        <v>12.0</v>
      </c>
      <c r="L3407" s="112" t="s">
        <v>62</v>
      </c>
      <c r="M3407" s="113">
        <v>25000.0</v>
      </c>
      <c r="N3407" s="74"/>
      <c r="O3407" s="87">
        <f t="shared" si="11"/>
        <v>300000</v>
      </c>
      <c r="P3407" s="102" t="str">
        <f t="shared" si="2"/>
        <v>Rp25,000-12 LSN-0.00%</v>
      </c>
      <c r="Q3407" s="92">
        <v>45419.0</v>
      </c>
      <c r="R3407" s="76"/>
      <c r="S3407" s="92">
        <v>45430.0</v>
      </c>
      <c r="T3407" s="49"/>
      <c r="V3407" s="21" t="s">
        <v>2348</v>
      </c>
    </row>
    <row r="3408">
      <c r="A3408" s="93">
        <v>110.0</v>
      </c>
      <c r="B3408" s="77" t="s">
        <v>65</v>
      </c>
      <c r="C3408" s="77" t="s">
        <v>2469</v>
      </c>
      <c r="D3408" s="77" t="s">
        <v>2349</v>
      </c>
      <c r="E3408" s="41" t="str">
        <f>IFERROR(__xludf.DUMMYFUNCTION("IFNA(vlookup(D3408,IMPORTRANGE(""https://docs.google.com/spreadsheets/d/1swGwZOEqYlTEUCJLY-eeJM1911Kvaei5oySBIxdgtNo/edit?pli=1#gid=257618397"",""stock untanna!B:C""),2,false),V:V)"),"BP GEL KOALA GP-168-H HJ MUDA")</f>
        <v>BP GEL KOALA GP-168-H HJ MUDA</v>
      </c>
      <c r="F3408" s="49"/>
      <c r="G3408" s="71"/>
      <c r="H3408" s="41"/>
      <c r="I3408" s="42"/>
      <c r="J3408" s="85" t="s">
        <v>1319</v>
      </c>
      <c r="K3408" s="93">
        <v>12.0</v>
      </c>
      <c r="L3408" s="112" t="s">
        <v>62</v>
      </c>
      <c r="M3408" s="113">
        <v>25000.0</v>
      </c>
      <c r="N3408" s="74"/>
      <c r="O3408" s="87">
        <f t="shared" si="11"/>
        <v>300000</v>
      </c>
      <c r="P3408" s="102" t="str">
        <f t="shared" si="2"/>
        <v>Rp25,000-12 LSN-0.00%</v>
      </c>
      <c r="Q3408" s="92">
        <v>45419.0</v>
      </c>
      <c r="R3408" s="76"/>
      <c r="S3408" s="92">
        <v>45430.0</v>
      </c>
      <c r="T3408" s="49"/>
      <c r="V3408" s="21" t="s">
        <v>2350</v>
      </c>
    </row>
    <row r="3409">
      <c r="A3409" s="93">
        <v>110.0</v>
      </c>
      <c r="B3409" s="77" t="s">
        <v>65</v>
      </c>
      <c r="C3409" s="77" t="s">
        <v>2469</v>
      </c>
      <c r="D3409" s="77" t="s">
        <v>2353</v>
      </c>
      <c r="E3409" s="41" t="str">
        <f>IFERROR(__xludf.DUMMYFUNCTION("IFNA(vlookup(D3409,IMPORTRANGE(""https://docs.google.com/spreadsheets/d/1swGwZOEqYlTEUCJLY-eeJM1911Kvaei5oySBIxdgtNo/edit?pli=1#gid=257618397"",""stock untanna!B:C""),2,false),V:V)"),"BP GEL KOALA GP-168-J KNG")</f>
        <v>BP GEL KOALA GP-168-J KNG</v>
      </c>
      <c r="F3409" s="49"/>
      <c r="G3409" s="71"/>
      <c r="H3409" s="41"/>
      <c r="I3409" s="42"/>
      <c r="J3409" s="85" t="s">
        <v>1319</v>
      </c>
      <c r="K3409" s="93">
        <v>12.0</v>
      </c>
      <c r="L3409" s="112" t="s">
        <v>62</v>
      </c>
      <c r="M3409" s="113">
        <v>25000.0</v>
      </c>
      <c r="N3409" s="74"/>
      <c r="O3409" s="87">
        <f t="shared" si="11"/>
        <v>300000</v>
      </c>
      <c r="P3409" s="102" t="str">
        <f t="shared" si="2"/>
        <v>Rp25,000-12 LSN-0.00%</v>
      </c>
      <c r="Q3409" s="92">
        <v>45419.0</v>
      </c>
      <c r="R3409" s="76"/>
      <c r="S3409" s="92">
        <v>45430.0</v>
      </c>
      <c r="T3409" s="49"/>
      <c r="V3409" s="21" t="s">
        <v>2354</v>
      </c>
    </row>
    <row r="3410">
      <c r="A3410" s="93">
        <v>110.0</v>
      </c>
      <c r="B3410" s="77" t="s">
        <v>65</v>
      </c>
      <c r="C3410" s="77" t="s">
        <v>2469</v>
      </c>
      <c r="D3410" s="77" t="s">
        <v>627</v>
      </c>
      <c r="E3410" s="41" t="str">
        <f>IFERROR(__xludf.DUMMYFUNCTION("IFNA(vlookup(D3410,IMPORTRANGE(""https://docs.google.com/spreadsheets/d/1swGwZOEqYlTEUCJLY-eeJM1911Kvaei5oySBIxdgtNo/edit?pli=1#gid=257618397"",""stock untanna!B:C""),2,false),V:V)"),"BP TIZO TG 30541F FANCY")</f>
        <v>BP TIZO TG 30541F FANCY</v>
      </c>
      <c r="F3410" s="49"/>
      <c r="G3410" s="71"/>
      <c r="H3410" s="41"/>
      <c r="I3410" s="42"/>
      <c r="J3410" s="85" t="s">
        <v>1319</v>
      </c>
      <c r="K3410" s="93">
        <v>48.0</v>
      </c>
      <c r="L3410" s="112" t="s">
        <v>62</v>
      </c>
      <c r="M3410" s="113">
        <v>18000.0</v>
      </c>
      <c r="N3410" s="74"/>
      <c r="O3410" s="87">
        <f t="shared" si="11"/>
        <v>864000</v>
      </c>
      <c r="P3410" s="102" t="str">
        <f t="shared" si="2"/>
        <v>Rp18,000-48 LSN-0.00%</v>
      </c>
      <c r="Q3410" s="92">
        <v>45419.0</v>
      </c>
      <c r="R3410" s="76"/>
      <c r="S3410" s="92">
        <v>45430.0</v>
      </c>
      <c r="T3410" s="49"/>
      <c r="V3410" s="21" t="s">
        <v>628</v>
      </c>
    </row>
    <row r="3411">
      <c r="A3411" s="93">
        <v>111.0</v>
      </c>
      <c r="B3411" s="77" t="s">
        <v>65</v>
      </c>
      <c r="C3411" s="77" t="s">
        <v>2469</v>
      </c>
      <c r="D3411" s="77" t="s">
        <v>635</v>
      </c>
      <c r="E3411" s="41" t="str">
        <f>IFERROR(__xludf.DUMMYFUNCTION("IFNA(vlookup(D3411,IMPORTRANGE(""https://docs.google.com/spreadsheets/d/1swGwZOEqYlTEUCJLY-eeJM1911Kvaei5oySBIxdgtNo/edit?pli=1#gid=257618397"",""stock untanna!B:C""),2,false),V:V)"),"BP GEL TIZO 31763F FANCY")</f>
        <v>BP GEL TIZO 31763F FANCY</v>
      </c>
      <c r="F3411" s="49"/>
      <c r="G3411" s="71"/>
      <c r="H3411" s="41"/>
      <c r="I3411" s="42"/>
      <c r="J3411" s="85" t="s">
        <v>1319</v>
      </c>
      <c r="K3411" s="93">
        <v>12.0</v>
      </c>
      <c r="L3411" s="112" t="s">
        <v>62</v>
      </c>
      <c r="M3411" s="113">
        <v>18000.0</v>
      </c>
      <c r="N3411" s="74"/>
      <c r="O3411" s="87">
        <f t="shared" si="11"/>
        <v>216000</v>
      </c>
      <c r="P3411" s="102" t="str">
        <f t="shared" si="2"/>
        <v>Rp18,000-12 LSN-0.00%</v>
      </c>
      <c r="Q3411" s="92">
        <v>45419.0</v>
      </c>
      <c r="R3411" s="76"/>
      <c r="S3411" s="92">
        <v>45430.0</v>
      </c>
      <c r="T3411" s="49"/>
      <c r="V3411" s="21" t="s">
        <v>636</v>
      </c>
    </row>
    <row r="3412">
      <c r="A3412" s="93">
        <v>111.0</v>
      </c>
      <c r="B3412" s="77" t="s">
        <v>65</v>
      </c>
      <c r="C3412" s="77" t="s">
        <v>2469</v>
      </c>
      <c r="D3412" s="77" t="s">
        <v>631</v>
      </c>
      <c r="E3412" s="41" t="str">
        <f>IFERROR(__xludf.DUMMYFUNCTION("IFNA(vlookup(D3412,IMPORTRANGE(""https://docs.google.com/spreadsheets/d/1swGwZOEqYlTEUCJLY-eeJM1911Kvaei5oySBIxdgtNo/edit?pli=1#gid=257618397"",""stock untanna!B:C""),2,false),V:V)"),"BP TIZO 31810F FANCY")</f>
        <v>BP TIZO 31810F FANCY</v>
      </c>
      <c r="F3412" s="49"/>
      <c r="G3412" s="71"/>
      <c r="H3412" s="41"/>
      <c r="I3412" s="42"/>
      <c r="J3412" s="85" t="s">
        <v>1319</v>
      </c>
      <c r="K3412" s="93">
        <v>36.0</v>
      </c>
      <c r="L3412" s="112" t="s">
        <v>62</v>
      </c>
      <c r="M3412" s="113">
        <v>18000.0</v>
      </c>
      <c r="N3412" s="74"/>
      <c r="O3412" s="87">
        <f t="shared" si="11"/>
        <v>648000</v>
      </c>
      <c r="P3412" s="102" t="str">
        <f t="shared" si="2"/>
        <v>Rp18,000-36 LSN-0.00%</v>
      </c>
      <c r="Q3412" s="92">
        <v>45419.0</v>
      </c>
      <c r="R3412" s="76"/>
      <c r="S3412" s="92">
        <v>45430.0</v>
      </c>
      <c r="T3412" s="49"/>
      <c r="V3412" s="21" t="s">
        <v>632</v>
      </c>
    </row>
    <row r="3413">
      <c r="A3413" s="93">
        <v>111.0</v>
      </c>
      <c r="B3413" s="77" t="s">
        <v>65</v>
      </c>
      <c r="C3413" s="77" t="s">
        <v>2469</v>
      </c>
      <c r="D3413" s="77" t="s">
        <v>633</v>
      </c>
      <c r="E3413" s="41" t="str">
        <f>IFERROR(__xludf.DUMMYFUNCTION("IFNA(vlookup(D3413,IMPORTRANGE(""https://docs.google.com/spreadsheets/d/1swGwZOEqYlTEUCJLY-eeJM1911Kvaei5oySBIxdgtNo/edit?pli=1#gid=257618397"",""stock untanna!B:C""),2,false),V:V)"),"BP GEL TIZO 30734F FANCY")</f>
        <v>BP GEL TIZO 30734F FANCY</v>
      </c>
      <c r="F3413" s="49"/>
      <c r="G3413" s="71"/>
      <c r="H3413" s="41"/>
      <c r="I3413" s="42"/>
      <c r="J3413" s="85" t="s">
        <v>1319</v>
      </c>
      <c r="K3413" s="93">
        <v>24.0</v>
      </c>
      <c r="L3413" s="112" t="s">
        <v>62</v>
      </c>
      <c r="M3413" s="113">
        <v>18000.0</v>
      </c>
      <c r="N3413" s="74"/>
      <c r="O3413" s="87">
        <f t="shared" si="11"/>
        <v>432000</v>
      </c>
      <c r="P3413" s="102" t="str">
        <f t="shared" si="2"/>
        <v>Rp18,000-24 LSN-0.00%</v>
      </c>
      <c r="Q3413" s="92">
        <v>45419.0</v>
      </c>
      <c r="R3413" s="76"/>
      <c r="S3413" s="92">
        <v>45430.0</v>
      </c>
      <c r="T3413" s="49"/>
      <c r="V3413" s="21" t="s">
        <v>634</v>
      </c>
    </row>
    <row r="3414">
      <c r="A3414" s="93">
        <v>111.0</v>
      </c>
      <c r="B3414" s="77" t="s">
        <v>65</v>
      </c>
      <c r="C3414" s="77" t="s">
        <v>2469</v>
      </c>
      <c r="D3414" s="77" t="s">
        <v>2870</v>
      </c>
      <c r="E3414" s="41" t="str">
        <f>IFERROR(__xludf.DUMMYFUNCTION("IFNA(vlookup(D3414,IMPORTRANGE(""https://docs.google.com/spreadsheets/d/1swGwZOEqYlTEUCJLY-eeJM1911Kvaei5oySBIxdgtNo/edit?pli=1#gid=257618397"",""stock untanna!B:C""),2,false),V:V)"),"ISI GELL RETRACT DB GR-900")</f>
        <v>ISI GELL RETRACT DB GR-900</v>
      </c>
      <c r="F3414" s="49"/>
      <c r="G3414" s="71"/>
      <c r="H3414" s="41"/>
      <c r="I3414" s="42"/>
      <c r="J3414" s="43" t="str">
        <f>IF(D3414="","TIDAK ADA","ADA")</f>
        <v>ADA</v>
      </c>
      <c r="K3414" s="93">
        <v>48.0</v>
      </c>
      <c r="L3414" s="112" t="s">
        <v>88</v>
      </c>
      <c r="M3414" s="113">
        <v>30000.0</v>
      </c>
      <c r="N3414" s="74"/>
      <c r="O3414" s="87">
        <f t="shared" si="11"/>
        <v>1440000</v>
      </c>
      <c r="P3414" s="102" t="str">
        <f t="shared" si="2"/>
        <v>Rp30,000-48 BOX-0.00%</v>
      </c>
      <c r="Q3414" s="92">
        <v>45419.0</v>
      </c>
      <c r="R3414" s="76"/>
      <c r="S3414" s="92">
        <v>45430.0</v>
      </c>
      <c r="T3414" s="77" t="s">
        <v>280</v>
      </c>
      <c r="V3414" s="21" t="s">
        <v>2871</v>
      </c>
    </row>
    <row r="3415">
      <c r="A3415" s="93">
        <v>111.0</v>
      </c>
      <c r="B3415" s="77" t="s">
        <v>65</v>
      </c>
      <c r="C3415" s="77" t="s">
        <v>2469</v>
      </c>
      <c r="D3415" s="77" t="s">
        <v>3291</v>
      </c>
      <c r="E3415" s="41" t="str">
        <f>IFERROR(__xludf.DUMMYFUNCTION("IFNA(vlookup(D3415,IMPORTRANGE(""https://docs.google.com/spreadsheets/d/1swGwZOEqYlTEUCJLY-eeJM1911Kvaei5oySBIxdgtNo/edit?pli=1#gid=257618397"",""stock untanna!B:C""),2,false),V:V)"),"GARISAN KT005")</f>
        <v>GARISAN KT005</v>
      </c>
      <c r="F3415" s="49"/>
      <c r="G3415" s="71"/>
      <c r="H3415" s="41"/>
      <c r="I3415" s="42"/>
      <c r="J3415" s="85" t="s">
        <v>1319</v>
      </c>
      <c r="K3415" s="93">
        <v>288.0</v>
      </c>
      <c r="L3415" s="112" t="s">
        <v>69</v>
      </c>
      <c r="M3415" s="113">
        <v>3333.33</v>
      </c>
      <c r="N3415" s="74"/>
      <c r="O3415" s="87">
        <f t="shared" si="11"/>
        <v>959999.04</v>
      </c>
      <c r="P3415" s="102" t="str">
        <f t="shared" si="2"/>
        <v>Rp3,333-288 PCS-0.00%</v>
      </c>
      <c r="Q3415" s="92">
        <v>45419.0</v>
      </c>
      <c r="R3415" s="76"/>
      <c r="S3415" s="92">
        <v>45430.0</v>
      </c>
      <c r="T3415" s="49"/>
      <c r="V3415" s="21" t="s">
        <v>3292</v>
      </c>
    </row>
    <row r="3416">
      <c r="A3416" s="93">
        <v>111.0</v>
      </c>
      <c r="B3416" s="77" t="s">
        <v>65</v>
      </c>
      <c r="C3416" s="77" t="s">
        <v>2469</v>
      </c>
      <c r="D3416" s="91"/>
      <c r="E3416" s="41" t="str">
        <f>IFERROR(__xludf.DUMMYFUNCTION("IFNA(vlookup(D3416,IMPORTRANGE(""https://docs.google.com/spreadsheets/d/1swGwZOEqYlTEUCJLY-eeJM1911Kvaei5oySBIxdgtNo/edit?pli=1#gid=257618397"",""stock untanna!B:C""),2,false),V:V)"),"KAWAT 504 6WR")</f>
        <v>KAWAT 504 6WR</v>
      </c>
      <c r="F3416" s="49"/>
      <c r="G3416" s="71"/>
      <c r="H3416" s="41"/>
      <c r="I3416" s="42"/>
      <c r="J3416" s="85" t="s">
        <v>3190</v>
      </c>
      <c r="K3416" s="93">
        <v>6.0</v>
      </c>
      <c r="L3416" s="112" t="s">
        <v>62</v>
      </c>
      <c r="M3416" s="113">
        <v>90000.0</v>
      </c>
      <c r="N3416" s="74"/>
      <c r="O3416" s="87">
        <f t="shared" si="11"/>
        <v>540000</v>
      </c>
      <c r="P3416" s="102" t="str">
        <f t="shared" si="2"/>
        <v>Rp90,000-6 LSN-0.00%</v>
      </c>
      <c r="Q3416" s="92">
        <v>45419.0</v>
      </c>
      <c r="R3416" s="76"/>
      <c r="S3416" s="92">
        <v>45430.0</v>
      </c>
      <c r="T3416" s="49"/>
      <c r="V3416" s="21" t="s">
        <v>3293</v>
      </c>
    </row>
    <row r="3417">
      <c r="A3417" s="93">
        <v>92.0</v>
      </c>
      <c r="B3417" s="77" t="s">
        <v>29</v>
      </c>
      <c r="C3417" s="77" t="s">
        <v>3052</v>
      </c>
      <c r="D3417" s="77" t="s">
        <v>515</v>
      </c>
      <c r="E3417" s="41" t="str">
        <f>IFERROR(__xludf.DUMMYFUNCTION("IFNA(vlookup(D3417,IMPORTRANGE(""https://docs.google.com/spreadsheets/d/1swGwZOEqYlTEUCJLY-eeJM1911Kvaei5oySBIxdgtNo/edit?pli=1#gid=257618397"",""stock untanna!B:C""),2,false),V:V)"),"ASAHAN PAYU 845 KEPITING")</f>
        <v>ASAHAN PAYU 845 KEPITING</v>
      </c>
      <c r="F3417" s="49"/>
      <c r="G3417" s="71"/>
      <c r="H3417" s="41"/>
      <c r="I3417" s="42"/>
      <c r="J3417" s="85" t="s">
        <v>1319</v>
      </c>
      <c r="K3417" s="93">
        <v>1.0</v>
      </c>
      <c r="L3417" s="112" t="s">
        <v>88</v>
      </c>
      <c r="M3417" s="113">
        <v>15000.0</v>
      </c>
      <c r="N3417" s="74"/>
      <c r="O3417" s="87">
        <f t="shared" si="11"/>
        <v>15000</v>
      </c>
      <c r="P3417" s="102" t="str">
        <f t="shared" si="2"/>
        <v>Rp15,000-1 BOX-0.00%</v>
      </c>
      <c r="Q3417" s="92">
        <v>45422.0</v>
      </c>
      <c r="R3417" s="76"/>
      <c r="S3417" s="92">
        <v>45430.0</v>
      </c>
      <c r="T3417" s="49"/>
      <c r="V3417" s="21" t="s">
        <v>516</v>
      </c>
    </row>
    <row r="3418">
      <c r="A3418" s="93">
        <v>92.0</v>
      </c>
      <c r="B3418" s="77" t="s">
        <v>29</v>
      </c>
      <c r="C3418" s="77" t="s">
        <v>3052</v>
      </c>
      <c r="D3418" s="77" t="s">
        <v>1118</v>
      </c>
      <c r="E3418" s="41" t="str">
        <f>IFERROR(__xludf.DUMMYFUNCTION("IFNA(vlookup(D3418,IMPORTRANGE(""https://docs.google.com/spreadsheets/d/1swGwZOEqYlTEUCJLY-eeJM1911Kvaei5oySBIxdgtNo/edit?pli=1#gid=257618397"",""stock untanna!B:C""),2,false),V:V)"),"ASAHAN PAYU 827 ANGSA")</f>
        <v>ASAHAN PAYU 827 ANGSA</v>
      </c>
      <c r="F3418" s="49"/>
      <c r="G3418" s="71"/>
      <c r="H3418" s="41"/>
      <c r="I3418" s="42"/>
      <c r="J3418" s="85" t="s">
        <v>1319</v>
      </c>
      <c r="K3418" s="93">
        <v>1.0</v>
      </c>
      <c r="L3418" s="112" t="s">
        <v>88</v>
      </c>
      <c r="M3418" s="113">
        <v>15000.0</v>
      </c>
      <c r="N3418" s="74"/>
      <c r="O3418" s="87">
        <f t="shared" si="11"/>
        <v>15000</v>
      </c>
      <c r="P3418" s="102" t="str">
        <f t="shared" si="2"/>
        <v>Rp15,000-1 BOX-0.00%</v>
      </c>
      <c r="Q3418" s="92">
        <v>45422.0</v>
      </c>
      <c r="R3418" s="76"/>
      <c r="S3418" s="92">
        <v>45430.0</v>
      </c>
      <c r="T3418" s="49"/>
      <c r="V3418" s="21" t="s">
        <v>1119</v>
      </c>
    </row>
    <row r="3419">
      <c r="A3419" s="93">
        <v>92.0</v>
      </c>
      <c r="B3419" s="77" t="s">
        <v>29</v>
      </c>
      <c r="C3419" s="77" t="s">
        <v>3052</v>
      </c>
      <c r="D3419" s="77" t="s">
        <v>521</v>
      </c>
      <c r="E3419" s="41" t="str">
        <f>IFERROR(__xludf.DUMMYFUNCTION("IFNA(vlookup(D3419,IMPORTRANGE(""https://docs.google.com/spreadsheets/d/1swGwZOEqYlTEUCJLY-eeJM1911Kvaei5oySBIxdgtNo/edit?pli=1#gid=257618397"",""stock untanna!B:C""),2,false),V:V)"),"ASAHAN PAYU 831 IKAN")</f>
        <v>ASAHAN PAYU 831 IKAN</v>
      </c>
      <c r="F3419" s="49"/>
      <c r="G3419" s="71"/>
      <c r="H3419" s="41"/>
      <c r="I3419" s="42"/>
      <c r="J3419" s="85" t="s">
        <v>1319</v>
      </c>
      <c r="K3419" s="93">
        <v>1.0</v>
      </c>
      <c r="L3419" s="112" t="s">
        <v>88</v>
      </c>
      <c r="M3419" s="113">
        <v>15000.0</v>
      </c>
      <c r="N3419" s="74"/>
      <c r="O3419" s="87">
        <f t="shared" si="11"/>
        <v>15000</v>
      </c>
      <c r="P3419" s="102" t="str">
        <f t="shared" si="2"/>
        <v>Rp15,000-1 BOX-0.00%</v>
      </c>
      <c r="Q3419" s="92">
        <v>45422.0</v>
      </c>
      <c r="R3419" s="76"/>
      <c r="S3419" s="92">
        <v>45430.0</v>
      </c>
      <c r="T3419" s="49"/>
      <c r="V3419" s="21" t="s">
        <v>522</v>
      </c>
    </row>
    <row r="3420">
      <c r="A3420" s="93">
        <v>92.0</v>
      </c>
      <c r="B3420" s="77" t="s">
        <v>29</v>
      </c>
      <c r="C3420" s="77" t="s">
        <v>3052</v>
      </c>
      <c r="D3420" s="91"/>
      <c r="E3420" s="41" t="str">
        <f>IFERROR(__xludf.DUMMYFUNCTION("IFNA(vlookup(D3420,IMPORTRANGE(""https://docs.google.com/spreadsheets/d/1swGwZOEqYlTEUCJLY-eeJM1911Kvaei5oySBIxdgtNo/edit?pli=1#gid=257618397"",""stock untanna!B:C""),2,false),V:V)"),"ASAHAN SH 002")</f>
        <v>ASAHAN SH 002</v>
      </c>
      <c r="F3420" s="49"/>
      <c r="G3420" s="71"/>
      <c r="H3420" s="41"/>
      <c r="I3420" s="42"/>
      <c r="J3420" s="85" t="s">
        <v>3190</v>
      </c>
      <c r="K3420" s="93">
        <v>1.0</v>
      </c>
      <c r="L3420" s="112" t="s">
        <v>88</v>
      </c>
      <c r="M3420" s="113">
        <v>31500.0</v>
      </c>
      <c r="N3420" s="74"/>
      <c r="O3420" s="87">
        <f t="shared" si="11"/>
        <v>31500</v>
      </c>
      <c r="P3420" s="102" t="str">
        <f t="shared" si="2"/>
        <v>Rp31,500-1 BOX-0.00%</v>
      </c>
      <c r="Q3420" s="92">
        <v>45422.0</v>
      </c>
      <c r="R3420" s="76"/>
      <c r="S3420" s="92">
        <v>45430.0</v>
      </c>
      <c r="T3420" s="49"/>
      <c r="V3420" s="21" t="s">
        <v>3294</v>
      </c>
    </row>
    <row r="3421">
      <c r="A3421" s="93">
        <v>92.0</v>
      </c>
      <c r="B3421" s="77" t="s">
        <v>29</v>
      </c>
      <c r="C3421" s="77" t="s">
        <v>3052</v>
      </c>
      <c r="D3421" s="91"/>
      <c r="E3421" s="41" t="str">
        <f>IFERROR(__xludf.DUMMYFUNCTION("IFNA(vlookup(D3421,IMPORTRANGE(""https://docs.google.com/spreadsheets/d/1swGwZOEqYlTEUCJLY-eeJM1911Kvaei5oySBIxdgtNo/edit?pli=1#gid=257618397"",""stock untanna!B:C""),2,false),V:V)"),"ASAHAN EX 09 ESELON")</f>
        <v>ASAHAN EX 09 ESELON</v>
      </c>
      <c r="F3421" s="49"/>
      <c r="G3421" s="71"/>
      <c r="H3421" s="41"/>
      <c r="I3421" s="42"/>
      <c r="J3421" s="85" t="s">
        <v>3190</v>
      </c>
      <c r="K3421" s="93">
        <v>1.0</v>
      </c>
      <c r="L3421" s="112" t="s">
        <v>88</v>
      </c>
      <c r="M3421" s="113">
        <v>15000.0</v>
      </c>
      <c r="N3421" s="74"/>
      <c r="O3421" s="87">
        <f t="shared" si="11"/>
        <v>15000</v>
      </c>
      <c r="P3421" s="102" t="str">
        <f t="shared" si="2"/>
        <v>Rp15,000-1 BOX-0.00%</v>
      </c>
      <c r="Q3421" s="92">
        <v>45422.0</v>
      </c>
      <c r="R3421" s="76"/>
      <c r="S3421" s="92">
        <v>45430.0</v>
      </c>
      <c r="T3421" s="49"/>
      <c r="V3421" s="21" t="s">
        <v>2966</v>
      </c>
    </row>
    <row r="3422">
      <c r="A3422" s="93">
        <v>92.0</v>
      </c>
      <c r="B3422" s="77" t="s">
        <v>29</v>
      </c>
      <c r="C3422" s="77" t="s">
        <v>3052</v>
      </c>
      <c r="D3422" s="77" t="s">
        <v>2202</v>
      </c>
      <c r="E3422" s="41" t="str">
        <f>IFERROR(__xludf.DUMMYFUNCTION("IFNA(vlookup(D3422,IMPORTRANGE(""https://docs.google.com/spreadsheets/d/1swGwZOEqYlTEUCJLY-eeJM1911Kvaei5oySBIxdgtNo/edit?pli=1#gid=257618397"",""stock untanna!B:C""),2,false),V:V)"),"ASAHAN 9022")</f>
        <v>ASAHAN 9022</v>
      </c>
      <c r="F3422" s="49"/>
      <c r="G3422" s="71"/>
      <c r="H3422" s="41"/>
      <c r="I3422" s="42"/>
      <c r="J3422" s="85" t="s">
        <v>1319</v>
      </c>
      <c r="K3422" s="93">
        <v>6.0</v>
      </c>
      <c r="L3422" s="112" t="s">
        <v>69</v>
      </c>
      <c r="M3422" s="113">
        <v>18000.0</v>
      </c>
      <c r="N3422" s="74"/>
      <c r="O3422" s="87">
        <f t="shared" si="11"/>
        <v>108000</v>
      </c>
      <c r="P3422" s="102" t="str">
        <f t="shared" si="2"/>
        <v>Rp18,000-6 PCS-0.00%</v>
      </c>
      <c r="Q3422" s="92">
        <v>45422.0</v>
      </c>
      <c r="R3422" s="76"/>
      <c r="S3422" s="92">
        <v>45430.0</v>
      </c>
      <c r="T3422" s="49"/>
      <c r="V3422" s="21" t="s">
        <v>2203</v>
      </c>
    </row>
    <row r="3423">
      <c r="A3423" s="93">
        <v>92.0</v>
      </c>
      <c r="B3423" s="77" t="s">
        <v>29</v>
      </c>
      <c r="C3423" s="77" t="s">
        <v>3052</v>
      </c>
      <c r="D3423" s="91"/>
      <c r="E3423" s="41" t="str">
        <f>IFERROR(__xludf.DUMMYFUNCTION("IFNA(vlookup(D3423,IMPORTRANGE(""https://docs.google.com/spreadsheets/d/1swGwZOEqYlTEUCJLY-eeJM1911Kvaei5oySBIxdgtNo/edit?pli=1#gid=257618397"",""stock untanna!B:C""),2,false),V:V)"),"ASAHAN MEJA 5530")</f>
        <v>ASAHAN MEJA 5530</v>
      </c>
      <c r="F3423" s="49"/>
      <c r="G3423" s="71"/>
      <c r="H3423" s="41"/>
      <c r="I3423" s="42"/>
      <c r="J3423" s="85" t="s">
        <v>3190</v>
      </c>
      <c r="K3423" s="93">
        <v>6.0</v>
      </c>
      <c r="L3423" s="112" t="s">
        <v>69</v>
      </c>
      <c r="M3423" s="113">
        <v>19500.0</v>
      </c>
      <c r="N3423" s="74"/>
      <c r="O3423" s="87">
        <f t="shared" si="11"/>
        <v>117000</v>
      </c>
      <c r="P3423" s="102" t="str">
        <f t="shared" si="2"/>
        <v>Rp19,500-6 PCS-0.00%</v>
      </c>
      <c r="Q3423" s="92">
        <v>45422.0</v>
      </c>
      <c r="R3423" s="76"/>
      <c r="S3423" s="92">
        <v>45430.0</v>
      </c>
      <c r="T3423" s="49"/>
      <c r="V3423" s="21" t="s">
        <v>3295</v>
      </c>
    </row>
    <row r="3424">
      <c r="A3424" s="93">
        <v>92.0</v>
      </c>
      <c r="B3424" s="77" t="s">
        <v>29</v>
      </c>
      <c r="C3424" s="77" t="s">
        <v>3052</v>
      </c>
      <c r="D3424" s="77" t="s">
        <v>1753</v>
      </c>
      <c r="E3424" s="41" t="str">
        <f>IFERROR(__xludf.DUMMYFUNCTION("IFNA(vlookup(D3424,IMPORTRANGE(""https://docs.google.com/spreadsheets/d/1swGwZOEqYlTEUCJLY-eeJM1911Kvaei5oySBIxdgtNo/edit?pli=1#gid=257618397"",""stock untanna!B:C""),2,false),V:V)"),"ASAHAN 722B")</f>
        <v>ASAHAN 722B</v>
      </c>
      <c r="F3424" s="49"/>
      <c r="G3424" s="71"/>
      <c r="H3424" s="41"/>
      <c r="I3424" s="42"/>
      <c r="J3424" s="85" t="s">
        <v>1319</v>
      </c>
      <c r="K3424" s="93">
        <v>6.0</v>
      </c>
      <c r="L3424" s="112" t="s">
        <v>69</v>
      </c>
      <c r="M3424" s="113">
        <v>16500.0</v>
      </c>
      <c r="N3424" s="74"/>
      <c r="O3424" s="87">
        <f t="shared" si="11"/>
        <v>99000</v>
      </c>
      <c r="P3424" s="102" t="str">
        <f t="shared" si="2"/>
        <v>Rp16,500-6 PCS-0.00%</v>
      </c>
      <c r="Q3424" s="92">
        <v>45422.0</v>
      </c>
      <c r="R3424" s="76"/>
      <c r="S3424" s="92">
        <v>45430.0</v>
      </c>
      <c r="T3424" s="49"/>
      <c r="V3424" s="21" t="s">
        <v>1754</v>
      </c>
    </row>
    <row r="3425">
      <c r="A3425" s="93">
        <v>92.0</v>
      </c>
      <c r="B3425" s="77" t="s">
        <v>29</v>
      </c>
      <c r="C3425" s="77" t="s">
        <v>3052</v>
      </c>
      <c r="D3425" s="77" t="s">
        <v>3296</v>
      </c>
      <c r="E3425" s="41" t="str">
        <f>IFERROR(__xludf.DUMMYFUNCTION("IFNA(vlookup(D3425,IMPORTRANGE(""https://docs.google.com/spreadsheets/d/1swGwZOEqYlTEUCJLY-eeJM1911Kvaei5oySBIxdgtNo/edit?pli=1#gid=257618397"",""stock untanna!B:C""),2,false),V:V)"),"ASAHAN TG3086A")</f>
        <v>ASAHAN TG3086A</v>
      </c>
      <c r="F3425" s="49"/>
      <c r="G3425" s="71"/>
      <c r="H3425" s="41"/>
      <c r="I3425" s="42"/>
      <c r="J3425" s="85" t="s">
        <v>1319</v>
      </c>
      <c r="K3425" s="93">
        <v>6.0</v>
      </c>
      <c r="L3425" s="112" t="s">
        <v>69</v>
      </c>
      <c r="M3425" s="113">
        <v>18500.0</v>
      </c>
      <c r="N3425" s="74"/>
      <c r="O3425" s="87">
        <f t="shared" si="11"/>
        <v>111000</v>
      </c>
      <c r="P3425" s="102" t="str">
        <f t="shared" si="2"/>
        <v>Rp18,500-6 PCS-0.00%</v>
      </c>
      <c r="Q3425" s="92">
        <v>45422.0</v>
      </c>
      <c r="R3425" s="76"/>
      <c r="S3425" s="92">
        <v>45430.0</v>
      </c>
      <c r="T3425" s="49"/>
      <c r="V3425" s="21" t="s">
        <v>3297</v>
      </c>
    </row>
    <row r="3426">
      <c r="A3426" s="93">
        <v>92.0</v>
      </c>
      <c r="B3426" s="77" t="s">
        <v>29</v>
      </c>
      <c r="C3426" s="77" t="s">
        <v>3052</v>
      </c>
      <c r="D3426" s="77" t="s">
        <v>3298</v>
      </c>
      <c r="E3426" s="41" t="str">
        <f>IFERROR(__xludf.DUMMYFUNCTION("IFNA(vlookup(D3426,IMPORTRANGE(""https://docs.google.com/spreadsheets/d/1swGwZOEqYlTEUCJLY-eeJM1911Kvaei5oySBIxdgtNo/edit?pli=1#gid=257618397"",""stock untanna!B:C""),2,false),V:V)"),"ASAHAN 655")</f>
        <v>ASAHAN 655</v>
      </c>
      <c r="F3426" s="49"/>
      <c r="G3426" s="71"/>
      <c r="H3426" s="41"/>
      <c r="I3426" s="42"/>
      <c r="J3426" s="85" t="s">
        <v>1319</v>
      </c>
      <c r="K3426" s="93">
        <v>6.0</v>
      </c>
      <c r="L3426" s="112" t="s">
        <v>69</v>
      </c>
      <c r="M3426" s="113">
        <v>24000.0</v>
      </c>
      <c r="N3426" s="74"/>
      <c r="O3426" s="87">
        <f t="shared" si="11"/>
        <v>144000</v>
      </c>
      <c r="P3426" s="102" t="str">
        <f t="shared" si="2"/>
        <v>Rp24,000-6 PCS-0.00%</v>
      </c>
      <c r="Q3426" s="92">
        <v>45422.0</v>
      </c>
      <c r="R3426" s="76"/>
      <c r="S3426" s="92">
        <v>45430.0</v>
      </c>
      <c r="T3426" s="49"/>
      <c r="V3426" s="21" t="s">
        <v>3299</v>
      </c>
    </row>
    <row r="3427">
      <c r="A3427" s="93">
        <v>92.0</v>
      </c>
      <c r="B3427" s="77" t="s">
        <v>29</v>
      </c>
      <c r="C3427" s="77" t="s">
        <v>3052</v>
      </c>
      <c r="D3427" s="77" t="s">
        <v>3300</v>
      </c>
      <c r="E3427" s="41" t="str">
        <f>IFERROR(__xludf.DUMMYFUNCTION("IFNA(vlookup(D3427,IMPORTRANGE(""https://docs.google.com/spreadsheets/d/1swGwZOEqYlTEUCJLY-eeJM1911Kvaei5oySBIxdgtNo/edit?pli=1#gid=257618397"",""stock untanna!B:C""),2,false),V:V)"),"ASAHAN 7712")</f>
        <v>ASAHAN 7712</v>
      </c>
      <c r="F3427" s="49"/>
      <c r="G3427" s="71"/>
      <c r="H3427" s="41"/>
      <c r="I3427" s="42"/>
      <c r="J3427" s="85" t="s">
        <v>1319</v>
      </c>
      <c r="K3427" s="93">
        <v>6.0</v>
      </c>
      <c r="L3427" s="112" t="s">
        <v>69</v>
      </c>
      <c r="M3427" s="113">
        <v>18000.0</v>
      </c>
      <c r="N3427" s="74"/>
      <c r="O3427" s="87">
        <f t="shared" si="11"/>
        <v>108000</v>
      </c>
      <c r="P3427" s="102" t="str">
        <f t="shared" si="2"/>
        <v>Rp18,000-6 PCS-0.00%</v>
      </c>
      <c r="Q3427" s="92">
        <v>45422.0</v>
      </c>
      <c r="R3427" s="76"/>
      <c r="S3427" s="92">
        <v>45430.0</v>
      </c>
      <c r="T3427" s="49"/>
      <c r="V3427" s="21" t="s">
        <v>3301</v>
      </c>
    </row>
    <row r="3428">
      <c r="A3428" s="93">
        <v>92.0</v>
      </c>
      <c r="B3428" s="77" t="s">
        <v>29</v>
      </c>
      <c r="C3428" s="77" t="s">
        <v>3052</v>
      </c>
      <c r="D3428" s="77" t="s">
        <v>1328</v>
      </c>
      <c r="E3428" s="41" t="str">
        <f>IFERROR(__xludf.DUMMYFUNCTION("IFNA(vlookup(D3428,IMPORTRANGE(""https://docs.google.com/spreadsheets/d/1swGwZOEqYlTEUCJLY-eeJM1911Kvaei5oySBIxdgtNo/edit?pli=1#gid=257618397"",""stock untanna!B:C""),2,false),V:V)"),"ASAHAN 007")</f>
        <v>ASAHAN 007</v>
      </c>
      <c r="F3428" s="49"/>
      <c r="G3428" s="71"/>
      <c r="H3428" s="41"/>
      <c r="I3428" s="42"/>
      <c r="J3428" s="85" t="s">
        <v>1319</v>
      </c>
      <c r="K3428" s="93">
        <v>6.0</v>
      </c>
      <c r="L3428" s="112" t="s">
        <v>69</v>
      </c>
      <c r="M3428" s="113">
        <v>27500.0</v>
      </c>
      <c r="N3428" s="74"/>
      <c r="O3428" s="87">
        <f t="shared" si="11"/>
        <v>165000</v>
      </c>
      <c r="P3428" s="102" t="str">
        <f t="shared" si="2"/>
        <v>Rp27,500-6 PCS-0.00%</v>
      </c>
      <c r="Q3428" s="92">
        <v>45422.0</v>
      </c>
      <c r="R3428" s="76"/>
      <c r="S3428" s="92">
        <v>45430.0</v>
      </c>
      <c r="T3428" s="49"/>
      <c r="V3428" s="21" t="s">
        <v>1329</v>
      </c>
    </row>
    <row r="3429">
      <c r="A3429" s="93">
        <v>92.0</v>
      </c>
      <c r="B3429" s="77" t="s">
        <v>29</v>
      </c>
      <c r="C3429" s="77" t="s">
        <v>3052</v>
      </c>
      <c r="D3429" s="77" t="s">
        <v>3302</v>
      </c>
      <c r="E3429" s="41" t="str">
        <f>IFERROR(__xludf.DUMMYFUNCTION("IFNA(vlookup(D3429,IMPORTRANGE(""https://docs.google.com/spreadsheets/d/1swGwZOEqYlTEUCJLY-eeJM1911Kvaei5oySBIxdgtNo/edit?pli=1#gid=257618397"",""stock untanna!B:C""),2,false),V:V)"),"ASAHAN 906")</f>
        <v>ASAHAN 906</v>
      </c>
      <c r="F3429" s="49"/>
      <c r="G3429" s="71"/>
      <c r="H3429" s="41"/>
      <c r="I3429" s="42"/>
      <c r="J3429" s="85" t="s">
        <v>1319</v>
      </c>
      <c r="K3429" s="93">
        <v>6.0</v>
      </c>
      <c r="L3429" s="112" t="s">
        <v>69</v>
      </c>
      <c r="M3429" s="113">
        <v>19500.0</v>
      </c>
      <c r="N3429" s="74"/>
      <c r="O3429" s="87">
        <f t="shared" si="11"/>
        <v>117000</v>
      </c>
      <c r="P3429" s="102" t="str">
        <f t="shared" si="2"/>
        <v>Rp19,500-6 PCS-0.00%</v>
      </c>
      <c r="Q3429" s="92">
        <v>45422.0</v>
      </c>
      <c r="R3429" s="76"/>
      <c r="S3429" s="92">
        <v>45430.0</v>
      </c>
      <c r="T3429" s="49"/>
      <c r="V3429" s="21" t="s">
        <v>3303</v>
      </c>
    </row>
    <row r="3430">
      <c r="A3430" s="93">
        <v>92.0</v>
      </c>
      <c r="B3430" s="77" t="s">
        <v>29</v>
      </c>
      <c r="C3430" s="77" t="s">
        <v>3052</v>
      </c>
      <c r="D3430" s="77" t="s">
        <v>3304</v>
      </c>
      <c r="E3430" s="41" t="str">
        <f>IFERROR(__xludf.DUMMYFUNCTION("IFNA(vlookup(D3430,IMPORTRANGE(""https://docs.google.com/spreadsheets/d/1swGwZOEqYlTEUCJLY-eeJM1911Kvaei5oySBIxdgtNo/edit?pli=1#gid=257618397"",""stock untanna!B:C""),2,false),V:V)"),"ASAHAN 814")</f>
        <v>ASAHAN 814</v>
      </c>
      <c r="F3430" s="49"/>
      <c r="G3430" s="71"/>
      <c r="H3430" s="41"/>
      <c r="I3430" s="42"/>
      <c r="J3430" s="85" t="s">
        <v>1319</v>
      </c>
      <c r="K3430" s="93">
        <v>6.0</v>
      </c>
      <c r="L3430" s="112" t="s">
        <v>69</v>
      </c>
      <c r="M3430" s="113">
        <v>25000.0</v>
      </c>
      <c r="N3430" s="74"/>
      <c r="O3430" s="87">
        <f t="shared" si="11"/>
        <v>150000</v>
      </c>
      <c r="P3430" s="102" t="str">
        <f t="shared" si="2"/>
        <v>Rp25,000-6 PCS-0.00%</v>
      </c>
      <c r="Q3430" s="92">
        <v>45422.0</v>
      </c>
      <c r="R3430" s="76"/>
      <c r="S3430" s="92">
        <v>45430.0</v>
      </c>
      <c r="T3430" s="49"/>
      <c r="V3430" s="21" t="s">
        <v>3305</v>
      </c>
    </row>
    <row r="3431">
      <c r="A3431" s="93">
        <v>92.0</v>
      </c>
      <c r="B3431" s="77" t="s">
        <v>29</v>
      </c>
      <c r="C3431" s="77" t="s">
        <v>3052</v>
      </c>
      <c r="D3431" s="77" t="s">
        <v>505</v>
      </c>
      <c r="E3431" s="41" t="str">
        <f>IFERROR(__xludf.DUMMYFUNCTION("IFNA(vlookup(D3431,IMPORTRANGE(""https://docs.google.com/spreadsheets/d/1swGwZOEqYlTEUCJLY-eeJM1911Kvaei5oySBIxdgtNo/edit?pli=1#gid=257618397"",""stock untanna!B:C""),2,false),V:V)"),"CUTTER TACO 88 BESAR")</f>
        <v>CUTTER TACO 88 BESAR</v>
      </c>
      <c r="F3431" s="49"/>
      <c r="G3431" s="71"/>
      <c r="H3431" s="41"/>
      <c r="I3431" s="42"/>
      <c r="J3431" s="85" t="s">
        <v>1319</v>
      </c>
      <c r="K3431" s="93">
        <v>2.0</v>
      </c>
      <c r="L3431" s="112" t="s">
        <v>62</v>
      </c>
      <c r="M3431" s="113">
        <v>35000.0</v>
      </c>
      <c r="N3431" s="74"/>
      <c r="O3431" s="87">
        <f t="shared" si="11"/>
        <v>70000</v>
      </c>
      <c r="P3431" s="102" t="str">
        <f t="shared" si="2"/>
        <v>Rp35,000-2 LSN-0.00%</v>
      </c>
      <c r="Q3431" s="92">
        <v>45422.0</v>
      </c>
      <c r="R3431" s="76"/>
      <c r="S3431" s="92">
        <v>45430.0</v>
      </c>
      <c r="T3431" s="49"/>
      <c r="V3431" s="21" t="s">
        <v>506</v>
      </c>
    </row>
    <row r="3432">
      <c r="A3432" s="93">
        <v>92.0</v>
      </c>
      <c r="B3432" s="77" t="s">
        <v>29</v>
      </c>
      <c r="C3432" s="77" t="s">
        <v>3052</v>
      </c>
      <c r="D3432" s="77" t="s">
        <v>503</v>
      </c>
      <c r="E3432" s="41" t="str">
        <f>IFERROR(__xludf.DUMMYFUNCTION("IFNA(vlookup(D3432,IMPORTRANGE(""https://docs.google.com/spreadsheets/d/1swGwZOEqYlTEUCJLY-eeJM1911Kvaei5oySBIxdgtNo/edit?pli=1#gid=257618397"",""stock untanna!B:C""),2,false),V:V)"),"CUTTER TACO 78 KECIL TRANSPARAN")</f>
        <v>CUTTER TACO 78 KECIL TRANSPARAN</v>
      </c>
      <c r="F3432" s="49"/>
      <c r="G3432" s="71"/>
      <c r="H3432" s="41"/>
      <c r="I3432" s="42"/>
      <c r="J3432" s="85" t="s">
        <v>1319</v>
      </c>
      <c r="K3432" s="93">
        <v>1.0</v>
      </c>
      <c r="L3432" s="112" t="s">
        <v>62</v>
      </c>
      <c r="M3432" s="113">
        <v>25000.0</v>
      </c>
      <c r="N3432" s="74"/>
      <c r="O3432" s="87">
        <f t="shared" si="11"/>
        <v>25000</v>
      </c>
      <c r="P3432" s="102" t="str">
        <f t="shared" si="2"/>
        <v>Rp25,000-1 LSN-0.00%</v>
      </c>
      <c r="Q3432" s="92">
        <v>45422.0</v>
      </c>
      <c r="R3432" s="76"/>
      <c r="S3432" s="92">
        <v>45430.0</v>
      </c>
      <c r="T3432" s="49"/>
      <c r="V3432" s="21" t="s">
        <v>504</v>
      </c>
    </row>
    <row r="3433">
      <c r="A3433" s="93">
        <v>91.0</v>
      </c>
      <c r="B3433" s="77" t="s">
        <v>29</v>
      </c>
      <c r="C3433" s="77" t="s">
        <v>3052</v>
      </c>
      <c r="D3433" s="77" t="s">
        <v>3306</v>
      </c>
      <c r="E3433" s="41" t="str">
        <f>IFERROR(__xludf.DUMMYFUNCTION("IFNA(vlookup(D3433,IMPORTRANGE(""https://docs.google.com/spreadsheets/d/1swGwZOEqYlTEUCJLY-eeJM1911Kvaei5oySBIxdgtNo/edit?pli=1#gid=257618397"",""stock untanna!B:C""),2,false),V:V)"),"ASAHAN 103 PH (1X24)")</f>
        <v>ASAHAN 103 PH (1X24)</v>
      </c>
      <c r="F3433" s="49"/>
      <c r="G3433" s="71"/>
      <c r="H3433" s="41"/>
      <c r="I3433" s="42"/>
      <c r="J3433" s="85" t="s">
        <v>1319</v>
      </c>
      <c r="K3433" s="93">
        <v>1.0</v>
      </c>
      <c r="L3433" s="112" t="s">
        <v>88</v>
      </c>
      <c r="M3433" s="113">
        <v>50000.0</v>
      </c>
      <c r="N3433" s="74"/>
      <c r="O3433" s="87">
        <f t="shared" si="11"/>
        <v>50000</v>
      </c>
      <c r="P3433" s="102" t="str">
        <f t="shared" si="2"/>
        <v>Rp50,000-1 BOX-0.00%</v>
      </c>
      <c r="Q3433" s="92">
        <v>45422.0</v>
      </c>
      <c r="R3433" s="114">
        <v>45420.0</v>
      </c>
      <c r="S3433" s="92">
        <v>45430.0</v>
      </c>
      <c r="T3433" s="49"/>
      <c r="V3433" s="21" t="s">
        <v>3307</v>
      </c>
    </row>
    <row r="3434">
      <c r="A3434" s="93">
        <v>91.0</v>
      </c>
      <c r="B3434" s="77" t="s">
        <v>29</v>
      </c>
      <c r="C3434" s="77" t="s">
        <v>3052</v>
      </c>
      <c r="D3434" s="77" t="s">
        <v>1056</v>
      </c>
      <c r="E3434" s="41" t="str">
        <f>IFERROR(__xludf.DUMMYFUNCTION("IFNA(vlookup(D3434,IMPORTRANGE(""https://docs.google.com/spreadsheets/d/1swGwZOEqYlTEUCJLY-eeJM1911Kvaei5oySBIxdgtNo/edit?pli=1#gid=257618397"",""stock untanna!B:C""),2,false),V:V)"),"ASAHAN 344")</f>
        <v>ASAHAN 344</v>
      </c>
      <c r="F3434" s="49"/>
      <c r="G3434" s="71"/>
      <c r="H3434" s="41"/>
      <c r="I3434" s="42"/>
      <c r="J3434" s="85" t="s">
        <v>1319</v>
      </c>
      <c r="K3434" s="93">
        <v>1.0</v>
      </c>
      <c r="L3434" s="112" t="s">
        <v>88</v>
      </c>
      <c r="M3434" s="113">
        <v>75000.0</v>
      </c>
      <c r="N3434" s="74"/>
      <c r="O3434" s="87">
        <f t="shared" si="11"/>
        <v>75000</v>
      </c>
      <c r="P3434" s="102" t="str">
        <f t="shared" si="2"/>
        <v>Rp75,000-1 BOX-0.00%</v>
      </c>
      <c r="Q3434" s="92">
        <v>45422.0</v>
      </c>
      <c r="R3434" s="114">
        <v>45420.0</v>
      </c>
      <c r="S3434" s="92">
        <v>45430.0</v>
      </c>
      <c r="T3434" s="49"/>
      <c r="V3434" s="21" t="s">
        <v>1057</v>
      </c>
    </row>
    <row r="3435">
      <c r="A3435" s="93">
        <v>91.0</v>
      </c>
      <c r="B3435" s="77" t="s">
        <v>29</v>
      </c>
      <c r="C3435" s="77" t="s">
        <v>3052</v>
      </c>
      <c r="D3435" s="77" t="s">
        <v>1058</v>
      </c>
      <c r="E3435" s="41" t="str">
        <f>IFERROR(__xludf.DUMMYFUNCTION("IFNA(vlookup(D3435,IMPORTRANGE(""https://docs.google.com/spreadsheets/d/1swGwZOEqYlTEUCJLY-eeJM1911Kvaei5oySBIxdgtNo/edit?pli=1#gid=257618397"",""stock untanna!B:C""),2,false),V:V)"),"ASAHAN 371")</f>
        <v>ASAHAN 371</v>
      </c>
      <c r="F3435" s="49"/>
      <c r="G3435" s="71"/>
      <c r="H3435" s="41"/>
      <c r="I3435" s="42"/>
      <c r="J3435" s="85" t="s">
        <v>1319</v>
      </c>
      <c r="K3435" s="93">
        <v>36.0</v>
      </c>
      <c r="L3435" s="112" t="s">
        <v>69</v>
      </c>
      <c r="M3435" s="113">
        <v>2083.33</v>
      </c>
      <c r="N3435" s="74"/>
      <c r="O3435" s="87">
        <f t="shared" si="11"/>
        <v>74999.88</v>
      </c>
      <c r="P3435" s="102" t="str">
        <f t="shared" si="2"/>
        <v>Rp2,083-36 PCS-0.00%</v>
      </c>
      <c r="Q3435" s="92">
        <v>45422.0</v>
      </c>
      <c r="R3435" s="114">
        <v>45420.0</v>
      </c>
      <c r="S3435" s="92">
        <v>45430.0</v>
      </c>
      <c r="T3435" s="49"/>
      <c r="V3435" s="21" t="s">
        <v>1059</v>
      </c>
    </row>
    <row r="3436">
      <c r="A3436" s="93">
        <v>91.0</v>
      </c>
      <c r="B3436" s="77" t="s">
        <v>29</v>
      </c>
      <c r="C3436" s="77" t="s">
        <v>3052</v>
      </c>
      <c r="D3436" s="77" t="s">
        <v>1751</v>
      </c>
      <c r="E3436" s="41" t="str">
        <f>IFERROR(__xludf.DUMMYFUNCTION("IFNA(vlookup(D3436,IMPORTRANGE(""https://docs.google.com/spreadsheets/d/1swGwZOEqYlTEUCJLY-eeJM1911Kvaei5oySBIxdgtNo/edit?pli=1#gid=257618397"",""stock untanna!B:C""),2,false),V:V)"),"ASAHAN DMS 030")</f>
        <v>ASAHAN DMS 030</v>
      </c>
      <c r="F3436" s="49"/>
      <c r="G3436" s="71"/>
      <c r="H3436" s="41"/>
      <c r="I3436" s="42"/>
      <c r="J3436" s="85" t="s">
        <v>1319</v>
      </c>
      <c r="K3436" s="93">
        <v>1.0</v>
      </c>
      <c r="L3436" s="112" t="s">
        <v>88</v>
      </c>
      <c r="M3436" s="113">
        <v>79500.0</v>
      </c>
      <c r="N3436" s="74"/>
      <c r="O3436" s="87">
        <f t="shared" si="11"/>
        <v>79500</v>
      </c>
      <c r="P3436" s="102" t="str">
        <f t="shared" si="2"/>
        <v>Rp79,500-1 BOX-0.00%</v>
      </c>
      <c r="Q3436" s="92">
        <v>45422.0</v>
      </c>
      <c r="R3436" s="114">
        <v>45420.0</v>
      </c>
      <c r="S3436" s="92">
        <v>45430.0</v>
      </c>
      <c r="T3436" s="49"/>
      <c r="V3436" s="21" t="s">
        <v>1752</v>
      </c>
    </row>
    <row r="3437">
      <c r="A3437" s="93">
        <v>91.0</v>
      </c>
      <c r="B3437" s="77" t="s">
        <v>29</v>
      </c>
      <c r="C3437" s="77" t="s">
        <v>3052</v>
      </c>
      <c r="D3437" s="91"/>
      <c r="E3437" s="41" t="str">
        <f>IFERROR(__xludf.DUMMYFUNCTION("IFNA(vlookup(D3437,IMPORTRANGE(""https://docs.google.com/spreadsheets/d/1swGwZOEqYlTEUCJLY-eeJM1911Kvaei5oySBIxdgtNo/edit?pli=1#gid=257618397"",""stock untanna!B:C""),2,false),V:V)"),"ASAHAN KM 9105 F/ FR")</f>
        <v>ASAHAN KM 9105 F/ FR</v>
      </c>
      <c r="F3437" s="49"/>
      <c r="G3437" s="71"/>
      <c r="H3437" s="41"/>
      <c r="I3437" s="42"/>
      <c r="J3437" s="85" t="s">
        <v>1319</v>
      </c>
      <c r="K3437" s="93">
        <v>2.0</v>
      </c>
      <c r="L3437" s="112" t="s">
        <v>62</v>
      </c>
      <c r="M3437" s="113">
        <v>37000.0</v>
      </c>
      <c r="N3437" s="74"/>
      <c r="O3437" s="87">
        <f t="shared" si="11"/>
        <v>74000</v>
      </c>
      <c r="P3437" s="102" t="str">
        <f t="shared" si="2"/>
        <v>Rp37,000-2 LSN-0.00%</v>
      </c>
      <c r="Q3437" s="92">
        <v>45422.0</v>
      </c>
      <c r="R3437" s="114">
        <v>45420.0</v>
      </c>
      <c r="S3437" s="92">
        <v>45430.0</v>
      </c>
      <c r="T3437" s="77" t="s">
        <v>280</v>
      </c>
      <c r="V3437" s="21" t="s">
        <v>3308</v>
      </c>
    </row>
    <row r="3438">
      <c r="A3438" s="93">
        <v>91.0</v>
      </c>
      <c r="B3438" s="77" t="s">
        <v>29</v>
      </c>
      <c r="C3438" s="77" t="s">
        <v>3052</v>
      </c>
      <c r="D3438" s="77" t="s">
        <v>1745</v>
      </c>
      <c r="E3438" s="41" t="str">
        <f>IFERROR(__xludf.DUMMYFUNCTION("IFNA(vlookup(D3438,IMPORTRANGE(""https://docs.google.com/spreadsheets/d/1swGwZOEqYlTEUCJLY-eeJM1911Kvaei5oySBIxdgtNo/edit?pli=1#gid=257618397"",""stock untanna!B:C""),2,false),V:V)"),"ASAHAN XXY-1868")</f>
        <v>ASAHAN XXY-1868</v>
      </c>
      <c r="F3438" s="49"/>
      <c r="G3438" s="71"/>
      <c r="H3438" s="41"/>
      <c r="I3438" s="42"/>
      <c r="J3438" s="85" t="s">
        <v>1319</v>
      </c>
      <c r="K3438" s="93">
        <v>42.0</v>
      </c>
      <c r="L3438" s="112" t="s">
        <v>69</v>
      </c>
      <c r="M3438" s="113">
        <v>2250.0</v>
      </c>
      <c r="N3438" s="74"/>
      <c r="O3438" s="87">
        <f t="shared" si="11"/>
        <v>94500</v>
      </c>
      <c r="P3438" s="102" t="str">
        <f t="shared" si="2"/>
        <v>Rp2,250-42 PCS-0.00%</v>
      </c>
      <c r="Q3438" s="92">
        <v>45422.0</v>
      </c>
      <c r="R3438" s="114">
        <v>45420.0</v>
      </c>
      <c r="S3438" s="92">
        <v>45430.0</v>
      </c>
      <c r="T3438" s="49"/>
      <c r="V3438" s="21" t="s">
        <v>1746</v>
      </c>
    </row>
    <row r="3439">
      <c r="A3439" s="93">
        <v>91.0</v>
      </c>
      <c r="B3439" s="77" t="s">
        <v>29</v>
      </c>
      <c r="C3439" s="77" t="s">
        <v>3052</v>
      </c>
      <c r="D3439" s="77" t="s">
        <v>3309</v>
      </c>
      <c r="E3439" s="41" t="str">
        <f>IFERROR(__xludf.DUMMYFUNCTION("IFNA(vlookup(D3439,IMPORTRANGE(""https://docs.google.com/spreadsheets/d/1swGwZOEqYlTEUCJLY-eeJM1911Kvaei5oySBIxdgtNo/edit?pli=1#gid=257618397"",""stock untanna!B:C""),2,false),V:V)"),"ASAHAN TOPLES TR 385 HIPPO (54)")</f>
        <v>ASAHAN TOPLES TR 385 HIPPO (54)</v>
      </c>
      <c r="F3439" s="49"/>
      <c r="G3439" s="71"/>
      <c r="H3439" s="41"/>
      <c r="I3439" s="42"/>
      <c r="J3439" s="85" t="s">
        <v>1319</v>
      </c>
      <c r="K3439" s="93">
        <v>1.0</v>
      </c>
      <c r="L3439" s="112" t="s">
        <v>88</v>
      </c>
      <c r="M3439" s="113">
        <v>54000.0</v>
      </c>
      <c r="N3439" s="74"/>
      <c r="O3439" s="87">
        <f t="shared" si="11"/>
        <v>54000</v>
      </c>
      <c r="P3439" s="102" t="str">
        <f t="shared" si="2"/>
        <v>Rp54,000-1 BOX-0.00%</v>
      </c>
      <c r="Q3439" s="92">
        <v>45422.0</v>
      </c>
      <c r="R3439" s="114">
        <v>45420.0</v>
      </c>
      <c r="S3439" s="92">
        <v>45430.0</v>
      </c>
      <c r="T3439" s="49"/>
      <c r="V3439" s="21" t="s">
        <v>3310</v>
      </c>
    </row>
    <row r="3440">
      <c r="A3440" s="93">
        <v>91.0</v>
      </c>
      <c r="B3440" s="77" t="s">
        <v>29</v>
      </c>
      <c r="C3440" s="77" t="s">
        <v>3052</v>
      </c>
      <c r="D3440" s="77" t="s">
        <v>1122</v>
      </c>
      <c r="E3440" s="41" t="str">
        <f>IFERROR(__xludf.DUMMYFUNCTION("IFNA(vlookup(D3440,IMPORTRANGE(""https://docs.google.com/spreadsheets/d/1swGwZOEqYlTEUCJLY-eeJM1911Kvaei5oySBIxdgtNo/edit?pli=1#gid=257618397"",""stock untanna!B:C""),2,false),V:V)"),"ASAHAN 8810")</f>
        <v>ASAHAN 8810</v>
      </c>
      <c r="F3440" s="49"/>
      <c r="G3440" s="71"/>
      <c r="H3440" s="41"/>
      <c r="I3440" s="42"/>
      <c r="J3440" s="85" t="s">
        <v>1319</v>
      </c>
      <c r="K3440" s="93">
        <v>72.0</v>
      </c>
      <c r="L3440" s="112" t="s">
        <v>69</v>
      </c>
      <c r="M3440" s="113">
        <v>2250.0</v>
      </c>
      <c r="N3440" s="74"/>
      <c r="O3440" s="87">
        <f t="shared" si="11"/>
        <v>162000</v>
      </c>
      <c r="P3440" s="102" t="str">
        <f t="shared" si="2"/>
        <v>Rp2,250-72 PCS-0.00%</v>
      </c>
      <c r="Q3440" s="92">
        <v>45422.0</v>
      </c>
      <c r="R3440" s="114">
        <v>45420.0</v>
      </c>
      <c r="S3440" s="92">
        <v>45430.0</v>
      </c>
      <c r="T3440" s="49"/>
      <c r="V3440" s="21" t="s">
        <v>1123</v>
      </c>
    </row>
    <row r="3441">
      <c r="A3441" s="93">
        <v>91.0</v>
      </c>
      <c r="B3441" s="77" t="s">
        <v>29</v>
      </c>
      <c r="C3441" s="77" t="s">
        <v>3052</v>
      </c>
      <c r="D3441" s="77" t="s">
        <v>3311</v>
      </c>
      <c r="E3441" s="41" t="str">
        <f>IFERROR(__xludf.DUMMYFUNCTION("IFNA(vlookup(D3441,IMPORTRANGE(""https://docs.google.com/spreadsheets/d/1swGwZOEqYlTEUCJLY-eeJM1911Kvaei5oySBIxdgtNo/edit?pli=1#gid=257618397"",""stock untanna!B:C""),2,false),V:V)"),"ASAHAN UC-128A")</f>
        <v>ASAHAN UC-128A</v>
      </c>
      <c r="F3441" s="49"/>
      <c r="G3441" s="71"/>
      <c r="H3441" s="41"/>
      <c r="I3441" s="42"/>
      <c r="J3441" s="85" t="s">
        <v>1319</v>
      </c>
      <c r="K3441" s="93">
        <v>58.0</v>
      </c>
      <c r="L3441" s="112" t="s">
        <v>69</v>
      </c>
      <c r="M3441" s="113">
        <v>2250.0</v>
      </c>
      <c r="N3441" s="74"/>
      <c r="O3441" s="87">
        <f t="shared" si="11"/>
        <v>130500</v>
      </c>
      <c r="P3441" s="102" t="str">
        <f t="shared" si="2"/>
        <v>Rp2,250-58 PCS-0.00%</v>
      </c>
      <c r="Q3441" s="92">
        <v>45422.0</v>
      </c>
      <c r="R3441" s="114">
        <v>45420.0</v>
      </c>
      <c r="S3441" s="92">
        <v>45430.0</v>
      </c>
      <c r="T3441" s="49"/>
      <c r="V3441" s="21" t="s">
        <v>3312</v>
      </c>
    </row>
    <row r="3442">
      <c r="A3442" s="93">
        <v>91.0</v>
      </c>
      <c r="B3442" s="77" t="s">
        <v>29</v>
      </c>
      <c r="C3442" s="77" t="s">
        <v>3052</v>
      </c>
      <c r="D3442" s="77" t="s">
        <v>1060</v>
      </c>
      <c r="E3442" s="41" t="str">
        <f>IFERROR(__xludf.DUMMYFUNCTION("IFNA(vlookup(D3442,IMPORTRANGE(""https://docs.google.com/spreadsheets/d/1swGwZOEqYlTEUCJLY-eeJM1911Kvaei5oySBIxdgtNo/edit?pli=1#gid=257618397"",""stock untanna!B:C""),2,false),V:V)"),"ASAHAN HIPPO X357")</f>
        <v>ASAHAN HIPPO X357</v>
      </c>
      <c r="F3442" s="49"/>
      <c r="G3442" s="71"/>
      <c r="H3442" s="41"/>
      <c r="I3442" s="42"/>
      <c r="J3442" s="85" t="s">
        <v>1319</v>
      </c>
      <c r="K3442" s="93">
        <v>3.0</v>
      </c>
      <c r="L3442" s="112" t="s">
        <v>62</v>
      </c>
      <c r="M3442" s="113">
        <v>25000.0</v>
      </c>
      <c r="N3442" s="74"/>
      <c r="O3442" s="87">
        <f t="shared" si="11"/>
        <v>75000</v>
      </c>
      <c r="P3442" s="102" t="str">
        <f t="shared" si="2"/>
        <v>Rp25,000-3 LSN-0.00%</v>
      </c>
      <c r="Q3442" s="92">
        <v>45422.0</v>
      </c>
      <c r="R3442" s="114">
        <v>45420.0</v>
      </c>
      <c r="S3442" s="92">
        <v>45430.0</v>
      </c>
      <c r="T3442" s="49"/>
      <c r="V3442" s="21" t="s">
        <v>1061</v>
      </c>
    </row>
    <row r="3443">
      <c r="A3443" s="93">
        <v>91.0</v>
      </c>
      <c r="B3443" s="77" t="s">
        <v>29</v>
      </c>
      <c r="C3443" s="77" t="s">
        <v>3052</v>
      </c>
      <c r="D3443" s="77" t="s">
        <v>3313</v>
      </c>
      <c r="E3443" s="41" t="str">
        <f>IFERROR(__xludf.DUMMYFUNCTION("IFNA(vlookup(D3443,IMPORTRANGE(""https://docs.google.com/spreadsheets/d/1swGwZOEqYlTEUCJLY-eeJM1911Kvaei5oySBIxdgtNo/edit?pli=1#gid=257618397"",""stock untanna!B:C""),2,false),V:V)"),"ASAHAN 888 H (24)")</f>
        <v>ASAHAN 888 H (24)</v>
      </c>
      <c r="F3443" s="49"/>
      <c r="G3443" s="71"/>
      <c r="H3443" s="41"/>
      <c r="I3443" s="42"/>
      <c r="J3443" s="85" t="s">
        <v>1319</v>
      </c>
      <c r="K3443" s="93">
        <v>1.0</v>
      </c>
      <c r="L3443" s="112" t="s">
        <v>88</v>
      </c>
      <c r="M3443" s="113">
        <v>45000.0</v>
      </c>
      <c r="N3443" s="74"/>
      <c r="O3443" s="87">
        <f t="shared" si="11"/>
        <v>45000</v>
      </c>
      <c r="P3443" s="102" t="str">
        <f t="shared" si="2"/>
        <v>Rp45,000-1 BOX-0.00%</v>
      </c>
      <c r="Q3443" s="92">
        <v>45422.0</v>
      </c>
      <c r="R3443" s="114">
        <v>45420.0</v>
      </c>
      <c r="S3443" s="92">
        <v>45430.0</v>
      </c>
      <c r="T3443" s="49"/>
      <c r="V3443" s="21" t="s">
        <v>3314</v>
      </c>
    </row>
    <row r="3444">
      <c r="A3444" s="93">
        <v>91.0</v>
      </c>
      <c r="B3444" s="77" t="s">
        <v>29</v>
      </c>
      <c r="C3444" s="77" t="s">
        <v>3052</v>
      </c>
      <c r="D3444" s="91"/>
      <c r="E3444" s="41" t="str">
        <f>IFERROR(__xludf.DUMMYFUNCTION("IFNA(vlookup(D3444,IMPORTRANGE(""https://docs.google.com/spreadsheets/d/1swGwZOEqYlTEUCJLY-eeJM1911Kvaei5oySBIxdgtNo/edit?pli=1#gid=257618397"",""stock untanna!B:C""),2,false),V:V)"),"ASAHAN 888 J")</f>
        <v>ASAHAN 888 J</v>
      </c>
      <c r="F3444" s="49"/>
      <c r="G3444" s="71"/>
      <c r="H3444" s="41"/>
      <c r="I3444" s="42"/>
      <c r="J3444" s="85" t="s">
        <v>3190</v>
      </c>
      <c r="K3444" s="93">
        <v>1.0</v>
      </c>
      <c r="L3444" s="112" t="s">
        <v>88</v>
      </c>
      <c r="M3444" s="113">
        <v>45000.0</v>
      </c>
      <c r="N3444" s="74"/>
      <c r="O3444" s="87">
        <f t="shared" si="11"/>
        <v>45000</v>
      </c>
      <c r="P3444" s="102" t="str">
        <f t="shared" si="2"/>
        <v>Rp45,000-1 BOX-0.00%</v>
      </c>
      <c r="Q3444" s="92">
        <v>45422.0</v>
      </c>
      <c r="R3444" s="114">
        <v>45420.0</v>
      </c>
      <c r="S3444" s="92">
        <v>45430.0</v>
      </c>
      <c r="T3444" s="49"/>
      <c r="V3444" s="21" t="s">
        <v>3315</v>
      </c>
    </row>
    <row r="3445">
      <c r="A3445" s="93">
        <v>91.0</v>
      </c>
      <c r="B3445" s="77" t="s">
        <v>29</v>
      </c>
      <c r="C3445" s="77" t="s">
        <v>3052</v>
      </c>
      <c r="D3445" s="77" t="s">
        <v>1088</v>
      </c>
      <c r="E3445" s="41" t="str">
        <f>IFERROR(__xludf.DUMMYFUNCTION("IFNA(vlookup(D3445,IMPORTRANGE(""https://docs.google.com/spreadsheets/d/1swGwZOEqYlTEUCJLY-eeJM1911Kvaei5oySBIxdgtNo/edit?pli=1#gid=257618397"",""stock untanna!B:C""),2,false),V:V)"),"ASAHAN TOPLES GOLDEN (24)")</f>
        <v>ASAHAN TOPLES GOLDEN (24)</v>
      </c>
      <c r="F3445" s="49"/>
      <c r="G3445" s="71"/>
      <c r="H3445" s="41"/>
      <c r="I3445" s="42"/>
      <c r="J3445" s="85" t="s">
        <v>1319</v>
      </c>
      <c r="K3445" s="93">
        <v>1.0</v>
      </c>
      <c r="L3445" s="112" t="s">
        <v>88</v>
      </c>
      <c r="M3445" s="113">
        <v>15000.0</v>
      </c>
      <c r="N3445" s="74"/>
      <c r="O3445" s="87">
        <f t="shared" si="11"/>
        <v>15000</v>
      </c>
      <c r="P3445" s="102" t="str">
        <f t="shared" si="2"/>
        <v>Rp15,000-1 BOX-0.00%</v>
      </c>
      <c r="Q3445" s="92">
        <v>45422.0</v>
      </c>
      <c r="R3445" s="114">
        <v>45420.0</v>
      </c>
      <c r="S3445" s="92">
        <v>45430.0</v>
      </c>
      <c r="T3445" s="49"/>
      <c r="V3445" s="21" t="s">
        <v>1089</v>
      </c>
    </row>
    <row r="3446">
      <c r="A3446" s="93">
        <v>91.0</v>
      </c>
      <c r="B3446" s="77" t="s">
        <v>29</v>
      </c>
      <c r="C3446" s="77" t="s">
        <v>3052</v>
      </c>
      <c r="D3446" s="77" t="s">
        <v>3316</v>
      </c>
      <c r="E3446" s="41" t="str">
        <f>IFERROR(__xludf.DUMMYFUNCTION("IFNA(vlookup(D3446,IMPORTRANGE(""https://docs.google.com/spreadsheets/d/1swGwZOEqYlTEUCJLY-eeJM1911Kvaei5oySBIxdgtNo/edit?pli=1#gid=257618397"",""stock untanna!B:C""),2,false),V:V)"),"ASAHAN DY 393 B")</f>
        <v>ASAHAN DY 393 B</v>
      </c>
      <c r="F3446" s="49"/>
      <c r="G3446" s="71"/>
      <c r="H3446" s="41"/>
      <c r="I3446" s="42"/>
      <c r="J3446" s="85" t="s">
        <v>1319</v>
      </c>
      <c r="K3446" s="93">
        <v>1.0</v>
      </c>
      <c r="L3446" s="112" t="s">
        <v>62</v>
      </c>
      <c r="M3446" s="113">
        <v>22500.0</v>
      </c>
      <c r="N3446" s="74"/>
      <c r="O3446" s="87">
        <f t="shared" si="11"/>
        <v>22500</v>
      </c>
      <c r="P3446" s="102" t="str">
        <f t="shared" si="2"/>
        <v>Rp22,500-1 LSN-0.00%</v>
      </c>
      <c r="Q3446" s="92">
        <v>45422.0</v>
      </c>
      <c r="R3446" s="114">
        <v>45420.0</v>
      </c>
      <c r="S3446" s="92">
        <v>45430.0</v>
      </c>
      <c r="T3446" s="77" t="s">
        <v>100</v>
      </c>
      <c r="V3446" s="21" t="s">
        <v>3317</v>
      </c>
    </row>
    <row r="3447">
      <c r="A3447" s="93">
        <v>91.0</v>
      </c>
      <c r="B3447" s="77" t="s">
        <v>29</v>
      </c>
      <c r="C3447" s="77" t="s">
        <v>3052</v>
      </c>
      <c r="D3447" s="77" t="s">
        <v>1710</v>
      </c>
      <c r="E3447" s="41" t="str">
        <f>IFERROR(__xludf.DUMMYFUNCTION("IFNA(vlookup(D3447,IMPORTRANGE(""https://docs.google.com/spreadsheets/d/1swGwZOEqYlTEUCJLY-eeJM1911Kvaei5oySBIxdgtNo/edit?pli=1#gid=257618397"",""stock untanna!B:C""),2,false),V:V)"),"ASAHAN 395 B")</f>
        <v>ASAHAN 395 B</v>
      </c>
      <c r="F3447" s="49"/>
      <c r="G3447" s="71"/>
      <c r="H3447" s="41"/>
      <c r="I3447" s="42"/>
      <c r="J3447" s="85" t="s">
        <v>1319</v>
      </c>
      <c r="K3447" s="93">
        <v>1.0</v>
      </c>
      <c r="L3447" s="112" t="s">
        <v>62</v>
      </c>
      <c r="M3447" s="113">
        <v>22500.0</v>
      </c>
      <c r="N3447" s="74"/>
      <c r="O3447" s="87">
        <f t="shared" si="11"/>
        <v>22500</v>
      </c>
      <c r="P3447" s="102" t="str">
        <f t="shared" si="2"/>
        <v>Rp22,500-1 LSN-0.00%</v>
      </c>
      <c r="Q3447" s="92">
        <v>45422.0</v>
      </c>
      <c r="R3447" s="114">
        <v>45420.0</v>
      </c>
      <c r="S3447" s="92">
        <v>45430.0</v>
      </c>
      <c r="T3447" s="77" t="s">
        <v>100</v>
      </c>
      <c r="V3447" s="21" t="s">
        <v>1711</v>
      </c>
    </row>
    <row r="3448">
      <c r="A3448" s="93">
        <v>91.0</v>
      </c>
      <c r="B3448" s="77" t="s">
        <v>29</v>
      </c>
      <c r="C3448" s="77" t="s">
        <v>3052</v>
      </c>
      <c r="D3448" s="77" t="s">
        <v>526</v>
      </c>
      <c r="E3448" s="41" t="str">
        <f>IFERROR(__xludf.DUMMYFUNCTION("IFNA(vlookup(D3448,IMPORTRANGE(""https://docs.google.com/spreadsheets/d/1swGwZOEqYlTEUCJLY-eeJM1911Kvaei5oySBIxdgtNo/edit?pli=1#gid=257618397"",""stock untanna!B:C""),2,false),V:V)"),"ASAHAN PAYU 851 PERMEN")</f>
        <v>ASAHAN PAYU 851 PERMEN</v>
      </c>
      <c r="F3448" s="49"/>
      <c r="G3448" s="71"/>
      <c r="H3448" s="41"/>
      <c r="I3448" s="42"/>
      <c r="J3448" s="85" t="s">
        <v>1319</v>
      </c>
      <c r="K3448" s="93">
        <v>1.0</v>
      </c>
      <c r="L3448" s="112" t="s">
        <v>88</v>
      </c>
      <c r="M3448" s="113">
        <v>15000.0</v>
      </c>
      <c r="N3448" s="74"/>
      <c r="O3448" s="87">
        <f t="shared" si="11"/>
        <v>15000</v>
      </c>
      <c r="P3448" s="102" t="str">
        <f t="shared" si="2"/>
        <v>Rp15,000-1 BOX-0.00%</v>
      </c>
      <c r="Q3448" s="92">
        <v>45422.0</v>
      </c>
      <c r="R3448" s="114">
        <v>45420.0</v>
      </c>
      <c r="S3448" s="92">
        <v>45430.0</v>
      </c>
      <c r="T3448" s="49"/>
      <c r="V3448" s="21" t="s">
        <v>527</v>
      </c>
    </row>
    <row r="3449">
      <c r="A3449" s="93">
        <v>93.0</v>
      </c>
      <c r="B3449" s="77" t="s">
        <v>29</v>
      </c>
      <c r="C3449" s="77" t="s">
        <v>3052</v>
      </c>
      <c r="D3449" s="77" t="s">
        <v>3318</v>
      </c>
      <c r="E3449" s="41" t="str">
        <f>IFERROR(__xludf.DUMMYFUNCTION("IFNA(vlookup(D3449,IMPORTRANGE(""https://docs.google.com/spreadsheets/d/1swGwZOEqYlTEUCJLY-eeJM1911Kvaei5oySBIxdgtNo/edit?pli=1#gid=257618397"",""stock untanna!B:C""),2,false),V:V)"),"PITA TARIK/KADO 23 LIST GOLD (LISMAS)")</f>
        <v>PITA TARIK/KADO 23 LIST GOLD (LISMAS)</v>
      </c>
      <c r="F3449" s="49"/>
      <c r="G3449" s="71"/>
      <c r="H3449" s="41"/>
      <c r="I3449" s="42"/>
      <c r="J3449" s="85" t="s">
        <v>1319</v>
      </c>
      <c r="K3449" s="93">
        <v>50.0</v>
      </c>
      <c r="L3449" s="112" t="s">
        <v>114</v>
      </c>
      <c r="M3449" s="113">
        <v>3250.0</v>
      </c>
      <c r="N3449" s="74"/>
      <c r="O3449" s="87">
        <f t="shared" si="11"/>
        <v>162500</v>
      </c>
      <c r="P3449" s="102" t="str">
        <f t="shared" si="2"/>
        <v>Rp3,250-50 PAK-0.00%</v>
      </c>
      <c r="Q3449" s="92">
        <v>45422.0</v>
      </c>
      <c r="R3449" s="114">
        <v>45420.0</v>
      </c>
      <c r="S3449" s="92">
        <v>45430.0</v>
      </c>
      <c r="T3449" s="77" t="s">
        <v>100</v>
      </c>
      <c r="V3449" s="21" t="s">
        <v>3319</v>
      </c>
    </row>
    <row r="3450">
      <c r="A3450" s="93">
        <v>93.0</v>
      </c>
      <c r="B3450" s="77" t="s">
        <v>29</v>
      </c>
      <c r="C3450" s="77" t="s">
        <v>3052</v>
      </c>
      <c r="D3450" s="77" t="s">
        <v>3320</v>
      </c>
      <c r="E3450" s="41" t="str">
        <f>IFERROR(__xludf.DUMMYFUNCTION("IFNA(vlookup(D3450,IMPORTRANGE(""https://docs.google.com/spreadsheets/d/1swGwZOEqYlTEUCJLY-eeJM1911Kvaei5oySBIxdgtNo/edit?pli=1#gid=257618397"",""stock untanna!B:C""),2,false),V:V)"),"PITA TARIK/KADO 30 LIST EMAS (LISMAS)")</f>
        <v>PITA TARIK/KADO 30 LIST EMAS (LISMAS)</v>
      </c>
      <c r="F3450" s="49"/>
      <c r="G3450" s="71"/>
      <c r="H3450" s="41"/>
      <c r="I3450" s="42"/>
      <c r="J3450" s="85" t="s">
        <v>1319</v>
      </c>
      <c r="K3450" s="93">
        <v>50.0</v>
      </c>
      <c r="L3450" s="112" t="s">
        <v>114</v>
      </c>
      <c r="M3450" s="113">
        <v>4500.0</v>
      </c>
      <c r="N3450" s="74"/>
      <c r="O3450" s="87">
        <f t="shared" si="11"/>
        <v>225000</v>
      </c>
      <c r="P3450" s="102" t="str">
        <f t="shared" si="2"/>
        <v>Rp4,500-50 PAK-0.00%</v>
      </c>
      <c r="Q3450" s="92">
        <v>45422.0</v>
      </c>
      <c r="R3450" s="114">
        <v>45420.0</v>
      </c>
      <c r="S3450" s="92">
        <v>45430.0</v>
      </c>
      <c r="T3450" s="77" t="s">
        <v>100</v>
      </c>
      <c r="V3450" s="21" t="s">
        <v>3321</v>
      </c>
    </row>
    <row r="3451">
      <c r="A3451" s="93">
        <v>93.0</v>
      </c>
      <c r="B3451" s="77" t="s">
        <v>29</v>
      </c>
      <c r="C3451" s="77" t="s">
        <v>3052</v>
      </c>
      <c r="D3451" s="77" t="s">
        <v>2619</v>
      </c>
      <c r="E3451" s="41" t="str">
        <f>IFERROR(__xludf.DUMMYFUNCTION("IFNA(vlookup(D3451,IMPORTRANGE(""https://docs.google.com/spreadsheets/d/1swGwZOEqYlTEUCJLY-eeJM1911Kvaei5oySBIxdgtNo/edit?pli=1#gid=257618397"",""stock untanna!B:C""),2,false),V:V)"),"PITA TARIK/KADO 23 LS")</f>
        <v>PITA TARIK/KADO 23 LS</v>
      </c>
      <c r="F3451" s="49"/>
      <c r="G3451" s="71"/>
      <c r="H3451" s="41"/>
      <c r="I3451" s="42"/>
      <c r="J3451" s="85" t="s">
        <v>1319</v>
      </c>
      <c r="K3451" s="93">
        <v>50.0</v>
      </c>
      <c r="L3451" s="112" t="s">
        <v>114</v>
      </c>
      <c r="M3451" s="113">
        <v>3000.0</v>
      </c>
      <c r="N3451" s="74"/>
      <c r="O3451" s="87">
        <f t="shared" si="11"/>
        <v>150000</v>
      </c>
      <c r="P3451" s="102" t="str">
        <f t="shared" si="2"/>
        <v>Rp3,000-50 PAK-0.00%</v>
      </c>
      <c r="Q3451" s="92">
        <v>45422.0</v>
      </c>
      <c r="R3451" s="114">
        <v>45420.0</v>
      </c>
      <c r="S3451" s="92">
        <v>45430.0</v>
      </c>
      <c r="T3451" s="77" t="s">
        <v>100</v>
      </c>
      <c r="V3451" s="21" t="s">
        <v>3322</v>
      </c>
    </row>
    <row r="3452">
      <c r="A3452" s="93">
        <v>93.0</v>
      </c>
      <c r="B3452" s="77" t="s">
        <v>29</v>
      </c>
      <c r="C3452" s="77" t="s">
        <v>3052</v>
      </c>
      <c r="D3452" s="77" t="s">
        <v>3254</v>
      </c>
      <c r="E3452" s="41" t="str">
        <f>IFERROR(__xludf.DUMMYFUNCTION("IFNA(vlookup(D3452,IMPORTRANGE(""https://docs.google.com/spreadsheets/d/1swGwZOEqYlTEUCJLY-eeJM1911Kvaei5oySBIxdgtNo/edit?pli=1#gid=257618397"",""stock untanna!B:C""),2,false),V:V)"),"PITA TARIK/KADO 30 CM BIASA")</f>
        <v>PITA TARIK/KADO 30 CM BIASA</v>
      </c>
      <c r="F3452" s="49"/>
      <c r="G3452" s="71"/>
      <c r="H3452" s="41"/>
      <c r="I3452" s="42"/>
      <c r="J3452" s="85" t="s">
        <v>1319</v>
      </c>
      <c r="K3452" s="93">
        <v>50.0</v>
      </c>
      <c r="L3452" s="112" t="s">
        <v>114</v>
      </c>
      <c r="M3452" s="113">
        <v>5000.0</v>
      </c>
      <c r="N3452" s="74"/>
      <c r="O3452" s="87">
        <f t="shared" si="11"/>
        <v>250000</v>
      </c>
      <c r="P3452" s="102" t="str">
        <f t="shared" si="2"/>
        <v>Rp5,000-50 PAK-0.00%</v>
      </c>
      <c r="Q3452" s="92">
        <v>45422.0</v>
      </c>
      <c r="R3452" s="114">
        <v>45420.0</v>
      </c>
      <c r="S3452" s="92">
        <v>45430.0</v>
      </c>
      <c r="T3452" s="77" t="s">
        <v>100</v>
      </c>
      <c r="V3452" s="21" t="s">
        <v>3255</v>
      </c>
    </row>
    <row r="3453">
      <c r="A3453" s="93">
        <v>93.0</v>
      </c>
      <c r="B3453" s="77" t="s">
        <v>29</v>
      </c>
      <c r="C3453" s="77" t="s">
        <v>3052</v>
      </c>
      <c r="D3453" s="77" t="s">
        <v>3323</v>
      </c>
      <c r="E3453" s="41" t="str">
        <f>IFERROR(__xludf.DUMMYFUNCTION("IFNA(vlookup(D3453,IMPORTRANGE(""https://docs.google.com/spreadsheets/d/1swGwZOEqYlTEUCJLY-eeJM1911Kvaei5oySBIxdgtNo/edit?pli=1#gid=257618397"",""stock untanna!B:C""),2,false),V:V)"),"PITA TARIK/KADO 50-1 RENDA")</f>
        <v>PITA TARIK/KADO 50-1 RENDA</v>
      </c>
      <c r="F3453" s="49"/>
      <c r="G3453" s="71"/>
      <c r="H3453" s="41"/>
      <c r="I3453" s="42"/>
      <c r="J3453" s="85" t="s">
        <v>1319</v>
      </c>
      <c r="K3453" s="93">
        <v>50.0</v>
      </c>
      <c r="L3453" s="112" t="s">
        <v>114</v>
      </c>
      <c r="M3453" s="113">
        <v>15000.0</v>
      </c>
      <c r="N3453" s="74"/>
      <c r="O3453" s="87">
        <f t="shared" si="11"/>
        <v>750000</v>
      </c>
      <c r="P3453" s="102" t="str">
        <f t="shared" si="2"/>
        <v>Rp15,000-50 PAK-0.00%</v>
      </c>
      <c r="Q3453" s="92">
        <v>45422.0</v>
      </c>
      <c r="R3453" s="114">
        <v>45420.0</v>
      </c>
      <c r="S3453" s="92">
        <v>45430.0</v>
      </c>
      <c r="T3453" s="77" t="s">
        <v>100</v>
      </c>
      <c r="V3453" s="21" t="s">
        <v>3324</v>
      </c>
    </row>
    <row r="3454">
      <c r="A3454" s="93">
        <v>93.0</v>
      </c>
      <c r="B3454" s="77" t="s">
        <v>29</v>
      </c>
      <c r="C3454" s="77" t="s">
        <v>3052</v>
      </c>
      <c r="D3454" s="77" t="s">
        <v>2608</v>
      </c>
      <c r="E3454" s="41" t="str">
        <f>IFERROR(__xludf.DUMMYFUNCTION("IFNA(vlookup(D3454,IMPORTRANGE(""https://docs.google.com/spreadsheets/d/1swGwZOEqYlTEUCJLY-eeJM1911Kvaei5oySBIxdgtNo/edit?pli=1#gid=257618397"",""stock untanna!B:C""),2,false),V:V)"),"PITA TARIK/KADO 30 THT -1")</f>
        <v>PITA TARIK/KADO 30 THT -1</v>
      </c>
      <c r="F3454" s="49"/>
      <c r="G3454" s="71"/>
      <c r="H3454" s="41"/>
      <c r="I3454" s="42"/>
      <c r="J3454" s="85" t="s">
        <v>1319</v>
      </c>
      <c r="K3454" s="93">
        <v>50.0</v>
      </c>
      <c r="L3454" s="112" t="s">
        <v>114</v>
      </c>
      <c r="M3454" s="113">
        <v>9500.0</v>
      </c>
      <c r="N3454" s="74"/>
      <c r="O3454" s="87">
        <f t="shared" si="11"/>
        <v>475000</v>
      </c>
      <c r="P3454" s="102" t="str">
        <f t="shared" si="2"/>
        <v>Rp9,500-50 PAK-0.00%</v>
      </c>
      <c r="Q3454" s="92">
        <v>45422.0</v>
      </c>
      <c r="R3454" s="114">
        <v>45420.0</v>
      </c>
      <c r="S3454" s="92">
        <v>45430.0</v>
      </c>
      <c r="T3454" s="77" t="s">
        <v>100</v>
      </c>
      <c r="V3454" s="21" t="s">
        <v>3325</v>
      </c>
    </row>
    <row r="3455">
      <c r="A3455" s="93">
        <v>93.0</v>
      </c>
      <c r="B3455" s="77" t="s">
        <v>29</v>
      </c>
      <c r="C3455" s="77" t="s">
        <v>3052</v>
      </c>
      <c r="D3455" s="77" t="s">
        <v>2615</v>
      </c>
      <c r="E3455" s="41" t="str">
        <f>IFERROR(__xludf.DUMMYFUNCTION("IFNA(vlookup(D3455,IMPORTRANGE(""https://docs.google.com/spreadsheets/d/1swGwZOEqYlTEUCJLY-eeJM1911Kvaei5oySBIxdgtNo/edit?pli=1#gid=257618397"",""stock untanna!B:C""),2,false),V:V)"),"PITA CH-30")</f>
        <v>PITA CH-30</v>
      </c>
      <c r="F3455" s="49"/>
      <c r="G3455" s="71"/>
      <c r="H3455" s="41"/>
      <c r="I3455" s="42"/>
      <c r="J3455" s="85" t="s">
        <v>1319</v>
      </c>
      <c r="K3455" s="93">
        <v>50.0</v>
      </c>
      <c r="L3455" s="112" t="s">
        <v>114</v>
      </c>
      <c r="M3455" s="113">
        <v>9500.0</v>
      </c>
      <c r="N3455" s="74"/>
      <c r="O3455" s="87">
        <f t="shared" si="11"/>
        <v>475000</v>
      </c>
      <c r="P3455" s="102" t="str">
        <f t="shared" si="2"/>
        <v>Rp9,500-50 PAK-0.00%</v>
      </c>
      <c r="Q3455" s="92">
        <v>45422.0</v>
      </c>
      <c r="R3455" s="114">
        <v>45420.0</v>
      </c>
      <c r="S3455" s="92">
        <v>45430.0</v>
      </c>
      <c r="T3455" s="77" t="s">
        <v>100</v>
      </c>
      <c r="V3455" s="21" t="s">
        <v>2616</v>
      </c>
    </row>
    <row r="3456">
      <c r="A3456" s="93">
        <v>93.0</v>
      </c>
      <c r="B3456" s="77" t="s">
        <v>29</v>
      </c>
      <c r="C3456" s="77" t="s">
        <v>3052</v>
      </c>
      <c r="D3456" s="77" t="s">
        <v>1755</v>
      </c>
      <c r="E3456" s="41" t="str">
        <f>IFERROR(__xludf.DUMMYFUNCTION("IFNA(vlookup(D3456,IMPORTRANGE(""https://docs.google.com/spreadsheets/d/1swGwZOEqYlTEUCJLY-eeJM1911Kvaei5oySBIxdgtNo/edit?pli=1#gid=257618397"",""stock untanna!B:C""),2,false),V:V)"),"DISPENSER KENJOY 25")</f>
        <v>DISPENSER KENJOY 25</v>
      </c>
      <c r="F3456" s="49"/>
      <c r="G3456" s="71"/>
      <c r="H3456" s="41"/>
      <c r="I3456" s="42"/>
      <c r="J3456" s="85" t="s">
        <v>1319</v>
      </c>
      <c r="K3456" s="93">
        <v>12.0</v>
      </c>
      <c r="L3456" s="112" t="s">
        <v>69</v>
      </c>
      <c r="M3456" s="113">
        <v>7000.0</v>
      </c>
      <c r="N3456" s="74"/>
      <c r="O3456" s="87">
        <f t="shared" si="11"/>
        <v>84000</v>
      </c>
      <c r="P3456" s="102" t="str">
        <f t="shared" si="2"/>
        <v>Rp7,000-12 PCS-0.00%</v>
      </c>
      <c r="Q3456" s="92">
        <v>45422.0</v>
      </c>
      <c r="R3456" s="114">
        <v>45420.0</v>
      </c>
      <c r="S3456" s="92">
        <v>45430.0</v>
      </c>
      <c r="T3456" s="49"/>
      <c r="V3456" s="21" t="s">
        <v>1756</v>
      </c>
    </row>
    <row r="3457">
      <c r="A3457" s="93">
        <v>93.0</v>
      </c>
      <c r="B3457" s="77" t="s">
        <v>29</v>
      </c>
      <c r="C3457" s="77" t="s">
        <v>3052</v>
      </c>
      <c r="D3457" s="91"/>
      <c r="E3457" s="41" t="str">
        <f>IFERROR(__xludf.DUMMYFUNCTION("IFNA(vlookup(D3457,IMPORTRANGE(""https://docs.google.com/spreadsheets/d/1swGwZOEqYlTEUCJLY-eeJM1911Kvaei5oySBIxdgtNo/edit?pli=1#gid=257618397"",""stock untanna!B:C""),2,false),V:V)"),"DRAWING BOARD SH 0902 D/ 20X30")</f>
        <v>DRAWING BOARD SH 0902 D/ 20X30</v>
      </c>
      <c r="F3457" s="49"/>
      <c r="G3457" s="71"/>
      <c r="H3457" s="41"/>
      <c r="I3457" s="42"/>
      <c r="J3457" s="85" t="s">
        <v>1319</v>
      </c>
      <c r="K3457" s="93">
        <v>12.0</v>
      </c>
      <c r="L3457" s="112" t="s">
        <v>69</v>
      </c>
      <c r="M3457" s="113">
        <v>21000.0</v>
      </c>
      <c r="N3457" s="74"/>
      <c r="O3457" s="87">
        <f t="shared" si="11"/>
        <v>252000</v>
      </c>
      <c r="P3457" s="102" t="str">
        <f t="shared" si="2"/>
        <v>Rp21,000-12 PCS-0.00%</v>
      </c>
      <c r="Q3457" s="92">
        <v>45422.0</v>
      </c>
      <c r="R3457" s="114">
        <v>45420.0</v>
      </c>
      <c r="S3457" s="92">
        <v>45430.0</v>
      </c>
      <c r="T3457" s="77" t="s">
        <v>280</v>
      </c>
      <c r="V3457" s="21" t="s">
        <v>3326</v>
      </c>
    </row>
    <row r="3458">
      <c r="A3458" s="93">
        <v>93.0</v>
      </c>
      <c r="B3458" s="77" t="s">
        <v>29</v>
      </c>
      <c r="C3458" s="77" t="s">
        <v>3052</v>
      </c>
      <c r="D3458" s="77" t="s">
        <v>3327</v>
      </c>
      <c r="E3458" s="41" t="str">
        <f>IFERROR(__xludf.DUMMYFUNCTION("IFNA(vlookup(D3458,IMPORTRANGE(""https://docs.google.com/spreadsheets/d/1swGwZOEqYlTEUCJLY-eeJM1911Kvaei5oySBIxdgtNo/edit?pli=1#gid=257618397"",""stock untanna!B:C""),2,false),V:V)"),"STUDY BOARD DJ3022")</f>
        <v>STUDY BOARD DJ3022</v>
      </c>
      <c r="F3458" s="49"/>
      <c r="G3458" s="71"/>
      <c r="H3458" s="41"/>
      <c r="I3458" s="42"/>
      <c r="J3458" s="85" t="s">
        <v>1319</v>
      </c>
      <c r="K3458" s="93">
        <v>12.0</v>
      </c>
      <c r="L3458" s="112" t="s">
        <v>69</v>
      </c>
      <c r="M3458" s="113">
        <v>26250.0</v>
      </c>
      <c r="N3458" s="74"/>
      <c r="O3458" s="87">
        <f t="shared" si="11"/>
        <v>315000</v>
      </c>
      <c r="P3458" s="102" t="str">
        <f t="shared" si="2"/>
        <v>Rp26,250-12 PCS-0.00%</v>
      </c>
      <c r="Q3458" s="92">
        <v>45422.0</v>
      </c>
      <c r="R3458" s="114">
        <v>45420.0</v>
      </c>
      <c r="S3458" s="92">
        <v>45430.0</v>
      </c>
      <c r="T3458" s="49"/>
      <c r="V3458" s="21" t="s">
        <v>3328</v>
      </c>
    </row>
    <row r="3459">
      <c r="A3459" s="93">
        <v>93.0</v>
      </c>
      <c r="B3459" s="77" t="s">
        <v>29</v>
      </c>
      <c r="C3459" s="77" t="s">
        <v>3052</v>
      </c>
      <c r="D3459" s="91"/>
      <c r="E3459" s="41" t="str">
        <f>IFERROR(__xludf.DUMMYFUNCTION("IFNA(vlookup(D3459,IMPORTRANGE(""https://docs.google.com/spreadsheets/d/1swGwZOEqYlTEUCJLY-eeJM1911Kvaei5oySBIxdgtNo/edit?pli=1#gid=257618397"",""stock untanna!B:C""),2,false),V:V)"),"STUDY BOARD XG-105")</f>
        <v>STUDY BOARD XG-105</v>
      </c>
      <c r="F3459" s="49"/>
      <c r="G3459" s="71"/>
      <c r="H3459" s="41"/>
      <c r="I3459" s="42"/>
      <c r="J3459" s="85" t="s">
        <v>1319</v>
      </c>
      <c r="K3459" s="93">
        <v>1.0</v>
      </c>
      <c r="L3459" s="112" t="s">
        <v>62</v>
      </c>
      <c r="M3459" s="113">
        <v>262500.0</v>
      </c>
      <c r="N3459" s="74"/>
      <c r="O3459" s="87">
        <f t="shared" si="11"/>
        <v>262500</v>
      </c>
      <c r="P3459" s="102" t="str">
        <f t="shared" si="2"/>
        <v>Rp262,500-1 LSN-0.00%</v>
      </c>
      <c r="Q3459" s="92">
        <v>45422.0</v>
      </c>
      <c r="R3459" s="114">
        <v>45420.0</v>
      </c>
      <c r="S3459" s="92">
        <v>45430.0</v>
      </c>
      <c r="T3459" s="77" t="s">
        <v>280</v>
      </c>
      <c r="V3459" s="21" t="s">
        <v>3329</v>
      </c>
    </row>
    <row r="3460">
      <c r="A3460" s="93">
        <v>93.0</v>
      </c>
      <c r="B3460" s="77" t="s">
        <v>29</v>
      </c>
      <c r="C3460" s="77" t="s">
        <v>3052</v>
      </c>
      <c r="D3460" s="91"/>
      <c r="E3460" s="41" t="str">
        <f>IFERROR(__xludf.DUMMYFUNCTION("IFNA(vlookup(D3460,IMPORTRANGE(""https://docs.google.com/spreadsheets/d/1swGwZOEqYlTEUCJLY-eeJM1911Kvaei5oySBIxdgtNo/edit?pli=1#gid=257618397"",""stock untanna!B:C""),2,false),V:V)"),"DRAWING BOARD BT 21 NO.216")</f>
        <v>DRAWING BOARD BT 21 NO.216</v>
      </c>
      <c r="F3460" s="49"/>
      <c r="G3460" s="71"/>
      <c r="H3460" s="41"/>
      <c r="I3460" s="42"/>
      <c r="J3460" s="85" t="s">
        <v>1319</v>
      </c>
      <c r="K3460" s="93">
        <v>1.0</v>
      </c>
      <c r="L3460" s="112" t="s">
        <v>62</v>
      </c>
      <c r="M3460" s="113">
        <v>262500.0</v>
      </c>
      <c r="N3460" s="74"/>
      <c r="O3460" s="87">
        <f t="shared" si="11"/>
        <v>262500</v>
      </c>
      <c r="P3460" s="102" t="str">
        <f t="shared" si="2"/>
        <v>Rp262,500-1 LSN-0.00%</v>
      </c>
      <c r="Q3460" s="92">
        <v>45422.0</v>
      </c>
      <c r="R3460" s="114">
        <v>45420.0</v>
      </c>
      <c r="S3460" s="92">
        <v>45430.0</v>
      </c>
      <c r="T3460" s="77" t="s">
        <v>280</v>
      </c>
      <c r="V3460" s="21" t="s">
        <v>3330</v>
      </c>
    </row>
    <row r="3461">
      <c r="A3461" s="93">
        <v>93.0</v>
      </c>
      <c r="B3461" s="77" t="s">
        <v>29</v>
      </c>
      <c r="C3461" s="77" t="s">
        <v>3052</v>
      </c>
      <c r="D3461" s="77" t="s">
        <v>2959</v>
      </c>
      <c r="E3461" s="41" t="str">
        <f>IFERROR(__xludf.DUMMYFUNCTION("IFNA(vlookup(D3461,IMPORTRANGE(""https://docs.google.com/spreadsheets/d/1swGwZOEqYlTEUCJLY-eeJM1911Kvaei5oySBIxdgtNo/edit?pli=1#gid=257618397"",""stock untanna!B:C""),2,false),V:V)"),"STIP TRIFELLO TF-377 (24)")</f>
        <v>STIP TRIFELLO TF-377 (24)</v>
      </c>
      <c r="F3461" s="49"/>
      <c r="G3461" s="71"/>
      <c r="H3461" s="41"/>
      <c r="I3461" s="42"/>
      <c r="J3461" s="85" t="s">
        <v>1319</v>
      </c>
      <c r="K3461" s="93">
        <v>2.0</v>
      </c>
      <c r="L3461" s="112" t="s">
        <v>88</v>
      </c>
      <c r="M3461" s="113">
        <v>22500.0</v>
      </c>
      <c r="N3461" s="74"/>
      <c r="O3461" s="87">
        <f t="shared" si="11"/>
        <v>45000</v>
      </c>
      <c r="P3461" s="102" t="str">
        <f t="shared" si="2"/>
        <v>Rp22,500-2 BOX-0.00%</v>
      </c>
      <c r="Q3461" s="92">
        <v>45422.0</v>
      </c>
      <c r="R3461" s="114">
        <v>45420.0</v>
      </c>
      <c r="S3461" s="92">
        <v>45430.0</v>
      </c>
      <c r="T3461" s="49"/>
      <c r="V3461" s="21" t="s">
        <v>2960</v>
      </c>
    </row>
    <row r="3462">
      <c r="A3462" s="93">
        <v>93.0</v>
      </c>
      <c r="B3462" s="77" t="s">
        <v>29</v>
      </c>
      <c r="C3462" s="77" t="s">
        <v>3052</v>
      </c>
      <c r="D3462" s="77" t="s">
        <v>812</v>
      </c>
      <c r="E3462" s="41" t="str">
        <f>IFERROR(__xludf.DUMMYFUNCTION("IFNA(vlookup(D3462,IMPORTRANGE(""https://docs.google.com/spreadsheets/d/1swGwZOEqYlTEUCJLY-eeJM1911Kvaei5oySBIxdgtNo/edit?pli=1#gid=257618397"",""stock untanna!B:C""),2,false),V:V)"),"SEMPOA 8025")</f>
        <v>SEMPOA 8025</v>
      </c>
      <c r="F3462" s="49"/>
      <c r="G3462" s="71"/>
      <c r="H3462" s="41"/>
      <c r="I3462" s="42"/>
      <c r="J3462" s="85" t="s">
        <v>1319</v>
      </c>
      <c r="K3462" s="93">
        <v>2.0</v>
      </c>
      <c r="L3462" s="112" t="s">
        <v>62</v>
      </c>
      <c r="M3462" s="113">
        <v>120000.0</v>
      </c>
      <c r="N3462" s="74"/>
      <c r="O3462" s="87">
        <f t="shared" si="11"/>
        <v>240000</v>
      </c>
      <c r="P3462" s="102" t="str">
        <f t="shared" si="2"/>
        <v>Rp120,000-2 LSN-0.00%</v>
      </c>
      <c r="Q3462" s="92">
        <v>45422.0</v>
      </c>
      <c r="R3462" s="114">
        <v>45420.0</v>
      </c>
      <c r="S3462" s="92">
        <v>45430.0</v>
      </c>
      <c r="T3462" s="49"/>
      <c r="V3462" s="21" t="s">
        <v>813</v>
      </c>
    </row>
    <row r="3463">
      <c r="A3463" s="93">
        <v>93.0</v>
      </c>
      <c r="B3463" s="77" t="s">
        <v>29</v>
      </c>
      <c r="C3463" s="77" t="s">
        <v>3052</v>
      </c>
      <c r="D3463" s="77" t="s">
        <v>1073</v>
      </c>
      <c r="E3463" s="41" t="str">
        <f>IFERROR(__xludf.DUMMYFUNCTION("IFNA(vlookup(D3463,IMPORTRANGE(""https://docs.google.com/spreadsheets/d/1swGwZOEqYlTEUCJLY-eeJM1911Kvaei5oySBIxdgtNo/edit?pli=1#gid=257618397"",""stock untanna!B:C""),2,false),V:V)"),"SEMPOA 8023")</f>
        <v>SEMPOA 8023</v>
      </c>
      <c r="F3463" s="49"/>
      <c r="G3463" s="71"/>
      <c r="H3463" s="41"/>
      <c r="I3463" s="42"/>
      <c r="J3463" s="85" t="s">
        <v>1319</v>
      </c>
      <c r="K3463" s="93">
        <v>2.0</v>
      </c>
      <c r="L3463" s="112" t="s">
        <v>62</v>
      </c>
      <c r="M3463" s="113">
        <v>120000.0</v>
      </c>
      <c r="N3463" s="74"/>
      <c r="O3463" s="87">
        <f t="shared" si="11"/>
        <v>240000</v>
      </c>
      <c r="P3463" s="102" t="str">
        <f t="shared" si="2"/>
        <v>Rp120,000-2 LSN-0.00%</v>
      </c>
      <c r="Q3463" s="92">
        <v>45422.0</v>
      </c>
      <c r="R3463" s="114">
        <v>45420.0</v>
      </c>
      <c r="S3463" s="92">
        <v>45430.0</v>
      </c>
      <c r="T3463" s="49"/>
      <c r="V3463" s="21" t="s">
        <v>1074</v>
      </c>
    </row>
    <row r="3464">
      <c r="A3464" s="93">
        <v>93.0</v>
      </c>
      <c r="B3464" s="77" t="s">
        <v>29</v>
      </c>
      <c r="C3464" s="77" t="s">
        <v>3052</v>
      </c>
      <c r="D3464" s="77" t="s">
        <v>541</v>
      </c>
      <c r="E3464" s="41" t="str">
        <f>IFERROR(__xludf.DUMMYFUNCTION("IFNA(vlookup(D3464,IMPORTRANGE(""https://docs.google.com/spreadsheets/d/1swGwZOEqYlTEUCJLY-eeJM1911Kvaei5oySBIxdgtNo/edit?pli=1#gid=257618397"",""stock untanna!B:C""),2,false),V:V)"),"PALET CAT AIR SAKURA TRANS")</f>
        <v>PALET CAT AIR SAKURA TRANS</v>
      </c>
      <c r="F3464" s="49"/>
      <c r="G3464" s="71"/>
      <c r="H3464" s="41"/>
      <c r="I3464" s="42"/>
      <c r="J3464" s="85" t="s">
        <v>1319</v>
      </c>
      <c r="K3464" s="93">
        <v>1.0</v>
      </c>
      <c r="L3464" s="112" t="s">
        <v>62</v>
      </c>
      <c r="M3464" s="113">
        <v>10000.0</v>
      </c>
      <c r="N3464" s="74"/>
      <c r="O3464" s="87">
        <f t="shared" si="11"/>
        <v>10000</v>
      </c>
      <c r="P3464" s="102" t="str">
        <f t="shared" si="2"/>
        <v>Rp10,000-1 LSN-0.00%</v>
      </c>
      <c r="Q3464" s="92">
        <v>45422.0</v>
      </c>
      <c r="R3464" s="114">
        <v>45420.0</v>
      </c>
      <c r="S3464" s="92">
        <v>45430.0</v>
      </c>
      <c r="T3464" s="49"/>
      <c r="V3464" s="21" t="s">
        <v>542</v>
      </c>
    </row>
    <row r="3465">
      <c r="A3465" s="93">
        <v>94.0</v>
      </c>
      <c r="B3465" s="77" t="s">
        <v>29</v>
      </c>
      <c r="C3465" s="77" t="s">
        <v>3052</v>
      </c>
      <c r="D3465" s="91"/>
      <c r="E3465" s="41" t="str">
        <f>IFERROR(__xludf.DUMMYFUNCTION("IFNA(vlookup(D3465,IMPORTRANGE(""https://docs.google.com/spreadsheets/d/1swGwZOEqYlTEUCJLY-eeJM1911Kvaei5oySBIxdgtNo/edit?pli=1#gid=257618397"",""stock untanna!B:C""),2,false),V:V)"),"PITA JEPANG POLOS")</f>
        <v>PITA JEPANG POLOS</v>
      </c>
      <c r="F3465" s="49"/>
      <c r="G3465" s="71"/>
      <c r="H3465" s="41"/>
      <c r="I3465" s="42"/>
      <c r="J3465" s="85" t="s">
        <v>3190</v>
      </c>
      <c r="K3465" s="93">
        <v>2.0</v>
      </c>
      <c r="L3465" s="112" t="s">
        <v>114</v>
      </c>
      <c r="M3465" s="113">
        <v>47000.0</v>
      </c>
      <c r="N3465" s="74"/>
      <c r="O3465" s="87">
        <f t="shared" si="11"/>
        <v>94000</v>
      </c>
      <c r="P3465" s="102" t="str">
        <f t="shared" si="2"/>
        <v>Rp47,000-2 PAK-0.00%</v>
      </c>
      <c r="Q3465" s="92">
        <v>45422.0</v>
      </c>
      <c r="R3465" s="114">
        <v>45420.0</v>
      </c>
      <c r="S3465" s="92">
        <v>45430.0</v>
      </c>
      <c r="T3465" s="49"/>
      <c r="V3465" s="21" t="s">
        <v>3331</v>
      </c>
    </row>
    <row r="3466">
      <c r="A3466" s="93">
        <v>94.0</v>
      </c>
      <c r="B3466" s="77" t="s">
        <v>29</v>
      </c>
      <c r="C3466" s="77" t="s">
        <v>3052</v>
      </c>
      <c r="D3466" s="91"/>
      <c r="E3466" s="41" t="str">
        <f>IFERROR(__xludf.DUMMYFUNCTION("IFNA(vlookup(D3466,IMPORTRANGE(""https://docs.google.com/spreadsheets/d/1swGwZOEqYlTEUCJLY-eeJM1911Kvaei5oySBIxdgtNo/edit?pli=1#gid=257618397"",""stock untanna!B:C""),2,false),V:V)"),"PITA JEPANG MOTIF")</f>
        <v>PITA JEPANG MOTIF</v>
      </c>
      <c r="F3466" s="49"/>
      <c r="G3466" s="71"/>
      <c r="H3466" s="41"/>
      <c r="I3466" s="42"/>
      <c r="J3466" s="85" t="s">
        <v>3190</v>
      </c>
      <c r="K3466" s="93">
        <v>2.0</v>
      </c>
      <c r="L3466" s="112" t="s">
        <v>114</v>
      </c>
      <c r="M3466" s="113">
        <v>47000.0</v>
      </c>
      <c r="N3466" s="74"/>
      <c r="O3466" s="87">
        <f t="shared" si="11"/>
        <v>94000</v>
      </c>
      <c r="P3466" s="102" t="str">
        <f t="shared" si="2"/>
        <v>Rp47,000-2 PAK-0.00%</v>
      </c>
      <c r="Q3466" s="92">
        <v>45422.0</v>
      </c>
      <c r="R3466" s="114">
        <v>45420.0</v>
      </c>
      <c r="S3466" s="92">
        <v>45430.0</v>
      </c>
      <c r="T3466" s="49"/>
      <c r="V3466" s="21" t="s">
        <v>1723</v>
      </c>
    </row>
    <row r="3467">
      <c r="A3467" s="93">
        <v>94.0</v>
      </c>
      <c r="B3467" s="77" t="s">
        <v>29</v>
      </c>
      <c r="C3467" s="77" t="s">
        <v>3052</v>
      </c>
      <c r="D3467" s="77" t="s">
        <v>3332</v>
      </c>
      <c r="E3467" s="41" t="str">
        <f>IFERROR(__xludf.DUMMYFUNCTION("IFNA(vlookup(D3467,IMPORTRANGE(""https://docs.google.com/spreadsheets/d/1swGwZOEqYlTEUCJLY-eeJM1911Kvaei5oySBIxdgtNo/edit?pli=1#gid=257618397"",""stock untanna!B:C""),2,false),V:V)"),"PITA JEPANG LIST EMAS")</f>
        <v>PITA JEPANG LIST EMAS</v>
      </c>
      <c r="F3467" s="49"/>
      <c r="G3467" s="71"/>
      <c r="H3467" s="41"/>
      <c r="I3467" s="42"/>
      <c r="J3467" s="85" t="s">
        <v>1319</v>
      </c>
      <c r="K3467" s="93">
        <v>2.0</v>
      </c>
      <c r="L3467" s="112" t="s">
        <v>1726</v>
      </c>
      <c r="M3467" s="113">
        <v>47000.0</v>
      </c>
      <c r="N3467" s="74"/>
      <c r="O3467" s="87">
        <f t="shared" si="11"/>
        <v>94000</v>
      </c>
      <c r="P3467" s="102" t="str">
        <f t="shared" si="2"/>
        <v>Rp47,000-2 SLOP-0.00%</v>
      </c>
      <c r="Q3467" s="92">
        <v>45422.0</v>
      </c>
      <c r="R3467" s="114">
        <v>45420.0</v>
      </c>
      <c r="S3467" s="92">
        <v>45430.0</v>
      </c>
      <c r="T3467" s="49"/>
      <c r="V3467" s="21" t="s">
        <v>3333</v>
      </c>
    </row>
    <row r="3468">
      <c r="A3468" s="93">
        <v>94.0</v>
      </c>
      <c r="B3468" s="77" t="s">
        <v>29</v>
      </c>
      <c r="C3468" s="77" t="s">
        <v>3052</v>
      </c>
      <c r="D3468" s="91"/>
      <c r="E3468" s="41" t="str">
        <f>IFERROR(__xludf.DUMMYFUNCTION("IFNA(vlookup(D3468,IMPORTRANGE(""https://docs.google.com/spreadsheets/d/1swGwZOEqYlTEUCJLY-eeJM1911Kvaei5oySBIxdgtNo/edit?pli=1#gid=257618397"",""stock untanna!B:C""),2,false),V:V)"),"N BOOK 005 + STICKER")</f>
        <v>N BOOK 005 + STICKER</v>
      </c>
      <c r="F3468" s="49"/>
      <c r="G3468" s="71"/>
      <c r="H3468" s="41"/>
      <c r="I3468" s="42"/>
      <c r="J3468" s="85" t="s">
        <v>3190</v>
      </c>
      <c r="K3468" s="93">
        <v>12.0</v>
      </c>
      <c r="L3468" s="112" t="s">
        <v>69</v>
      </c>
      <c r="M3468" s="113">
        <v>20000.0</v>
      </c>
      <c r="N3468" s="74"/>
      <c r="O3468" s="87">
        <f t="shared" si="11"/>
        <v>240000</v>
      </c>
      <c r="P3468" s="102" t="str">
        <f t="shared" si="2"/>
        <v>Rp20,000-12 PCS-0.00%</v>
      </c>
      <c r="Q3468" s="92">
        <v>45422.0</v>
      </c>
      <c r="R3468" s="114">
        <v>45419.0</v>
      </c>
      <c r="S3468" s="92">
        <v>45430.0</v>
      </c>
      <c r="T3468" s="49"/>
      <c r="V3468" s="21" t="s">
        <v>3334</v>
      </c>
    </row>
    <row r="3469">
      <c r="A3469" s="93">
        <v>94.0</v>
      </c>
      <c r="B3469" s="77" t="s">
        <v>29</v>
      </c>
      <c r="C3469" s="77" t="s">
        <v>3052</v>
      </c>
      <c r="D3469" s="77" t="s">
        <v>3335</v>
      </c>
      <c r="E3469" s="41" t="str">
        <f>IFERROR(__xludf.DUMMYFUNCTION("IFNA(vlookup(D3469,IMPORTRANGE(""https://docs.google.com/spreadsheets/d/1swGwZOEqYlTEUCJLY-eeJM1911Kvaei5oySBIxdgtNo/edit?pli=1#gid=257618397"",""stock untanna!B:C""),2,false),V:V)"),"TAS POLOS 804/ 832/ 838")</f>
        <v>TAS POLOS 804/ 832/ 838</v>
      </c>
      <c r="F3469" s="49"/>
      <c r="G3469" s="71"/>
      <c r="H3469" s="41"/>
      <c r="I3469" s="42"/>
      <c r="J3469" s="85" t="s">
        <v>1319</v>
      </c>
      <c r="K3469" s="93">
        <v>12.0</v>
      </c>
      <c r="L3469" s="112" t="s">
        <v>69</v>
      </c>
      <c r="M3469" s="113">
        <v>5000.0</v>
      </c>
      <c r="N3469" s="74"/>
      <c r="O3469" s="87">
        <f t="shared" si="11"/>
        <v>60000</v>
      </c>
      <c r="P3469" s="102" t="str">
        <f t="shared" si="2"/>
        <v>Rp5,000-12 PCS-0.00%</v>
      </c>
      <c r="Q3469" s="92">
        <v>45422.0</v>
      </c>
      <c r="R3469" s="114">
        <v>45419.0</v>
      </c>
      <c r="S3469" s="92">
        <v>45430.0</v>
      </c>
      <c r="T3469" s="49"/>
      <c r="V3469" s="21" t="s">
        <v>3336</v>
      </c>
    </row>
    <row r="3470">
      <c r="A3470" s="93">
        <v>94.0</v>
      </c>
      <c r="B3470" s="77" t="s">
        <v>29</v>
      </c>
      <c r="C3470" s="77" t="s">
        <v>3052</v>
      </c>
      <c r="D3470" s="77" t="s">
        <v>3167</v>
      </c>
      <c r="E3470" s="41" t="str">
        <f>IFERROR(__xludf.DUMMYFUNCTION("IFNA(vlookup(D3470,IMPORTRANGE(""https://docs.google.com/spreadsheets/d/1swGwZOEqYlTEUCJLY-eeJM1911Kvaei5oySBIxdgtNo/edit?pli=1#gid=257618397"",""stock untanna!B:C""),2,false),V:V)"),"TAS TALI GG-01 KECIL GLITTER")</f>
        <v>TAS TALI GG-01 KECIL GLITTER</v>
      </c>
      <c r="F3470" s="49"/>
      <c r="G3470" s="71"/>
      <c r="H3470" s="41"/>
      <c r="I3470" s="42"/>
      <c r="J3470" s="85" t="s">
        <v>1319</v>
      </c>
      <c r="K3470" s="93">
        <v>1.0</v>
      </c>
      <c r="L3470" s="112" t="s">
        <v>62</v>
      </c>
      <c r="M3470" s="113">
        <v>66000.0</v>
      </c>
      <c r="N3470" s="74"/>
      <c r="O3470" s="87">
        <f t="shared" si="11"/>
        <v>66000</v>
      </c>
      <c r="P3470" s="102" t="str">
        <f t="shared" si="2"/>
        <v>Rp66,000-1 LSN-0.00%</v>
      </c>
      <c r="Q3470" s="92">
        <v>45422.0</v>
      </c>
      <c r="R3470" s="114">
        <v>45419.0</v>
      </c>
      <c r="S3470" s="92">
        <v>45430.0</v>
      </c>
      <c r="T3470" s="49"/>
      <c r="V3470" s="21" t="s">
        <v>3168</v>
      </c>
    </row>
    <row r="3471">
      <c r="A3471" s="93">
        <v>94.0</v>
      </c>
      <c r="B3471" s="77" t="s">
        <v>29</v>
      </c>
      <c r="C3471" s="77" t="s">
        <v>3052</v>
      </c>
      <c r="D3471" s="77" t="s">
        <v>3167</v>
      </c>
      <c r="E3471" s="41" t="str">
        <f>IFERROR(__xludf.DUMMYFUNCTION("IFNA(vlookup(D3471,IMPORTRANGE(""https://docs.google.com/spreadsheets/d/1swGwZOEqYlTEUCJLY-eeJM1911Kvaei5oySBIxdgtNo/edit?pli=1#gid=257618397"",""stock untanna!B:C""),2,false),V:V)"),"TAS TALI GG-01 KECIL GLITTER")</f>
        <v>TAS TALI GG-01 KECIL GLITTER</v>
      </c>
      <c r="F3471" s="49"/>
      <c r="G3471" s="71"/>
      <c r="H3471" s="41"/>
      <c r="I3471" s="42"/>
      <c r="J3471" s="85" t="s">
        <v>1319</v>
      </c>
      <c r="K3471" s="93">
        <v>1.0</v>
      </c>
      <c r="L3471" s="112" t="s">
        <v>62</v>
      </c>
      <c r="M3471" s="113">
        <v>66000.0</v>
      </c>
      <c r="N3471" s="74"/>
      <c r="O3471" s="87">
        <f t="shared" si="11"/>
        <v>66000</v>
      </c>
      <c r="P3471" s="102" t="str">
        <f t="shared" si="2"/>
        <v>Rp66,000-1 LSN-0.00%</v>
      </c>
      <c r="Q3471" s="92">
        <v>45422.0</v>
      </c>
      <c r="R3471" s="114">
        <v>45419.0</v>
      </c>
      <c r="S3471" s="92">
        <v>45430.0</v>
      </c>
      <c r="T3471" s="49"/>
      <c r="V3471" s="21" t="s">
        <v>3168</v>
      </c>
    </row>
    <row r="3472">
      <c r="A3472" s="93">
        <v>94.0</v>
      </c>
      <c r="B3472" s="77" t="s">
        <v>29</v>
      </c>
      <c r="C3472" s="77" t="s">
        <v>3052</v>
      </c>
      <c r="D3472" s="77" t="s">
        <v>3167</v>
      </c>
      <c r="E3472" s="41" t="str">
        <f>IFERROR(__xludf.DUMMYFUNCTION("IFNA(vlookup(D3472,IMPORTRANGE(""https://docs.google.com/spreadsheets/d/1swGwZOEqYlTEUCJLY-eeJM1911Kvaei5oySBIxdgtNo/edit?pli=1#gid=257618397"",""stock untanna!B:C""),2,false),V:V)"),"TAS TALI GG-01 KECIL GLITTER")</f>
        <v>TAS TALI GG-01 KECIL GLITTER</v>
      </c>
      <c r="F3472" s="49"/>
      <c r="G3472" s="71"/>
      <c r="H3472" s="41"/>
      <c r="I3472" s="42"/>
      <c r="J3472" s="85" t="s">
        <v>1319</v>
      </c>
      <c r="K3472" s="93">
        <v>1.0</v>
      </c>
      <c r="L3472" s="112" t="s">
        <v>62</v>
      </c>
      <c r="M3472" s="113">
        <v>66000.0</v>
      </c>
      <c r="N3472" s="74"/>
      <c r="O3472" s="87">
        <f t="shared" si="11"/>
        <v>66000</v>
      </c>
      <c r="P3472" s="102" t="str">
        <f t="shared" si="2"/>
        <v>Rp66,000-1 LSN-0.00%</v>
      </c>
      <c r="Q3472" s="92">
        <v>45422.0</v>
      </c>
      <c r="R3472" s="114">
        <v>45419.0</v>
      </c>
      <c r="S3472" s="92">
        <v>45430.0</v>
      </c>
      <c r="T3472" s="49"/>
      <c r="V3472" s="21" t="s">
        <v>3168</v>
      </c>
    </row>
    <row r="3473">
      <c r="A3473" s="93">
        <v>94.0</v>
      </c>
      <c r="B3473" s="77" t="s">
        <v>29</v>
      </c>
      <c r="C3473" s="77" t="s">
        <v>3052</v>
      </c>
      <c r="D3473" s="77" t="s">
        <v>218</v>
      </c>
      <c r="E3473" s="41" t="str">
        <f>IFERROR(__xludf.DUMMYFUNCTION("IFNA(vlookup(D3473,IMPORTRANGE(""https://docs.google.com/spreadsheets/d/1swGwZOEqYlTEUCJLY-eeJM1911Kvaei5oySBIxdgtNo/edit?pli=1#gid=257618397"",""stock untanna!B:C""),2,false),V:V)"),"TAS TALI GG-03 BESAR GLITTER")</f>
        <v>TAS TALI GG-03 BESAR GLITTER</v>
      </c>
      <c r="F3473" s="49"/>
      <c r="G3473" s="71"/>
      <c r="H3473" s="41"/>
      <c r="I3473" s="42"/>
      <c r="J3473" s="85" t="s">
        <v>1319</v>
      </c>
      <c r="K3473" s="93">
        <v>1.0</v>
      </c>
      <c r="L3473" s="112" t="s">
        <v>62</v>
      </c>
      <c r="M3473" s="113">
        <v>140000.0</v>
      </c>
      <c r="N3473" s="74"/>
      <c r="O3473" s="87">
        <f t="shared" si="11"/>
        <v>140000</v>
      </c>
      <c r="P3473" s="102" t="str">
        <f t="shared" si="2"/>
        <v>Rp140,000-1 LSN-0.00%</v>
      </c>
      <c r="Q3473" s="92">
        <v>45422.0</v>
      </c>
      <c r="R3473" s="114">
        <v>45419.0</v>
      </c>
      <c r="S3473" s="92">
        <v>45430.0</v>
      </c>
      <c r="T3473" s="49"/>
      <c r="V3473" s="21" t="s">
        <v>219</v>
      </c>
    </row>
    <row r="3474">
      <c r="A3474" s="93">
        <v>94.0</v>
      </c>
      <c r="B3474" s="77" t="s">
        <v>29</v>
      </c>
      <c r="C3474" s="77" t="s">
        <v>3052</v>
      </c>
      <c r="D3474" s="77" t="s">
        <v>218</v>
      </c>
      <c r="E3474" s="41" t="str">
        <f>IFERROR(__xludf.DUMMYFUNCTION("IFNA(vlookup(D3474,IMPORTRANGE(""https://docs.google.com/spreadsheets/d/1swGwZOEqYlTEUCJLY-eeJM1911Kvaei5oySBIxdgtNo/edit?pli=1#gid=257618397"",""stock untanna!B:C""),2,false),V:V)"),"TAS TALI GG-03 BESAR GLITTER")</f>
        <v>TAS TALI GG-03 BESAR GLITTER</v>
      </c>
      <c r="F3474" s="49"/>
      <c r="G3474" s="71"/>
      <c r="H3474" s="41"/>
      <c r="I3474" s="42"/>
      <c r="J3474" s="85" t="s">
        <v>1319</v>
      </c>
      <c r="K3474" s="93">
        <v>1.0</v>
      </c>
      <c r="L3474" s="112" t="s">
        <v>62</v>
      </c>
      <c r="M3474" s="113">
        <v>140000.0</v>
      </c>
      <c r="N3474" s="74"/>
      <c r="O3474" s="87">
        <f t="shared" si="11"/>
        <v>140000</v>
      </c>
      <c r="P3474" s="102" t="str">
        <f t="shared" si="2"/>
        <v>Rp140,000-1 LSN-0.00%</v>
      </c>
      <c r="Q3474" s="92">
        <v>45422.0</v>
      </c>
      <c r="R3474" s="114">
        <v>45419.0</v>
      </c>
      <c r="S3474" s="92">
        <v>45430.0</v>
      </c>
      <c r="T3474" s="49"/>
      <c r="V3474" s="21" t="s">
        <v>219</v>
      </c>
    </row>
    <row r="3475">
      <c r="A3475" s="93">
        <v>94.0</v>
      </c>
      <c r="B3475" s="77" t="s">
        <v>29</v>
      </c>
      <c r="C3475" s="77" t="s">
        <v>3052</v>
      </c>
      <c r="D3475" s="77" t="s">
        <v>218</v>
      </c>
      <c r="E3475" s="41" t="str">
        <f>IFERROR(__xludf.DUMMYFUNCTION("IFNA(vlookup(D3475,IMPORTRANGE(""https://docs.google.com/spreadsheets/d/1swGwZOEqYlTEUCJLY-eeJM1911Kvaei5oySBIxdgtNo/edit?pli=1#gid=257618397"",""stock untanna!B:C""),2,false),V:V)"),"TAS TALI GG-03 BESAR GLITTER")</f>
        <v>TAS TALI GG-03 BESAR GLITTER</v>
      </c>
      <c r="F3475" s="49"/>
      <c r="G3475" s="71"/>
      <c r="H3475" s="41"/>
      <c r="I3475" s="42"/>
      <c r="J3475" s="85" t="s">
        <v>1319</v>
      </c>
      <c r="K3475" s="93">
        <v>1.0</v>
      </c>
      <c r="L3475" s="112" t="s">
        <v>62</v>
      </c>
      <c r="M3475" s="113">
        <v>140000.0</v>
      </c>
      <c r="N3475" s="74"/>
      <c r="O3475" s="87">
        <f t="shared" si="11"/>
        <v>140000</v>
      </c>
      <c r="P3475" s="102" t="str">
        <f t="shared" si="2"/>
        <v>Rp140,000-1 LSN-0.00%</v>
      </c>
      <c r="Q3475" s="92">
        <v>45422.0</v>
      </c>
      <c r="R3475" s="114">
        <v>45419.0</v>
      </c>
      <c r="S3475" s="92">
        <v>45430.0</v>
      </c>
      <c r="T3475" s="49"/>
      <c r="V3475" s="21" t="s">
        <v>219</v>
      </c>
    </row>
    <row r="3476">
      <c r="A3476" s="93">
        <v>94.0</v>
      </c>
      <c r="B3476" s="77" t="s">
        <v>29</v>
      </c>
      <c r="C3476" s="77" t="s">
        <v>3052</v>
      </c>
      <c r="D3476" s="77" t="s">
        <v>1530</v>
      </c>
      <c r="E3476" s="41" t="str">
        <f>IFERROR(__xludf.DUMMYFUNCTION("IFNA(vlookup(D3476,IMPORTRANGE(""https://docs.google.com/spreadsheets/d/1swGwZOEqYlTEUCJLY-eeJM1911Kvaei5oySBIxdgtNo/edit?pli=1#gid=257618397"",""stock untanna!B:C""),2,false),V:V)"),"TAS TALI GG-02 TANGGUNG GLITTER")</f>
        <v>TAS TALI GG-02 TANGGUNG GLITTER</v>
      </c>
      <c r="F3476" s="49"/>
      <c r="G3476" s="71"/>
      <c r="H3476" s="41"/>
      <c r="I3476" s="42"/>
      <c r="J3476" s="85" t="s">
        <v>1319</v>
      </c>
      <c r="K3476" s="93">
        <v>1.0</v>
      </c>
      <c r="L3476" s="112" t="s">
        <v>62</v>
      </c>
      <c r="M3476" s="113">
        <v>110000.0</v>
      </c>
      <c r="N3476" s="74"/>
      <c r="O3476" s="87">
        <f t="shared" si="11"/>
        <v>110000</v>
      </c>
      <c r="P3476" s="102" t="str">
        <f t="shared" si="2"/>
        <v>Rp110,000-1 LSN-0.00%</v>
      </c>
      <c r="Q3476" s="92">
        <v>45422.0</v>
      </c>
      <c r="R3476" s="114">
        <v>45419.0</v>
      </c>
      <c r="S3476" s="92">
        <v>45430.0</v>
      </c>
      <c r="T3476" s="49"/>
      <c r="V3476" s="21" t="s">
        <v>1531</v>
      </c>
    </row>
    <row r="3477">
      <c r="A3477" s="93">
        <v>94.0</v>
      </c>
      <c r="B3477" s="77" t="s">
        <v>29</v>
      </c>
      <c r="C3477" s="77" t="s">
        <v>3052</v>
      </c>
      <c r="D3477" s="77" t="s">
        <v>1530</v>
      </c>
      <c r="E3477" s="41" t="str">
        <f>IFERROR(__xludf.DUMMYFUNCTION("IFNA(vlookup(D3477,IMPORTRANGE(""https://docs.google.com/spreadsheets/d/1swGwZOEqYlTEUCJLY-eeJM1911Kvaei5oySBIxdgtNo/edit?pli=1#gid=257618397"",""stock untanna!B:C""),2,false),V:V)"),"TAS TALI GG-02 TANGGUNG GLITTER")</f>
        <v>TAS TALI GG-02 TANGGUNG GLITTER</v>
      </c>
      <c r="F3477" s="49"/>
      <c r="G3477" s="71"/>
      <c r="H3477" s="41"/>
      <c r="I3477" s="42"/>
      <c r="J3477" s="85" t="s">
        <v>1319</v>
      </c>
      <c r="K3477" s="93">
        <v>1.0</v>
      </c>
      <c r="L3477" s="112" t="s">
        <v>62</v>
      </c>
      <c r="M3477" s="113">
        <v>110000.0</v>
      </c>
      <c r="N3477" s="74"/>
      <c r="O3477" s="87">
        <f t="shared" si="11"/>
        <v>110000</v>
      </c>
      <c r="P3477" s="102" t="str">
        <f t="shared" si="2"/>
        <v>Rp110,000-1 LSN-0.00%</v>
      </c>
      <c r="Q3477" s="92">
        <v>45422.0</v>
      </c>
      <c r="R3477" s="114">
        <v>45419.0</v>
      </c>
      <c r="S3477" s="92">
        <v>45430.0</v>
      </c>
      <c r="T3477" s="49"/>
      <c r="V3477" s="21" t="s">
        <v>1531</v>
      </c>
    </row>
    <row r="3478">
      <c r="A3478" s="93">
        <v>94.0</v>
      </c>
      <c r="B3478" s="77" t="s">
        <v>29</v>
      </c>
      <c r="C3478" s="77" t="s">
        <v>3052</v>
      </c>
      <c r="D3478" s="77" t="s">
        <v>1530</v>
      </c>
      <c r="E3478" s="41" t="str">
        <f>IFERROR(__xludf.DUMMYFUNCTION("IFNA(vlookup(D3478,IMPORTRANGE(""https://docs.google.com/spreadsheets/d/1swGwZOEqYlTEUCJLY-eeJM1911Kvaei5oySBIxdgtNo/edit?pli=1#gid=257618397"",""stock untanna!B:C""),2,false),V:V)"),"TAS TALI GG-02 TANGGUNG GLITTER")</f>
        <v>TAS TALI GG-02 TANGGUNG GLITTER</v>
      </c>
      <c r="F3478" s="49"/>
      <c r="G3478" s="71"/>
      <c r="H3478" s="41"/>
      <c r="I3478" s="42"/>
      <c r="J3478" s="85" t="s">
        <v>1319</v>
      </c>
      <c r="K3478" s="93">
        <v>1.0</v>
      </c>
      <c r="L3478" s="112" t="s">
        <v>62</v>
      </c>
      <c r="M3478" s="113">
        <v>110000.0</v>
      </c>
      <c r="N3478" s="74"/>
      <c r="O3478" s="87">
        <f t="shared" si="11"/>
        <v>110000</v>
      </c>
      <c r="P3478" s="102" t="str">
        <f t="shared" si="2"/>
        <v>Rp110,000-1 LSN-0.00%</v>
      </c>
      <c r="Q3478" s="92">
        <v>45422.0</v>
      </c>
      <c r="R3478" s="114">
        <v>45419.0</v>
      </c>
      <c r="S3478" s="92">
        <v>45430.0</v>
      </c>
      <c r="T3478" s="49"/>
      <c r="V3478" s="21" t="s">
        <v>1531</v>
      </c>
    </row>
    <row r="3479">
      <c r="A3479" s="93">
        <v>94.0</v>
      </c>
      <c r="B3479" s="77" t="s">
        <v>29</v>
      </c>
      <c r="C3479" s="77" t="s">
        <v>3052</v>
      </c>
      <c r="D3479" s="77" t="s">
        <v>3327</v>
      </c>
      <c r="E3479" s="41" t="str">
        <f>IFERROR(__xludf.DUMMYFUNCTION("IFNA(vlookup(D3479,IMPORTRANGE(""https://docs.google.com/spreadsheets/d/1swGwZOEqYlTEUCJLY-eeJM1911Kvaei5oySBIxdgtNo/edit?pli=1#gid=257618397"",""stock untanna!B:C""),2,false),V:V)"),"STUDY BOARD DJ3022")</f>
        <v>STUDY BOARD DJ3022</v>
      </c>
      <c r="F3479" s="49"/>
      <c r="G3479" s="71"/>
      <c r="H3479" s="41"/>
      <c r="I3479" s="42"/>
      <c r="J3479" s="85" t="s">
        <v>1319</v>
      </c>
      <c r="K3479" s="93">
        <v>12.0</v>
      </c>
      <c r="L3479" s="112" t="s">
        <v>69</v>
      </c>
      <c r="M3479" s="113">
        <v>8750.0</v>
      </c>
      <c r="N3479" s="74"/>
      <c r="O3479" s="87">
        <f t="shared" si="11"/>
        <v>105000</v>
      </c>
      <c r="P3479" s="102" t="str">
        <f t="shared" si="2"/>
        <v>Rp8,750-12 PCS-0.00%</v>
      </c>
      <c r="Q3479" s="92">
        <v>45422.0</v>
      </c>
      <c r="R3479" s="114">
        <v>45419.0</v>
      </c>
      <c r="S3479" s="92">
        <v>45430.0</v>
      </c>
      <c r="T3479" s="49"/>
      <c r="V3479" s="21" t="s">
        <v>3328</v>
      </c>
    </row>
    <row r="3480">
      <c r="A3480" s="93">
        <v>95.0</v>
      </c>
      <c r="B3480" s="77" t="s">
        <v>29</v>
      </c>
      <c r="C3480" s="77" t="s">
        <v>3052</v>
      </c>
      <c r="D3480" s="77" t="s">
        <v>224</v>
      </c>
      <c r="E3480" s="41" t="str">
        <f>IFERROR(__xludf.DUMMYFUNCTION("IFNA(vlookup(D3480,IMPORTRANGE(""https://docs.google.com/spreadsheets/d/1swGwZOEqYlTEUCJLY-eeJM1911Kvaei5oySBIxdgtNo/edit?pli=1#gid=257618397"",""stock untanna!B:C""),2,false),V:V)"),"TAS LY HD 148 B")</f>
        <v>TAS LY HD 148 B</v>
      </c>
      <c r="F3480" s="49"/>
      <c r="G3480" s="71"/>
      <c r="H3480" s="41"/>
      <c r="I3480" s="42"/>
      <c r="J3480" s="85" t="s">
        <v>1319</v>
      </c>
      <c r="K3480" s="93">
        <v>12.0</v>
      </c>
      <c r="L3480" s="112" t="s">
        <v>69</v>
      </c>
      <c r="M3480" s="113">
        <v>8750.0</v>
      </c>
      <c r="N3480" s="74"/>
      <c r="O3480" s="87">
        <f t="shared" si="11"/>
        <v>105000</v>
      </c>
      <c r="P3480" s="102" t="str">
        <f t="shared" si="2"/>
        <v>Rp8,750-12 PCS-0.00%</v>
      </c>
      <c r="Q3480" s="92">
        <v>45422.0</v>
      </c>
      <c r="R3480" s="114">
        <v>45419.0</v>
      </c>
      <c r="S3480" s="92">
        <v>45430.0</v>
      </c>
      <c r="T3480" s="49"/>
      <c r="V3480" s="21" t="s">
        <v>225</v>
      </c>
    </row>
    <row r="3481">
      <c r="A3481" s="93">
        <v>95.0</v>
      </c>
      <c r="B3481" s="77" t="s">
        <v>29</v>
      </c>
      <c r="C3481" s="77" t="s">
        <v>3052</v>
      </c>
      <c r="D3481" s="77" t="s">
        <v>1530</v>
      </c>
      <c r="E3481" s="41" t="str">
        <f>IFERROR(__xludf.DUMMYFUNCTION("IFNA(vlookup(D3481,IMPORTRANGE(""https://docs.google.com/spreadsheets/d/1swGwZOEqYlTEUCJLY-eeJM1911Kvaei5oySBIxdgtNo/edit?pli=1#gid=257618397"",""stock untanna!B:C""),2,false),V:V)"),"TAS TALI GG-02 TANGGUNG GLITTER")</f>
        <v>TAS TALI GG-02 TANGGUNG GLITTER</v>
      </c>
      <c r="F3481" s="49"/>
      <c r="G3481" s="71"/>
      <c r="H3481" s="41"/>
      <c r="I3481" s="42"/>
      <c r="J3481" s="85" t="s">
        <v>1319</v>
      </c>
      <c r="K3481" s="93">
        <v>1.0</v>
      </c>
      <c r="L3481" s="112" t="s">
        <v>62</v>
      </c>
      <c r="M3481" s="113">
        <v>110000.0</v>
      </c>
      <c r="N3481" s="74"/>
      <c r="O3481" s="87">
        <f t="shared" si="11"/>
        <v>110000</v>
      </c>
      <c r="P3481" s="102" t="str">
        <f t="shared" si="2"/>
        <v>Rp110,000-1 LSN-0.00%</v>
      </c>
      <c r="Q3481" s="92">
        <v>45422.0</v>
      </c>
      <c r="R3481" s="114">
        <v>45419.0</v>
      </c>
      <c r="S3481" s="92">
        <v>45430.0</v>
      </c>
      <c r="T3481" s="49"/>
      <c r="V3481" s="21" t="s">
        <v>1531</v>
      </c>
    </row>
    <row r="3482">
      <c r="A3482" s="93">
        <v>95.0</v>
      </c>
      <c r="B3482" s="77" t="s">
        <v>29</v>
      </c>
      <c r="C3482" s="77" t="s">
        <v>3052</v>
      </c>
      <c r="D3482" s="77" t="s">
        <v>1530</v>
      </c>
      <c r="E3482" s="41" t="str">
        <f>IFERROR(__xludf.DUMMYFUNCTION("IFNA(vlookup(D3482,IMPORTRANGE(""https://docs.google.com/spreadsheets/d/1swGwZOEqYlTEUCJLY-eeJM1911Kvaei5oySBIxdgtNo/edit?pli=1#gid=257618397"",""stock untanna!B:C""),2,false),V:V)"),"TAS TALI GG-02 TANGGUNG GLITTER")</f>
        <v>TAS TALI GG-02 TANGGUNG GLITTER</v>
      </c>
      <c r="F3482" s="49"/>
      <c r="G3482" s="71"/>
      <c r="H3482" s="41"/>
      <c r="I3482" s="42"/>
      <c r="J3482" s="85" t="s">
        <v>1319</v>
      </c>
      <c r="K3482" s="93">
        <v>1.0</v>
      </c>
      <c r="L3482" s="112" t="s">
        <v>62</v>
      </c>
      <c r="M3482" s="113">
        <v>110000.0</v>
      </c>
      <c r="N3482" s="74"/>
      <c r="O3482" s="87">
        <f t="shared" si="11"/>
        <v>110000</v>
      </c>
      <c r="P3482" s="102" t="str">
        <f t="shared" si="2"/>
        <v>Rp110,000-1 LSN-0.00%</v>
      </c>
      <c r="Q3482" s="92">
        <v>45422.0</v>
      </c>
      <c r="R3482" s="114">
        <v>45419.0</v>
      </c>
      <c r="S3482" s="92">
        <v>45430.0</v>
      </c>
      <c r="T3482" s="49"/>
      <c r="V3482" s="21" t="s">
        <v>1531</v>
      </c>
    </row>
    <row r="3483">
      <c r="A3483" s="93">
        <v>95.0</v>
      </c>
      <c r="B3483" s="77" t="s">
        <v>29</v>
      </c>
      <c r="C3483" s="77" t="s">
        <v>3052</v>
      </c>
      <c r="D3483" s="77" t="s">
        <v>247</v>
      </c>
      <c r="E3483" s="41" t="str">
        <f>IFERROR(__xludf.DUMMYFUNCTION("IFNA(vlookup(D3483,IMPORTRANGE(""https://docs.google.com/spreadsheets/d/1swGwZOEqYlTEUCJLY-eeJM1911Kvaei5oySBIxdgtNo/edit?pli=1#gid=257618397"",""stock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483" s="49"/>
      <c r="G3483" s="71"/>
      <c r="H3483" s="41"/>
      <c r="I3483" s="42"/>
      <c r="J3483" s="85" t="s">
        <v>1319</v>
      </c>
      <c r="K3483" s="93">
        <v>1.0</v>
      </c>
      <c r="L3483" s="112" t="s">
        <v>62</v>
      </c>
      <c r="M3483" s="113">
        <v>105000.0</v>
      </c>
      <c r="N3483" s="74"/>
      <c r="O3483" s="87">
        <f t="shared" si="11"/>
        <v>105000</v>
      </c>
      <c r="P3483" s="102" t="str">
        <f t="shared" si="2"/>
        <v>Rp105,000-1 LSN-0.00%</v>
      </c>
      <c r="Q3483" s="92">
        <v>45422.0</v>
      </c>
      <c r="R3483" s="114">
        <v>45419.0</v>
      </c>
      <c r="S3483" s="92">
        <v>45430.0</v>
      </c>
      <c r="T3483" s="49"/>
      <c r="V3483" s="21" t="s">
        <v>248</v>
      </c>
    </row>
    <row r="3484">
      <c r="A3484" s="93">
        <v>95.0</v>
      </c>
      <c r="B3484" s="77" t="s">
        <v>29</v>
      </c>
      <c r="C3484" s="77" t="s">
        <v>3052</v>
      </c>
      <c r="D3484" s="77" t="s">
        <v>247</v>
      </c>
      <c r="E3484" s="41" t="str">
        <f>IFERROR(__xludf.DUMMYFUNCTION("IFNA(vlookup(D3484,IMPORTRANGE(""https://docs.google.com/spreadsheets/d/1swGwZOEqYlTEUCJLY-eeJM1911Kvaei5oySBIxdgtNo/edit?pli=1#gid=257618397"",""stock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484" s="49"/>
      <c r="G3484" s="71"/>
      <c r="H3484" s="41"/>
      <c r="I3484" s="42"/>
      <c r="J3484" s="85" t="s">
        <v>1319</v>
      </c>
      <c r="K3484" s="93">
        <v>1.0</v>
      </c>
      <c r="L3484" s="112" t="s">
        <v>62</v>
      </c>
      <c r="M3484" s="113">
        <v>105000.0</v>
      </c>
      <c r="N3484" s="74"/>
      <c r="O3484" s="87">
        <f t="shared" si="11"/>
        <v>105000</v>
      </c>
      <c r="P3484" s="102" t="str">
        <f t="shared" si="2"/>
        <v>Rp105,000-1 LSN-0.00%</v>
      </c>
      <c r="Q3484" s="92">
        <v>45422.0</v>
      </c>
      <c r="R3484" s="114">
        <v>45419.0</v>
      </c>
      <c r="S3484" s="92">
        <v>45430.0</v>
      </c>
      <c r="T3484" s="49"/>
      <c r="V3484" s="21" t="s">
        <v>248</v>
      </c>
    </row>
    <row r="3485">
      <c r="A3485" s="93">
        <v>95.0</v>
      </c>
      <c r="B3485" s="77" t="s">
        <v>29</v>
      </c>
      <c r="C3485" s="77" t="s">
        <v>3052</v>
      </c>
      <c r="D3485" s="77" t="s">
        <v>247</v>
      </c>
      <c r="E3485" s="41" t="str">
        <f>IFERROR(__xludf.DUMMYFUNCTION("IFNA(vlookup(D3485,IMPORTRANGE(""https://docs.google.com/spreadsheets/d/1swGwZOEqYlTEUCJLY-eeJM1911Kvaei5oySBIxdgtNo/edit?pli=1#gid=257618397"",""stock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485" s="49"/>
      <c r="G3485" s="71"/>
      <c r="H3485" s="41"/>
      <c r="I3485" s="42"/>
      <c r="J3485" s="85" t="s">
        <v>1319</v>
      </c>
      <c r="K3485" s="93">
        <v>1.0</v>
      </c>
      <c r="L3485" s="112" t="s">
        <v>62</v>
      </c>
      <c r="M3485" s="113">
        <v>105000.0</v>
      </c>
      <c r="N3485" s="74"/>
      <c r="O3485" s="87">
        <f t="shared" si="11"/>
        <v>105000</v>
      </c>
      <c r="P3485" s="102" t="str">
        <f t="shared" si="2"/>
        <v>Rp105,000-1 LSN-0.00%</v>
      </c>
      <c r="Q3485" s="92">
        <v>45422.0</v>
      </c>
      <c r="R3485" s="114">
        <v>45419.0</v>
      </c>
      <c r="S3485" s="92">
        <v>45430.0</v>
      </c>
      <c r="T3485" s="49"/>
      <c r="V3485" s="21" t="s">
        <v>248</v>
      </c>
    </row>
    <row r="3486">
      <c r="A3486" s="93">
        <v>95.0</v>
      </c>
      <c r="B3486" s="77" t="s">
        <v>29</v>
      </c>
      <c r="C3486" s="77" t="s">
        <v>3052</v>
      </c>
      <c r="D3486" s="77" t="s">
        <v>1485</v>
      </c>
      <c r="E3486" s="41" t="str">
        <f>IFERROR(__xludf.DUMMYFUNCTION("IFNA(vlookup(D3486,IMPORTRANGE(""https://docs.google.com/spreadsheets/d/1swGwZOEqYlTEUCJLY-eeJM1911Kvaei5oySBIxdgtNo/edit?pli=1#gid=257618397"",""stock untanna!B:C""),2,false),V:V)"),"TAS 16 X 21")</f>
        <v>TAS 16 X 21</v>
      </c>
      <c r="F3486" s="49"/>
      <c r="G3486" s="71"/>
      <c r="H3486" s="41"/>
      <c r="I3486" s="42"/>
      <c r="J3486" s="85" t="s">
        <v>1319</v>
      </c>
      <c r="K3486" s="93">
        <v>2.0</v>
      </c>
      <c r="L3486" s="112" t="s">
        <v>62</v>
      </c>
      <c r="M3486" s="113">
        <v>15000.0</v>
      </c>
      <c r="N3486" s="74"/>
      <c r="O3486" s="87">
        <f t="shared" si="11"/>
        <v>30000</v>
      </c>
      <c r="P3486" s="102" t="str">
        <f t="shared" si="2"/>
        <v>Rp15,000-2 LSN-0.00%</v>
      </c>
      <c r="Q3486" s="92">
        <v>45422.0</v>
      </c>
      <c r="R3486" s="114">
        <v>45419.0</v>
      </c>
      <c r="S3486" s="92">
        <v>45430.0</v>
      </c>
      <c r="T3486" s="49"/>
      <c r="V3486" s="21" t="s">
        <v>1486</v>
      </c>
    </row>
    <row r="3487">
      <c r="A3487" s="93">
        <v>95.0</v>
      </c>
      <c r="B3487" s="77" t="s">
        <v>29</v>
      </c>
      <c r="C3487" s="77" t="s">
        <v>3052</v>
      </c>
      <c r="D3487" s="77" t="s">
        <v>1630</v>
      </c>
      <c r="E3487" s="41" t="str">
        <f>IFERROR(__xludf.DUMMYFUNCTION("IFNA(vlookup(D3487,IMPORTRANGE(""https://docs.google.com/spreadsheets/d/1swGwZOEqYlTEUCJLY-eeJM1911Kvaei5oySBIxdgtNo/edit?pli=1#gid=257618397"",""stock untanna!B:C""),2,false),V:V)"),"TAS BRANDED KECIL SB 115")</f>
        <v>TAS BRANDED KECIL SB 115</v>
      </c>
      <c r="F3487" s="49"/>
      <c r="G3487" s="71"/>
      <c r="H3487" s="41"/>
      <c r="I3487" s="42"/>
      <c r="J3487" s="85" t="s">
        <v>1319</v>
      </c>
      <c r="K3487" s="93">
        <v>2.0</v>
      </c>
      <c r="L3487" s="112" t="s">
        <v>62</v>
      </c>
      <c r="M3487" s="113">
        <v>30000.0</v>
      </c>
      <c r="N3487" s="74"/>
      <c r="O3487" s="87">
        <f t="shared" si="11"/>
        <v>60000</v>
      </c>
      <c r="P3487" s="102" t="str">
        <f t="shared" si="2"/>
        <v>Rp30,000-2 LSN-0.00%</v>
      </c>
      <c r="Q3487" s="92">
        <v>45422.0</v>
      </c>
      <c r="R3487" s="114">
        <v>45419.0</v>
      </c>
      <c r="S3487" s="92">
        <v>45430.0</v>
      </c>
      <c r="T3487" s="49"/>
      <c r="V3487" s="21" t="s">
        <v>1631</v>
      </c>
    </row>
    <row r="3488">
      <c r="A3488" s="93">
        <v>95.0</v>
      </c>
      <c r="B3488" s="77" t="s">
        <v>29</v>
      </c>
      <c r="C3488" s="77" t="s">
        <v>3052</v>
      </c>
      <c r="D3488" s="77" t="s">
        <v>896</v>
      </c>
      <c r="E3488" s="41" t="str">
        <f>IFERROR(__xludf.DUMMYFUNCTION("IFNA(vlookup(D3488,IMPORTRANGE(""https://docs.google.com/spreadsheets/d/1swGwZOEqYlTEUCJLY-eeJM1911Kvaei5oySBIxdgtNo/edit?pli=1#gid=257618397"",""stock untanna!B:C""),2,false),V:V)"),"TAS BRANDED TANGGUNG SB-116")</f>
        <v>TAS BRANDED TANGGUNG SB-116</v>
      </c>
      <c r="F3488" s="49"/>
      <c r="G3488" s="71"/>
      <c r="H3488" s="41"/>
      <c r="I3488" s="42"/>
      <c r="J3488" s="85" t="s">
        <v>1319</v>
      </c>
      <c r="K3488" s="93">
        <v>2.0</v>
      </c>
      <c r="L3488" s="112" t="s">
        <v>62</v>
      </c>
      <c r="M3488" s="113">
        <v>40000.0</v>
      </c>
      <c r="N3488" s="74"/>
      <c r="O3488" s="87">
        <f t="shared" si="11"/>
        <v>80000</v>
      </c>
      <c r="P3488" s="102" t="str">
        <f t="shared" si="2"/>
        <v>Rp40,000-2 LSN-0.00%</v>
      </c>
      <c r="Q3488" s="92">
        <v>45422.0</v>
      </c>
      <c r="R3488" s="114">
        <v>45419.0</v>
      </c>
      <c r="S3488" s="92">
        <v>45430.0</v>
      </c>
      <c r="T3488" s="49"/>
      <c r="V3488" s="21" t="s">
        <v>897</v>
      </c>
    </row>
    <row r="3489">
      <c r="A3489" s="93">
        <v>95.0</v>
      </c>
      <c r="B3489" s="77" t="s">
        <v>29</v>
      </c>
      <c r="C3489" s="77" t="s">
        <v>3052</v>
      </c>
      <c r="D3489" s="77" t="s">
        <v>3337</v>
      </c>
      <c r="E3489" s="41" t="str">
        <f>IFERROR(__xludf.DUMMYFUNCTION("IFNA(vlookup(D3489,IMPORTRANGE(""https://docs.google.com/spreadsheets/d/1swGwZOEqYlTEUCJLY-eeJM1911Kvaei5oySBIxdgtNo/edit?pli=1#gid=257618397"",""stock untanna!B:C""),2,false),V:V)"),"TAS BRANDED BUKA SAMPING BESAR SB-120")</f>
        <v>TAS BRANDED BUKA SAMPING BESAR SB-120</v>
      </c>
      <c r="F3489" s="49"/>
      <c r="G3489" s="71"/>
      <c r="H3489" s="41"/>
      <c r="I3489" s="42"/>
      <c r="J3489" s="85" t="s">
        <v>3190</v>
      </c>
      <c r="K3489" s="93">
        <v>2.0</v>
      </c>
      <c r="L3489" s="112" t="s">
        <v>62</v>
      </c>
      <c r="M3489" s="113">
        <v>50000.0</v>
      </c>
      <c r="N3489" s="74"/>
      <c r="O3489" s="87">
        <f t="shared" si="11"/>
        <v>100000</v>
      </c>
      <c r="P3489" s="102" t="str">
        <f t="shared" si="2"/>
        <v>Rp50,000-2 LSN-0.00%</v>
      </c>
      <c r="Q3489" s="92">
        <v>45422.0</v>
      </c>
      <c r="R3489" s="114">
        <v>45419.0</v>
      </c>
      <c r="S3489" s="92">
        <v>45430.0</v>
      </c>
      <c r="T3489" s="49"/>
      <c r="V3489" s="21" t="s">
        <v>3338</v>
      </c>
    </row>
    <row r="3490">
      <c r="A3490" s="93">
        <v>95.0</v>
      </c>
      <c r="B3490" s="77" t="s">
        <v>29</v>
      </c>
      <c r="C3490" s="77" t="s">
        <v>3052</v>
      </c>
      <c r="D3490" s="77" t="s">
        <v>3339</v>
      </c>
      <c r="E3490" s="41" t="str">
        <f>IFERROR(__xludf.DUMMYFUNCTION("IFNA(vlookup(D3490,IMPORTRANGE(""https://docs.google.com/spreadsheets/d/1swGwZOEqYlTEUCJLY-eeJM1911Kvaei5oySBIxdgtNo/edit?pli=1#gid=257618397"",""stock untanna!B:C""),2,false),V:V)"),"TAS BATIK MJ 1 KECIL")</f>
        <v>TAS BATIK MJ 1 KECIL</v>
      </c>
      <c r="F3490" s="49"/>
      <c r="G3490" s="71"/>
      <c r="H3490" s="41"/>
      <c r="I3490" s="42"/>
      <c r="J3490" s="85" t="s">
        <v>1319</v>
      </c>
      <c r="K3490" s="93">
        <v>2.0</v>
      </c>
      <c r="L3490" s="112" t="s">
        <v>62</v>
      </c>
      <c r="M3490" s="113">
        <v>34500.0</v>
      </c>
      <c r="N3490" s="74"/>
      <c r="O3490" s="87">
        <f t="shared" si="11"/>
        <v>69000</v>
      </c>
      <c r="P3490" s="102" t="str">
        <f t="shared" si="2"/>
        <v>Rp34,500-2 LSN-0.00%</v>
      </c>
      <c r="Q3490" s="92">
        <v>45422.0</v>
      </c>
      <c r="R3490" s="114">
        <v>45419.0</v>
      </c>
      <c r="S3490" s="92">
        <v>45430.0</v>
      </c>
      <c r="T3490" s="49"/>
      <c r="V3490" s="21" t="s">
        <v>3340</v>
      </c>
    </row>
    <row r="3491">
      <c r="A3491" s="93">
        <v>95.0</v>
      </c>
      <c r="B3491" s="77" t="s">
        <v>29</v>
      </c>
      <c r="C3491" s="77" t="s">
        <v>3052</v>
      </c>
      <c r="D3491" s="77" t="s">
        <v>656</v>
      </c>
      <c r="E3491" s="41" t="str">
        <f>IFERROR(__xludf.DUMMYFUNCTION("IFNA(vlookup(D3491,IMPORTRANGE(""https://docs.google.com/spreadsheets/d/1swGwZOEqYlTEUCJLY-eeJM1911Kvaei5oySBIxdgtNo/edit?pli=1#gid=257618397"",""stock untanna!B:C""),2,false),V:V)"),"TAS BATIK T ALPINDO ")</f>
        <v>TAS BATIK T ALPINDO </v>
      </c>
      <c r="F3491" s="49"/>
      <c r="G3491" s="71"/>
      <c r="H3491" s="41"/>
      <c r="I3491" s="42"/>
      <c r="J3491" s="85" t="s">
        <v>1319</v>
      </c>
      <c r="K3491" s="93">
        <v>2.0</v>
      </c>
      <c r="L3491" s="112" t="s">
        <v>62</v>
      </c>
      <c r="M3491" s="113">
        <v>42000.0</v>
      </c>
      <c r="N3491" s="74"/>
      <c r="O3491" s="87">
        <f t="shared" si="11"/>
        <v>84000</v>
      </c>
      <c r="P3491" s="102" t="str">
        <f t="shared" si="2"/>
        <v>Rp42,000-2 LSN-0.00%</v>
      </c>
      <c r="Q3491" s="92">
        <v>45422.0</v>
      </c>
      <c r="R3491" s="114">
        <v>45419.0</v>
      </c>
      <c r="S3491" s="92">
        <v>45430.0</v>
      </c>
      <c r="T3491" s="49"/>
      <c r="V3491" s="21" t="s">
        <v>1240</v>
      </c>
    </row>
    <row r="3492">
      <c r="A3492" s="93">
        <v>95.0</v>
      </c>
      <c r="B3492" s="77" t="s">
        <v>29</v>
      </c>
      <c r="C3492" s="77" t="s">
        <v>3052</v>
      </c>
      <c r="D3492" s="77" t="s">
        <v>1336</v>
      </c>
      <c r="E3492" s="41" t="str">
        <f>IFERROR(__xludf.DUMMYFUNCTION("IFNA(vlookup(D3492,IMPORTRANGE(""https://docs.google.com/spreadsheets/d/1swGwZOEqYlTEUCJLY-eeJM1911Kvaei5oySBIxdgtNo/edit?pli=1#gid=257618397"",""stock untanna!B:C""),2,false),V:V)"),"TAS BATIK B ALPINDO")</f>
        <v>TAS BATIK B ALPINDO</v>
      </c>
      <c r="F3492" s="49"/>
      <c r="G3492" s="71"/>
      <c r="H3492" s="41"/>
      <c r="I3492" s="42"/>
      <c r="J3492" s="85" t="s">
        <v>1319</v>
      </c>
      <c r="K3492" s="93">
        <v>2.0</v>
      </c>
      <c r="L3492" s="112" t="s">
        <v>62</v>
      </c>
      <c r="M3492" s="113">
        <v>52500.0</v>
      </c>
      <c r="N3492" s="74"/>
      <c r="O3492" s="87">
        <f t="shared" si="11"/>
        <v>105000</v>
      </c>
      <c r="P3492" s="102" t="str">
        <f t="shared" si="2"/>
        <v>Rp52,500-2 LSN-0.00%</v>
      </c>
      <c r="Q3492" s="92">
        <v>45422.0</v>
      </c>
      <c r="R3492" s="114">
        <v>45419.0</v>
      </c>
      <c r="S3492" s="92">
        <v>45430.0</v>
      </c>
      <c r="T3492" s="49"/>
      <c r="V3492" s="21" t="s">
        <v>1337</v>
      </c>
    </row>
    <row r="3493">
      <c r="A3493" s="93">
        <v>95.0</v>
      </c>
      <c r="B3493" s="77" t="s">
        <v>29</v>
      </c>
      <c r="C3493" s="77" t="s">
        <v>3052</v>
      </c>
      <c r="D3493" s="91"/>
      <c r="E3493" s="41" t="str">
        <f>IFERROR(__xludf.DUMMYFUNCTION("IFNA(vlookup(D3493,IMPORTRANGE(""https://docs.google.com/spreadsheets/d/1swGwZOEqYlTEUCJLY-eeJM1911Kvaei5oySBIxdgtNo/edit?pli=1#gid=257618397"",""stock untanna!B:C""),2,false),V:V)"),"TAS BATIK SB XXL-0121")</f>
        <v>TAS BATIK SB XXL-0121</v>
      </c>
      <c r="F3493" s="49"/>
      <c r="G3493" s="71"/>
      <c r="H3493" s="41"/>
      <c r="I3493" s="42"/>
      <c r="J3493" s="85" t="s">
        <v>3190</v>
      </c>
      <c r="K3493" s="93">
        <v>1.0</v>
      </c>
      <c r="L3493" s="112" t="s">
        <v>62</v>
      </c>
      <c r="M3493" s="113">
        <v>55000.0</v>
      </c>
      <c r="N3493" s="74"/>
      <c r="O3493" s="87">
        <f t="shared" si="11"/>
        <v>55000</v>
      </c>
      <c r="P3493" s="102" t="str">
        <f t="shared" si="2"/>
        <v>Rp55,000-1 LSN-0.00%</v>
      </c>
      <c r="Q3493" s="92">
        <v>45422.0</v>
      </c>
      <c r="R3493" s="114">
        <v>45419.0</v>
      </c>
      <c r="S3493" s="92">
        <v>45430.0</v>
      </c>
      <c r="T3493" s="49"/>
      <c r="V3493" s="21" t="s">
        <v>3341</v>
      </c>
    </row>
    <row r="3494">
      <c r="A3494" s="93">
        <v>95.0</v>
      </c>
      <c r="B3494" s="77" t="s">
        <v>29</v>
      </c>
      <c r="C3494" s="77" t="s">
        <v>3052</v>
      </c>
      <c r="D3494" s="91"/>
      <c r="E3494" s="41" t="str">
        <f>IFERROR(__xludf.DUMMYFUNCTION("IFNA(vlookup(D3494,IMPORTRANGE(""https://docs.google.com/spreadsheets/d/1swGwZOEqYlTEUCJLY-eeJM1911Kvaei5oySBIxdgtNo/edit?pli=1#gid=257618397"",""stock untanna!B:C""),2,false),V:V)"),"TAS BATIK EMAS K")</f>
        <v>TAS BATIK EMAS K</v>
      </c>
      <c r="F3494" s="49"/>
      <c r="G3494" s="71"/>
      <c r="H3494" s="41"/>
      <c r="I3494" s="42"/>
      <c r="J3494" s="85" t="s">
        <v>3190</v>
      </c>
      <c r="K3494" s="93">
        <v>2.0</v>
      </c>
      <c r="L3494" s="112" t="s">
        <v>62</v>
      </c>
      <c r="M3494" s="113">
        <v>42000.0</v>
      </c>
      <c r="N3494" s="74"/>
      <c r="O3494" s="87">
        <f t="shared" si="11"/>
        <v>84000</v>
      </c>
      <c r="P3494" s="102" t="str">
        <f t="shared" si="2"/>
        <v>Rp42,000-2 LSN-0.00%</v>
      </c>
      <c r="Q3494" s="92">
        <v>45422.0</v>
      </c>
      <c r="R3494" s="114">
        <v>45419.0</v>
      </c>
      <c r="S3494" s="92">
        <v>45430.0</v>
      </c>
      <c r="T3494" s="49"/>
      <c r="V3494" s="21" t="s">
        <v>1252</v>
      </c>
    </row>
    <row r="3495">
      <c r="A3495" s="93">
        <v>95.0</v>
      </c>
      <c r="B3495" s="77" t="s">
        <v>29</v>
      </c>
      <c r="C3495" s="77" t="s">
        <v>3052</v>
      </c>
      <c r="D3495" s="77" t="s">
        <v>1925</v>
      </c>
      <c r="E3495" s="41" t="str">
        <f>IFERROR(__xludf.DUMMYFUNCTION("IFNA(vlookup(D3495,IMPORTRANGE(""https://docs.google.com/spreadsheets/d/1swGwZOEqYlTEUCJLY-eeJM1911Kvaei5oySBIxdgtNo/edit?pli=1#gid=257618397"",""stock untanna!B:C""),2,false),V:V)"),"BK TAMU ECO LOVE")</f>
        <v>BK TAMU ECO LOVE</v>
      </c>
      <c r="F3495" s="49"/>
      <c r="G3495" s="71"/>
      <c r="H3495" s="41"/>
      <c r="I3495" s="42"/>
      <c r="J3495" s="85" t="s">
        <v>1319</v>
      </c>
      <c r="K3495" s="93">
        <v>1.0</v>
      </c>
      <c r="L3495" s="112" t="s">
        <v>62</v>
      </c>
      <c r="M3495" s="113">
        <v>200000.0</v>
      </c>
      <c r="N3495" s="74"/>
      <c r="O3495" s="87">
        <f t="shared" si="11"/>
        <v>200000</v>
      </c>
      <c r="P3495" s="102" t="str">
        <f t="shared" si="2"/>
        <v>Rp200,000-1 LSN-0.00%</v>
      </c>
      <c r="Q3495" s="92">
        <v>45422.0</v>
      </c>
      <c r="R3495" s="114">
        <v>45419.0</v>
      </c>
      <c r="S3495" s="92">
        <v>45430.0</v>
      </c>
      <c r="T3495" s="49"/>
      <c r="V3495" s="21" t="s">
        <v>1926</v>
      </c>
    </row>
    <row r="3496">
      <c r="A3496" s="93">
        <v>96.0</v>
      </c>
      <c r="B3496" s="77" t="s">
        <v>29</v>
      </c>
      <c r="C3496" s="77" t="s">
        <v>3052</v>
      </c>
      <c r="D3496" s="91"/>
      <c r="E3496" s="41" t="str">
        <f>IFERROR(__xludf.DUMMYFUNCTION("IFNA(vlookup(D3496,IMPORTRANGE(""https://docs.google.com/spreadsheets/d/1swGwZOEqYlTEUCJLY-eeJM1911Kvaei5oySBIxdgtNo/edit?pli=1#gid=257618397"",""stock untanna!B:C""),2,false),V:V)"),"TAS KARUNG BG14-001")</f>
        <v>TAS KARUNG BG14-001</v>
      </c>
      <c r="F3496" s="49"/>
      <c r="G3496" s="71"/>
      <c r="H3496" s="41"/>
      <c r="I3496" s="42"/>
      <c r="J3496" s="85" t="s">
        <v>3190</v>
      </c>
      <c r="K3496" s="93">
        <v>2.0</v>
      </c>
      <c r="L3496" s="112" t="s">
        <v>62</v>
      </c>
      <c r="M3496" s="113">
        <v>120000.0</v>
      </c>
      <c r="N3496" s="74"/>
      <c r="O3496" s="87">
        <f t="shared" si="11"/>
        <v>240000</v>
      </c>
      <c r="P3496" s="102" t="str">
        <f t="shared" si="2"/>
        <v>Rp120,000-2 LSN-0.00%</v>
      </c>
      <c r="Q3496" s="92">
        <v>45422.0</v>
      </c>
      <c r="R3496" s="114">
        <v>45419.0</v>
      </c>
      <c r="S3496" s="92">
        <v>45430.0</v>
      </c>
      <c r="T3496" s="49"/>
      <c r="V3496" s="21" t="s">
        <v>3342</v>
      </c>
    </row>
    <row r="3497">
      <c r="A3497" s="93">
        <v>96.0</v>
      </c>
      <c r="B3497" s="77" t="s">
        <v>29</v>
      </c>
      <c r="C3497" s="77" t="s">
        <v>3052</v>
      </c>
      <c r="D3497" s="91"/>
      <c r="E3497" s="41" t="str">
        <f>IFERROR(__xludf.DUMMYFUNCTION("IFNA(vlookup(D3497,IMPORTRANGE(""https://docs.google.com/spreadsheets/d/1swGwZOEqYlTEUCJLY-eeJM1911Kvaei5oySBIxdgtNo/edit?pli=1#gid=257618397"",""stock untanna!B:C""),2,false),V:V)"),"TAS KARUNG BG13-023")</f>
        <v>TAS KARUNG BG13-023</v>
      </c>
      <c r="F3497" s="49"/>
      <c r="G3497" s="71"/>
      <c r="H3497" s="41"/>
      <c r="I3497" s="42"/>
      <c r="J3497" s="85" t="s">
        <v>3190</v>
      </c>
      <c r="K3497" s="93">
        <v>2.0</v>
      </c>
      <c r="L3497" s="112" t="s">
        <v>62</v>
      </c>
      <c r="M3497" s="113">
        <v>105000.0</v>
      </c>
      <c r="N3497" s="74"/>
      <c r="O3497" s="87">
        <f t="shared" si="11"/>
        <v>210000</v>
      </c>
      <c r="P3497" s="102" t="str">
        <f t="shared" si="2"/>
        <v>Rp105,000-2 LSN-0.00%</v>
      </c>
      <c r="Q3497" s="92">
        <v>45422.0</v>
      </c>
      <c r="R3497" s="114">
        <v>45419.0</v>
      </c>
      <c r="S3497" s="92">
        <v>45430.0</v>
      </c>
      <c r="T3497" s="49"/>
      <c r="V3497" s="21" t="s">
        <v>1253</v>
      </c>
    </row>
    <row r="3498">
      <c r="A3498" s="93">
        <v>96.0</v>
      </c>
      <c r="B3498" s="77" t="s">
        <v>29</v>
      </c>
      <c r="C3498" s="77" t="s">
        <v>3052</v>
      </c>
      <c r="D3498" s="77" t="s">
        <v>3343</v>
      </c>
      <c r="E3498" s="41" t="str">
        <f>IFERROR(__xludf.DUMMYFUNCTION("IFNA(vlookup(D3498,IMPORTRANGE(""https://docs.google.com/spreadsheets/d/1swGwZOEqYlTEUCJLY-eeJM1911Kvaei5oySBIxdgtNo/edit?pli=1#gid=257618397"",""stock untanna!B:C""),2,false),V:V)"),"TAS KARUNG 33X27")</f>
        <v>TAS KARUNG 33X27</v>
      </c>
      <c r="F3498" s="49"/>
      <c r="G3498" s="71"/>
      <c r="H3498" s="41"/>
      <c r="I3498" s="42"/>
      <c r="J3498" s="85" t="s">
        <v>1319</v>
      </c>
      <c r="K3498" s="93">
        <v>2.0</v>
      </c>
      <c r="L3498" s="112" t="s">
        <v>62</v>
      </c>
      <c r="M3498" s="113">
        <v>140000.0</v>
      </c>
      <c r="N3498" s="74"/>
      <c r="O3498" s="87">
        <f t="shared" si="11"/>
        <v>280000</v>
      </c>
      <c r="P3498" s="102" t="str">
        <f t="shared" si="2"/>
        <v>Rp140,000-2 LSN-0.00%</v>
      </c>
      <c r="Q3498" s="92">
        <v>45422.0</v>
      </c>
      <c r="R3498" s="114">
        <v>45419.0</v>
      </c>
      <c r="S3498" s="92">
        <v>45430.0</v>
      </c>
      <c r="T3498" s="49"/>
      <c r="V3498" s="21" t="s">
        <v>3344</v>
      </c>
    </row>
    <row r="3499">
      <c r="A3499" s="93">
        <v>96.0</v>
      </c>
      <c r="B3499" s="77" t="s">
        <v>29</v>
      </c>
      <c r="C3499" s="77" t="s">
        <v>3052</v>
      </c>
      <c r="D3499" s="77" t="s">
        <v>3345</v>
      </c>
      <c r="E3499" s="41" t="str">
        <f>IFERROR(__xludf.DUMMYFUNCTION("IFNA(vlookup(D3499,IMPORTRANGE(""https://docs.google.com/spreadsheets/d/1swGwZOEqYlTEUCJLY-eeJM1911Kvaei5oySBIxdgtNo/edit?pli=1#gid=257618397"",""stock untanna!B:C""),2,false),V:V)"),"TAS 24X20")</f>
        <v>TAS 24X20</v>
      </c>
      <c r="F3499" s="49"/>
      <c r="G3499" s="71"/>
      <c r="H3499" s="41"/>
      <c r="I3499" s="42"/>
      <c r="J3499" s="85" t="s">
        <v>1319</v>
      </c>
      <c r="K3499" s="93">
        <v>24.0</v>
      </c>
      <c r="L3499" s="112" t="s">
        <v>69</v>
      </c>
      <c r="M3499" s="113">
        <v>7916.67</v>
      </c>
      <c r="N3499" s="74"/>
      <c r="O3499" s="87">
        <f t="shared" si="11"/>
        <v>190000.08</v>
      </c>
      <c r="P3499" s="102" t="str">
        <f t="shared" si="2"/>
        <v>Rp7,917-24 PCS-0.00%</v>
      </c>
      <c r="Q3499" s="92">
        <v>45422.0</v>
      </c>
      <c r="R3499" s="114">
        <v>45419.0</v>
      </c>
      <c r="S3499" s="92">
        <v>45430.0</v>
      </c>
      <c r="T3499" s="49"/>
      <c r="V3499" s="21" t="s">
        <v>3346</v>
      </c>
    </row>
    <row r="3500">
      <c r="A3500" s="93">
        <v>96.0</v>
      </c>
      <c r="B3500" s="77" t="s">
        <v>29</v>
      </c>
      <c r="C3500" s="77" t="s">
        <v>3052</v>
      </c>
      <c r="D3500" s="77" t="s">
        <v>3347</v>
      </c>
      <c r="E3500" s="41" t="str">
        <f>IFERROR(__xludf.DUMMYFUNCTION("IFNA(vlookup(D3500,IMPORTRANGE(""https://docs.google.com/spreadsheets/d/1swGwZOEqYlTEUCJLY-eeJM1911Kvaei5oySBIxdgtNo/edit?pli=1#gid=257618397"",""stock untanna!B:C""),2,false),V:V)"),"TAS 30X20")</f>
        <v>TAS 30X20</v>
      </c>
      <c r="F3500" s="49"/>
      <c r="G3500" s="71"/>
      <c r="H3500" s="41"/>
      <c r="I3500" s="42"/>
      <c r="J3500" s="85" t="s">
        <v>1319</v>
      </c>
      <c r="K3500" s="93">
        <v>24.0</v>
      </c>
      <c r="L3500" s="112" t="s">
        <v>69</v>
      </c>
      <c r="M3500" s="113">
        <v>10000.0</v>
      </c>
      <c r="N3500" s="74"/>
      <c r="O3500" s="87">
        <f t="shared" si="11"/>
        <v>240000</v>
      </c>
      <c r="P3500" s="102" t="str">
        <f t="shared" si="2"/>
        <v>Rp10,000-24 PCS-0.00%</v>
      </c>
      <c r="Q3500" s="92">
        <v>45422.0</v>
      </c>
      <c r="R3500" s="114">
        <v>45419.0</v>
      </c>
      <c r="S3500" s="92">
        <v>45430.0</v>
      </c>
      <c r="T3500" s="49"/>
      <c r="V3500" s="21" t="s">
        <v>3348</v>
      </c>
    </row>
    <row r="3501">
      <c r="A3501" s="93">
        <v>96.0</v>
      </c>
      <c r="B3501" s="77" t="s">
        <v>29</v>
      </c>
      <c r="C3501" s="77" t="s">
        <v>3052</v>
      </c>
      <c r="D3501" s="77" t="s">
        <v>1264</v>
      </c>
      <c r="E3501" s="41" t="str">
        <f>IFERROR(__xludf.DUMMYFUNCTION("IFNA(vlookup(D3501,IMPORTRANGE(""https://docs.google.com/spreadsheets/d/1swGwZOEqYlTEUCJLY-eeJM1911Kvaei5oySBIxdgtNo/edit?pli=1#gid=257618397"",""stock untanna!B:C""),2,false),V:V)"),"TAS KARUNG 45X33")</f>
        <v>TAS KARUNG 45X33</v>
      </c>
      <c r="F3501" s="49"/>
      <c r="G3501" s="71"/>
      <c r="H3501" s="41"/>
      <c r="I3501" s="42"/>
      <c r="J3501" s="85" t="s">
        <v>1319</v>
      </c>
      <c r="K3501" s="93">
        <v>1.0</v>
      </c>
      <c r="L3501" s="112" t="s">
        <v>62</v>
      </c>
      <c r="M3501" s="113">
        <v>190000.0</v>
      </c>
      <c r="N3501" s="74"/>
      <c r="O3501" s="87">
        <f t="shared" si="11"/>
        <v>190000</v>
      </c>
      <c r="P3501" s="102" t="str">
        <f t="shared" si="2"/>
        <v>Rp190,000-1 LSN-0.00%</v>
      </c>
      <c r="Q3501" s="92">
        <v>45422.0</v>
      </c>
      <c r="R3501" s="114">
        <v>45419.0</v>
      </c>
      <c r="S3501" s="92">
        <v>45430.0</v>
      </c>
      <c r="T3501" s="49"/>
      <c r="V3501" s="21" t="s">
        <v>1265</v>
      </c>
    </row>
    <row r="3502">
      <c r="A3502" s="93">
        <v>96.0</v>
      </c>
      <c r="B3502" s="77" t="s">
        <v>29</v>
      </c>
      <c r="C3502" s="77" t="s">
        <v>3052</v>
      </c>
      <c r="D3502" s="77" t="s">
        <v>1256</v>
      </c>
      <c r="E3502" s="41" t="str">
        <f>IFERROR(__xludf.DUMMYFUNCTION("IFNA(vlookup(D3502,IMPORTRANGE(""https://docs.google.com/spreadsheets/d/1swGwZOEqYlTEUCJLY-eeJM1911Kvaei5oySBIxdgtNo/edit?pli=1#gid=257618397"",""stock untanna!B:C""),2,false),V:V)"),"TAS KARUNG TIDUR 40X30")</f>
        <v>TAS KARUNG TIDUR 40X30</v>
      </c>
      <c r="F3502" s="49"/>
      <c r="G3502" s="71"/>
      <c r="H3502" s="41"/>
      <c r="I3502" s="42"/>
      <c r="J3502" s="85" t="s">
        <v>1319</v>
      </c>
      <c r="K3502" s="93">
        <v>1.0</v>
      </c>
      <c r="L3502" s="112" t="s">
        <v>62</v>
      </c>
      <c r="M3502" s="113">
        <v>175000.0</v>
      </c>
      <c r="N3502" s="74"/>
      <c r="O3502" s="87">
        <f t="shared" si="11"/>
        <v>175000</v>
      </c>
      <c r="P3502" s="102" t="str">
        <f t="shared" si="2"/>
        <v>Rp175,000-1 LSN-0.00%</v>
      </c>
      <c r="Q3502" s="92">
        <v>45422.0</v>
      </c>
      <c r="R3502" s="114">
        <v>45419.0</v>
      </c>
      <c r="S3502" s="92">
        <v>45430.0</v>
      </c>
      <c r="T3502" s="49"/>
      <c r="V3502" s="21" t="s">
        <v>1257</v>
      </c>
    </row>
    <row r="3503">
      <c r="A3503" s="93">
        <v>96.0</v>
      </c>
      <c r="B3503" s="77" t="s">
        <v>29</v>
      </c>
      <c r="C3503" s="77" t="s">
        <v>3052</v>
      </c>
      <c r="D3503" s="77" t="s">
        <v>1258</v>
      </c>
      <c r="E3503" s="41" t="str">
        <f>IFERROR(__xludf.DUMMYFUNCTION("IFNA(vlookup(D3503,IMPORTRANGE(""https://docs.google.com/spreadsheets/d/1swGwZOEqYlTEUCJLY-eeJM1911Kvaei5oySBIxdgtNo/edit?pli=1#gid=257618397"",""stock untanna!B:C""),2,false),V:V)"),"TAS KARUNG 45X50")</f>
        <v>TAS KARUNG 45X50</v>
      </c>
      <c r="F3503" s="49"/>
      <c r="G3503" s="71"/>
      <c r="H3503" s="41"/>
      <c r="I3503" s="42"/>
      <c r="J3503" s="85" t="s">
        <v>1319</v>
      </c>
      <c r="K3503" s="93">
        <v>1.0</v>
      </c>
      <c r="L3503" s="112" t="s">
        <v>62</v>
      </c>
      <c r="M3503" s="113">
        <v>200000.0</v>
      </c>
      <c r="N3503" s="74"/>
      <c r="O3503" s="87">
        <f t="shared" si="11"/>
        <v>200000</v>
      </c>
      <c r="P3503" s="102" t="str">
        <f t="shared" si="2"/>
        <v>Rp200,000-1 LSN-0.00%</v>
      </c>
      <c r="Q3503" s="92">
        <v>45422.0</v>
      </c>
      <c r="R3503" s="114">
        <v>45419.0</v>
      </c>
      <c r="S3503" s="92">
        <v>45430.0</v>
      </c>
      <c r="T3503" s="49"/>
      <c r="V3503" s="21" t="s">
        <v>1259</v>
      </c>
    </row>
    <row r="3504">
      <c r="A3504" s="93">
        <v>96.0</v>
      </c>
      <c r="B3504" s="77" t="s">
        <v>29</v>
      </c>
      <c r="C3504" s="77" t="s">
        <v>3052</v>
      </c>
      <c r="D3504" s="77" t="s">
        <v>156</v>
      </c>
      <c r="E3504" s="41" t="str">
        <f>IFERROR(__xludf.DUMMYFUNCTION("IFNA(vlookup(D3504,IMPORTRANGE(""https://docs.google.com/spreadsheets/d/1swGwZOEqYlTEUCJLY-eeJM1911Kvaei5oySBIxdgtNo/edit?pli=1#gid=257618397"",""stock untanna!B:C""),2,false),V:V)"),"TAS KARUNG 60 X 45 X 20")</f>
        <v>TAS KARUNG 60 X 45 X 20</v>
      </c>
      <c r="F3504" s="49"/>
      <c r="G3504" s="71"/>
      <c r="H3504" s="41"/>
      <c r="I3504" s="42"/>
      <c r="J3504" s="85" t="s">
        <v>1319</v>
      </c>
      <c r="K3504" s="93">
        <v>12.0</v>
      </c>
      <c r="L3504" s="112" t="s">
        <v>69</v>
      </c>
      <c r="M3504" s="113">
        <v>20000.0</v>
      </c>
      <c r="N3504" s="74"/>
      <c r="O3504" s="87">
        <f t="shared" si="11"/>
        <v>240000</v>
      </c>
      <c r="P3504" s="102" t="str">
        <f t="shared" si="2"/>
        <v>Rp20,000-12 PCS-0.00%</v>
      </c>
      <c r="Q3504" s="92">
        <v>45422.0</v>
      </c>
      <c r="R3504" s="114">
        <v>45419.0</v>
      </c>
      <c r="S3504" s="92">
        <v>45430.0</v>
      </c>
      <c r="T3504" s="49"/>
      <c r="V3504" s="21" t="s">
        <v>3284</v>
      </c>
    </row>
    <row r="3505">
      <c r="A3505" s="93">
        <v>96.0</v>
      </c>
      <c r="B3505" s="77" t="s">
        <v>29</v>
      </c>
      <c r="C3505" s="77" t="s">
        <v>3052</v>
      </c>
      <c r="D3505" s="91"/>
      <c r="E3505" s="41" t="str">
        <f>IFERROR(__xludf.DUMMYFUNCTION("IFNA(vlookup(D3505,IMPORTRANGE(""https://docs.google.com/spreadsheets/d/1swGwZOEqYlTEUCJLY-eeJM1911Kvaei5oySBIxdgtNo/edit?pli=1#gid=257618397"",""stock untanna!B:C""),2,false),V:V)"),"MAP KC 1 SIKA")</f>
        <v>MAP KC 1 SIKA</v>
      </c>
      <c r="F3505" s="49"/>
      <c r="G3505" s="71"/>
      <c r="H3505" s="41"/>
      <c r="I3505" s="42"/>
      <c r="J3505" s="85" t="s">
        <v>3190</v>
      </c>
      <c r="K3505" s="93">
        <v>1.0</v>
      </c>
      <c r="L3505" s="112" t="s">
        <v>62</v>
      </c>
      <c r="M3505" s="113">
        <v>22500.0</v>
      </c>
      <c r="N3505" s="74"/>
      <c r="O3505" s="87">
        <f t="shared" si="11"/>
        <v>22500</v>
      </c>
      <c r="P3505" s="102" t="str">
        <f t="shared" si="2"/>
        <v>Rp22,500-1 LSN-0.00%</v>
      </c>
      <c r="Q3505" s="92">
        <v>45422.0</v>
      </c>
      <c r="R3505" s="114">
        <v>45419.0</v>
      </c>
      <c r="S3505" s="92">
        <v>45430.0</v>
      </c>
      <c r="T3505" s="49"/>
      <c r="V3505" s="21" t="s">
        <v>3349</v>
      </c>
    </row>
    <row r="3506">
      <c r="A3506" s="93">
        <v>96.0</v>
      </c>
      <c r="B3506" s="77" t="s">
        <v>29</v>
      </c>
      <c r="C3506" s="77" t="s">
        <v>3052</v>
      </c>
      <c r="D3506" s="77" t="s">
        <v>692</v>
      </c>
      <c r="E3506" s="41" t="str">
        <f>IFERROR(__xludf.DUMMYFUNCTION("IFNA(vlookup(D3506,IMPORTRANGE(""https://docs.google.com/spreadsheets/d/1swGwZOEqYlTEUCJLY-eeJM1911Kvaei5oySBIxdgtNo/edit?pli=1#gid=257618397"",""stock untanna!B:C""),2,false),V:V)"),"CLIPBOARD ACRYLIC TF-013")</f>
        <v>CLIPBOARD ACRYLIC TF-013</v>
      </c>
      <c r="F3506" s="49"/>
      <c r="G3506" s="71"/>
      <c r="H3506" s="41"/>
      <c r="I3506" s="42"/>
      <c r="J3506" s="85" t="s">
        <v>1319</v>
      </c>
      <c r="K3506" s="93">
        <v>12.0</v>
      </c>
      <c r="L3506" s="112" t="s">
        <v>69</v>
      </c>
      <c r="M3506" s="113">
        <v>18750.0</v>
      </c>
      <c r="N3506" s="74"/>
      <c r="O3506" s="87">
        <f t="shared" si="11"/>
        <v>225000</v>
      </c>
      <c r="P3506" s="102" t="str">
        <f t="shared" si="2"/>
        <v>Rp18,750-12 PCS-0.00%</v>
      </c>
      <c r="Q3506" s="92">
        <v>45422.0</v>
      </c>
      <c r="R3506" s="114">
        <v>45419.0</v>
      </c>
      <c r="S3506" s="92">
        <v>45430.0</v>
      </c>
      <c r="T3506" s="49"/>
      <c r="V3506" s="21" t="s">
        <v>2766</v>
      </c>
    </row>
    <row r="3507">
      <c r="A3507" s="93">
        <v>96.0</v>
      </c>
      <c r="B3507" s="77" t="s">
        <v>29</v>
      </c>
      <c r="C3507" s="77" t="s">
        <v>3052</v>
      </c>
      <c r="D3507" s="91"/>
      <c r="E3507" s="41" t="str">
        <f>IFERROR(__xludf.DUMMYFUNCTION("IFNA(vlookup(D3507,IMPORTRANGE(""https://docs.google.com/spreadsheets/d/1swGwZOEqYlTEUCJLY-eeJM1911Kvaei5oySBIxdgtNo/edit?pli=1#gid=257618397"",""stock untanna!B:C""),2,false),V:V)"),"BUSSINES FILE ENTER K")</f>
        <v>BUSSINES FILE ENTER K</v>
      </c>
      <c r="F3507" s="49"/>
      <c r="G3507" s="71"/>
      <c r="H3507" s="41"/>
      <c r="I3507" s="42"/>
      <c r="J3507" s="85" t="s">
        <v>1319</v>
      </c>
      <c r="K3507" s="93">
        <v>1.0</v>
      </c>
      <c r="L3507" s="112" t="s">
        <v>62</v>
      </c>
      <c r="M3507" s="113">
        <v>25000.0</v>
      </c>
      <c r="N3507" s="74"/>
      <c r="O3507" s="87">
        <f t="shared" si="11"/>
        <v>25000</v>
      </c>
      <c r="P3507" s="102" t="str">
        <f t="shared" si="2"/>
        <v>Rp25,000-1 LSN-0.00%</v>
      </c>
      <c r="Q3507" s="92">
        <v>45422.0</v>
      </c>
      <c r="R3507" s="114">
        <v>45419.0</v>
      </c>
      <c r="S3507" s="92">
        <v>45430.0</v>
      </c>
      <c r="T3507" s="77" t="s">
        <v>280</v>
      </c>
      <c r="V3507" s="21" t="s">
        <v>854</v>
      </c>
    </row>
    <row r="3508">
      <c r="A3508" s="93">
        <v>96.0</v>
      </c>
      <c r="B3508" s="77" t="s">
        <v>29</v>
      </c>
      <c r="C3508" s="77" t="s">
        <v>3052</v>
      </c>
      <c r="D3508" s="77" t="s">
        <v>3350</v>
      </c>
      <c r="E3508" s="41" t="str">
        <f>IFERROR(__xludf.DUMMYFUNCTION("IFNA(vlookup(D3508,IMPORTRANGE(""https://docs.google.com/spreadsheets/d/1swGwZOEqYlTEUCJLY-eeJM1911Kvaei5oySBIxdgtNo/edit?pli=1#gid=257618397"",""stock untanna!B:C""),2,false),V:V)"),"LOOSE LEAF BIASA MINION A5")</f>
        <v>LOOSE LEAF BIASA MINION A5</v>
      </c>
      <c r="F3508" s="49"/>
      <c r="G3508" s="71"/>
      <c r="H3508" s="41"/>
      <c r="I3508" s="42"/>
      <c r="J3508" s="85" t="s">
        <v>1319</v>
      </c>
      <c r="K3508" s="93">
        <v>25.0</v>
      </c>
      <c r="L3508" s="112" t="s">
        <v>114</v>
      </c>
      <c r="M3508" s="113">
        <v>2000.0</v>
      </c>
      <c r="N3508" s="74"/>
      <c r="O3508" s="87">
        <f t="shared" si="11"/>
        <v>50000</v>
      </c>
      <c r="P3508" s="102" t="str">
        <f t="shared" si="2"/>
        <v>Rp2,000-25 PAK-0.00%</v>
      </c>
      <c r="Q3508" s="92">
        <v>45422.0</v>
      </c>
      <c r="R3508" s="114">
        <v>45419.0</v>
      </c>
      <c r="S3508" s="92">
        <v>45430.0</v>
      </c>
      <c r="T3508" s="77" t="s">
        <v>100</v>
      </c>
      <c r="V3508" s="21" t="s">
        <v>3351</v>
      </c>
    </row>
    <row r="3509">
      <c r="A3509" s="93">
        <v>96.0</v>
      </c>
      <c r="B3509" s="77" t="s">
        <v>29</v>
      </c>
      <c r="C3509" s="77" t="s">
        <v>3052</v>
      </c>
      <c r="D3509" s="77" t="s">
        <v>847</v>
      </c>
      <c r="E3509" s="41" t="str">
        <f>IFERROR(__xludf.DUMMYFUNCTION("IFNA(vlookup(D3509,IMPORTRANGE(""https://docs.google.com/spreadsheets/d/1swGwZOEqYlTEUCJLY-eeJM1911Kvaei5oySBIxdgtNo/edit?pli=1#gid=257618397"",""stock untanna!B:C""),2,false),V:V)"),"LOOSE LEAF HOLO ALFA A5 ZODIAK")</f>
        <v>LOOSE LEAF HOLO ALFA A5 ZODIAK</v>
      </c>
      <c r="F3509" s="49"/>
      <c r="G3509" s="71"/>
      <c r="H3509" s="41"/>
      <c r="I3509" s="42"/>
      <c r="J3509" s="85" t="s">
        <v>1319</v>
      </c>
      <c r="K3509" s="93">
        <v>24.0</v>
      </c>
      <c r="L3509" s="112" t="s">
        <v>114</v>
      </c>
      <c r="M3509" s="113">
        <v>2500.0</v>
      </c>
      <c r="N3509" s="74"/>
      <c r="O3509" s="87">
        <f t="shared" si="11"/>
        <v>60000</v>
      </c>
      <c r="P3509" s="102" t="str">
        <f t="shared" si="2"/>
        <v>Rp2,500-24 PAK-0.00%</v>
      </c>
      <c r="Q3509" s="92">
        <v>45422.0</v>
      </c>
      <c r="R3509" s="114">
        <v>45419.0</v>
      </c>
      <c r="S3509" s="92">
        <v>45430.0</v>
      </c>
      <c r="T3509" s="77" t="s">
        <v>100</v>
      </c>
      <c r="V3509" s="21" t="s">
        <v>848</v>
      </c>
    </row>
    <row r="3510">
      <c r="A3510" s="93">
        <v>96.0</v>
      </c>
      <c r="B3510" s="77" t="s">
        <v>29</v>
      </c>
      <c r="C3510" s="77" t="s">
        <v>3052</v>
      </c>
      <c r="D3510" s="91"/>
      <c r="E3510" s="41" t="str">
        <f>IFERROR(__xludf.DUMMYFUNCTION("IFNA(vlookup(D3510,IMPORTRANGE(""https://docs.google.com/spreadsheets/d/1swGwZOEqYlTEUCJLY-eeJM1911Kvaei5oySBIxdgtNo/edit?pli=1#gid=257618397"",""stock untanna!B:C""),2,false),V:V)"),"ISI L LEAF HOLO HK 100 GRAM")</f>
        <v>ISI L LEAF HOLO HK 100 GRAM</v>
      </c>
      <c r="F3510" s="49"/>
      <c r="G3510" s="71"/>
      <c r="H3510" s="41"/>
      <c r="I3510" s="42"/>
      <c r="J3510" s="85" t="s">
        <v>3190</v>
      </c>
      <c r="K3510" s="93">
        <v>25.0</v>
      </c>
      <c r="L3510" s="112" t="s">
        <v>114</v>
      </c>
      <c r="M3510" s="113">
        <v>3250.0</v>
      </c>
      <c r="N3510" s="74"/>
      <c r="O3510" s="87">
        <f t="shared" si="11"/>
        <v>81250</v>
      </c>
      <c r="P3510" s="102" t="str">
        <f t="shared" si="2"/>
        <v>Rp3,250-25 PAK-0.00%</v>
      </c>
      <c r="Q3510" s="92">
        <v>45422.0</v>
      </c>
      <c r="R3510" s="114">
        <v>45419.0</v>
      </c>
      <c r="S3510" s="92">
        <v>45430.0</v>
      </c>
      <c r="T3510" s="49"/>
      <c r="V3510" s="21" t="s">
        <v>3352</v>
      </c>
    </row>
    <row r="3511">
      <c r="A3511" s="93">
        <v>96.0</v>
      </c>
      <c r="B3511" s="77" t="s">
        <v>29</v>
      </c>
      <c r="C3511" s="77" t="s">
        <v>3052</v>
      </c>
      <c r="D3511" s="77" t="s">
        <v>2978</v>
      </c>
      <c r="E3511" s="41" t="str">
        <f>IFERROR(__xludf.DUMMYFUNCTION("IFNA(vlookup(D3511,IMPORTRANGE(""https://docs.google.com/spreadsheets/d/1swGwZOEqYlTEUCJLY-eeJM1911Kvaei5oySBIxdgtNo/edit?pli=1#gid=257618397"",""stock untanna!B:C""),2,false),V:V)"),"LOOSE LEAF BIASA A5 HELLO KITTY + PUZZLE DINO")</f>
        <v>LOOSE LEAF BIASA A5 HELLO KITTY + PUZZLE DINO</v>
      </c>
      <c r="F3511" s="49"/>
      <c r="G3511" s="71"/>
      <c r="H3511" s="41"/>
      <c r="I3511" s="42"/>
      <c r="J3511" s="85" t="s">
        <v>1319</v>
      </c>
      <c r="K3511" s="93">
        <v>25.0</v>
      </c>
      <c r="L3511" s="112" t="s">
        <v>114</v>
      </c>
      <c r="M3511" s="113">
        <v>2500.0</v>
      </c>
      <c r="N3511" s="74"/>
      <c r="O3511" s="87">
        <f t="shared" si="11"/>
        <v>62500</v>
      </c>
      <c r="P3511" s="102" t="str">
        <f t="shared" si="2"/>
        <v>Rp2,500-25 PAK-0.00%</v>
      </c>
      <c r="Q3511" s="92">
        <v>45422.0</v>
      </c>
      <c r="R3511" s="114">
        <v>45419.0</v>
      </c>
      <c r="S3511" s="92">
        <v>45430.0</v>
      </c>
      <c r="T3511" s="77" t="s">
        <v>100</v>
      </c>
      <c r="V3511" s="21" t="s">
        <v>2979</v>
      </c>
    </row>
    <row r="3512">
      <c r="A3512" s="93">
        <v>97.0</v>
      </c>
      <c r="B3512" s="77" t="s">
        <v>29</v>
      </c>
      <c r="C3512" s="77" t="s">
        <v>3052</v>
      </c>
      <c r="D3512" s="91"/>
      <c r="E3512" s="41" t="str">
        <f>IFERROR(__xludf.DUMMYFUNCTION("IFNA(vlookup(D3512,IMPORTRANGE(""https://docs.google.com/spreadsheets/d/1swGwZOEqYlTEUCJLY-eeJM1911Kvaei5oySBIxdgtNo/edit?pli=1#gid=257618397"",""stock untanna!B:C""),2,false),V:V)"),"NOTEBOOK 18100-52")</f>
        <v>NOTEBOOK 18100-52</v>
      </c>
      <c r="F3512" s="49"/>
      <c r="G3512" s="71"/>
      <c r="H3512" s="41"/>
      <c r="I3512" s="42"/>
      <c r="J3512" s="85" t="s">
        <v>1319</v>
      </c>
      <c r="K3512" s="93">
        <v>1.0</v>
      </c>
      <c r="L3512" s="112" t="s">
        <v>62</v>
      </c>
      <c r="M3512" s="113">
        <v>225000.0</v>
      </c>
      <c r="N3512" s="74"/>
      <c r="O3512" s="87">
        <f t="shared" si="11"/>
        <v>225000</v>
      </c>
      <c r="P3512" s="102" t="str">
        <f t="shared" si="2"/>
        <v>Rp225,000-1 LSN-0.00%</v>
      </c>
      <c r="Q3512" s="92">
        <v>45422.0</v>
      </c>
      <c r="R3512" s="114">
        <v>45419.0</v>
      </c>
      <c r="S3512" s="92">
        <v>45430.0</v>
      </c>
      <c r="T3512" s="77" t="s">
        <v>280</v>
      </c>
      <c r="V3512" s="21" t="s">
        <v>2799</v>
      </c>
    </row>
    <row r="3513">
      <c r="A3513" s="93">
        <v>97.0</v>
      </c>
      <c r="B3513" s="77" t="s">
        <v>29</v>
      </c>
      <c r="C3513" s="77" t="s">
        <v>3052</v>
      </c>
      <c r="D3513" s="77" t="s">
        <v>1897</v>
      </c>
      <c r="E3513" s="41" t="str">
        <f>IFERROR(__xludf.DUMMYFUNCTION("IFNA(vlookup(D3513,IMPORTRANGE(""https://docs.google.com/spreadsheets/d/1swGwZOEqYlTEUCJLY-eeJM1911Kvaei5oySBIxdgtNo/edit?pli=1#gid=257618397"",""stock untanna!B:C""),2,false),V:V)"),"NOTEBOOK 18100-67")</f>
        <v>NOTEBOOK 18100-67</v>
      </c>
      <c r="F3513" s="49"/>
      <c r="G3513" s="71"/>
      <c r="H3513" s="41"/>
      <c r="I3513" s="42"/>
      <c r="J3513" s="85" t="s">
        <v>1319</v>
      </c>
      <c r="K3513" s="93">
        <v>12.0</v>
      </c>
      <c r="L3513" s="112" t="s">
        <v>69</v>
      </c>
      <c r="M3513" s="113">
        <v>18750.0</v>
      </c>
      <c r="N3513" s="74"/>
      <c r="O3513" s="87">
        <f t="shared" si="11"/>
        <v>225000</v>
      </c>
      <c r="P3513" s="102" t="str">
        <f t="shared" si="2"/>
        <v>Rp18,750-12 PCS-0.00%</v>
      </c>
      <c r="Q3513" s="92">
        <v>45422.0</v>
      </c>
      <c r="R3513" s="114">
        <v>45419.0</v>
      </c>
      <c r="S3513" s="92">
        <v>45430.0</v>
      </c>
      <c r="T3513" s="49"/>
      <c r="V3513" s="21" t="s">
        <v>1898</v>
      </c>
    </row>
    <row r="3514">
      <c r="A3514" s="93">
        <v>97.0</v>
      </c>
      <c r="B3514" s="77" t="s">
        <v>29</v>
      </c>
      <c r="C3514" s="77" t="s">
        <v>3052</v>
      </c>
      <c r="D3514" s="91"/>
      <c r="E3514" s="41" t="str">
        <f>IFERROR(__xludf.DUMMYFUNCTION("IFNA(vlookup(D3514,IMPORTRANGE(""https://docs.google.com/spreadsheets/d/1swGwZOEqYlTEUCJLY-eeJM1911Kvaei5oySBIxdgtNo/edit?pli=1#gid=257618397"",""stock untanna!B:C""),2,false),V:V)"),"M BOOK 76 BATIK")</f>
        <v>M BOOK 76 BATIK</v>
      </c>
      <c r="F3514" s="49"/>
      <c r="G3514" s="71"/>
      <c r="H3514" s="41"/>
      <c r="I3514" s="42"/>
      <c r="J3514" s="85" t="s">
        <v>3190</v>
      </c>
      <c r="K3514" s="93">
        <v>1.0</v>
      </c>
      <c r="L3514" s="112" t="s">
        <v>62</v>
      </c>
      <c r="M3514" s="113">
        <v>90000.0</v>
      </c>
      <c r="N3514" s="74"/>
      <c r="O3514" s="87">
        <f t="shared" si="11"/>
        <v>90000</v>
      </c>
      <c r="P3514" s="102" t="str">
        <f t="shared" si="2"/>
        <v>Rp90,000-1 LSN-0.00%</v>
      </c>
      <c r="Q3514" s="92">
        <v>45422.0</v>
      </c>
      <c r="R3514" s="114">
        <v>45419.0</v>
      </c>
      <c r="S3514" s="92">
        <v>45430.0</v>
      </c>
      <c r="T3514" s="49"/>
      <c r="V3514" s="21" t="s">
        <v>3353</v>
      </c>
    </row>
    <row r="3515">
      <c r="A3515" s="93">
        <v>97.0</v>
      </c>
      <c r="B3515" s="77" t="s">
        <v>29</v>
      </c>
      <c r="C3515" s="77" t="s">
        <v>3052</v>
      </c>
      <c r="D3515" s="77" t="s">
        <v>2793</v>
      </c>
      <c r="E3515" s="41" t="str">
        <f>IFERROR(__xludf.DUMMYFUNCTION("IFNA(vlookup(D3515,IMPORTRANGE(""https://docs.google.com/spreadsheets/d/1swGwZOEqYlTEUCJLY-eeJM1911Kvaei5oySBIxdgtNo/edit?pli=1#gid=257618397"",""stock untanna!B:C""),2,false),V:V)"),"NOTEBOOK 25100-56")</f>
        <v>NOTEBOOK 25100-56</v>
      </c>
      <c r="F3515" s="49"/>
      <c r="G3515" s="71"/>
      <c r="H3515" s="41"/>
      <c r="I3515" s="42"/>
      <c r="J3515" s="85" t="s">
        <v>1319</v>
      </c>
      <c r="K3515" s="93">
        <v>12.0</v>
      </c>
      <c r="L3515" s="112" t="s">
        <v>69</v>
      </c>
      <c r="M3515" s="113">
        <v>14583.3</v>
      </c>
      <c r="N3515" s="74"/>
      <c r="O3515" s="87">
        <f t="shared" si="11"/>
        <v>174999.6</v>
      </c>
      <c r="P3515" s="102" t="str">
        <f t="shared" si="2"/>
        <v>Rp14,583-12 PCS-0.00%</v>
      </c>
      <c r="Q3515" s="92">
        <v>45422.0</v>
      </c>
      <c r="R3515" s="114">
        <v>45419.0</v>
      </c>
      <c r="S3515" s="92">
        <v>45430.0</v>
      </c>
      <c r="T3515" s="49"/>
      <c r="V3515" s="21" t="s">
        <v>2794</v>
      </c>
    </row>
    <row r="3516">
      <c r="A3516" s="93">
        <v>97.0</v>
      </c>
      <c r="B3516" s="77" t="s">
        <v>29</v>
      </c>
      <c r="C3516" s="77" t="s">
        <v>3052</v>
      </c>
      <c r="D3516" s="77" t="s">
        <v>185</v>
      </c>
      <c r="E3516" s="41" t="str">
        <f>IFERROR(__xludf.DUMMYFUNCTION("IFNA(vlookup(D3516,IMPORTRANGE(""https://docs.google.com/spreadsheets/d/1swGwZOEqYlTEUCJLY-eeJM1911Kvaei5oySBIxdgtNo/edit?pli=1#gid=257618397"",""stock untanna!B:C""),2,false),V:V)"),"NOTEBOOK SPIRAL 50100-71")</f>
        <v>NOTEBOOK SPIRAL 50100-71</v>
      </c>
      <c r="F3516" s="49"/>
      <c r="G3516" s="71"/>
      <c r="H3516" s="41"/>
      <c r="I3516" s="42"/>
      <c r="J3516" s="85" t="s">
        <v>1319</v>
      </c>
      <c r="K3516" s="93">
        <v>1.0</v>
      </c>
      <c r="L3516" s="112" t="s">
        <v>62</v>
      </c>
      <c r="M3516" s="113">
        <v>95000.0</v>
      </c>
      <c r="N3516" s="74"/>
      <c r="O3516" s="87">
        <f t="shared" si="11"/>
        <v>95000</v>
      </c>
      <c r="P3516" s="102" t="str">
        <f t="shared" si="2"/>
        <v>Rp95,000-1 LSN-0.00%</v>
      </c>
      <c r="Q3516" s="92">
        <v>45422.0</v>
      </c>
      <c r="R3516" s="114">
        <v>45419.0</v>
      </c>
      <c r="S3516" s="92">
        <v>45430.0</v>
      </c>
      <c r="T3516" s="49"/>
      <c r="V3516" s="21" t="s">
        <v>186</v>
      </c>
    </row>
    <row r="3517">
      <c r="A3517" s="93">
        <v>97.0</v>
      </c>
      <c r="B3517" s="77" t="s">
        <v>29</v>
      </c>
      <c r="C3517" s="77" t="s">
        <v>3052</v>
      </c>
      <c r="D3517" s="77" t="s">
        <v>902</v>
      </c>
      <c r="E3517" s="41" t="str">
        <f>IFERROR(__xludf.DUMMYFUNCTION("IFNA(vlookup(D3517,IMPORTRANGE(""https://docs.google.com/spreadsheets/d/1swGwZOEqYlTEUCJLY-eeJM1911Kvaei5oySBIxdgtNo/edit?pli=1#gid=257618397"",""stock untanna!B:C""),2,false),V:V)"),"BLOCK NOTE SPIRAL ENTER 403")</f>
        <v>BLOCK NOTE SPIRAL ENTER 403</v>
      </c>
      <c r="F3517" s="49"/>
      <c r="G3517" s="71"/>
      <c r="H3517" s="41"/>
      <c r="I3517" s="42"/>
      <c r="J3517" s="85" t="s">
        <v>1319</v>
      </c>
      <c r="K3517" s="93">
        <v>12.0</v>
      </c>
      <c r="L3517" s="112" t="s">
        <v>69</v>
      </c>
      <c r="M3517" s="113">
        <v>6666.67</v>
      </c>
      <c r="N3517" s="74"/>
      <c r="O3517" s="87">
        <f t="shared" si="11"/>
        <v>80000.04</v>
      </c>
      <c r="P3517" s="102" t="str">
        <f t="shared" si="2"/>
        <v>Rp6,667-12 PCS-0.00%</v>
      </c>
      <c r="Q3517" s="92">
        <v>45422.0</v>
      </c>
      <c r="R3517" s="114">
        <v>45419.0</v>
      </c>
      <c r="S3517" s="92">
        <v>45430.0</v>
      </c>
      <c r="T3517" s="49"/>
      <c r="V3517" s="21" t="s">
        <v>903</v>
      </c>
    </row>
    <row r="3518">
      <c r="A3518" s="93">
        <v>97.0</v>
      </c>
      <c r="B3518" s="77" t="s">
        <v>29</v>
      </c>
      <c r="C3518" s="77" t="s">
        <v>3052</v>
      </c>
      <c r="D3518" s="77" t="s">
        <v>904</v>
      </c>
      <c r="E3518" s="41" t="str">
        <f>IFERROR(__xludf.DUMMYFUNCTION("IFNA(vlookup(D3518,IMPORTRANGE(""https://docs.google.com/spreadsheets/d/1swGwZOEqYlTEUCJLY-eeJM1911Kvaei5oySBIxdgtNo/edit?pli=1#gid=257618397"",""stock untanna!B:C""),2,false),V:V)"),"BLOCK NOTE SPIRAL ENTER 404")</f>
        <v>BLOCK NOTE SPIRAL ENTER 404</v>
      </c>
      <c r="F3518" s="49"/>
      <c r="G3518" s="71"/>
      <c r="H3518" s="41"/>
      <c r="I3518" s="42"/>
      <c r="J3518" s="85" t="s">
        <v>1319</v>
      </c>
      <c r="K3518" s="93">
        <v>12.0</v>
      </c>
      <c r="L3518" s="112" t="s">
        <v>69</v>
      </c>
      <c r="M3518" s="113">
        <v>5000.0</v>
      </c>
      <c r="N3518" s="74"/>
      <c r="O3518" s="87">
        <f t="shared" si="11"/>
        <v>60000</v>
      </c>
      <c r="P3518" s="102" t="str">
        <f t="shared" si="2"/>
        <v>Rp5,000-12 PCS-0.00%</v>
      </c>
      <c r="Q3518" s="92">
        <v>45422.0</v>
      </c>
      <c r="R3518" s="114">
        <v>45419.0</v>
      </c>
      <c r="S3518" s="92">
        <v>45430.0</v>
      </c>
      <c r="T3518" s="49"/>
      <c r="V3518" s="21" t="s">
        <v>905</v>
      </c>
    </row>
    <row r="3519">
      <c r="A3519" s="93">
        <v>97.0</v>
      </c>
      <c r="B3519" s="77" t="s">
        <v>29</v>
      </c>
      <c r="C3519" s="77" t="s">
        <v>3052</v>
      </c>
      <c r="D3519" s="91"/>
      <c r="E3519" s="41" t="str">
        <f>IFERROR(__xludf.DUMMYFUNCTION("IFNA(vlookup(D3519,IMPORTRANGE(""https://docs.google.com/spreadsheets/d/1swGwZOEqYlTEUCJLY-eeJM1911Kvaei5oySBIxdgtNo/edit?pli=1#gid=257618397"",""stock untanna!B:C""),2,false),V:V)"),"MEMO PAD SPIRAL ALFA 403 BATIK")</f>
        <v>MEMO PAD SPIRAL ALFA 403 BATIK</v>
      </c>
      <c r="F3519" s="49"/>
      <c r="G3519" s="71"/>
      <c r="H3519" s="41"/>
      <c r="I3519" s="42"/>
      <c r="J3519" s="85" t="s">
        <v>1319</v>
      </c>
      <c r="K3519" s="93">
        <v>1.0</v>
      </c>
      <c r="L3519" s="112" t="s">
        <v>62</v>
      </c>
      <c r="M3519" s="113">
        <v>52500.0</v>
      </c>
      <c r="N3519" s="74"/>
      <c r="O3519" s="87">
        <f t="shared" si="11"/>
        <v>52500</v>
      </c>
      <c r="P3519" s="102" t="str">
        <f t="shared" si="2"/>
        <v>Rp52,500-1 LSN-0.00%</v>
      </c>
      <c r="Q3519" s="92">
        <v>45422.0</v>
      </c>
      <c r="R3519" s="114">
        <v>45419.0</v>
      </c>
      <c r="S3519" s="92">
        <v>45430.0</v>
      </c>
      <c r="T3519" s="77" t="s">
        <v>280</v>
      </c>
      <c r="V3519" s="21" t="s">
        <v>1882</v>
      </c>
    </row>
    <row r="3520">
      <c r="A3520" s="93">
        <v>97.0</v>
      </c>
      <c r="B3520" s="77" t="s">
        <v>29</v>
      </c>
      <c r="C3520" s="77" t="s">
        <v>3052</v>
      </c>
      <c r="D3520" s="91"/>
      <c r="E3520" s="41" t="str">
        <f>IFERROR(__xludf.DUMMYFUNCTION("IFNA(vlookup(D3520,IMPORTRANGE(""https://docs.google.com/spreadsheets/d/1swGwZOEqYlTEUCJLY-eeJM1911Kvaei5oySBIxdgtNo/edit?pli=1#gid=257618397"",""stock untanna!B:C""),2,false),V:V)"),"MEMO PAD SPIRAL ALFA 404 BATIK")</f>
        <v>MEMO PAD SPIRAL ALFA 404 BATIK</v>
      </c>
      <c r="F3520" s="49"/>
      <c r="G3520" s="71"/>
      <c r="H3520" s="41"/>
      <c r="I3520" s="42"/>
      <c r="J3520" s="85" t="s">
        <v>1319</v>
      </c>
      <c r="K3520" s="93">
        <v>1.0</v>
      </c>
      <c r="L3520" s="112" t="s">
        <v>62</v>
      </c>
      <c r="M3520" s="113">
        <v>30000.0</v>
      </c>
      <c r="N3520" s="74"/>
      <c r="O3520" s="87">
        <f t="shared" si="11"/>
        <v>30000</v>
      </c>
      <c r="P3520" s="102" t="str">
        <f t="shared" si="2"/>
        <v>Rp30,000-1 LSN-0.00%</v>
      </c>
      <c r="Q3520" s="92">
        <v>45422.0</v>
      </c>
      <c r="R3520" s="114">
        <v>45419.0</v>
      </c>
      <c r="S3520" s="92">
        <v>45430.0</v>
      </c>
      <c r="T3520" s="77" t="s">
        <v>280</v>
      </c>
      <c r="V3520" s="21" t="s">
        <v>1883</v>
      </c>
    </row>
    <row r="3521">
      <c r="A3521" s="93">
        <v>97.0</v>
      </c>
      <c r="B3521" s="77" t="s">
        <v>29</v>
      </c>
      <c r="C3521" s="77" t="s">
        <v>3052</v>
      </c>
      <c r="D3521" s="77" t="s">
        <v>3354</v>
      </c>
      <c r="E3521" s="41" t="str">
        <f>IFERROR(__xludf.DUMMYFUNCTION("IFNA(vlookup(D3521,IMPORTRANGE(""https://docs.google.com/spreadsheets/d/1swGwZOEqYlTEUCJLY-eeJM1911Kvaei5oySBIxdgtNo/edit?pli=1#gid=257618397"",""stock untanna!B:C""),2,false),V:V)"),"POST IT WALITO WLT-8909")</f>
        <v>POST IT WALITO WLT-8909</v>
      </c>
      <c r="F3521" s="49"/>
      <c r="G3521" s="71"/>
      <c r="H3521" s="41"/>
      <c r="I3521" s="42"/>
      <c r="J3521" s="85" t="s">
        <v>1319</v>
      </c>
      <c r="K3521" s="93">
        <v>12.0</v>
      </c>
      <c r="L3521" s="112" t="s">
        <v>69</v>
      </c>
      <c r="M3521" s="113">
        <v>6000.0</v>
      </c>
      <c r="N3521" s="74"/>
      <c r="O3521" s="87">
        <f t="shared" si="11"/>
        <v>72000</v>
      </c>
      <c r="P3521" s="102" t="str">
        <f t="shared" si="2"/>
        <v>Rp6,000-12 PCS-0.00%</v>
      </c>
      <c r="Q3521" s="92">
        <v>45422.0</v>
      </c>
      <c r="R3521" s="114">
        <v>45419.0</v>
      </c>
      <c r="S3521" s="92">
        <v>45430.0</v>
      </c>
      <c r="T3521" s="49"/>
      <c r="V3521" s="21" t="s">
        <v>3355</v>
      </c>
    </row>
    <row r="3522">
      <c r="A3522" s="93">
        <v>97.0</v>
      </c>
      <c r="B3522" s="77" t="s">
        <v>29</v>
      </c>
      <c r="C3522" s="77" t="s">
        <v>3052</v>
      </c>
      <c r="D3522" s="91"/>
      <c r="E3522" s="41" t="str">
        <f>IFERROR(__xludf.DUMMYFUNCTION("IFNA(vlookup(D3522,IMPORTRANGE(""https://docs.google.com/spreadsheets/d/1swGwZOEqYlTEUCJLY-eeJM1911Kvaei5oySBIxdgtNo/edit?pli=1#gid=257618397"",""stock untanna!B:C""),2,false),V:V)"),"STICK NOTE WLT 8877")</f>
        <v>STICK NOTE WLT 8877</v>
      </c>
      <c r="F3522" s="49"/>
      <c r="G3522" s="71"/>
      <c r="H3522" s="41"/>
      <c r="I3522" s="42"/>
      <c r="J3522" s="85" t="s">
        <v>3190</v>
      </c>
      <c r="K3522" s="93">
        <v>8.0</v>
      </c>
      <c r="L3522" s="112" t="s">
        <v>69</v>
      </c>
      <c r="M3522" s="113">
        <v>5500.0</v>
      </c>
      <c r="N3522" s="74"/>
      <c r="O3522" s="87">
        <f t="shared" si="11"/>
        <v>44000</v>
      </c>
      <c r="P3522" s="102" t="str">
        <f t="shared" si="2"/>
        <v>Rp5,500-8 PCS-0.00%</v>
      </c>
      <c r="Q3522" s="92">
        <v>45422.0</v>
      </c>
      <c r="R3522" s="114">
        <v>45419.0</v>
      </c>
      <c r="S3522" s="92">
        <v>45430.0</v>
      </c>
      <c r="T3522" s="49"/>
      <c r="V3522" s="21" t="s">
        <v>3356</v>
      </c>
    </row>
    <row r="3523">
      <c r="A3523" s="93">
        <v>97.0</v>
      </c>
      <c r="B3523" s="77" t="s">
        <v>29</v>
      </c>
      <c r="C3523" s="77" t="s">
        <v>3052</v>
      </c>
      <c r="D3523" s="91"/>
      <c r="E3523" s="41" t="str">
        <f>IFERROR(__xludf.DUMMYFUNCTION("IFNA(vlookup(D3523,IMPORTRANGE(""https://docs.google.com/spreadsheets/d/1swGwZOEqYlTEUCJLY-eeJM1911Kvaei5oySBIxdgtNo/edit?pli=1#gid=257618397"",""stock untanna!B:C""),2,false),V:V)"),"BN A5 MICROTOP BT 36 BATIK")</f>
        <v>BN A5 MICROTOP BT 36 BATIK</v>
      </c>
      <c r="F3523" s="49"/>
      <c r="G3523" s="71"/>
      <c r="H3523" s="41"/>
      <c r="I3523" s="42"/>
      <c r="J3523" s="85" t="s">
        <v>1319</v>
      </c>
      <c r="K3523" s="93">
        <v>12.0</v>
      </c>
      <c r="L3523" s="112" t="s">
        <v>69</v>
      </c>
      <c r="M3523" s="113">
        <v>12500.0</v>
      </c>
      <c r="N3523" s="74"/>
      <c r="O3523" s="87">
        <f t="shared" si="11"/>
        <v>150000</v>
      </c>
      <c r="P3523" s="102" t="str">
        <f t="shared" si="2"/>
        <v>Rp12,500-12 PCS-0.00%</v>
      </c>
      <c r="Q3523" s="92">
        <v>45422.0</v>
      </c>
      <c r="R3523" s="114">
        <v>45419.0</v>
      </c>
      <c r="S3523" s="92">
        <v>45430.0</v>
      </c>
      <c r="T3523" s="77" t="s">
        <v>280</v>
      </c>
      <c r="V3523" s="21" t="s">
        <v>3357</v>
      </c>
    </row>
    <row r="3524">
      <c r="A3524" s="93">
        <v>97.0</v>
      </c>
      <c r="B3524" s="77" t="s">
        <v>29</v>
      </c>
      <c r="C3524" s="77" t="s">
        <v>3052</v>
      </c>
      <c r="D3524" s="91"/>
      <c r="E3524" s="41" t="str">
        <f>IFERROR(__xludf.DUMMYFUNCTION("IFNA(vlookup(D3524,IMPORTRANGE(""https://docs.google.com/spreadsheets/d/1swGwZOEqYlTEUCJLY-eeJM1911Kvaei5oySBIxdgtNo/edit?pli=1#gid=257618397"",""stock untanna!B:C""),2,false),V:V)"),"BN B5 GASTA CL 1909 COLLEGE")</f>
        <v>BN B5 GASTA CL 1909 COLLEGE</v>
      </c>
      <c r="F3524" s="49"/>
      <c r="G3524" s="71"/>
      <c r="H3524" s="41"/>
      <c r="I3524" s="42"/>
      <c r="J3524" s="85" t="s">
        <v>1319</v>
      </c>
      <c r="K3524" s="93">
        <v>12.0</v>
      </c>
      <c r="L3524" s="112" t="s">
        <v>69</v>
      </c>
      <c r="M3524" s="113">
        <v>17500.0</v>
      </c>
      <c r="N3524" s="74"/>
      <c r="O3524" s="87">
        <f t="shared" si="11"/>
        <v>210000</v>
      </c>
      <c r="P3524" s="102" t="str">
        <f t="shared" si="2"/>
        <v>Rp17,500-12 PCS-0.00%</v>
      </c>
      <c r="Q3524" s="92">
        <v>45422.0</v>
      </c>
      <c r="R3524" s="114">
        <v>45419.0</v>
      </c>
      <c r="S3524" s="92">
        <v>45430.0</v>
      </c>
      <c r="T3524" s="77" t="s">
        <v>280</v>
      </c>
      <c r="V3524" s="21" t="s">
        <v>3358</v>
      </c>
    </row>
    <row r="3525">
      <c r="A3525" s="93">
        <v>97.0</v>
      </c>
      <c r="B3525" s="77" t="s">
        <v>29</v>
      </c>
      <c r="C3525" s="77" t="s">
        <v>3052</v>
      </c>
      <c r="D3525" s="77" t="s">
        <v>266</v>
      </c>
      <c r="E3525" s="41" t="str">
        <f>IFERROR(__xludf.DUMMYFUNCTION("IFNA(vlookup(D3525,IMPORTRANGE(""https://docs.google.com/spreadsheets/d/1swGwZOEqYlTEUCJLY-eeJM1911Kvaei5oySBIxdgtNo/edit?pli=1#gid=257618397"",""stock untanna!B:C""),2,false),V:V)"),"BINDER NOTE B5-60 FPHY 002")</f>
        <v>BINDER NOTE B5-60 FPHY 002</v>
      </c>
      <c r="F3525" s="49"/>
      <c r="G3525" s="71"/>
      <c r="H3525" s="41"/>
      <c r="I3525" s="42"/>
      <c r="J3525" s="85" t="s">
        <v>1319</v>
      </c>
      <c r="K3525" s="93">
        <v>12.0</v>
      </c>
      <c r="L3525" s="112" t="s">
        <v>69</v>
      </c>
      <c r="M3525" s="113">
        <v>25000.0</v>
      </c>
      <c r="N3525" s="74"/>
      <c r="O3525" s="87">
        <f t="shared" si="11"/>
        <v>300000</v>
      </c>
      <c r="P3525" s="102" t="str">
        <f t="shared" si="2"/>
        <v>Rp25,000-12 PCS-0.00%</v>
      </c>
      <c r="Q3525" s="92">
        <v>45422.0</v>
      </c>
      <c r="R3525" s="114">
        <v>45419.0</v>
      </c>
      <c r="S3525" s="92">
        <v>45430.0</v>
      </c>
      <c r="T3525" s="49"/>
      <c r="V3525" s="21" t="s">
        <v>267</v>
      </c>
    </row>
    <row r="3526">
      <c r="A3526" s="93">
        <v>97.0</v>
      </c>
      <c r="B3526" s="77" t="s">
        <v>29</v>
      </c>
      <c r="C3526" s="77" t="s">
        <v>3052</v>
      </c>
      <c r="D3526" s="77" t="s">
        <v>3359</v>
      </c>
      <c r="E3526" s="41" t="str">
        <f>IFERROR(__xludf.DUMMYFUNCTION("IFNA(vlookup(D3526,IMPORTRANGE(""https://docs.google.com/spreadsheets/d/1swGwZOEqYlTEUCJLY-eeJM1911Kvaei5oySBIxdgtNo/edit?pli=1#gid=257618397"",""stock untanna!B:C""),2,false),V:V)"),"BN WENGU A5-B 0164 (3W)")</f>
        <v>BN WENGU A5-B 0164 (3W)</v>
      </c>
      <c r="F3526" s="49"/>
      <c r="G3526" s="71"/>
      <c r="H3526" s="41"/>
      <c r="I3526" s="42"/>
      <c r="J3526" s="85" t="s">
        <v>1319</v>
      </c>
      <c r="K3526" s="93">
        <v>12.0</v>
      </c>
      <c r="L3526" s="112" t="s">
        <v>69</v>
      </c>
      <c r="M3526" s="113">
        <v>25000.0</v>
      </c>
      <c r="N3526" s="74"/>
      <c r="O3526" s="87">
        <f t="shared" si="11"/>
        <v>300000</v>
      </c>
      <c r="P3526" s="102" t="str">
        <f t="shared" si="2"/>
        <v>Rp25,000-12 PCS-0.00%</v>
      </c>
      <c r="Q3526" s="92">
        <v>45422.0</v>
      </c>
      <c r="R3526" s="114">
        <v>45419.0</v>
      </c>
      <c r="S3526" s="92">
        <v>45430.0</v>
      </c>
      <c r="T3526" s="49"/>
      <c r="V3526" s="21" t="s">
        <v>1548</v>
      </c>
    </row>
    <row r="3527">
      <c r="A3527" s="93">
        <v>97.0</v>
      </c>
      <c r="B3527" s="77" t="s">
        <v>29</v>
      </c>
      <c r="C3527" s="77" t="s">
        <v>3052</v>
      </c>
      <c r="D3527" s="77" t="s">
        <v>93</v>
      </c>
      <c r="E3527" s="41" t="str">
        <f>IFERROR(__xludf.DUMMYFUNCTION("IFNA(vlookup(D3527,IMPORTRANGE(""https://docs.google.com/spreadsheets/d/1swGwZOEqYlTEUCJLY-eeJM1911Kvaei5oySBIxdgtNo/edit?pli=1#gid=257618397"",""stock untanna!B:C""),2,false),V:V)"),"CLIPBOARD SQ KAYU KOTAK")</f>
        <v>CLIPBOARD SQ KAYU KOTAK</v>
      </c>
      <c r="F3527" s="49"/>
      <c r="G3527" s="71"/>
      <c r="H3527" s="41"/>
      <c r="I3527" s="42"/>
      <c r="J3527" s="85" t="s">
        <v>1319</v>
      </c>
      <c r="K3527" s="93">
        <v>1.0</v>
      </c>
      <c r="L3527" s="112" t="s">
        <v>62</v>
      </c>
      <c r="M3527" s="113">
        <v>50000.0</v>
      </c>
      <c r="N3527" s="74"/>
      <c r="O3527" s="87">
        <f t="shared" si="11"/>
        <v>50000</v>
      </c>
      <c r="P3527" s="102" t="str">
        <f t="shared" si="2"/>
        <v>Rp50,000-1 LSN-0.00%</v>
      </c>
      <c r="Q3527" s="92">
        <v>45422.0</v>
      </c>
      <c r="R3527" s="114">
        <v>45419.0</v>
      </c>
      <c r="S3527" s="92">
        <v>45430.0</v>
      </c>
      <c r="T3527" s="49"/>
      <c r="V3527" s="21" t="s">
        <v>94</v>
      </c>
    </row>
    <row r="3528">
      <c r="A3528" s="93">
        <v>98.0</v>
      </c>
      <c r="B3528" s="77" t="s">
        <v>29</v>
      </c>
      <c r="C3528" s="77" t="s">
        <v>3052</v>
      </c>
      <c r="D3528" s="77" t="s">
        <v>3360</v>
      </c>
      <c r="E3528" s="41" t="str">
        <f>IFERROR(__xludf.DUMMYFUNCTION("IFNA(vlookup(D3528,IMPORTRANGE(""https://docs.google.com/spreadsheets/d/1swGwZOEqYlTEUCJLY-eeJM1911Kvaei5oySBIxdgtNo/edit?pli=1#gid=257618397"",""stock untanna!B:C""),2,false),V:V)"),"MAP FABRIC CASE")</f>
        <v>MAP FABRIC CASE</v>
      </c>
      <c r="F3528" s="49"/>
      <c r="G3528" s="71"/>
      <c r="H3528" s="41"/>
      <c r="I3528" s="42"/>
      <c r="J3528" s="85" t="s">
        <v>1319</v>
      </c>
      <c r="K3528" s="93">
        <v>1.0</v>
      </c>
      <c r="L3528" s="112" t="s">
        <v>62</v>
      </c>
      <c r="M3528" s="113">
        <v>90000.0</v>
      </c>
      <c r="N3528" s="74"/>
      <c r="O3528" s="87">
        <f t="shared" si="11"/>
        <v>90000</v>
      </c>
      <c r="P3528" s="102" t="str">
        <f t="shared" si="2"/>
        <v>Rp90,000-1 LSN-0.00%</v>
      </c>
      <c r="Q3528" s="92">
        <v>45422.0</v>
      </c>
      <c r="R3528" s="114">
        <v>45419.0</v>
      </c>
      <c r="S3528" s="92">
        <v>45430.0</v>
      </c>
      <c r="T3528" s="49"/>
      <c r="V3528" s="21" t="s">
        <v>3361</v>
      </c>
    </row>
    <row r="3529">
      <c r="A3529" s="93">
        <v>98.0</v>
      </c>
      <c r="B3529" s="77" t="s">
        <v>29</v>
      </c>
      <c r="C3529" s="77" t="s">
        <v>3052</v>
      </c>
      <c r="D3529" s="91"/>
      <c r="E3529" s="41" t="str">
        <f>IFERROR(__xludf.DUMMYFUNCTION("IFNA(vlookup(D3529,IMPORTRANGE(""https://docs.google.com/spreadsheets/d/1swGwZOEqYlTEUCJLY-eeJM1911Kvaei5oySBIxdgtNo/edit?pli=1#gid=257618397"",""stock untanna!B:C""),2,false),V:V)"),"BK MEWARNA + CERITA")</f>
        <v>BK MEWARNA + CERITA</v>
      </c>
      <c r="F3529" s="49"/>
      <c r="G3529" s="71"/>
      <c r="H3529" s="41"/>
      <c r="I3529" s="42"/>
      <c r="J3529" s="85" t="s">
        <v>3190</v>
      </c>
      <c r="K3529" s="93">
        <v>5.0</v>
      </c>
      <c r="L3529" s="112" t="s">
        <v>62</v>
      </c>
      <c r="M3529" s="113">
        <v>16000.0</v>
      </c>
      <c r="N3529" s="74"/>
      <c r="O3529" s="87">
        <f t="shared" si="11"/>
        <v>80000</v>
      </c>
      <c r="P3529" s="102" t="str">
        <f t="shared" si="2"/>
        <v>Rp16,000-5 LSN-0.00%</v>
      </c>
      <c r="Q3529" s="92">
        <v>45422.0</v>
      </c>
      <c r="R3529" s="114">
        <v>45419.0</v>
      </c>
      <c r="S3529" s="92">
        <v>45430.0</v>
      </c>
      <c r="T3529" s="49"/>
      <c r="V3529" s="21" t="s">
        <v>3362</v>
      </c>
    </row>
    <row r="3530">
      <c r="A3530" s="93">
        <v>98.0</v>
      </c>
      <c r="B3530" s="77" t="s">
        <v>29</v>
      </c>
      <c r="C3530" s="77" t="s">
        <v>3052</v>
      </c>
      <c r="D3530" s="77" t="s">
        <v>80</v>
      </c>
      <c r="E3530" s="41" t="str">
        <f>IFERROR(__xludf.DUMMYFUNCTION("IFNA(vlookup(D3530,IMPORTRANGE(""https://docs.google.com/spreadsheets/d/1swGwZOEqYlTEUCJLY-eeJM1911Kvaei5oySBIxdgtNo/edit?pli=1#gid=257618397"",""stock untanna!B:C""),2,false),V:V)"),"STUDY BOARD (BK MEWARNAI) JQ-1909")</f>
        <v>STUDY BOARD (BK MEWARNAI) JQ-1909</v>
      </c>
      <c r="F3530" s="49"/>
      <c r="G3530" s="71"/>
      <c r="H3530" s="41"/>
      <c r="I3530" s="42"/>
      <c r="J3530" s="85" t="s">
        <v>1319</v>
      </c>
      <c r="K3530" s="93">
        <v>5.0</v>
      </c>
      <c r="L3530" s="112" t="s">
        <v>62</v>
      </c>
      <c r="M3530" s="113">
        <v>150000.0</v>
      </c>
      <c r="N3530" s="74"/>
      <c r="O3530" s="87">
        <f t="shared" si="11"/>
        <v>750000</v>
      </c>
      <c r="P3530" s="102" t="str">
        <f t="shared" si="2"/>
        <v>Rp150,000-5 LSN-0.00%</v>
      </c>
      <c r="Q3530" s="92">
        <v>45422.0</v>
      </c>
      <c r="R3530" s="114">
        <v>45419.0</v>
      </c>
      <c r="S3530" s="92">
        <v>45430.0</v>
      </c>
      <c r="T3530" s="49"/>
      <c r="V3530" s="21" t="s">
        <v>81</v>
      </c>
    </row>
    <row r="3531">
      <c r="A3531" s="93">
        <v>98.0</v>
      </c>
      <c r="B3531" s="77" t="s">
        <v>29</v>
      </c>
      <c r="C3531" s="77" t="s">
        <v>3052</v>
      </c>
      <c r="D3531" s="91"/>
      <c r="E3531" s="41" t="str">
        <f>IFERROR(__xludf.DUMMYFUNCTION("IFNA(vlookup(D3531,IMPORTRANGE(""https://docs.google.com/spreadsheets/d/1swGwZOEqYlTEUCJLY-eeJM1911Kvaei5oySBIxdgtNo/edit?pli=1#gid=257618397"",""stock untanna!B:C""),2,false),V:V)"),"STUDY BOARD 604")</f>
        <v>STUDY BOARD 604</v>
      </c>
      <c r="F3531" s="49"/>
      <c r="G3531" s="71"/>
      <c r="H3531" s="41"/>
      <c r="I3531" s="42"/>
      <c r="J3531" s="85" t="s">
        <v>3190</v>
      </c>
      <c r="K3531" s="93">
        <v>5.0</v>
      </c>
      <c r="L3531" s="112" t="s">
        <v>62</v>
      </c>
      <c r="M3531" s="113">
        <v>100000.0</v>
      </c>
      <c r="N3531" s="74"/>
      <c r="O3531" s="87">
        <f t="shared" si="11"/>
        <v>500000</v>
      </c>
      <c r="P3531" s="102" t="str">
        <f t="shared" si="2"/>
        <v>Rp100,000-5 LSN-0.00%</v>
      </c>
      <c r="Q3531" s="92">
        <v>45422.0</v>
      </c>
      <c r="R3531" s="114">
        <v>45419.0</v>
      </c>
      <c r="S3531" s="92">
        <v>45430.0</v>
      </c>
      <c r="T3531" s="49"/>
      <c r="V3531" s="21" t="s">
        <v>3363</v>
      </c>
    </row>
    <row r="3532">
      <c r="A3532" s="93">
        <v>98.0</v>
      </c>
      <c r="B3532" s="77" t="s">
        <v>29</v>
      </c>
      <c r="C3532" s="77" t="s">
        <v>3052</v>
      </c>
      <c r="D3532" s="77" t="s">
        <v>3364</v>
      </c>
      <c r="E3532" s="41" t="str">
        <f>IFERROR(__xludf.DUMMYFUNCTION("IFNA(vlookup(D3532,IMPORTRANGE(""https://docs.google.com/spreadsheets/d/1swGwZOEqYlTEUCJLY-eeJM1911Kvaei5oySBIxdgtNo/edit?pli=1#gid=257618397"",""stock untanna!B:C""),2,false),V:V)"),"SAMPUL ROLL DUST 254")</f>
        <v>SAMPUL ROLL DUST 254</v>
      </c>
      <c r="F3532" s="49"/>
      <c r="G3532" s="71"/>
      <c r="H3532" s="41"/>
      <c r="I3532" s="42"/>
      <c r="J3532" s="85" t="s">
        <v>1319</v>
      </c>
      <c r="K3532" s="93">
        <v>25.0</v>
      </c>
      <c r="L3532" s="112" t="s">
        <v>1384</v>
      </c>
      <c r="M3532" s="113">
        <v>5750.0</v>
      </c>
      <c r="N3532" s="74"/>
      <c r="O3532" s="87">
        <f t="shared" si="11"/>
        <v>143750</v>
      </c>
      <c r="P3532" s="102" t="str">
        <f t="shared" si="2"/>
        <v>Rp5,750-25 ROL-0.00%</v>
      </c>
      <c r="Q3532" s="92">
        <v>45422.0</v>
      </c>
      <c r="R3532" s="114">
        <v>45419.0</v>
      </c>
      <c r="S3532" s="92">
        <v>45430.0</v>
      </c>
      <c r="T3532" s="49"/>
      <c r="V3532" s="21" t="s">
        <v>3365</v>
      </c>
    </row>
    <row r="3533">
      <c r="A3533" s="93">
        <v>98.0</v>
      </c>
      <c r="B3533" s="77" t="s">
        <v>29</v>
      </c>
      <c r="C3533" s="77" t="s">
        <v>3052</v>
      </c>
      <c r="D3533" s="77" t="s">
        <v>3366</v>
      </c>
      <c r="E3533" s="41" t="str">
        <f>IFERROR(__xludf.DUMMYFUNCTION("IFNA(vlookup(D3533,IMPORTRANGE(""https://docs.google.com/spreadsheets/d/1swGwZOEqYlTEUCJLY-eeJM1911Kvaei5oySBIxdgtNo/edit?pli=1#gid=257618397"",""stock untanna!B:C""),2,false),V:V)"),"SAMPUL ROLL DUST 344")</f>
        <v>SAMPUL ROLL DUST 344</v>
      </c>
      <c r="F3533" s="49"/>
      <c r="G3533" s="71"/>
      <c r="H3533" s="41"/>
      <c r="I3533" s="42"/>
      <c r="J3533" s="85" t="s">
        <v>1319</v>
      </c>
      <c r="K3533" s="93">
        <v>25.0</v>
      </c>
      <c r="L3533" s="112" t="s">
        <v>1384</v>
      </c>
      <c r="M3533" s="113">
        <v>6750.0</v>
      </c>
      <c r="N3533" s="74"/>
      <c r="O3533" s="87">
        <f t="shared" si="11"/>
        <v>168750</v>
      </c>
      <c r="P3533" s="102" t="str">
        <f t="shared" si="2"/>
        <v>Rp6,750-25 ROL-0.00%</v>
      </c>
      <c r="Q3533" s="92">
        <v>45422.0</v>
      </c>
      <c r="R3533" s="114">
        <v>45419.0</v>
      </c>
      <c r="S3533" s="92">
        <v>45430.0</v>
      </c>
      <c r="T3533" s="49"/>
      <c r="V3533" s="21" t="s">
        <v>3367</v>
      </c>
    </row>
    <row r="3534">
      <c r="A3534" s="93">
        <v>98.0</v>
      </c>
      <c r="B3534" s="77" t="s">
        <v>29</v>
      </c>
      <c r="C3534" s="77" t="s">
        <v>3052</v>
      </c>
      <c r="D3534" s="77" t="s">
        <v>3368</v>
      </c>
      <c r="E3534" s="41" t="str">
        <f>IFERROR(__xludf.DUMMYFUNCTION("IFNA(vlookup(D3534,IMPORTRANGE(""https://docs.google.com/spreadsheets/d/1swGwZOEqYlTEUCJLY-eeJM1911Kvaei5oySBIxdgtNo/edit?pli=1#gid=257618397"",""stock untanna!B:C""),2,false),V:V)"),"SAMPUL ROLL DUST 454")</f>
        <v>SAMPUL ROLL DUST 454</v>
      </c>
      <c r="F3534" s="49"/>
      <c r="G3534" s="71"/>
      <c r="H3534" s="41"/>
      <c r="I3534" s="42"/>
      <c r="J3534" s="85" t="s">
        <v>1319</v>
      </c>
      <c r="K3534" s="93">
        <v>25.0</v>
      </c>
      <c r="L3534" s="112" t="s">
        <v>1384</v>
      </c>
      <c r="M3534" s="113">
        <v>8500.0</v>
      </c>
      <c r="N3534" s="74"/>
      <c r="O3534" s="87">
        <f t="shared" si="11"/>
        <v>212500</v>
      </c>
      <c r="P3534" s="102" t="str">
        <f t="shared" si="2"/>
        <v>Rp8,500-25 ROL-0.00%</v>
      </c>
      <c r="Q3534" s="92">
        <v>45422.0</v>
      </c>
      <c r="R3534" s="114">
        <v>45419.0</v>
      </c>
      <c r="S3534" s="92">
        <v>45430.0</v>
      </c>
      <c r="T3534" s="49"/>
      <c r="V3534" s="21" t="s">
        <v>3369</v>
      </c>
    </row>
    <row r="3535">
      <c r="A3535" s="93">
        <v>98.0</v>
      </c>
      <c r="B3535" s="77" t="s">
        <v>29</v>
      </c>
      <c r="C3535" s="77" t="s">
        <v>3052</v>
      </c>
      <c r="D3535" s="77" t="s">
        <v>1780</v>
      </c>
      <c r="E3535" s="41" t="str">
        <f>IFERROR(__xludf.DUMMYFUNCTION("IFNA(vlookup(D3535,IMPORTRANGE(""https://docs.google.com/spreadsheets/d/1swGwZOEqYlTEUCJLY-eeJM1911Kvaei5oySBIxdgtNo/edit?pli=1#gid=257618397"",""stock untanna!B:C""),2,false),V:V)"),"NOTEBOOK 7025-18")</f>
        <v>NOTEBOOK 7025-18</v>
      </c>
      <c r="F3535" s="49"/>
      <c r="G3535" s="71"/>
      <c r="H3535" s="41"/>
      <c r="I3535" s="42"/>
      <c r="J3535" s="85" t="s">
        <v>1319</v>
      </c>
      <c r="K3535" s="93">
        <v>1.0</v>
      </c>
      <c r="L3535" s="112" t="s">
        <v>62</v>
      </c>
      <c r="M3535" s="113">
        <v>200000.0</v>
      </c>
      <c r="N3535" s="74"/>
      <c r="O3535" s="87">
        <f t="shared" si="11"/>
        <v>200000</v>
      </c>
      <c r="P3535" s="102" t="str">
        <f t="shared" si="2"/>
        <v>Rp200,000-1 LSN-0.00%</v>
      </c>
      <c r="Q3535" s="92">
        <v>45422.0</v>
      </c>
      <c r="R3535" s="114">
        <v>45419.0</v>
      </c>
      <c r="S3535" s="92">
        <v>45430.0</v>
      </c>
      <c r="T3535" s="49"/>
      <c r="V3535" s="21" t="s">
        <v>1781</v>
      </c>
    </row>
    <row r="3536">
      <c r="A3536" s="93">
        <v>98.0</v>
      </c>
      <c r="B3536" s="77" t="s">
        <v>29</v>
      </c>
      <c r="C3536" s="77" t="s">
        <v>3052</v>
      </c>
      <c r="D3536" s="77" t="s">
        <v>1802</v>
      </c>
      <c r="E3536" s="41" t="str">
        <f>IFERROR(__xludf.DUMMYFUNCTION("IFNA(vlookup(D3536,IMPORTRANGE(""https://docs.google.com/spreadsheets/d/1swGwZOEqYlTEUCJLY-eeJM1911Kvaei5oySBIxdgtNo/edit?pli=1#gid=257618397"",""stock untanna!B:C""),2,false),V:V)"),"NOTEBOOK 7050-18")</f>
        <v>NOTEBOOK 7050-18</v>
      </c>
      <c r="F3536" s="49"/>
      <c r="G3536" s="71"/>
      <c r="H3536" s="41"/>
      <c r="I3536" s="42"/>
      <c r="J3536" s="85" t="s">
        <v>1319</v>
      </c>
      <c r="K3536" s="93">
        <v>12.0</v>
      </c>
      <c r="L3536" s="112" t="s">
        <v>69</v>
      </c>
      <c r="M3536" s="113">
        <v>7500.0</v>
      </c>
      <c r="N3536" s="74"/>
      <c r="O3536" s="87">
        <f t="shared" si="11"/>
        <v>90000</v>
      </c>
      <c r="P3536" s="102" t="str">
        <f t="shared" si="2"/>
        <v>Rp7,500-12 PCS-0.00%</v>
      </c>
      <c r="Q3536" s="92">
        <v>45422.0</v>
      </c>
      <c r="R3536" s="114">
        <v>45419.0</v>
      </c>
      <c r="S3536" s="92">
        <v>45430.0</v>
      </c>
      <c r="T3536" s="49"/>
      <c r="V3536" s="21" t="s">
        <v>1803</v>
      </c>
    </row>
    <row r="3537">
      <c r="A3537" s="93">
        <v>98.0</v>
      </c>
      <c r="B3537" s="77" t="s">
        <v>29</v>
      </c>
      <c r="C3537" s="77" t="s">
        <v>3052</v>
      </c>
      <c r="D3537" s="91"/>
      <c r="E3537" s="41" t="str">
        <f>IFERROR(__xludf.DUMMYFUNCTION("IFNA(vlookup(D3537,IMPORTRANGE(""https://docs.google.com/spreadsheets/d/1swGwZOEqYlTEUCJLY-eeJM1911Kvaei5oySBIxdgtNo/edit?pli=1#gid=257618397"",""stock untanna!B:C""),2,false),V:V)"),"NOTEBOOK 70100-11")</f>
        <v>NOTEBOOK 70100-11</v>
      </c>
      <c r="F3537" s="49"/>
      <c r="G3537" s="71"/>
      <c r="H3537" s="41"/>
      <c r="I3537" s="42"/>
      <c r="J3537" s="85" t="s">
        <v>1319</v>
      </c>
      <c r="K3537" s="93">
        <v>2.0</v>
      </c>
      <c r="L3537" s="112" t="s">
        <v>62</v>
      </c>
      <c r="M3537" s="113">
        <v>60000.0</v>
      </c>
      <c r="N3537" s="74"/>
      <c r="O3537" s="87">
        <f t="shared" si="11"/>
        <v>120000</v>
      </c>
      <c r="P3537" s="102" t="str">
        <f t="shared" si="2"/>
        <v>Rp60,000-2 LSN-0.00%</v>
      </c>
      <c r="Q3537" s="92">
        <v>45422.0</v>
      </c>
      <c r="R3537" s="114">
        <v>45419.0</v>
      </c>
      <c r="S3537" s="92">
        <v>45430.0</v>
      </c>
      <c r="T3537" s="77" t="s">
        <v>280</v>
      </c>
      <c r="V3537" s="21" t="s">
        <v>2394</v>
      </c>
    </row>
    <row r="3538">
      <c r="A3538" s="93">
        <v>98.0</v>
      </c>
      <c r="B3538" s="77" t="s">
        <v>29</v>
      </c>
      <c r="C3538" s="77" t="s">
        <v>3052</v>
      </c>
      <c r="D3538" s="77" t="s">
        <v>2075</v>
      </c>
      <c r="E3538" s="41" t="str">
        <f>IFERROR(__xludf.DUMMYFUNCTION("IFNA(vlookup(D3538,IMPORTRANGE(""https://docs.google.com/spreadsheets/d/1swGwZOEqYlTEUCJLY-eeJM1911Kvaei5oySBIxdgtNo/edit?pli=1#gid=257618397"",""stock untanna!B:C""),2,false),V:V)"),"PC MAGNIT JUMBO 3575-19")</f>
        <v>PC MAGNIT JUMBO 3575-19</v>
      </c>
      <c r="F3538" s="49"/>
      <c r="G3538" s="71"/>
      <c r="H3538" s="41"/>
      <c r="I3538" s="42"/>
      <c r="J3538" s="85" t="s">
        <v>1319</v>
      </c>
      <c r="K3538" s="93">
        <v>2.0</v>
      </c>
      <c r="L3538" s="112" t="s">
        <v>62</v>
      </c>
      <c r="M3538" s="113">
        <v>80000.0</v>
      </c>
      <c r="N3538" s="74"/>
      <c r="O3538" s="87">
        <f t="shared" si="11"/>
        <v>160000</v>
      </c>
      <c r="P3538" s="102" t="str">
        <f t="shared" si="2"/>
        <v>Rp80,000-2 LSN-0.00%</v>
      </c>
      <c r="Q3538" s="92">
        <v>45422.0</v>
      </c>
      <c r="R3538" s="114">
        <v>45419.0</v>
      </c>
      <c r="S3538" s="92">
        <v>45430.0</v>
      </c>
      <c r="T3538" s="77" t="s">
        <v>280</v>
      </c>
      <c r="V3538" s="21" t="s">
        <v>2076</v>
      </c>
    </row>
    <row r="3539">
      <c r="A3539" s="93">
        <v>98.0</v>
      </c>
      <c r="B3539" s="77" t="s">
        <v>29</v>
      </c>
      <c r="C3539" s="77" t="s">
        <v>3052</v>
      </c>
      <c r="D3539" s="77" t="s">
        <v>804</v>
      </c>
      <c r="E3539" s="41" t="str">
        <f>IFERROR(__xludf.DUMMYFUNCTION("IFNA(vlookup(D3539,IMPORTRANGE(""https://docs.google.com/spreadsheets/d/1swGwZOEqYlTEUCJLY-eeJM1911Kvaei5oySBIxdgtNo/edit?pli=1#gid=257618397"",""stock untanna!B:C""),2,false),V:V)"),"NOTES 156-80")</f>
        <v>NOTES 156-80</v>
      </c>
      <c r="F3539" s="49"/>
      <c r="G3539" s="71"/>
      <c r="H3539" s="41"/>
      <c r="I3539" s="42"/>
      <c r="J3539" s="85" t="s">
        <v>1319</v>
      </c>
      <c r="K3539" s="93">
        <v>2.0</v>
      </c>
      <c r="L3539" s="112" t="s">
        <v>62</v>
      </c>
      <c r="M3539" s="113">
        <v>38000.0</v>
      </c>
      <c r="N3539" s="74"/>
      <c r="O3539" s="87">
        <f t="shared" si="11"/>
        <v>76000</v>
      </c>
      <c r="P3539" s="102" t="str">
        <f t="shared" si="2"/>
        <v>Rp38,000-2 LSN-0.00%</v>
      </c>
      <c r="Q3539" s="92">
        <v>45422.0</v>
      </c>
      <c r="R3539" s="114">
        <v>45419.0</v>
      </c>
      <c r="S3539" s="92">
        <v>45430.0</v>
      </c>
      <c r="T3539" s="49"/>
      <c r="V3539" s="21" t="s">
        <v>805</v>
      </c>
    </row>
    <row r="3540">
      <c r="A3540" s="93">
        <v>98.0</v>
      </c>
      <c r="B3540" s="77" t="s">
        <v>29</v>
      </c>
      <c r="C3540" s="77" t="s">
        <v>3052</v>
      </c>
      <c r="D3540" s="77" t="s">
        <v>3370</v>
      </c>
      <c r="E3540" s="41" t="str">
        <f>IFERROR(__xludf.DUMMYFUNCTION("IFNA(vlookup(D3540,IMPORTRANGE(""https://docs.google.com/spreadsheets/d/1swGwZOEqYlTEUCJLY-eeJM1911Kvaei5oySBIxdgtNo/edit?pli=1#gid=257618397"",""stock untanna!B:C""),2,false),V:V)"),"NOTEBOOK 83100")</f>
        <v>NOTEBOOK 83100</v>
      </c>
      <c r="F3540" s="49"/>
      <c r="G3540" s="71"/>
      <c r="H3540" s="41"/>
      <c r="I3540" s="42"/>
      <c r="J3540" s="85" t="s">
        <v>1319</v>
      </c>
      <c r="K3540" s="93">
        <v>24.0</v>
      </c>
      <c r="L3540" s="112" t="s">
        <v>69</v>
      </c>
      <c r="M3540" s="113">
        <v>6000.0</v>
      </c>
      <c r="N3540" s="74"/>
      <c r="O3540" s="87">
        <f t="shared" si="11"/>
        <v>144000</v>
      </c>
      <c r="P3540" s="102" t="str">
        <f t="shared" si="2"/>
        <v>Rp6,000-24 PCS-0.00%</v>
      </c>
      <c r="Q3540" s="92">
        <v>45422.0</v>
      </c>
      <c r="R3540" s="114">
        <v>45419.0</v>
      </c>
      <c r="S3540" s="92">
        <v>45430.0</v>
      </c>
      <c r="T3540" s="49"/>
      <c r="V3540" s="21" t="s">
        <v>3371</v>
      </c>
    </row>
    <row r="3541">
      <c r="A3541" s="93">
        <v>98.0</v>
      </c>
      <c r="B3541" s="77" t="s">
        <v>29</v>
      </c>
      <c r="C3541" s="77" t="s">
        <v>3052</v>
      </c>
      <c r="D3541" s="91"/>
      <c r="E3541" s="41" t="str">
        <f>IFERROR(__xludf.DUMMYFUNCTION("IFNA(vlookup(D3541,IMPORTRANGE(""https://docs.google.com/spreadsheets/d/1swGwZOEqYlTEUCJLY-eeJM1911Kvaei5oySBIxdgtNo/edit?pli=1#gid=257618397"",""stock untanna!B:C""),2,false),V:V)"),"AGENDA MB35-50")</f>
        <v>AGENDA MB35-50</v>
      </c>
      <c r="F3541" s="49"/>
      <c r="G3541" s="71"/>
      <c r="H3541" s="41"/>
      <c r="I3541" s="42"/>
      <c r="J3541" s="85" t="s">
        <v>3190</v>
      </c>
      <c r="K3541" s="93">
        <v>12.0</v>
      </c>
      <c r="L3541" s="112" t="s">
        <v>69</v>
      </c>
      <c r="M3541" s="113">
        <v>12500.0</v>
      </c>
      <c r="N3541" s="74"/>
      <c r="O3541" s="87">
        <f t="shared" si="11"/>
        <v>150000</v>
      </c>
      <c r="P3541" s="102" t="str">
        <f t="shared" si="2"/>
        <v>Rp12,500-12 PCS-0.00%</v>
      </c>
      <c r="Q3541" s="92">
        <v>45422.0</v>
      </c>
      <c r="R3541" s="114">
        <v>45419.0</v>
      </c>
      <c r="S3541" s="92">
        <v>45430.0</v>
      </c>
      <c r="T3541" s="49"/>
      <c r="V3541" s="21" t="s">
        <v>3372</v>
      </c>
    </row>
    <row r="3542">
      <c r="A3542" s="93">
        <v>98.0</v>
      </c>
      <c r="B3542" s="77" t="s">
        <v>29</v>
      </c>
      <c r="C3542" s="77" t="s">
        <v>3052</v>
      </c>
      <c r="D3542" s="91"/>
      <c r="E3542" s="41" t="str">
        <f>IFERROR(__xludf.DUMMYFUNCTION("IFNA(vlookup(D3542,IMPORTRANGE(""https://docs.google.com/spreadsheets/d/1swGwZOEqYlTEUCJLY-eeJM1911Kvaei5oySBIxdgtNo/edit?pli=1#gid=257618397"",""stock untanna!B:C""),2,false),V:V)"),"STICKER 333")</f>
        <v>STICKER 333</v>
      </c>
      <c r="F3542" s="49"/>
      <c r="G3542" s="71"/>
      <c r="H3542" s="41"/>
      <c r="I3542" s="42"/>
      <c r="J3542" s="85" t="s">
        <v>3190</v>
      </c>
      <c r="K3542" s="93">
        <v>24.0</v>
      </c>
      <c r="L3542" s="112" t="s">
        <v>69</v>
      </c>
      <c r="M3542" s="113">
        <v>10500.0</v>
      </c>
      <c r="N3542" s="74"/>
      <c r="O3542" s="87">
        <f t="shared" si="11"/>
        <v>252000</v>
      </c>
      <c r="P3542" s="102" t="str">
        <f t="shared" si="2"/>
        <v>Rp10,500-24 PCS-0.00%</v>
      </c>
      <c r="Q3542" s="92">
        <v>45422.0</v>
      </c>
      <c r="R3542" s="114">
        <v>45419.0</v>
      </c>
      <c r="S3542" s="92">
        <v>45430.0</v>
      </c>
      <c r="T3542" s="49"/>
      <c r="V3542" s="21" t="s">
        <v>1487</v>
      </c>
    </row>
    <row r="3543">
      <c r="A3543" s="93">
        <v>98.0</v>
      </c>
      <c r="B3543" s="77" t="s">
        <v>29</v>
      </c>
      <c r="C3543" s="77" t="s">
        <v>3052</v>
      </c>
      <c r="D3543" s="77" t="s">
        <v>2814</v>
      </c>
      <c r="E3543" s="41" t="str">
        <f>IFERROR(__xludf.DUMMYFUNCTION("IFNA(vlookup(D3543,IMPORTRANGE(""https://docs.google.com/spreadsheets/d/1swGwZOEqYlTEUCJLY-eeJM1911Kvaei5oySBIxdgtNo/edit?pli=1#gid=257618397"",""stock untanna!B:C""),2,false),V:V)"),"NB MINI POCKET MB 120 WARNA KULIT")</f>
        <v>NB MINI POCKET MB 120 WARNA KULIT</v>
      </c>
      <c r="F3543" s="49"/>
      <c r="G3543" s="71"/>
      <c r="H3543" s="41"/>
      <c r="I3543" s="42"/>
      <c r="J3543" s="85" t="s">
        <v>1319</v>
      </c>
      <c r="K3543" s="93">
        <v>2.0</v>
      </c>
      <c r="L3543" s="112" t="s">
        <v>62</v>
      </c>
      <c r="M3543" s="113">
        <v>52500.0</v>
      </c>
      <c r="N3543" s="74"/>
      <c r="O3543" s="87">
        <f t="shared" si="11"/>
        <v>105000</v>
      </c>
      <c r="P3543" s="102" t="str">
        <f t="shared" si="2"/>
        <v>Rp52,500-2 LSN-0.00%</v>
      </c>
      <c r="Q3543" s="92">
        <v>45422.0</v>
      </c>
      <c r="R3543" s="114">
        <v>45419.0</v>
      </c>
      <c r="S3543" s="92">
        <v>45430.0</v>
      </c>
      <c r="T3543" s="49"/>
      <c r="V3543" s="21" t="s">
        <v>2815</v>
      </c>
    </row>
    <row r="3544">
      <c r="A3544" s="93">
        <v>99.0</v>
      </c>
      <c r="B3544" s="77" t="s">
        <v>29</v>
      </c>
      <c r="C3544" s="77" t="s">
        <v>3052</v>
      </c>
      <c r="D3544" s="91"/>
      <c r="E3544" s="41" t="str">
        <f>IFERROR(__xludf.DUMMYFUNCTION("IFNA(vlookup(D3544,IMPORTRANGE(""https://docs.google.com/spreadsheets/d/1swGwZOEqYlTEUCJLY-eeJM1911Kvaei5oySBIxdgtNo/edit?pli=1#gid=257618397"",""stock untanna!B:C""),2,false),V:V)"),"PEMBATAS A5 UTN ISI 5")</f>
        <v>PEMBATAS A5 UTN ISI 5</v>
      </c>
      <c r="F3544" s="49"/>
      <c r="G3544" s="71"/>
      <c r="H3544" s="41"/>
      <c r="I3544" s="42"/>
      <c r="J3544" s="85" t="s">
        <v>3190</v>
      </c>
      <c r="K3544" s="93">
        <v>12.0</v>
      </c>
      <c r="L3544" s="112" t="s">
        <v>69</v>
      </c>
      <c r="M3544" s="113">
        <v>6000.0</v>
      </c>
      <c r="N3544" s="74"/>
      <c r="O3544" s="87">
        <f t="shared" si="11"/>
        <v>72000</v>
      </c>
      <c r="P3544" s="102" t="str">
        <f t="shared" si="2"/>
        <v>Rp6,000-12 PCS-0.00%</v>
      </c>
      <c r="Q3544" s="92">
        <v>45422.0</v>
      </c>
      <c r="R3544" s="114">
        <v>45419.0</v>
      </c>
      <c r="S3544" s="92">
        <v>45430.0</v>
      </c>
      <c r="T3544" s="49"/>
      <c r="V3544" s="21" t="s">
        <v>3373</v>
      </c>
    </row>
    <row r="3545">
      <c r="A3545" s="93">
        <v>99.0</v>
      </c>
      <c r="B3545" s="77" t="s">
        <v>29</v>
      </c>
      <c r="C3545" s="77" t="s">
        <v>3052</v>
      </c>
      <c r="D3545" s="91"/>
      <c r="E3545" s="41" t="str">
        <f>IFERROR(__xludf.DUMMYFUNCTION("IFNA(vlookup(D3545,IMPORTRANGE(""https://docs.google.com/spreadsheets/d/1swGwZOEqYlTEUCJLY-eeJM1911Kvaei5oySBIxdgtNo/edit?pli=1#gid=257618397"",""stock untanna!B:C""),2,false),V:V)"),"KUAS K3NIL")</f>
        <v>KUAS K3NIL</v>
      </c>
      <c r="F3545" s="49"/>
      <c r="G3545" s="71"/>
      <c r="H3545" s="41"/>
      <c r="I3545" s="42"/>
      <c r="J3545" s="85" t="s">
        <v>1319</v>
      </c>
      <c r="K3545" s="93">
        <v>12.0</v>
      </c>
      <c r="L3545" s="112" t="s">
        <v>84</v>
      </c>
      <c r="M3545" s="113">
        <v>5500.0</v>
      </c>
      <c r="N3545" s="74"/>
      <c r="O3545" s="87">
        <f t="shared" si="11"/>
        <v>66000</v>
      </c>
      <c r="P3545" s="102" t="str">
        <f t="shared" si="2"/>
        <v>Rp5,500-12 SET-0.00%</v>
      </c>
      <c r="Q3545" s="92">
        <v>45422.0</v>
      </c>
      <c r="R3545" s="114">
        <v>45419.0</v>
      </c>
      <c r="S3545" s="92">
        <v>45430.0</v>
      </c>
      <c r="T3545" s="77" t="s">
        <v>280</v>
      </c>
      <c r="V3545" s="21" t="s">
        <v>3374</v>
      </c>
    </row>
    <row r="3546">
      <c r="A3546" s="93">
        <v>99.0</v>
      </c>
      <c r="B3546" s="77" t="s">
        <v>29</v>
      </c>
      <c r="C3546" s="77" t="s">
        <v>3052</v>
      </c>
      <c r="D3546" s="77" t="s">
        <v>1686</v>
      </c>
      <c r="E3546" s="41" t="str">
        <f>IFERROR(__xludf.DUMMYFUNCTION("IFNA(vlookup(D3546,IMPORTRANGE(""https://docs.google.com/spreadsheets/d/1swGwZOEqYlTEUCJLY-eeJM1911Kvaei5oySBIxdgtNo/edit?pli=1#gid=257618397"",""stock untanna!B:C""),2,false),V:V)"),"BP DB 550")</f>
        <v>BP DB 550</v>
      </c>
      <c r="F3546" s="49"/>
      <c r="G3546" s="71"/>
      <c r="H3546" s="41"/>
      <c r="I3546" s="42"/>
      <c r="J3546" s="85" t="s">
        <v>1319</v>
      </c>
      <c r="K3546" s="93">
        <v>3.0</v>
      </c>
      <c r="L3546" s="112" t="s">
        <v>62</v>
      </c>
      <c r="M3546" s="113">
        <v>26000.0</v>
      </c>
      <c r="N3546" s="74"/>
      <c r="O3546" s="87">
        <f t="shared" si="11"/>
        <v>78000</v>
      </c>
      <c r="P3546" s="102" t="str">
        <f t="shared" si="2"/>
        <v>Rp26,000-3 LSN-0.00%</v>
      </c>
      <c r="Q3546" s="92">
        <v>45422.0</v>
      </c>
      <c r="R3546" s="114">
        <v>45419.0</v>
      </c>
      <c r="S3546" s="92">
        <v>45430.0</v>
      </c>
      <c r="T3546" s="77" t="s">
        <v>280</v>
      </c>
      <c r="V3546" s="21" t="s">
        <v>1687</v>
      </c>
    </row>
    <row r="3547">
      <c r="A3547" s="93">
        <v>99.0</v>
      </c>
      <c r="B3547" s="77" t="s">
        <v>29</v>
      </c>
      <c r="C3547" s="77" t="s">
        <v>3052</v>
      </c>
      <c r="D3547" s="77" t="s">
        <v>479</v>
      </c>
      <c r="E3547" s="41" t="str">
        <f>IFERROR(__xludf.DUMMYFUNCTION("IFNA(vlookup(D3547,IMPORTRANGE(""https://docs.google.com/spreadsheets/d/1swGwZOEqYlTEUCJLY-eeJM1911Kvaei5oySBIxdgtNo/edit?pli=1#gid=257618397"",""stock untanna!B:C""),2,false),V:V)"),"BP GEL DTIAN A 93")</f>
        <v>BP GEL DTIAN A 93</v>
      </c>
      <c r="F3547" s="49"/>
      <c r="G3547" s="71"/>
      <c r="H3547" s="41"/>
      <c r="I3547" s="42"/>
      <c r="J3547" s="85" t="s">
        <v>1319</v>
      </c>
      <c r="K3547" s="93">
        <v>12.0</v>
      </c>
      <c r="L3547" s="112" t="s">
        <v>62</v>
      </c>
      <c r="M3547" s="113">
        <v>14000.0</v>
      </c>
      <c r="N3547" s="74"/>
      <c r="O3547" s="87">
        <f t="shared" si="11"/>
        <v>168000</v>
      </c>
      <c r="P3547" s="102" t="str">
        <f t="shared" si="2"/>
        <v>Rp14,000-12 LSN-0.00%</v>
      </c>
      <c r="Q3547" s="92">
        <v>45422.0</v>
      </c>
      <c r="R3547" s="114">
        <v>45419.0</v>
      </c>
      <c r="S3547" s="92">
        <v>45430.0</v>
      </c>
      <c r="T3547" s="49"/>
      <c r="V3547" s="21" t="s">
        <v>480</v>
      </c>
    </row>
    <row r="3548">
      <c r="A3548" s="93">
        <v>99.0</v>
      </c>
      <c r="B3548" s="77" t="s">
        <v>29</v>
      </c>
      <c r="C3548" s="77" t="s">
        <v>3052</v>
      </c>
      <c r="D3548" s="77" t="s">
        <v>953</v>
      </c>
      <c r="E3548" s="41" t="str">
        <f>IFERROR(__xludf.DUMMYFUNCTION("IFNA(vlookup(D3548,IMPORTRANGE(""https://docs.google.com/spreadsheets/d/1swGwZOEqYlTEUCJLY-eeJM1911Kvaei5oySBIxdgtNo/edit?pli=1#gid=257618397"",""stock untanna!B:C""),2,false),V:V)"),"BP GEL DTIAN DT-612")</f>
        <v>BP GEL DTIAN DT-612</v>
      </c>
      <c r="F3548" s="49"/>
      <c r="G3548" s="71"/>
      <c r="H3548" s="41"/>
      <c r="I3548" s="42"/>
      <c r="J3548" s="85" t="s">
        <v>1319</v>
      </c>
      <c r="K3548" s="93">
        <v>12.0</v>
      </c>
      <c r="L3548" s="112" t="s">
        <v>62</v>
      </c>
      <c r="M3548" s="113">
        <v>14000.0</v>
      </c>
      <c r="N3548" s="74"/>
      <c r="O3548" s="87">
        <f t="shared" si="11"/>
        <v>168000</v>
      </c>
      <c r="P3548" s="102" t="str">
        <f t="shared" si="2"/>
        <v>Rp14,000-12 LSN-0.00%</v>
      </c>
      <c r="Q3548" s="92">
        <v>45422.0</v>
      </c>
      <c r="R3548" s="114">
        <v>45419.0</v>
      </c>
      <c r="S3548" s="92">
        <v>45430.0</v>
      </c>
      <c r="T3548" s="49"/>
      <c r="V3548" s="21" t="s">
        <v>954</v>
      </c>
    </row>
    <row r="3549">
      <c r="A3549" s="93">
        <v>99.0</v>
      </c>
      <c r="B3549" s="77" t="s">
        <v>29</v>
      </c>
      <c r="C3549" s="77" t="s">
        <v>3052</v>
      </c>
      <c r="D3549" s="77" t="s">
        <v>419</v>
      </c>
      <c r="E3549" s="41" t="str">
        <f>IFERROR(__xludf.DUMMYFUNCTION("IFNA(vlookup(D3549,IMPORTRANGE(""https://docs.google.com/spreadsheets/d/1swGwZOEqYlTEUCJLY-eeJM1911Kvaei5oySBIxdgtNo/edit?pli=1#gid=257618397"",""stock untanna!B:C""),2,false),V:V)"),"BP GEL ZUI XUA HY-1020 HITAM")</f>
        <v>BP GEL ZUI XUA HY-1020 HITAM</v>
      </c>
      <c r="F3549" s="49"/>
      <c r="G3549" s="71"/>
      <c r="H3549" s="41"/>
      <c r="I3549" s="42"/>
      <c r="J3549" s="85" t="s">
        <v>1319</v>
      </c>
      <c r="K3549" s="93">
        <v>12.0</v>
      </c>
      <c r="L3549" s="112" t="s">
        <v>62</v>
      </c>
      <c r="M3549" s="113">
        <v>17000.0</v>
      </c>
      <c r="N3549" s="74"/>
      <c r="O3549" s="87">
        <f t="shared" si="11"/>
        <v>204000</v>
      </c>
      <c r="P3549" s="102" t="str">
        <f t="shared" si="2"/>
        <v>Rp17,000-12 LSN-0.00%</v>
      </c>
      <c r="Q3549" s="92">
        <v>45422.0</v>
      </c>
      <c r="R3549" s="114">
        <v>45419.0</v>
      </c>
      <c r="S3549" s="92">
        <v>45430.0</v>
      </c>
      <c r="T3549" s="49"/>
      <c r="V3549" s="21" t="s">
        <v>3281</v>
      </c>
    </row>
    <row r="3550">
      <c r="A3550" s="93">
        <v>99.0</v>
      </c>
      <c r="B3550" s="77" t="s">
        <v>29</v>
      </c>
      <c r="C3550" s="77" t="s">
        <v>3052</v>
      </c>
      <c r="D3550" s="77" t="s">
        <v>1868</v>
      </c>
      <c r="E3550" s="41" t="str">
        <f>IFERROR(__xludf.DUMMYFUNCTION("IFNA(vlookup(D3550,IMPORTRANGE(""https://docs.google.com/spreadsheets/d/1swGwZOEqYlTEUCJLY-eeJM1911Kvaei5oySBIxdgtNo/edit?pli=1#gid=257618397"",""stock untanna!B:C""),2,false),V:V)"),"BP 4W TOZCHA 8401")</f>
        <v>BP 4W TOZCHA 8401</v>
      </c>
      <c r="F3550" s="49"/>
      <c r="G3550" s="71"/>
      <c r="H3550" s="41"/>
      <c r="I3550" s="42"/>
      <c r="J3550" s="85" t="s">
        <v>1319</v>
      </c>
      <c r="K3550" s="93">
        <v>3.0</v>
      </c>
      <c r="L3550" s="112" t="s">
        <v>62</v>
      </c>
      <c r="M3550" s="113">
        <v>35000.0</v>
      </c>
      <c r="N3550" s="74"/>
      <c r="O3550" s="87">
        <f t="shared" si="11"/>
        <v>105000</v>
      </c>
      <c r="P3550" s="102" t="str">
        <f t="shared" si="2"/>
        <v>Rp35,000-3 LSN-0.00%</v>
      </c>
      <c r="Q3550" s="92">
        <v>45422.0</v>
      </c>
      <c r="R3550" s="114">
        <v>45419.0</v>
      </c>
      <c r="S3550" s="92">
        <v>45430.0</v>
      </c>
      <c r="T3550" s="49"/>
      <c r="V3550" s="21" t="s">
        <v>1869</v>
      </c>
    </row>
    <row r="3551">
      <c r="A3551" s="93">
        <v>99.0</v>
      </c>
      <c r="B3551" s="77" t="s">
        <v>29</v>
      </c>
      <c r="C3551" s="77" t="s">
        <v>3052</v>
      </c>
      <c r="D3551" s="77" t="s">
        <v>2446</v>
      </c>
      <c r="E3551" s="41" t="str">
        <f>IFERROR(__xludf.DUMMYFUNCTION("IFNA(vlookup(D3551,IMPORTRANGE(""https://docs.google.com/spreadsheets/d/1swGwZOEqYlTEUCJLY-eeJM1911Kvaei5oySBIxdgtNo/edit?pli=1#gid=257618397"",""stock untanna!B:C""),2,false),V:V)"),"BP GEL TIZO TG31220")</f>
        <v>BP GEL TIZO TG31220</v>
      </c>
      <c r="F3551" s="49"/>
      <c r="G3551" s="71"/>
      <c r="H3551" s="41"/>
      <c r="I3551" s="42"/>
      <c r="J3551" s="85" t="s">
        <v>1319</v>
      </c>
      <c r="K3551" s="93">
        <v>3.0</v>
      </c>
      <c r="L3551" s="112" t="s">
        <v>62</v>
      </c>
      <c r="M3551" s="113">
        <v>27000.0</v>
      </c>
      <c r="N3551" s="74"/>
      <c r="O3551" s="87">
        <f t="shared" si="11"/>
        <v>81000</v>
      </c>
      <c r="P3551" s="102" t="str">
        <f t="shared" si="2"/>
        <v>Rp27,000-3 LSN-0.00%</v>
      </c>
      <c r="Q3551" s="92">
        <v>45422.0</v>
      </c>
      <c r="R3551" s="114">
        <v>45419.0</v>
      </c>
      <c r="S3551" s="92">
        <v>45430.0</v>
      </c>
      <c r="T3551" s="49"/>
      <c r="V3551" s="21" t="s">
        <v>2447</v>
      </c>
    </row>
    <row r="3552">
      <c r="A3552" s="93">
        <v>99.0</v>
      </c>
      <c r="B3552" s="77" t="s">
        <v>29</v>
      </c>
      <c r="C3552" s="77" t="s">
        <v>3052</v>
      </c>
      <c r="D3552" s="77" t="s">
        <v>3375</v>
      </c>
      <c r="E3552" s="41" t="str">
        <f>IFERROR(__xludf.DUMMYFUNCTION("IFNA(vlookup(D3552,IMPORTRANGE(""https://docs.google.com/spreadsheets/d/1swGwZOEqYlTEUCJLY-eeJM1911Kvaei5oySBIxdgtNo/edit?pli=1#gid=257618397"",""stock untanna!B:C""),2,false),V:V)"),"BP TG 346 E")</f>
        <v>BP TG 346 E</v>
      </c>
      <c r="F3552" s="49"/>
      <c r="G3552" s="71"/>
      <c r="H3552" s="41"/>
      <c r="I3552" s="42"/>
      <c r="J3552" s="85" t="s">
        <v>1319</v>
      </c>
      <c r="K3552" s="93">
        <v>3.0</v>
      </c>
      <c r="L3552" s="112" t="s">
        <v>62</v>
      </c>
      <c r="M3552" s="113">
        <v>31500.0</v>
      </c>
      <c r="N3552" s="74"/>
      <c r="O3552" s="87">
        <f t="shared" si="11"/>
        <v>94500</v>
      </c>
      <c r="P3552" s="102" t="str">
        <f t="shared" si="2"/>
        <v>Rp31,500-3 LSN-0.00%</v>
      </c>
      <c r="Q3552" s="92">
        <v>45422.0</v>
      </c>
      <c r="R3552" s="114">
        <v>45419.0</v>
      </c>
      <c r="S3552" s="92">
        <v>45430.0</v>
      </c>
      <c r="T3552" s="77" t="s">
        <v>280</v>
      </c>
      <c r="V3552" s="21" t="s">
        <v>3376</v>
      </c>
    </row>
    <row r="3553">
      <c r="A3553" s="93">
        <v>99.0</v>
      </c>
      <c r="B3553" s="77" t="s">
        <v>29</v>
      </c>
      <c r="C3553" s="77" t="s">
        <v>3052</v>
      </c>
      <c r="D3553" s="77" t="s">
        <v>3377</v>
      </c>
      <c r="E3553" s="41" t="str">
        <f>IFERROR(__xludf.DUMMYFUNCTION("IFNA(vlookup(D3553,IMPORTRANGE(""https://docs.google.com/spreadsheets/d/1swGwZOEqYlTEUCJLY-eeJM1911Kvaei5oySBIxdgtNo/edit?pli=1#gid=257618397"",""stock untanna!B:C""),2,false),V:V)"),"BP TIZO TB SG 09")</f>
        <v>BP TIZO TB SG 09</v>
      </c>
      <c r="F3553" s="49"/>
      <c r="G3553" s="71"/>
      <c r="H3553" s="41"/>
      <c r="I3553" s="42"/>
      <c r="J3553" s="85" t="s">
        <v>1319</v>
      </c>
      <c r="K3553" s="93">
        <v>6.0</v>
      </c>
      <c r="L3553" s="112" t="s">
        <v>62</v>
      </c>
      <c r="M3553" s="113">
        <v>11500.0</v>
      </c>
      <c r="N3553" s="74"/>
      <c r="O3553" s="87">
        <f t="shared" si="11"/>
        <v>69000</v>
      </c>
      <c r="P3553" s="102" t="str">
        <f t="shared" si="2"/>
        <v>Rp11,500-6 LSN-0.00%</v>
      </c>
      <c r="Q3553" s="92">
        <v>45422.0</v>
      </c>
      <c r="R3553" s="114">
        <v>45419.0</v>
      </c>
      <c r="S3553" s="92">
        <v>45430.0</v>
      </c>
      <c r="T3553" s="49"/>
      <c r="V3553" s="21" t="s">
        <v>3378</v>
      </c>
    </row>
    <row r="3554">
      <c r="A3554" s="93">
        <v>99.0</v>
      </c>
      <c r="B3554" s="77" t="s">
        <v>29</v>
      </c>
      <c r="C3554" s="77" t="s">
        <v>3052</v>
      </c>
      <c r="D3554" s="91"/>
      <c r="E3554" s="41" t="str">
        <f>IFERROR(__xludf.DUMMYFUNCTION("IFNA(vlookup(D3554,IMPORTRANGE(""https://docs.google.com/spreadsheets/d/1swGwZOEqYlTEUCJLY-eeJM1911Kvaei5oySBIxdgtNo/edit?pli=1#gid=257618397"",""stock untanna!B:C""),2,false),V:V)"),"GEL GP 340 SIKA")</f>
        <v>GEL GP 340 SIKA</v>
      </c>
      <c r="F3554" s="49"/>
      <c r="G3554" s="71"/>
      <c r="H3554" s="41"/>
      <c r="I3554" s="42"/>
      <c r="J3554" s="85" t="s">
        <v>3190</v>
      </c>
      <c r="K3554" s="93">
        <v>3.0</v>
      </c>
      <c r="L3554" s="112" t="s">
        <v>62</v>
      </c>
      <c r="M3554" s="113">
        <v>32500.0</v>
      </c>
      <c r="N3554" s="74"/>
      <c r="O3554" s="87">
        <f t="shared" si="11"/>
        <v>97500</v>
      </c>
      <c r="P3554" s="102" t="str">
        <f t="shared" si="2"/>
        <v>Rp32,500-3 LSN-0.00%</v>
      </c>
      <c r="Q3554" s="92">
        <v>45422.0</v>
      </c>
      <c r="R3554" s="114">
        <v>45419.0</v>
      </c>
      <c r="S3554" s="92">
        <v>45430.0</v>
      </c>
      <c r="T3554" s="49"/>
      <c r="V3554" s="21" t="s">
        <v>3379</v>
      </c>
    </row>
    <row r="3555">
      <c r="A3555" s="93">
        <v>99.0</v>
      </c>
      <c r="B3555" s="77" t="s">
        <v>29</v>
      </c>
      <c r="C3555" s="77" t="s">
        <v>3052</v>
      </c>
      <c r="D3555" s="77" t="s">
        <v>203</v>
      </c>
      <c r="E3555" s="41" t="str">
        <f>IFERROR(__xludf.DUMMYFUNCTION("IFNA(vlookup(D3555,IMPORTRANGE(""https://docs.google.com/spreadsheets/d/1swGwZOEqYlTEUCJLY-eeJM1911Kvaei5oySBIxdgtNo/edit?pli=1#gid=257618397"",""stock untanna!B:C""),2,false),V:V)"),"BP HITECH JOSS GP-168 0.28MM")</f>
        <v>BP HITECH JOSS GP-168 0.28MM</v>
      </c>
      <c r="F3555" s="49"/>
      <c r="G3555" s="71"/>
      <c r="H3555" s="41"/>
      <c r="I3555" s="42"/>
      <c r="J3555" s="85" t="s">
        <v>1319</v>
      </c>
      <c r="K3555" s="93">
        <v>6.0</v>
      </c>
      <c r="L3555" s="112" t="s">
        <v>62</v>
      </c>
      <c r="M3555" s="113">
        <v>35000.0</v>
      </c>
      <c r="N3555" s="74"/>
      <c r="O3555" s="87">
        <f t="shared" si="11"/>
        <v>210000</v>
      </c>
      <c r="P3555" s="102" t="str">
        <f t="shared" si="2"/>
        <v>Rp35,000-6 LSN-0.00%</v>
      </c>
      <c r="Q3555" s="92">
        <v>45422.0</v>
      </c>
      <c r="R3555" s="114">
        <v>45419.0</v>
      </c>
      <c r="S3555" s="92">
        <v>45430.0</v>
      </c>
      <c r="T3555" s="49"/>
      <c r="V3555" s="21" t="s">
        <v>204</v>
      </c>
    </row>
    <row r="3556">
      <c r="A3556" s="93">
        <v>99.0</v>
      </c>
      <c r="B3556" s="77" t="s">
        <v>29</v>
      </c>
      <c r="C3556" s="77" t="s">
        <v>3052</v>
      </c>
      <c r="D3556" s="77" t="s">
        <v>205</v>
      </c>
      <c r="E3556" s="41" t="str">
        <f>IFERROR(__xludf.DUMMYFUNCTION("IFNA(vlookup(D3556,IMPORTRANGE(""https://docs.google.com/spreadsheets/d/1swGwZOEqYlTEUCJLY-eeJM1911Kvaei5oySBIxdgtNo/edit?pli=1#gid=257618397"",""stock untanna!B:C""),2,false),V:V)"),"BP HITECH JOSS-188 B 0.28MM BIRU")</f>
        <v>BP HITECH JOSS-188 B 0.28MM BIRU</v>
      </c>
      <c r="F3556" s="49"/>
      <c r="G3556" s="71"/>
      <c r="H3556" s="41"/>
      <c r="I3556" s="42"/>
      <c r="J3556" s="85" t="s">
        <v>1319</v>
      </c>
      <c r="K3556" s="93">
        <v>3.0</v>
      </c>
      <c r="L3556" s="112" t="s">
        <v>62</v>
      </c>
      <c r="M3556" s="113">
        <v>35000.0</v>
      </c>
      <c r="N3556" s="74"/>
      <c r="O3556" s="87">
        <f t="shared" si="11"/>
        <v>105000</v>
      </c>
      <c r="P3556" s="102" t="str">
        <f t="shared" si="2"/>
        <v>Rp35,000-3 LSN-0.00%</v>
      </c>
      <c r="Q3556" s="92">
        <v>45422.0</v>
      </c>
      <c r="R3556" s="114">
        <v>45419.0</v>
      </c>
      <c r="S3556" s="92">
        <v>45430.0</v>
      </c>
      <c r="T3556" s="49"/>
      <c r="V3556" s="21" t="s">
        <v>206</v>
      </c>
    </row>
    <row r="3557">
      <c r="A3557" s="93">
        <v>99.0</v>
      </c>
      <c r="B3557" s="77" t="s">
        <v>29</v>
      </c>
      <c r="C3557" s="77" t="s">
        <v>3052</v>
      </c>
      <c r="D3557" s="77" t="s">
        <v>631</v>
      </c>
      <c r="E3557" s="41" t="str">
        <f>IFERROR(__xludf.DUMMYFUNCTION("IFNA(vlookup(D3557,IMPORTRANGE(""https://docs.google.com/spreadsheets/d/1swGwZOEqYlTEUCJLY-eeJM1911Kvaei5oySBIxdgtNo/edit?pli=1#gid=257618397"",""stock untanna!B:C""),2,false),V:V)"),"BP TIZO 31810F FANCY")</f>
        <v>BP TIZO 31810F FANCY</v>
      </c>
      <c r="F3557" s="49"/>
      <c r="G3557" s="71"/>
      <c r="H3557" s="41"/>
      <c r="I3557" s="42"/>
      <c r="J3557" s="85" t="s">
        <v>1319</v>
      </c>
      <c r="K3557" s="93">
        <v>3.0</v>
      </c>
      <c r="L3557" s="112" t="s">
        <v>62</v>
      </c>
      <c r="M3557" s="113">
        <v>24000.0</v>
      </c>
      <c r="N3557" s="74"/>
      <c r="O3557" s="87">
        <f t="shared" si="11"/>
        <v>72000</v>
      </c>
      <c r="P3557" s="102" t="str">
        <f t="shared" si="2"/>
        <v>Rp24,000-3 LSN-0.00%</v>
      </c>
      <c r="Q3557" s="92">
        <v>45422.0</v>
      </c>
      <c r="R3557" s="114">
        <v>45419.0</v>
      </c>
      <c r="S3557" s="92">
        <v>45430.0</v>
      </c>
      <c r="T3557" s="49"/>
      <c r="V3557" s="21" t="s">
        <v>632</v>
      </c>
    </row>
    <row r="3558">
      <c r="A3558" s="93">
        <v>99.0</v>
      </c>
      <c r="B3558" s="77" t="s">
        <v>29</v>
      </c>
      <c r="C3558" s="77" t="s">
        <v>3052</v>
      </c>
      <c r="D3558" s="77" t="s">
        <v>1853</v>
      </c>
      <c r="E3558" s="41" t="str">
        <f>IFERROR(__xludf.DUMMYFUNCTION("IFNA(vlookup(D3558,IMPORTRANGE(""https://docs.google.com/spreadsheets/d/1swGwZOEqYlTEUCJLY-eeJM1911Kvaei5oySBIxdgtNo/edit?pli=1#gid=257618397"",""stock untanna!B:C""),2,false),V:V)"),"BP TIZO TG 346 D")</f>
        <v>BP TIZO TG 346 D</v>
      </c>
      <c r="F3558" s="49"/>
      <c r="G3558" s="71"/>
      <c r="H3558" s="41"/>
      <c r="I3558" s="42"/>
      <c r="J3558" s="85" t="s">
        <v>1319</v>
      </c>
      <c r="K3558" s="93">
        <v>3.0</v>
      </c>
      <c r="L3558" s="112" t="s">
        <v>62</v>
      </c>
      <c r="M3558" s="113">
        <v>31500.0</v>
      </c>
      <c r="N3558" s="74"/>
      <c r="O3558" s="87">
        <f t="shared" si="11"/>
        <v>94500</v>
      </c>
      <c r="P3558" s="102" t="str">
        <f t="shared" si="2"/>
        <v>Rp31,500-3 LSN-0.00%</v>
      </c>
      <c r="Q3558" s="92">
        <v>45422.0</v>
      </c>
      <c r="R3558" s="114">
        <v>45419.0</v>
      </c>
      <c r="S3558" s="92">
        <v>45430.0</v>
      </c>
      <c r="T3558" s="49"/>
      <c r="V3558" s="21" t="s">
        <v>1854</v>
      </c>
    </row>
    <row r="3559">
      <c r="A3559" s="93">
        <v>99.0</v>
      </c>
      <c r="B3559" s="77" t="s">
        <v>29</v>
      </c>
      <c r="C3559" s="77" t="s">
        <v>3052</v>
      </c>
      <c r="D3559" s="77" t="s">
        <v>199</v>
      </c>
      <c r="E3559" s="41" t="str">
        <f>IFERROR(__xludf.DUMMYFUNCTION("IFNA(vlookup(D3559,IMPORTRANGE(""https://docs.google.com/spreadsheets/d/1swGwZOEqYlTEUCJLY-eeJM1911Kvaei5oySBIxdgtNo/edit?pli=1#gid=257618397"",""stock untanna!B:C""),2,false),V:V)"),"BP TF 1022")</f>
        <v>BP TF 1022</v>
      </c>
      <c r="F3559" s="49"/>
      <c r="G3559" s="71"/>
      <c r="H3559" s="41"/>
      <c r="I3559" s="42"/>
      <c r="J3559" s="85" t="s">
        <v>1319</v>
      </c>
      <c r="K3559" s="93">
        <v>3.0</v>
      </c>
      <c r="L3559" s="112" t="s">
        <v>62</v>
      </c>
      <c r="M3559" s="113">
        <v>16000.0</v>
      </c>
      <c r="N3559" s="74"/>
      <c r="O3559" s="87">
        <f t="shared" si="11"/>
        <v>48000</v>
      </c>
      <c r="P3559" s="102" t="str">
        <f t="shared" si="2"/>
        <v>Rp16,000-3 LSN-0.00%</v>
      </c>
      <c r="Q3559" s="92">
        <v>45422.0</v>
      </c>
      <c r="R3559" s="114">
        <v>45419.0</v>
      </c>
      <c r="S3559" s="92">
        <v>45430.0</v>
      </c>
      <c r="T3559" s="49"/>
      <c r="V3559" s="21" t="s">
        <v>200</v>
      </c>
    </row>
    <row r="3560">
      <c r="A3560" s="93">
        <v>100.0</v>
      </c>
      <c r="B3560" s="77" t="s">
        <v>29</v>
      </c>
      <c r="C3560" s="77" t="s">
        <v>3052</v>
      </c>
      <c r="D3560" s="77" t="s">
        <v>207</v>
      </c>
      <c r="E3560" s="41" t="str">
        <f>IFERROR(__xludf.DUMMYFUNCTION("IFNA(vlookup(D3560,IMPORTRANGE(""https://docs.google.com/spreadsheets/d/1swGwZOEqYlTEUCJLY-eeJM1911Kvaei5oySBIxdgtNo/edit?pli=1#gid=257618397"",""stock untanna!B:C""),2,false),V:V)"),"BP GEL KOALA GP-168")</f>
        <v>BP GEL KOALA GP-168</v>
      </c>
      <c r="F3560" s="49"/>
      <c r="G3560" s="71"/>
      <c r="H3560" s="41"/>
      <c r="I3560" s="42"/>
      <c r="J3560" s="85" t="s">
        <v>1319</v>
      </c>
      <c r="K3560" s="93">
        <v>6.0</v>
      </c>
      <c r="L3560" s="112" t="s">
        <v>62</v>
      </c>
      <c r="M3560" s="113">
        <v>35000.0</v>
      </c>
      <c r="N3560" s="74"/>
      <c r="O3560" s="87">
        <f t="shared" si="11"/>
        <v>210000</v>
      </c>
      <c r="P3560" s="102" t="str">
        <f t="shared" si="2"/>
        <v>Rp35,000-6 LSN-0.00%</v>
      </c>
      <c r="Q3560" s="92">
        <v>45422.0</v>
      </c>
      <c r="R3560" s="114">
        <v>45419.0</v>
      </c>
      <c r="S3560" s="92">
        <v>45430.0</v>
      </c>
      <c r="T3560" s="49"/>
      <c r="V3560" s="21" t="s">
        <v>208</v>
      </c>
    </row>
    <row r="3561">
      <c r="A3561" s="93">
        <v>100.0</v>
      </c>
      <c r="B3561" s="77" t="s">
        <v>29</v>
      </c>
      <c r="C3561" s="77" t="s">
        <v>3052</v>
      </c>
      <c r="D3561" s="77" t="s">
        <v>1933</v>
      </c>
      <c r="E3561" s="41" t="str">
        <f>IFERROR(__xludf.DUMMYFUNCTION("IFNA(vlookup(D3561,IMPORTRANGE(""https://docs.google.com/spreadsheets/d/1swGwZOEqYlTEUCJLY-eeJM1911Kvaei5oySBIxdgtNo/edit?pli=1#gid=257618397"",""stock untanna!B:C""),2,false),V:V)"),"TIPEX KERTAS NO.9446")</f>
        <v>TIPEX KERTAS NO.9446</v>
      </c>
      <c r="F3561" s="49"/>
      <c r="G3561" s="71"/>
      <c r="H3561" s="41"/>
      <c r="I3561" s="42"/>
      <c r="J3561" s="85" t="s">
        <v>1319</v>
      </c>
      <c r="K3561" s="93">
        <v>2.0</v>
      </c>
      <c r="L3561" s="112" t="s">
        <v>62</v>
      </c>
      <c r="M3561" s="113">
        <v>50000.0</v>
      </c>
      <c r="N3561" s="74"/>
      <c r="O3561" s="87">
        <f t="shared" si="11"/>
        <v>100000</v>
      </c>
      <c r="P3561" s="102" t="str">
        <f t="shared" si="2"/>
        <v>Rp50,000-2 LSN-0.00%</v>
      </c>
      <c r="Q3561" s="92">
        <v>45422.0</v>
      </c>
      <c r="R3561" s="114">
        <v>45419.0</v>
      </c>
      <c r="S3561" s="92">
        <v>45430.0</v>
      </c>
      <c r="T3561" s="49"/>
      <c r="V3561" s="21" t="s">
        <v>1934</v>
      </c>
    </row>
    <row r="3562">
      <c r="A3562" s="93">
        <v>100.0</v>
      </c>
      <c r="B3562" s="77" t="s">
        <v>29</v>
      </c>
      <c r="C3562" s="77" t="s">
        <v>3052</v>
      </c>
      <c r="D3562" s="77" t="s">
        <v>2862</v>
      </c>
      <c r="E3562" s="41" t="str">
        <f>IFERROR(__xludf.DUMMYFUNCTION("IFNA(vlookup(D3562,IMPORTRANGE(""https://docs.google.com/spreadsheets/d/1swGwZOEqYlTEUCJLY-eeJM1911Kvaei5oySBIxdgtNo/edit?pli=1#gid=257618397"",""stock untanna!B:C""),2,false),V:V)"),"TIPEX KERTAS NO.9442")</f>
        <v>TIPEX KERTAS NO.9442</v>
      </c>
      <c r="F3562" s="49"/>
      <c r="G3562" s="71"/>
      <c r="H3562" s="41"/>
      <c r="I3562" s="42"/>
      <c r="J3562" s="85" t="s">
        <v>1319</v>
      </c>
      <c r="K3562" s="93">
        <v>2.0</v>
      </c>
      <c r="L3562" s="112" t="s">
        <v>62</v>
      </c>
      <c r="M3562" s="113">
        <v>50000.0</v>
      </c>
      <c r="N3562" s="74"/>
      <c r="O3562" s="87">
        <f t="shared" si="11"/>
        <v>100000</v>
      </c>
      <c r="P3562" s="102" t="str">
        <f t="shared" si="2"/>
        <v>Rp50,000-2 LSN-0.00%</v>
      </c>
      <c r="Q3562" s="92">
        <v>45422.0</v>
      </c>
      <c r="R3562" s="114">
        <v>45419.0</v>
      </c>
      <c r="S3562" s="92">
        <v>45430.0</v>
      </c>
      <c r="T3562" s="49"/>
      <c r="V3562" s="21" t="s">
        <v>2863</v>
      </c>
    </row>
    <row r="3563">
      <c r="A3563" s="93">
        <v>100.0</v>
      </c>
      <c r="B3563" s="77" t="s">
        <v>29</v>
      </c>
      <c r="C3563" s="77" t="s">
        <v>3052</v>
      </c>
      <c r="D3563" s="77" t="s">
        <v>2860</v>
      </c>
      <c r="E3563" s="41" t="str">
        <f>IFERROR(__xludf.DUMMYFUNCTION("IFNA(vlookup(D3563,IMPORTRANGE(""https://docs.google.com/spreadsheets/d/1swGwZOEqYlTEUCJLY-eeJM1911Kvaei5oySBIxdgtNo/edit?pli=1#gid=257618397"",""stock untanna!B:C""),2,false),V:V)"),"TIPEX KERTAS NO.9459")</f>
        <v>TIPEX KERTAS NO.9459</v>
      </c>
      <c r="F3563" s="49"/>
      <c r="G3563" s="71"/>
      <c r="H3563" s="41"/>
      <c r="I3563" s="42"/>
      <c r="J3563" s="85" t="s">
        <v>1319</v>
      </c>
      <c r="K3563" s="93">
        <v>2.0</v>
      </c>
      <c r="L3563" s="112" t="s">
        <v>62</v>
      </c>
      <c r="M3563" s="113">
        <v>50000.0</v>
      </c>
      <c r="N3563" s="74"/>
      <c r="O3563" s="87">
        <f t="shared" si="11"/>
        <v>100000</v>
      </c>
      <c r="P3563" s="102" t="str">
        <f t="shared" si="2"/>
        <v>Rp50,000-2 LSN-0.00%</v>
      </c>
      <c r="Q3563" s="92">
        <v>45422.0</v>
      </c>
      <c r="R3563" s="114">
        <v>45419.0</v>
      </c>
      <c r="S3563" s="92">
        <v>45430.0</v>
      </c>
      <c r="T3563" s="49"/>
      <c r="V3563" s="21" t="s">
        <v>2861</v>
      </c>
    </row>
    <row r="3564">
      <c r="A3564" s="93">
        <v>100.0</v>
      </c>
      <c r="B3564" s="77" t="s">
        <v>29</v>
      </c>
      <c r="C3564" s="77" t="s">
        <v>3052</v>
      </c>
      <c r="D3564" s="77" t="s">
        <v>118</v>
      </c>
      <c r="E3564" s="41" t="str">
        <f>IFERROR(__xludf.DUMMYFUNCTION("IFNA(vlookup(D3564,IMPORTRANGE(""https://docs.google.com/spreadsheets/d/1swGwZOEqYlTEUCJLY-eeJM1911Kvaei5oySBIxdgtNo/edit?pli=1#gid=257618397"",""stock untanna!B:C""),2,false),V:V)"),"TIPEX KERTAS NO.9443")</f>
        <v>TIPEX KERTAS NO.9443</v>
      </c>
      <c r="F3564" s="49"/>
      <c r="G3564" s="71"/>
      <c r="H3564" s="41"/>
      <c r="I3564" s="42"/>
      <c r="J3564" s="85" t="s">
        <v>1319</v>
      </c>
      <c r="K3564" s="93">
        <v>2.0</v>
      </c>
      <c r="L3564" s="112" t="s">
        <v>62</v>
      </c>
      <c r="M3564" s="113">
        <v>50000.0</v>
      </c>
      <c r="N3564" s="74"/>
      <c r="O3564" s="87">
        <f t="shared" si="11"/>
        <v>100000</v>
      </c>
      <c r="P3564" s="102" t="str">
        <f t="shared" si="2"/>
        <v>Rp50,000-2 LSN-0.00%</v>
      </c>
      <c r="Q3564" s="92">
        <v>45422.0</v>
      </c>
      <c r="R3564" s="114">
        <v>45419.0</v>
      </c>
      <c r="S3564" s="92">
        <v>45430.0</v>
      </c>
      <c r="T3564" s="49"/>
      <c r="V3564" s="21" t="s">
        <v>119</v>
      </c>
    </row>
    <row r="3565">
      <c r="A3565" s="93">
        <v>100.0</v>
      </c>
      <c r="B3565" s="77" t="s">
        <v>29</v>
      </c>
      <c r="C3565" s="77" t="s">
        <v>3052</v>
      </c>
      <c r="D3565" s="77" t="s">
        <v>1605</v>
      </c>
      <c r="E3565" s="41" t="str">
        <f>IFERROR(__xludf.DUMMYFUNCTION("IFNA(vlookup(D3565,IMPORTRANGE(""https://docs.google.com/spreadsheets/d/1swGwZOEqYlTEUCJLY-eeJM1911Kvaei5oySBIxdgtNo/edit?pli=1#gid=257618397"",""stock untanna!B:C""),2,false),V:V)"),"TIPEX MICROTOP MT-767")</f>
        <v>TIPEX MICROTOP MT-767</v>
      </c>
      <c r="F3565" s="49"/>
      <c r="G3565" s="71"/>
      <c r="H3565" s="41"/>
      <c r="I3565" s="42"/>
      <c r="J3565" s="85" t="s">
        <v>1319</v>
      </c>
      <c r="K3565" s="93">
        <v>2.0</v>
      </c>
      <c r="L3565" s="112" t="s">
        <v>62</v>
      </c>
      <c r="M3565" s="113">
        <v>52500.0</v>
      </c>
      <c r="N3565" s="74"/>
      <c r="O3565" s="87">
        <f t="shared" si="11"/>
        <v>105000</v>
      </c>
      <c r="P3565" s="102" t="str">
        <f t="shared" si="2"/>
        <v>Rp52,500-2 LSN-0.00%</v>
      </c>
      <c r="Q3565" s="92">
        <v>45422.0</v>
      </c>
      <c r="R3565" s="114">
        <v>45419.0</v>
      </c>
      <c r="S3565" s="92">
        <v>45430.0</v>
      </c>
      <c r="T3565" s="77" t="s">
        <v>100</v>
      </c>
      <c r="V3565" s="21" t="s">
        <v>1606</v>
      </c>
    </row>
    <row r="3566">
      <c r="A3566" s="93">
        <v>100.0</v>
      </c>
      <c r="B3566" s="77" t="s">
        <v>29</v>
      </c>
      <c r="C3566" s="77" t="s">
        <v>3052</v>
      </c>
      <c r="D3566" s="77" t="s">
        <v>2161</v>
      </c>
      <c r="E3566" s="41" t="str">
        <f>IFERROR(__xludf.DUMMYFUNCTION("IFNA(vlookup(D3566,IMPORTRANGE(""https://docs.google.com/spreadsheets/d/1swGwZOEqYlTEUCJLY-eeJM1911Kvaei5oySBIxdgtNo/edit?pli=1#gid=257618397"",""stock untanna!B:C""),2,false),V:V)"),"TIPEX KERTAS DP-902")</f>
        <v>TIPEX KERTAS DP-902</v>
      </c>
      <c r="F3566" s="49"/>
      <c r="G3566" s="71"/>
      <c r="H3566" s="41"/>
      <c r="I3566" s="42"/>
      <c r="J3566" s="85" t="s">
        <v>1319</v>
      </c>
      <c r="K3566" s="93">
        <v>2.0</v>
      </c>
      <c r="L3566" s="112" t="s">
        <v>62</v>
      </c>
      <c r="M3566" s="113">
        <v>65000.0</v>
      </c>
      <c r="N3566" s="74"/>
      <c r="O3566" s="87">
        <f t="shared" si="11"/>
        <v>130000</v>
      </c>
      <c r="P3566" s="102" t="str">
        <f t="shared" si="2"/>
        <v>Rp65,000-2 LSN-0.00%</v>
      </c>
      <c r="Q3566" s="92">
        <v>45422.0</v>
      </c>
      <c r="R3566" s="114">
        <v>45419.0</v>
      </c>
      <c r="S3566" s="92">
        <v>45430.0</v>
      </c>
      <c r="T3566" s="49"/>
      <c r="V3566" s="21" t="s">
        <v>2162</v>
      </c>
    </row>
    <row r="3567">
      <c r="A3567" s="93">
        <v>100.0</v>
      </c>
      <c r="B3567" s="77" t="s">
        <v>29</v>
      </c>
      <c r="C3567" s="77" t="s">
        <v>3052</v>
      </c>
      <c r="D3567" s="77" t="s">
        <v>736</v>
      </c>
      <c r="E3567" s="41" t="str">
        <f>IFERROR(__xludf.DUMMYFUNCTION("IFNA(vlookup(D3567,IMPORTRANGE(""https://docs.google.com/spreadsheets/d/1swGwZOEqYlTEUCJLY-eeJM1911Kvaei5oySBIxdgtNo/edit?pli=1#gid=257618397"",""stock untanna!B:C""),2,false),V:V)"),"PENSIL KAYAGI 2B PF3050")</f>
        <v>PENSIL KAYAGI 2B PF3050</v>
      </c>
      <c r="F3567" s="49"/>
      <c r="G3567" s="71"/>
      <c r="H3567" s="41"/>
      <c r="I3567" s="42"/>
      <c r="J3567" s="85" t="s">
        <v>1319</v>
      </c>
      <c r="K3567" s="93">
        <v>1.0</v>
      </c>
      <c r="L3567" s="112" t="s">
        <v>131</v>
      </c>
      <c r="M3567" s="113">
        <v>115000.0</v>
      </c>
      <c r="N3567" s="74"/>
      <c r="O3567" s="87">
        <f t="shared" si="11"/>
        <v>115000</v>
      </c>
      <c r="P3567" s="102" t="str">
        <f t="shared" si="2"/>
        <v>Rp115,000-1 GRS-0.00%</v>
      </c>
      <c r="Q3567" s="92">
        <v>45422.0</v>
      </c>
      <c r="R3567" s="114">
        <v>45419.0</v>
      </c>
      <c r="S3567" s="92">
        <v>45430.0</v>
      </c>
      <c r="T3567" s="49"/>
      <c r="V3567" s="21" t="s">
        <v>737</v>
      </c>
    </row>
    <row r="3568">
      <c r="A3568" s="93">
        <v>100.0</v>
      </c>
      <c r="B3568" s="77" t="s">
        <v>29</v>
      </c>
      <c r="C3568" s="77" t="s">
        <v>3052</v>
      </c>
      <c r="D3568" s="91"/>
      <c r="E3568" s="41" t="str">
        <f>IFERROR(__xludf.DUMMYFUNCTION("IFNA(vlookup(D3568,IMPORTRANGE(""https://docs.google.com/spreadsheets/d/1swGwZOEqYlTEUCJLY-eeJM1911Kvaei5oySBIxdgtNo/edit?pli=1#gid=257618397"",""stock untanna!B:C""),2,false),V:V)"),"PENSIL 2B KY 2029")</f>
        <v>PENSIL 2B KY 2029</v>
      </c>
      <c r="F3568" s="49"/>
      <c r="G3568" s="71"/>
      <c r="H3568" s="41"/>
      <c r="I3568" s="42"/>
      <c r="J3568" s="85" t="s">
        <v>3190</v>
      </c>
      <c r="K3568" s="93">
        <v>1.0</v>
      </c>
      <c r="L3568" s="112" t="s">
        <v>131</v>
      </c>
      <c r="M3568" s="113">
        <v>115000.0</v>
      </c>
      <c r="N3568" s="74"/>
      <c r="O3568" s="87">
        <f t="shared" si="11"/>
        <v>115000</v>
      </c>
      <c r="P3568" s="102" t="str">
        <f t="shared" si="2"/>
        <v>Rp115,000-1 GRS-0.00%</v>
      </c>
      <c r="Q3568" s="92">
        <v>45422.0</v>
      </c>
      <c r="R3568" s="114">
        <v>45419.0</v>
      </c>
      <c r="S3568" s="92">
        <v>45430.0</v>
      </c>
      <c r="T3568" s="49"/>
      <c r="V3568" s="21" t="s">
        <v>3380</v>
      </c>
    </row>
    <row r="3569">
      <c r="A3569" s="93">
        <v>100.0</v>
      </c>
      <c r="B3569" s="77" t="s">
        <v>29</v>
      </c>
      <c r="C3569" s="77" t="s">
        <v>3052</v>
      </c>
      <c r="D3569" s="77" t="s">
        <v>734</v>
      </c>
      <c r="E3569" s="41" t="str">
        <f>IFERROR(__xludf.DUMMYFUNCTION("IFNA(vlookup(D3569,IMPORTRANGE(""https://docs.google.com/spreadsheets/d/1swGwZOEqYlTEUCJLY-eeJM1911Kvaei5oySBIxdgtNo/edit?pli=1#gid=257618397"",""stock untanna!B:C""),2,false),V:V)"),"PENSIL 2B KAYAGI 3053")</f>
        <v>PENSIL 2B KAYAGI 3053</v>
      </c>
      <c r="F3569" s="49"/>
      <c r="G3569" s="71"/>
      <c r="H3569" s="41"/>
      <c r="I3569" s="42"/>
      <c r="J3569" s="85" t="s">
        <v>1319</v>
      </c>
      <c r="K3569" s="93">
        <v>1.0</v>
      </c>
      <c r="L3569" s="112" t="s">
        <v>131</v>
      </c>
      <c r="M3569" s="113">
        <v>115000.0</v>
      </c>
      <c r="N3569" s="74"/>
      <c r="O3569" s="87">
        <f t="shared" si="11"/>
        <v>115000</v>
      </c>
      <c r="P3569" s="102" t="str">
        <f t="shared" si="2"/>
        <v>Rp115,000-1 GRS-0.00%</v>
      </c>
      <c r="Q3569" s="92">
        <v>45422.0</v>
      </c>
      <c r="R3569" s="114">
        <v>45419.0</v>
      </c>
      <c r="S3569" s="92">
        <v>45430.0</v>
      </c>
      <c r="T3569" s="49"/>
      <c r="V3569" s="21" t="s">
        <v>735</v>
      </c>
    </row>
    <row r="3570">
      <c r="A3570" s="93">
        <v>100.0</v>
      </c>
      <c r="B3570" s="77" t="s">
        <v>29</v>
      </c>
      <c r="C3570" s="77" t="s">
        <v>3052</v>
      </c>
      <c r="D3570" s="91"/>
      <c r="E3570" s="41" t="str">
        <f>IFERROR(__xludf.DUMMYFUNCTION("IFNA(vlookup(D3570,IMPORTRANGE(""https://docs.google.com/spreadsheets/d/1swGwZOEqYlTEUCJLY-eeJM1911Kvaei5oySBIxdgtNo/edit?pli=1#gid=257618397"",""stock untanna!B:C""),2,false),V:V)"),"PENSIL 2B KY 2025")</f>
        <v>PENSIL 2B KY 2025</v>
      </c>
      <c r="F3570" s="49"/>
      <c r="G3570" s="71"/>
      <c r="H3570" s="41"/>
      <c r="I3570" s="42"/>
      <c r="J3570" s="85" t="s">
        <v>3190</v>
      </c>
      <c r="K3570" s="93">
        <v>1.0</v>
      </c>
      <c r="L3570" s="112" t="s">
        <v>131</v>
      </c>
      <c r="M3570" s="113">
        <v>115000.0</v>
      </c>
      <c r="N3570" s="74"/>
      <c r="O3570" s="87">
        <f t="shared" si="11"/>
        <v>115000</v>
      </c>
      <c r="P3570" s="102" t="str">
        <f t="shared" si="2"/>
        <v>Rp115,000-1 GRS-0.00%</v>
      </c>
      <c r="Q3570" s="92">
        <v>45422.0</v>
      </c>
      <c r="R3570" s="114">
        <v>45419.0</v>
      </c>
      <c r="S3570" s="92">
        <v>45430.0</v>
      </c>
      <c r="T3570" s="49"/>
      <c r="V3570" s="21" t="s">
        <v>3381</v>
      </c>
    </row>
    <row r="3571">
      <c r="A3571" s="93">
        <v>100.0</v>
      </c>
      <c r="B3571" s="77" t="s">
        <v>29</v>
      </c>
      <c r="C3571" s="77" t="s">
        <v>3052</v>
      </c>
      <c r="D3571" s="77" t="s">
        <v>132</v>
      </c>
      <c r="E3571" s="41" t="str">
        <f>IFERROR(__xludf.DUMMYFUNCTION("IFNA(vlookup(D3571,IMPORTRANGE(""https://docs.google.com/spreadsheets/d/1swGwZOEqYlTEUCJLY-eeJM1911Kvaei5oySBIxdgtNo/edit?pli=1#gid=257618397"",""stock untanna!B:C""),2,false),V:V)"),"PENSIL TF 488")</f>
        <v>PENSIL TF 488</v>
      </c>
      <c r="F3571" s="49"/>
      <c r="G3571" s="71"/>
      <c r="H3571" s="41"/>
      <c r="I3571" s="42"/>
      <c r="J3571" s="85" t="s">
        <v>1319</v>
      </c>
      <c r="K3571" s="93">
        <v>1.0</v>
      </c>
      <c r="L3571" s="112" t="s">
        <v>131</v>
      </c>
      <c r="M3571" s="113">
        <v>126000.0</v>
      </c>
      <c r="N3571" s="74"/>
      <c r="O3571" s="87">
        <f t="shared" si="11"/>
        <v>126000</v>
      </c>
      <c r="P3571" s="102" t="str">
        <f t="shared" si="2"/>
        <v>Rp126,000-1 GRS-0.00%</v>
      </c>
      <c r="Q3571" s="92">
        <v>45422.0</v>
      </c>
      <c r="R3571" s="114">
        <v>45419.0</v>
      </c>
      <c r="S3571" s="92">
        <v>45430.0</v>
      </c>
      <c r="T3571" s="49"/>
      <c r="V3571" s="21" t="s">
        <v>133</v>
      </c>
    </row>
    <row r="3572">
      <c r="A3572" s="93">
        <v>100.0</v>
      </c>
      <c r="B3572" s="77" t="s">
        <v>29</v>
      </c>
      <c r="C3572" s="77" t="s">
        <v>3052</v>
      </c>
      <c r="D3572" s="91"/>
      <c r="E3572" s="41" t="str">
        <f>IFERROR(__xludf.DUMMYFUNCTION("IFNA(vlookup(D3572,IMPORTRANGE(""https://docs.google.com/spreadsheets/d/1swGwZOEqYlTEUCJLY-eeJM1911Kvaei5oySBIxdgtNo/edit?pli=1#gid=257618397"",""stock untanna!B:C""),2,false),V:V)"),"PENSIL TF 995")</f>
        <v>PENSIL TF 995</v>
      </c>
      <c r="F3572" s="49"/>
      <c r="G3572" s="71"/>
      <c r="H3572" s="41"/>
      <c r="I3572" s="42"/>
      <c r="J3572" s="85" t="s">
        <v>3190</v>
      </c>
      <c r="K3572" s="93">
        <v>1.0</v>
      </c>
      <c r="L3572" s="112" t="s">
        <v>131</v>
      </c>
      <c r="M3572" s="113">
        <v>126000.0</v>
      </c>
      <c r="N3572" s="74"/>
      <c r="O3572" s="87">
        <f t="shared" si="11"/>
        <v>126000</v>
      </c>
      <c r="P3572" s="102" t="str">
        <f t="shared" si="2"/>
        <v>Rp126,000-1 GRS-0.00%</v>
      </c>
      <c r="Q3572" s="92">
        <v>45422.0</v>
      </c>
      <c r="R3572" s="114">
        <v>45419.0</v>
      </c>
      <c r="S3572" s="92">
        <v>45430.0</v>
      </c>
      <c r="T3572" s="49"/>
      <c r="V3572" s="21" t="s">
        <v>3382</v>
      </c>
    </row>
    <row r="3573">
      <c r="A3573" s="93">
        <v>100.0</v>
      </c>
      <c r="B3573" s="77" t="s">
        <v>29</v>
      </c>
      <c r="C3573" s="77" t="s">
        <v>3052</v>
      </c>
      <c r="D3573" s="91"/>
      <c r="E3573" s="41" t="str">
        <f>IFERROR(__xludf.DUMMYFUNCTION("IFNA(vlookup(D3573,IMPORTRANGE(""https://docs.google.com/spreadsheets/d/1swGwZOEqYlTEUCJLY-eeJM1911Kvaei5oySBIxdgtNo/edit?pli=1#gid=257618397"",""stock untanna!B:C""),2,false),V:V)"),"PENSIL TF 885 BATIK")</f>
        <v>PENSIL TF 885 BATIK</v>
      </c>
      <c r="F3573" s="49"/>
      <c r="G3573" s="71"/>
      <c r="H3573" s="41"/>
      <c r="I3573" s="42"/>
      <c r="J3573" s="85" t="s">
        <v>3190</v>
      </c>
      <c r="K3573" s="93">
        <v>1.0</v>
      </c>
      <c r="L3573" s="112" t="s">
        <v>131</v>
      </c>
      <c r="M3573" s="113">
        <v>126000.0</v>
      </c>
      <c r="N3573" s="74"/>
      <c r="O3573" s="87">
        <f t="shared" si="11"/>
        <v>126000</v>
      </c>
      <c r="P3573" s="102" t="str">
        <f t="shared" si="2"/>
        <v>Rp126,000-1 GRS-0.00%</v>
      </c>
      <c r="Q3573" s="92">
        <v>45422.0</v>
      </c>
      <c r="R3573" s="114">
        <v>45419.0</v>
      </c>
      <c r="S3573" s="92">
        <v>45430.0</v>
      </c>
      <c r="T3573" s="49"/>
      <c r="V3573" s="21" t="s">
        <v>3383</v>
      </c>
    </row>
    <row r="3574">
      <c r="A3574" s="93">
        <v>100.0</v>
      </c>
      <c r="B3574" s="77" t="s">
        <v>29</v>
      </c>
      <c r="C3574" s="77" t="s">
        <v>3052</v>
      </c>
      <c r="D3574" s="77" t="s">
        <v>3384</v>
      </c>
      <c r="E3574" s="41" t="str">
        <f>IFERROR(__xludf.DUMMYFUNCTION("IFNA(vlookup(D3574,IMPORTRANGE(""https://docs.google.com/spreadsheets/d/1swGwZOEqYlTEUCJLY-eeJM1911Kvaei5oySBIxdgtNo/edit?pli=1#gid=257618397"",""stock untanna!B:C""),2,false),V:V)"),"PENSIL DM 7812")</f>
        <v>PENSIL DM 7812</v>
      </c>
      <c r="F3574" s="49"/>
      <c r="G3574" s="71"/>
      <c r="H3574" s="41"/>
      <c r="I3574" s="42"/>
      <c r="J3574" s="43" t="str">
        <f t="shared" ref="J3574:J3577" si="12">IF(D3574="","TIDAK ADA","ADA")</f>
        <v>ADA</v>
      </c>
      <c r="K3574" s="93">
        <v>1.0</v>
      </c>
      <c r="L3574" s="112" t="s">
        <v>88</v>
      </c>
      <c r="M3574" s="113">
        <v>275000.0</v>
      </c>
      <c r="N3574" s="74"/>
      <c r="O3574" s="87">
        <f t="shared" si="11"/>
        <v>275000</v>
      </c>
      <c r="P3574" s="102" t="str">
        <f t="shared" si="2"/>
        <v>Rp275,000-1 BOX-0.00%</v>
      </c>
      <c r="Q3574" s="92">
        <v>45422.0</v>
      </c>
      <c r="R3574" s="114">
        <v>45419.0</v>
      </c>
      <c r="S3574" s="92">
        <v>45430.0</v>
      </c>
      <c r="T3574" s="77" t="s">
        <v>280</v>
      </c>
      <c r="V3574" s="21" t="s">
        <v>3174</v>
      </c>
    </row>
    <row r="3575">
      <c r="A3575" s="93">
        <v>100.0</v>
      </c>
      <c r="B3575" s="77" t="s">
        <v>29</v>
      </c>
      <c r="C3575" s="77" t="s">
        <v>3052</v>
      </c>
      <c r="D3575" s="77" t="s">
        <v>1343</v>
      </c>
      <c r="E3575" s="41" t="str">
        <f>IFERROR(__xludf.DUMMYFUNCTION("IFNA(vlookup(D3575,IMPORTRANGE(""https://docs.google.com/spreadsheets/d/1swGwZOEqYlTEUCJLY-eeJM1911Kvaei5oySBIxdgtNo/edit?pli=1#gid=257618397"",""stock untanna!B:C""),2,false),V:V)"),"PENSIL DM 5188")</f>
        <v>PENSIL DM 5188</v>
      </c>
      <c r="F3575" s="49"/>
      <c r="G3575" s="71"/>
      <c r="H3575" s="41"/>
      <c r="I3575" s="42"/>
      <c r="J3575" s="43" t="str">
        <f t="shared" si="12"/>
        <v>ADA</v>
      </c>
      <c r="K3575" s="93">
        <v>1.0</v>
      </c>
      <c r="L3575" s="112" t="s">
        <v>131</v>
      </c>
      <c r="M3575" s="113">
        <v>120000.0</v>
      </c>
      <c r="N3575" s="74"/>
      <c r="O3575" s="87">
        <f t="shared" si="11"/>
        <v>120000</v>
      </c>
      <c r="P3575" s="102" t="str">
        <f t="shared" si="2"/>
        <v>Rp120,000-1 GRS-0.00%</v>
      </c>
      <c r="Q3575" s="92">
        <v>45422.0</v>
      </c>
      <c r="R3575" s="114">
        <v>45419.0</v>
      </c>
      <c r="S3575" s="92">
        <v>45430.0</v>
      </c>
      <c r="T3575" s="77" t="s">
        <v>280</v>
      </c>
      <c r="V3575" s="21" t="s">
        <v>1344</v>
      </c>
    </row>
    <row r="3576">
      <c r="A3576" s="93">
        <v>201.0</v>
      </c>
      <c r="B3576" s="77" t="s">
        <v>29</v>
      </c>
      <c r="C3576" s="77" t="s">
        <v>3052</v>
      </c>
      <c r="D3576" s="77" t="s">
        <v>3385</v>
      </c>
      <c r="E3576" s="41" t="str">
        <f>IFERROR(__xludf.DUMMYFUNCTION("IFNA(vlookup(D3576,IMPORTRANGE(""https://docs.google.com/spreadsheets/d/1swGwZOEqYlTEUCJLY-eeJM1911Kvaei5oySBIxdgtNo/edit?pli=1#gid=257618397"",""stock untanna!B:C""),2,false),V:V)"),"PENSIL DW9021-12")</f>
        <v>PENSIL DW9021-12</v>
      </c>
      <c r="F3576" s="49"/>
      <c r="G3576" s="71"/>
      <c r="H3576" s="41"/>
      <c r="I3576" s="42"/>
      <c r="J3576" s="43" t="str">
        <f t="shared" si="12"/>
        <v>ADA</v>
      </c>
      <c r="K3576" s="93">
        <v>2.0</v>
      </c>
      <c r="L3576" s="112" t="s">
        <v>62</v>
      </c>
      <c r="M3576" s="113">
        <v>120000.0</v>
      </c>
      <c r="N3576" s="74"/>
      <c r="O3576" s="87">
        <f t="shared" si="11"/>
        <v>240000</v>
      </c>
      <c r="P3576" s="102" t="str">
        <f t="shared" si="2"/>
        <v>Rp120,000-2 LSN-0.00%</v>
      </c>
      <c r="Q3576" s="92">
        <v>45422.0</v>
      </c>
      <c r="R3576" s="114">
        <v>45419.0</v>
      </c>
      <c r="S3576" s="92">
        <v>45430.0</v>
      </c>
      <c r="T3576" s="77" t="s">
        <v>280</v>
      </c>
      <c r="V3576" s="21" t="s">
        <v>3386</v>
      </c>
    </row>
    <row r="3577">
      <c r="A3577" s="93">
        <v>201.0</v>
      </c>
      <c r="B3577" s="77" t="s">
        <v>29</v>
      </c>
      <c r="C3577" s="77" t="s">
        <v>3052</v>
      </c>
      <c r="D3577" s="77" t="s">
        <v>1658</v>
      </c>
      <c r="E3577" s="41" t="str">
        <f>IFERROR(__xludf.DUMMYFUNCTION("IFNA(vlookup(D3577,IMPORTRANGE(""https://docs.google.com/spreadsheets/d/1swGwZOEqYlTEUCJLY-eeJM1911Kvaei5oySBIxdgtNo/edit?pli=1#gid=257618397"",""stock untanna!B:C""),2,false),V:V)"),"PENSIL DW9022-12")</f>
        <v>PENSIL DW9022-12</v>
      </c>
      <c r="F3577" s="49"/>
      <c r="G3577" s="71"/>
      <c r="H3577" s="41"/>
      <c r="I3577" s="42"/>
      <c r="J3577" s="43" t="str">
        <f t="shared" si="12"/>
        <v>ADA</v>
      </c>
      <c r="K3577" s="93">
        <v>2.0</v>
      </c>
      <c r="L3577" s="112" t="s">
        <v>62</v>
      </c>
      <c r="M3577" s="113">
        <v>120000.0</v>
      </c>
      <c r="N3577" s="74"/>
      <c r="O3577" s="87">
        <f t="shared" si="11"/>
        <v>240000</v>
      </c>
      <c r="P3577" s="102" t="str">
        <f t="shared" si="2"/>
        <v>Rp120,000-2 LSN-0.00%</v>
      </c>
      <c r="Q3577" s="92">
        <v>45422.0</v>
      </c>
      <c r="R3577" s="114">
        <v>45419.0</v>
      </c>
      <c r="S3577" s="92">
        <v>45430.0</v>
      </c>
      <c r="T3577" s="77" t="s">
        <v>280</v>
      </c>
      <c r="V3577" s="21" t="s">
        <v>1659</v>
      </c>
    </row>
    <row r="3578">
      <c r="A3578" s="93">
        <v>201.0</v>
      </c>
      <c r="B3578" s="77" t="s">
        <v>29</v>
      </c>
      <c r="C3578" s="77" t="s">
        <v>3052</v>
      </c>
      <c r="D3578" s="91"/>
      <c r="E3578" s="41" t="str">
        <f>IFERROR(__xludf.DUMMYFUNCTION("IFNA(vlookup(D3578,IMPORTRANGE(""https://docs.google.com/spreadsheets/d/1swGwZOEqYlTEUCJLY-eeJM1911Kvaei5oySBIxdgtNo/edit?pli=1#gid=257618397"",""stock untanna!B:C""),2,false),V:V)"),"P WARNA 12W JOSS PANJANG")</f>
        <v>P WARNA 12W JOSS PANJANG</v>
      </c>
      <c r="F3578" s="49"/>
      <c r="G3578" s="71"/>
      <c r="H3578" s="41"/>
      <c r="I3578" s="42"/>
      <c r="J3578" s="85" t="s">
        <v>3190</v>
      </c>
      <c r="K3578" s="93">
        <v>3.0</v>
      </c>
      <c r="L3578" s="112" t="s">
        <v>62</v>
      </c>
      <c r="M3578" s="113">
        <v>90000.0</v>
      </c>
      <c r="N3578" s="74"/>
      <c r="O3578" s="87">
        <f t="shared" si="11"/>
        <v>270000</v>
      </c>
      <c r="P3578" s="102" t="str">
        <f t="shared" si="2"/>
        <v>Rp90,000-3 LSN-0.00%</v>
      </c>
      <c r="Q3578" s="92">
        <v>45422.0</v>
      </c>
      <c r="R3578" s="114">
        <v>45419.0</v>
      </c>
      <c r="S3578" s="92">
        <v>45430.0</v>
      </c>
      <c r="T3578" s="49"/>
      <c r="V3578" s="21" t="s">
        <v>3387</v>
      </c>
    </row>
    <row r="3579">
      <c r="A3579" s="93">
        <v>201.0</v>
      </c>
      <c r="B3579" s="77" t="s">
        <v>29</v>
      </c>
      <c r="C3579" s="77" t="s">
        <v>3052</v>
      </c>
      <c r="D3579" s="77" t="s">
        <v>1660</v>
      </c>
      <c r="E3579" s="41" t="str">
        <f>IFERROR(__xludf.DUMMYFUNCTION("IFNA(vlookup(D3579,IMPORTRANGE(""https://docs.google.com/spreadsheets/d/1swGwZOEqYlTEUCJLY-eeJM1911Kvaei5oySBIxdgtNo/edit?pli=1#gid=257618397"",""stock untanna!B:C""),2,false),V:V)"),"PENSIL DW9019-12")</f>
        <v>PENSIL DW9019-12</v>
      </c>
      <c r="F3579" s="49"/>
      <c r="G3579" s="71"/>
      <c r="H3579" s="41"/>
      <c r="I3579" s="42"/>
      <c r="J3579" s="43" t="str">
        <f>IF(D3579="","TIDAK ADA","ADA")</f>
        <v>ADA</v>
      </c>
      <c r="K3579" s="93">
        <v>2.0</v>
      </c>
      <c r="L3579" s="112" t="s">
        <v>62</v>
      </c>
      <c r="M3579" s="113">
        <v>120000.0</v>
      </c>
      <c r="N3579" s="74"/>
      <c r="O3579" s="87">
        <f t="shared" si="11"/>
        <v>240000</v>
      </c>
      <c r="P3579" s="102" t="str">
        <f t="shared" si="2"/>
        <v>Rp120,000-2 LSN-0.00%</v>
      </c>
      <c r="Q3579" s="92">
        <v>45422.0</v>
      </c>
      <c r="R3579" s="114">
        <v>45419.0</v>
      </c>
      <c r="S3579" s="92">
        <v>45430.0</v>
      </c>
      <c r="T3579" s="77" t="s">
        <v>280</v>
      </c>
      <c r="V3579" s="21" t="s">
        <v>1661</v>
      </c>
    </row>
    <row r="3580">
      <c r="A3580" s="93">
        <v>201.0</v>
      </c>
      <c r="B3580" s="77" t="s">
        <v>29</v>
      </c>
      <c r="C3580" s="77" t="s">
        <v>3052</v>
      </c>
      <c r="D3580" s="77" t="s">
        <v>668</v>
      </c>
      <c r="E3580" s="41" t="str">
        <f>IFERROR(__xludf.DUMMYFUNCTION("IFNA(vlookup(D3580,IMPORTRANGE(""https://docs.google.com/spreadsheets/d/1swGwZOEqYlTEUCJLY-eeJM1911Kvaei5oySBIxdgtNo/edit?pli=1#gid=257618397"",""stock untanna!B:C""),2,false),V:V)"),"BP GEL DTIAN BIASA 959")</f>
        <v>BP GEL DTIAN BIASA 959</v>
      </c>
      <c r="F3580" s="49"/>
      <c r="G3580" s="71"/>
      <c r="H3580" s="41"/>
      <c r="I3580" s="42"/>
      <c r="J3580" s="85" t="s">
        <v>1319</v>
      </c>
      <c r="K3580" s="93">
        <v>6.0</v>
      </c>
      <c r="L3580" s="112" t="s">
        <v>62</v>
      </c>
      <c r="M3580" s="113">
        <v>14000.0</v>
      </c>
      <c r="N3580" s="74"/>
      <c r="O3580" s="87">
        <f t="shared" si="11"/>
        <v>84000</v>
      </c>
      <c r="P3580" s="102" t="str">
        <f t="shared" si="2"/>
        <v>Rp14,000-6 LSN-0.00%</v>
      </c>
      <c r="Q3580" s="92">
        <v>45422.0</v>
      </c>
      <c r="R3580" s="114">
        <v>45419.0</v>
      </c>
      <c r="S3580" s="92">
        <v>45430.0</v>
      </c>
      <c r="T3580" s="49"/>
      <c r="V3580" s="21" t="s">
        <v>669</v>
      </c>
    </row>
    <row r="3581">
      <c r="A3581" s="93">
        <v>201.0</v>
      </c>
      <c r="B3581" s="77" t="s">
        <v>29</v>
      </c>
      <c r="C3581" s="77" t="s">
        <v>3052</v>
      </c>
      <c r="D3581" s="77" t="s">
        <v>686</v>
      </c>
      <c r="E3581" s="41" t="str">
        <f>IFERROR(__xludf.DUMMYFUNCTION("IFNA(vlookup(D3581,IMPORTRANGE(""https://docs.google.com/spreadsheets/d/1swGwZOEqYlTEUCJLY-eeJM1911Kvaei5oySBIxdgtNo/edit?pli=1#gid=257618397"",""stock untanna!B:C""),2,false),V:V)"),"BP GEL DTIAN BIASA 9908")</f>
        <v>BP GEL DTIAN BIASA 9908</v>
      </c>
      <c r="F3581" s="49"/>
      <c r="G3581" s="71"/>
      <c r="H3581" s="41"/>
      <c r="I3581" s="42"/>
      <c r="J3581" s="85" t="s">
        <v>1319</v>
      </c>
      <c r="K3581" s="93">
        <v>6.0</v>
      </c>
      <c r="L3581" s="112" t="s">
        <v>62</v>
      </c>
      <c r="M3581" s="113">
        <v>14000.0</v>
      </c>
      <c r="N3581" s="74"/>
      <c r="O3581" s="87">
        <f t="shared" si="11"/>
        <v>84000</v>
      </c>
      <c r="P3581" s="102" t="str">
        <f t="shared" si="2"/>
        <v>Rp14,000-6 LSN-0.00%</v>
      </c>
      <c r="Q3581" s="92">
        <v>45422.0</v>
      </c>
      <c r="R3581" s="114">
        <v>45419.0</v>
      </c>
      <c r="S3581" s="92">
        <v>45430.0</v>
      </c>
      <c r="T3581" s="49"/>
      <c r="V3581" s="21" t="s">
        <v>687</v>
      </c>
    </row>
    <row r="3582">
      <c r="A3582" s="93">
        <v>201.0</v>
      </c>
      <c r="B3582" s="77" t="s">
        <v>29</v>
      </c>
      <c r="C3582" s="77" t="s">
        <v>3052</v>
      </c>
      <c r="D3582" s="77" t="s">
        <v>682</v>
      </c>
      <c r="E3582" s="41" t="str">
        <f>IFERROR(__xludf.DUMMYFUNCTION("IFNA(vlookup(D3582,IMPORTRANGE(""https://docs.google.com/spreadsheets/d/1swGwZOEqYlTEUCJLY-eeJM1911Kvaei5oySBIxdgtNo/edit?pli=1#gid=257618397"",""stock untanna!B:C""),2,false),V:V)"),"BP GEL 830")</f>
        <v>BP GEL 830</v>
      </c>
      <c r="F3582" s="49"/>
      <c r="G3582" s="71"/>
      <c r="H3582" s="41"/>
      <c r="I3582" s="42"/>
      <c r="J3582" s="85" t="s">
        <v>1319</v>
      </c>
      <c r="K3582" s="93">
        <v>72.0</v>
      </c>
      <c r="L3582" s="112" t="s">
        <v>69</v>
      </c>
      <c r="M3582" s="113">
        <v>1166.67</v>
      </c>
      <c r="N3582" s="74"/>
      <c r="O3582" s="87">
        <f t="shared" si="11"/>
        <v>84000.24</v>
      </c>
      <c r="P3582" s="102" t="str">
        <f t="shared" si="2"/>
        <v>Rp1,167-72 PCS-0.00%</v>
      </c>
      <c r="Q3582" s="92">
        <v>45422.0</v>
      </c>
      <c r="R3582" s="114">
        <v>45419.0</v>
      </c>
      <c r="S3582" s="92">
        <v>45430.0</v>
      </c>
      <c r="T3582" s="49"/>
      <c r="V3582" s="21" t="s">
        <v>683</v>
      </c>
    </row>
    <row r="3583">
      <c r="A3583" s="93">
        <v>201.0</v>
      </c>
      <c r="B3583" s="77" t="s">
        <v>29</v>
      </c>
      <c r="C3583" s="77" t="s">
        <v>3052</v>
      </c>
      <c r="D3583" s="77" t="s">
        <v>489</v>
      </c>
      <c r="E3583" s="41" t="str">
        <f>IFERROR(__xludf.DUMMYFUNCTION("IFNA(vlookup(D3583,IMPORTRANGE(""https://docs.google.com/spreadsheets/d/1swGwZOEqYlTEUCJLY-eeJM1911Kvaei5oySBIxdgtNo/edit?pli=1#gid=257618397"",""stock untanna!B:C""),2,false),V:V)"),"BP GEL 837 + STIP")</f>
        <v>BP GEL 837 + STIP</v>
      </c>
      <c r="F3583" s="49"/>
      <c r="G3583" s="71"/>
      <c r="H3583" s="41"/>
      <c r="I3583" s="42"/>
      <c r="J3583" s="85" t="s">
        <v>1319</v>
      </c>
      <c r="K3583" s="93">
        <v>72.0</v>
      </c>
      <c r="L3583" s="112" t="s">
        <v>69</v>
      </c>
      <c r="M3583" s="113">
        <v>1666.67</v>
      </c>
      <c r="N3583" s="74"/>
      <c r="O3583" s="87">
        <f t="shared" si="11"/>
        <v>120000.24</v>
      </c>
      <c r="P3583" s="102" t="str">
        <f t="shared" si="2"/>
        <v>Rp1,667-72 PCS-0.00%</v>
      </c>
      <c r="Q3583" s="92">
        <v>45422.0</v>
      </c>
      <c r="R3583" s="114">
        <v>45419.0</v>
      </c>
      <c r="S3583" s="92">
        <v>45430.0</v>
      </c>
      <c r="T3583" s="49"/>
      <c r="V3583" s="21" t="s">
        <v>490</v>
      </c>
    </row>
    <row r="3584">
      <c r="A3584" s="93">
        <v>201.0</v>
      </c>
      <c r="B3584" s="77" t="s">
        <v>29</v>
      </c>
      <c r="C3584" s="77" t="s">
        <v>3052</v>
      </c>
      <c r="D3584" s="77" t="s">
        <v>149</v>
      </c>
      <c r="E3584" s="41" t="str">
        <f>IFERROR(__xludf.DUMMYFUNCTION("IFNA(vlookup(D3584,IMPORTRANGE(""https://docs.google.com/spreadsheets/d/1swGwZOEqYlTEUCJLY-eeJM1911Kvaei5oySBIxdgtNo/edit?pli=1#gid=257618397"",""stock untanna!B:C""),2,false),V:V)"),"BP GEL 8805")</f>
        <v>BP GEL 8805</v>
      </c>
      <c r="F3584" s="49"/>
      <c r="G3584" s="71"/>
      <c r="H3584" s="41"/>
      <c r="I3584" s="42"/>
      <c r="J3584" s="85" t="s">
        <v>1319</v>
      </c>
      <c r="K3584" s="93">
        <v>72.0</v>
      </c>
      <c r="L3584" s="112" t="s">
        <v>69</v>
      </c>
      <c r="M3584" s="113">
        <v>1166.67</v>
      </c>
      <c r="N3584" s="74"/>
      <c r="O3584" s="87">
        <f t="shared" si="11"/>
        <v>84000.24</v>
      </c>
      <c r="P3584" s="102" t="str">
        <f t="shared" si="2"/>
        <v>Rp1,167-72 PCS-0.00%</v>
      </c>
      <c r="Q3584" s="92">
        <v>45422.0</v>
      </c>
      <c r="R3584" s="114">
        <v>45419.0</v>
      </c>
      <c r="S3584" s="92">
        <v>45430.0</v>
      </c>
      <c r="T3584" s="49"/>
      <c r="V3584" s="21" t="s">
        <v>150</v>
      </c>
    </row>
    <row r="3585">
      <c r="A3585" s="93">
        <v>201.0</v>
      </c>
      <c r="B3585" s="77" t="s">
        <v>29</v>
      </c>
      <c r="C3585" s="77" t="s">
        <v>3052</v>
      </c>
      <c r="D3585" s="77" t="s">
        <v>664</v>
      </c>
      <c r="E3585" s="41" t="str">
        <f>IFERROR(__xludf.DUMMYFUNCTION("IFNA(vlookup(D3585,IMPORTRANGE(""https://docs.google.com/spreadsheets/d/1swGwZOEqYlTEUCJLY-eeJM1911Kvaei5oySBIxdgtNo/edit?pli=1#gid=257618397"",""stock untanna!B:C""),2,false),V:V)"),"BP GEL 6603")</f>
        <v>BP GEL 6603</v>
      </c>
      <c r="F3585" s="49"/>
      <c r="G3585" s="71"/>
      <c r="H3585" s="41"/>
      <c r="I3585" s="42"/>
      <c r="J3585" s="85" t="s">
        <v>1319</v>
      </c>
      <c r="K3585" s="93">
        <v>72.0</v>
      </c>
      <c r="L3585" s="112" t="s">
        <v>69</v>
      </c>
      <c r="M3585" s="113">
        <v>1166.67</v>
      </c>
      <c r="N3585" s="74"/>
      <c r="O3585" s="87">
        <f t="shared" si="11"/>
        <v>84000.24</v>
      </c>
      <c r="P3585" s="102" t="str">
        <f t="shared" si="2"/>
        <v>Rp1,167-72 PCS-0.00%</v>
      </c>
      <c r="Q3585" s="92">
        <v>45422.0</v>
      </c>
      <c r="R3585" s="114">
        <v>45419.0</v>
      </c>
      <c r="S3585" s="92">
        <v>45430.0</v>
      </c>
      <c r="T3585" s="49"/>
      <c r="V3585" s="21" t="s">
        <v>665</v>
      </c>
    </row>
    <row r="3586">
      <c r="A3586" s="93">
        <v>201.0</v>
      </c>
      <c r="B3586" s="77" t="s">
        <v>29</v>
      </c>
      <c r="C3586" s="77" t="s">
        <v>3052</v>
      </c>
      <c r="D3586" s="77" t="s">
        <v>2345</v>
      </c>
      <c r="E3586" s="41" t="str">
        <f>IFERROR(__xludf.DUMMYFUNCTION("IFNA(vlookup(D3586,IMPORTRANGE(""https://docs.google.com/spreadsheets/d/1swGwZOEqYlTEUCJLY-eeJM1911Kvaei5oySBIxdgtNo/edit?pli=1#gid=257618397"",""stock untanna!B:C""),2,false),V:V)"),"BP GEL KOALA GP-168-F BR TUA")</f>
        <v>BP GEL KOALA GP-168-F BR TUA</v>
      </c>
      <c r="F3586" s="49"/>
      <c r="G3586" s="71"/>
      <c r="H3586" s="41"/>
      <c r="I3586" s="42"/>
      <c r="J3586" s="85" t="s">
        <v>1319</v>
      </c>
      <c r="K3586" s="93">
        <v>3.0</v>
      </c>
      <c r="L3586" s="112" t="s">
        <v>62</v>
      </c>
      <c r="M3586" s="113">
        <v>30000.0</v>
      </c>
      <c r="N3586" s="74"/>
      <c r="O3586" s="87">
        <f t="shared" si="11"/>
        <v>90000</v>
      </c>
      <c r="P3586" s="102" t="str">
        <f t="shared" si="2"/>
        <v>Rp30,000-3 LSN-0.00%</v>
      </c>
      <c r="Q3586" s="92">
        <v>45422.0</v>
      </c>
      <c r="R3586" s="114">
        <v>45419.0</v>
      </c>
      <c r="S3586" s="92">
        <v>45430.0</v>
      </c>
      <c r="T3586" s="49"/>
      <c r="V3586" s="21" t="s">
        <v>2346</v>
      </c>
    </row>
    <row r="3587">
      <c r="A3587" s="93">
        <v>201.0</v>
      </c>
      <c r="B3587" s="77" t="s">
        <v>29</v>
      </c>
      <c r="C3587" s="77" t="s">
        <v>3052</v>
      </c>
      <c r="D3587" s="91"/>
      <c r="E3587" s="41" t="str">
        <f>IFERROR(__xludf.DUMMYFUNCTION("IFNA(vlookup(D3587,IMPORTRANGE(""https://docs.google.com/spreadsheets/d/1swGwZOEqYlTEUCJLY-eeJM1911Kvaei5oySBIxdgtNo/edit?pli=1#gid=257618397"",""stock untanna!B:C""),2,false),V:V)"),"TIPEX KERTAS 0888 MINI MIX")</f>
        <v>TIPEX KERTAS 0888 MINI MIX</v>
      </c>
      <c r="F3587" s="49"/>
      <c r="G3587" s="71"/>
      <c r="H3587" s="41"/>
      <c r="I3587" s="42"/>
      <c r="J3587" s="85" t="s">
        <v>3190</v>
      </c>
      <c r="K3587" s="93">
        <v>4.0</v>
      </c>
      <c r="L3587" s="112" t="s">
        <v>62</v>
      </c>
      <c r="M3587" s="113">
        <v>28000.0</v>
      </c>
      <c r="N3587" s="74"/>
      <c r="O3587" s="87">
        <f t="shared" si="11"/>
        <v>112000</v>
      </c>
      <c r="P3587" s="102" t="str">
        <f t="shared" si="2"/>
        <v>Rp28,000-4 LSN-0.00%</v>
      </c>
      <c r="Q3587" s="92">
        <v>45422.0</v>
      </c>
      <c r="R3587" s="114">
        <v>45419.0</v>
      </c>
      <c r="S3587" s="92">
        <v>45430.0</v>
      </c>
      <c r="T3587" s="49"/>
      <c r="V3587" s="21" t="s">
        <v>3388</v>
      </c>
    </row>
    <row r="3588">
      <c r="A3588" s="93">
        <v>201.0</v>
      </c>
      <c r="B3588" s="77" t="s">
        <v>29</v>
      </c>
      <c r="C3588" s="77" t="s">
        <v>3052</v>
      </c>
      <c r="D3588" s="77" t="s">
        <v>730</v>
      </c>
      <c r="E3588" s="41" t="str">
        <f>IFERROR(__xludf.DUMMYFUNCTION("IFNA(vlookup(D3588,IMPORTRANGE(""https://docs.google.com/spreadsheets/d/1swGwZOEqYlTEUCJLY-eeJM1911Kvaei5oySBIxdgtNo/edit?pli=1#gid=257618397"",""stock untanna!B:C""),2,false),V:V)"),"BALLPEN TF-729 4W")</f>
        <v>BALLPEN TF-729 4W</v>
      </c>
      <c r="F3588" s="49"/>
      <c r="G3588" s="71"/>
      <c r="H3588" s="41"/>
      <c r="I3588" s="42"/>
      <c r="J3588" s="85" t="s">
        <v>1319</v>
      </c>
      <c r="K3588" s="93">
        <v>2.0</v>
      </c>
      <c r="L3588" s="112" t="s">
        <v>62</v>
      </c>
      <c r="M3588" s="113">
        <v>50000.0</v>
      </c>
      <c r="N3588" s="74"/>
      <c r="O3588" s="87">
        <f t="shared" si="11"/>
        <v>100000</v>
      </c>
      <c r="P3588" s="102" t="str">
        <f t="shared" si="2"/>
        <v>Rp50,000-2 LSN-0.00%</v>
      </c>
      <c r="Q3588" s="92">
        <v>45422.0</v>
      </c>
      <c r="R3588" s="114">
        <v>45419.0</v>
      </c>
      <c r="S3588" s="92">
        <v>45430.0</v>
      </c>
      <c r="T3588" s="49"/>
      <c r="V3588" s="21" t="s">
        <v>2582</v>
      </c>
    </row>
    <row r="3589">
      <c r="A3589" s="93">
        <v>201.0</v>
      </c>
      <c r="B3589" s="77" t="s">
        <v>29</v>
      </c>
      <c r="C3589" s="77" t="s">
        <v>3052</v>
      </c>
      <c r="D3589" s="77" t="s">
        <v>3389</v>
      </c>
      <c r="E3589" s="41" t="str">
        <f>IFERROR(__xludf.DUMMYFUNCTION("IFNA(vlookup(D3589,IMPORTRANGE(""https://docs.google.com/spreadsheets/d/1swGwZOEqYlTEUCJLY-eeJM1911Kvaei5oySBIxdgtNo/edit?pli=1#gid=257618397"",""stock untanna!B:C""),2,false),V:V)"),"GARISAN 6606")</f>
        <v>GARISAN 6606</v>
      </c>
      <c r="F3589" s="49"/>
      <c r="G3589" s="71"/>
      <c r="H3589" s="41"/>
      <c r="I3589" s="42"/>
      <c r="J3589" s="85" t="s">
        <v>1319</v>
      </c>
      <c r="K3589" s="93">
        <v>12.0</v>
      </c>
      <c r="L3589" s="112" t="s">
        <v>69</v>
      </c>
      <c r="M3589" s="113">
        <v>7083.33</v>
      </c>
      <c r="N3589" s="74"/>
      <c r="O3589" s="87">
        <f t="shared" si="11"/>
        <v>84999.96</v>
      </c>
      <c r="P3589" s="102" t="str">
        <f t="shared" si="2"/>
        <v>Rp7,083-12 PCS-0.00%</v>
      </c>
      <c r="Q3589" s="92">
        <v>45422.0</v>
      </c>
      <c r="R3589" s="114">
        <v>45419.0</v>
      </c>
      <c r="S3589" s="92">
        <v>45430.0</v>
      </c>
      <c r="T3589" s="49"/>
      <c r="V3589" s="21" t="s">
        <v>3390</v>
      </c>
    </row>
    <row r="3590">
      <c r="A3590" s="93">
        <v>201.0</v>
      </c>
      <c r="B3590" s="77" t="s">
        <v>29</v>
      </c>
      <c r="C3590" s="77" t="s">
        <v>3052</v>
      </c>
      <c r="D3590" s="77" t="s">
        <v>2725</v>
      </c>
      <c r="E3590" s="41" t="str">
        <f>IFERROR(__xludf.DUMMYFUNCTION("IFNA(vlookup(D3590,IMPORTRANGE(""https://docs.google.com/spreadsheets/d/1swGwZOEqYlTEUCJLY-eeJM1911Kvaei5oySBIxdgtNo/edit?pli=1#gid=257618397"",""stock untanna!B:C""),2,false),V:V)"),"GARISAN SET ACRYLIC 20CM GR-180455")</f>
        <v>GARISAN SET ACRYLIC 20CM GR-180455</v>
      </c>
      <c r="F3590" s="49"/>
      <c r="G3590" s="71"/>
      <c r="H3590" s="41"/>
      <c r="I3590" s="42"/>
      <c r="J3590" s="85" t="s">
        <v>1319</v>
      </c>
      <c r="K3590" s="93">
        <v>12.0</v>
      </c>
      <c r="L3590" s="112" t="s">
        <v>84</v>
      </c>
      <c r="M3590" s="113">
        <v>13333.3</v>
      </c>
      <c r="N3590" s="74"/>
      <c r="O3590" s="87">
        <f t="shared" si="11"/>
        <v>159999.6</v>
      </c>
      <c r="P3590" s="102" t="str">
        <f t="shared" si="2"/>
        <v>Rp13,333-12 SET-0.00%</v>
      </c>
      <c r="Q3590" s="92">
        <v>45422.0</v>
      </c>
      <c r="R3590" s="114">
        <v>45419.0</v>
      </c>
      <c r="S3590" s="92">
        <v>45430.0</v>
      </c>
      <c r="T3590" s="49"/>
      <c r="V3590" s="21" t="s">
        <v>2726</v>
      </c>
    </row>
    <row r="3591">
      <c r="A3591" s="93">
        <v>201.0</v>
      </c>
      <c r="B3591" s="77" t="s">
        <v>29</v>
      </c>
      <c r="C3591" s="77" t="s">
        <v>3052</v>
      </c>
      <c r="D3591" s="77" t="s">
        <v>2335</v>
      </c>
      <c r="E3591" s="41" t="str">
        <f>IFERROR(__xludf.DUMMYFUNCTION("IFNA(vlookup(D3591,IMPORTRANGE(""https://docs.google.com/spreadsheets/d/1swGwZOEqYlTEUCJLY-eeJM1911Kvaei5oySBIxdgtNo/edit?pli=1#gid=257618397"",""stock untanna!B:C""),2,false),V:V)"),"BP GEL KOALA GP-168-A MERAH")</f>
        <v>BP GEL KOALA GP-168-A MERAH</v>
      </c>
      <c r="F3591" s="49"/>
      <c r="G3591" s="71"/>
      <c r="H3591" s="41"/>
      <c r="I3591" s="42"/>
      <c r="J3591" s="85" t="s">
        <v>1319</v>
      </c>
      <c r="K3591" s="93">
        <v>3.0</v>
      </c>
      <c r="L3591" s="112" t="s">
        <v>62</v>
      </c>
      <c r="M3591" s="113">
        <v>30000.0</v>
      </c>
      <c r="N3591" s="74"/>
      <c r="O3591" s="87">
        <f t="shared" si="11"/>
        <v>90000</v>
      </c>
      <c r="P3591" s="102" t="str">
        <f t="shared" si="2"/>
        <v>Rp30,000-3 LSN-0.00%</v>
      </c>
      <c r="Q3591" s="92">
        <v>45422.0</v>
      </c>
      <c r="R3591" s="114">
        <v>45419.0</v>
      </c>
      <c r="S3591" s="92">
        <v>45430.0</v>
      </c>
      <c r="T3591" s="49"/>
      <c r="V3591" s="21" t="s">
        <v>2336</v>
      </c>
    </row>
    <row r="3592">
      <c r="A3592" s="93">
        <v>202.0</v>
      </c>
      <c r="B3592" s="77" t="s">
        <v>29</v>
      </c>
      <c r="C3592" s="77" t="s">
        <v>3052</v>
      </c>
      <c r="D3592" s="77" t="s">
        <v>1613</v>
      </c>
      <c r="E3592" s="41" t="str">
        <f>IFERROR(__xludf.DUMMYFUNCTION("IFNA(vlookup(D3592,IMPORTRANGE(""https://docs.google.com/spreadsheets/d/1swGwZOEqYlTEUCJLY-eeJM1911Kvaei5oySBIxdgtNo/edit?pli=1#gid=257618397"",""stock untanna!B:C""),2,false),V:V)"),"GARISAN SET PAYU 9810 20CM")</f>
        <v>GARISAN SET PAYU 9810 20CM</v>
      </c>
      <c r="F3592" s="49"/>
      <c r="G3592" s="71"/>
      <c r="H3592" s="41"/>
      <c r="I3592" s="42"/>
      <c r="J3592" s="85" t="s">
        <v>1319</v>
      </c>
      <c r="K3592" s="93">
        <v>1.0</v>
      </c>
      <c r="L3592" s="112" t="s">
        <v>88</v>
      </c>
      <c r="M3592" s="113">
        <v>180000.0</v>
      </c>
      <c r="N3592" s="74"/>
      <c r="O3592" s="87">
        <f t="shared" si="11"/>
        <v>180000</v>
      </c>
      <c r="P3592" s="102" t="str">
        <f t="shared" si="2"/>
        <v>Rp180,000-1 BOX-0.00%</v>
      </c>
      <c r="Q3592" s="92">
        <v>45422.0</v>
      </c>
      <c r="R3592" s="114">
        <v>45419.0</v>
      </c>
      <c r="S3592" s="92">
        <v>45430.0</v>
      </c>
      <c r="T3592" s="49"/>
      <c r="V3592" s="21" t="s">
        <v>1614</v>
      </c>
    </row>
    <row r="3593">
      <c r="A3593" s="93">
        <v>202.0</v>
      </c>
      <c r="B3593" s="77" t="s">
        <v>29</v>
      </c>
      <c r="C3593" s="77" t="s">
        <v>3052</v>
      </c>
      <c r="D3593" s="77" t="s">
        <v>469</v>
      </c>
      <c r="E3593" s="41" t="str">
        <f>IFERROR(__xludf.DUMMYFUNCTION("IFNA(vlookup(D3593,IMPORTRANGE(""https://docs.google.com/spreadsheets/d/1swGwZOEqYlTEUCJLY-eeJM1911Kvaei5oySBIxdgtNo/edit?pli=1#gid=257618397"",""stock untanna!B:C""),2,false),V:V)"),"BENSIA ZC 9937 (50)")</f>
        <v>BENSIA ZC 9937 (50)</v>
      </c>
      <c r="F3593" s="49"/>
      <c r="G3593" s="71"/>
      <c r="H3593" s="41"/>
      <c r="I3593" s="42"/>
      <c r="J3593" s="85" t="s">
        <v>1319</v>
      </c>
      <c r="K3593" s="93">
        <v>1.0</v>
      </c>
      <c r="L3593" s="112" t="s">
        <v>88</v>
      </c>
      <c r="M3593" s="113">
        <v>50000.0</v>
      </c>
      <c r="N3593" s="74"/>
      <c r="O3593" s="87">
        <f t="shared" si="11"/>
        <v>50000</v>
      </c>
      <c r="P3593" s="102" t="str">
        <f t="shared" si="2"/>
        <v>Rp50,000-1 BOX-0.00%</v>
      </c>
      <c r="Q3593" s="92">
        <v>45422.0</v>
      </c>
      <c r="R3593" s="114">
        <v>45419.0</v>
      </c>
      <c r="S3593" s="92">
        <v>45430.0</v>
      </c>
      <c r="T3593" s="49"/>
      <c r="V3593" s="21" t="s">
        <v>470</v>
      </c>
    </row>
    <row r="3594">
      <c r="A3594" s="93">
        <v>202.0</v>
      </c>
      <c r="B3594" s="77" t="s">
        <v>29</v>
      </c>
      <c r="C3594" s="77" t="s">
        <v>3052</v>
      </c>
      <c r="D3594" s="77" t="s">
        <v>3391</v>
      </c>
      <c r="E3594" s="41" t="str">
        <f>IFERROR(__xludf.DUMMYFUNCTION("IFNA(vlookup(D3594,IMPORTRANGE(""https://docs.google.com/spreadsheets/d/1swGwZOEqYlTEUCJLY-eeJM1911Kvaei5oySBIxdgtNo/edit?pli=1#gid=257618397"",""stock untanna!B:C""),2,false),V:V)"),"PENSIL 1921116-8")</f>
        <v>PENSIL 1921116-8</v>
      </c>
      <c r="F3594" s="49"/>
      <c r="G3594" s="71"/>
      <c r="H3594" s="41"/>
      <c r="I3594" s="42"/>
      <c r="J3594" s="85" t="s">
        <v>1319</v>
      </c>
      <c r="K3594" s="93">
        <v>24.0</v>
      </c>
      <c r="L3594" s="112" t="s">
        <v>69</v>
      </c>
      <c r="M3594" s="113">
        <v>3541.67</v>
      </c>
      <c r="N3594" s="74"/>
      <c r="O3594" s="87">
        <f t="shared" si="11"/>
        <v>85000.08</v>
      </c>
      <c r="P3594" s="102" t="str">
        <f t="shared" si="2"/>
        <v>Rp3,542-24 PCS-0.00%</v>
      </c>
      <c r="Q3594" s="92">
        <v>45422.0</v>
      </c>
      <c r="R3594" s="114">
        <v>45419.0</v>
      </c>
      <c r="S3594" s="92">
        <v>45430.0</v>
      </c>
      <c r="T3594" s="49"/>
      <c r="V3594" s="21" t="s">
        <v>3392</v>
      </c>
    </row>
    <row r="3595">
      <c r="A3595" s="93">
        <v>202.0</v>
      </c>
      <c r="B3595" s="77" t="s">
        <v>29</v>
      </c>
      <c r="C3595" s="77" t="s">
        <v>3052</v>
      </c>
      <c r="D3595" s="77" t="s">
        <v>2256</v>
      </c>
      <c r="E3595" s="41" t="str">
        <f>IFERROR(__xludf.DUMMYFUNCTION("IFNA(vlookup(D3595,IMPORTRANGE(""https://docs.google.com/spreadsheets/d/1swGwZOEqYlTEUCJLY-eeJM1911Kvaei5oySBIxdgtNo/edit?pli=1#gid=257618397"",""stock untanna!B:C""),2,false),V:V)"),"BP GEL TIZO 30900F FANCY")</f>
        <v>BP GEL TIZO 30900F FANCY</v>
      </c>
      <c r="F3595" s="49"/>
      <c r="G3595" s="71"/>
      <c r="H3595" s="41"/>
      <c r="I3595" s="42"/>
      <c r="J3595" s="85" t="s">
        <v>1319</v>
      </c>
      <c r="K3595" s="93">
        <v>3.0</v>
      </c>
      <c r="L3595" s="112" t="s">
        <v>62</v>
      </c>
      <c r="M3595" s="113">
        <v>24000.0</v>
      </c>
      <c r="N3595" s="74"/>
      <c r="O3595" s="87">
        <f t="shared" si="11"/>
        <v>72000</v>
      </c>
      <c r="P3595" s="102" t="str">
        <f t="shared" si="2"/>
        <v>Rp24,000-3 LSN-0.00%</v>
      </c>
      <c r="Q3595" s="92">
        <v>45422.0</v>
      </c>
      <c r="R3595" s="114">
        <v>45419.0</v>
      </c>
      <c r="S3595" s="92">
        <v>45430.0</v>
      </c>
      <c r="T3595" s="49"/>
      <c r="V3595" s="21" t="s">
        <v>2257</v>
      </c>
    </row>
    <row r="3596">
      <c r="A3596" s="93">
        <v>202.0</v>
      </c>
      <c r="B3596" s="77" t="s">
        <v>29</v>
      </c>
      <c r="C3596" s="77" t="s">
        <v>3052</v>
      </c>
      <c r="D3596" s="77" t="s">
        <v>458</v>
      </c>
      <c r="E3596" s="41" t="str">
        <f>IFERROR(__xludf.DUMMYFUNCTION("IFNA(vlookup(D3596,IMPORTRANGE(""https://docs.google.com/spreadsheets/d/1swGwZOEqYlTEUCJLY-eeJM1911Kvaei5oySBIxdgtNo/edit?pli=1#gid=257618397"",""stock untanna!B:C""),2,false),V:V)"),"BP GEL + GANTUNGAN A931")</f>
        <v>BP GEL + GANTUNGAN A931</v>
      </c>
      <c r="F3596" s="49"/>
      <c r="G3596" s="71"/>
      <c r="H3596" s="41"/>
      <c r="I3596" s="42"/>
      <c r="J3596" s="85" t="s">
        <v>1319</v>
      </c>
      <c r="K3596" s="93">
        <v>3.0</v>
      </c>
      <c r="L3596" s="112" t="s">
        <v>62</v>
      </c>
      <c r="M3596" s="113">
        <v>27500.0</v>
      </c>
      <c r="N3596" s="74"/>
      <c r="O3596" s="87">
        <f t="shared" si="11"/>
        <v>82500</v>
      </c>
      <c r="P3596" s="102" t="str">
        <f t="shared" si="2"/>
        <v>Rp27,500-3 LSN-0.00%</v>
      </c>
      <c r="Q3596" s="92">
        <v>45422.0</v>
      </c>
      <c r="R3596" s="114">
        <v>45419.0</v>
      </c>
      <c r="S3596" s="92">
        <v>45430.0</v>
      </c>
      <c r="T3596" s="49"/>
      <c r="V3596" s="21" t="s">
        <v>459</v>
      </c>
    </row>
    <row r="3597">
      <c r="A3597" s="93">
        <v>202.0</v>
      </c>
      <c r="B3597" s="77" t="s">
        <v>29</v>
      </c>
      <c r="C3597" s="77" t="s">
        <v>3052</v>
      </c>
      <c r="D3597" s="77" t="s">
        <v>3393</v>
      </c>
      <c r="E3597" s="41" t="str">
        <f>IFERROR(__xludf.DUMMYFUNCTION("IFNA(vlookup(D3597,IMPORTRANGE(""https://docs.google.com/spreadsheets/d/1swGwZOEqYlTEUCJLY-eeJM1911Kvaei5oySBIxdgtNo/edit?pli=1#gid=257618397"",""stock untanna!B:C""),2,false),V:V)"),"BP GEL + GANTUNGAN 221")</f>
        <v>BP GEL + GANTUNGAN 221</v>
      </c>
      <c r="F3597" s="49"/>
      <c r="G3597" s="71"/>
      <c r="H3597" s="41"/>
      <c r="I3597" s="42"/>
      <c r="J3597" s="85" t="s">
        <v>1319</v>
      </c>
      <c r="K3597" s="93">
        <v>3.0</v>
      </c>
      <c r="L3597" s="112" t="s">
        <v>62</v>
      </c>
      <c r="M3597" s="113">
        <v>27500.0</v>
      </c>
      <c r="N3597" s="74"/>
      <c r="O3597" s="87">
        <f t="shared" si="11"/>
        <v>82500</v>
      </c>
      <c r="P3597" s="102" t="str">
        <f t="shared" si="2"/>
        <v>Rp27,500-3 LSN-0.00%</v>
      </c>
      <c r="Q3597" s="92">
        <v>45422.0</v>
      </c>
      <c r="R3597" s="114">
        <v>45419.0</v>
      </c>
      <c r="S3597" s="92">
        <v>45430.0</v>
      </c>
      <c r="T3597" s="49"/>
      <c r="V3597" s="21" t="s">
        <v>3394</v>
      </c>
    </row>
    <row r="3598">
      <c r="A3598" s="93">
        <v>202.0</v>
      </c>
      <c r="B3598" s="77" t="s">
        <v>29</v>
      </c>
      <c r="C3598" s="77" t="s">
        <v>3052</v>
      </c>
      <c r="D3598" s="77" t="s">
        <v>1320</v>
      </c>
      <c r="E3598" s="41" t="str">
        <f>IFERROR(__xludf.DUMMYFUNCTION("IFNA(vlookup(D3598,IMPORTRANGE(""https://docs.google.com/spreadsheets/d/1swGwZOEqYlTEUCJLY-eeJM1911Kvaei5oySBIxdgtNo/edit?pli=1#gid=257618397"",""stock untanna!B:C""),2,false),V:V)"),"BP MAINAN + GANTUNGAN 9082")</f>
        <v>BP MAINAN + GANTUNGAN 9082</v>
      </c>
      <c r="F3598" s="49"/>
      <c r="G3598" s="71"/>
      <c r="H3598" s="41"/>
      <c r="I3598" s="42"/>
      <c r="J3598" s="85" t="s">
        <v>1319</v>
      </c>
      <c r="K3598" s="93">
        <v>3.0</v>
      </c>
      <c r="L3598" s="112" t="s">
        <v>62</v>
      </c>
      <c r="M3598" s="113">
        <v>27500.0</v>
      </c>
      <c r="N3598" s="74"/>
      <c r="O3598" s="87">
        <f t="shared" si="11"/>
        <v>82500</v>
      </c>
      <c r="P3598" s="102" t="str">
        <f t="shared" si="2"/>
        <v>Rp27,500-3 LSN-0.00%</v>
      </c>
      <c r="Q3598" s="92">
        <v>45422.0</v>
      </c>
      <c r="R3598" s="114">
        <v>45419.0</v>
      </c>
      <c r="S3598" s="92">
        <v>45430.0</v>
      </c>
      <c r="T3598" s="49"/>
      <c r="V3598" s="21" t="s">
        <v>1321</v>
      </c>
    </row>
    <row r="3599">
      <c r="A3599" s="93">
        <v>202.0</v>
      </c>
      <c r="B3599" s="77" t="s">
        <v>29</v>
      </c>
      <c r="C3599" s="77" t="s">
        <v>3052</v>
      </c>
      <c r="D3599" s="77" t="s">
        <v>2106</v>
      </c>
      <c r="E3599" s="41" t="str">
        <f>IFERROR(__xludf.DUMMYFUNCTION("IFNA(vlookup(D3599,IMPORTRANGE(""https://docs.google.com/spreadsheets/d/1swGwZOEqYlTEUCJLY-eeJM1911Kvaei5oySBIxdgtNo/edit?pli=1#gid=257618397"",""stock untanna!B:C""),2,false),V:V)"),"BP GEL + GANTUNGAN 9170")</f>
        <v>BP GEL + GANTUNGAN 9170</v>
      </c>
      <c r="F3599" s="49"/>
      <c r="G3599" s="71"/>
      <c r="H3599" s="41"/>
      <c r="I3599" s="42"/>
      <c r="J3599" s="85" t="s">
        <v>1319</v>
      </c>
      <c r="K3599" s="93">
        <v>3.0</v>
      </c>
      <c r="L3599" s="112" t="s">
        <v>62</v>
      </c>
      <c r="M3599" s="113">
        <v>27500.0</v>
      </c>
      <c r="N3599" s="74"/>
      <c r="O3599" s="87">
        <f t="shared" si="11"/>
        <v>82500</v>
      </c>
      <c r="P3599" s="102" t="str">
        <f t="shared" si="2"/>
        <v>Rp27,500-3 LSN-0.00%</v>
      </c>
      <c r="Q3599" s="92">
        <v>45422.0</v>
      </c>
      <c r="R3599" s="114">
        <v>45419.0</v>
      </c>
      <c r="S3599" s="92">
        <v>45430.0</v>
      </c>
      <c r="T3599" s="49"/>
      <c r="V3599" s="21" t="s">
        <v>2107</v>
      </c>
    </row>
    <row r="3600">
      <c r="A3600" s="93">
        <v>202.0</v>
      </c>
      <c r="B3600" s="77" t="s">
        <v>29</v>
      </c>
      <c r="C3600" s="77" t="s">
        <v>3052</v>
      </c>
      <c r="D3600" s="77" t="s">
        <v>1322</v>
      </c>
      <c r="E3600" s="41" t="str">
        <f>IFERROR(__xludf.DUMMYFUNCTION("IFNA(vlookup(D3600,IMPORTRANGE(""https://docs.google.com/spreadsheets/d/1swGwZOEqYlTEUCJLY-eeJM1911Kvaei5oySBIxdgtNo/edit?pli=1#gid=257618397"",""stock untanna!B:C""),2,false),V:V)"),"BP GEL BP-A8010")</f>
        <v>BP GEL BP-A8010</v>
      </c>
      <c r="F3600" s="49"/>
      <c r="G3600" s="71"/>
      <c r="H3600" s="41"/>
      <c r="I3600" s="42"/>
      <c r="J3600" s="85" t="s">
        <v>1319</v>
      </c>
      <c r="K3600" s="93">
        <v>36.0</v>
      </c>
      <c r="L3600" s="112" t="s">
        <v>69</v>
      </c>
      <c r="M3600" s="113">
        <v>4375.0</v>
      </c>
      <c r="N3600" s="74"/>
      <c r="O3600" s="87">
        <f t="shared" si="11"/>
        <v>157500</v>
      </c>
      <c r="P3600" s="102" t="str">
        <f t="shared" si="2"/>
        <v>Rp4,375-36 PCS-0.00%</v>
      </c>
      <c r="Q3600" s="92">
        <v>45422.0</v>
      </c>
      <c r="R3600" s="114">
        <v>45419.0</v>
      </c>
      <c r="S3600" s="92">
        <v>45430.0</v>
      </c>
      <c r="T3600" s="49"/>
      <c r="V3600" s="21" t="s">
        <v>1323</v>
      </c>
    </row>
    <row r="3601">
      <c r="A3601" s="93">
        <v>202.0</v>
      </c>
      <c r="B3601" s="77" t="s">
        <v>29</v>
      </c>
      <c r="C3601" s="77" t="s">
        <v>3052</v>
      </c>
      <c r="D3601" s="77" t="s">
        <v>3395</v>
      </c>
      <c r="E3601" s="41" t="str">
        <f>IFERROR(__xludf.DUMMYFUNCTION("IFNA(vlookup(D3601,IMPORTRANGE(""https://docs.google.com/spreadsheets/d/1swGwZOEqYlTEUCJLY-eeJM1911Kvaei5oySBIxdgtNo/edit?pli=1#gid=257618397"",""stock untanna!B:C""),2,false),V:V)"),"GARISAN KM-7733L")</f>
        <v>GARISAN KM-7733L</v>
      </c>
      <c r="F3601" s="49"/>
      <c r="G3601" s="71"/>
      <c r="H3601" s="41"/>
      <c r="I3601" s="42"/>
      <c r="J3601" s="85" t="s">
        <v>1319</v>
      </c>
      <c r="K3601" s="93">
        <v>48.0</v>
      </c>
      <c r="L3601" s="112" t="s">
        <v>69</v>
      </c>
      <c r="M3601" s="113">
        <v>2291.67</v>
      </c>
      <c r="N3601" s="74"/>
      <c r="O3601" s="87">
        <f t="shared" si="11"/>
        <v>110000.16</v>
      </c>
      <c r="P3601" s="102" t="str">
        <f t="shared" si="2"/>
        <v>Rp2,292-48 PCS-0.00%</v>
      </c>
      <c r="Q3601" s="92">
        <v>45422.0</v>
      </c>
      <c r="R3601" s="114">
        <v>45419.0</v>
      </c>
      <c r="S3601" s="92">
        <v>45430.0</v>
      </c>
      <c r="T3601" s="49"/>
      <c r="V3601" s="21" t="s">
        <v>3396</v>
      </c>
    </row>
    <row r="3602">
      <c r="A3602" s="93">
        <v>202.0</v>
      </c>
      <c r="B3602" s="77" t="s">
        <v>29</v>
      </c>
      <c r="C3602" s="77" t="s">
        <v>3052</v>
      </c>
      <c r="D3602" s="77" t="s">
        <v>3397</v>
      </c>
      <c r="E3602" s="41" t="str">
        <f>IFERROR(__xludf.DUMMYFUNCTION("IFNA(vlookup(D3602,IMPORTRANGE(""https://docs.google.com/spreadsheets/d/1swGwZOEqYlTEUCJLY-eeJM1911Kvaei5oySBIxdgtNo/edit?pli=1#gid=257618397"",""stock untanna!B:C""),2,false),V:V)"),"GARISAN KM-8833L")</f>
        <v>GARISAN KM-8833L</v>
      </c>
      <c r="F3602" s="49"/>
      <c r="G3602" s="71"/>
      <c r="H3602" s="41"/>
      <c r="I3602" s="42"/>
      <c r="J3602" s="85" t="s">
        <v>1319</v>
      </c>
      <c r="K3602" s="93">
        <v>48.0</v>
      </c>
      <c r="L3602" s="112" t="s">
        <v>69</v>
      </c>
      <c r="M3602" s="113">
        <v>2291.67</v>
      </c>
      <c r="N3602" s="74"/>
      <c r="O3602" s="87">
        <f t="shared" si="11"/>
        <v>110000.16</v>
      </c>
      <c r="P3602" s="102" t="str">
        <f t="shared" si="2"/>
        <v>Rp2,292-48 PCS-0.00%</v>
      </c>
      <c r="Q3602" s="92">
        <v>45422.0</v>
      </c>
      <c r="R3602" s="114">
        <v>45419.0</v>
      </c>
      <c r="S3602" s="92">
        <v>45430.0</v>
      </c>
      <c r="T3602" s="49"/>
      <c r="V3602" s="21" t="s">
        <v>3398</v>
      </c>
    </row>
    <row r="3603">
      <c r="A3603" s="93">
        <v>202.0</v>
      </c>
      <c r="B3603" s="77" t="s">
        <v>29</v>
      </c>
      <c r="C3603" s="77" t="s">
        <v>3052</v>
      </c>
      <c r="D3603" s="77" t="s">
        <v>3399</v>
      </c>
      <c r="E3603" s="41" t="str">
        <f>IFERROR(__xludf.DUMMYFUNCTION("IFNA(vlookup(D3603,IMPORTRANGE(""https://docs.google.com/spreadsheets/d/1swGwZOEqYlTEUCJLY-eeJM1911Kvaei5oySBIxdgtNo/edit?pli=1#gid=257618397"",""stock untanna!B:C""),2,false),V:V)"),"GARISAN BESI 30CM GLITER HS 1906 (9030)")</f>
        <v>GARISAN BESI 30CM GLITER HS 1906 (9030)</v>
      </c>
      <c r="F3603" s="49"/>
      <c r="G3603" s="71"/>
      <c r="H3603" s="41"/>
      <c r="I3603" s="42"/>
      <c r="J3603" s="85" t="s">
        <v>1319</v>
      </c>
      <c r="K3603" s="93">
        <v>48.0</v>
      </c>
      <c r="L3603" s="112" t="s">
        <v>69</v>
      </c>
      <c r="M3603" s="113">
        <v>3333.33</v>
      </c>
      <c r="N3603" s="74"/>
      <c r="O3603" s="87">
        <f t="shared" si="11"/>
        <v>159999.84</v>
      </c>
      <c r="P3603" s="102" t="str">
        <f t="shared" si="2"/>
        <v>Rp3,333-48 PCS-0.00%</v>
      </c>
      <c r="Q3603" s="92">
        <v>45422.0</v>
      </c>
      <c r="R3603" s="114">
        <v>45419.0</v>
      </c>
      <c r="S3603" s="92">
        <v>45430.0</v>
      </c>
      <c r="T3603" s="49"/>
      <c r="V3603" s="21" t="s">
        <v>3400</v>
      </c>
    </row>
    <row r="3604">
      <c r="A3604" s="93">
        <v>202.0</v>
      </c>
      <c r="B3604" s="77" t="s">
        <v>29</v>
      </c>
      <c r="C3604" s="77" t="s">
        <v>3052</v>
      </c>
      <c r="D3604" s="77" t="s">
        <v>125</v>
      </c>
      <c r="E3604" s="41" t="str">
        <f>IFERROR(__xludf.DUMMYFUNCTION("IFNA(vlookup(D3604,IMPORTRANGE(""https://docs.google.com/spreadsheets/d/1swGwZOEqYlTEUCJLY-eeJM1911Kvaei5oySBIxdgtNo/edit?pli=1#gid=257618397"",""stock untanna!B:C""),2,false),V:V)"),"GARISAN BESI V-TRO 30CM")</f>
        <v>GARISAN BESI V-TRO 30CM</v>
      </c>
      <c r="F3604" s="49"/>
      <c r="G3604" s="71"/>
      <c r="H3604" s="41"/>
      <c r="I3604" s="42"/>
      <c r="J3604" s="85" t="s">
        <v>1319</v>
      </c>
      <c r="K3604" s="93">
        <v>3.0</v>
      </c>
      <c r="L3604" s="112" t="s">
        <v>62</v>
      </c>
      <c r="M3604" s="113">
        <v>31500.0</v>
      </c>
      <c r="N3604" s="74"/>
      <c r="O3604" s="87">
        <f t="shared" si="11"/>
        <v>94500</v>
      </c>
      <c r="P3604" s="102" t="str">
        <f t="shared" si="2"/>
        <v>Rp31,500-3 LSN-0.00%</v>
      </c>
      <c r="Q3604" s="92">
        <v>45422.0</v>
      </c>
      <c r="R3604" s="114">
        <v>45419.0</v>
      </c>
      <c r="S3604" s="92">
        <v>45430.0</v>
      </c>
      <c r="T3604" s="49"/>
      <c r="V3604" s="21" t="s">
        <v>126</v>
      </c>
    </row>
    <row r="3605">
      <c r="A3605" s="93">
        <v>202.0</v>
      </c>
      <c r="B3605" s="77" t="s">
        <v>29</v>
      </c>
      <c r="C3605" s="77" t="s">
        <v>3052</v>
      </c>
      <c r="D3605" s="77" t="s">
        <v>387</v>
      </c>
      <c r="E3605" s="41" t="str">
        <f>IFERROR(__xludf.DUMMYFUNCTION("IFNA(vlookup(D3605,IMPORTRANGE(""https://docs.google.com/spreadsheets/d/1swGwZOEqYlTEUCJLY-eeJM1911Kvaei5oySBIxdgtNo/edit?pli=1#gid=257618397"",""stock untanna!B:C""),2,false),V:V)"),"GARISAN ZH-243")</f>
        <v>GARISAN ZH-243</v>
      </c>
      <c r="F3605" s="49"/>
      <c r="G3605" s="71"/>
      <c r="H3605" s="41"/>
      <c r="I3605" s="42"/>
      <c r="J3605" s="85" t="s">
        <v>1319</v>
      </c>
      <c r="K3605" s="93">
        <v>50.0</v>
      </c>
      <c r="L3605" s="112" t="s">
        <v>69</v>
      </c>
      <c r="M3605" s="113">
        <v>1600.0</v>
      </c>
      <c r="N3605" s="74"/>
      <c r="O3605" s="87">
        <f t="shared" si="11"/>
        <v>80000</v>
      </c>
      <c r="P3605" s="102" t="str">
        <f t="shared" si="2"/>
        <v>Rp1,600-50 PCS-0.00%</v>
      </c>
      <c r="Q3605" s="92">
        <v>45422.0</v>
      </c>
      <c r="R3605" s="114">
        <v>45419.0</v>
      </c>
      <c r="S3605" s="92">
        <v>45430.0</v>
      </c>
      <c r="T3605" s="49"/>
      <c r="V3605" s="21" t="s">
        <v>388</v>
      </c>
    </row>
    <row r="3606">
      <c r="A3606" s="93">
        <v>202.0</v>
      </c>
      <c r="B3606" s="77" t="s">
        <v>29</v>
      </c>
      <c r="C3606" s="77" t="s">
        <v>3052</v>
      </c>
      <c r="D3606" s="91"/>
      <c r="E3606" s="41" t="str">
        <f>IFERROR(__xludf.DUMMYFUNCTION("IFNA(vlookup(D3606,IMPORTRANGE(""https://docs.google.com/spreadsheets/d/1swGwZOEqYlTEUCJLY-eeJM1911Kvaei5oySBIxdgtNo/edit?pli=1#gid=257618397"",""stock untanna!B:C""),2,false),V:V)"),"GARISAN AURA")</f>
        <v>GARISAN AURA</v>
      </c>
      <c r="F3606" s="49"/>
      <c r="G3606" s="71"/>
      <c r="H3606" s="41"/>
      <c r="I3606" s="42"/>
      <c r="J3606" s="85" t="s">
        <v>3190</v>
      </c>
      <c r="K3606" s="93">
        <v>5.0</v>
      </c>
      <c r="L3606" s="112" t="s">
        <v>62</v>
      </c>
      <c r="M3606" s="113">
        <v>16500.0</v>
      </c>
      <c r="N3606" s="74"/>
      <c r="O3606" s="87">
        <f t="shared" si="11"/>
        <v>82500</v>
      </c>
      <c r="P3606" s="102" t="str">
        <f t="shared" si="2"/>
        <v>Rp16,500-5 LSN-0.00%</v>
      </c>
      <c r="Q3606" s="92">
        <v>45422.0</v>
      </c>
      <c r="R3606" s="114">
        <v>45419.0</v>
      </c>
      <c r="S3606" s="92">
        <v>45430.0</v>
      </c>
      <c r="T3606" s="49"/>
      <c r="V3606" s="21" t="s">
        <v>3401</v>
      </c>
    </row>
    <row r="3607">
      <c r="A3607" s="93">
        <v>202.0</v>
      </c>
      <c r="B3607" s="77" t="s">
        <v>29</v>
      </c>
      <c r="C3607" s="77" t="s">
        <v>3052</v>
      </c>
      <c r="D3607" s="77" t="s">
        <v>359</v>
      </c>
      <c r="E3607" s="41" t="str">
        <f>IFERROR(__xludf.DUMMYFUNCTION("IFNA(vlookup(D3607,IMPORTRANGE(""https://docs.google.com/spreadsheets/d/1swGwZOEqYlTEUCJLY-eeJM1911Kvaei5oySBIxdgtNo/edit?pli=1#gid=257618397"",""stock untanna!B:C""),2,false),V:V)"),"GARISAN ROTARY 1020 (JOS) BSR")</f>
        <v>GARISAN ROTARY 1020 (JOS) BSR</v>
      </c>
      <c r="F3607" s="49"/>
      <c r="G3607" s="71"/>
      <c r="H3607" s="41"/>
      <c r="I3607" s="42"/>
      <c r="J3607" s="85" t="s">
        <v>1319</v>
      </c>
      <c r="K3607" s="93">
        <v>12.0</v>
      </c>
      <c r="L3607" s="112" t="s">
        <v>69</v>
      </c>
      <c r="M3607" s="113">
        <v>2916.67</v>
      </c>
      <c r="N3607" s="74"/>
      <c r="O3607" s="87">
        <f t="shared" si="11"/>
        <v>35000.04</v>
      </c>
      <c r="P3607" s="102" t="str">
        <f t="shared" si="2"/>
        <v>Rp2,917-12 PCS-0.00%</v>
      </c>
      <c r="Q3607" s="92">
        <v>45422.0</v>
      </c>
      <c r="R3607" s="114">
        <v>45419.0</v>
      </c>
      <c r="S3607" s="92">
        <v>45430.0</v>
      </c>
      <c r="T3607" s="49"/>
      <c r="V3607" s="21" t="s">
        <v>360</v>
      </c>
    </row>
    <row r="3608">
      <c r="A3608" s="93">
        <v>203.0</v>
      </c>
      <c r="B3608" s="77" t="s">
        <v>29</v>
      </c>
      <c r="C3608" s="77" t="s">
        <v>3052</v>
      </c>
      <c r="D3608" s="77" t="s">
        <v>3402</v>
      </c>
      <c r="E3608" s="41" t="str">
        <f>IFERROR(__xludf.DUMMYFUNCTION("IFNA(vlookup(D3608,IMPORTRANGE(""https://docs.google.com/spreadsheets/d/1swGwZOEqYlTEUCJLY-eeJM1911Kvaei5oySBIxdgtNo/edit?pli=1#gid=257618397"",""stock untanna!B:C""),2,false),V:V)"),"GARISAN LENTUR 30CM FANCY 0030")</f>
        <v>GARISAN LENTUR 30CM FANCY 0030</v>
      </c>
      <c r="F3608" s="49"/>
      <c r="G3608" s="71"/>
      <c r="H3608" s="41"/>
      <c r="I3608" s="42"/>
      <c r="J3608" s="85" t="s">
        <v>1319</v>
      </c>
      <c r="K3608" s="93">
        <v>4.0</v>
      </c>
      <c r="L3608" s="112" t="s">
        <v>62</v>
      </c>
      <c r="M3608" s="113">
        <v>35000.0</v>
      </c>
      <c r="N3608" s="74"/>
      <c r="O3608" s="87">
        <f t="shared" si="11"/>
        <v>140000</v>
      </c>
      <c r="P3608" s="102" t="str">
        <f t="shared" si="2"/>
        <v>Rp35,000-4 LSN-0.00%</v>
      </c>
      <c r="Q3608" s="92">
        <v>45422.0</v>
      </c>
      <c r="R3608" s="114">
        <v>45419.0</v>
      </c>
      <c r="S3608" s="92">
        <v>45430.0</v>
      </c>
      <c r="T3608" s="49"/>
      <c r="V3608" s="21" t="s">
        <v>3403</v>
      </c>
    </row>
    <row r="3609">
      <c r="A3609" s="93">
        <v>203.0</v>
      </c>
      <c r="B3609" s="77" t="s">
        <v>29</v>
      </c>
      <c r="C3609" s="77" t="s">
        <v>3052</v>
      </c>
      <c r="D3609" s="77" t="s">
        <v>3404</v>
      </c>
      <c r="E3609" s="41" t="str">
        <f>IFERROR(__xludf.DUMMYFUNCTION("IFNA(vlookup(D3609,IMPORTRANGE(""https://docs.google.com/spreadsheets/d/1swGwZOEqYlTEUCJLY-eeJM1911Kvaei5oySBIxdgtNo/edit?pli=1#gid=257618397"",""stock untanna!B:C""),2,false),V:V)"),"GARISAN SET 8020")</f>
        <v>GARISAN SET 8020</v>
      </c>
      <c r="F3609" s="49"/>
      <c r="G3609" s="71"/>
      <c r="H3609" s="41"/>
      <c r="I3609" s="42"/>
      <c r="J3609" s="85" t="s">
        <v>1319</v>
      </c>
      <c r="K3609" s="93">
        <v>24.0</v>
      </c>
      <c r="L3609" s="112" t="s">
        <v>69</v>
      </c>
      <c r="M3609" s="113">
        <v>3750.0</v>
      </c>
      <c r="N3609" s="74"/>
      <c r="O3609" s="87">
        <f t="shared" si="11"/>
        <v>90000</v>
      </c>
      <c r="P3609" s="102" t="str">
        <f t="shared" si="2"/>
        <v>Rp3,750-24 PCS-0.00%</v>
      </c>
      <c r="Q3609" s="92">
        <v>45422.0</v>
      </c>
      <c r="R3609" s="114">
        <v>45419.0</v>
      </c>
      <c r="S3609" s="92">
        <v>45430.0</v>
      </c>
      <c r="T3609" s="49"/>
      <c r="V3609" s="21" t="s">
        <v>3405</v>
      </c>
    </row>
    <row r="3610">
      <c r="A3610" s="93">
        <v>203.0</v>
      </c>
      <c r="B3610" s="77" t="s">
        <v>29</v>
      </c>
      <c r="C3610" s="77" t="s">
        <v>3052</v>
      </c>
      <c r="D3610" s="77" t="s">
        <v>2304</v>
      </c>
      <c r="E3610" s="41" t="str">
        <f>IFERROR(__xludf.DUMMYFUNCTION("IFNA(vlookup(D3610,IMPORTRANGE(""https://docs.google.com/spreadsheets/d/1swGwZOEqYlTEUCJLY-eeJM1911Kvaei5oySBIxdgtNo/edit?pli=1#gid=257618397"",""stock untanna!B:C""),2,false),V:V)"),"GARISAN SET ZX-022 20 CM")</f>
        <v>GARISAN SET ZX-022 20 CM</v>
      </c>
      <c r="F3610" s="49"/>
      <c r="G3610" s="71"/>
      <c r="H3610" s="41"/>
      <c r="I3610" s="42"/>
      <c r="J3610" s="85" t="s">
        <v>1319</v>
      </c>
      <c r="K3610" s="93">
        <v>50.0</v>
      </c>
      <c r="L3610" s="112" t="s">
        <v>69</v>
      </c>
      <c r="M3610" s="113">
        <v>2100.0</v>
      </c>
      <c r="N3610" s="74"/>
      <c r="O3610" s="87">
        <f t="shared" si="11"/>
        <v>105000</v>
      </c>
      <c r="P3610" s="102" t="str">
        <f t="shared" si="2"/>
        <v>Rp2,100-50 PCS-0.00%</v>
      </c>
      <c r="Q3610" s="92">
        <v>45422.0</v>
      </c>
      <c r="R3610" s="114">
        <v>45419.0</v>
      </c>
      <c r="S3610" s="92">
        <v>45430.0</v>
      </c>
      <c r="T3610" s="49"/>
      <c r="V3610" s="21" t="s">
        <v>2305</v>
      </c>
    </row>
    <row r="3611">
      <c r="A3611" s="93">
        <v>203.0</v>
      </c>
      <c r="B3611" s="77" t="s">
        <v>29</v>
      </c>
      <c r="C3611" s="77" t="s">
        <v>3052</v>
      </c>
      <c r="D3611" s="77" t="s">
        <v>3406</v>
      </c>
      <c r="E3611" s="41" t="str">
        <f>IFERROR(__xludf.DUMMYFUNCTION("IFNA(vlookup(D3611,IMPORTRANGE(""https://docs.google.com/spreadsheets/d/1swGwZOEqYlTEUCJLY-eeJM1911Kvaei5oySBIxdgtNo/edit?pli=1#gid=257618397"",""stock untanna!B:C""),2,false),V:V)"),"GARISAN TF-360")</f>
        <v>GARISAN TF-360</v>
      </c>
      <c r="F3611" s="49"/>
      <c r="G3611" s="71"/>
      <c r="H3611" s="41"/>
      <c r="I3611" s="42"/>
      <c r="J3611" s="85" t="s">
        <v>1319</v>
      </c>
      <c r="K3611" s="93">
        <v>1.0</v>
      </c>
      <c r="L3611" s="112" t="s">
        <v>62</v>
      </c>
      <c r="M3611" s="113">
        <v>27500.0</v>
      </c>
      <c r="N3611" s="74"/>
      <c r="O3611" s="87">
        <f t="shared" si="11"/>
        <v>27500</v>
      </c>
      <c r="P3611" s="102" t="str">
        <f t="shared" si="2"/>
        <v>Rp27,500-1 LSN-0.00%</v>
      </c>
      <c r="Q3611" s="92">
        <v>45422.0</v>
      </c>
      <c r="R3611" s="114">
        <v>45419.0</v>
      </c>
      <c r="S3611" s="92">
        <v>45430.0</v>
      </c>
      <c r="T3611" s="49"/>
      <c r="V3611" s="21" t="s">
        <v>3407</v>
      </c>
    </row>
    <row r="3612">
      <c r="A3612" s="93">
        <v>203.0</v>
      </c>
      <c r="B3612" s="77" t="s">
        <v>29</v>
      </c>
      <c r="C3612" s="77" t="s">
        <v>3052</v>
      </c>
      <c r="D3612" s="77" t="s">
        <v>381</v>
      </c>
      <c r="E3612" s="41" t="str">
        <f>IFERROR(__xludf.DUMMYFUNCTION("IFNA(vlookup(D3612,IMPORTRANGE(""https://docs.google.com/spreadsheets/d/1swGwZOEqYlTEUCJLY-eeJM1911Kvaei5oySBIxdgtNo/edit?pli=1#gid=257618397"",""stock untanna!B:C""),2,false),V:V)"),"GARISAN BUSUR TF 1988-180")</f>
        <v>GARISAN BUSUR TF 1988-180</v>
      </c>
      <c r="F3612" s="49"/>
      <c r="G3612" s="71"/>
      <c r="H3612" s="41"/>
      <c r="I3612" s="42"/>
      <c r="J3612" s="85" t="s">
        <v>1319</v>
      </c>
      <c r="K3612" s="93">
        <v>2.0</v>
      </c>
      <c r="L3612" s="112" t="s">
        <v>62</v>
      </c>
      <c r="M3612" s="113">
        <v>15000.0</v>
      </c>
      <c r="N3612" s="74"/>
      <c r="O3612" s="87">
        <f t="shared" si="11"/>
        <v>30000</v>
      </c>
      <c r="P3612" s="102" t="str">
        <f t="shared" si="2"/>
        <v>Rp15,000-2 LSN-0.00%</v>
      </c>
      <c r="Q3612" s="92">
        <v>45422.0</v>
      </c>
      <c r="R3612" s="114">
        <v>45419.0</v>
      </c>
      <c r="S3612" s="92">
        <v>45430.0</v>
      </c>
      <c r="T3612" s="49"/>
      <c r="V3612" s="21" t="s">
        <v>382</v>
      </c>
    </row>
    <row r="3613">
      <c r="A3613" s="93">
        <v>203.0</v>
      </c>
      <c r="B3613" s="77" t="s">
        <v>29</v>
      </c>
      <c r="C3613" s="77" t="s">
        <v>3052</v>
      </c>
      <c r="D3613" s="77" t="s">
        <v>3408</v>
      </c>
      <c r="E3613" s="41" t="str">
        <f>IFERROR(__xludf.DUMMYFUNCTION("IFNA(vlookup(D3613,IMPORTRANGE(""https://docs.google.com/spreadsheets/d/1swGwZOEqYlTEUCJLY-eeJM1911Kvaei5oySBIxdgtNo/edit?pli=1#gid=257618397"",""stock untanna!B:C""),2,false),V:V)"),"GARISAN SEGITIGA KOJIKO NO.10")</f>
        <v>GARISAN SEGITIGA KOJIKO NO.10</v>
      </c>
      <c r="F3613" s="49"/>
      <c r="G3613" s="71"/>
      <c r="H3613" s="41"/>
      <c r="I3613" s="42"/>
      <c r="J3613" s="85" t="s">
        <v>1319</v>
      </c>
      <c r="K3613" s="93">
        <v>1.0</v>
      </c>
      <c r="L3613" s="112" t="s">
        <v>62</v>
      </c>
      <c r="M3613" s="113">
        <v>110000.0</v>
      </c>
      <c r="N3613" s="74"/>
      <c r="O3613" s="87">
        <f t="shared" si="11"/>
        <v>110000</v>
      </c>
      <c r="P3613" s="102" t="str">
        <f t="shared" si="2"/>
        <v>Rp110,000-1 LSN-0.00%</v>
      </c>
      <c r="Q3613" s="92">
        <v>45422.0</v>
      </c>
      <c r="R3613" s="114">
        <v>45419.0</v>
      </c>
      <c r="S3613" s="92">
        <v>45430.0</v>
      </c>
      <c r="T3613" s="49"/>
      <c r="V3613" s="21" t="s">
        <v>3409</v>
      </c>
    </row>
    <row r="3614">
      <c r="A3614" s="93">
        <v>203.0</v>
      </c>
      <c r="B3614" s="77" t="s">
        <v>29</v>
      </c>
      <c r="C3614" s="77" t="s">
        <v>3052</v>
      </c>
      <c r="D3614" s="77" t="s">
        <v>3410</v>
      </c>
      <c r="E3614" s="41" t="str">
        <f>IFERROR(__xludf.DUMMYFUNCTION("IFNA(vlookup(D3614,IMPORTRANGE(""https://docs.google.com/spreadsheets/d/1swGwZOEqYlTEUCJLY-eeJM1911Kvaei5oySBIxdgtNo/edit?pli=1#gid=257618397"",""stock untanna!B:C""),2,false),V:V)"),"GARISAN SEGITIGA KOJIKO NO.12")</f>
        <v>GARISAN SEGITIGA KOJIKO NO.12</v>
      </c>
      <c r="F3614" s="49"/>
      <c r="G3614" s="71"/>
      <c r="H3614" s="41"/>
      <c r="I3614" s="42"/>
      <c r="J3614" s="85" t="s">
        <v>1319</v>
      </c>
      <c r="K3614" s="93">
        <v>1.0</v>
      </c>
      <c r="L3614" s="112" t="s">
        <v>62</v>
      </c>
      <c r="M3614" s="113">
        <v>150000.0</v>
      </c>
      <c r="N3614" s="74"/>
      <c r="O3614" s="87">
        <f t="shared" si="11"/>
        <v>150000</v>
      </c>
      <c r="P3614" s="102" t="str">
        <f t="shared" si="2"/>
        <v>Rp150,000-1 LSN-0.00%</v>
      </c>
      <c r="Q3614" s="92">
        <v>45422.0</v>
      </c>
      <c r="R3614" s="114">
        <v>45419.0</v>
      </c>
      <c r="S3614" s="92">
        <v>45430.0</v>
      </c>
      <c r="T3614" s="49"/>
      <c r="V3614" s="21" t="s">
        <v>3411</v>
      </c>
    </row>
    <row r="3615">
      <c r="A3615" s="93">
        <v>203.0</v>
      </c>
      <c r="B3615" s="77" t="s">
        <v>29</v>
      </c>
      <c r="C3615" s="77" t="s">
        <v>3052</v>
      </c>
      <c r="D3615" s="77" t="s">
        <v>3412</v>
      </c>
      <c r="E3615" s="41" t="str">
        <f>IFERROR(__xludf.DUMMYFUNCTION("IFNA(vlookup(D3615,IMPORTRANGE(""https://docs.google.com/spreadsheets/d/1swGwZOEqYlTEUCJLY-eeJM1911Kvaei5oySBIxdgtNo/edit?pli=1#gid=257618397"",""stock untanna!B:C""),2,false),V:V)"),"BP TRIX 150")</f>
        <v>BP TRIX 150</v>
      </c>
      <c r="F3615" s="49"/>
      <c r="G3615" s="71"/>
      <c r="H3615" s="41"/>
      <c r="I3615" s="42"/>
      <c r="J3615" s="85" t="s">
        <v>1319</v>
      </c>
      <c r="K3615" s="93">
        <v>3.0</v>
      </c>
      <c r="L3615" s="112" t="s">
        <v>62</v>
      </c>
      <c r="M3615" s="113">
        <v>16500.0</v>
      </c>
      <c r="N3615" s="74"/>
      <c r="O3615" s="87">
        <f t="shared" si="11"/>
        <v>49500</v>
      </c>
      <c r="P3615" s="102" t="str">
        <f t="shared" si="2"/>
        <v>Rp16,500-3 LSN-0.00%</v>
      </c>
      <c r="Q3615" s="92">
        <v>45422.0</v>
      </c>
      <c r="R3615" s="114">
        <v>45419.0</v>
      </c>
      <c r="S3615" s="92">
        <v>45430.0</v>
      </c>
      <c r="T3615" s="49"/>
      <c r="V3615" s="21" t="s">
        <v>3413</v>
      </c>
    </row>
    <row r="3616">
      <c r="A3616" s="93">
        <v>203.0</v>
      </c>
      <c r="B3616" s="77" t="s">
        <v>29</v>
      </c>
      <c r="C3616" s="77" t="s">
        <v>3052</v>
      </c>
      <c r="D3616" s="91"/>
      <c r="E3616" s="41" t="str">
        <f>IFERROR(__xludf.DUMMYFUNCTION("IFNA(vlookup(D3616,IMPORTRANGE(""https://docs.google.com/spreadsheets/d/1swGwZOEqYlTEUCJLY-eeJM1911Kvaei5oySBIxdgtNo/edit?pli=1#gid=257618397"",""stock untanna!B:C""),2,false),V:V)"),"BENSIA SISIR 1311")</f>
        <v>BENSIA SISIR 1311</v>
      </c>
      <c r="F3616" s="49"/>
      <c r="G3616" s="71"/>
      <c r="H3616" s="41"/>
      <c r="I3616" s="42"/>
      <c r="J3616" s="85" t="s">
        <v>3190</v>
      </c>
      <c r="K3616" s="93">
        <v>1.0</v>
      </c>
      <c r="L3616" s="112" t="s">
        <v>88</v>
      </c>
      <c r="M3616" s="113">
        <v>75000.0</v>
      </c>
      <c r="N3616" s="74"/>
      <c r="O3616" s="87">
        <f t="shared" si="11"/>
        <v>75000</v>
      </c>
      <c r="P3616" s="102" t="str">
        <f t="shared" si="2"/>
        <v>Rp75,000-1 BOX-0.00%</v>
      </c>
      <c r="Q3616" s="92">
        <v>45422.0</v>
      </c>
      <c r="R3616" s="114">
        <v>45419.0</v>
      </c>
      <c r="S3616" s="92">
        <v>45430.0</v>
      </c>
      <c r="T3616" s="49"/>
      <c r="V3616" s="21" t="s">
        <v>3414</v>
      </c>
    </row>
    <row r="3617">
      <c r="A3617" s="93">
        <v>203.0</v>
      </c>
      <c r="B3617" s="77" t="s">
        <v>29</v>
      </c>
      <c r="C3617" s="77" t="s">
        <v>3052</v>
      </c>
      <c r="D3617" s="77" t="s">
        <v>86</v>
      </c>
      <c r="E3617" s="41" t="str">
        <f>IFERROR(__xludf.DUMMYFUNCTION("IFNA(vlookup(D3617,IMPORTRANGE(""https://docs.google.com/spreadsheets/d/1swGwZOEqYlTEUCJLY-eeJM1911Kvaei5oySBIxdgtNo/edit?pli=1#gid=257618397"",""stock untanna!B:C""),2,false),V:V)"),"ISI GEL PEN DTIAN GR-088 (ISI 6 PCS TABUNG)")</f>
        <v>ISI GEL PEN DTIAN GR-088 (ISI 6 PCS TABUNG)</v>
      </c>
      <c r="F3617" s="49"/>
      <c r="G3617" s="71"/>
      <c r="H3617" s="41"/>
      <c r="I3617" s="42"/>
      <c r="J3617" s="85" t="s">
        <v>1319</v>
      </c>
      <c r="K3617" s="93">
        <v>2.0</v>
      </c>
      <c r="L3617" s="112" t="s">
        <v>88</v>
      </c>
      <c r="M3617" s="113">
        <v>132000.0</v>
      </c>
      <c r="N3617" s="74"/>
      <c r="O3617" s="87">
        <f t="shared" si="11"/>
        <v>264000</v>
      </c>
      <c r="P3617" s="102" t="str">
        <f t="shared" si="2"/>
        <v>Rp132,000-2 BOX-0.00%</v>
      </c>
      <c r="Q3617" s="92">
        <v>45422.0</v>
      </c>
      <c r="R3617" s="114">
        <v>45419.0</v>
      </c>
      <c r="S3617" s="92">
        <v>45430.0</v>
      </c>
      <c r="T3617" s="49"/>
      <c r="V3617" s="21" t="s">
        <v>87</v>
      </c>
    </row>
    <row r="3618">
      <c r="A3618" s="93">
        <v>203.0</v>
      </c>
      <c r="B3618" s="77" t="s">
        <v>29</v>
      </c>
      <c r="C3618" s="77" t="s">
        <v>3052</v>
      </c>
      <c r="D3618" s="77" t="s">
        <v>90</v>
      </c>
      <c r="E3618" s="41" t="str">
        <f>IFERROR(__xludf.DUMMYFUNCTION("IFNA(vlookup(D3618,IMPORTRANGE(""https://docs.google.com/spreadsheets/d/1swGwZOEqYlTEUCJLY-eeJM1911Kvaei5oySBIxdgtNo/edit?pli=1#gid=257618397"",""stock untanna!B:C""),2,false),V:V)"),"ISI GEL GR 089 (12PCS TABUNG)")</f>
        <v>ISI GEL GR 089 (12PCS TABUNG)</v>
      </c>
      <c r="F3618" s="49"/>
      <c r="G3618" s="71"/>
      <c r="H3618" s="41"/>
      <c r="I3618" s="42"/>
      <c r="J3618" s="85" t="s">
        <v>1319</v>
      </c>
      <c r="K3618" s="93">
        <v>2.0</v>
      </c>
      <c r="L3618" s="112" t="s">
        <v>88</v>
      </c>
      <c r="M3618" s="113">
        <v>277200.0</v>
      </c>
      <c r="N3618" s="74"/>
      <c r="O3618" s="87">
        <f t="shared" si="11"/>
        <v>554400</v>
      </c>
      <c r="P3618" s="102" t="str">
        <f t="shared" si="2"/>
        <v>Rp277,200-2 BOX-0.00%</v>
      </c>
      <c r="Q3618" s="92">
        <v>45422.0</v>
      </c>
      <c r="R3618" s="114">
        <v>45419.0</v>
      </c>
      <c r="S3618" s="92">
        <v>45430.0</v>
      </c>
      <c r="T3618" s="49"/>
      <c r="V3618" s="21" t="s">
        <v>91</v>
      </c>
    </row>
    <row r="3619">
      <c r="A3619" s="93">
        <v>203.0</v>
      </c>
      <c r="B3619" s="77" t="s">
        <v>29</v>
      </c>
      <c r="C3619" s="77" t="s">
        <v>3052</v>
      </c>
      <c r="D3619" s="77" t="s">
        <v>1193</v>
      </c>
      <c r="E3619" s="41" t="str">
        <f>IFERROR(__xludf.DUMMYFUNCTION("IFNA(vlookup(D3619,IMPORTRANGE(""https://docs.google.com/spreadsheets/d/1swGwZOEqYlTEUCJLY-eeJM1911Kvaei5oySBIxdgtNo/edit?pli=1#gid=257618397"",""stock untanna!B:C""),2,false),V:V)"),"ISI GEL GR 090 (20PCS TABUNG)")</f>
        <v>ISI GEL GR 090 (20PCS TABUNG)</v>
      </c>
      <c r="F3619" s="49"/>
      <c r="G3619" s="71"/>
      <c r="H3619" s="41"/>
      <c r="I3619" s="42"/>
      <c r="J3619" s="85" t="s">
        <v>1319</v>
      </c>
      <c r="K3619" s="93">
        <v>2.0</v>
      </c>
      <c r="L3619" s="112" t="s">
        <v>88</v>
      </c>
      <c r="M3619" s="113">
        <v>324000.0</v>
      </c>
      <c r="N3619" s="74"/>
      <c r="O3619" s="87">
        <f t="shared" si="11"/>
        <v>648000</v>
      </c>
      <c r="P3619" s="102" t="str">
        <f t="shared" si="2"/>
        <v>Rp324,000-2 BOX-0.00%</v>
      </c>
      <c r="Q3619" s="92">
        <v>45422.0</v>
      </c>
      <c r="R3619" s="114">
        <v>45419.0</v>
      </c>
      <c r="S3619" s="92">
        <v>45430.0</v>
      </c>
      <c r="T3619" s="49"/>
      <c r="V3619" s="21" t="s">
        <v>1194</v>
      </c>
    </row>
    <row r="3620">
      <c r="A3620" s="93">
        <v>203.0</v>
      </c>
      <c r="B3620" s="77" t="s">
        <v>29</v>
      </c>
      <c r="C3620" s="77" t="s">
        <v>3052</v>
      </c>
      <c r="D3620" s="91"/>
      <c r="E3620" s="41" t="str">
        <f>IFERROR(__xludf.DUMMYFUNCTION("IFNA(vlookup(D3620,IMPORTRANGE(""https://docs.google.com/spreadsheets/d/1swGwZOEqYlTEUCJLY-eeJM1911Kvaei5oySBIxdgtNo/edit?pli=1#gid=257618397"",""stock untanna!B:C""),2,false),V:V)"),"GEL GP 9101")</f>
        <v>GEL GP 9101</v>
      </c>
      <c r="F3620" s="49"/>
      <c r="G3620" s="71"/>
      <c r="H3620" s="41"/>
      <c r="I3620" s="42"/>
      <c r="J3620" s="85" t="s">
        <v>3190</v>
      </c>
      <c r="K3620" s="93">
        <v>3.0</v>
      </c>
      <c r="L3620" s="112" t="s">
        <v>62</v>
      </c>
      <c r="M3620" s="113">
        <v>20000.0</v>
      </c>
      <c r="N3620" s="74"/>
      <c r="O3620" s="87">
        <f t="shared" si="11"/>
        <v>60000</v>
      </c>
      <c r="P3620" s="102" t="str">
        <f t="shared" si="2"/>
        <v>Rp20,000-3 LSN-0.00%</v>
      </c>
      <c r="Q3620" s="92">
        <v>45422.0</v>
      </c>
      <c r="R3620" s="114">
        <v>45419.0</v>
      </c>
      <c r="S3620" s="92">
        <v>45430.0</v>
      </c>
      <c r="T3620" s="49"/>
      <c r="V3620" s="21" t="s">
        <v>3415</v>
      </c>
    </row>
    <row r="3621">
      <c r="A3621" s="93">
        <v>203.0</v>
      </c>
      <c r="B3621" s="77" t="s">
        <v>29</v>
      </c>
      <c r="C3621" s="77" t="s">
        <v>3052</v>
      </c>
      <c r="D3621" s="77" t="s">
        <v>3416</v>
      </c>
      <c r="E3621" s="41" t="str">
        <f>IFERROR(__xludf.DUMMYFUNCTION("IFNA(vlookup(D3621,IMPORTRANGE(""https://docs.google.com/spreadsheets/d/1swGwZOEqYlTEUCJLY-eeJM1911Kvaei5oySBIxdgtNo/edit?pli=1#gid=257618397"",""stock untanna!B:C""),2,false),V:V)"),"PENSIL ZHONG HWA 69 2B")</f>
        <v>PENSIL ZHONG HWA 69 2B</v>
      </c>
      <c r="F3621" s="49"/>
      <c r="G3621" s="71"/>
      <c r="H3621" s="41"/>
      <c r="I3621" s="42"/>
      <c r="J3621" s="43" t="str">
        <f t="shared" ref="J3621:J3622" si="13">IF(D3621="","TIDAK ADA","ADA")</f>
        <v>ADA</v>
      </c>
      <c r="K3621" s="93">
        <v>1.0</v>
      </c>
      <c r="L3621" s="112" t="s">
        <v>88</v>
      </c>
      <c r="M3621" s="113">
        <v>380000.0</v>
      </c>
      <c r="N3621" s="74"/>
      <c r="O3621" s="87">
        <f t="shared" si="11"/>
        <v>380000</v>
      </c>
      <c r="P3621" s="102" t="str">
        <f t="shared" si="2"/>
        <v>Rp380,000-1 BOX-0.00%</v>
      </c>
      <c r="Q3621" s="92">
        <v>45422.0</v>
      </c>
      <c r="R3621" s="114">
        <v>45419.0</v>
      </c>
      <c r="S3621" s="92">
        <v>45430.0</v>
      </c>
      <c r="T3621" s="77" t="s">
        <v>280</v>
      </c>
      <c r="V3621" s="21" t="s">
        <v>3417</v>
      </c>
    </row>
    <row r="3622">
      <c r="A3622" s="93">
        <v>203.0</v>
      </c>
      <c r="B3622" s="77" t="s">
        <v>29</v>
      </c>
      <c r="C3622" s="77" t="s">
        <v>3052</v>
      </c>
      <c r="D3622" s="77" t="s">
        <v>3418</v>
      </c>
      <c r="E3622" s="41" t="str">
        <f>IFERROR(__xludf.DUMMYFUNCTION("IFNA(vlookup(D3622,IMPORTRANGE(""https://docs.google.com/spreadsheets/d/1swGwZOEqYlTEUCJLY-eeJM1911Kvaei5oySBIxdgtNo/edit?pli=1#gid=257618397"",""stock untanna!B:C""),2,false),V:V)"),"PENSIL 2B FLOUREN+STIP 388(36)")</f>
        <v>PENSIL 2B FLOUREN+STIP 388(36)</v>
      </c>
      <c r="F3622" s="49"/>
      <c r="G3622" s="71"/>
      <c r="H3622" s="41"/>
      <c r="I3622" s="42"/>
      <c r="J3622" s="43" t="str">
        <f t="shared" si="13"/>
        <v>ADA</v>
      </c>
      <c r="K3622" s="93">
        <v>2.0</v>
      </c>
      <c r="L3622" s="112" t="s">
        <v>88</v>
      </c>
      <c r="M3622" s="113">
        <v>40000.0</v>
      </c>
      <c r="N3622" s="74"/>
      <c r="O3622" s="87">
        <f t="shared" si="11"/>
        <v>80000</v>
      </c>
      <c r="P3622" s="102" t="str">
        <f t="shared" si="2"/>
        <v>Rp40,000-2 BOX-0.00%</v>
      </c>
      <c r="Q3622" s="92">
        <v>45422.0</v>
      </c>
      <c r="R3622" s="114">
        <v>45419.0</v>
      </c>
      <c r="S3622" s="92">
        <v>45430.0</v>
      </c>
      <c r="T3622" s="77" t="s">
        <v>280</v>
      </c>
      <c r="V3622" s="21" t="s">
        <v>3419</v>
      </c>
    </row>
    <row r="3623">
      <c r="A3623" s="93">
        <v>203.0</v>
      </c>
      <c r="B3623" s="77" t="s">
        <v>29</v>
      </c>
      <c r="C3623" s="77" t="s">
        <v>3052</v>
      </c>
      <c r="D3623" s="77" t="s">
        <v>138</v>
      </c>
      <c r="E3623" s="41" t="str">
        <f>IFERROR(__xludf.DUMMYFUNCTION("IFNA(vlookup(D3623,IMPORTRANGE(""https://docs.google.com/spreadsheets/d/1swGwZOEqYlTEUCJLY-eeJM1911Kvaei5oySBIxdgtNo/edit?pli=1#gid=257618397"",""stock untanna!B:C""),2,false),V:V)"),"GARISAN LIPAT 008 (40) 30 CM FANCY")</f>
        <v>GARISAN LIPAT 008 (40) 30 CM FANCY</v>
      </c>
      <c r="F3623" s="49"/>
      <c r="G3623" s="71"/>
      <c r="H3623" s="41"/>
      <c r="I3623" s="42"/>
      <c r="J3623" s="85" t="s">
        <v>1319</v>
      </c>
      <c r="K3623" s="93">
        <v>1.0</v>
      </c>
      <c r="L3623" s="112" t="s">
        <v>88</v>
      </c>
      <c r="M3623" s="113">
        <v>74000.0</v>
      </c>
      <c r="N3623" s="74"/>
      <c r="O3623" s="87">
        <f t="shared" si="11"/>
        <v>74000</v>
      </c>
      <c r="P3623" s="102" t="str">
        <f t="shared" si="2"/>
        <v>Rp74,000-1 BOX-0.00%</v>
      </c>
      <c r="Q3623" s="92">
        <v>45422.0</v>
      </c>
      <c r="R3623" s="114">
        <v>45419.0</v>
      </c>
      <c r="S3623" s="92">
        <v>45430.0</v>
      </c>
      <c r="T3623" s="49"/>
      <c r="V3623" s="21" t="s">
        <v>139</v>
      </c>
    </row>
    <row r="3624">
      <c r="A3624" s="93">
        <v>204.0</v>
      </c>
      <c r="B3624" s="77" t="s">
        <v>29</v>
      </c>
      <c r="C3624" s="77" t="s">
        <v>3052</v>
      </c>
      <c r="D3624" s="77" t="s">
        <v>3038</v>
      </c>
      <c r="E3624" s="41" t="str">
        <f>IFERROR(__xludf.DUMMYFUNCTION("IFNA(vlookup(D3624,IMPORTRANGE(""https://docs.google.com/spreadsheets/d/1swGwZOEqYlTEUCJLY-eeJM1911Kvaei5oySBIxdgtNo/edit?pli=1#gid=257618397"",""stock untanna!B:C""),2,false),V:V)"),"ISI GEL ELSON ES-230 DINO")</f>
        <v>ISI GEL ELSON ES-230 DINO</v>
      </c>
      <c r="F3624" s="49"/>
      <c r="G3624" s="71"/>
      <c r="H3624" s="41"/>
      <c r="I3624" s="42"/>
      <c r="J3624" s="85" t="s">
        <v>1319</v>
      </c>
      <c r="K3624" s="93">
        <v>5.0</v>
      </c>
      <c r="L3624" s="112" t="s">
        <v>88</v>
      </c>
      <c r="M3624" s="113">
        <v>13500.0</v>
      </c>
      <c r="N3624" s="74"/>
      <c r="O3624" s="87">
        <f t="shared" si="11"/>
        <v>67500</v>
      </c>
      <c r="P3624" s="102" t="str">
        <f t="shared" si="2"/>
        <v>Rp13,500-5 BOX-0.00%</v>
      </c>
      <c r="Q3624" s="92">
        <v>45422.0</v>
      </c>
      <c r="R3624" s="114">
        <v>45419.0</v>
      </c>
      <c r="S3624" s="92">
        <v>45430.0</v>
      </c>
      <c r="T3624" s="49"/>
      <c r="V3624" s="21" t="s">
        <v>3039</v>
      </c>
    </row>
    <row r="3625">
      <c r="A3625" s="93">
        <v>204.0</v>
      </c>
      <c r="B3625" s="77" t="s">
        <v>29</v>
      </c>
      <c r="C3625" s="77" t="s">
        <v>3052</v>
      </c>
      <c r="D3625" s="77" t="s">
        <v>1307</v>
      </c>
      <c r="E3625" s="41" t="str">
        <f>IFERROR(__xludf.DUMMYFUNCTION("IFNA(vlookup(D3625,IMPORTRANGE(""https://docs.google.com/spreadsheets/d/1swGwZOEqYlTEUCJLY-eeJM1911Kvaei5oySBIxdgtNo/edit?pli=1#gid=257618397"",""stock untanna!B:C""),2,false),V:V)"),"BP E 8805 MULTI WARNA (24)")</f>
        <v>BP E 8805 MULTI WARNA (24)</v>
      </c>
      <c r="F3625" s="49"/>
      <c r="G3625" s="71"/>
      <c r="H3625" s="41"/>
      <c r="I3625" s="42"/>
      <c r="J3625" s="85" t="s">
        <v>1319</v>
      </c>
      <c r="K3625" s="93">
        <v>1.0</v>
      </c>
      <c r="L3625" s="112" t="s">
        <v>88</v>
      </c>
      <c r="M3625" s="113">
        <v>168000.0</v>
      </c>
      <c r="N3625" s="74"/>
      <c r="O3625" s="87">
        <f t="shared" si="11"/>
        <v>168000</v>
      </c>
      <c r="P3625" s="102" t="str">
        <f t="shared" si="2"/>
        <v>Rp168,000-1 BOX-0.00%</v>
      </c>
      <c r="Q3625" s="92">
        <v>45422.0</v>
      </c>
      <c r="R3625" s="114">
        <v>45419.0</v>
      </c>
      <c r="S3625" s="92">
        <v>45430.0</v>
      </c>
      <c r="T3625" s="49"/>
      <c r="V3625" s="21" t="s">
        <v>1308</v>
      </c>
    </row>
    <row r="3626">
      <c r="A3626" s="93">
        <v>204.0</v>
      </c>
      <c r="B3626" s="77" t="s">
        <v>29</v>
      </c>
      <c r="C3626" s="77" t="s">
        <v>3052</v>
      </c>
      <c r="D3626" s="77" t="s">
        <v>2115</v>
      </c>
      <c r="E3626" s="41" t="str">
        <f>IFERROR(__xludf.DUMMYFUNCTION("IFNA(vlookup(D3626,IMPORTRANGE(""https://docs.google.com/spreadsheets/d/1swGwZOEqYlTEUCJLY-eeJM1911Kvaei5oySBIxdgtNo/edit?pli=1#gid=257618397"",""stock untanna!B:C""),2,false),V:V)"),"GUNTING IDEAL K 100")</f>
        <v>GUNTING IDEAL K 100</v>
      </c>
      <c r="F3626" s="49"/>
      <c r="G3626" s="71"/>
      <c r="H3626" s="41"/>
      <c r="I3626" s="42"/>
      <c r="J3626" s="85" t="s">
        <v>1319</v>
      </c>
      <c r="K3626" s="93">
        <v>1.0</v>
      </c>
      <c r="L3626" s="112" t="s">
        <v>62</v>
      </c>
      <c r="M3626" s="113">
        <v>62000.0</v>
      </c>
      <c r="N3626" s="115">
        <v>0.05</v>
      </c>
      <c r="O3626" s="87">
        <f t="shared" si="11"/>
        <v>58900</v>
      </c>
      <c r="P3626" s="102" t="str">
        <f t="shared" si="2"/>
        <v>Rp62,000-1 LSN-5.00%</v>
      </c>
      <c r="Q3626" s="92">
        <v>45422.0</v>
      </c>
      <c r="R3626" s="114">
        <v>45419.0</v>
      </c>
      <c r="S3626" s="92">
        <v>45430.0</v>
      </c>
      <c r="T3626" s="49"/>
      <c r="V3626" s="21" t="s">
        <v>2116</v>
      </c>
    </row>
    <row r="3627">
      <c r="A3627" s="93">
        <v>204.0</v>
      </c>
      <c r="B3627" s="77" t="s">
        <v>29</v>
      </c>
      <c r="C3627" s="77" t="s">
        <v>3052</v>
      </c>
      <c r="D3627" s="77" t="s">
        <v>3420</v>
      </c>
      <c r="E3627" s="41" t="str">
        <f>IFERROR(__xludf.DUMMYFUNCTION("IFNA(vlookup(D3627,IMPORTRANGE(""https://docs.google.com/spreadsheets/d/1swGwZOEqYlTEUCJLY-eeJM1911Kvaei5oySBIxdgtNo/edit?pli=1#gid=257618397"",""stock untanna!B:C""),2,false),V:V)"),"GUNTING IDEAL K-200")</f>
        <v>GUNTING IDEAL K-200</v>
      </c>
      <c r="F3627" s="49"/>
      <c r="G3627" s="71"/>
      <c r="H3627" s="41"/>
      <c r="I3627" s="42"/>
      <c r="J3627" s="85" t="s">
        <v>1319</v>
      </c>
      <c r="K3627" s="93">
        <v>1.0</v>
      </c>
      <c r="L3627" s="112" t="s">
        <v>62</v>
      </c>
      <c r="M3627" s="113">
        <v>69000.0</v>
      </c>
      <c r="N3627" s="115">
        <v>0.05</v>
      </c>
      <c r="O3627" s="87">
        <f t="shared" si="11"/>
        <v>65550</v>
      </c>
      <c r="P3627" s="102" t="str">
        <f t="shared" si="2"/>
        <v>Rp69,000-1 LSN-5.00%</v>
      </c>
      <c r="Q3627" s="92">
        <v>45422.0</v>
      </c>
      <c r="R3627" s="114">
        <v>45419.0</v>
      </c>
      <c r="S3627" s="92">
        <v>45430.0</v>
      </c>
      <c r="T3627" s="49"/>
      <c r="V3627" s="21" t="s">
        <v>3421</v>
      </c>
    </row>
    <row r="3628">
      <c r="A3628" s="93">
        <v>204.0</v>
      </c>
      <c r="B3628" s="77" t="s">
        <v>29</v>
      </c>
      <c r="C3628" s="77" t="s">
        <v>3052</v>
      </c>
      <c r="D3628" s="77" t="s">
        <v>408</v>
      </c>
      <c r="E3628" s="41" t="str">
        <f>IFERROR(__xludf.DUMMYFUNCTION("IFNA(vlookup(D3628,IMPORTRANGE(""https://docs.google.com/spreadsheets/d/1swGwZOEqYlTEUCJLY-eeJM1911Kvaei5oySBIxdgtNo/edit?pli=1#gid=257618397"",""stock untanna!B:C""),2,false),V:V)"),"GUNTING IDEAL DR 5")</f>
        <v>GUNTING IDEAL DR 5</v>
      </c>
      <c r="F3628" s="49"/>
      <c r="G3628" s="71"/>
      <c r="H3628" s="41"/>
      <c r="I3628" s="42"/>
      <c r="J3628" s="85" t="s">
        <v>1319</v>
      </c>
      <c r="K3628" s="93">
        <v>1.0</v>
      </c>
      <c r="L3628" s="112" t="s">
        <v>62</v>
      </c>
      <c r="M3628" s="113">
        <v>57000.0</v>
      </c>
      <c r="N3628" s="115">
        <v>0.05</v>
      </c>
      <c r="O3628" s="87">
        <f t="shared" si="11"/>
        <v>54150</v>
      </c>
      <c r="P3628" s="102" t="str">
        <f t="shared" si="2"/>
        <v>Rp57,000-1 LSN-5.00%</v>
      </c>
      <c r="Q3628" s="92">
        <v>45422.0</v>
      </c>
      <c r="R3628" s="114">
        <v>45419.0</v>
      </c>
      <c r="S3628" s="92">
        <v>45430.0</v>
      </c>
      <c r="T3628" s="49"/>
      <c r="V3628" s="21" t="s">
        <v>409</v>
      </c>
    </row>
    <row r="3629">
      <c r="A3629" s="93">
        <v>204.0</v>
      </c>
      <c r="B3629" s="77" t="s">
        <v>29</v>
      </c>
      <c r="C3629" s="77" t="s">
        <v>3052</v>
      </c>
      <c r="D3629" s="77" t="s">
        <v>3422</v>
      </c>
      <c r="E3629" s="41" t="str">
        <f>IFERROR(__xludf.DUMMYFUNCTION("IFNA(vlookup(D3629,IMPORTRANGE(""https://docs.google.com/spreadsheets/d/1swGwZOEqYlTEUCJLY-eeJM1911Kvaei5oySBIxdgtNo/edit?pli=1#gid=257618397"",""stock untanna!B:C""),2,false),V:V)"),"GUNTING IDEAL DR 7")</f>
        <v>GUNTING IDEAL DR 7</v>
      </c>
      <c r="F3629" s="49"/>
      <c r="G3629" s="71"/>
      <c r="H3629" s="41"/>
      <c r="I3629" s="42"/>
      <c r="J3629" s="85" t="s">
        <v>1319</v>
      </c>
      <c r="K3629" s="93">
        <v>1.0</v>
      </c>
      <c r="L3629" s="112" t="s">
        <v>62</v>
      </c>
      <c r="M3629" s="113">
        <v>78000.0</v>
      </c>
      <c r="N3629" s="115">
        <v>0.05</v>
      </c>
      <c r="O3629" s="87">
        <f t="shared" si="11"/>
        <v>74100</v>
      </c>
      <c r="P3629" s="102" t="str">
        <f t="shared" si="2"/>
        <v>Rp78,000-1 LSN-5.00%</v>
      </c>
      <c r="Q3629" s="92">
        <v>45422.0</v>
      </c>
      <c r="R3629" s="114">
        <v>45419.0</v>
      </c>
      <c r="S3629" s="92">
        <v>45430.0</v>
      </c>
      <c r="T3629" s="49"/>
      <c r="V3629" s="21" t="s">
        <v>3423</v>
      </c>
    </row>
    <row r="3630">
      <c r="A3630" s="93">
        <v>204.0</v>
      </c>
      <c r="B3630" s="77" t="s">
        <v>29</v>
      </c>
      <c r="C3630" s="77" t="s">
        <v>3052</v>
      </c>
      <c r="D3630" s="77" t="s">
        <v>978</v>
      </c>
      <c r="E3630" s="41" t="str">
        <f>IFERROR(__xludf.DUMMYFUNCTION("IFNA(vlookup(D3630,IMPORTRANGE(""https://docs.google.com/spreadsheets/d/1swGwZOEqYlTEUCJLY-eeJM1911Kvaei5oySBIxdgtNo/edit?pli=1#gid=257618397"",""stock untanna!B:C""),2,false),V:V)"),"GUNTING JUNIOR J-300")</f>
        <v>GUNTING JUNIOR J-300</v>
      </c>
      <c r="F3630" s="49"/>
      <c r="G3630" s="71"/>
      <c r="H3630" s="41"/>
      <c r="I3630" s="42"/>
      <c r="J3630" s="85" t="s">
        <v>1319</v>
      </c>
      <c r="K3630" s="93">
        <v>1.0</v>
      </c>
      <c r="L3630" s="112" t="s">
        <v>62</v>
      </c>
      <c r="M3630" s="113">
        <v>52500.0</v>
      </c>
      <c r="N3630" s="74"/>
      <c r="O3630" s="87">
        <f t="shared" si="11"/>
        <v>52500</v>
      </c>
      <c r="P3630" s="102" t="str">
        <f t="shared" si="2"/>
        <v>Rp52,500-1 LSN-0.00%</v>
      </c>
      <c r="Q3630" s="92">
        <v>45422.0</v>
      </c>
      <c r="R3630" s="114">
        <v>45419.0</v>
      </c>
      <c r="S3630" s="92">
        <v>45430.0</v>
      </c>
      <c r="T3630" s="49"/>
      <c r="V3630" s="21" t="s">
        <v>979</v>
      </c>
    </row>
    <row r="3631">
      <c r="A3631" s="93">
        <v>204.0</v>
      </c>
      <c r="B3631" s="77" t="s">
        <v>29</v>
      </c>
      <c r="C3631" s="77" t="s">
        <v>3052</v>
      </c>
      <c r="D3631" s="91"/>
      <c r="E3631" s="41" t="str">
        <f>IFERROR(__xludf.DUMMYFUNCTION("IFNA(vlookup(D3631,IMPORTRANGE(""https://docs.google.com/spreadsheets/d/1swGwZOEqYlTEUCJLY-eeJM1911Kvaei5oySBIxdgtNo/edit?pli=1#gid=257618397"",""stock untanna!B:C""),2,false),V:V)"),"GUNTING TREND 555")</f>
        <v>GUNTING TREND 555</v>
      </c>
      <c r="F3631" s="49"/>
      <c r="G3631" s="71"/>
      <c r="H3631" s="41"/>
      <c r="I3631" s="42"/>
      <c r="J3631" s="85" t="s">
        <v>3190</v>
      </c>
      <c r="K3631" s="93">
        <v>1.0</v>
      </c>
      <c r="L3631" s="112" t="s">
        <v>62</v>
      </c>
      <c r="M3631" s="113">
        <v>30000.0</v>
      </c>
      <c r="N3631" s="74"/>
      <c r="O3631" s="87">
        <f t="shared" si="11"/>
        <v>30000</v>
      </c>
      <c r="P3631" s="102" t="str">
        <f t="shared" si="2"/>
        <v>Rp30,000-1 LSN-0.00%</v>
      </c>
      <c r="Q3631" s="92">
        <v>45422.0</v>
      </c>
      <c r="R3631" s="114">
        <v>45419.0</v>
      </c>
      <c r="S3631" s="92">
        <v>45430.0</v>
      </c>
      <c r="T3631" s="49"/>
      <c r="V3631" s="21" t="s">
        <v>3424</v>
      </c>
    </row>
    <row r="3632">
      <c r="A3632" s="93">
        <v>204.0</v>
      </c>
      <c r="B3632" s="77" t="s">
        <v>29</v>
      </c>
      <c r="C3632" s="77" t="s">
        <v>3052</v>
      </c>
      <c r="D3632" s="77" t="s">
        <v>3425</v>
      </c>
      <c r="E3632" s="41" t="str">
        <f>IFERROR(__xludf.DUMMYFUNCTION("IFNA(vlookup(D3632,IMPORTRANGE(""https://docs.google.com/spreadsheets/d/1swGwZOEqYlTEUCJLY-eeJM1911Kvaei5oySBIxdgtNo/edit?pli=1#gid=257618397"",""stock untanna!B:C""),2,false),V:V)"),"GUNTING INFICO SC 40")</f>
        <v>GUNTING INFICO SC 40</v>
      </c>
      <c r="F3632" s="49"/>
      <c r="G3632" s="71"/>
      <c r="H3632" s="41"/>
      <c r="I3632" s="42"/>
      <c r="J3632" s="85" t="s">
        <v>1319</v>
      </c>
      <c r="K3632" s="93">
        <v>1.0</v>
      </c>
      <c r="L3632" s="112" t="s">
        <v>62</v>
      </c>
      <c r="M3632" s="113">
        <v>55000.0</v>
      </c>
      <c r="N3632" s="74"/>
      <c r="O3632" s="87">
        <f t="shared" si="11"/>
        <v>55000</v>
      </c>
      <c r="P3632" s="102" t="str">
        <f t="shared" si="2"/>
        <v>Rp55,000-1 LSN-0.00%</v>
      </c>
      <c r="Q3632" s="92">
        <v>45422.0</v>
      </c>
      <c r="R3632" s="114">
        <v>45419.0</v>
      </c>
      <c r="S3632" s="92">
        <v>45430.0</v>
      </c>
      <c r="T3632" s="49"/>
      <c r="V3632" s="21" t="s">
        <v>3426</v>
      </c>
    </row>
    <row r="3633">
      <c r="A3633" s="93">
        <v>204.0</v>
      </c>
      <c r="B3633" s="77" t="s">
        <v>29</v>
      </c>
      <c r="C3633" s="77" t="s">
        <v>3052</v>
      </c>
      <c r="D3633" s="21" t="s">
        <v>3427</v>
      </c>
      <c r="E3633" s="41" t="str">
        <f>IFERROR(__xludf.DUMMYFUNCTION("IFNA(vlookup(D3633,IMPORTRANGE(""https://docs.google.com/spreadsheets/d/1swGwZOEqYlTEUCJLY-eeJM1911Kvaei5oySBIxdgtNo/edit?pli=1#gid=257618397"",""stock untanna!B:C""),2,false),V:V)"),"GUNTING INFICO SC 50")</f>
        <v>GUNTING INFICO SC 50</v>
      </c>
      <c r="F3633" s="49"/>
      <c r="G3633" s="71"/>
      <c r="H3633" s="41"/>
      <c r="I3633" s="42"/>
      <c r="J3633" s="85" t="s">
        <v>1319</v>
      </c>
      <c r="K3633" s="93">
        <v>1.0</v>
      </c>
      <c r="L3633" s="112" t="s">
        <v>62</v>
      </c>
      <c r="M3633" s="113">
        <v>60000.0</v>
      </c>
      <c r="N3633" s="74"/>
      <c r="O3633" s="87">
        <f t="shared" si="11"/>
        <v>60000</v>
      </c>
      <c r="P3633" s="102" t="str">
        <f t="shared" si="2"/>
        <v>Rp60,000-1 LSN-0.00%</v>
      </c>
      <c r="Q3633" s="92">
        <v>45422.0</v>
      </c>
      <c r="R3633" s="114">
        <v>45419.0</v>
      </c>
      <c r="S3633" s="92">
        <v>45430.0</v>
      </c>
      <c r="T3633" s="49"/>
      <c r="V3633" s="21" t="s">
        <v>3428</v>
      </c>
    </row>
    <row r="3634">
      <c r="A3634" s="93">
        <v>204.0</v>
      </c>
      <c r="B3634" s="77" t="s">
        <v>29</v>
      </c>
      <c r="C3634" s="77" t="s">
        <v>3052</v>
      </c>
      <c r="D3634" s="77" t="s">
        <v>3429</v>
      </c>
      <c r="E3634" s="41" t="str">
        <f>IFERROR(__xludf.DUMMYFUNCTION("IFNA(vlookup(D3634,IMPORTRANGE(""https://docs.google.com/spreadsheets/d/1swGwZOEqYlTEUCJLY-eeJM1911Kvaei5oySBIxdgtNo/edit?pli=1#gid=257618397"",""stock untanna!B:C""),2,false),V:V)"),"GUNTING INFICO SC 100")</f>
        <v>GUNTING INFICO SC 100</v>
      </c>
      <c r="F3634" s="49"/>
      <c r="G3634" s="71"/>
      <c r="H3634" s="41"/>
      <c r="I3634" s="42"/>
      <c r="J3634" s="85" t="s">
        <v>1319</v>
      </c>
      <c r="K3634" s="93">
        <v>1.0</v>
      </c>
      <c r="L3634" s="112" t="s">
        <v>62</v>
      </c>
      <c r="M3634" s="113">
        <v>125000.0</v>
      </c>
      <c r="N3634" s="74"/>
      <c r="O3634" s="87">
        <f t="shared" si="11"/>
        <v>125000</v>
      </c>
      <c r="P3634" s="102" t="str">
        <f t="shared" si="2"/>
        <v>Rp125,000-1 LSN-0.00%</v>
      </c>
      <c r="Q3634" s="92">
        <v>45422.0</v>
      </c>
      <c r="R3634" s="114">
        <v>45419.0</v>
      </c>
      <c r="S3634" s="92">
        <v>45430.0</v>
      </c>
      <c r="T3634" s="49"/>
      <c r="V3634" s="21" t="s">
        <v>3430</v>
      </c>
    </row>
    <row r="3635">
      <c r="A3635" s="93">
        <v>204.0</v>
      </c>
      <c r="B3635" s="77" t="s">
        <v>29</v>
      </c>
      <c r="C3635" s="77" t="s">
        <v>3052</v>
      </c>
      <c r="D3635" s="77" t="s">
        <v>400</v>
      </c>
      <c r="E3635" s="41" t="str">
        <f>IFERROR(__xludf.DUMMYFUNCTION("IFNA(vlookup(D3635,IMPORTRANGE(""https://docs.google.com/spreadsheets/d/1swGwZOEqYlTEUCJLY-eeJM1911Kvaei5oySBIxdgtNo/edit?pli=1#gid=257618397"",""stock untanna!B:C""),2,false),V:V)"),"GUNTING TREND LL")</f>
        <v>GUNTING TREND LL</v>
      </c>
      <c r="F3635" s="49"/>
      <c r="G3635" s="71"/>
      <c r="H3635" s="41"/>
      <c r="I3635" s="42"/>
      <c r="J3635" s="85" t="s">
        <v>1319</v>
      </c>
      <c r="K3635" s="93">
        <v>1.0</v>
      </c>
      <c r="L3635" s="112" t="s">
        <v>62</v>
      </c>
      <c r="M3635" s="113">
        <v>40000.0</v>
      </c>
      <c r="N3635" s="74"/>
      <c r="O3635" s="87">
        <f t="shared" si="11"/>
        <v>40000</v>
      </c>
      <c r="P3635" s="102" t="str">
        <f t="shared" si="2"/>
        <v>Rp40,000-1 LSN-0.00%</v>
      </c>
      <c r="Q3635" s="92">
        <v>45422.0</v>
      </c>
      <c r="R3635" s="114">
        <v>45419.0</v>
      </c>
      <c r="S3635" s="92">
        <v>45430.0</v>
      </c>
      <c r="T3635" s="49"/>
      <c r="V3635" s="21" t="s">
        <v>401</v>
      </c>
    </row>
    <row r="3636">
      <c r="A3636" s="93">
        <v>204.0</v>
      </c>
      <c r="B3636" s="77" t="s">
        <v>29</v>
      </c>
      <c r="C3636" s="77" t="s">
        <v>3052</v>
      </c>
      <c r="D3636" s="91"/>
      <c r="E3636" s="41" t="str">
        <f>IFERROR(__xludf.DUMMYFUNCTION("IFNA(vlookup(D3636,IMPORTRANGE(""https://docs.google.com/spreadsheets/d/1swGwZOEqYlTEUCJLY-eeJM1911Kvaei5oySBIxdgtNo/edit?pli=1#gid=257618397"",""stock untanna!B:C""),2,false),V:V)"),"GUNTING YOEKER 706")</f>
        <v>GUNTING YOEKER 706</v>
      </c>
      <c r="F3636" s="49"/>
      <c r="G3636" s="71"/>
      <c r="H3636" s="41"/>
      <c r="I3636" s="42"/>
      <c r="J3636" s="85" t="s">
        <v>3190</v>
      </c>
      <c r="K3636" s="93">
        <v>1.0</v>
      </c>
      <c r="L3636" s="112" t="s">
        <v>62</v>
      </c>
      <c r="M3636" s="113">
        <v>40000.0</v>
      </c>
      <c r="N3636" s="74"/>
      <c r="O3636" s="87">
        <f t="shared" si="11"/>
        <v>40000</v>
      </c>
      <c r="P3636" s="102" t="str">
        <f t="shared" si="2"/>
        <v>Rp40,000-1 LSN-0.00%</v>
      </c>
      <c r="Q3636" s="92">
        <v>45422.0</v>
      </c>
      <c r="R3636" s="114">
        <v>45419.0</v>
      </c>
      <c r="S3636" s="92">
        <v>45430.0</v>
      </c>
      <c r="T3636" s="49"/>
      <c r="V3636" s="21" t="s">
        <v>3431</v>
      </c>
    </row>
    <row r="3637">
      <c r="A3637" s="93">
        <v>204.0</v>
      </c>
      <c r="B3637" s="77" t="s">
        <v>29</v>
      </c>
      <c r="C3637" s="77" t="s">
        <v>3052</v>
      </c>
      <c r="D3637" s="77" t="s">
        <v>1968</v>
      </c>
      <c r="E3637" s="41" t="str">
        <f>IFERROR(__xludf.DUMMYFUNCTION("IFNA(vlookup(D3637,IMPORTRANGE(""https://docs.google.com/spreadsheets/d/1swGwZOEqYlTEUCJLY-eeJM1911Kvaei5oySBIxdgtNo/edit?pli=1#gid=257618397"",""stock untanna!B:C""),2,false),V:V)"),"GUNTING KAIBO")</f>
        <v>GUNTING KAIBO</v>
      </c>
      <c r="F3637" s="49"/>
      <c r="G3637" s="71"/>
      <c r="H3637" s="41"/>
      <c r="I3637" s="42"/>
      <c r="J3637" s="85" t="s">
        <v>1319</v>
      </c>
      <c r="K3637" s="93">
        <v>12.0</v>
      </c>
      <c r="L3637" s="112" t="s">
        <v>69</v>
      </c>
      <c r="M3637" s="113">
        <v>5000.0</v>
      </c>
      <c r="N3637" s="74"/>
      <c r="O3637" s="87">
        <f t="shared" si="11"/>
        <v>60000</v>
      </c>
      <c r="P3637" s="102" t="str">
        <f t="shared" si="2"/>
        <v>Rp5,000-12 PCS-0.00%</v>
      </c>
      <c r="Q3637" s="92">
        <v>45422.0</v>
      </c>
      <c r="R3637" s="114">
        <v>45419.0</v>
      </c>
      <c r="S3637" s="92">
        <v>45430.0</v>
      </c>
      <c r="T3637" s="49"/>
      <c r="V3637" s="21" t="s">
        <v>1969</v>
      </c>
    </row>
    <row r="3638">
      <c r="A3638" s="93">
        <v>204.0</v>
      </c>
      <c r="B3638" s="77" t="s">
        <v>29</v>
      </c>
      <c r="C3638" s="77" t="s">
        <v>3052</v>
      </c>
      <c r="D3638" s="77" t="s">
        <v>976</v>
      </c>
      <c r="E3638" s="41" t="str">
        <f>IFERROR(__xludf.DUMMYFUNCTION("IFNA(vlookup(D3638,IMPORTRANGE(""https://docs.google.com/spreadsheets/d/1swGwZOEqYlTEUCJLY-eeJM1911Kvaei5oySBIxdgtNo/edit?pli=1#gid=257618397"",""stock untanna!B:C""),2,false),V:V)"),"GUNTING JUNIOR J 100")</f>
        <v>GUNTING JUNIOR J 100</v>
      </c>
      <c r="F3638" s="49"/>
      <c r="G3638" s="71"/>
      <c r="H3638" s="41"/>
      <c r="I3638" s="42"/>
      <c r="J3638" s="85" t="s">
        <v>1319</v>
      </c>
      <c r="K3638" s="93">
        <v>1.0</v>
      </c>
      <c r="L3638" s="112" t="s">
        <v>62</v>
      </c>
      <c r="M3638" s="113">
        <v>40000.0</v>
      </c>
      <c r="N3638" s="74"/>
      <c r="O3638" s="87">
        <f t="shared" si="11"/>
        <v>40000</v>
      </c>
      <c r="P3638" s="102" t="str">
        <f t="shared" si="2"/>
        <v>Rp40,000-1 LSN-0.00%</v>
      </c>
      <c r="Q3638" s="92">
        <v>45422.0</v>
      </c>
      <c r="R3638" s="114">
        <v>45419.0</v>
      </c>
      <c r="S3638" s="92">
        <v>45430.0</v>
      </c>
      <c r="T3638" s="49"/>
      <c r="V3638" s="21" t="s">
        <v>977</v>
      </c>
    </row>
    <row r="3639">
      <c r="A3639" s="93">
        <v>204.0</v>
      </c>
      <c r="B3639" s="77" t="s">
        <v>29</v>
      </c>
      <c r="C3639" s="77" t="s">
        <v>3052</v>
      </c>
      <c r="D3639" s="77" t="s">
        <v>2852</v>
      </c>
      <c r="E3639" s="41" t="str">
        <f>IFERROR(__xludf.DUMMYFUNCTION("IFNA(vlookup(D3639,IMPORTRANGE(""https://docs.google.com/spreadsheets/d/1swGwZOEqYlTEUCJLY-eeJM1911Kvaei5oySBIxdgtNo/edit?pli=1#gid=257618397"",""stock untanna!B:C""),2,false),V:V)"),"PALET KEPITING DOP PKD 202")</f>
        <v>PALET KEPITING DOP PKD 202</v>
      </c>
      <c r="F3639" s="49"/>
      <c r="G3639" s="71"/>
      <c r="H3639" s="41"/>
      <c r="I3639" s="42"/>
      <c r="J3639" s="85" t="s">
        <v>1319</v>
      </c>
      <c r="K3639" s="93">
        <v>1.0</v>
      </c>
      <c r="L3639" s="112" t="s">
        <v>62</v>
      </c>
      <c r="M3639" s="113">
        <v>10000.0</v>
      </c>
      <c r="N3639" s="74"/>
      <c r="O3639" s="87">
        <f t="shared" si="11"/>
        <v>10000</v>
      </c>
      <c r="P3639" s="102" t="str">
        <f t="shared" si="2"/>
        <v>Rp10,000-1 LSN-0.00%</v>
      </c>
      <c r="Q3639" s="92">
        <v>45422.0</v>
      </c>
      <c r="R3639" s="114">
        <v>45419.0</v>
      </c>
      <c r="S3639" s="92">
        <v>45430.0</v>
      </c>
      <c r="T3639" s="49"/>
      <c r="V3639" s="21" t="s">
        <v>2853</v>
      </c>
    </row>
    <row r="3640">
      <c r="A3640" s="93">
        <v>205.0</v>
      </c>
      <c r="B3640" s="77" t="s">
        <v>29</v>
      </c>
      <c r="C3640" s="77" t="s">
        <v>3052</v>
      </c>
      <c r="D3640" s="77" t="s">
        <v>3432</v>
      </c>
      <c r="E3640" s="41" t="str">
        <f>IFERROR(__xludf.DUMMYFUNCTION("IFNA(vlookup(D3640,IMPORTRANGE(""https://docs.google.com/spreadsheets/d/1swGwZOEqYlTEUCJLY-eeJM1911Kvaei5oySBIxdgtNo/edit?pli=1#gid=257618397"",""stock untanna!B:C""),2,false),V:V)"),"SAMPUL BOXY OPP ALEXANDER")</f>
        <v>SAMPUL BOXY OPP ALEXANDER</v>
      </c>
      <c r="F3640" s="49"/>
      <c r="G3640" s="71"/>
      <c r="H3640" s="41"/>
      <c r="I3640" s="42"/>
      <c r="J3640" s="85" t="s">
        <v>1319</v>
      </c>
      <c r="K3640" s="93">
        <v>300.0</v>
      </c>
      <c r="L3640" s="112" t="s">
        <v>114</v>
      </c>
      <c r="M3640" s="113">
        <v>12000.0</v>
      </c>
      <c r="N3640" s="74"/>
      <c r="O3640" s="87">
        <f t="shared" si="11"/>
        <v>3600000</v>
      </c>
      <c r="P3640" s="102" t="str">
        <f t="shared" si="2"/>
        <v>Rp12,000-300 PAK-0.00%</v>
      </c>
      <c r="Q3640" s="92">
        <v>45422.0</v>
      </c>
      <c r="R3640" s="114">
        <v>45419.0</v>
      </c>
      <c r="S3640" s="92">
        <v>45430.0</v>
      </c>
      <c r="T3640" s="49"/>
      <c r="V3640" s="21" t="s">
        <v>3433</v>
      </c>
    </row>
    <row r="3641">
      <c r="A3641" s="93">
        <v>205.0</v>
      </c>
      <c r="B3641" s="77" t="s">
        <v>29</v>
      </c>
      <c r="C3641" s="77" t="s">
        <v>3052</v>
      </c>
      <c r="D3641" s="91"/>
      <c r="E3641" s="41" t="str">
        <f>IFERROR(__xludf.DUMMYFUNCTION("IFNA(vlookup(D3641,IMPORTRANGE(""https://docs.google.com/spreadsheets/d/1swGwZOEqYlTEUCJLY-eeJM1911Kvaei5oySBIxdgtNo/edit?pli=1#gid=257618397"",""stock untanna!B:C""),2,false),V:V)"),"BALLPEN JK 224")</f>
        <v>BALLPEN JK 224</v>
      </c>
      <c r="F3641" s="49"/>
      <c r="G3641" s="71"/>
      <c r="H3641" s="41"/>
      <c r="I3641" s="42"/>
      <c r="J3641" s="85" t="s">
        <v>3190</v>
      </c>
      <c r="K3641" s="93">
        <v>3.0</v>
      </c>
      <c r="L3641" s="112" t="s">
        <v>62</v>
      </c>
      <c r="M3641" s="113">
        <v>22200.0</v>
      </c>
      <c r="N3641" s="115">
        <v>0.1</v>
      </c>
      <c r="O3641" s="87">
        <f t="shared" si="11"/>
        <v>59940</v>
      </c>
      <c r="P3641" s="102" t="str">
        <f t="shared" si="2"/>
        <v>Rp22,200-3 LSN-10.00%</v>
      </c>
      <c r="Q3641" s="92">
        <v>45422.0</v>
      </c>
      <c r="R3641" s="114">
        <v>45419.0</v>
      </c>
      <c r="S3641" s="92">
        <v>45430.0</v>
      </c>
      <c r="T3641" s="77" t="s">
        <v>3434</v>
      </c>
      <c r="V3641" s="21" t="s">
        <v>3435</v>
      </c>
    </row>
    <row r="3642">
      <c r="A3642" s="93">
        <v>179.0</v>
      </c>
      <c r="B3642" s="77" t="s">
        <v>29</v>
      </c>
      <c r="C3642" s="77" t="s">
        <v>3436</v>
      </c>
      <c r="D3642" s="91"/>
      <c r="E3642" s="41" t="str">
        <f>IFERROR(__xludf.DUMMYFUNCTION("IFNA(vlookup(D3642,IMPORTRANGE(""https://docs.google.com/spreadsheets/d/1swGwZOEqYlTEUCJLY-eeJM1911Kvaei5oySBIxdgtNo/edit?pli=1#gid=257618397"",""stock untanna!B:C""),2,false),V:V)"),"LILIN TY 1020")</f>
        <v>LILIN TY 1020</v>
      </c>
      <c r="F3642" s="49"/>
      <c r="G3642" s="71"/>
      <c r="H3642" s="41"/>
      <c r="I3642" s="42"/>
      <c r="J3642" s="85" t="s">
        <v>3190</v>
      </c>
      <c r="K3642" s="93">
        <v>2.0</v>
      </c>
      <c r="L3642" s="112" t="s">
        <v>62</v>
      </c>
      <c r="M3642" s="113">
        <v>57500.0</v>
      </c>
      <c r="N3642" s="74"/>
      <c r="O3642" s="87">
        <f t="shared" si="11"/>
        <v>115000</v>
      </c>
      <c r="P3642" s="102" t="str">
        <f t="shared" si="2"/>
        <v>Rp57,500-2 LSN-0.00%</v>
      </c>
      <c r="Q3642" s="92">
        <v>45422.0</v>
      </c>
      <c r="R3642" s="76"/>
      <c r="S3642" s="92">
        <v>45430.0</v>
      </c>
      <c r="T3642" s="49"/>
      <c r="V3642" s="21" t="s">
        <v>3437</v>
      </c>
    </row>
    <row r="3643">
      <c r="A3643" s="93">
        <v>179.0</v>
      </c>
      <c r="B3643" s="77" t="s">
        <v>29</v>
      </c>
      <c r="C3643" s="77" t="s">
        <v>3436</v>
      </c>
      <c r="D3643" s="77" t="s">
        <v>1798</v>
      </c>
      <c r="E3643" s="41" t="str">
        <f>IFERROR(__xludf.DUMMYFUNCTION("IFNA(vlookup(D3643,IMPORTRANGE(""https://docs.google.com/spreadsheets/d/1swGwZOEqYlTEUCJLY-eeJM1911Kvaei5oySBIxdgtNo/edit?pli=1#gid=257618397"",""stock untanna!B:C""),2,false),V:V)"),"NOTEBOOK 7050-19")</f>
        <v>NOTEBOOK 7050-19</v>
      </c>
      <c r="F3643" s="49"/>
      <c r="G3643" s="71"/>
      <c r="H3643" s="41"/>
      <c r="I3643" s="42"/>
      <c r="J3643" s="85" t="s">
        <v>1319</v>
      </c>
      <c r="K3643" s="93">
        <v>12.0</v>
      </c>
      <c r="L3643" s="112" t="s">
        <v>69</v>
      </c>
      <c r="M3643" s="113">
        <v>7500.0</v>
      </c>
      <c r="N3643" s="74"/>
      <c r="O3643" s="87">
        <f t="shared" si="11"/>
        <v>90000</v>
      </c>
      <c r="P3643" s="102" t="str">
        <f t="shared" si="2"/>
        <v>Rp7,500-12 PCS-0.00%</v>
      </c>
      <c r="Q3643" s="92">
        <v>45422.0</v>
      </c>
      <c r="R3643" s="76"/>
      <c r="S3643" s="92">
        <v>45430.0</v>
      </c>
      <c r="T3643" s="49"/>
      <c r="V3643" s="21" t="s">
        <v>1799</v>
      </c>
    </row>
    <row r="3644">
      <c r="A3644" s="93">
        <v>179.0</v>
      </c>
      <c r="B3644" s="77" t="s">
        <v>29</v>
      </c>
      <c r="C3644" s="77" t="s">
        <v>3436</v>
      </c>
      <c r="D3644" s="77" t="s">
        <v>2392</v>
      </c>
      <c r="E3644" s="41" t="str">
        <f>IFERROR(__xludf.DUMMYFUNCTION("IFNA(vlookup(D3644,IMPORTRANGE(""https://docs.google.com/spreadsheets/d/1swGwZOEqYlTEUCJLY-eeJM1911Kvaei5oySBIxdgtNo/edit?pli=1#gid=257618397"",""stock untanna!B:C""),2,false),V:V)"),"NOTEBOOK 70100-2")</f>
        <v>NOTEBOOK 70100-2</v>
      </c>
      <c r="F3644" s="49"/>
      <c r="G3644" s="71"/>
      <c r="H3644" s="41"/>
      <c r="I3644" s="42"/>
      <c r="J3644" s="85" t="s">
        <v>1319</v>
      </c>
      <c r="K3644" s="93">
        <v>1.0</v>
      </c>
      <c r="L3644" s="112" t="s">
        <v>62</v>
      </c>
      <c r="M3644" s="113">
        <v>58000.0</v>
      </c>
      <c r="N3644" s="74"/>
      <c r="O3644" s="87">
        <f t="shared" si="11"/>
        <v>58000</v>
      </c>
      <c r="P3644" s="102" t="str">
        <f t="shared" si="2"/>
        <v>Rp58,000-1 LSN-0.00%</v>
      </c>
      <c r="Q3644" s="92">
        <v>45422.0</v>
      </c>
      <c r="R3644" s="76"/>
      <c r="S3644" s="92">
        <v>45430.0</v>
      </c>
      <c r="T3644" s="49"/>
      <c r="V3644" s="21" t="s">
        <v>2393</v>
      </c>
    </row>
    <row r="3645">
      <c r="A3645" s="93">
        <v>179.0</v>
      </c>
      <c r="B3645" s="77" t="s">
        <v>29</v>
      </c>
      <c r="C3645" s="77" t="s">
        <v>3436</v>
      </c>
      <c r="D3645" s="91"/>
      <c r="E3645" s="41" t="str">
        <f>IFERROR(__xludf.DUMMYFUNCTION("IFNA(vlookup(D3645,IMPORTRANGE(""https://docs.google.com/spreadsheets/d/1swGwZOEqYlTEUCJLY-eeJM1911Kvaei5oySBIxdgtNo/edit?pli=1#gid=257618397"",""stock untanna!B:C""),2,false),V:V)"),"NOTEBOOK 70100-11")</f>
        <v>NOTEBOOK 70100-11</v>
      </c>
      <c r="F3645" s="49"/>
      <c r="G3645" s="71"/>
      <c r="H3645" s="41"/>
      <c r="I3645" s="42"/>
      <c r="J3645" s="85" t="s">
        <v>1319</v>
      </c>
      <c r="K3645" s="93">
        <v>1.0</v>
      </c>
      <c r="L3645" s="112" t="s">
        <v>62</v>
      </c>
      <c r="M3645" s="113">
        <v>58000.0</v>
      </c>
      <c r="N3645" s="74"/>
      <c r="O3645" s="87">
        <f t="shared" si="11"/>
        <v>58000</v>
      </c>
      <c r="P3645" s="102" t="str">
        <f t="shared" si="2"/>
        <v>Rp58,000-1 LSN-0.00%</v>
      </c>
      <c r="Q3645" s="92">
        <v>45422.0</v>
      </c>
      <c r="R3645" s="76"/>
      <c r="S3645" s="92">
        <v>45430.0</v>
      </c>
      <c r="T3645" s="77" t="s">
        <v>280</v>
      </c>
      <c r="V3645" s="21" t="s">
        <v>2394</v>
      </c>
    </row>
    <row r="3646">
      <c r="A3646" s="93">
        <v>179.0</v>
      </c>
      <c r="B3646" s="77" t="s">
        <v>29</v>
      </c>
      <c r="C3646" s="77" t="s">
        <v>3436</v>
      </c>
      <c r="D3646" s="91"/>
      <c r="E3646" s="41" t="str">
        <f>IFERROR(__xludf.DUMMYFUNCTION("IFNA(vlookup(D3646,IMPORTRANGE(""https://docs.google.com/spreadsheets/d/1swGwZOEqYlTEUCJLY-eeJM1911Kvaei5oySBIxdgtNo/edit?pli=1#gid=257618397"",""stock untanna!B:C""),2,false),V:V)"),"CLIP BOARD W/B HOLO 2 MK")</f>
        <v>CLIP BOARD W/B HOLO 2 MK</v>
      </c>
      <c r="F3646" s="49"/>
      <c r="G3646" s="71"/>
      <c r="H3646" s="41"/>
      <c r="I3646" s="42"/>
      <c r="J3646" s="85" t="s">
        <v>1319</v>
      </c>
      <c r="K3646" s="93">
        <v>1.0</v>
      </c>
      <c r="L3646" s="112" t="s">
        <v>62</v>
      </c>
      <c r="M3646" s="113">
        <v>100000.0</v>
      </c>
      <c r="N3646" s="74"/>
      <c r="O3646" s="87">
        <f t="shared" si="11"/>
        <v>100000</v>
      </c>
      <c r="P3646" s="102" t="str">
        <f t="shared" si="2"/>
        <v>Rp100,000-1 LSN-0.00%</v>
      </c>
      <c r="Q3646" s="92">
        <v>45422.0</v>
      </c>
      <c r="R3646" s="76"/>
      <c r="S3646" s="92">
        <v>45430.0</v>
      </c>
      <c r="T3646" s="77" t="s">
        <v>280</v>
      </c>
      <c r="V3646" s="21" t="s">
        <v>1907</v>
      </c>
    </row>
    <row r="3647">
      <c r="A3647" s="93">
        <v>179.0</v>
      </c>
      <c r="B3647" s="77" t="s">
        <v>29</v>
      </c>
      <c r="C3647" s="77" t="s">
        <v>3436</v>
      </c>
      <c r="D3647" s="77" t="s">
        <v>93</v>
      </c>
      <c r="E3647" s="41" t="str">
        <f>IFERROR(__xludf.DUMMYFUNCTION("IFNA(vlookup(D3647,IMPORTRANGE(""https://docs.google.com/spreadsheets/d/1swGwZOEqYlTEUCJLY-eeJM1911Kvaei5oySBIxdgtNo/edit?pli=1#gid=257618397"",""stock untanna!B:C""),2,false),V:V)"),"CLIPBOARD SQ KAYU KOTAK")</f>
        <v>CLIPBOARD SQ KAYU KOTAK</v>
      </c>
      <c r="F3647" s="49"/>
      <c r="G3647" s="71"/>
      <c r="H3647" s="41"/>
      <c r="I3647" s="42"/>
      <c r="J3647" s="85" t="s">
        <v>1319</v>
      </c>
      <c r="K3647" s="93">
        <v>2.0</v>
      </c>
      <c r="L3647" s="112" t="s">
        <v>62</v>
      </c>
      <c r="M3647" s="113">
        <v>47500.0</v>
      </c>
      <c r="N3647" s="74"/>
      <c r="O3647" s="87">
        <f t="shared" si="11"/>
        <v>95000</v>
      </c>
      <c r="P3647" s="102" t="str">
        <f t="shared" si="2"/>
        <v>Rp47,500-2 LSN-0.00%</v>
      </c>
      <c r="Q3647" s="92">
        <v>45422.0</v>
      </c>
      <c r="R3647" s="76"/>
      <c r="S3647" s="92">
        <v>45430.0</v>
      </c>
      <c r="T3647" s="49"/>
      <c r="V3647" s="21" t="s">
        <v>94</v>
      </c>
    </row>
    <row r="3648">
      <c r="A3648" s="93">
        <v>179.0</v>
      </c>
      <c r="B3648" s="77" t="s">
        <v>29</v>
      </c>
      <c r="C3648" s="77" t="s">
        <v>3436</v>
      </c>
      <c r="D3648" s="77" t="s">
        <v>2907</v>
      </c>
      <c r="E3648" s="41" t="str">
        <f>IFERROR(__xludf.DUMMYFUNCTION("IFNA(vlookup(D3648,IMPORTRANGE(""https://docs.google.com/spreadsheets/d/1swGwZOEqYlTEUCJLY-eeJM1911Kvaei5oySBIxdgtNo/edit?pli=1#gid=257618397"",""stock untanna!B:C""),2,false),V:V)"),"STICK NOTE TF 654-8C")</f>
        <v>STICK NOTE TF 654-8C</v>
      </c>
      <c r="F3648" s="49"/>
      <c r="G3648" s="71"/>
      <c r="H3648" s="41"/>
      <c r="I3648" s="42"/>
      <c r="J3648" s="85" t="s">
        <v>1319</v>
      </c>
      <c r="K3648" s="93">
        <v>12.0</v>
      </c>
      <c r="L3648" s="112" t="s">
        <v>69</v>
      </c>
      <c r="M3648" s="113">
        <v>11500.0</v>
      </c>
      <c r="N3648" s="74"/>
      <c r="O3648" s="87">
        <f t="shared" si="11"/>
        <v>138000</v>
      </c>
      <c r="P3648" s="102" t="str">
        <f t="shared" si="2"/>
        <v>Rp11,500-12 PCS-0.00%</v>
      </c>
      <c r="Q3648" s="92">
        <v>45422.0</v>
      </c>
      <c r="R3648" s="76"/>
      <c r="S3648" s="92">
        <v>45430.0</v>
      </c>
      <c r="T3648" s="49"/>
      <c r="V3648" s="21" t="s">
        <v>2908</v>
      </c>
    </row>
    <row r="3649">
      <c r="A3649" s="93">
        <v>179.0</v>
      </c>
      <c r="B3649" s="77" t="s">
        <v>29</v>
      </c>
      <c r="C3649" s="77" t="s">
        <v>3436</v>
      </c>
      <c r="D3649" s="91"/>
      <c r="E3649" s="41" t="str">
        <f>IFERROR(__xludf.DUMMYFUNCTION("IFNA(vlookup(D3649,IMPORTRANGE(""https://docs.google.com/spreadsheets/d/1swGwZOEqYlTEUCJLY-eeJM1911Kvaei5oySBIxdgtNo/edit?pli=1#gid=257618397"",""stock untanna!B:C""),2,false),V:V)"),"MAP KCG 2 SIKA")</f>
        <v>MAP KCG 2 SIKA</v>
      </c>
      <c r="F3649" s="49"/>
      <c r="G3649" s="71"/>
      <c r="H3649" s="41"/>
      <c r="I3649" s="42"/>
      <c r="J3649" s="85" t="s">
        <v>3190</v>
      </c>
      <c r="K3649" s="93">
        <v>2.0</v>
      </c>
      <c r="L3649" s="112" t="s">
        <v>62</v>
      </c>
      <c r="M3649" s="113">
        <v>25000.0</v>
      </c>
      <c r="N3649" s="74"/>
      <c r="O3649" s="87">
        <f t="shared" si="11"/>
        <v>50000</v>
      </c>
      <c r="P3649" s="102" t="str">
        <f t="shared" si="2"/>
        <v>Rp25,000-2 LSN-0.00%</v>
      </c>
      <c r="Q3649" s="92">
        <v>45422.0</v>
      </c>
      <c r="R3649" s="76"/>
      <c r="S3649" s="92">
        <v>45430.0</v>
      </c>
      <c r="T3649" s="49"/>
      <c r="V3649" s="21" t="s">
        <v>3438</v>
      </c>
    </row>
    <row r="3650">
      <c r="A3650" s="93">
        <v>179.0</v>
      </c>
      <c r="B3650" s="77" t="s">
        <v>29</v>
      </c>
      <c r="C3650" s="77" t="s">
        <v>3436</v>
      </c>
      <c r="D3650" s="91"/>
      <c r="E3650" s="41" t="str">
        <f>IFERROR(__xludf.DUMMYFUNCTION("IFNA(vlookup(D3650,IMPORTRANGE(""https://docs.google.com/spreadsheets/d/1swGwZOEqYlTEUCJLY-eeJM1911Kvaei5oySBIxdgtNo/edit?pli=1#gid=257618397"",""stock untanna!B:C""),2,false),V:V)"),"MAP TOPLA 3090")</f>
        <v>MAP TOPLA 3090</v>
      </c>
      <c r="F3650" s="49"/>
      <c r="G3650" s="71"/>
      <c r="H3650" s="41"/>
      <c r="I3650" s="42"/>
      <c r="J3650" s="85" t="s">
        <v>3190</v>
      </c>
      <c r="K3650" s="93">
        <v>1.0</v>
      </c>
      <c r="L3650" s="112" t="s">
        <v>62</v>
      </c>
      <c r="M3650" s="113">
        <v>225000.0</v>
      </c>
      <c r="N3650" s="74"/>
      <c r="O3650" s="87">
        <f t="shared" si="11"/>
        <v>225000</v>
      </c>
      <c r="P3650" s="102" t="str">
        <f t="shared" si="2"/>
        <v>Rp225,000-1 LSN-0.00%</v>
      </c>
      <c r="Q3650" s="92">
        <v>45422.0</v>
      </c>
      <c r="R3650" s="76"/>
      <c r="S3650" s="92">
        <v>45430.0</v>
      </c>
      <c r="T3650" s="49"/>
      <c r="V3650" s="21" t="s">
        <v>284</v>
      </c>
    </row>
    <row r="3651">
      <c r="A3651" s="93">
        <v>179.0</v>
      </c>
      <c r="B3651" s="77" t="s">
        <v>29</v>
      </c>
      <c r="C3651" s="77" t="s">
        <v>3436</v>
      </c>
      <c r="D3651" s="77" t="s">
        <v>1280</v>
      </c>
      <c r="E3651" s="41" t="str">
        <f>IFERROR(__xludf.DUMMYFUNCTION("IFNA(vlookup(D3651,IMPORTRANGE(""https://docs.google.com/spreadsheets/d/1swGwZOEqYlTEUCJLY-eeJM1911Kvaei5oySBIxdgtNo/edit?pli=1#gid=257618397"",""stock untanna!B:C""),2,false),V:V)"),"MAP FILE EN 1105 F")</f>
        <v>MAP FILE EN 1105 F</v>
      </c>
      <c r="F3651" s="49"/>
      <c r="G3651" s="71"/>
      <c r="H3651" s="41"/>
      <c r="I3651" s="42"/>
      <c r="J3651" s="85" t="s">
        <v>1319</v>
      </c>
      <c r="K3651" s="93">
        <v>1.0</v>
      </c>
      <c r="L3651" s="112" t="s">
        <v>62</v>
      </c>
      <c r="M3651" s="113">
        <v>50000.0</v>
      </c>
      <c r="N3651" s="74"/>
      <c r="O3651" s="87">
        <f t="shared" si="11"/>
        <v>50000</v>
      </c>
      <c r="P3651" s="102" t="str">
        <f t="shared" si="2"/>
        <v>Rp50,000-1 LSN-0.00%</v>
      </c>
      <c r="Q3651" s="92">
        <v>45422.0</v>
      </c>
      <c r="R3651" s="76"/>
      <c r="S3651" s="92">
        <v>45430.0</v>
      </c>
      <c r="T3651" s="49"/>
      <c r="V3651" s="21" t="s">
        <v>1281</v>
      </c>
    </row>
    <row r="3652">
      <c r="A3652" s="93">
        <v>179.0</v>
      </c>
      <c r="B3652" s="77" t="s">
        <v>29</v>
      </c>
      <c r="C3652" s="77" t="s">
        <v>3436</v>
      </c>
      <c r="D3652" s="91"/>
      <c r="E3652" s="41" t="str">
        <f>IFERROR(__xludf.DUMMYFUNCTION("IFNA(vlookup(D3652,IMPORTRANGE(""https://docs.google.com/spreadsheets/d/1swGwZOEqYlTEUCJLY-eeJM1911Kvaei5oySBIxdgtNo/edit?pli=1#gid=257618397"",""stock untanna!B:C""),2,false),V:V)"),"MAP REST TN 15")</f>
        <v>MAP REST TN 15</v>
      </c>
      <c r="F3652" s="49"/>
      <c r="G3652" s="71"/>
      <c r="H3652" s="41"/>
      <c r="I3652" s="42"/>
      <c r="J3652" s="85" t="s">
        <v>3190</v>
      </c>
      <c r="K3652" s="93">
        <v>1.0</v>
      </c>
      <c r="L3652" s="112" t="s">
        <v>62</v>
      </c>
      <c r="M3652" s="113">
        <v>75000.0</v>
      </c>
      <c r="N3652" s="74"/>
      <c r="O3652" s="87">
        <f t="shared" si="11"/>
        <v>75000</v>
      </c>
      <c r="P3652" s="102" t="str">
        <f t="shared" si="2"/>
        <v>Rp75,000-1 LSN-0.00%</v>
      </c>
      <c r="Q3652" s="92">
        <v>45422.0</v>
      </c>
      <c r="R3652" s="76"/>
      <c r="S3652" s="92">
        <v>45430.0</v>
      </c>
      <c r="T3652" s="49"/>
      <c r="V3652" s="21" t="s">
        <v>3439</v>
      </c>
    </row>
    <row r="3653">
      <c r="A3653" s="93">
        <v>179.0</v>
      </c>
      <c r="B3653" s="77" t="s">
        <v>29</v>
      </c>
      <c r="C3653" s="77" t="s">
        <v>3436</v>
      </c>
      <c r="D3653" s="77" t="s">
        <v>3440</v>
      </c>
      <c r="E3653" s="41" t="str">
        <f>IFERROR(__xludf.DUMMYFUNCTION("IFNA(vlookup(D3653,IMPORTRANGE(""https://docs.google.com/spreadsheets/d/1swGwZOEqYlTEUCJLY-eeJM1911Kvaei5oySBIxdgtNo/edit?pli=1#gid=257618397"",""stock untanna!B:C""),2,false),V:V)"),"AMPLOP MICROTOP DATA F 54 A5")</f>
        <v>AMPLOP MICROTOP DATA F 54 A5</v>
      </c>
      <c r="F3653" s="49"/>
      <c r="G3653" s="71"/>
      <c r="H3653" s="41"/>
      <c r="I3653" s="42"/>
      <c r="J3653" s="85" t="s">
        <v>1319</v>
      </c>
      <c r="K3653" s="93">
        <v>1.0</v>
      </c>
      <c r="L3653" s="112" t="s">
        <v>62</v>
      </c>
      <c r="M3653" s="113">
        <v>37500.0</v>
      </c>
      <c r="N3653" s="74"/>
      <c r="O3653" s="87">
        <f t="shared" si="11"/>
        <v>37500</v>
      </c>
      <c r="P3653" s="102" t="str">
        <f t="shared" si="2"/>
        <v>Rp37,500-1 LSN-0.00%</v>
      </c>
      <c r="Q3653" s="92">
        <v>45422.0</v>
      </c>
      <c r="R3653" s="76"/>
      <c r="S3653" s="92">
        <v>45430.0</v>
      </c>
      <c r="T3653" s="77" t="s">
        <v>280</v>
      </c>
      <c r="V3653" s="21" t="s">
        <v>3441</v>
      </c>
    </row>
    <row r="3654">
      <c r="A3654" s="93">
        <v>179.0</v>
      </c>
      <c r="B3654" s="77" t="s">
        <v>29</v>
      </c>
      <c r="C3654" s="77" t="s">
        <v>3436</v>
      </c>
      <c r="D3654" s="77" t="s">
        <v>3442</v>
      </c>
      <c r="E3654" s="41" t="str">
        <f>IFERROR(__xludf.DUMMYFUNCTION("IFNA(vlookup(D3654,IMPORTRANGE(""https://docs.google.com/spreadsheets/d/1swGwZOEqYlTEUCJLY-eeJM1911Kvaei5oySBIxdgtNo/edit?pli=1#gid=257618397"",""stock untanna!B:C""),2,false),V:V)"),"MAP FILE RET 1801-2")</f>
        <v>MAP FILE RET 1801-2</v>
      </c>
      <c r="F3654" s="49"/>
      <c r="G3654" s="71"/>
      <c r="H3654" s="41"/>
      <c r="I3654" s="42"/>
      <c r="J3654" s="85" t="s">
        <v>1319</v>
      </c>
      <c r="K3654" s="93">
        <v>12.0</v>
      </c>
      <c r="L3654" s="112" t="s">
        <v>69</v>
      </c>
      <c r="M3654" s="113">
        <v>5000.0</v>
      </c>
      <c r="N3654" s="74"/>
      <c r="O3654" s="87">
        <f t="shared" si="11"/>
        <v>60000</v>
      </c>
      <c r="P3654" s="102" t="str">
        <f t="shared" si="2"/>
        <v>Rp5,000-12 PCS-0.00%</v>
      </c>
      <c r="Q3654" s="92">
        <v>45422.0</v>
      </c>
      <c r="R3654" s="76"/>
      <c r="S3654" s="92">
        <v>45430.0</v>
      </c>
      <c r="T3654" s="49"/>
      <c r="V3654" s="21" t="s">
        <v>3443</v>
      </c>
    </row>
    <row r="3655">
      <c r="A3655" s="93">
        <v>179.0</v>
      </c>
      <c r="B3655" s="77" t="s">
        <v>29</v>
      </c>
      <c r="C3655" s="77" t="s">
        <v>3436</v>
      </c>
      <c r="D3655" s="77" t="s">
        <v>158</v>
      </c>
      <c r="E3655" s="41" t="str">
        <f>IFERROR(__xludf.DUMMYFUNCTION("IFNA(vlookup(D3655,IMPORTRANGE(""https://docs.google.com/spreadsheets/d/1swGwZOEqYlTEUCJLY-eeJM1911Kvaei5oySBIxdgtNo/edit?pli=1#gid=257618397"",""stock untanna!B:C""),2,false),V:V)"),"TAS KARUNG 55X65")</f>
        <v>TAS KARUNG 55X65</v>
      </c>
      <c r="F3655" s="49"/>
      <c r="G3655" s="71"/>
      <c r="H3655" s="41"/>
      <c r="I3655" s="42"/>
      <c r="J3655" s="85" t="s">
        <v>1319</v>
      </c>
      <c r="K3655" s="93">
        <v>12.0</v>
      </c>
      <c r="L3655" s="112" t="s">
        <v>69</v>
      </c>
      <c r="M3655" s="113">
        <v>29166.7</v>
      </c>
      <c r="N3655" s="74"/>
      <c r="O3655" s="87">
        <f t="shared" si="11"/>
        <v>350000.4</v>
      </c>
      <c r="P3655" s="102" t="str">
        <f t="shared" si="2"/>
        <v>Rp29,167-12 PCS-0.00%</v>
      </c>
      <c r="Q3655" s="92">
        <v>45422.0</v>
      </c>
      <c r="R3655" s="76"/>
      <c r="S3655" s="92">
        <v>45430.0</v>
      </c>
      <c r="T3655" s="49"/>
      <c r="V3655" s="21" t="s">
        <v>160</v>
      </c>
    </row>
    <row r="3656">
      <c r="A3656" s="93">
        <v>179.0</v>
      </c>
      <c r="B3656" s="77" t="s">
        <v>29</v>
      </c>
      <c r="C3656" s="77" t="s">
        <v>3436</v>
      </c>
      <c r="D3656" s="91"/>
      <c r="E3656" s="41" t="str">
        <f>IFERROR(__xludf.DUMMYFUNCTION("IFNA(vlookup(D3656,IMPORTRANGE(""https://docs.google.com/spreadsheets/d/1swGwZOEqYlTEUCJLY-eeJM1911Kvaei5oySBIxdgtNo/edit?pli=1#gid=257618397"",""stock untanna!B:C""),2,false),V:V)"),"TAS BG14 001")</f>
        <v>TAS BG14 001</v>
      </c>
      <c r="F3656" s="49"/>
      <c r="G3656" s="71"/>
      <c r="H3656" s="41"/>
      <c r="I3656" s="42"/>
      <c r="J3656" s="85" t="s">
        <v>3190</v>
      </c>
      <c r="K3656" s="93">
        <v>1.0</v>
      </c>
      <c r="L3656" s="112" t="s">
        <v>62</v>
      </c>
      <c r="M3656" s="113">
        <v>130000.0</v>
      </c>
      <c r="N3656" s="74"/>
      <c r="O3656" s="87">
        <f t="shared" si="11"/>
        <v>130000</v>
      </c>
      <c r="P3656" s="102" t="str">
        <f t="shared" si="2"/>
        <v>Rp130,000-1 LSN-0.00%</v>
      </c>
      <c r="Q3656" s="92">
        <v>45422.0</v>
      </c>
      <c r="R3656" s="76"/>
      <c r="S3656" s="92">
        <v>45430.0</v>
      </c>
      <c r="T3656" s="49"/>
      <c r="V3656" s="21" t="s">
        <v>3444</v>
      </c>
    </row>
    <row r="3657">
      <c r="A3657" s="93">
        <v>180.0</v>
      </c>
      <c r="B3657" s="77" t="s">
        <v>29</v>
      </c>
      <c r="C3657" s="77" t="s">
        <v>3436</v>
      </c>
      <c r="D3657" s="77" t="s">
        <v>247</v>
      </c>
      <c r="E3657" s="41" t="str">
        <f>IFERROR(__xludf.DUMMYFUNCTION("IFNA(vlookup(D3657,IMPORTRANGE(""https://docs.google.com/spreadsheets/d/1swGwZOEqYlTEUCJLY-eeJM1911Kvaei5oySBIxdgtNo/edit?pli=1#gid=257618397"",""stock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657" s="49"/>
      <c r="G3657" s="71"/>
      <c r="H3657" s="41"/>
      <c r="I3657" s="42"/>
      <c r="J3657" s="85" t="s">
        <v>1319</v>
      </c>
      <c r="K3657" s="93">
        <v>1.0</v>
      </c>
      <c r="L3657" s="112" t="s">
        <v>62</v>
      </c>
      <c r="M3657" s="113">
        <v>100000.0</v>
      </c>
      <c r="N3657" s="74"/>
      <c r="O3657" s="87">
        <f t="shared" si="11"/>
        <v>100000</v>
      </c>
      <c r="P3657" s="102" t="str">
        <f t="shared" si="2"/>
        <v>Rp100,000-1 LSN-0.00%</v>
      </c>
      <c r="Q3657" s="92">
        <v>45422.0</v>
      </c>
      <c r="R3657" s="76"/>
      <c r="S3657" s="92">
        <v>45430.0</v>
      </c>
      <c r="T3657" s="49"/>
      <c r="V3657" s="21" t="s">
        <v>248</v>
      </c>
    </row>
    <row r="3658">
      <c r="A3658" s="93">
        <v>180.0</v>
      </c>
      <c r="B3658" s="77" t="s">
        <v>29</v>
      </c>
      <c r="C3658" s="77" t="s">
        <v>3436</v>
      </c>
      <c r="D3658" s="77" t="s">
        <v>3445</v>
      </c>
      <c r="E3658" s="41" t="str">
        <f>IFERROR(__xludf.DUMMYFUNCTION("IFNA(vlookup(D3658,IMPORTRANGE(""https://docs.google.com/spreadsheets/d/1swGwZOEqYlTEUCJLY-eeJM1911Kvaei5oySBIxdgtNo/edit?pli=1#gid=257618397"",""stock untanna!B:C""),2,false),V:V)"),"TAS BATIK MOTIF TG 25 X 9 X 35")</f>
        <v>TAS BATIK MOTIF TG 25 X 9 X 35</v>
      </c>
      <c r="F3658" s="49"/>
      <c r="G3658" s="71"/>
      <c r="H3658" s="41"/>
      <c r="I3658" s="42"/>
      <c r="J3658" s="85" t="s">
        <v>1319</v>
      </c>
      <c r="K3658" s="93">
        <v>2.0</v>
      </c>
      <c r="L3658" s="112" t="s">
        <v>62</v>
      </c>
      <c r="M3658" s="113">
        <v>48000.0</v>
      </c>
      <c r="N3658" s="74"/>
      <c r="O3658" s="87">
        <f t="shared" si="11"/>
        <v>96000</v>
      </c>
      <c r="P3658" s="102" t="str">
        <f t="shared" si="2"/>
        <v>Rp48,000-2 LSN-0.00%</v>
      </c>
      <c r="Q3658" s="92">
        <v>45422.0</v>
      </c>
      <c r="R3658" s="76"/>
      <c r="S3658" s="92">
        <v>45430.0</v>
      </c>
      <c r="T3658" s="49"/>
      <c r="V3658" s="21" t="s">
        <v>3446</v>
      </c>
    </row>
    <row r="3659">
      <c r="A3659" s="93">
        <v>180.0</v>
      </c>
      <c r="B3659" s="77" t="s">
        <v>29</v>
      </c>
      <c r="C3659" s="77" t="s">
        <v>3436</v>
      </c>
      <c r="D3659" s="91"/>
      <c r="E3659" s="41" t="str">
        <f>IFERROR(__xludf.DUMMYFUNCTION("IFNA(vlookup(D3659,IMPORTRANGE(""https://docs.google.com/spreadsheets/d/1swGwZOEqYlTEUCJLY-eeJM1911Kvaei5oySBIxdgtNo/edit?pli=1#gid=257618397"",""stock untanna!B:C""),2,false),V:V)"),"BUKU TAMU SPIRAL BUNGA ENTER")</f>
        <v>BUKU TAMU SPIRAL BUNGA ENTER</v>
      </c>
      <c r="F3659" s="49"/>
      <c r="G3659" s="71"/>
      <c r="H3659" s="41"/>
      <c r="I3659" s="42"/>
      <c r="J3659" s="85" t="s">
        <v>3190</v>
      </c>
      <c r="K3659" s="93">
        <v>1.0</v>
      </c>
      <c r="L3659" s="112" t="s">
        <v>62</v>
      </c>
      <c r="M3659" s="113">
        <v>110000.0</v>
      </c>
      <c r="N3659" s="74"/>
      <c r="O3659" s="87">
        <f t="shared" si="11"/>
        <v>110000</v>
      </c>
      <c r="P3659" s="102" t="str">
        <f t="shared" si="2"/>
        <v>Rp110,000-1 LSN-0.00%</v>
      </c>
      <c r="Q3659" s="92">
        <v>45422.0</v>
      </c>
      <c r="R3659" s="76"/>
      <c r="S3659" s="92">
        <v>45430.0</v>
      </c>
      <c r="T3659" s="49"/>
      <c r="V3659" s="21" t="s">
        <v>3447</v>
      </c>
    </row>
    <row r="3660">
      <c r="A3660" s="93">
        <v>180.0</v>
      </c>
      <c r="B3660" s="77" t="s">
        <v>29</v>
      </c>
      <c r="C3660" s="77" t="s">
        <v>3436</v>
      </c>
      <c r="D3660" s="77" t="s">
        <v>1921</v>
      </c>
      <c r="E3660" s="41" t="str">
        <f>IFERROR(__xludf.DUMMYFUNCTION("IFNA(vlookup(D3660,IMPORTRANGE(""https://docs.google.com/spreadsheets/d/1swGwZOEqYlTEUCJLY-eeJM1911Kvaei5oySBIxdgtNo/edit?pli=1#gid=257618397"",""stock untanna!B:C""),2,false),V:V)"),"TAS 1842-L  (TANGGUNG)")</f>
        <v>TAS 1842-L  (TANGGUNG)</v>
      </c>
      <c r="F3660" s="49"/>
      <c r="G3660" s="71"/>
      <c r="H3660" s="41"/>
      <c r="I3660" s="42"/>
      <c r="J3660" s="85" t="s">
        <v>1319</v>
      </c>
      <c r="K3660" s="93">
        <v>1.0</v>
      </c>
      <c r="L3660" s="112" t="s">
        <v>62</v>
      </c>
      <c r="M3660" s="113">
        <v>105000.0</v>
      </c>
      <c r="N3660" s="74"/>
      <c r="O3660" s="87">
        <f t="shared" si="11"/>
        <v>105000</v>
      </c>
      <c r="P3660" s="102" t="str">
        <f t="shared" si="2"/>
        <v>Rp105,000-1 LSN-0.00%</v>
      </c>
      <c r="Q3660" s="92">
        <v>45422.0</v>
      </c>
      <c r="R3660" s="76"/>
      <c r="S3660" s="92">
        <v>45430.0</v>
      </c>
      <c r="T3660" s="49"/>
      <c r="V3660" s="21" t="s">
        <v>1922</v>
      </c>
    </row>
    <row r="3661">
      <c r="A3661" s="93">
        <v>180.0</v>
      </c>
      <c r="B3661" s="77" t="s">
        <v>29</v>
      </c>
      <c r="C3661" s="77" t="s">
        <v>3436</v>
      </c>
      <c r="D3661" s="91"/>
      <c r="E3661" s="41" t="str">
        <f>IFERROR(__xludf.DUMMYFUNCTION("IFNA(vlookup(D3661,IMPORTRANGE(""https://docs.google.com/spreadsheets/d/1swGwZOEqYlTEUCJLY-eeJM1911Kvaei5oySBIxdgtNo/edit?pli=1#gid=257618397"",""stock untanna!B:C""),2,false),V:V)"),"BUKU TAMU BUNGA ENTER")</f>
        <v>BUKU TAMU BUNGA ENTER</v>
      </c>
      <c r="F3661" s="49"/>
      <c r="G3661" s="71"/>
      <c r="H3661" s="41"/>
      <c r="I3661" s="42"/>
      <c r="J3661" s="85" t="s">
        <v>3190</v>
      </c>
      <c r="K3661" s="93">
        <v>1.0</v>
      </c>
      <c r="L3661" s="112" t="s">
        <v>62</v>
      </c>
      <c r="M3661" s="113">
        <v>80000.0</v>
      </c>
      <c r="N3661" s="74"/>
      <c r="O3661" s="87">
        <f t="shared" si="11"/>
        <v>80000</v>
      </c>
      <c r="P3661" s="102" t="str">
        <f t="shared" si="2"/>
        <v>Rp80,000-1 LSN-0.00%</v>
      </c>
      <c r="Q3661" s="92">
        <v>45422.0</v>
      </c>
      <c r="R3661" s="76"/>
      <c r="S3661" s="92">
        <v>45430.0</v>
      </c>
      <c r="T3661" s="49"/>
      <c r="V3661" s="21" t="s">
        <v>3448</v>
      </c>
    </row>
    <row r="3662">
      <c r="A3662" s="93">
        <v>180.0</v>
      </c>
      <c r="B3662" s="77" t="s">
        <v>29</v>
      </c>
      <c r="C3662" s="77" t="s">
        <v>3436</v>
      </c>
      <c r="D3662" s="77" t="s">
        <v>1485</v>
      </c>
      <c r="E3662" s="41" t="str">
        <f>IFERROR(__xludf.DUMMYFUNCTION("IFNA(vlookup(D3662,IMPORTRANGE(""https://docs.google.com/spreadsheets/d/1swGwZOEqYlTEUCJLY-eeJM1911Kvaei5oySBIxdgtNo/edit?pli=1#gid=257618397"",""stock untanna!B:C""),2,false),V:V)"),"TAS 16 X 21")</f>
        <v>TAS 16 X 21</v>
      </c>
      <c r="F3662" s="49"/>
      <c r="G3662" s="71"/>
      <c r="H3662" s="41"/>
      <c r="I3662" s="42"/>
      <c r="J3662" s="85" t="s">
        <v>1319</v>
      </c>
      <c r="K3662" s="93">
        <v>2.0</v>
      </c>
      <c r="L3662" s="112" t="s">
        <v>62</v>
      </c>
      <c r="M3662" s="113">
        <v>15000.0</v>
      </c>
      <c r="N3662" s="74"/>
      <c r="O3662" s="87">
        <f t="shared" si="11"/>
        <v>30000</v>
      </c>
      <c r="P3662" s="102" t="str">
        <f t="shared" si="2"/>
        <v>Rp15,000-2 LSN-0.00%</v>
      </c>
      <c r="Q3662" s="92">
        <v>45422.0</v>
      </c>
      <c r="R3662" s="76"/>
      <c r="S3662" s="92">
        <v>45430.0</v>
      </c>
      <c r="T3662" s="49"/>
      <c r="V3662" s="21" t="s">
        <v>1486</v>
      </c>
    </row>
    <row r="3663">
      <c r="A3663" s="93">
        <v>180.0</v>
      </c>
      <c r="B3663" s="77" t="s">
        <v>29</v>
      </c>
      <c r="C3663" s="77" t="s">
        <v>3436</v>
      </c>
      <c r="D3663" s="91"/>
      <c r="E3663" s="41" t="str">
        <f>IFERROR(__xludf.DUMMYFUNCTION("IFNA(vlookup(D3663,IMPORTRANGE(""https://docs.google.com/spreadsheets/d/1swGwZOEqYlTEUCJLY-eeJM1911Kvaei5oySBIxdgtNo/edit?pli=1#gid=257618397"",""stock untanna!B:C""),2,false),V:V)"),"TAS HZD 9101 A BSR BIASA")</f>
        <v>TAS HZD 9101 A BSR BIASA</v>
      </c>
      <c r="F3663" s="49"/>
      <c r="G3663" s="71"/>
      <c r="H3663" s="41"/>
      <c r="I3663" s="42"/>
      <c r="J3663" s="85" t="s">
        <v>3190</v>
      </c>
      <c r="K3663" s="93">
        <v>1.0</v>
      </c>
      <c r="L3663" s="112" t="s">
        <v>62</v>
      </c>
      <c r="M3663" s="113">
        <v>126000.0</v>
      </c>
      <c r="N3663" s="74"/>
      <c r="O3663" s="87">
        <f t="shared" si="11"/>
        <v>126000</v>
      </c>
      <c r="P3663" s="102" t="str">
        <f t="shared" si="2"/>
        <v>Rp126,000-1 LSN-0.00%</v>
      </c>
      <c r="Q3663" s="92">
        <v>45422.0</v>
      </c>
      <c r="R3663" s="76"/>
      <c r="S3663" s="92">
        <v>45430.0</v>
      </c>
      <c r="T3663" s="49"/>
      <c r="V3663" s="21" t="s">
        <v>3449</v>
      </c>
    </row>
    <row r="3664">
      <c r="A3664" s="93">
        <v>180.0</v>
      </c>
      <c r="B3664" s="77" t="s">
        <v>29</v>
      </c>
      <c r="C3664" s="77" t="s">
        <v>3436</v>
      </c>
      <c r="D3664" s="91"/>
      <c r="E3664" s="41" t="str">
        <f>IFERROR(__xludf.DUMMYFUNCTION("IFNA(vlookup(D3664,IMPORTRANGE(""https://docs.google.com/spreadsheets/d/1swGwZOEqYlTEUCJLY-eeJM1911Kvaei5oySBIxdgtNo/edit?pli=1#gid=257618397"",""stock untanna!B:C""),2,false),V:V)"),"MIKA ROLL KCL")</f>
        <v>MIKA ROLL KCL</v>
      </c>
      <c r="F3664" s="49"/>
      <c r="G3664" s="71"/>
      <c r="H3664" s="41"/>
      <c r="I3664" s="42"/>
      <c r="J3664" s="85" t="s">
        <v>3190</v>
      </c>
      <c r="K3664" s="93">
        <v>25.0</v>
      </c>
      <c r="L3664" s="112" t="s">
        <v>69</v>
      </c>
      <c r="M3664" s="113">
        <v>5500.0</v>
      </c>
      <c r="N3664" s="74"/>
      <c r="O3664" s="87">
        <f t="shared" si="11"/>
        <v>137500</v>
      </c>
      <c r="P3664" s="102" t="str">
        <f t="shared" si="2"/>
        <v>Rp5,500-25 PCS-0.00%</v>
      </c>
      <c r="Q3664" s="92">
        <v>45422.0</v>
      </c>
      <c r="R3664" s="76"/>
      <c r="S3664" s="92">
        <v>45430.0</v>
      </c>
      <c r="T3664" s="49"/>
      <c r="V3664" s="21" t="s">
        <v>1463</v>
      </c>
    </row>
    <row r="3665">
      <c r="A3665" s="93">
        <v>180.0</v>
      </c>
      <c r="B3665" s="77" t="s">
        <v>29</v>
      </c>
      <c r="C3665" s="77" t="s">
        <v>3436</v>
      </c>
      <c r="D3665" s="77" t="s">
        <v>3262</v>
      </c>
      <c r="E3665" s="41" t="str">
        <f>IFERROR(__xludf.DUMMYFUNCTION("IFNA(vlookup(D3665,IMPORTRANGE(""https://docs.google.com/spreadsheets/d/1swGwZOEqYlTEUCJLY-eeJM1911Kvaei5oySBIxdgtNo/edit?pli=1#gid=257618397"",""stock untanna!B:C""),2,false),V:V)"),"SAMPUL BOXY FANCY (STOK 26)")</f>
        <v>SAMPUL BOXY FANCY (STOK 26)</v>
      </c>
      <c r="F3665" s="49"/>
      <c r="G3665" s="71"/>
      <c r="H3665" s="41"/>
      <c r="I3665" s="42"/>
      <c r="J3665" s="85" t="s">
        <v>1319</v>
      </c>
      <c r="K3665" s="93">
        <v>150.0</v>
      </c>
      <c r="L3665" s="112" t="s">
        <v>69</v>
      </c>
      <c r="M3665" s="113">
        <v>9000.0</v>
      </c>
      <c r="N3665" s="74"/>
      <c r="O3665" s="87">
        <f t="shared" si="11"/>
        <v>1350000</v>
      </c>
      <c r="P3665" s="102" t="str">
        <f t="shared" si="2"/>
        <v>Rp9,000-150 PCS-0.00%</v>
      </c>
      <c r="Q3665" s="92">
        <v>45422.0</v>
      </c>
      <c r="R3665" s="76"/>
      <c r="S3665" s="92">
        <v>45430.0</v>
      </c>
      <c r="T3665" s="49"/>
      <c r="V3665" s="21" t="s">
        <v>3263</v>
      </c>
    </row>
    <row r="3666">
      <c r="A3666" s="93">
        <v>180.0</v>
      </c>
      <c r="B3666" s="77" t="s">
        <v>29</v>
      </c>
      <c r="C3666" s="77" t="s">
        <v>3436</v>
      </c>
      <c r="D3666" s="77" t="s">
        <v>3450</v>
      </c>
      <c r="E3666" s="41" t="str">
        <f>IFERROR(__xludf.DUMMYFUNCTION("IFNA(vlookup(D3666,IMPORTRANGE(""https://docs.google.com/spreadsheets/d/1swGwZOEqYlTEUCJLY-eeJM1911Kvaei5oySBIxdgtNo/edit?pli=1#gid=257618397"",""stock untanna!B:C""),2,false),V:V)"),"BALON BL 1005")</f>
        <v>BALON BL 1005</v>
      </c>
      <c r="F3666" s="49"/>
      <c r="G3666" s="71"/>
      <c r="H3666" s="41"/>
      <c r="I3666" s="42"/>
      <c r="J3666" s="85" t="s">
        <v>1319</v>
      </c>
      <c r="K3666" s="93">
        <v>1.0</v>
      </c>
      <c r="L3666" s="112" t="s">
        <v>1521</v>
      </c>
      <c r="M3666" s="113">
        <v>95000.0</v>
      </c>
      <c r="N3666" s="74"/>
      <c r="O3666" s="87">
        <f t="shared" si="11"/>
        <v>95000</v>
      </c>
      <c r="P3666" s="102" t="str">
        <f t="shared" si="2"/>
        <v>Rp95,000-1 DISP-0.00%</v>
      </c>
      <c r="Q3666" s="92">
        <v>45422.0</v>
      </c>
      <c r="R3666" s="76"/>
      <c r="S3666" s="92">
        <v>45430.0</v>
      </c>
      <c r="T3666" s="49"/>
      <c r="V3666" s="21" t="s">
        <v>3451</v>
      </c>
    </row>
    <row r="3667">
      <c r="A3667" s="93">
        <v>180.0</v>
      </c>
      <c r="B3667" s="77" t="s">
        <v>29</v>
      </c>
      <c r="C3667" s="77" t="s">
        <v>3436</v>
      </c>
      <c r="D3667" s="77" t="s">
        <v>2249</v>
      </c>
      <c r="E3667" s="41" t="str">
        <f>IFERROR(__xludf.DUMMYFUNCTION("IFNA(vlookup(D3667,IMPORTRANGE(""https://docs.google.com/spreadsheets/d/1swGwZOEqYlTEUCJLY-eeJM1911Kvaei5oySBIxdgtNo/edit?pli=1#gid=257618397"",""stock untanna!B:C""),2,false),V:V)"),"BALON BL 1006")</f>
        <v>BALON BL 1006</v>
      </c>
      <c r="F3667" s="49"/>
      <c r="G3667" s="71"/>
      <c r="H3667" s="41"/>
      <c r="I3667" s="42"/>
      <c r="J3667" s="85" t="s">
        <v>1319</v>
      </c>
      <c r="K3667" s="93">
        <v>1.0</v>
      </c>
      <c r="L3667" s="112" t="s">
        <v>1521</v>
      </c>
      <c r="M3667" s="113">
        <v>95000.0</v>
      </c>
      <c r="N3667" s="74"/>
      <c r="O3667" s="87">
        <f t="shared" si="11"/>
        <v>95000</v>
      </c>
      <c r="P3667" s="102" t="str">
        <f t="shared" si="2"/>
        <v>Rp95,000-1 DISP-0.00%</v>
      </c>
      <c r="Q3667" s="92">
        <v>45422.0</v>
      </c>
      <c r="R3667" s="76"/>
      <c r="S3667" s="92">
        <v>45430.0</v>
      </c>
      <c r="T3667" s="49"/>
      <c r="V3667" s="21" t="s">
        <v>2250</v>
      </c>
    </row>
    <row r="3668">
      <c r="A3668" s="93">
        <v>180.0</v>
      </c>
      <c r="B3668" s="77" t="s">
        <v>29</v>
      </c>
      <c r="C3668" s="77" t="s">
        <v>3436</v>
      </c>
      <c r="D3668" s="77" t="s">
        <v>904</v>
      </c>
      <c r="E3668" s="41" t="str">
        <f>IFERROR(__xludf.DUMMYFUNCTION("IFNA(vlookup(D3668,IMPORTRANGE(""https://docs.google.com/spreadsheets/d/1swGwZOEqYlTEUCJLY-eeJM1911Kvaei5oySBIxdgtNo/edit?pli=1#gid=257618397"",""stock untanna!B:C""),2,false),V:V)"),"BLOCK NOTE SPIRAL ENTER 404")</f>
        <v>BLOCK NOTE SPIRAL ENTER 404</v>
      </c>
      <c r="F3668" s="49"/>
      <c r="G3668" s="71"/>
      <c r="H3668" s="41"/>
      <c r="I3668" s="42"/>
      <c r="J3668" s="85" t="s">
        <v>1319</v>
      </c>
      <c r="K3668" s="93">
        <v>12.0</v>
      </c>
      <c r="L3668" s="112" t="s">
        <v>69</v>
      </c>
      <c r="M3668" s="113">
        <v>5416.67</v>
      </c>
      <c r="N3668" s="74"/>
      <c r="O3668" s="87">
        <f t="shared" si="11"/>
        <v>65000.04</v>
      </c>
      <c r="P3668" s="102" t="str">
        <f t="shared" si="2"/>
        <v>Rp5,417-12 PCS-0.00%</v>
      </c>
      <c r="Q3668" s="92">
        <v>45422.0</v>
      </c>
      <c r="R3668" s="76"/>
      <c r="S3668" s="92">
        <v>45430.0</v>
      </c>
      <c r="T3668" s="49"/>
      <c r="V3668" s="21" t="s">
        <v>905</v>
      </c>
    </row>
    <row r="3669">
      <c r="A3669" s="93">
        <v>180.0</v>
      </c>
      <c r="B3669" s="77" t="s">
        <v>29</v>
      </c>
      <c r="C3669" s="77" t="s">
        <v>3436</v>
      </c>
      <c r="D3669" s="77" t="s">
        <v>2797</v>
      </c>
      <c r="E3669" s="41" t="str">
        <f>IFERROR(__xludf.DUMMYFUNCTION("IFNA(vlookup(D3669,IMPORTRANGE(""https://docs.google.com/spreadsheets/d/1swGwZOEqYlTEUCJLY-eeJM1911Kvaei5oySBIxdgtNo/edit?pli=1#gid=257618397"",""stock untanna!B:C""),2,false),V:V)"),"NB SPIRAL A6-801 LUCKY NOTE")</f>
        <v>NB SPIRAL A6-801 LUCKY NOTE</v>
      </c>
      <c r="F3669" s="49"/>
      <c r="G3669" s="71"/>
      <c r="H3669" s="41"/>
      <c r="I3669" s="42"/>
      <c r="J3669" s="85" t="s">
        <v>1319</v>
      </c>
      <c r="K3669" s="93">
        <v>12.0</v>
      </c>
      <c r="L3669" s="112" t="s">
        <v>69</v>
      </c>
      <c r="M3669" s="113">
        <v>7500.0</v>
      </c>
      <c r="N3669" s="74"/>
      <c r="O3669" s="87">
        <f t="shared" si="11"/>
        <v>90000</v>
      </c>
      <c r="P3669" s="102" t="str">
        <f t="shared" si="2"/>
        <v>Rp7,500-12 PCS-0.00%</v>
      </c>
      <c r="Q3669" s="92">
        <v>45422.0</v>
      </c>
      <c r="R3669" s="76"/>
      <c r="S3669" s="92">
        <v>45430.0</v>
      </c>
      <c r="T3669" s="49"/>
      <c r="V3669" s="21" t="s">
        <v>2798</v>
      </c>
    </row>
    <row r="3670">
      <c r="A3670" s="93">
        <v>180.0</v>
      </c>
      <c r="B3670" s="77" t="s">
        <v>29</v>
      </c>
      <c r="C3670" s="77" t="s">
        <v>3436</v>
      </c>
      <c r="D3670" s="77" t="s">
        <v>913</v>
      </c>
      <c r="E3670" s="41" t="str">
        <f>IFERROR(__xludf.DUMMYFUNCTION("IFNA(vlookup(D3670,IMPORTRANGE(""https://docs.google.com/spreadsheets/d/1swGwZOEqYlTEUCJLY-eeJM1911Kvaei5oySBIxdgtNo/edit?pli=1#gid=257618397"",""stock untanna!B:C""),2,false),V:V)"),"NOTEBOOK 28825-62")</f>
        <v>NOTEBOOK 28825-62</v>
      </c>
      <c r="F3670" s="49"/>
      <c r="G3670" s="71"/>
      <c r="H3670" s="41"/>
      <c r="I3670" s="42"/>
      <c r="J3670" s="85" t="s">
        <v>1319</v>
      </c>
      <c r="K3670" s="93">
        <v>12.0</v>
      </c>
      <c r="L3670" s="112" t="s">
        <v>69</v>
      </c>
      <c r="M3670" s="113">
        <v>13333.3</v>
      </c>
      <c r="N3670" s="74"/>
      <c r="O3670" s="87">
        <f t="shared" si="11"/>
        <v>159999.6</v>
      </c>
      <c r="P3670" s="102" t="str">
        <f t="shared" si="2"/>
        <v>Rp13,333-12 PCS-0.00%</v>
      </c>
      <c r="Q3670" s="92">
        <v>45422.0</v>
      </c>
      <c r="R3670" s="76"/>
      <c r="S3670" s="92">
        <v>45430.0</v>
      </c>
      <c r="T3670" s="49"/>
      <c r="V3670" s="21" t="s">
        <v>914</v>
      </c>
    </row>
    <row r="3671">
      <c r="A3671" s="93">
        <v>180.0</v>
      </c>
      <c r="B3671" s="77" t="s">
        <v>29</v>
      </c>
      <c r="C3671" s="77" t="s">
        <v>3436</v>
      </c>
      <c r="D3671" s="77" t="s">
        <v>2589</v>
      </c>
      <c r="E3671" s="41" t="str">
        <f>IFERROR(__xludf.DUMMYFUNCTION("IFNA(vlookup(D3671,IMPORTRANGE(""https://docs.google.com/spreadsheets/d/1swGwZOEqYlTEUCJLY-eeJM1911Kvaei5oySBIxdgtNo/edit?pli=1#gid=257618397"",""stock untanna!B:C""),2,false),V:V)"),"KUAS 251-1 PAGODA")</f>
        <v>KUAS 251-1 PAGODA</v>
      </c>
      <c r="F3671" s="49"/>
      <c r="G3671" s="71"/>
      <c r="H3671" s="41"/>
      <c r="I3671" s="42"/>
      <c r="J3671" s="85" t="s">
        <v>1319</v>
      </c>
      <c r="K3671" s="93">
        <v>72.0</v>
      </c>
      <c r="L3671" s="112" t="s">
        <v>69</v>
      </c>
      <c r="M3671" s="113">
        <v>1250.0</v>
      </c>
      <c r="N3671" s="74"/>
      <c r="O3671" s="87">
        <f t="shared" si="11"/>
        <v>90000</v>
      </c>
      <c r="P3671" s="102" t="str">
        <f t="shared" si="2"/>
        <v>Rp1,250-72 PCS-0.00%</v>
      </c>
      <c r="Q3671" s="92">
        <v>45422.0</v>
      </c>
      <c r="R3671" s="76"/>
      <c r="S3671" s="92">
        <v>45430.0</v>
      </c>
      <c r="T3671" s="49"/>
      <c r="V3671" s="21" t="s">
        <v>2590</v>
      </c>
    </row>
    <row r="3672">
      <c r="A3672" s="93">
        <v>180.0</v>
      </c>
      <c r="B3672" s="77" t="s">
        <v>29</v>
      </c>
      <c r="C3672" s="77" t="s">
        <v>3436</v>
      </c>
      <c r="D3672" s="77" t="s">
        <v>3452</v>
      </c>
      <c r="E3672" s="41" t="str">
        <f>IFERROR(__xludf.DUMMYFUNCTION("IFNA(vlookup(D3672,IMPORTRANGE(""https://docs.google.com/spreadsheets/d/1swGwZOEqYlTEUCJLY-eeJM1911Kvaei5oySBIxdgtNo/edit?pli=1#gid=257618397"",""stock untanna!B:C""),2,false),V:V)"),"KUAS 251-3 PAGODA")</f>
        <v>KUAS 251-3 PAGODA</v>
      </c>
      <c r="F3672" s="49"/>
      <c r="G3672" s="71"/>
      <c r="H3672" s="41"/>
      <c r="I3672" s="42"/>
      <c r="J3672" s="85" t="s">
        <v>1319</v>
      </c>
      <c r="K3672" s="93">
        <v>72.0</v>
      </c>
      <c r="L3672" s="112" t="s">
        <v>69</v>
      </c>
      <c r="M3672" s="113">
        <v>1458.33</v>
      </c>
      <c r="N3672" s="74"/>
      <c r="O3672" s="87">
        <f t="shared" si="11"/>
        <v>104999.76</v>
      </c>
      <c r="P3672" s="102" t="str">
        <f t="shared" si="2"/>
        <v>Rp1,458-72 PCS-0.00%</v>
      </c>
      <c r="Q3672" s="92">
        <v>45422.0</v>
      </c>
      <c r="R3672" s="76"/>
      <c r="S3672" s="92">
        <v>45430.0</v>
      </c>
      <c r="T3672" s="49"/>
      <c r="V3672" s="21" t="s">
        <v>3453</v>
      </c>
    </row>
    <row r="3673">
      <c r="A3673" s="93">
        <v>181.0</v>
      </c>
      <c r="B3673" s="77" t="s">
        <v>29</v>
      </c>
      <c r="C3673" s="77" t="s">
        <v>3436</v>
      </c>
      <c r="D3673" s="77" t="s">
        <v>816</v>
      </c>
      <c r="E3673" s="41" t="str">
        <f>IFERROR(__xludf.DUMMYFUNCTION("IFNA(vlookup(D3673,IMPORTRANGE(""https://docs.google.com/spreadsheets/d/1swGwZOEqYlTEUCJLY-eeJM1911Kvaei5oySBIxdgtNo/edit?pli=1#gid=257618397"",""stock untanna!B:C""),2,false),V:V)"),"SELANG PIANIKA SP 12 (1) 246")</f>
        <v>SELANG PIANIKA SP 12 (1) 246</v>
      </c>
      <c r="F3673" s="49"/>
      <c r="G3673" s="71"/>
      <c r="H3673" s="41"/>
      <c r="I3673" s="42"/>
      <c r="J3673" s="85" t="s">
        <v>1319</v>
      </c>
      <c r="K3673" s="93">
        <v>24.0</v>
      </c>
      <c r="L3673" s="112" t="s">
        <v>69</v>
      </c>
      <c r="M3673" s="113">
        <v>20000.0</v>
      </c>
      <c r="N3673" s="74"/>
      <c r="O3673" s="87">
        <f t="shared" si="11"/>
        <v>480000</v>
      </c>
      <c r="P3673" s="102" t="str">
        <f t="shared" si="2"/>
        <v>Rp20,000-24 PCS-0.00%</v>
      </c>
      <c r="Q3673" s="92">
        <v>45422.0</v>
      </c>
      <c r="R3673" s="76"/>
      <c r="S3673" s="92">
        <v>45430.0</v>
      </c>
      <c r="T3673" s="49"/>
      <c r="V3673" s="21" t="s">
        <v>817</v>
      </c>
    </row>
    <row r="3674">
      <c r="A3674" s="93">
        <v>181.0</v>
      </c>
      <c r="B3674" s="77" t="s">
        <v>29</v>
      </c>
      <c r="C3674" s="77" t="s">
        <v>3436</v>
      </c>
      <c r="D3674" s="77" t="s">
        <v>529</v>
      </c>
      <c r="E3674" s="41" t="str">
        <f>IFERROR(__xludf.DUMMYFUNCTION("IFNA(vlookup(D3674,IMPORTRANGE(""https://docs.google.com/spreadsheets/d/1swGwZOEqYlTEUCJLY-eeJM1911Kvaei5oySBIxdgtNo/edit?pli=1#gid=257618397"",""stock untanna!B:C""),2,false),V:V)"),"LEM CAIR BY 820 30ML (24)")</f>
        <v>LEM CAIR BY 820 30ML (24)</v>
      </c>
      <c r="F3674" s="49"/>
      <c r="G3674" s="71"/>
      <c r="H3674" s="41"/>
      <c r="I3674" s="42"/>
      <c r="J3674" s="85" t="s">
        <v>1319</v>
      </c>
      <c r="K3674" s="93">
        <v>1.0</v>
      </c>
      <c r="L3674" s="112" t="s">
        <v>88</v>
      </c>
      <c r="M3674" s="113">
        <v>66000.0</v>
      </c>
      <c r="N3674" s="74"/>
      <c r="O3674" s="87">
        <f t="shared" si="11"/>
        <v>66000</v>
      </c>
      <c r="P3674" s="102" t="str">
        <f t="shared" si="2"/>
        <v>Rp66,000-1 BOX-0.00%</v>
      </c>
      <c r="Q3674" s="92">
        <v>45422.0</v>
      </c>
      <c r="R3674" s="76"/>
      <c r="S3674" s="92">
        <v>45430.0</v>
      </c>
      <c r="T3674" s="49"/>
      <c r="V3674" s="21" t="s">
        <v>530</v>
      </c>
    </row>
    <row r="3675">
      <c r="A3675" s="93">
        <v>181.0</v>
      </c>
      <c r="B3675" s="77" t="s">
        <v>29</v>
      </c>
      <c r="C3675" s="77" t="s">
        <v>3436</v>
      </c>
      <c r="D3675" s="91"/>
      <c r="E3675" s="41" t="str">
        <f>IFERROR(__xludf.DUMMYFUNCTION("IFNA(vlookup(D3675,IMPORTRANGE(""https://docs.google.com/spreadsheets/d/1swGwZOEqYlTEUCJLY-eeJM1911Kvaei5oySBIxdgtNo/edit?pli=1#gid=257618397"",""stock untanna!B:C""),2,false),V:V)"),"TAPE 1503-CD")</f>
        <v>TAPE 1503-CD</v>
      </c>
      <c r="F3675" s="49"/>
      <c r="G3675" s="71"/>
      <c r="H3675" s="41"/>
      <c r="I3675" s="42"/>
      <c r="J3675" s="85" t="s">
        <v>1319</v>
      </c>
      <c r="K3675" s="93">
        <v>2.0</v>
      </c>
      <c r="L3675" s="112" t="s">
        <v>114</v>
      </c>
      <c r="M3675" s="113">
        <v>9500.0</v>
      </c>
      <c r="N3675" s="74"/>
      <c r="O3675" s="87">
        <f t="shared" si="11"/>
        <v>19000</v>
      </c>
      <c r="P3675" s="102" t="str">
        <f t="shared" si="2"/>
        <v>Rp9,500-2 PAK-0.00%</v>
      </c>
      <c r="Q3675" s="92">
        <v>45422.0</v>
      </c>
      <c r="R3675" s="76"/>
      <c r="S3675" s="92">
        <v>45430.0</v>
      </c>
      <c r="T3675" s="77" t="s">
        <v>280</v>
      </c>
      <c r="V3675" s="21" t="s">
        <v>1759</v>
      </c>
    </row>
    <row r="3676">
      <c r="A3676" s="93">
        <v>181.0</v>
      </c>
      <c r="B3676" s="77" t="s">
        <v>29</v>
      </c>
      <c r="C3676" s="77" t="s">
        <v>3436</v>
      </c>
      <c r="D3676" s="91"/>
      <c r="E3676" s="41" t="str">
        <f>IFERROR(__xludf.DUMMYFUNCTION("IFNA(vlookup(D3676,IMPORTRANGE(""https://docs.google.com/spreadsheets/d/1swGwZOEqYlTEUCJLY-eeJM1911Kvaei5oySBIxdgtNo/edit?pli=1#gid=257618397"",""stock untanna!B:C""),2,false),V:V)"),"ISOLASI 1503")</f>
        <v>ISOLASI 1503</v>
      </c>
      <c r="F3676" s="49"/>
      <c r="G3676" s="71"/>
      <c r="H3676" s="41"/>
      <c r="I3676" s="42"/>
      <c r="J3676" s="85" t="s">
        <v>1319</v>
      </c>
      <c r="K3676" s="93">
        <v>2.0</v>
      </c>
      <c r="L3676" s="112" t="s">
        <v>114</v>
      </c>
      <c r="M3676" s="113">
        <v>9500.0</v>
      </c>
      <c r="N3676" s="74"/>
      <c r="O3676" s="87">
        <f t="shared" si="11"/>
        <v>19000</v>
      </c>
      <c r="P3676" s="102" t="str">
        <f t="shared" si="2"/>
        <v>Rp9,500-2 PAK-0.00%</v>
      </c>
      <c r="Q3676" s="92">
        <v>45422.0</v>
      </c>
      <c r="R3676" s="76"/>
      <c r="S3676" s="92">
        <v>45430.0</v>
      </c>
      <c r="T3676" s="77" t="s">
        <v>280</v>
      </c>
      <c r="V3676" s="21" t="s">
        <v>1760</v>
      </c>
    </row>
    <row r="3677">
      <c r="A3677" s="93">
        <v>181.0</v>
      </c>
      <c r="B3677" s="77" t="s">
        <v>29</v>
      </c>
      <c r="C3677" s="77" t="s">
        <v>3436</v>
      </c>
      <c r="D3677" s="77" t="s">
        <v>511</v>
      </c>
      <c r="E3677" s="41" t="str">
        <f>IFERROR(__xludf.DUMMYFUNCTION("IFNA(vlookup(D3677,IMPORTRANGE(""https://docs.google.com/spreadsheets/d/1swGwZOEqYlTEUCJLY-eeJM1911Kvaei5oySBIxdgtNo/edit?pli=1#gid=257618397"",""stock untanna!B:C""),2,false),V:V)"),"TAPE 1505 FANCY")</f>
        <v>TAPE 1505 FANCY</v>
      </c>
      <c r="F3677" s="49"/>
      <c r="G3677" s="71"/>
      <c r="H3677" s="41"/>
      <c r="I3677" s="42"/>
      <c r="J3677" s="85" t="s">
        <v>1319</v>
      </c>
      <c r="K3677" s="93">
        <v>20.0</v>
      </c>
      <c r="L3677" s="112" t="s">
        <v>69</v>
      </c>
      <c r="M3677" s="113">
        <v>950.0</v>
      </c>
      <c r="N3677" s="74"/>
      <c r="O3677" s="87">
        <f t="shared" si="11"/>
        <v>19000</v>
      </c>
      <c r="P3677" s="102" t="str">
        <f t="shared" si="2"/>
        <v>Rp950-20 PCS-0.00%</v>
      </c>
      <c r="Q3677" s="92">
        <v>45422.0</v>
      </c>
      <c r="R3677" s="76"/>
      <c r="S3677" s="92">
        <v>45430.0</v>
      </c>
      <c r="T3677" s="49"/>
      <c r="V3677" s="21" t="s">
        <v>512</v>
      </c>
    </row>
    <row r="3678">
      <c r="A3678" s="93">
        <v>181.0</v>
      </c>
      <c r="B3678" s="77" t="s">
        <v>29</v>
      </c>
      <c r="C3678" s="77" t="s">
        <v>3436</v>
      </c>
      <c r="D3678" s="91"/>
      <c r="E3678" s="41" t="str">
        <f>IFERROR(__xludf.DUMMYFUNCTION("IFNA(vlookup(D3678,IMPORTRANGE(""https://docs.google.com/spreadsheets/d/1swGwZOEqYlTEUCJLY-eeJM1911Kvaei5oySBIxdgtNo/edit?pli=1#gid=257618397"",""stock untanna!B:C""),2,false),V:V)"),"KAWAT MIX")</f>
        <v>KAWAT MIX</v>
      </c>
      <c r="F3678" s="49"/>
      <c r="G3678" s="71"/>
      <c r="H3678" s="41"/>
      <c r="I3678" s="42"/>
      <c r="J3678" s="85" t="s">
        <v>3190</v>
      </c>
      <c r="K3678" s="93">
        <v>50.0</v>
      </c>
      <c r="L3678" s="112" t="s">
        <v>114</v>
      </c>
      <c r="M3678" s="113">
        <v>3300.0</v>
      </c>
      <c r="N3678" s="74"/>
      <c r="O3678" s="87">
        <f t="shared" si="11"/>
        <v>165000</v>
      </c>
      <c r="P3678" s="102" t="str">
        <f t="shared" si="2"/>
        <v>Rp3,300-50 PAK-0.00%</v>
      </c>
      <c r="Q3678" s="92">
        <v>45422.0</v>
      </c>
      <c r="R3678" s="76"/>
      <c r="S3678" s="92">
        <v>45430.0</v>
      </c>
      <c r="T3678" s="49"/>
      <c r="V3678" s="21" t="s">
        <v>3454</v>
      </c>
    </row>
    <row r="3679">
      <c r="A3679" s="93">
        <v>181.0</v>
      </c>
      <c r="B3679" s="77" t="s">
        <v>29</v>
      </c>
      <c r="C3679" s="77" t="s">
        <v>3436</v>
      </c>
      <c r="D3679" s="77" t="s">
        <v>3455</v>
      </c>
      <c r="E3679" s="41" t="str">
        <f>IFERROR(__xludf.DUMMYFUNCTION("IFNA(vlookup(D3679,IMPORTRANGE(""https://docs.google.com/spreadsheets/d/1swGwZOEqYlTEUCJLY-eeJM1911Kvaei5oySBIxdgtNo/edit?pli=1#gid=257618397"",""stock untanna!B:C""),2,false),V:V)"),"STIP DEBOZZ DB B40 P")</f>
        <v>STIP DEBOZZ DB B40 P</v>
      </c>
      <c r="F3679" s="49"/>
      <c r="G3679" s="71"/>
      <c r="H3679" s="41"/>
      <c r="I3679" s="42"/>
      <c r="J3679" s="85" t="s">
        <v>1319</v>
      </c>
      <c r="K3679" s="93">
        <v>2.0</v>
      </c>
      <c r="L3679" s="112" t="s">
        <v>88</v>
      </c>
      <c r="M3679" s="113">
        <v>23500.0</v>
      </c>
      <c r="N3679" s="74"/>
      <c r="O3679" s="87">
        <f t="shared" si="11"/>
        <v>47000</v>
      </c>
      <c r="P3679" s="102" t="str">
        <f t="shared" si="2"/>
        <v>Rp23,500-2 BOX-0.00%</v>
      </c>
      <c r="Q3679" s="92">
        <v>45422.0</v>
      </c>
      <c r="R3679" s="76"/>
      <c r="S3679" s="92">
        <v>45430.0</v>
      </c>
      <c r="T3679" s="49"/>
      <c r="V3679" s="21" t="s">
        <v>3456</v>
      </c>
    </row>
    <row r="3680">
      <c r="A3680" s="93">
        <v>181.0</v>
      </c>
      <c r="B3680" s="77" t="s">
        <v>29</v>
      </c>
      <c r="C3680" s="77" t="s">
        <v>3436</v>
      </c>
      <c r="D3680" s="77" t="s">
        <v>1460</v>
      </c>
      <c r="E3680" s="41" t="str">
        <f>IFERROR(__xludf.DUMMYFUNCTION("IFNA(vlookup(D3680,IMPORTRANGE(""https://docs.google.com/spreadsheets/d/1swGwZOEqYlTEUCJLY-eeJM1911Kvaei5oySBIxdgtNo/edit?pli=1#gid=257618397"",""stock untanna!B:C""),2,false),V:V)"),"CLIP CANDY NO 1")</f>
        <v>CLIP CANDY NO 1</v>
      </c>
      <c r="F3680" s="49"/>
      <c r="G3680" s="71"/>
      <c r="H3680" s="41"/>
      <c r="I3680" s="42"/>
      <c r="J3680" s="85" t="s">
        <v>1319</v>
      </c>
      <c r="K3680" s="93">
        <v>30.0</v>
      </c>
      <c r="L3680" s="112" t="s">
        <v>69</v>
      </c>
      <c r="M3680" s="113">
        <v>1500.0</v>
      </c>
      <c r="N3680" s="74"/>
      <c r="O3680" s="87">
        <f t="shared" si="11"/>
        <v>45000</v>
      </c>
      <c r="P3680" s="102" t="str">
        <f t="shared" si="2"/>
        <v>Rp1,500-30 PCS-0.00%</v>
      </c>
      <c r="Q3680" s="92">
        <v>45422.0</v>
      </c>
      <c r="R3680" s="76"/>
      <c r="S3680" s="92">
        <v>45430.0</v>
      </c>
      <c r="T3680" s="49"/>
      <c r="V3680" s="21" t="s">
        <v>1461</v>
      </c>
    </row>
    <row r="3681">
      <c r="A3681" s="93">
        <v>181.0</v>
      </c>
      <c r="B3681" s="77" t="s">
        <v>29</v>
      </c>
      <c r="C3681" s="77" t="s">
        <v>3436</v>
      </c>
      <c r="D3681" s="77" t="s">
        <v>2959</v>
      </c>
      <c r="E3681" s="41" t="str">
        <f>IFERROR(__xludf.DUMMYFUNCTION("IFNA(vlookup(D3681,IMPORTRANGE(""https://docs.google.com/spreadsheets/d/1swGwZOEqYlTEUCJLY-eeJM1911Kvaei5oySBIxdgtNo/edit?pli=1#gid=257618397"",""stock untanna!B:C""),2,false),V:V)"),"STIP TRIFELLO TF-377 (24)")</f>
        <v>STIP TRIFELLO TF-377 (24)</v>
      </c>
      <c r="F3681" s="49"/>
      <c r="G3681" s="71"/>
      <c r="H3681" s="41"/>
      <c r="I3681" s="42"/>
      <c r="J3681" s="85" t="s">
        <v>1319</v>
      </c>
      <c r="K3681" s="93">
        <v>1.0</v>
      </c>
      <c r="L3681" s="112" t="s">
        <v>88</v>
      </c>
      <c r="M3681" s="113">
        <v>24000.0</v>
      </c>
      <c r="N3681" s="74"/>
      <c r="O3681" s="87">
        <f t="shared" si="11"/>
        <v>24000</v>
      </c>
      <c r="P3681" s="102" t="str">
        <f t="shared" si="2"/>
        <v>Rp24,000-1 BOX-0.00%</v>
      </c>
      <c r="Q3681" s="92">
        <v>45422.0</v>
      </c>
      <c r="R3681" s="76"/>
      <c r="S3681" s="92">
        <v>45430.0</v>
      </c>
      <c r="T3681" s="49"/>
      <c r="V3681" s="21" t="s">
        <v>2960</v>
      </c>
    </row>
    <row r="3682">
      <c r="A3682" s="93">
        <v>181.0</v>
      </c>
      <c r="B3682" s="77" t="s">
        <v>29</v>
      </c>
      <c r="C3682" s="77" t="s">
        <v>3436</v>
      </c>
      <c r="D3682" s="77" t="s">
        <v>3457</v>
      </c>
      <c r="E3682" s="41" t="str">
        <f>IFERROR(__xludf.DUMMYFUNCTION("IFNA(vlookup(D3682,IMPORTRANGE(""https://docs.google.com/spreadsheets/d/1swGwZOEqYlTEUCJLY-eeJM1911Kvaei5oySBIxdgtNo/edit?pli=1#gid=257618397"",""stock untanna!B:C""),2,false),V:V)"),"ASAHAN BEAR 839")</f>
        <v>ASAHAN BEAR 839</v>
      </c>
      <c r="F3682" s="49"/>
      <c r="G3682" s="71"/>
      <c r="H3682" s="41"/>
      <c r="I3682" s="42"/>
      <c r="J3682" s="85" t="s">
        <v>1319</v>
      </c>
      <c r="K3682" s="93">
        <v>1.0</v>
      </c>
      <c r="L3682" s="112" t="s">
        <v>62</v>
      </c>
      <c r="M3682" s="113">
        <v>37000.0</v>
      </c>
      <c r="N3682" s="74"/>
      <c r="O3682" s="87">
        <f t="shared" si="11"/>
        <v>37000</v>
      </c>
      <c r="P3682" s="102" t="str">
        <f t="shared" si="2"/>
        <v>Rp37,000-1 LSN-0.00%</v>
      </c>
      <c r="Q3682" s="92">
        <v>45422.0</v>
      </c>
      <c r="R3682" s="76"/>
      <c r="S3682" s="92">
        <v>45430.0</v>
      </c>
      <c r="T3682" s="49"/>
      <c r="V3682" s="21" t="s">
        <v>3458</v>
      </c>
    </row>
    <row r="3683">
      <c r="A3683" s="93">
        <v>181.0</v>
      </c>
      <c r="B3683" s="77" t="s">
        <v>29</v>
      </c>
      <c r="C3683" s="77" t="s">
        <v>3436</v>
      </c>
      <c r="D3683" s="77" t="s">
        <v>3459</v>
      </c>
      <c r="E3683" s="41" t="str">
        <f>IFERROR(__xludf.DUMMYFUNCTION("IFNA(vlookup(D3683,IMPORTRANGE(""https://docs.google.com/spreadsheets/d/1swGwZOEqYlTEUCJLY-eeJM1911Kvaei5oySBIxdgtNo/edit?pli=1#gid=257618397"",""stock untanna!B:C""),2,false),V:V)"),"LEM WATER GLUE TF 6038")</f>
        <v>LEM WATER GLUE TF 6038</v>
      </c>
      <c r="F3683" s="49"/>
      <c r="G3683" s="71"/>
      <c r="H3683" s="41"/>
      <c r="I3683" s="42"/>
      <c r="J3683" s="85" t="s">
        <v>1319</v>
      </c>
      <c r="K3683" s="93">
        <v>1.0</v>
      </c>
      <c r="L3683" s="112" t="s">
        <v>62</v>
      </c>
      <c r="M3683" s="113">
        <v>35000.0</v>
      </c>
      <c r="N3683" s="74"/>
      <c r="O3683" s="87">
        <f t="shared" si="11"/>
        <v>35000</v>
      </c>
      <c r="P3683" s="102" t="str">
        <f t="shared" si="2"/>
        <v>Rp35,000-1 LSN-0.00%</v>
      </c>
      <c r="Q3683" s="92">
        <v>45422.0</v>
      </c>
      <c r="R3683" s="76"/>
      <c r="S3683" s="92">
        <v>45430.0</v>
      </c>
      <c r="T3683" s="49"/>
      <c r="V3683" s="21" t="s">
        <v>3460</v>
      </c>
    </row>
    <row r="3684">
      <c r="A3684" s="93">
        <v>181.0</v>
      </c>
      <c r="B3684" s="77" t="s">
        <v>29</v>
      </c>
      <c r="C3684" s="77" t="s">
        <v>3436</v>
      </c>
      <c r="D3684" s="91"/>
      <c r="E3684" s="41" t="str">
        <f>IFERROR(__xludf.DUMMYFUNCTION("IFNA(vlookup(D3684,IMPORTRANGE(""https://docs.google.com/spreadsheets/d/1swGwZOEqYlTEUCJLY-eeJM1911Kvaei5oySBIxdgtNo/edit?pli=1#gid=257618397"",""stock untanna!B:C""),2,false),V:V)"),"PITA KADO TH-50")</f>
        <v>PITA KADO TH-50</v>
      </c>
      <c r="F3684" s="49"/>
      <c r="G3684" s="71"/>
      <c r="H3684" s="41"/>
      <c r="I3684" s="42"/>
      <c r="J3684" s="85" t="s">
        <v>3190</v>
      </c>
      <c r="K3684" s="93">
        <v>50.0</v>
      </c>
      <c r="L3684" s="112" t="s">
        <v>69</v>
      </c>
      <c r="M3684" s="113">
        <v>16000.0</v>
      </c>
      <c r="N3684" s="74"/>
      <c r="O3684" s="87">
        <f t="shared" si="11"/>
        <v>800000</v>
      </c>
      <c r="P3684" s="102" t="str">
        <f t="shared" si="2"/>
        <v>Rp16,000-50 PCS-0.00%</v>
      </c>
      <c r="Q3684" s="92">
        <v>45422.0</v>
      </c>
      <c r="R3684" s="76"/>
      <c r="S3684" s="92">
        <v>45430.0</v>
      </c>
      <c r="T3684" s="49"/>
      <c r="V3684" s="21" t="s">
        <v>3461</v>
      </c>
    </row>
    <row r="3685">
      <c r="A3685" s="93">
        <v>181.0</v>
      </c>
      <c r="B3685" s="77" t="s">
        <v>29</v>
      </c>
      <c r="C3685" s="77" t="s">
        <v>3436</v>
      </c>
      <c r="D3685" s="77" t="s">
        <v>3320</v>
      </c>
      <c r="E3685" s="41" t="str">
        <f>IFERROR(__xludf.DUMMYFUNCTION("IFNA(vlookup(D3685,IMPORTRANGE(""https://docs.google.com/spreadsheets/d/1swGwZOEqYlTEUCJLY-eeJM1911Kvaei5oySBIxdgtNo/edit?pli=1#gid=257618397"",""stock untanna!B:C""),2,false),V:V)"),"PITA TARIK/KADO 30 LIST EMAS (LISMAS)")</f>
        <v>PITA TARIK/KADO 30 LIST EMAS (LISMAS)</v>
      </c>
      <c r="F3685" s="49"/>
      <c r="G3685" s="71"/>
      <c r="H3685" s="41"/>
      <c r="I3685" s="42"/>
      <c r="J3685" s="85" t="s">
        <v>1319</v>
      </c>
      <c r="K3685" s="93">
        <v>50.0</v>
      </c>
      <c r="L3685" s="112" t="s">
        <v>69</v>
      </c>
      <c r="M3685" s="113">
        <v>4750.0</v>
      </c>
      <c r="N3685" s="74"/>
      <c r="O3685" s="87">
        <f t="shared" si="11"/>
        <v>237500</v>
      </c>
      <c r="P3685" s="102" t="str">
        <f t="shared" si="2"/>
        <v>Rp4,750-50 PCS-0.00%</v>
      </c>
      <c r="Q3685" s="92">
        <v>45422.0</v>
      </c>
      <c r="R3685" s="76"/>
      <c r="S3685" s="92">
        <v>45430.0</v>
      </c>
      <c r="T3685" s="49"/>
      <c r="V3685" s="21" t="s">
        <v>3321</v>
      </c>
    </row>
    <row r="3686">
      <c r="A3686" s="93">
        <v>181.0</v>
      </c>
      <c r="B3686" s="77" t="s">
        <v>29</v>
      </c>
      <c r="C3686" s="77" t="s">
        <v>3436</v>
      </c>
      <c r="D3686" s="77" t="s">
        <v>1092</v>
      </c>
      <c r="E3686" s="41" t="str">
        <f>IFERROR(__xludf.DUMMYFUNCTION("IFNA(vlookup(D3686,IMPORTRANGE(""https://docs.google.com/spreadsheets/d/1swGwZOEqYlTEUCJLY-eeJM1911Kvaei5oySBIxdgtNo/edit?pli=1#gid=257618397"",""stock untanna!B:C""),2,false),V:V)"),"TAPE LK-22305")</f>
        <v>TAPE LK-22305</v>
      </c>
      <c r="F3686" s="49"/>
      <c r="G3686" s="71"/>
      <c r="H3686" s="41"/>
      <c r="I3686" s="42"/>
      <c r="J3686" s="85" t="s">
        <v>1319</v>
      </c>
      <c r="K3686" s="93">
        <v>1.0</v>
      </c>
      <c r="L3686" s="112" t="s">
        <v>88</v>
      </c>
      <c r="M3686" s="113">
        <v>120000.0</v>
      </c>
      <c r="N3686" s="74"/>
      <c r="O3686" s="87">
        <f t="shared" si="11"/>
        <v>120000</v>
      </c>
      <c r="P3686" s="102" t="str">
        <f t="shared" si="2"/>
        <v>Rp120,000-1 BOX-0.00%</v>
      </c>
      <c r="Q3686" s="92">
        <v>45422.0</v>
      </c>
      <c r="R3686" s="76"/>
      <c r="S3686" s="92">
        <v>45430.0</v>
      </c>
      <c r="T3686" s="49"/>
      <c r="V3686" s="21" t="s">
        <v>1093</v>
      </c>
    </row>
    <row r="3687">
      <c r="A3687" s="93">
        <v>181.0</v>
      </c>
      <c r="B3687" s="77" t="s">
        <v>29</v>
      </c>
      <c r="C3687" s="77" t="s">
        <v>3436</v>
      </c>
      <c r="D3687" s="91"/>
      <c r="E3687" s="41" t="str">
        <f>IFERROR(__xludf.DUMMYFUNCTION("IFNA(vlookup(D3687,IMPORTRANGE(""https://docs.google.com/spreadsheets/d/1swGwZOEqYlTEUCJLY-eeJM1911Kvaei5oySBIxdgtNo/edit?pli=1#gid=257618397"",""stock untanna!B:C""),2,false),V:V)"),"STIP TB 1602 (30)")</f>
        <v>STIP TB 1602 (30)</v>
      </c>
      <c r="F3687" s="49"/>
      <c r="G3687" s="71"/>
      <c r="H3687" s="41"/>
      <c r="I3687" s="42"/>
      <c r="J3687" s="85" t="s">
        <v>1319</v>
      </c>
      <c r="K3687" s="93">
        <v>2.0</v>
      </c>
      <c r="L3687" s="112" t="s">
        <v>88</v>
      </c>
      <c r="M3687" s="113">
        <v>24000.0</v>
      </c>
      <c r="N3687" s="74"/>
      <c r="O3687" s="87">
        <f t="shared" si="11"/>
        <v>48000</v>
      </c>
      <c r="P3687" s="102" t="str">
        <f t="shared" si="2"/>
        <v>Rp24,000-2 BOX-0.00%</v>
      </c>
      <c r="Q3687" s="92">
        <v>45422.0</v>
      </c>
      <c r="R3687" s="76"/>
      <c r="S3687" s="92">
        <v>45430.0</v>
      </c>
      <c r="T3687" s="77" t="s">
        <v>280</v>
      </c>
      <c r="V3687" s="21" t="s">
        <v>3462</v>
      </c>
    </row>
    <row r="3688">
      <c r="A3688" s="93">
        <v>181.0</v>
      </c>
      <c r="B3688" s="77" t="s">
        <v>29</v>
      </c>
      <c r="C3688" s="77" t="s">
        <v>3436</v>
      </c>
      <c r="D3688" s="77" t="s">
        <v>1740</v>
      </c>
      <c r="E3688" s="41" t="str">
        <f>IFERROR(__xludf.DUMMYFUNCTION("IFNA(vlookup(D3688,IMPORTRANGE(""https://docs.google.com/spreadsheets/d/1swGwZOEqYlTEUCJLY-eeJM1911Kvaei5oySBIxdgtNo/edit?pli=1#gid=257618397"",""stock untanna!B:C""),2,false),V:V)"),"ASAHAN TIKO 0531")</f>
        <v>ASAHAN TIKO 0531</v>
      </c>
      <c r="F3688" s="49"/>
      <c r="G3688" s="71"/>
      <c r="H3688" s="41"/>
      <c r="I3688" s="42"/>
      <c r="J3688" s="85" t="s">
        <v>1319</v>
      </c>
      <c r="K3688" s="93">
        <v>2.0</v>
      </c>
      <c r="L3688" s="112" t="s">
        <v>62</v>
      </c>
      <c r="M3688" s="113">
        <v>132500.0</v>
      </c>
      <c r="N3688" s="74"/>
      <c r="O3688" s="87">
        <f t="shared" si="11"/>
        <v>265000</v>
      </c>
      <c r="P3688" s="102" t="str">
        <f t="shared" si="2"/>
        <v>Rp132,500-2 LSN-0.00%</v>
      </c>
      <c r="Q3688" s="92">
        <v>45422.0</v>
      </c>
      <c r="R3688" s="76"/>
      <c r="S3688" s="92">
        <v>45430.0</v>
      </c>
      <c r="T3688" s="49"/>
      <c r="V3688" s="21" t="s">
        <v>1741</v>
      </c>
    </row>
    <row r="3689">
      <c r="A3689" s="93">
        <v>182.0</v>
      </c>
      <c r="B3689" s="77" t="s">
        <v>29</v>
      </c>
      <c r="C3689" s="77" t="s">
        <v>3436</v>
      </c>
      <c r="D3689" s="77" t="s">
        <v>2463</v>
      </c>
      <c r="E3689" s="41" t="str">
        <f>IFERROR(__xludf.DUMMYFUNCTION("IFNA(vlookup(D3689,IMPORTRANGE(""https://docs.google.com/spreadsheets/d/1swGwZOEqYlTEUCJLY-eeJM1911Kvaei5oySBIxdgtNo/edit?pli=1#gid=257618397"",""stock untanna!B:C""),2,false),V:V)"),"PENSIL CASE C-9960")</f>
        <v>PENSIL CASE C-9960</v>
      </c>
      <c r="F3689" s="49"/>
      <c r="G3689" s="71"/>
      <c r="H3689" s="41"/>
      <c r="I3689" s="42"/>
      <c r="J3689" s="85" t="s">
        <v>1319</v>
      </c>
      <c r="K3689" s="93">
        <v>12.0</v>
      </c>
      <c r="L3689" s="112" t="s">
        <v>69</v>
      </c>
      <c r="M3689" s="113">
        <v>10000.0</v>
      </c>
      <c r="N3689" s="74"/>
      <c r="O3689" s="87">
        <f t="shared" si="11"/>
        <v>120000</v>
      </c>
      <c r="P3689" s="102" t="str">
        <f t="shared" si="2"/>
        <v>Rp10,000-12 PCS-0.00%</v>
      </c>
      <c r="Q3689" s="92">
        <v>45422.0</v>
      </c>
      <c r="R3689" s="76"/>
      <c r="S3689" s="92">
        <v>45430.0</v>
      </c>
      <c r="T3689" s="49"/>
      <c r="V3689" s="21" t="s">
        <v>2464</v>
      </c>
    </row>
    <row r="3690">
      <c r="A3690" s="93">
        <v>182.0</v>
      </c>
      <c r="B3690" s="77" t="s">
        <v>29</v>
      </c>
      <c r="C3690" s="77" t="s">
        <v>3436</v>
      </c>
      <c r="D3690" s="91"/>
      <c r="E3690" s="41" t="str">
        <f>IFERROR(__xludf.DUMMYFUNCTION("IFNA(vlookup(D3690,IMPORTRANGE(""https://docs.google.com/spreadsheets/d/1swGwZOEqYlTEUCJLY-eeJM1911Kvaei5oySBIxdgtNo/edit?pli=1#gid=257618397"",""stock untanna!B:C""),2,false),V:V)"),"PC PB 22")</f>
        <v>PC PB 22</v>
      </c>
      <c r="F3690" s="49"/>
      <c r="G3690" s="71"/>
      <c r="H3690" s="41"/>
      <c r="I3690" s="42"/>
      <c r="J3690" s="85" t="s">
        <v>1319</v>
      </c>
      <c r="K3690" s="93">
        <v>1.0</v>
      </c>
      <c r="L3690" s="112" t="s">
        <v>62</v>
      </c>
      <c r="M3690" s="113">
        <v>375000.0</v>
      </c>
      <c r="N3690" s="74"/>
      <c r="O3690" s="87">
        <f t="shared" si="11"/>
        <v>375000</v>
      </c>
      <c r="P3690" s="102" t="str">
        <f t="shared" si="2"/>
        <v>Rp375,000-1 LSN-0.00%</v>
      </c>
      <c r="Q3690" s="92">
        <v>45422.0</v>
      </c>
      <c r="R3690" s="76"/>
      <c r="S3690" s="92">
        <v>45430.0</v>
      </c>
      <c r="T3690" s="77" t="s">
        <v>280</v>
      </c>
      <c r="V3690" s="21" t="s">
        <v>2083</v>
      </c>
    </row>
    <row r="3691">
      <c r="A3691" s="93">
        <v>182.0</v>
      </c>
      <c r="B3691" s="77" t="s">
        <v>29</v>
      </c>
      <c r="C3691" s="77" t="s">
        <v>3436</v>
      </c>
      <c r="D3691" s="77" t="s">
        <v>1398</v>
      </c>
      <c r="E3691" s="41" t="str">
        <f>IFERROR(__xludf.DUMMYFUNCTION("IFNA(vlookup(D3691,IMPORTRANGE(""https://docs.google.com/spreadsheets/d/1swGwZOEqYlTEUCJLY-eeJM1911Kvaei5oySBIxdgtNo/edit?pli=1#gid=257618397"",""stock untanna!B:C""),2,false),V:V)"),"PENSIL CASE 6A-28")</f>
        <v>PENSIL CASE 6A-28</v>
      </c>
      <c r="F3691" s="49"/>
      <c r="G3691" s="71"/>
      <c r="H3691" s="41"/>
      <c r="I3691" s="42"/>
      <c r="J3691" s="85" t="s">
        <v>1319</v>
      </c>
      <c r="K3691" s="93">
        <v>12.0</v>
      </c>
      <c r="L3691" s="112" t="s">
        <v>69</v>
      </c>
      <c r="M3691" s="113">
        <v>14583.3</v>
      </c>
      <c r="N3691" s="74"/>
      <c r="O3691" s="87">
        <f t="shared" si="11"/>
        <v>174999.6</v>
      </c>
      <c r="P3691" s="102" t="str">
        <f t="shared" si="2"/>
        <v>Rp14,583-12 PCS-0.00%</v>
      </c>
      <c r="Q3691" s="92">
        <v>45422.0</v>
      </c>
      <c r="R3691" s="76"/>
      <c r="S3691" s="92">
        <v>45430.0</v>
      </c>
      <c r="T3691" s="49"/>
      <c r="V3691" s="21" t="s">
        <v>1399</v>
      </c>
    </row>
    <row r="3692">
      <c r="A3692" s="93">
        <v>182.0</v>
      </c>
      <c r="B3692" s="77" t="s">
        <v>29</v>
      </c>
      <c r="C3692" s="77" t="s">
        <v>3436</v>
      </c>
      <c r="D3692" s="77" t="s">
        <v>2086</v>
      </c>
      <c r="E3692" s="41" t="str">
        <f>IFERROR(__xludf.DUMMYFUNCTION("IFNA(vlookup(D3692,IMPORTRANGE(""https://docs.google.com/spreadsheets/d/1swGwZOEqYlTEUCJLY-eeJM1911Kvaei5oySBIxdgtNo/edit?pli=1#gid=257618397"",""stock untanna!B:C""),2,false),V:V)"),"PC MAGNIT CC 7806 + CALL")</f>
        <v>PC MAGNIT CC 7806 + CALL</v>
      </c>
      <c r="F3692" s="49"/>
      <c r="G3692" s="71"/>
      <c r="H3692" s="41"/>
      <c r="I3692" s="42"/>
      <c r="J3692" s="85" t="s">
        <v>1319</v>
      </c>
      <c r="K3692" s="93">
        <v>1.0</v>
      </c>
      <c r="L3692" s="112" t="s">
        <v>62</v>
      </c>
      <c r="M3692" s="113">
        <v>250000.0</v>
      </c>
      <c r="N3692" s="74"/>
      <c r="O3692" s="87">
        <f t="shared" si="11"/>
        <v>250000</v>
      </c>
      <c r="P3692" s="102" t="str">
        <f t="shared" si="2"/>
        <v>Rp250,000-1 LSN-0.00%</v>
      </c>
      <c r="Q3692" s="92">
        <v>45422.0</v>
      </c>
      <c r="R3692" s="76"/>
      <c r="S3692" s="92">
        <v>45430.0</v>
      </c>
      <c r="T3692" s="77" t="s">
        <v>280</v>
      </c>
      <c r="V3692" s="21" t="s">
        <v>3463</v>
      </c>
    </row>
    <row r="3693">
      <c r="A3693" s="93">
        <v>182.0</v>
      </c>
      <c r="B3693" s="77" t="s">
        <v>29</v>
      </c>
      <c r="C3693" s="77" t="s">
        <v>3436</v>
      </c>
      <c r="D3693" s="77" t="s">
        <v>2075</v>
      </c>
      <c r="E3693" s="41" t="str">
        <f>IFERROR(__xludf.DUMMYFUNCTION("IFNA(vlookup(D3693,IMPORTRANGE(""https://docs.google.com/spreadsheets/d/1swGwZOEqYlTEUCJLY-eeJM1911Kvaei5oySBIxdgtNo/edit?pli=1#gid=257618397"",""stock untanna!B:C""),2,false),V:V)"),"PC MAGNIT JUMBO 3575-19")</f>
        <v>PC MAGNIT JUMBO 3575-19</v>
      </c>
      <c r="F3693" s="49"/>
      <c r="G3693" s="71"/>
      <c r="H3693" s="41"/>
      <c r="I3693" s="42"/>
      <c r="J3693" s="85" t="s">
        <v>1319</v>
      </c>
      <c r="K3693" s="93">
        <v>1.0</v>
      </c>
      <c r="L3693" s="112" t="s">
        <v>62</v>
      </c>
      <c r="M3693" s="113">
        <v>650000.0</v>
      </c>
      <c r="N3693" s="74"/>
      <c r="O3693" s="87">
        <f t="shared" si="11"/>
        <v>650000</v>
      </c>
      <c r="P3693" s="102" t="str">
        <f t="shared" si="2"/>
        <v>Rp650,000-1 LSN-0.00%</v>
      </c>
      <c r="Q3693" s="92">
        <v>45422.0</v>
      </c>
      <c r="R3693" s="76"/>
      <c r="S3693" s="92">
        <v>45430.0</v>
      </c>
      <c r="T3693" s="77" t="s">
        <v>280</v>
      </c>
      <c r="V3693" s="21" t="s">
        <v>2076</v>
      </c>
    </row>
    <row r="3694">
      <c r="A3694" s="93">
        <v>182.0</v>
      </c>
      <c r="B3694" s="77" t="s">
        <v>29</v>
      </c>
      <c r="C3694" s="77" t="s">
        <v>3436</v>
      </c>
      <c r="D3694" s="91"/>
      <c r="E3694" s="41" t="str">
        <f>IFERROR(__xludf.DUMMYFUNCTION("IFNA(vlookup(D3694,IMPORTRANGE(""https://docs.google.com/spreadsheets/d/1swGwZOEqYlTEUCJLY-eeJM1911Kvaei5oySBIxdgtNo/edit?pli=1#gid=257618397"",""stock untanna!B:C""),2,false),V:V)"),"PC PLS 408")</f>
        <v>PC PLS 408</v>
      </c>
      <c r="F3694" s="49"/>
      <c r="G3694" s="71"/>
      <c r="H3694" s="41"/>
      <c r="I3694" s="42"/>
      <c r="J3694" s="85" t="s">
        <v>3190</v>
      </c>
      <c r="K3694" s="93">
        <v>1.0</v>
      </c>
      <c r="L3694" s="112" t="s">
        <v>62</v>
      </c>
      <c r="M3694" s="113">
        <v>175000.0</v>
      </c>
      <c r="N3694" s="74"/>
      <c r="O3694" s="87">
        <f t="shared" si="11"/>
        <v>175000</v>
      </c>
      <c r="P3694" s="102" t="str">
        <f t="shared" si="2"/>
        <v>Rp175,000-1 LSN-0.00%</v>
      </c>
      <c r="Q3694" s="92">
        <v>45422.0</v>
      </c>
      <c r="R3694" s="76"/>
      <c r="S3694" s="92">
        <v>45430.0</v>
      </c>
      <c r="T3694" s="49"/>
      <c r="V3694" s="21" t="s">
        <v>3464</v>
      </c>
    </row>
    <row r="3695">
      <c r="A3695" s="93">
        <v>182.0</v>
      </c>
      <c r="B3695" s="77" t="s">
        <v>29</v>
      </c>
      <c r="C3695" s="77" t="s">
        <v>3436</v>
      </c>
      <c r="D3695" s="91"/>
      <c r="E3695" s="41" t="str">
        <f>IFERROR(__xludf.DUMMYFUNCTION("IFNA(vlookup(D3695,IMPORTRANGE(""https://docs.google.com/spreadsheets/d/1swGwZOEqYlTEUCJLY-eeJM1911Kvaei5oySBIxdgtNo/edit?pli=1#gid=257618397"",""stock untanna!B:C""),2,false),V:V)"),"PC PLS 9008 SC")</f>
        <v>PC PLS 9008 SC</v>
      </c>
      <c r="F3695" s="49"/>
      <c r="G3695" s="71"/>
      <c r="H3695" s="41"/>
      <c r="I3695" s="42"/>
      <c r="J3695" s="85" t="s">
        <v>3190</v>
      </c>
      <c r="K3695" s="93">
        <v>1.0</v>
      </c>
      <c r="L3695" s="112" t="s">
        <v>62</v>
      </c>
      <c r="M3695" s="113">
        <v>100000.0</v>
      </c>
      <c r="N3695" s="74"/>
      <c r="O3695" s="87">
        <f t="shared" si="11"/>
        <v>100000</v>
      </c>
      <c r="P3695" s="102" t="str">
        <f t="shared" si="2"/>
        <v>Rp100,000-1 LSN-0.00%</v>
      </c>
      <c r="Q3695" s="92">
        <v>45422.0</v>
      </c>
      <c r="R3695" s="76"/>
      <c r="S3695" s="92">
        <v>45430.0</v>
      </c>
      <c r="T3695" s="49"/>
      <c r="V3695" s="21" t="s">
        <v>3465</v>
      </c>
    </row>
    <row r="3696">
      <c r="A3696" s="93">
        <v>182.0</v>
      </c>
      <c r="B3696" s="77" t="s">
        <v>29</v>
      </c>
      <c r="C3696" s="77" t="s">
        <v>3436</v>
      </c>
      <c r="D3696" s="91"/>
      <c r="E3696" s="41" t="str">
        <f>IFERROR(__xludf.DUMMYFUNCTION("IFNA(vlookup(D3696,IMPORTRANGE(""https://docs.google.com/spreadsheets/d/1swGwZOEqYlTEUCJLY-eeJM1911Kvaei5oySBIxdgtNo/edit?pli=1#gid=257618397"",""stock untanna!B:C""),2,false),V:V)"),"PC RET KY 1114")</f>
        <v>PC RET KY 1114</v>
      </c>
      <c r="F3696" s="49"/>
      <c r="G3696" s="71"/>
      <c r="H3696" s="41"/>
      <c r="I3696" s="42"/>
      <c r="J3696" s="85" t="s">
        <v>1319</v>
      </c>
      <c r="K3696" s="93">
        <v>1.0</v>
      </c>
      <c r="L3696" s="112" t="s">
        <v>62</v>
      </c>
      <c r="M3696" s="113">
        <v>350000.0</v>
      </c>
      <c r="N3696" s="74"/>
      <c r="O3696" s="87">
        <f t="shared" si="11"/>
        <v>350000</v>
      </c>
      <c r="P3696" s="102" t="str">
        <f t="shared" si="2"/>
        <v>Rp350,000-1 LSN-0.00%</v>
      </c>
      <c r="Q3696" s="92">
        <v>45422.0</v>
      </c>
      <c r="R3696" s="76"/>
      <c r="S3696" s="92">
        <v>45430.0</v>
      </c>
      <c r="T3696" s="77" t="s">
        <v>280</v>
      </c>
      <c r="V3696" s="21" t="s">
        <v>3466</v>
      </c>
    </row>
    <row r="3697">
      <c r="A3697" s="93">
        <v>182.0</v>
      </c>
      <c r="B3697" s="77" t="s">
        <v>29</v>
      </c>
      <c r="C3697" s="77" t="s">
        <v>3436</v>
      </c>
      <c r="D3697" s="77" t="s">
        <v>1136</v>
      </c>
      <c r="E3697" s="41" t="str">
        <f>IFERROR(__xludf.DUMMYFUNCTION("IFNA(vlookup(D3697,IMPORTRANGE(""https://docs.google.com/spreadsheets/d/1swGwZOEqYlTEUCJLY-eeJM1911Kvaei5oySBIxdgtNo/edit?pli=1#gid=257618397"",""stock untanna!B:C""),2,false),V:V)"),"PENSIL CASE SH-8703")</f>
        <v>PENSIL CASE SH-8703</v>
      </c>
      <c r="F3697" s="49"/>
      <c r="G3697" s="71"/>
      <c r="H3697" s="41"/>
      <c r="I3697" s="42"/>
      <c r="J3697" s="85" t="s">
        <v>1319</v>
      </c>
      <c r="K3697" s="93">
        <v>12.0</v>
      </c>
      <c r="L3697" s="112" t="s">
        <v>69</v>
      </c>
      <c r="M3697" s="113">
        <v>25000.0</v>
      </c>
      <c r="N3697" s="74"/>
      <c r="O3697" s="87">
        <f t="shared" si="11"/>
        <v>300000</v>
      </c>
      <c r="P3697" s="102" t="str">
        <f t="shared" si="2"/>
        <v>Rp25,000-12 PCS-0.00%</v>
      </c>
      <c r="Q3697" s="92">
        <v>45422.0</v>
      </c>
      <c r="R3697" s="76"/>
      <c r="S3697" s="92">
        <v>45430.0</v>
      </c>
      <c r="T3697" s="49"/>
      <c r="V3697" s="21" t="s">
        <v>1137</v>
      </c>
    </row>
    <row r="3698">
      <c r="A3698" s="93">
        <v>182.0</v>
      </c>
      <c r="B3698" s="77" t="s">
        <v>29</v>
      </c>
      <c r="C3698" s="77" t="s">
        <v>3436</v>
      </c>
      <c r="D3698" s="77" t="s">
        <v>1107</v>
      </c>
      <c r="E3698" s="41" t="str">
        <f>IFERROR(__xludf.DUMMYFUNCTION("IFNA(vlookup(D3698,IMPORTRANGE(""https://docs.google.com/spreadsheets/d/1swGwZOEqYlTEUCJLY-eeJM1911Kvaei5oySBIxdgtNo/edit?pli=1#gid=257618397"",""stock untanna!B:C""),2,false),V:V)"),"PENCIL CASE 5866")</f>
        <v>PENCIL CASE 5866</v>
      </c>
      <c r="F3698" s="49"/>
      <c r="G3698" s="71"/>
      <c r="H3698" s="41"/>
      <c r="I3698" s="42"/>
      <c r="J3698" s="85" t="s">
        <v>1319</v>
      </c>
      <c r="K3698" s="93">
        <v>12.0</v>
      </c>
      <c r="L3698" s="112" t="s">
        <v>69</v>
      </c>
      <c r="M3698" s="113">
        <v>27083.3</v>
      </c>
      <c r="N3698" s="74"/>
      <c r="O3698" s="87">
        <f t="shared" si="11"/>
        <v>324999.6</v>
      </c>
      <c r="P3698" s="102" t="str">
        <f t="shared" si="2"/>
        <v>Rp27,083-12 PCS-0.00%</v>
      </c>
      <c r="Q3698" s="92">
        <v>45422.0</v>
      </c>
      <c r="R3698" s="76"/>
      <c r="S3698" s="92">
        <v>45430.0</v>
      </c>
      <c r="T3698" s="49"/>
      <c r="V3698" s="21" t="s">
        <v>1108</v>
      </c>
    </row>
    <row r="3699">
      <c r="A3699" s="93">
        <v>182.0</v>
      </c>
      <c r="B3699" s="77" t="s">
        <v>29</v>
      </c>
      <c r="C3699" s="77" t="s">
        <v>3436</v>
      </c>
      <c r="D3699" s="91"/>
      <c r="E3699" s="41" t="str">
        <f>IFERROR(__xludf.DUMMYFUNCTION("IFNA(vlookup(D3699,IMPORTRANGE(""https://docs.google.com/spreadsheets/d/1swGwZOEqYlTEUCJLY-eeJM1911Kvaei5oySBIxdgtNo/edit?pli=1#gid=257618397"",""stock untanna!B:C""),2,false),V:V)"),"PC RET BEILE DOG 8882 RESTLETING")</f>
        <v>PC RET BEILE DOG 8882 RESTLETING</v>
      </c>
      <c r="F3699" s="49"/>
      <c r="G3699" s="71"/>
      <c r="H3699" s="41"/>
      <c r="I3699" s="42"/>
      <c r="J3699" s="85" t="s">
        <v>1319</v>
      </c>
      <c r="K3699" s="93">
        <v>1.0</v>
      </c>
      <c r="L3699" s="112" t="s">
        <v>62</v>
      </c>
      <c r="M3699" s="113">
        <v>110000.0</v>
      </c>
      <c r="N3699" s="74"/>
      <c r="O3699" s="87">
        <f t="shared" si="11"/>
        <v>110000</v>
      </c>
      <c r="P3699" s="102" t="str">
        <f t="shared" si="2"/>
        <v>Rp110,000-1 LSN-0.00%</v>
      </c>
      <c r="Q3699" s="92">
        <v>45422.0</v>
      </c>
      <c r="R3699" s="76"/>
      <c r="S3699" s="92">
        <v>45430.0</v>
      </c>
      <c r="T3699" s="77" t="s">
        <v>280</v>
      </c>
      <c r="V3699" s="21" t="s">
        <v>3467</v>
      </c>
    </row>
    <row r="3700">
      <c r="A3700" s="93">
        <v>182.0</v>
      </c>
      <c r="B3700" s="77" t="s">
        <v>29</v>
      </c>
      <c r="C3700" s="77" t="s">
        <v>3436</v>
      </c>
      <c r="D3700" s="91"/>
      <c r="E3700" s="41" t="str">
        <f>IFERROR(__xludf.DUMMYFUNCTION("IFNA(vlookup(D3700,IMPORTRANGE(""https://docs.google.com/spreadsheets/d/1swGwZOEqYlTEUCJLY-eeJM1911Kvaei5oySBIxdgtNo/edit?pli=1#gid=257618397"",""stock untanna!B:C""),2,false),V:V)"),"PC PLST KOTAK B 1F 1504")</f>
        <v>PC PLST KOTAK B 1F 1504</v>
      </c>
      <c r="F3700" s="49"/>
      <c r="G3700" s="71"/>
      <c r="H3700" s="41"/>
      <c r="I3700" s="42"/>
      <c r="J3700" s="85" t="s">
        <v>3190</v>
      </c>
      <c r="K3700" s="93">
        <v>1.0</v>
      </c>
      <c r="L3700" s="112" t="s">
        <v>62</v>
      </c>
      <c r="M3700" s="113">
        <v>95000.0</v>
      </c>
      <c r="N3700" s="74"/>
      <c r="O3700" s="87">
        <f t="shared" si="11"/>
        <v>95000</v>
      </c>
      <c r="P3700" s="102" t="str">
        <f t="shared" si="2"/>
        <v>Rp95,000-1 LSN-0.00%</v>
      </c>
      <c r="Q3700" s="92">
        <v>45422.0</v>
      </c>
      <c r="R3700" s="76"/>
      <c r="S3700" s="92">
        <v>45430.0</v>
      </c>
      <c r="T3700" s="77" t="s">
        <v>2962</v>
      </c>
      <c r="V3700" s="21" t="s">
        <v>2962</v>
      </c>
    </row>
    <row r="3701">
      <c r="A3701" s="93">
        <v>182.0</v>
      </c>
      <c r="B3701" s="77" t="s">
        <v>29</v>
      </c>
      <c r="C3701" s="77" t="s">
        <v>3436</v>
      </c>
      <c r="D3701" s="91"/>
      <c r="E3701" s="41" t="str">
        <f>IFERROR(__xludf.DUMMYFUNCTION("IFNA(vlookup(D3701,IMPORTRANGE(""https://docs.google.com/spreadsheets/d/1swGwZOEqYlTEUCJLY-eeJM1911Kvaei5oySBIxdgtNo/edit?pli=1#gid=257618397"",""stock untanna!B:C""),2,false),V:V)"),"PC MAGNIT S 30")</f>
        <v>PC MAGNIT S 30</v>
      </c>
      <c r="F3701" s="49"/>
      <c r="G3701" s="71"/>
      <c r="H3701" s="41"/>
      <c r="I3701" s="42"/>
      <c r="J3701" s="85" t="s">
        <v>3190</v>
      </c>
      <c r="K3701" s="93">
        <v>1.0</v>
      </c>
      <c r="L3701" s="112" t="s">
        <v>62</v>
      </c>
      <c r="M3701" s="113">
        <v>165000.0</v>
      </c>
      <c r="N3701" s="74"/>
      <c r="O3701" s="87">
        <f t="shared" si="11"/>
        <v>165000</v>
      </c>
      <c r="P3701" s="102" t="str">
        <f t="shared" si="2"/>
        <v>Rp165,000-1 LSN-0.00%</v>
      </c>
      <c r="Q3701" s="92">
        <v>45422.0</v>
      </c>
      <c r="R3701" s="76"/>
      <c r="S3701" s="92">
        <v>45430.0</v>
      </c>
      <c r="T3701" s="49"/>
      <c r="V3701" s="21" t="s">
        <v>3468</v>
      </c>
    </row>
    <row r="3702">
      <c r="A3702" s="93">
        <v>182.0</v>
      </c>
      <c r="B3702" s="77" t="s">
        <v>29</v>
      </c>
      <c r="C3702" s="77" t="s">
        <v>3436</v>
      </c>
      <c r="D3702" s="77" t="s">
        <v>3469</v>
      </c>
      <c r="E3702" s="41" t="str">
        <f>IFERROR(__xludf.DUMMYFUNCTION("IFNA(vlookup(D3702,IMPORTRANGE(""https://docs.google.com/spreadsheets/d/1swGwZOEqYlTEUCJLY-eeJM1911Kvaei5oySBIxdgtNo/edit?pli=1#gid=257618397"",""stock untanna!B:C""),2,false),V:V)"),"ASAHAN TIKO 544 (24)")</f>
        <v>ASAHAN TIKO 544 (24)</v>
      </c>
      <c r="F3702" s="49"/>
      <c r="G3702" s="71"/>
      <c r="H3702" s="41"/>
      <c r="I3702" s="42"/>
      <c r="J3702" s="85" t="s">
        <v>1319</v>
      </c>
      <c r="K3702" s="93">
        <v>1.0</v>
      </c>
      <c r="L3702" s="112" t="s">
        <v>88</v>
      </c>
      <c r="M3702" s="113">
        <v>252500.0</v>
      </c>
      <c r="N3702" s="74"/>
      <c r="O3702" s="87">
        <f t="shared" si="11"/>
        <v>252500</v>
      </c>
      <c r="P3702" s="102" t="str">
        <f t="shared" si="2"/>
        <v>Rp252,500-1 BOX-0.00%</v>
      </c>
      <c r="Q3702" s="92">
        <v>45422.0</v>
      </c>
      <c r="R3702" s="76"/>
      <c r="S3702" s="92">
        <v>45430.0</v>
      </c>
      <c r="T3702" s="49"/>
      <c r="V3702" s="21" t="s">
        <v>3470</v>
      </c>
    </row>
    <row r="3703">
      <c r="A3703" s="93">
        <v>182.0</v>
      </c>
      <c r="B3703" s="77" t="s">
        <v>29</v>
      </c>
      <c r="C3703" s="77" t="s">
        <v>3436</v>
      </c>
      <c r="D3703" s="77" t="s">
        <v>3471</v>
      </c>
      <c r="E3703" s="41" t="str">
        <f>IFERROR(__xludf.DUMMYFUNCTION("IFNA(vlookup(D3703,IMPORTRANGE(""https://docs.google.com/spreadsheets/d/1swGwZOEqYlTEUCJLY-eeJM1911Kvaei5oySBIxdgtNo/edit?pli=1#gid=257618397"",""stock untanna!B:C""),2,false),V:V)"),"ASAHAN 717A")</f>
        <v>ASAHAN 717A</v>
      </c>
      <c r="F3703" s="49"/>
      <c r="G3703" s="71"/>
      <c r="H3703" s="41"/>
      <c r="I3703" s="42"/>
      <c r="J3703" s="85" t="s">
        <v>1319</v>
      </c>
      <c r="K3703" s="93">
        <v>6.0</v>
      </c>
      <c r="L3703" s="112" t="s">
        <v>69</v>
      </c>
      <c r="M3703" s="113">
        <v>17500.0</v>
      </c>
      <c r="N3703" s="74"/>
      <c r="O3703" s="87">
        <f t="shared" si="11"/>
        <v>105000</v>
      </c>
      <c r="P3703" s="102" t="str">
        <f t="shared" si="2"/>
        <v>Rp17,500-6 PCS-0.00%</v>
      </c>
      <c r="Q3703" s="92">
        <v>45422.0</v>
      </c>
      <c r="R3703" s="76"/>
      <c r="S3703" s="92">
        <v>45430.0</v>
      </c>
      <c r="T3703" s="49"/>
      <c r="V3703" s="21" t="s">
        <v>3472</v>
      </c>
    </row>
    <row r="3704">
      <c r="A3704" s="93">
        <v>182.0</v>
      </c>
      <c r="B3704" s="77" t="s">
        <v>29</v>
      </c>
      <c r="C3704" s="77" t="s">
        <v>3436</v>
      </c>
      <c r="D3704" s="77" t="s">
        <v>3473</v>
      </c>
      <c r="E3704" s="41" t="str">
        <f>IFERROR(__xludf.DUMMYFUNCTION("IFNA(vlookup(D3704,IMPORTRANGE(""https://docs.google.com/spreadsheets/d/1swGwZOEqYlTEUCJLY-eeJM1911Kvaei5oySBIxdgtNo/edit?pli=1#gid=257618397"",""stock untanna!B:C""),2,false),V:V)"),"ASAHAN MEJA 9040 A RUMAH")</f>
        <v>ASAHAN MEJA 9040 A RUMAH</v>
      </c>
      <c r="F3704" s="49"/>
      <c r="G3704" s="71"/>
      <c r="H3704" s="41"/>
      <c r="I3704" s="42"/>
      <c r="J3704" s="85" t="s">
        <v>1319</v>
      </c>
      <c r="K3704" s="93">
        <v>6.0</v>
      </c>
      <c r="L3704" s="112" t="s">
        <v>69</v>
      </c>
      <c r="M3704" s="113">
        <v>30000.0</v>
      </c>
      <c r="N3704" s="74"/>
      <c r="O3704" s="87">
        <f t="shared" si="11"/>
        <v>180000</v>
      </c>
      <c r="P3704" s="102" t="str">
        <f t="shared" si="2"/>
        <v>Rp30,000-6 PCS-0.00%</v>
      </c>
      <c r="Q3704" s="92">
        <v>45422.0</v>
      </c>
      <c r="R3704" s="76"/>
      <c r="S3704" s="92">
        <v>45430.0</v>
      </c>
      <c r="T3704" s="49"/>
      <c r="V3704" s="21" t="s">
        <v>3474</v>
      </c>
    </row>
    <row r="3705">
      <c r="A3705" s="93">
        <v>183.0</v>
      </c>
      <c r="B3705" s="77" t="s">
        <v>29</v>
      </c>
      <c r="C3705" s="77" t="s">
        <v>3436</v>
      </c>
      <c r="D3705" s="77" t="s">
        <v>3302</v>
      </c>
      <c r="E3705" s="41" t="str">
        <f>IFERROR(__xludf.DUMMYFUNCTION("IFNA(vlookup(D3705,IMPORTRANGE(""https://docs.google.com/spreadsheets/d/1swGwZOEqYlTEUCJLY-eeJM1911Kvaei5oySBIxdgtNo/edit?pli=1#gid=257618397"",""stock untanna!B:C""),2,false),V:V)"),"ASAHAN 906")</f>
        <v>ASAHAN 906</v>
      </c>
      <c r="F3705" s="49"/>
      <c r="G3705" s="71"/>
      <c r="H3705" s="41"/>
      <c r="I3705" s="42"/>
      <c r="J3705" s="85" t="s">
        <v>1319</v>
      </c>
      <c r="K3705" s="93">
        <v>6.0</v>
      </c>
      <c r="L3705" s="112" t="s">
        <v>69</v>
      </c>
      <c r="M3705" s="113">
        <v>19000.0</v>
      </c>
      <c r="N3705" s="74"/>
      <c r="O3705" s="87">
        <f t="shared" si="11"/>
        <v>114000</v>
      </c>
      <c r="P3705" s="102" t="str">
        <f t="shared" si="2"/>
        <v>Rp19,000-6 PCS-0.00%</v>
      </c>
      <c r="Q3705" s="92">
        <v>45422.0</v>
      </c>
      <c r="R3705" s="76"/>
      <c r="S3705" s="92">
        <v>45430.0</v>
      </c>
      <c r="T3705" s="49"/>
      <c r="V3705" s="21" t="s">
        <v>3303</v>
      </c>
    </row>
    <row r="3706">
      <c r="A3706" s="93">
        <v>183.0</v>
      </c>
      <c r="B3706" s="77" t="s">
        <v>29</v>
      </c>
      <c r="C3706" s="77" t="s">
        <v>3436</v>
      </c>
      <c r="D3706" s="77" t="s">
        <v>3332</v>
      </c>
      <c r="E3706" s="41" t="str">
        <f>IFERROR(__xludf.DUMMYFUNCTION("IFNA(vlookup(D3706,IMPORTRANGE(""https://docs.google.com/spreadsheets/d/1swGwZOEqYlTEUCJLY-eeJM1911Kvaei5oySBIxdgtNo/edit?pli=1#gid=257618397"",""stock untanna!B:C""),2,false),V:V)"),"PITA JEPANG LIST EMAS")</f>
        <v>PITA JEPANG LIST EMAS</v>
      </c>
      <c r="F3706" s="49"/>
      <c r="G3706" s="71"/>
      <c r="H3706" s="41"/>
      <c r="I3706" s="42"/>
      <c r="J3706" s="85" t="s">
        <v>1319</v>
      </c>
      <c r="K3706" s="93">
        <v>2.0</v>
      </c>
      <c r="L3706" s="112" t="s">
        <v>1726</v>
      </c>
      <c r="M3706" s="113">
        <v>40000.0</v>
      </c>
      <c r="N3706" s="74"/>
      <c r="O3706" s="87">
        <f t="shared" si="11"/>
        <v>80000</v>
      </c>
      <c r="P3706" s="102" t="str">
        <f t="shared" si="2"/>
        <v>Rp40,000-2 SLOP-0.00%</v>
      </c>
      <c r="Q3706" s="92">
        <v>45422.0</v>
      </c>
      <c r="R3706" s="76"/>
      <c r="S3706" s="92">
        <v>45430.0</v>
      </c>
      <c r="T3706" s="49"/>
      <c r="V3706" s="21" t="s">
        <v>3333</v>
      </c>
    </row>
    <row r="3707">
      <c r="A3707" s="93">
        <v>183.0</v>
      </c>
      <c r="B3707" s="77" t="s">
        <v>29</v>
      </c>
      <c r="C3707" s="77" t="s">
        <v>3436</v>
      </c>
      <c r="D3707" s="91"/>
      <c r="E3707" s="41" t="str">
        <f>IFERROR(__xludf.DUMMYFUNCTION("IFNA(vlookup(D3707,IMPORTRANGE(""https://docs.google.com/spreadsheets/d/1swGwZOEqYlTEUCJLY-eeJM1911Kvaei5oySBIxdgtNo/edit?pli=1#gid=257618397"",""stock untanna!B:C""),2,false),V:V)"),"PITA JEPANG MOTIF")</f>
        <v>PITA JEPANG MOTIF</v>
      </c>
      <c r="F3707" s="49"/>
      <c r="G3707" s="71"/>
      <c r="H3707" s="41"/>
      <c r="I3707" s="42"/>
      <c r="J3707" s="85" t="s">
        <v>3190</v>
      </c>
      <c r="K3707" s="93">
        <v>2.0</v>
      </c>
      <c r="L3707" s="112" t="s">
        <v>114</v>
      </c>
      <c r="M3707" s="113">
        <v>40000.0</v>
      </c>
      <c r="N3707" s="74"/>
      <c r="O3707" s="87">
        <f t="shared" si="11"/>
        <v>80000</v>
      </c>
      <c r="P3707" s="102" t="str">
        <f t="shared" si="2"/>
        <v>Rp40,000-2 PAK-0.00%</v>
      </c>
      <c r="Q3707" s="92">
        <v>45422.0</v>
      </c>
      <c r="R3707" s="76"/>
      <c r="S3707" s="92">
        <v>45430.0</v>
      </c>
      <c r="T3707" s="49"/>
      <c r="V3707" s="21" t="s">
        <v>1723</v>
      </c>
    </row>
    <row r="3708">
      <c r="A3708" s="93">
        <v>183.0</v>
      </c>
      <c r="B3708" s="77" t="s">
        <v>29</v>
      </c>
      <c r="C3708" s="77" t="s">
        <v>3436</v>
      </c>
      <c r="D3708" s="91"/>
      <c r="E3708" s="41" t="str">
        <f>IFERROR(__xludf.DUMMYFUNCTION("IFNA(vlookup(D3708,IMPORTRANGE(""https://docs.google.com/spreadsheets/d/1swGwZOEqYlTEUCJLY-eeJM1911Kvaei5oySBIxdgtNo/edit?pli=1#gid=257618397"",""stock untanna!B:C""),2,false),V:V)"),"PITA JEPANG NCL")</f>
        <v>PITA JEPANG NCL</v>
      </c>
      <c r="F3708" s="49"/>
      <c r="G3708" s="71"/>
      <c r="H3708" s="41"/>
      <c r="I3708" s="42"/>
      <c r="J3708" s="85" t="s">
        <v>3190</v>
      </c>
      <c r="K3708" s="93">
        <v>2.0</v>
      </c>
      <c r="L3708" s="112" t="s">
        <v>114</v>
      </c>
      <c r="M3708" s="113">
        <v>27000.0</v>
      </c>
      <c r="N3708" s="74"/>
      <c r="O3708" s="87">
        <f t="shared" si="11"/>
        <v>54000</v>
      </c>
      <c r="P3708" s="102" t="str">
        <f t="shared" si="2"/>
        <v>Rp27,000-2 PAK-0.00%</v>
      </c>
      <c r="Q3708" s="92">
        <v>45422.0</v>
      </c>
      <c r="R3708" s="76"/>
      <c r="S3708" s="92">
        <v>45430.0</v>
      </c>
      <c r="T3708" s="49"/>
      <c r="V3708" s="21" t="s">
        <v>3475</v>
      </c>
    </row>
    <row r="3709">
      <c r="A3709" s="93">
        <v>183.0</v>
      </c>
      <c r="B3709" s="77" t="s">
        <v>29</v>
      </c>
      <c r="C3709" s="77" t="s">
        <v>3436</v>
      </c>
      <c r="D3709" s="91"/>
      <c r="E3709" s="41" t="str">
        <f>IFERROR(__xludf.DUMMYFUNCTION("IFNA(vlookup(D3709,IMPORTRANGE(""https://docs.google.com/spreadsheets/d/1swGwZOEqYlTEUCJLY-eeJM1911Kvaei5oySBIxdgtNo/edit?pli=1#gid=257618397"",""stock untanna!B:C""),2,false),V:V)"),"TINTA DAISHEN B")</f>
        <v>TINTA DAISHEN B</v>
      </c>
      <c r="F3709" s="49"/>
      <c r="G3709" s="71"/>
      <c r="H3709" s="41"/>
      <c r="I3709" s="42"/>
      <c r="J3709" s="85" t="s">
        <v>1319</v>
      </c>
      <c r="K3709" s="93">
        <v>1.0</v>
      </c>
      <c r="L3709" s="112" t="s">
        <v>62</v>
      </c>
      <c r="M3709" s="113">
        <v>70000.0</v>
      </c>
      <c r="N3709" s="74"/>
      <c r="O3709" s="87">
        <f t="shared" si="11"/>
        <v>70000</v>
      </c>
      <c r="P3709" s="102" t="str">
        <f t="shared" si="2"/>
        <v>Rp70,000-1 LSN-0.00%</v>
      </c>
      <c r="Q3709" s="92">
        <v>45422.0</v>
      </c>
      <c r="R3709" s="76"/>
      <c r="S3709" s="92">
        <v>45430.0</v>
      </c>
      <c r="T3709" s="77" t="s">
        <v>280</v>
      </c>
      <c r="V3709" s="21" t="s">
        <v>3476</v>
      </c>
    </row>
    <row r="3710">
      <c r="A3710" s="93">
        <v>183.0</v>
      </c>
      <c r="B3710" s="77" t="s">
        <v>29</v>
      </c>
      <c r="C3710" s="77" t="s">
        <v>3436</v>
      </c>
      <c r="D3710" s="77" t="s">
        <v>3477</v>
      </c>
      <c r="E3710" s="41" t="str">
        <f>IFERROR(__xludf.DUMMYFUNCTION("IFNA(vlookup(D3710,IMPORTRANGE(""https://docs.google.com/spreadsheets/d/1swGwZOEqYlTEUCJLY-eeJM1911Kvaei5oySBIxdgtNo/edit?pli=1#gid=257618397"",""stock untanna!B:C""),2,false),V:V)"),"ASAHAN XH8082")</f>
        <v>ASAHAN XH8082</v>
      </c>
      <c r="F3710" s="49"/>
      <c r="G3710" s="71"/>
      <c r="H3710" s="41"/>
      <c r="I3710" s="42"/>
      <c r="J3710" s="85" t="s">
        <v>1319</v>
      </c>
      <c r="K3710" s="93">
        <v>72.0</v>
      </c>
      <c r="L3710" s="112" t="s">
        <v>69</v>
      </c>
      <c r="M3710" s="113">
        <v>2250.0</v>
      </c>
      <c r="N3710" s="74"/>
      <c r="O3710" s="87">
        <f t="shared" si="11"/>
        <v>162000</v>
      </c>
      <c r="P3710" s="102" t="str">
        <f t="shared" si="2"/>
        <v>Rp2,250-72 PCS-0.00%</v>
      </c>
      <c r="Q3710" s="92">
        <v>45422.0</v>
      </c>
      <c r="R3710" s="76"/>
      <c r="S3710" s="92">
        <v>45430.0</v>
      </c>
      <c r="T3710" s="49"/>
      <c r="V3710" s="21" t="s">
        <v>3478</v>
      </c>
    </row>
    <row r="3711">
      <c r="A3711" s="93">
        <v>183.0</v>
      </c>
      <c r="B3711" s="77" t="s">
        <v>29</v>
      </c>
      <c r="C3711" s="77" t="s">
        <v>3436</v>
      </c>
      <c r="D3711" s="77" t="s">
        <v>537</v>
      </c>
      <c r="E3711" s="41" t="str">
        <f>IFERROR(__xludf.DUMMYFUNCTION("IFNA(vlookup(D3711,IMPORTRANGE(""https://docs.google.com/spreadsheets/d/1swGwZOEqYlTEUCJLY-eeJM1911Kvaei5oySBIxdgtNo/edit?pli=1#gid=257618397"",""stock untanna!B:C""),2,false),V:V)"),"ASAHAN NO.8807")</f>
        <v>ASAHAN NO.8807</v>
      </c>
      <c r="F3711" s="49"/>
      <c r="G3711" s="71"/>
      <c r="H3711" s="41"/>
      <c r="I3711" s="42"/>
      <c r="J3711" s="85" t="s">
        <v>1319</v>
      </c>
      <c r="K3711" s="93">
        <v>60.0</v>
      </c>
      <c r="L3711" s="112" t="s">
        <v>69</v>
      </c>
      <c r="M3711" s="113">
        <v>2250.0</v>
      </c>
      <c r="N3711" s="74"/>
      <c r="O3711" s="87">
        <f t="shared" si="11"/>
        <v>135000</v>
      </c>
      <c r="P3711" s="102" t="str">
        <f t="shared" si="2"/>
        <v>Rp2,250-60 PCS-0.00%</v>
      </c>
      <c r="Q3711" s="92">
        <v>45422.0</v>
      </c>
      <c r="R3711" s="76"/>
      <c r="S3711" s="92">
        <v>45430.0</v>
      </c>
      <c r="T3711" s="49"/>
      <c r="V3711" s="21" t="s">
        <v>538</v>
      </c>
    </row>
    <row r="3712">
      <c r="A3712" s="93">
        <v>183.0</v>
      </c>
      <c r="B3712" s="77" t="s">
        <v>29</v>
      </c>
      <c r="C3712" s="77" t="s">
        <v>3436</v>
      </c>
      <c r="D3712" s="77" t="s">
        <v>3316</v>
      </c>
      <c r="E3712" s="41" t="str">
        <f>IFERROR(__xludf.DUMMYFUNCTION("IFNA(vlookup(D3712,IMPORTRANGE(""https://docs.google.com/spreadsheets/d/1swGwZOEqYlTEUCJLY-eeJM1911Kvaei5oySBIxdgtNo/edit?pli=1#gid=257618397"",""stock untanna!B:C""),2,false),V:V)"),"ASAHAN DY 393 B")</f>
        <v>ASAHAN DY 393 B</v>
      </c>
      <c r="F3712" s="49"/>
      <c r="G3712" s="71"/>
      <c r="H3712" s="41"/>
      <c r="I3712" s="42"/>
      <c r="J3712" s="85" t="s">
        <v>1319</v>
      </c>
      <c r="K3712" s="93">
        <v>2.0</v>
      </c>
      <c r="L3712" s="112" t="s">
        <v>62</v>
      </c>
      <c r="M3712" s="113">
        <v>25000.0</v>
      </c>
      <c r="N3712" s="74"/>
      <c r="O3712" s="87">
        <f t="shared" si="11"/>
        <v>50000</v>
      </c>
      <c r="P3712" s="102" t="str">
        <f t="shared" si="2"/>
        <v>Rp25,000-2 LSN-0.00%</v>
      </c>
      <c r="Q3712" s="92">
        <v>45422.0</v>
      </c>
      <c r="R3712" s="76"/>
      <c r="S3712" s="92">
        <v>45430.0</v>
      </c>
      <c r="T3712" s="77" t="s">
        <v>100</v>
      </c>
      <c r="V3712" s="21" t="s">
        <v>3317</v>
      </c>
    </row>
    <row r="3713">
      <c r="A3713" s="93">
        <v>183.0</v>
      </c>
      <c r="B3713" s="77" t="s">
        <v>29</v>
      </c>
      <c r="C3713" s="77" t="s">
        <v>3436</v>
      </c>
      <c r="D3713" s="91"/>
      <c r="E3713" s="41" t="str">
        <f>IFERROR(__xludf.DUMMYFUNCTION("IFNA(vlookup(D3713,IMPORTRANGE(""https://docs.google.com/spreadsheets/d/1swGwZOEqYlTEUCJLY-eeJM1911Kvaei5oySBIxdgtNo/edit?pli=1#gid=257618397"",""stock untanna!B:C""),2,false),V:V)"),"ASAHAN DY 395 B")</f>
        <v>ASAHAN DY 395 B</v>
      </c>
      <c r="F3713" s="49"/>
      <c r="G3713" s="71"/>
      <c r="H3713" s="41"/>
      <c r="I3713" s="42"/>
      <c r="J3713" s="85" t="s">
        <v>3190</v>
      </c>
      <c r="K3713" s="93">
        <v>2.0</v>
      </c>
      <c r="L3713" s="112" t="s">
        <v>62</v>
      </c>
      <c r="M3713" s="113">
        <v>25000.0</v>
      </c>
      <c r="N3713" s="74"/>
      <c r="O3713" s="87">
        <f t="shared" si="11"/>
        <v>50000</v>
      </c>
      <c r="P3713" s="102" t="str">
        <f t="shared" si="2"/>
        <v>Rp25,000-2 LSN-0.00%</v>
      </c>
      <c r="Q3713" s="92">
        <v>45422.0</v>
      </c>
      <c r="R3713" s="76"/>
      <c r="S3713" s="92">
        <v>45430.0</v>
      </c>
      <c r="T3713" s="49"/>
      <c r="V3713" s="21" t="s">
        <v>3479</v>
      </c>
    </row>
    <row r="3714">
      <c r="A3714" s="93">
        <v>183.0</v>
      </c>
      <c r="B3714" s="77" t="s">
        <v>29</v>
      </c>
      <c r="C3714" s="77" t="s">
        <v>3436</v>
      </c>
      <c r="D3714" s="77" t="s">
        <v>2356</v>
      </c>
      <c r="E3714" s="41" t="str">
        <f>IFERROR(__xludf.DUMMYFUNCTION("IFNA(vlookup(D3714,IMPORTRANGE(""https://docs.google.com/spreadsheets/d/1swGwZOEqYlTEUCJLY-eeJM1911Kvaei5oySBIxdgtNo/edit?pli=1#gid=257618397"",""stock untanna!B:C""),2,false),V:V)"),"PENSIL CASE AD-062")</f>
        <v>PENSIL CASE AD-062</v>
      </c>
      <c r="F3714" s="49"/>
      <c r="G3714" s="71"/>
      <c r="H3714" s="41"/>
      <c r="I3714" s="42"/>
      <c r="J3714" s="85" t="s">
        <v>1319</v>
      </c>
      <c r="K3714" s="93">
        <v>12.0</v>
      </c>
      <c r="L3714" s="112" t="s">
        <v>69</v>
      </c>
      <c r="M3714" s="113">
        <v>18750.0</v>
      </c>
      <c r="N3714" s="74"/>
      <c r="O3714" s="87">
        <f t="shared" si="11"/>
        <v>225000</v>
      </c>
      <c r="P3714" s="102" t="str">
        <f t="shared" si="2"/>
        <v>Rp18,750-12 PCS-0.00%</v>
      </c>
      <c r="Q3714" s="92">
        <v>45422.0</v>
      </c>
      <c r="R3714" s="76"/>
      <c r="S3714" s="92">
        <v>45430.0</v>
      </c>
      <c r="T3714" s="49"/>
      <c r="V3714" s="21" t="s">
        <v>2357</v>
      </c>
    </row>
    <row r="3715">
      <c r="A3715" s="93">
        <v>183.0</v>
      </c>
      <c r="B3715" s="77" t="s">
        <v>29</v>
      </c>
      <c r="C3715" s="77" t="s">
        <v>3436</v>
      </c>
      <c r="D3715" s="77" t="s">
        <v>823</v>
      </c>
      <c r="E3715" s="41" t="str">
        <f>IFERROR(__xludf.DUMMYFUNCTION("IFNA(vlookup(D3715,IMPORTRANGE(""https://docs.google.com/spreadsheets/d/1swGwZOEqYlTEUCJLY-eeJM1911Kvaei5oySBIxdgtNo/edit?pli=1#gid=257618397"",""stock untanna!B:C""),2,false),V:V)"),"PENCIL CASE K-96")</f>
        <v>PENCIL CASE K-96</v>
      </c>
      <c r="F3715" s="49"/>
      <c r="G3715" s="71"/>
      <c r="H3715" s="41"/>
      <c r="I3715" s="42"/>
      <c r="J3715" s="85" t="s">
        <v>1319</v>
      </c>
      <c r="K3715" s="93">
        <v>12.0</v>
      </c>
      <c r="L3715" s="112" t="s">
        <v>69</v>
      </c>
      <c r="M3715" s="113">
        <v>22916.7</v>
      </c>
      <c r="N3715" s="74"/>
      <c r="O3715" s="87">
        <f t="shared" si="11"/>
        <v>275000.4</v>
      </c>
      <c r="P3715" s="102" t="str">
        <f t="shared" si="2"/>
        <v>Rp22,917-12 PCS-0.00%</v>
      </c>
      <c r="Q3715" s="92">
        <v>45422.0</v>
      </c>
      <c r="R3715" s="76"/>
      <c r="S3715" s="92">
        <v>45430.0</v>
      </c>
      <c r="T3715" s="49"/>
      <c r="V3715" s="21" t="s">
        <v>824</v>
      </c>
    </row>
    <row r="3716">
      <c r="A3716" s="93">
        <v>183.0</v>
      </c>
      <c r="B3716" s="77" t="s">
        <v>29</v>
      </c>
      <c r="C3716" s="77" t="s">
        <v>3436</v>
      </c>
      <c r="D3716" s="91"/>
      <c r="E3716" s="41" t="str">
        <f>IFERROR(__xludf.DUMMYFUNCTION("IFNA(vlookup(D3716,IMPORTRANGE(""https://docs.google.com/spreadsheets/d/1swGwZOEqYlTEUCJLY-eeJM1911Kvaei5oySBIxdgtNo/edit?pli=1#gid=257618397"",""stock untanna!B:C""),2,false),V:V)"),"ASAHAN 0310 WTP 103")</f>
        <v>ASAHAN 0310 WTP 103</v>
      </c>
      <c r="F3716" s="49"/>
      <c r="G3716" s="71"/>
      <c r="H3716" s="41"/>
      <c r="I3716" s="42"/>
      <c r="J3716" s="85" t="s">
        <v>3190</v>
      </c>
      <c r="K3716" s="93">
        <v>1.0</v>
      </c>
      <c r="L3716" s="112" t="s">
        <v>88</v>
      </c>
      <c r="M3716" s="113">
        <v>48000.0</v>
      </c>
      <c r="N3716" s="74"/>
      <c r="O3716" s="87">
        <f t="shared" si="11"/>
        <v>48000</v>
      </c>
      <c r="P3716" s="102" t="str">
        <f t="shared" si="2"/>
        <v>Rp48,000-1 BOX-0.00%</v>
      </c>
      <c r="Q3716" s="92">
        <v>45422.0</v>
      </c>
      <c r="R3716" s="76"/>
      <c r="S3716" s="92">
        <v>45430.0</v>
      </c>
      <c r="T3716" s="49"/>
      <c r="V3716" s="21" t="s">
        <v>3480</v>
      </c>
    </row>
    <row r="3717">
      <c r="A3717" s="93">
        <v>183.0</v>
      </c>
      <c r="B3717" s="77" t="s">
        <v>29</v>
      </c>
      <c r="C3717" s="77" t="s">
        <v>3436</v>
      </c>
      <c r="D3717" s="77" t="s">
        <v>2178</v>
      </c>
      <c r="E3717" s="41" t="str">
        <f>IFERROR(__xludf.DUMMYFUNCTION("IFNA(vlookup(D3717,IMPORTRANGE(""https://docs.google.com/spreadsheets/d/1swGwZOEqYlTEUCJLY-eeJM1911Kvaei5oySBIxdgtNo/edit?pli=1#gid=257618397"",""stock untanna!B:C""),2,false),V:V)"),"MESIN LEM TEMBAK BOSCO 5538")</f>
        <v>MESIN LEM TEMBAK BOSCO 5538</v>
      </c>
      <c r="F3717" s="49"/>
      <c r="G3717" s="71"/>
      <c r="H3717" s="41"/>
      <c r="I3717" s="42"/>
      <c r="J3717" s="85" t="s">
        <v>1319</v>
      </c>
      <c r="K3717" s="93">
        <v>12.0</v>
      </c>
      <c r="L3717" s="112" t="s">
        <v>69</v>
      </c>
      <c r="M3717" s="113">
        <v>11000.0</v>
      </c>
      <c r="N3717" s="74"/>
      <c r="O3717" s="87">
        <f t="shared" si="11"/>
        <v>132000</v>
      </c>
      <c r="P3717" s="102" t="str">
        <f t="shared" si="2"/>
        <v>Rp11,000-12 PCS-0.00%</v>
      </c>
      <c r="Q3717" s="92">
        <v>45422.0</v>
      </c>
      <c r="R3717" s="76"/>
      <c r="S3717" s="92">
        <v>45430.0</v>
      </c>
      <c r="T3717" s="49"/>
      <c r="V3717" s="21" t="s">
        <v>2179</v>
      </c>
    </row>
    <row r="3718">
      <c r="A3718" s="93">
        <v>183.0</v>
      </c>
      <c r="B3718" s="77" t="s">
        <v>29</v>
      </c>
      <c r="C3718" s="77" t="s">
        <v>3436</v>
      </c>
      <c r="D3718" s="77" t="s">
        <v>732</v>
      </c>
      <c r="E3718" s="41" t="str">
        <f>IFERROR(__xludf.DUMMYFUNCTION("IFNA(vlookup(D3718,IMPORTRANGE(""https://docs.google.com/spreadsheets/d/1swGwZOEqYlTEUCJLY-eeJM1911Kvaei5oySBIxdgtNo/edit?pli=1#gid=257618397"",""stock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3718" s="49"/>
      <c r="G3718" s="71"/>
      <c r="H3718" s="41"/>
      <c r="I3718" s="42"/>
      <c r="J3718" s="85" t="s">
        <v>1319</v>
      </c>
      <c r="K3718" s="93">
        <v>6.0</v>
      </c>
      <c r="L3718" s="112" t="s">
        <v>69</v>
      </c>
      <c r="M3718" s="113">
        <v>31500.0</v>
      </c>
      <c r="N3718" s="74"/>
      <c r="O3718" s="87">
        <f t="shared" si="11"/>
        <v>189000</v>
      </c>
      <c r="P3718" s="102" t="str">
        <f t="shared" si="2"/>
        <v>Rp31,500-6 PCS-0.00%</v>
      </c>
      <c r="Q3718" s="92">
        <v>45422.0</v>
      </c>
      <c r="R3718" s="76"/>
      <c r="S3718" s="92">
        <v>45430.0</v>
      </c>
      <c r="T3718" s="49"/>
      <c r="V3718" s="21" t="s">
        <v>733</v>
      </c>
    </row>
    <row r="3719">
      <c r="A3719" s="93">
        <v>183.0</v>
      </c>
      <c r="B3719" s="77" t="s">
        <v>29</v>
      </c>
      <c r="C3719" s="77" t="s">
        <v>3436</v>
      </c>
      <c r="D3719" s="91"/>
      <c r="E3719" s="41" t="str">
        <f>IFERROR(__xludf.DUMMYFUNCTION("IFNA(vlookup(D3719,IMPORTRANGE(""https://docs.google.com/spreadsheets/d/1swGwZOEqYlTEUCJLY-eeJM1911Kvaei5oySBIxdgtNo/edit?pli=1#gid=257618397"",""stock untanna!B:C""),2,false),V:V)"),"CUTTER KENKO 918 C")</f>
        <v>CUTTER KENKO 918 C</v>
      </c>
      <c r="F3719" s="49"/>
      <c r="G3719" s="71"/>
      <c r="H3719" s="41"/>
      <c r="I3719" s="42"/>
      <c r="J3719" s="85" t="s">
        <v>3190</v>
      </c>
      <c r="K3719" s="93">
        <v>1.0</v>
      </c>
      <c r="L3719" s="112" t="s">
        <v>62</v>
      </c>
      <c r="M3719" s="113">
        <v>70000.0</v>
      </c>
      <c r="N3719" s="74"/>
      <c r="O3719" s="87">
        <f t="shared" si="11"/>
        <v>70000</v>
      </c>
      <c r="P3719" s="102" t="str">
        <f t="shared" si="2"/>
        <v>Rp70,000-1 LSN-0.00%</v>
      </c>
      <c r="Q3719" s="92">
        <v>45422.0</v>
      </c>
      <c r="R3719" s="76"/>
      <c r="S3719" s="92">
        <v>45430.0</v>
      </c>
      <c r="T3719" s="77" t="s">
        <v>3434</v>
      </c>
      <c r="V3719" s="21" t="s">
        <v>3481</v>
      </c>
    </row>
    <row r="3720">
      <c r="A3720" s="93">
        <v>183.0</v>
      </c>
      <c r="B3720" s="77" t="s">
        <v>29</v>
      </c>
      <c r="C3720" s="77" t="s">
        <v>3436</v>
      </c>
      <c r="D3720" s="77" t="s">
        <v>2612</v>
      </c>
      <c r="E3720" s="41" t="str">
        <f>IFERROR(__xludf.DUMMYFUNCTION("IFNA(vlookup(D3720,IMPORTRANGE(""https://docs.google.com/spreadsheets/d/1swGwZOEqYlTEUCJLY-eeJM1911Kvaei5oySBIxdgtNo/edit?pli=1#gid=257618397"",""stock untanna!B:C""),2,false),V:V)"),"PITA CH-30-1")</f>
        <v>PITA CH-30-1</v>
      </c>
      <c r="F3720" s="49"/>
      <c r="G3720" s="71"/>
      <c r="H3720" s="41"/>
      <c r="I3720" s="42"/>
      <c r="J3720" s="85" t="s">
        <v>1319</v>
      </c>
      <c r="K3720" s="93">
        <v>50.0</v>
      </c>
      <c r="L3720" s="112" t="s">
        <v>69</v>
      </c>
      <c r="M3720" s="113">
        <v>10000.0</v>
      </c>
      <c r="N3720" s="74"/>
      <c r="O3720" s="87">
        <f t="shared" si="11"/>
        <v>500000</v>
      </c>
      <c r="P3720" s="102" t="str">
        <f t="shared" si="2"/>
        <v>Rp10,000-50 PCS-0.00%</v>
      </c>
      <c r="Q3720" s="92">
        <v>45422.0</v>
      </c>
      <c r="R3720" s="76"/>
      <c r="S3720" s="92">
        <v>45430.0</v>
      </c>
      <c r="T3720" s="77" t="s">
        <v>280</v>
      </c>
      <c r="V3720" s="21" t="s">
        <v>2613</v>
      </c>
    </row>
    <row r="3721">
      <c r="A3721" s="93">
        <v>184.0</v>
      </c>
      <c r="B3721" s="77" t="s">
        <v>29</v>
      </c>
      <c r="C3721" s="77" t="s">
        <v>3436</v>
      </c>
      <c r="D3721" s="77" t="s">
        <v>2742</v>
      </c>
      <c r="E3721" s="41" t="str">
        <f>IFERROR(__xludf.DUMMYFUNCTION("IFNA(vlookup(D3721,IMPORTRANGE(""https://docs.google.com/spreadsheets/d/1swGwZOEqYlTEUCJLY-eeJM1911Kvaei5oySBIxdgtNo/edit?pli=1#gid=257618397"",""stock untanna!B:C""),2,false),V:V)"),"PENSIL CASE BX-3971")</f>
        <v>PENSIL CASE BX-3971</v>
      </c>
      <c r="F3721" s="49"/>
      <c r="G3721" s="71"/>
      <c r="H3721" s="41"/>
      <c r="I3721" s="42"/>
      <c r="J3721" s="85" t="s">
        <v>1319</v>
      </c>
      <c r="K3721" s="93">
        <v>12.0</v>
      </c>
      <c r="L3721" s="112" t="s">
        <v>69</v>
      </c>
      <c r="M3721" s="113">
        <v>20833.3</v>
      </c>
      <c r="N3721" s="74"/>
      <c r="O3721" s="87">
        <f t="shared" si="11"/>
        <v>249999.6</v>
      </c>
      <c r="P3721" s="102" t="str">
        <f t="shared" si="2"/>
        <v>Rp20,833-12 PCS-0.00%</v>
      </c>
      <c r="Q3721" s="92">
        <v>45422.0</v>
      </c>
      <c r="R3721" s="76"/>
      <c r="S3721" s="92">
        <v>45430.0</v>
      </c>
      <c r="T3721" s="77" t="s">
        <v>3033</v>
      </c>
      <c r="V3721" s="21" t="s">
        <v>2743</v>
      </c>
    </row>
    <row r="3722">
      <c r="A3722" s="93">
        <v>184.0</v>
      </c>
      <c r="B3722" s="77" t="s">
        <v>29</v>
      </c>
      <c r="C3722" s="77" t="s">
        <v>3436</v>
      </c>
      <c r="D3722" s="77" t="s">
        <v>2742</v>
      </c>
      <c r="E3722" s="41" t="str">
        <f>IFERROR(__xludf.DUMMYFUNCTION("IFNA(vlookup(D3722,IMPORTRANGE(""https://docs.google.com/spreadsheets/d/1swGwZOEqYlTEUCJLY-eeJM1911Kvaei5oySBIxdgtNo/edit?pli=1#gid=257618397"",""stock untanna!B:C""),2,false),V:V)"),"PENSIL CASE BX-3971")</f>
        <v>PENSIL CASE BX-3971</v>
      </c>
      <c r="F3722" s="49"/>
      <c r="G3722" s="71"/>
      <c r="H3722" s="41"/>
      <c r="I3722" s="42"/>
      <c r="J3722" s="85" t="s">
        <v>1319</v>
      </c>
      <c r="K3722" s="93">
        <v>12.0</v>
      </c>
      <c r="L3722" s="112" t="s">
        <v>69</v>
      </c>
      <c r="M3722" s="113">
        <v>20833.3</v>
      </c>
      <c r="N3722" s="74"/>
      <c r="O3722" s="87">
        <f t="shared" si="11"/>
        <v>249999.6</v>
      </c>
      <c r="P3722" s="102" t="str">
        <f t="shared" si="2"/>
        <v>Rp20,833-12 PCS-0.00%</v>
      </c>
      <c r="Q3722" s="92">
        <v>45422.0</v>
      </c>
      <c r="R3722" s="76"/>
      <c r="S3722" s="92">
        <v>45430.0</v>
      </c>
      <c r="T3722" s="77" t="s">
        <v>3034</v>
      </c>
      <c r="V3722" s="21" t="s">
        <v>2743</v>
      </c>
    </row>
    <row r="3723">
      <c r="A3723" s="93">
        <v>184.0</v>
      </c>
      <c r="B3723" s="77" t="s">
        <v>29</v>
      </c>
      <c r="C3723" s="77" t="s">
        <v>3436</v>
      </c>
      <c r="D3723" s="77" t="s">
        <v>2975</v>
      </c>
      <c r="E3723" s="41" t="str">
        <f>IFERROR(__xludf.DUMMYFUNCTION("IFNA(vlookup(D3723,IMPORTRANGE(""https://docs.google.com/spreadsheets/d/1swGwZOEqYlTEUCJLY-eeJM1911Kvaei5oySBIxdgtNo/edit?pli=1#gid=257618397"",""stock untanna!B:C""),2,false),V:V)"),"BP GEL 224")</f>
        <v>BP GEL 224</v>
      </c>
      <c r="F3723" s="49"/>
      <c r="G3723" s="71"/>
      <c r="H3723" s="41"/>
      <c r="I3723" s="42"/>
      <c r="J3723" s="85" t="s">
        <v>1319</v>
      </c>
      <c r="K3723" s="93">
        <v>24.0</v>
      </c>
      <c r="L3723" s="112" t="s">
        <v>69</v>
      </c>
      <c r="M3723" s="113">
        <v>2500.0</v>
      </c>
      <c r="N3723" s="74"/>
      <c r="O3723" s="87">
        <f t="shared" si="11"/>
        <v>60000</v>
      </c>
      <c r="P3723" s="102" t="str">
        <f t="shared" si="2"/>
        <v>Rp2,500-24 PCS-0.00%</v>
      </c>
      <c r="Q3723" s="92">
        <v>45422.0</v>
      </c>
      <c r="R3723" s="76"/>
      <c r="S3723" s="92">
        <v>45430.0</v>
      </c>
      <c r="T3723" s="49"/>
      <c r="V3723" s="21" t="s">
        <v>2976</v>
      </c>
    </row>
    <row r="3724">
      <c r="A3724" s="93">
        <v>184.0</v>
      </c>
      <c r="B3724" s="77" t="s">
        <v>29</v>
      </c>
      <c r="C3724" s="77" t="s">
        <v>3436</v>
      </c>
      <c r="D3724" s="77" t="s">
        <v>1665</v>
      </c>
      <c r="E3724" s="41" t="str">
        <f>IFERROR(__xludf.DUMMYFUNCTION("IFNA(vlookup(D3724,IMPORTRANGE(""https://docs.google.com/spreadsheets/d/1swGwZOEqYlTEUCJLY-eeJM1911Kvaei5oySBIxdgtNo/edit?pli=1#gid=257618397"",""stock untanna!B:C""),2,false),V:V)"),"BP GEL 9165")</f>
        <v>BP GEL 9165</v>
      </c>
      <c r="F3724" s="49"/>
      <c r="G3724" s="71"/>
      <c r="H3724" s="41"/>
      <c r="I3724" s="42"/>
      <c r="J3724" s="85" t="s">
        <v>1319</v>
      </c>
      <c r="K3724" s="93">
        <v>24.0</v>
      </c>
      <c r="L3724" s="112" t="s">
        <v>69</v>
      </c>
      <c r="M3724" s="113">
        <v>2500.0</v>
      </c>
      <c r="N3724" s="74"/>
      <c r="O3724" s="87">
        <f t="shared" si="11"/>
        <v>60000</v>
      </c>
      <c r="P3724" s="102" t="str">
        <f t="shared" si="2"/>
        <v>Rp2,500-24 PCS-0.00%</v>
      </c>
      <c r="Q3724" s="92">
        <v>45422.0</v>
      </c>
      <c r="R3724" s="76"/>
      <c r="S3724" s="92">
        <v>45430.0</v>
      </c>
      <c r="T3724" s="49"/>
      <c r="V3724" s="21" t="s">
        <v>1666</v>
      </c>
    </row>
    <row r="3725">
      <c r="A3725" s="93">
        <v>184.0</v>
      </c>
      <c r="B3725" s="77" t="s">
        <v>29</v>
      </c>
      <c r="C3725" s="77" t="s">
        <v>3436</v>
      </c>
      <c r="D3725" s="77" t="s">
        <v>2104</v>
      </c>
      <c r="E3725" s="41" t="str">
        <f>IFERROR(__xludf.DUMMYFUNCTION("IFNA(vlookup(D3725,IMPORTRANGE(""https://docs.google.com/spreadsheets/d/1swGwZOEqYlTEUCJLY-eeJM1911Kvaei5oySBIxdgtNo/edit?pli=1#gid=257618397"",""stock untanna!B:C""),2,false),V:V)"),"BP GEL + GANTUNGAN 9166")</f>
        <v>BP GEL + GANTUNGAN 9166</v>
      </c>
      <c r="F3725" s="49"/>
      <c r="G3725" s="71"/>
      <c r="H3725" s="41"/>
      <c r="I3725" s="42"/>
      <c r="J3725" s="85" t="s">
        <v>1319</v>
      </c>
      <c r="K3725" s="93">
        <v>2.0</v>
      </c>
      <c r="L3725" s="112" t="s">
        <v>62</v>
      </c>
      <c r="M3725" s="113">
        <v>30000.0</v>
      </c>
      <c r="N3725" s="74"/>
      <c r="O3725" s="87">
        <f t="shared" si="11"/>
        <v>60000</v>
      </c>
      <c r="P3725" s="102" t="str">
        <f t="shared" si="2"/>
        <v>Rp30,000-2 LSN-0.00%</v>
      </c>
      <c r="Q3725" s="92">
        <v>45422.0</v>
      </c>
      <c r="R3725" s="76"/>
      <c r="S3725" s="92">
        <v>45430.0</v>
      </c>
      <c r="T3725" s="49"/>
      <c r="V3725" s="21" t="s">
        <v>2105</v>
      </c>
    </row>
    <row r="3726">
      <c r="A3726" s="93">
        <v>184.0</v>
      </c>
      <c r="B3726" s="77" t="s">
        <v>29</v>
      </c>
      <c r="C3726" s="77" t="s">
        <v>3436</v>
      </c>
      <c r="D3726" s="77" t="s">
        <v>3393</v>
      </c>
      <c r="E3726" s="41" t="str">
        <f>IFERROR(__xludf.DUMMYFUNCTION("IFNA(vlookup(D3726,IMPORTRANGE(""https://docs.google.com/spreadsheets/d/1swGwZOEqYlTEUCJLY-eeJM1911Kvaei5oySBIxdgtNo/edit?pli=1#gid=257618397"",""stock untanna!B:C""),2,false),V:V)"),"BP GEL + GANTUNGAN 221")</f>
        <v>BP GEL + GANTUNGAN 221</v>
      </c>
      <c r="F3726" s="49"/>
      <c r="G3726" s="71"/>
      <c r="H3726" s="41"/>
      <c r="I3726" s="42"/>
      <c r="J3726" s="85" t="s">
        <v>1319</v>
      </c>
      <c r="K3726" s="93">
        <v>2.0</v>
      </c>
      <c r="L3726" s="112" t="s">
        <v>62</v>
      </c>
      <c r="M3726" s="113">
        <v>30000.0</v>
      </c>
      <c r="N3726" s="74"/>
      <c r="O3726" s="87">
        <f t="shared" si="11"/>
        <v>60000</v>
      </c>
      <c r="P3726" s="102" t="str">
        <f t="shared" si="2"/>
        <v>Rp30,000-2 LSN-0.00%</v>
      </c>
      <c r="Q3726" s="92">
        <v>45422.0</v>
      </c>
      <c r="R3726" s="76"/>
      <c r="S3726" s="92">
        <v>45430.0</v>
      </c>
      <c r="T3726" s="49"/>
      <c r="V3726" s="21" t="s">
        <v>3394</v>
      </c>
    </row>
    <row r="3727">
      <c r="A3727" s="93">
        <v>184.0</v>
      </c>
      <c r="B3727" s="77" t="s">
        <v>29</v>
      </c>
      <c r="C3727" s="77" t="s">
        <v>3436</v>
      </c>
      <c r="D3727" s="91"/>
      <c r="E3727" s="41" t="str">
        <f>IFERROR(__xludf.DUMMYFUNCTION("IFNA(vlookup(D3727,IMPORTRANGE(""https://docs.google.com/spreadsheets/d/1swGwZOEqYlTEUCJLY-eeJM1911Kvaei5oySBIxdgtNo/edit?pli=1#gid=257618397"",""stock untanna!B:C""),2,false),V:V)"),"OP DB 12W")</f>
        <v>OP DB 12W</v>
      </c>
      <c r="F3727" s="49"/>
      <c r="G3727" s="71"/>
      <c r="H3727" s="41"/>
      <c r="I3727" s="42"/>
      <c r="J3727" s="85" t="s">
        <v>1319</v>
      </c>
      <c r="K3727" s="93">
        <v>1.0</v>
      </c>
      <c r="L3727" s="112" t="s">
        <v>62</v>
      </c>
      <c r="M3727" s="113">
        <v>120000.0</v>
      </c>
      <c r="N3727" s="74"/>
      <c r="O3727" s="87">
        <f t="shared" si="11"/>
        <v>120000</v>
      </c>
      <c r="P3727" s="102" t="str">
        <f t="shared" si="2"/>
        <v>Rp120,000-1 LSN-0.00%</v>
      </c>
      <c r="Q3727" s="92">
        <v>45422.0</v>
      </c>
      <c r="R3727" s="76"/>
      <c r="S3727" s="92">
        <v>45430.0</v>
      </c>
      <c r="T3727" s="77" t="s">
        <v>280</v>
      </c>
      <c r="V3727" s="21" t="s">
        <v>3482</v>
      </c>
    </row>
    <row r="3728">
      <c r="A3728" s="93">
        <v>184.0</v>
      </c>
      <c r="B3728" s="77" t="s">
        <v>29</v>
      </c>
      <c r="C3728" s="77" t="s">
        <v>3436</v>
      </c>
      <c r="D3728" s="91"/>
      <c r="E3728" s="41" t="str">
        <f>IFERROR(__xludf.DUMMYFUNCTION("IFNA(vlookup(D3728,IMPORTRANGE(""https://docs.google.com/spreadsheets/d/1swGwZOEqYlTEUCJLY-eeJM1911Kvaei5oySBIxdgtNo/edit?pli=1#gid=257618397"",""stock untanna!B:C""),2,false),V:V)"),"JARUM PENTIL HIJAB")</f>
        <v>JARUM PENTIL HIJAB</v>
      </c>
      <c r="F3728" s="49"/>
      <c r="G3728" s="71"/>
      <c r="H3728" s="41"/>
      <c r="I3728" s="42"/>
      <c r="J3728" s="85" t="s">
        <v>3190</v>
      </c>
      <c r="K3728" s="93">
        <v>1.0</v>
      </c>
      <c r="L3728" s="112" t="s">
        <v>88</v>
      </c>
      <c r="M3728" s="113">
        <v>37500.0</v>
      </c>
      <c r="N3728" s="74"/>
      <c r="O3728" s="87">
        <f t="shared" si="11"/>
        <v>37500</v>
      </c>
      <c r="P3728" s="102" t="str">
        <f t="shared" si="2"/>
        <v>Rp37,500-1 BOX-0.00%</v>
      </c>
      <c r="Q3728" s="92">
        <v>45422.0</v>
      </c>
      <c r="R3728" s="76"/>
      <c r="S3728" s="92">
        <v>45430.0</v>
      </c>
      <c r="T3728" s="49"/>
      <c r="V3728" s="21" t="s">
        <v>3483</v>
      </c>
    </row>
    <row r="3729">
      <c r="A3729" s="93">
        <v>184.0</v>
      </c>
      <c r="B3729" s="77" t="s">
        <v>29</v>
      </c>
      <c r="C3729" s="77" t="s">
        <v>3436</v>
      </c>
      <c r="D3729" s="91"/>
      <c r="E3729" s="41" t="str">
        <f>IFERROR(__xludf.DUMMYFUNCTION("IFNA(vlookup(D3729,IMPORTRANGE(""https://docs.google.com/spreadsheets/d/1swGwZOEqYlTEUCJLY-eeJM1911Kvaei5oySBIxdgtNo/edit?pli=1#gid=257618397"",""stock untanna!B:C""),2,false),V:V)"),"JARUM PENTUL CASING")</f>
        <v>JARUM PENTUL CASING</v>
      </c>
      <c r="F3729" s="49"/>
      <c r="G3729" s="71"/>
      <c r="H3729" s="41"/>
      <c r="I3729" s="42"/>
      <c r="J3729" s="85" t="s">
        <v>3190</v>
      </c>
      <c r="K3729" s="93">
        <v>1.0</v>
      </c>
      <c r="L3729" s="112" t="s">
        <v>88</v>
      </c>
      <c r="M3729" s="113">
        <v>48000.0</v>
      </c>
      <c r="N3729" s="74"/>
      <c r="O3729" s="87">
        <f t="shared" si="11"/>
        <v>48000</v>
      </c>
      <c r="P3729" s="102" t="str">
        <f t="shared" si="2"/>
        <v>Rp48,000-1 BOX-0.00%</v>
      </c>
      <c r="Q3729" s="92">
        <v>45422.0</v>
      </c>
      <c r="R3729" s="76"/>
      <c r="S3729" s="92">
        <v>45430.0</v>
      </c>
      <c r="T3729" s="49"/>
      <c r="V3729" s="21" t="s">
        <v>1698</v>
      </c>
    </row>
    <row r="3730">
      <c r="A3730" s="93">
        <v>184.0</v>
      </c>
      <c r="B3730" s="77" t="s">
        <v>29</v>
      </c>
      <c r="C3730" s="77" t="s">
        <v>3436</v>
      </c>
      <c r="D3730" s="91"/>
      <c r="E3730" s="41" t="str">
        <f>IFERROR(__xludf.DUMMYFUNCTION("IFNA(vlookup(D3730,IMPORTRANGE(""https://docs.google.com/spreadsheets/d/1swGwZOEqYlTEUCJLY-eeJM1911Kvaei5oySBIxdgtNo/edit?pli=1#gid=257618397"",""stock untanna!B:C""),2,false),V:V)"),"CRAYON PUTAR 12W PANJANG")</f>
        <v>CRAYON PUTAR 12W PANJANG</v>
      </c>
      <c r="F3730" s="49"/>
      <c r="G3730" s="71"/>
      <c r="H3730" s="41"/>
      <c r="I3730" s="42"/>
      <c r="J3730" s="85" t="s">
        <v>3190</v>
      </c>
      <c r="K3730" s="93">
        <v>1.0</v>
      </c>
      <c r="L3730" s="112" t="s">
        <v>62</v>
      </c>
      <c r="M3730" s="113">
        <v>265000.0</v>
      </c>
      <c r="N3730" s="74"/>
      <c r="O3730" s="87">
        <f t="shared" si="11"/>
        <v>265000</v>
      </c>
      <c r="P3730" s="102" t="str">
        <f t="shared" si="2"/>
        <v>Rp265,000-1 LSN-0.00%</v>
      </c>
      <c r="Q3730" s="92">
        <v>45422.0</v>
      </c>
      <c r="R3730" s="76"/>
      <c r="S3730" s="92">
        <v>45430.0</v>
      </c>
      <c r="T3730" s="49"/>
      <c r="V3730" s="21" t="s">
        <v>3484</v>
      </c>
    </row>
    <row r="3731">
      <c r="A3731" s="93">
        <v>184.0</v>
      </c>
      <c r="B3731" s="77" t="s">
        <v>29</v>
      </c>
      <c r="C3731" s="77" t="s">
        <v>3436</v>
      </c>
      <c r="D3731" s="77" t="s">
        <v>1193</v>
      </c>
      <c r="E3731" s="41" t="str">
        <f>IFERROR(__xludf.DUMMYFUNCTION("IFNA(vlookup(D3731,IMPORTRANGE(""https://docs.google.com/spreadsheets/d/1swGwZOEqYlTEUCJLY-eeJM1911Kvaei5oySBIxdgtNo/edit?pli=1#gid=257618397"",""stock untanna!B:C""),2,false),V:V)"),"ISI GEL GR 090 (20PCS TABUNG)")</f>
        <v>ISI GEL GR 090 (20PCS TABUNG)</v>
      </c>
      <c r="F3731" s="49"/>
      <c r="G3731" s="71"/>
      <c r="H3731" s="41"/>
      <c r="I3731" s="42"/>
      <c r="J3731" s="85" t="s">
        <v>1319</v>
      </c>
      <c r="K3731" s="93">
        <v>2.0</v>
      </c>
      <c r="L3731" s="112" t="s">
        <v>88</v>
      </c>
      <c r="M3731" s="113">
        <v>288000.0</v>
      </c>
      <c r="N3731" s="74"/>
      <c r="O3731" s="87">
        <f t="shared" si="11"/>
        <v>576000</v>
      </c>
      <c r="P3731" s="102" t="str">
        <f t="shared" si="2"/>
        <v>Rp288,000-2 BOX-0.00%</v>
      </c>
      <c r="Q3731" s="92">
        <v>45422.0</v>
      </c>
      <c r="R3731" s="76"/>
      <c r="S3731" s="92">
        <v>45430.0</v>
      </c>
      <c r="T3731" s="49"/>
      <c r="V3731" s="21" t="s">
        <v>1194</v>
      </c>
    </row>
    <row r="3732">
      <c r="A3732" s="93">
        <v>184.0</v>
      </c>
      <c r="B3732" s="77" t="s">
        <v>29</v>
      </c>
      <c r="C3732" s="77" t="s">
        <v>3436</v>
      </c>
      <c r="D3732" s="77" t="s">
        <v>953</v>
      </c>
      <c r="E3732" s="41" t="str">
        <f>IFERROR(__xludf.DUMMYFUNCTION("IFNA(vlookup(D3732,IMPORTRANGE(""https://docs.google.com/spreadsheets/d/1swGwZOEqYlTEUCJLY-eeJM1911Kvaei5oySBIxdgtNo/edit?pli=1#gid=257618397"",""stock untanna!B:C""),2,false),V:V)"),"BP GEL DTIAN DT-612")</f>
        <v>BP GEL DTIAN DT-612</v>
      </c>
      <c r="F3732" s="49"/>
      <c r="G3732" s="71"/>
      <c r="H3732" s="41"/>
      <c r="I3732" s="42"/>
      <c r="J3732" s="85" t="s">
        <v>1319</v>
      </c>
      <c r="K3732" s="93">
        <v>6.0</v>
      </c>
      <c r="L3732" s="112" t="s">
        <v>62</v>
      </c>
      <c r="M3732" s="113">
        <v>19500.0</v>
      </c>
      <c r="N3732" s="74"/>
      <c r="O3732" s="87">
        <f t="shared" si="11"/>
        <v>117000</v>
      </c>
      <c r="P3732" s="102" t="str">
        <f t="shared" si="2"/>
        <v>Rp19,500-6 LSN-0.00%</v>
      </c>
      <c r="Q3732" s="92">
        <v>45422.0</v>
      </c>
      <c r="R3732" s="76"/>
      <c r="S3732" s="92">
        <v>45430.0</v>
      </c>
      <c r="T3732" s="49"/>
      <c r="V3732" s="21" t="s">
        <v>954</v>
      </c>
    </row>
    <row r="3733">
      <c r="A3733" s="93">
        <v>184.0</v>
      </c>
      <c r="B3733" s="77" t="s">
        <v>29</v>
      </c>
      <c r="C3733" s="77" t="s">
        <v>3436</v>
      </c>
      <c r="D3733" s="77" t="s">
        <v>419</v>
      </c>
      <c r="E3733" s="41" t="str">
        <f>IFERROR(__xludf.DUMMYFUNCTION("IFNA(vlookup(D3733,IMPORTRANGE(""https://docs.google.com/spreadsheets/d/1swGwZOEqYlTEUCJLY-eeJM1911Kvaei5oySBIxdgtNo/edit?pli=1#gid=257618397"",""stock untanna!B:C""),2,false),V:V)"),"BP GEL ZUI XUA HY-1020 HITAM")</f>
        <v>BP GEL ZUI XUA HY-1020 HITAM</v>
      </c>
      <c r="F3733" s="49"/>
      <c r="G3733" s="71"/>
      <c r="H3733" s="41"/>
      <c r="I3733" s="42"/>
      <c r="J3733" s="85" t="s">
        <v>1319</v>
      </c>
      <c r="K3733" s="93">
        <v>6.0</v>
      </c>
      <c r="L3733" s="112" t="s">
        <v>62</v>
      </c>
      <c r="M3733" s="113">
        <v>19500.0</v>
      </c>
      <c r="N3733" s="74"/>
      <c r="O3733" s="87">
        <f t="shared" si="11"/>
        <v>117000</v>
      </c>
      <c r="P3733" s="102" t="str">
        <f t="shared" si="2"/>
        <v>Rp19,500-6 LSN-0.00%</v>
      </c>
      <c r="Q3733" s="92">
        <v>45422.0</v>
      </c>
      <c r="R3733" s="76"/>
      <c r="S3733" s="92">
        <v>45430.0</v>
      </c>
      <c r="T3733" s="49"/>
      <c r="V3733" s="21" t="s">
        <v>3281</v>
      </c>
    </row>
    <row r="3734">
      <c r="A3734" s="93">
        <v>184.0</v>
      </c>
      <c r="B3734" s="77" t="s">
        <v>29</v>
      </c>
      <c r="C3734" s="77" t="s">
        <v>3436</v>
      </c>
      <c r="D3734" s="77" t="s">
        <v>203</v>
      </c>
      <c r="E3734" s="41" t="str">
        <f>IFERROR(__xludf.DUMMYFUNCTION("IFNA(vlookup(D3734,IMPORTRANGE(""https://docs.google.com/spreadsheets/d/1swGwZOEqYlTEUCJLY-eeJM1911Kvaei5oySBIxdgtNo/edit?pli=1#gid=257618397"",""stock untanna!B:C""),2,false),V:V)"),"BP HITECH JOSS GP-168 0.28MM")</f>
        <v>BP HITECH JOSS GP-168 0.28MM</v>
      </c>
      <c r="F3734" s="49"/>
      <c r="G3734" s="71"/>
      <c r="H3734" s="41"/>
      <c r="I3734" s="42"/>
      <c r="J3734" s="85" t="s">
        <v>1319</v>
      </c>
      <c r="K3734" s="93">
        <v>6.0</v>
      </c>
      <c r="L3734" s="112" t="s">
        <v>62</v>
      </c>
      <c r="M3734" s="113">
        <v>31500.0</v>
      </c>
      <c r="N3734" s="74"/>
      <c r="O3734" s="87">
        <f t="shared" si="11"/>
        <v>189000</v>
      </c>
      <c r="P3734" s="102" t="str">
        <f t="shared" si="2"/>
        <v>Rp31,500-6 LSN-0.00%</v>
      </c>
      <c r="Q3734" s="92">
        <v>45422.0</v>
      </c>
      <c r="R3734" s="76"/>
      <c r="S3734" s="92">
        <v>45430.0</v>
      </c>
      <c r="T3734" s="49"/>
      <c r="V3734" s="21" t="s">
        <v>204</v>
      </c>
    </row>
    <row r="3735">
      <c r="A3735" s="93">
        <v>184.0</v>
      </c>
      <c r="B3735" s="77" t="s">
        <v>29</v>
      </c>
      <c r="C3735" s="77" t="s">
        <v>3436</v>
      </c>
      <c r="D3735" s="77" t="s">
        <v>205</v>
      </c>
      <c r="E3735" s="41" t="str">
        <f>IFERROR(__xludf.DUMMYFUNCTION("IFNA(vlookup(D3735,IMPORTRANGE(""https://docs.google.com/spreadsheets/d/1swGwZOEqYlTEUCJLY-eeJM1911Kvaei5oySBIxdgtNo/edit?pli=1#gid=257618397"",""stock untanna!B:C""),2,false),V:V)"),"BP HITECH JOSS-188 B 0.28MM BIRU")</f>
        <v>BP HITECH JOSS-188 B 0.28MM BIRU</v>
      </c>
      <c r="F3735" s="49"/>
      <c r="G3735" s="71"/>
      <c r="H3735" s="41"/>
      <c r="I3735" s="42"/>
      <c r="J3735" s="85" t="s">
        <v>1319</v>
      </c>
      <c r="K3735" s="93">
        <v>6.0</v>
      </c>
      <c r="L3735" s="112" t="s">
        <v>62</v>
      </c>
      <c r="M3735" s="113">
        <v>31500.0</v>
      </c>
      <c r="N3735" s="74"/>
      <c r="O3735" s="87">
        <f t="shared" si="11"/>
        <v>189000</v>
      </c>
      <c r="P3735" s="102" t="str">
        <f t="shared" si="2"/>
        <v>Rp31,500-6 LSN-0.00%</v>
      </c>
      <c r="Q3735" s="92">
        <v>45422.0</v>
      </c>
      <c r="R3735" s="76"/>
      <c r="S3735" s="92">
        <v>45430.0</v>
      </c>
      <c r="T3735" s="49"/>
      <c r="V3735" s="21" t="s">
        <v>206</v>
      </c>
    </row>
    <row r="3736">
      <c r="A3736" s="93">
        <v>184.0</v>
      </c>
      <c r="B3736" s="77" t="s">
        <v>29</v>
      </c>
      <c r="C3736" s="77" t="s">
        <v>3436</v>
      </c>
      <c r="D3736" s="77" t="s">
        <v>1846</v>
      </c>
      <c r="E3736" s="41" t="str">
        <f>IFERROR(__xludf.DUMMYFUNCTION("IFNA(vlookup(D3736,IMPORTRANGE(""https://docs.google.com/spreadsheets/d/1swGwZOEqYlTEUCJLY-eeJM1911Kvaei5oySBIxdgtNo/edit?pli=1#gid=257618397"",""stock untanna!B:C""),2,false),V:V)"),"BP DEBOZZ 0.28 DB-GP 800 HI-Q")</f>
        <v>BP DEBOZZ 0.28 DB-GP 800 HI-Q</v>
      </c>
      <c r="F3736" s="49"/>
      <c r="G3736" s="71"/>
      <c r="H3736" s="41"/>
      <c r="I3736" s="42"/>
      <c r="J3736" s="85" t="s">
        <v>1319</v>
      </c>
      <c r="K3736" s="93">
        <v>3.0</v>
      </c>
      <c r="L3736" s="112" t="s">
        <v>62</v>
      </c>
      <c r="M3736" s="113">
        <v>32500.0</v>
      </c>
      <c r="N3736" s="74"/>
      <c r="O3736" s="87">
        <f t="shared" si="11"/>
        <v>97500</v>
      </c>
      <c r="P3736" s="102" t="str">
        <f t="shared" si="2"/>
        <v>Rp32,500-3 LSN-0.00%</v>
      </c>
      <c r="Q3736" s="92">
        <v>45422.0</v>
      </c>
      <c r="R3736" s="76"/>
      <c r="S3736" s="92">
        <v>45430.0</v>
      </c>
      <c r="T3736" s="49"/>
      <c r="V3736" s="21" t="s">
        <v>1847</v>
      </c>
    </row>
    <row r="3737">
      <c r="A3737" s="93">
        <v>185.0</v>
      </c>
      <c r="B3737" s="77" t="s">
        <v>29</v>
      </c>
      <c r="C3737" s="77" t="s">
        <v>3436</v>
      </c>
      <c r="D3737" s="77" t="s">
        <v>1848</v>
      </c>
      <c r="E3737" s="41" t="str">
        <f>IFERROR(__xludf.DUMMYFUNCTION("IFNA(vlookup(D3737,IMPORTRANGE(""https://docs.google.com/spreadsheets/d/1swGwZOEqYlTEUCJLY-eeJM1911Kvaei5oySBIxdgtNo/edit?pli=1#gid=257618397"",""stock untanna!B:C""),2,false),V:V)"),"BP DEBOZZ DB-530")</f>
        <v>BP DEBOZZ DB-530</v>
      </c>
      <c r="F3737" s="49"/>
      <c r="G3737" s="71"/>
      <c r="H3737" s="41"/>
      <c r="I3737" s="42"/>
      <c r="J3737" s="85" t="s">
        <v>1319</v>
      </c>
      <c r="K3737" s="93">
        <v>3.0</v>
      </c>
      <c r="L3737" s="112" t="s">
        <v>62</v>
      </c>
      <c r="M3737" s="113">
        <v>28000.0</v>
      </c>
      <c r="N3737" s="74"/>
      <c r="O3737" s="87">
        <f t="shared" si="11"/>
        <v>84000</v>
      </c>
      <c r="P3737" s="102" t="str">
        <f t="shared" si="2"/>
        <v>Rp28,000-3 LSN-0.00%</v>
      </c>
      <c r="Q3737" s="92">
        <v>45422.0</v>
      </c>
      <c r="R3737" s="76"/>
      <c r="S3737" s="92">
        <v>45430.0</v>
      </c>
      <c r="T3737" s="49"/>
      <c r="V3737" s="21" t="s">
        <v>1849</v>
      </c>
    </row>
    <row r="3738">
      <c r="A3738" s="93">
        <v>185.0</v>
      </c>
      <c r="B3738" s="77" t="s">
        <v>29</v>
      </c>
      <c r="C3738" s="77" t="s">
        <v>3436</v>
      </c>
      <c r="D3738" s="77" t="s">
        <v>3485</v>
      </c>
      <c r="E3738" s="41" t="str">
        <f>IFERROR(__xludf.DUMMYFUNCTION("IFNA(vlookup(D3738,IMPORTRANGE(""https://docs.google.com/spreadsheets/d/1swGwZOEqYlTEUCJLY-eeJM1911Kvaei5oySBIxdgtNo/edit?pli=1#gid=257618397"",""stock untanna!B:C""),2,false),V:V)"),"BP TIZO TG 31060")</f>
        <v>BP TIZO TG 31060</v>
      </c>
      <c r="F3738" s="49"/>
      <c r="G3738" s="71"/>
      <c r="H3738" s="41"/>
      <c r="I3738" s="42"/>
      <c r="J3738" s="85" t="s">
        <v>1319</v>
      </c>
      <c r="K3738" s="93">
        <v>3.0</v>
      </c>
      <c r="L3738" s="112" t="s">
        <v>62</v>
      </c>
      <c r="M3738" s="113">
        <v>42000.0</v>
      </c>
      <c r="N3738" s="74"/>
      <c r="O3738" s="87">
        <f t="shared" si="11"/>
        <v>126000</v>
      </c>
      <c r="P3738" s="102" t="str">
        <f t="shared" si="2"/>
        <v>Rp42,000-3 LSN-0.00%</v>
      </c>
      <c r="Q3738" s="92">
        <v>45422.0</v>
      </c>
      <c r="R3738" s="76"/>
      <c r="S3738" s="92">
        <v>45430.0</v>
      </c>
      <c r="T3738" s="49"/>
      <c r="V3738" s="21" t="s">
        <v>3486</v>
      </c>
    </row>
    <row r="3739">
      <c r="A3739" s="93">
        <v>185.0</v>
      </c>
      <c r="B3739" s="77" t="s">
        <v>29</v>
      </c>
      <c r="C3739" s="77" t="s">
        <v>3436</v>
      </c>
      <c r="D3739" s="77" t="s">
        <v>623</v>
      </c>
      <c r="E3739" s="41" t="str">
        <f>IFERROR(__xludf.DUMMYFUNCTION("IFNA(vlookup(D3739,IMPORTRANGE(""https://docs.google.com/spreadsheets/d/1swGwZOEqYlTEUCJLY-eeJM1911Kvaei5oySBIxdgtNo/edit?pli=1#gid=257618397"",""stock untanna!B:C""),2,false),V:V)"),"BP GEL TF-1190 0.3MM HIGHTECH (H)")</f>
        <v>BP GEL TF-1190 0.3MM HIGHTECH (H)</v>
      </c>
      <c r="F3739" s="49"/>
      <c r="G3739" s="71"/>
      <c r="H3739" s="41"/>
      <c r="I3739" s="42"/>
      <c r="J3739" s="85" t="s">
        <v>1319</v>
      </c>
      <c r="K3739" s="93">
        <v>6.0</v>
      </c>
      <c r="L3739" s="112" t="s">
        <v>62</v>
      </c>
      <c r="M3739" s="113">
        <v>33000.0</v>
      </c>
      <c r="N3739" s="74"/>
      <c r="O3739" s="87">
        <f t="shared" si="11"/>
        <v>198000</v>
      </c>
      <c r="P3739" s="102" t="str">
        <f t="shared" si="2"/>
        <v>Rp33,000-6 LSN-0.00%</v>
      </c>
      <c r="Q3739" s="92">
        <v>45422.0</v>
      </c>
      <c r="R3739" s="76"/>
      <c r="S3739" s="92">
        <v>45430.0</v>
      </c>
      <c r="T3739" s="49"/>
      <c r="V3739" s="21" t="s">
        <v>624</v>
      </c>
    </row>
    <row r="3740">
      <c r="A3740" s="93">
        <v>185.0</v>
      </c>
      <c r="B3740" s="77" t="s">
        <v>29</v>
      </c>
      <c r="C3740" s="77" t="s">
        <v>3436</v>
      </c>
      <c r="D3740" s="77" t="s">
        <v>430</v>
      </c>
      <c r="E3740" s="41" t="str">
        <f>IFERROR(__xludf.DUMMYFUNCTION("IFNA(vlookup(D3740,IMPORTRANGE(""https://docs.google.com/spreadsheets/d/1swGwZOEqYlTEUCJLY-eeJM1911Kvaei5oySBIxdgtNo/edit?pli=1#gid=257618397"",""stock untanna!B:C""),2,false),V:V)"),"CAT ACRYLIC COLOUR TF AC-006M METALIC")</f>
        <v>CAT ACRYLIC COLOUR TF AC-006M METALIC</v>
      </c>
      <c r="F3740" s="49"/>
      <c r="G3740" s="71"/>
      <c r="H3740" s="41"/>
      <c r="I3740" s="42"/>
      <c r="J3740" s="85" t="s">
        <v>1319</v>
      </c>
      <c r="K3740" s="93">
        <v>1.0</v>
      </c>
      <c r="L3740" s="112" t="s">
        <v>62</v>
      </c>
      <c r="M3740" s="113">
        <v>325000.0</v>
      </c>
      <c r="N3740" s="74"/>
      <c r="O3740" s="87">
        <f t="shared" si="11"/>
        <v>325000</v>
      </c>
      <c r="P3740" s="102" t="str">
        <f t="shared" si="2"/>
        <v>Rp325,000-1 LSN-0.00%</v>
      </c>
      <c r="Q3740" s="92">
        <v>45422.0</v>
      </c>
      <c r="R3740" s="76"/>
      <c r="S3740" s="92">
        <v>45430.0</v>
      </c>
      <c r="T3740" s="49"/>
      <c r="V3740" s="21" t="s">
        <v>431</v>
      </c>
    </row>
    <row r="3741">
      <c r="A3741" s="93">
        <v>185.0</v>
      </c>
      <c r="B3741" s="77" t="s">
        <v>29</v>
      </c>
      <c r="C3741" s="77" t="s">
        <v>3436</v>
      </c>
      <c r="D3741" s="77" t="s">
        <v>734</v>
      </c>
      <c r="E3741" s="41" t="str">
        <f>IFERROR(__xludf.DUMMYFUNCTION("IFNA(vlookup(D3741,IMPORTRANGE(""https://docs.google.com/spreadsheets/d/1swGwZOEqYlTEUCJLY-eeJM1911Kvaei5oySBIxdgtNo/edit?pli=1#gid=257618397"",""stock untanna!B:C""),2,false),V:V)"),"PENSIL 2B KAYAGI 3053")</f>
        <v>PENSIL 2B KAYAGI 3053</v>
      </c>
      <c r="F3741" s="49"/>
      <c r="G3741" s="71"/>
      <c r="H3741" s="41"/>
      <c r="I3741" s="42"/>
      <c r="J3741" s="85" t="s">
        <v>1319</v>
      </c>
      <c r="K3741" s="93">
        <v>1.0</v>
      </c>
      <c r="L3741" s="112" t="s">
        <v>131</v>
      </c>
      <c r="M3741" s="113">
        <v>110000.0</v>
      </c>
      <c r="N3741" s="74"/>
      <c r="O3741" s="87">
        <f t="shared" si="11"/>
        <v>110000</v>
      </c>
      <c r="P3741" s="102" t="str">
        <f t="shared" si="2"/>
        <v>Rp110,000-1 GRS-0.00%</v>
      </c>
      <c r="Q3741" s="92">
        <v>45422.0</v>
      </c>
      <c r="R3741" s="76"/>
      <c r="S3741" s="92">
        <v>45430.0</v>
      </c>
      <c r="T3741" s="49"/>
      <c r="V3741" s="21" t="s">
        <v>735</v>
      </c>
    </row>
    <row r="3742">
      <c r="A3742" s="93">
        <v>185.0</v>
      </c>
      <c r="B3742" s="77" t="s">
        <v>29</v>
      </c>
      <c r="C3742" s="77" t="s">
        <v>3436</v>
      </c>
      <c r="D3742" s="77" t="s">
        <v>207</v>
      </c>
      <c r="E3742" s="41" t="str">
        <f>IFERROR(__xludf.DUMMYFUNCTION("IFNA(vlookup(D3742,IMPORTRANGE(""https://docs.google.com/spreadsheets/d/1swGwZOEqYlTEUCJLY-eeJM1911Kvaei5oySBIxdgtNo/edit?pli=1#gid=257618397"",""stock untanna!B:C""),2,false),V:V)"),"BP GEL KOALA GP-168")</f>
        <v>BP GEL KOALA GP-168</v>
      </c>
      <c r="F3742" s="49"/>
      <c r="G3742" s="71"/>
      <c r="H3742" s="41"/>
      <c r="I3742" s="42"/>
      <c r="J3742" s="85" t="s">
        <v>1319</v>
      </c>
      <c r="K3742" s="93">
        <v>3.0</v>
      </c>
      <c r="L3742" s="112" t="s">
        <v>62</v>
      </c>
      <c r="M3742" s="113">
        <v>32500.0</v>
      </c>
      <c r="N3742" s="74"/>
      <c r="O3742" s="87">
        <f t="shared" si="11"/>
        <v>97500</v>
      </c>
      <c r="P3742" s="102" t="str">
        <f t="shared" si="2"/>
        <v>Rp32,500-3 LSN-0.00%</v>
      </c>
      <c r="Q3742" s="92">
        <v>45422.0</v>
      </c>
      <c r="R3742" s="76"/>
      <c r="S3742" s="92">
        <v>45430.0</v>
      </c>
      <c r="T3742" s="49"/>
      <c r="V3742" s="21" t="s">
        <v>208</v>
      </c>
    </row>
    <row r="3743">
      <c r="A3743" s="93">
        <v>185.0</v>
      </c>
      <c r="B3743" s="77" t="s">
        <v>29</v>
      </c>
      <c r="C3743" s="77" t="s">
        <v>3436</v>
      </c>
      <c r="D3743" s="77" t="s">
        <v>3391</v>
      </c>
      <c r="E3743" s="41" t="str">
        <f>IFERROR(__xludf.DUMMYFUNCTION("IFNA(vlookup(D3743,IMPORTRANGE(""https://docs.google.com/spreadsheets/d/1swGwZOEqYlTEUCJLY-eeJM1911Kvaei5oySBIxdgtNo/edit?pli=1#gid=257618397"",""stock untanna!B:C""),2,false),V:V)"),"PENSIL 1921116-8")</f>
        <v>PENSIL 1921116-8</v>
      </c>
      <c r="F3743" s="49"/>
      <c r="G3743" s="71"/>
      <c r="H3743" s="41"/>
      <c r="I3743" s="42"/>
      <c r="J3743" s="85" t="s">
        <v>1319</v>
      </c>
      <c r="K3743" s="93">
        <v>24.0</v>
      </c>
      <c r="L3743" s="112" t="s">
        <v>69</v>
      </c>
      <c r="M3743" s="113">
        <v>3750.0</v>
      </c>
      <c r="N3743" s="74"/>
      <c r="O3743" s="87">
        <f t="shared" si="11"/>
        <v>90000</v>
      </c>
      <c r="P3743" s="102" t="str">
        <f t="shared" si="2"/>
        <v>Rp3,750-24 PCS-0.00%</v>
      </c>
      <c r="Q3743" s="92">
        <v>45422.0</v>
      </c>
      <c r="R3743" s="76"/>
      <c r="S3743" s="92">
        <v>45430.0</v>
      </c>
      <c r="T3743" s="49"/>
      <c r="V3743" s="21" t="s">
        <v>3392</v>
      </c>
    </row>
    <row r="3744">
      <c r="A3744" s="93">
        <v>185.0</v>
      </c>
      <c r="B3744" s="77" t="s">
        <v>29</v>
      </c>
      <c r="C3744" s="77" t="s">
        <v>3436</v>
      </c>
      <c r="D3744" s="77" t="s">
        <v>2332</v>
      </c>
      <c r="E3744" s="41" t="str">
        <f>IFERROR(__xludf.DUMMYFUNCTION("IFNA(vlookup(D3744,IMPORTRANGE(""https://docs.google.com/spreadsheets/d/1swGwZOEqYlTEUCJLY-eeJM1911Kvaei5oySBIxdgtNo/edit?pli=1#gid=257618397"",""stock untanna!B:C""),2,false),V:V)"),"BENSIA 05LM2 (6021)")</f>
        <v>BENSIA 05LM2 (6021)</v>
      </c>
      <c r="F3744" s="49"/>
      <c r="G3744" s="71"/>
      <c r="H3744" s="41"/>
      <c r="I3744" s="42"/>
      <c r="J3744" s="85" t="s">
        <v>1319</v>
      </c>
      <c r="K3744" s="93">
        <v>1.0</v>
      </c>
      <c r="L3744" s="112" t="s">
        <v>88</v>
      </c>
      <c r="M3744" s="113">
        <v>84000.0</v>
      </c>
      <c r="N3744" s="74"/>
      <c r="O3744" s="87">
        <f t="shared" si="11"/>
        <v>84000</v>
      </c>
      <c r="P3744" s="102" t="str">
        <f t="shared" si="2"/>
        <v>Rp84,000-1 BOX-0.00%</v>
      </c>
      <c r="Q3744" s="92">
        <v>45422.0</v>
      </c>
      <c r="R3744" s="76"/>
      <c r="S3744" s="92">
        <v>45430.0</v>
      </c>
      <c r="T3744" s="49"/>
      <c r="V3744" s="21" t="s">
        <v>2333</v>
      </c>
    </row>
    <row r="3745">
      <c r="A3745" s="93">
        <v>185.0</v>
      </c>
      <c r="B3745" s="77" t="s">
        <v>29</v>
      </c>
      <c r="C3745" s="77" t="s">
        <v>3436</v>
      </c>
      <c r="D3745" s="77" t="s">
        <v>3487</v>
      </c>
      <c r="E3745" s="41" t="str">
        <f>IFERROR(__xludf.DUMMYFUNCTION("IFNA(vlookup(D3745,IMPORTRANGE(""https://docs.google.com/spreadsheets/d/1swGwZOEqYlTEUCJLY-eeJM1911Kvaei5oySBIxdgtNo/edit?pli=1#gid=257618397"",""stock untanna!B:C""),2,false),V:V)"),"TIPEX KERTAS 8243")</f>
        <v>TIPEX KERTAS 8243</v>
      </c>
      <c r="F3745" s="49"/>
      <c r="G3745" s="71"/>
      <c r="H3745" s="41"/>
      <c r="I3745" s="42"/>
      <c r="J3745" s="85" t="s">
        <v>1319</v>
      </c>
      <c r="K3745" s="93">
        <v>2.0</v>
      </c>
      <c r="L3745" s="112" t="s">
        <v>62</v>
      </c>
      <c r="M3745" s="113">
        <v>85000.0</v>
      </c>
      <c r="N3745" s="74"/>
      <c r="O3745" s="87">
        <f t="shared" si="11"/>
        <v>170000</v>
      </c>
      <c r="P3745" s="102" t="str">
        <f t="shared" si="2"/>
        <v>Rp85,000-2 LSN-0.00%</v>
      </c>
      <c r="Q3745" s="92">
        <v>45422.0</v>
      </c>
      <c r="R3745" s="76"/>
      <c r="S3745" s="92">
        <v>45430.0</v>
      </c>
      <c r="T3745" s="49"/>
      <c r="V3745" s="21" t="s">
        <v>3488</v>
      </c>
    </row>
    <row r="3746">
      <c r="A3746" s="93">
        <v>185.0</v>
      </c>
      <c r="B3746" s="77" t="s">
        <v>29</v>
      </c>
      <c r="C3746" s="77" t="s">
        <v>3436</v>
      </c>
      <c r="D3746" s="77" t="s">
        <v>1041</v>
      </c>
      <c r="E3746" s="41" t="str">
        <f>IFERROR(__xludf.DUMMYFUNCTION("IFNA(vlookup(D3746,IMPORTRANGE(""https://docs.google.com/spreadsheets/d/1swGwZOEqYlTEUCJLY-eeJM1911Kvaei5oySBIxdgtNo/edit?pli=1#gid=257618397"",""stock untanna!B:C""),2,false),V:V)"),"TIPEX KERTAS NO.5039")</f>
        <v>TIPEX KERTAS NO.5039</v>
      </c>
      <c r="F3746" s="49"/>
      <c r="G3746" s="71"/>
      <c r="H3746" s="41"/>
      <c r="I3746" s="42"/>
      <c r="J3746" s="85" t="s">
        <v>1319</v>
      </c>
      <c r="K3746" s="93">
        <v>2.0</v>
      </c>
      <c r="L3746" s="112" t="s">
        <v>62</v>
      </c>
      <c r="M3746" s="113">
        <v>57500.0</v>
      </c>
      <c r="N3746" s="74"/>
      <c r="O3746" s="87">
        <f t="shared" si="11"/>
        <v>115000</v>
      </c>
      <c r="P3746" s="102" t="str">
        <f t="shared" si="2"/>
        <v>Rp57,500-2 LSN-0.00%</v>
      </c>
      <c r="Q3746" s="92">
        <v>45422.0</v>
      </c>
      <c r="R3746" s="76"/>
      <c r="S3746" s="92">
        <v>45430.0</v>
      </c>
      <c r="T3746" s="49"/>
      <c r="V3746" s="21" t="s">
        <v>1042</v>
      </c>
    </row>
    <row r="3747">
      <c r="A3747" s="93">
        <v>185.0</v>
      </c>
      <c r="B3747" s="77" t="s">
        <v>29</v>
      </c>
      <c r="C3747" s="77" t="s">
        <v>3436</v>
      </c>
      <c r="D3747" s="77" t="s">
        <v>2546</v>
      </c>
      <c r="E3747" s="41" t="str">
        <f>IFERROR(__xludf.DUMMYFUNCTION("IFNA(vlookup(D3747,IMPORTRANGE(""https://docs.google.com/spreadsheets/d/1swGwZOEqYlTEUCJLY-eeJM1911Kvaei5oySBIxdgtNo/edit?pli=1#gid=257618397"",""stock untanna!B:C""),2,false),V:V)"),"GARISAN 9443")</f>
        <v>GARISAN 9443</v>
      </c>
      <c r="F3747" s="49"/>
      <c r="G3747" s="71"/>
      <c r="H3747" s="41"/>
      <c r="I3747" s="42"/>
      <c r="J3747" s="85" t="s">
        <v>1319</v>
      </c>
      <c r="K3747" s="93">
        <v>24.0</v>
      </c>
      <c r="L3747" s="112" t="s">
        <v>69</v>
      </c>
      <c r="M3747" s="113">
        <v>4166.67</v>
      </c>
      <c r="N3747" s="74"/>
      <c r="O3747" s="87">
        <f t="shared" si="11"/>
        <v>100000.08</v>
      </c>
      <c r="P3747" s="102" t="str">
        <f t="shared" si="2"/>
        <v>Rp4,167-24 PCS-0.00%</v>
      </c>
      <c r="Q3747" s="92">
        <v>45422.0</v>
      </c>
      <c r="R3747" s="76"/>
      <c r="S3747" s="92">
        <v>45430.0</v>
      </c>
      <c r="T3747" s="49"/>
      <c r="V3747" s="21" t="s">
        <v>2547</v>
      </c>
    </row>
    <row r="3748">
      <c r="A3748" s="93">
        <v>185.0</v>
      </c>
      <c r="B3748" s="77" t="s">
        <v>29</v>
      </c>
      <c r="C3748" s="77" t="s">
        <v>3436</v>
      </c>
      <c r="D3748" s="77" t="s">
        <v>138</v>
      </c>
      <c r="E3748" s="41" t="str">
        <f>IFERROR(__xludf.DUMMYFUNCTION("IFNA(vlookup(D3748,IMPORTRANGE(""https://docs.google.com/spreadsheets/d/1swGwZOEqYlTEUCJLY-eeJM1911Kvaei5oySBIxdgtNo/edit?pli=1#gid=257618397"",""stock untanna!B:C""),2,false),V:V)"),"GARISAN LIPAT 008 (40) 30 CM FANCY")</f>
        <v>GARISAN LIPAT 008 (40) 30 CM FANCY</v>
      </c>
      <c r="F3748" s="49"/>
      <c r="G3748" s="71"/>
      <c r="H3748" s="41"/>
      <c r="I3748" s="42"/>
      <c r="J3748" s="85" t="s">
        <v>1319</v>
      </c>
      <c r="K3748" s="93">
        <v>1.0</v>
      </c>
      <c r="L3748" s="112" t="s">
        <v>88</v>
      </c>
      <c r="M3748" s="113">
        <v>60000.0</v>
      </c>
      <c r="N3748" s="74"/>
      <c r="O3748" s="87">
        <f t="shared" si="11"/>
        <v>60000</v>
      </c>
      <c r="P3748" s="102" t="str">
        <f t="shared" si="2"/>
        <v>Rp60,000-1 BOX-0.00%</v>
      </c>
      <c r="Q3748" s="92">
        <v>45422.0</v>
      </c>
      <c r="R3748" s="76"/>
      <c r="S3748" s="92">
        <v>45430.0</v>
      </c>
      <c r="T3748" s="49"/>
      <c r="V3748" s="21" t="s">
        <v>139</v>
      </c>
    </row>
    <row r="3749">
      <c r="A3749" s="93">
        <v>185.0</v>
      </c>
      <c r="B3749" s="77" t="s">
        <v>29</v>
      </c>
      <c r="C3749" s="77" t="s">
        <v>3436</v>
      </c>
      <c r="D3749" s="77" t="s">
        <v>3489</v>
      </c>
      <c r="E3749" s="41" t="str">
        <f>IFERROR(__xludf.DUMMYFUNCTION("IFNA(vlookup(D3749,IMPORTRANGE(""https://docs.google.com/spreadsheets/d/1swGwZOEqYlTEUCJLY-eeJM1911Kvaei5oySBIxdgtNo/edit?pli=1#gid=257618397"",""stock untanna!B:C""),2,false),V:V)"),"GUNTING SET SC-826")</f>
        <v>GUNTING SET SC-826</v>
      </c>
      <c r="F3749" s="49"/>
      <c r="G3749" s="71"/>
      <c r="H3749" s="41"/>
      <c r="I3749" s="42"/>
      <c r="J3749" s="85" t="s">
        <v>1319</v>
      </c>
      <c r="K3749" s="93">
        <v>12.0</v>
      </c>
      <c r="L3749" s="112" t="s">
        <v>69</v>
      </c>
      <c r="M3749" s="113">
        <v>12500.0</v>
      </c>
      <c r="N3749" s="74"/>
      <c r="O3749" s="87">
        <f t="shared" si="11"/>
        <v>150000</v>
      </c>
      <c r="P3749" s="102" t="str">
        <f t="shared" si="2"/>
        <v>Rp12,500-12 PCS-0.00%</v>
      </c>
      <c r="Q3749" s="92">
        <v>45422.0</v>
      </c>
      <c r="R3749" s="76"/>
      <c r="S3749" s="92">
        <v>45430.0</v>
      </c>
      <c r="T3749" s="49"/>
      <c r="V3749" s="21" t="s">
        <v>3490</v>
      </c>
    </row>
    <row r="3750">
      <c r="A3750" s="93">
        <v>185.0</v>
      </c>
      <c r="B3750" s="77" t="s">
        <v>29</v>
      </c>
      <c r="C3750" s="77" t="s">
        <v>3436</v>
      </c>
      <c r="D3750" s="91"/>
      <c r="E3750" s="41" t="str">
        <f>IFERROR(__xludf.DUMMYFUNCTION("IFNA(vlookup(D3750,IMPORTRANGE(""https://docs.google.com/spreadsheets/d/1swGwZOEqYlTEUCJLY-eeJM1911Kvaei5oySBIxdgtNo/edit?pli=1#gid=257618397"",""stock untanna!B:C""),2,false),V:V)"),"GUNTING CUKUR JB-004")</f>
        <v>GUNTING CUKUR JB-004</v>
      </c>
      <c r="F3750" s="49"/>
      <c r="G3750" s="71"/>
      <c r="H3750" s="41"/>
      <c r="I3750" s="42"/>
      <c r="J3750" s="85" t="s">
        <v>3190</v>
      </c>
      <c r="K3750" s="93">
        <v>1.0</v>
      </c>
      <c r="L3750" s="112" t="s">
        <v>62</v>
      </c>
      <c r="M3750" s="113">
        <v>70000.0</v>
      </c>
      <c r="N3750" s="74"/>
      <c r="O3750" s="87">
        <f t="shared" si="11"/>
        <v>70000</v>
      </c>
      <c r="P3750" s="102" t="str">
        <f t="shared" si="2"/>
        <v>Rp70,000-1 LSN-0.00%</v>
      </c>
      <c r="Q3750" s="92">
        <v>45422.0</v>
      </c>
      <c r="R3750" s="76"/>
      <c r="S3750" s="92">
        <v>45430.0</v>
      </c>
      <c r="T3750" s="49"/>
      <c r="V3750" s="21" t="s">
        <v>3491</v>
      </c>
    </row>
    <row r="3751">
      <c r="A3751" s="93">
        <v>185.0</v>
      </c>
      <c r="B3751" s="77" t="s">
        <v>29</v>
      </c>
      <c r="C3751" s="77" t="s">
        <v>3436</v>
      </c>
      <c r="D3751" s="77" t="s">
        <v>2714</v>
      </c>
      <c r="E3751" s="41" t="str">
        <f>IFERROR(__xludf.DUMMYFUNCTION("IFNA(vlookup(D3751,IMPORTRANGE(""https://docs.google.com/spreadsheets/d/1swGwZOEqYlTEUCJLY-eeJM1911Kvaei5oySBIxdgtNo/edit?pli=1#gid=257618397"",""stock untanna!B:C""),2,false),V:V)"),"GUNTING 6 (B 023)")</f>
        <v>GUNTING 6 (B 023)</v>
      </c>
      <c r="F3751" s="49"/>
      <c r="G3751" s="71"/>
      <c r="H3751" s="41"/>
      <c r="I3751" s="42"/>
      <c r="J3751" s="85" t="s">
        <v>1319</v>
      </c>
      <c r="K3751" s="93">
        <v>0.75</v>
      </c>
      <c r="L3751" s="112" t="s">
        <v>62</v>
      </c>
      <c r="M3751" s="113">
        <v>135000.0</v>
      </c>
      <c r="N3751" s="74"/>
      <c r="O3751" s="87">
        <f t="shared" si="11"/>
        <v>101250</v>
      </c>
      <c r="P3751" s="102" t="str">
        <f t="shared" si="2"/>
        <v>Rp135,000-0.75 LSN-0.00%</v>
      </c>
      <c r="Q3751" s="92">
        <v>45422.0</v>
      </c>
      <c r="R3751" s="76"/>
      <c r="S3751" s="92">
        <v>45430.0</v>
      </c>
      <c r="T3751" s="49"/>
      <c r="V3751" s="21" t="s">
        <v>2715</v>
      </c>
    </row>
    <row r="3752">
      <c r="A3752" s="93">
        <v>185.0</v>
      </c>
      <c r="B3752" s="77" t="s">
        <v>29</v>
      </c>
      <c r="C3752" s="77" t="s">
        <v>3436</v>
      </c>
      <c r="D3752" s="91"/>
      <c r="E3752" s="41" t="str">
        <f>IFERROR(__xludf.DUMMYFUNCTION("IFNA(vlookup(D3752,IMPORTRANGE(""https://docs.google.com/spreadsheets/d/1swGwZOEqYlTEUCJLY-eeJM1911Kvaei5oySBIxdgtNo/edit?pli=1#gid=257618397"",""stock untanna!B:C""),2,false),V:V)"),"PENSIL HB 04")</f>
        <v>PENSIL HB 04</v>
      </c>
      <c r="F3752" s="49"/>
      <c r="G3752" s="71"/>
      <c r="H3752" s="41"/>
      <c r="I3752" s="42"/>
      <c r="J3752" s="85" t="s">
        <v>3190</v>
      </c>
      <c r="K3752" s="93">
        <v>1.0</v>
      </c>
      <c r="L3752" s="112" t="s">
        <v>88</v>
      </c>
      <c r="M3752" s="113">
        <v>71500.0</v>
      </c>
      <c r="N3752" s="74"/>
      <c r="O3752" s="87">
        <f t="shared" si="11"/>
        <v>71500</v>
      </c>
      <c r="P3752" s="102" t="str">
        <f t="shared" si="2"/>
        <v>Rp71,500-1 BOX-0.00%</v>
      </c>
      <c r="Q3752" s="92">
        <v>45422.0</v>
      </c>
      <c r="R3752" s="76"/>
      <c r="S3752" s="92">
        <v>45430.0</v>
      </c>
      <c r="T3752" s="49"/>
      <c r="V3752" s="21" t="s">
        <v>3492</v>
      </c>
    </row>
    <row r="3753">
      <c r="A3753" s="93">
        <v>186.0</v>
      </c>
      <c r="B3753" s="77" t="s">
        <v>29</v>
      </c>
      <c r="C3753" s="77" t="s">
        <v>3436</v>
      </c>
      <c r="D3753" s="91"/>
      <c r="E3753" s="41" t="str">
        <f>IFERROR(__xludf.DUMMYFUNCTION("IFNA(vlookup(D3753,IMPORTRANGE(""https://docs.google.com/spreadsheets/d/1swGwZOEqYlTEUCJLY-eeJM1911Kvaei5oySBIxdgtNo/edit?pli=1#gid=257618397"",""stock untanna!B:C""),2,false),V:V)"),"PENSIL HB 09")</f>
        <v>PENSIL HB 09</v>
      </c>
      <c r="F3753" s="49"/>
      <c r="G3753" s="71"/>
      <c r="H3753" s="41"/>
      <c r="I3753" s="42"/>
      <c r="J3753" s="85" t="s">
        <v>3190</v>
      </c>
      <c r="K3753" s="93">
        <v>1.0</v>
      </c>
      <c r="L3753" s="112" t="s">
        <v>88</v>
      </c>
      <c r="M3753" s="113">
        <v>71500.0</v>
      </c>
      <c r="N3753" s="74"/>
      <c r="O3753" s="87">
        <f t="shared" si="11"/>
        <v>71500</v>
      </c>
      <c r="P3753" s="102" t="str">
        <f t="shared" si="2"/>
        <v>Rp71,500-1 BOX-0.00%</v>
      </c>
      <c r="Q3753" s="92">
        <v>45422.0</v>
      </c>
      <c r="R3753" s="76"/>
      <c r="S3753" s="92">
        <v>45430.0</v>
      </c>
      <c r="T3753" s="49"/>
      <c r="V3753" s="21" t="s">
        <v>3493</v>
      </c>
    </row>
    <row r="3754">
      <c r="A3754" s="93">
        <v>186.0</v>
      </c>
      <c r="B3754" s="77" t="s">
        <v>29</v>
      </c>
      <c r="C3754" s="77" t="s">
        <v>3436</v>
      </c>
      <c r="D3754" s="77" t="s">
        <v>3494</v>
      </c>
      <c r="E3754" s="41" t="str">
        <f>IFERROR(__xludf.DUMMYFUNCTION("IFNA(vlookup(D3754,IMPORTRANGE(""https://docs.google.com/spreadsheets/d/1swGwZOEqYlTEUCJLY-eeJM1911Kvaei5oySBIxdgtNo/edit?pli=1#gid=257618397"",""stock untanna!B:C""),2,false),V:V)"),"BP ODOMEI GP-9932")</f>
        <v>BP ODOMEI GP-9932</v>
      </c>
      <c r="F3754" s="49"/>
      <c r="G3754" s="71"/>
      <c r="H3754" s="41"/>
      <c r="I3754" s="42"/>
      <c r="J3754" s="85" t="s">
        <v>1319</v>
      </c>
      <c r="K3754" s="93">
        <v>3.0</v>
      </c>
      <c r="L3754" s="112" t="s">
        <v>62</v>
      </c>
      <c r="M3754" s="113">
        <v>25000.0</v>
      </c>
      <c r="N3754" s="74"/>
      <c r="O3754" s="87">
        <f t="shared" si="11"/>
        <v>75000</v>
      </c>
      <c r="P3754" s="102" t="str">
        <f t="shared" si="2"/>
        <v>Rp25,000-3 LSN-0.00%</v>
      </c>
      <c r="Q3754" s="92">
        <v>45422.0</v>
      </c>
      <c r="R3754" s="76"/>
      <c r="S3754" s="92">
        <v>45430.0</v>
      </c>
      <c r="T3754" s="49"/>
      <c r="V3754" s="21" t="s">
        <v>3495</v>
      </c>
    </row>
    <row r="3755">
      <c r="A3755" s="93">
        <v>186.0</v>
      </c>
      <c r="B3755" s="77" t="s">
        <v>29</v>
      </c>
      <c r="C3755" s="77" t="s">
        <v>3436</v>
      </c>
      <c r="D3755" s="91"/>
      <c r="E3755" s="41" t="str">
        <f>IFERROR(__xludf.DUMMYFUNCTION("IFNA(vlookup(D3755,IMPORTRANGE(""https://docs.google.com/spreadsheets/d/1swGwZOEqYlTEUCJLY-eeJM1911Kvaei5oySBIxdgtNo/edit?pli=1#gid=257618397"",""stock untanna!B:C""),2,false),V:V)"),"GEL LANTU LT 2108")</f>
        <v>GEL LANTU LT 2108</v>
      </c>
      <c r="F3755" s="49"/>
      <c r="G3755" s="71"/>
      <c r="H3755" s="41"/>
      <c r="I3755" s="42"/>
      <c r="J3755" s="85" t="s">
        <v>3190</v>
      </c>
      <c r="K3755" s="93">
        <v>3.0</v>
      </c>
      <c r="L3755" s="112" t="s">
        <v>62</v>
      </c>
      <c r="M3755" s="113">
        <v>22500.0</v>
      </c>
      <c r="N3755" s="74"/>
      <c r="O3755" s="87">
        <f t="shared" si="11"/>
        <v>67500</v>
      </c>
      <c r="P3755" s="102" t="str">
        <f t="shared" si="2"/>
        <v>Rp22,500-3 LSN-0.00%</v>
      </c>
      <c r="Q3755" s="92">
        <v>45422.0</v>
      </c>
      <c r="R3755" s="76"/>
      <c r="S3755" s="92">
        <v>45430.0</v>
      </c>
      <c r="T3755" s="49"/>
      <c r="V3755" s="21" t="s">
        <v>3496</v>
      </c>
    </row>
    <row r="3756">
      <c r="A3756" s="93">
        <v>186.0</v>
      </c>
      <c r="B3756" s="77" t="s">
        <v>29</v>
      </c>
      <c r="C3756" s="77" t="s">
        <v>3436</v>
      </c>
      <c r="D3756" s="91"/>
      <c r="E3756" s="41" t="str">
        <f>IFERROR(__xludf.DUMMYFUNCTION("IFNA(vlookup(D3756,IMPORTRANGE(""https://docs.google.com/spreadsheets/d/1swGwZOEqYlTEUCJLY-eeJM1911Kvaei5oySBIxdgtNo/edit?pli=1#gid=257618397"",""stock untanna!B:C""),2,false),V:V)"),"CRAYON 12W HW")</f>
        <v>CRAYON 12W HW</v>
      </c>
      <c r="F3756" s="49"/>
      <c r="G3756" s="71"/>
      <c r="H3756" s="41"/>
      <c r="I3756" s="42"/>
      <c r="J3756" s="85" t="s">
        <v>3190</v>
      </c>
      <c r="K3756" s="93">
        <v>1.0</v>
      </c>
      <c r="L3756" s="112" t="s">
        <v>62</v>
      </c>
      <c r="M3756" s="113">
        <v>90000.0</v>
      </c>
      <c r="N3756" s="74"/>
      <c r="O3756" s="87">
        <f t="shared" si="11"/>
        <v>90000</v>
      </c>
      <c r="P3756" s="102" t="str">
        <f t="shared" si="2"/>
        <v>Rp90,000-1 LSN-0.00%</v>
      </c>
      <c r="Q3756" s="92">
        <v>45422.0</v>
      </c>
      <c r="R3756" s="76"/>
      <c r="S3756" s="92">
        <v>45430.0</v>
      </c>
      <c r="T3756" s="49"/>
      <c r="V3756" s="21" t="s">
        <v>3497</v>
      </c>
    </row>
    <row r="3757">
      <c r="A3757" s="93">
        <v>186.0</v>
      </c>
      <c r="B3757" s="77" t="s">
        <v>29</v>
      </c>
      <c r="C3757" s="77" t="s">
        <v>3436</v>
      </c>
      <c r="D3757" s="77" t="s">
        <v>366</v>
      </c>
      <c r="E3757" s="41" t="str">
        <f>IFERROR(__xludf.DUMMYFUNCTION("IFNA(vlookup(D3757,IMPORTRANGE(""https://docs.google.com/spreadsheets/d/1swGwZOEqYlTEUCJLY-eeJM1911Kvaei5oySBIxdgtNo/edit?pli=1#gid=257618397"",""stock untanna!B:C""),2,false),V:V)"),"GARISAN 30CM KAYAGI 3123")</f>
        <v>GARISAN 30CM KAYAGI 3123</v>
      </c>
      <c r="F3757" s="49"/>
      <c r="G3757" s="71"/>
      <c r="H3757" s="41"/>
      <c r="I3757" s="42"/>
      <c r="J3757" s="85" t="s">
        <v>1319</v>
      </c>
      <c r="K3757" s="93">
        <v>4.0</v>
      </c>
      <c r="L3757" s="112" t="s">
        <v>62</v>
      </c>
      <c r="M3757" s="113">
        <v>33000.0</v>
      </c>
      <c r="N3757" s="74"/>
      <c r="O3757" s="87">
        <f t="shared" si="11"/>
        <v>132000</v>
      </c>
      <c r="P3757" s="102" t="str">
        <f t="shared" si="2"/>
        <v>Rp33,000-4 LSN-0.00%</v>
      </c>
      <c r="Q3757" s="92">
        <v>45422.0</v>
      </c>
      <c r="R3757" s="76"/>
      <c r="S3757" s="92">
        <v>45430.0</v>
      </c>
      <c r="T3757" s="49"/>
      <c r="V3757" s="21" t="s">
        <v>367</v>
      </c>
    </row>
    <row r="3758">
      <c r="A3758" s="93">
        <v>186.0</v>
      </c>
      <c r="B3758" s="77" t="s">
        <v>29</v>
      </c>
      <c r="C3758" s="77" t="s">
        <v>3436</v>
      </c>
      <c r="D3758" s="77" t="s">
        <v>385</v>
      </c>
      <c r="E3758" s="41" t="str">
        <f>IFERROR(__xludf.DUMMYFUNCTION("IFNA(vlookup(D3758,IMPORTRANGE(""https://docs.google.com/spreadsheets/d/1swGwZOEqYlTEUCJLY-eeJM1911Kvaei5oySBIxdgtNo/edit?pli=1#gid=257618397"",""stock untanna!B:C""),2,false),V:V)"),"GARISAN KM-8833")</f>
        <v>GARISAN KM-8833</v>
      </c>
      <c r="F3758" s="49"/>
      <c r="G3758" s="71"/>
      <c r="H3758" s="41"/>
      <c r="I3758" s="42"/>
      <c r="J3758" s="85" t="s">
        <v>1319</v>
      </c>
      <c r="K3758" s="93">
        <v>48.0</v>
      </c>
      <c r="L3758" s="112" t="s">
        <v>69</v>
      </c>
      <c r="M3758" s="113">
        <v>2291.67</v>
      </c>
      <c r="N3758" s="74"/>
      <c r="O3758" s="87">
        <f t="shared" si="11"/>
        <v>110000.16</v>
      </c>
      <c r="P3758" s="102" t="str">
        <f t="shared" si="2"/>
        <v>Rp2,292-48 PCS-0.00%</v>
      </c>
      <c r="Q3758" s="92">
        <v>45422.0</v>
      </c>
      <c r="R3758" s="76"/>
      <c r="S3758" s="92">
        <v>45430.0</v>
      </c>
      <c r="T3758" s="49"/>
      <c r="V3758" s="21" t="s">
        <v>386</v>
      </c>
    </row>
    <row r="3759">
      <c r="A3759" s="93">
        <v>186.0</v>
      </c>
      <c r="B3759" s="77" t="s">
        <v>29</v>
      </c>
      <c r="C3759" s="77" t="s">
        <v>3436</v>
      </c>
      <c r="D3759" s="77" t="s">
        <v>3498</v>
      </c>
      <c r="E3759" s="41" t="str">
        <f>IFERROR(__xludf.DUMMYFUNCTION("IFNA(vlookup(D3759,IMPORTRANGE(""https://docs.google.com/spreadsheets/d/1swGwZOEqYlTEUCJLY-eeJM1911Kvaei5oySBIxdgtNo/edit?pli=1#gid=257618397"",""stock untanna!B:C""),2,false),V:V)"),"GARISAN KM-7733")</f>
        <v>GARISAN KM-7733</v>
      </c>
      <c r="F3759" s="49"/>
      <c r="G3759" s="71"/>
      <c r="H3759" s="41"/>
      <c r="I3759" s="42"/>
      <c r="J3759" s="85" t="s">
        <v>1319</v>
      </c>
      <c r="K3759" s="93">
        <v>48.0</v>
      </c>
      <c r="L3759" s="112" t="s">
        <v>69</v>
      </c>
      <c r="M3759" s="113">
        <v>2291.67</v>
      </c>
      <c r="N3759" s="74"/>
      <c r="O3759" s="87">
        <f t="shared" si="11"/>
        <v>110000.16</v>
      </c>
      <c r="P3759" s="102" t="str">
        <f t="shared" si="2"/>
        <v>Rp2,292-48 PCS-0.00%</v>
      </c>
      <c r="Q3759" s="92">
        <v>45422.0</v>
      </c>
      <c r="R3759" s="76"/>
      <c r="S3759" s="92">
        <v>45430.0</v>
      </c>
      <c r="T3759" s="49"/>
      <c r="V3759" s="21" t="s">
        <v>3499</v>
      </c>
    </row>
    <row r="3760">
      <c r="A3760" s="93">
        <v>186.0</v>
      </c>
      <c r="B3760" s="77" t="s">
        <v>29</v>
      </c>
      <c r="C3760" s="77" t="s">
        <v>3436</v>
      </c>
      <c r="D3760" s="77" t="s">
        <v>387</v>
      </c>
      <c r="E3760" s="41" t="str">
        <f>IFERROR(__xludf.DUMMYFUNCTION("IFNA(vlookup(D3760,IMPORTRANGE(""https://docs.google.com/spreadsheets/d/1swGwZOEqYlTEUCJLY-eeJM1911Kvaei5oySBIxdgtNo/edit?pli=1#gid=257618397"",""stock untanna!B:C""),2,false),V:V)"),"GARISAN ZH-243")</f>
        <v>GARISAN ZH-243</v>
      </c>
      <c r="F3760" s="49"/>
      <c r="G3760" s="71"/>
      <c r="H3760" s="41"/>
      <c r="I3760" s="42"/>
      <c r="J3760" s="85" t="s">
        <v>1319</v>
      </c>
      <c r="K3760" s="93">
        <v>50.0</v>
      </c>
      <c r="L3760" s="112" t="s">
        <v>69</v>
      </c>
      <c r="M3760" s="113">
        <v>1600.0</v>
      </c>
      <c r="N3760" s="74"/>
      <c r="O3760" s="87">
        <f t="shared" si="11"/>
        <v>80000</v>
      </c>
      <c r="P3760" s="102" t="str">
        <f t="shared" si="2"/>
        <v>Rp1,600-50 PCS-0.00%</v>
      </c>
      <c r="Q3760" s="92">
        <v>45422.0</v>
      </c>
      <c r="R3760" s="76"/>
      <c r="S3760" s="92">
        <v>45430.0</v>
      </c>
      <c r="T3760" s="49"/>
      <c r="V3760" s="21" t="s">
        <v>388</v>
      </c>
    </row>
    <row r="3761">
      <c r="A3761" s="93">
        <v>186.0</v>
      </c>
      <c r="B3761" s="77" t="s">
        <v>29</v>
      </c>
      <c r="C3761" s="77" t="s">
        <v>3436</v>
      </c>
      <c r="D3761" s="77" t="s">
        <v>3500</v>
      </c>
      <c r="E3761" s="41" t="str">
        <f>IFERROR(__xludf.DUMMYFUNCTION("IFNA(vlookup(D3761,IMPORTRANGE(""https://docs.google.com/spreadsheets/d/1swGwZOEqYlTEUCJLY-eeJM1911Kvaei5oySBIxdgtNo/edit?pli=1#gid=257618397"",""stock untanna!B:C""),2,false),V:V)"),"PENSIL JUMBO + ASAHAN (458)")</f>
        <v>PENSIL JUMBO + ASAHAN (458)</v>
      </c>
      <c r="F3761" s="49"/>
      <c r="G3761" s="71"/>
      <c r="H3761" s="41"/>
      <c r="I3761" s="42"/>
      <c r="J3761" s="43" t="str">
        <f>IF(D3761="","TIDAK ADA","ADA")</f>
        <v>ADA</v>
      </c>
      <c r="K3761" s="93">
        <v>1.0</v>
      </c>
      <c r="L3761" s="112" t="s">
        <v>62</v>
      </c>
      <c r="M3761" s="113">
        <v>33000.0</v>
      </c>
      <c r="N3761" s="74"/>
      <c r="O3761" s="87">
        <f t="shared" si="11"/>
        <v>33000</v>
      </c>
      <c r="P3761" s="102" t="str">
        <f t="shared" si="2"/>
        <v>Rp33,000-1 LSN-0.00%</v>
      </c>
      <c r="Q3761" s="92">
        <v>45422.0</v>
      </c>
      <c r="R3761" s="76"/>
      <c r="S3761" s="92">
        <v>45430.0</v>
      </c>
      <c r="T3761" s="77" t="s">
        <v>280</v>
      </c>
      <c r="V3761" s="21" t="s">
        <v>3501</v>
      </c>
    </row>
    <row r="3762">
      <c r="A3762" s="93">
        <v>186.0</v>
      </c>
      <c r="B3762" s="77" t="s">
        <v>29</v>
      </c>
      <c r="C3762" s="77" t="s">
        <v>3436</v>
      </c>
      <c r="D3762" s="91"/>
      <c r="E3762" s="41" t="str">
        <f>IFERROR(__xludf.DUMMYFUNCTION("IFNA(vlookup(D3762,IMPORTRANGE(""https://docs.google.com/spreadsheets/d/1swGwZOEqYlTEUCJLY-eeJM1911Kvaei5oySBIxdgtNo/edit?pli=1#gid=257618397"",""stock untanna!B:C""),2,false),V:V)"),"PENSIL + STIP BONEKA")</f>
        <v>PENSIL + STIP BONEKA</v>
      </c>
      <c r="F3762" s="49"/>
      <c r="G3762" s="71"/>
      <c r="H3762" s="41"/>
      <c r="I3762" s="42"/>
      <c r="J3762" s="85" t="s">
        <v>3190</v>
      </c>
      <c r="K3762" s="93">
        <v>1.0</v>
      </c>
      <c r="L3762" s="112" t="s">
        <v>3502</v>
      </c>
      <c r="M3762" s="113">
        <v>22500.0</v>
      </c>
      <c r="N3762" s="74"/>
      <c r="O3762" s="87">
        <f t="shared" si="11"/>
        <v>22500</v>
      </c>
      <c r="P3762" s="102" t="str">
        <f t="shared" si="2"/>
        <v>Rp22,500-1 BOX (30)-0.00%</v>
      </c>
      <c r="Q3762" s="92">
        <v>45422.0</v>
      </c>
      <c r="R3762" s="76"/>
      <c r="S3762" s="92">
        <v>45430.0</v>
      </c>
      <c r="T3762" s="49"/>
      <c r="V3762" s="21" t="s">
        <v>3503</v>
      </c>
    </row>
    <row r="3763">
      <c r="A3763" s="93">
        <v>186.0</v>
      </c>
      <c r="B3763" s="77" t="s">
        <v>29</v>
      </c>
      <c r="C3763" s="77" t="s">
        <v>3436</v>
      </c>
      <c r="D3763" s="77" t="s">
        <v>3504</v>
      </c>
      <c r="E3763" s="41" t="str">
        <f>IFERROR(__xludf.DUMMYFUNCTION("IFNA(vlookup(D3763,IMPORTRANGE(""https://docs.google.com/spreadsheets/d/1swGwZOEqYlTEUCJLY-eeJM1911Kvaei5oySBIxdgtNo/edit?pli=1#gid=257618397"",""stock untanna!B:C""),2,false),V:V)"),"PENSIL UNICORN P588 (50)")</f>
        <v>PENSIL UNICORN P588 (50)</v>
      </c>
      <c r="F3763" s="49"/>
      <c r="G3763" s="71"/>
      <c r="H3763" s="41"/>
      <c r="I3763" s="42"/>
      <c r="J3763" s="85" t="s">
        <v>1319</v>
      </c>
      <c r="K3763" s="93">
        <v>1.0</v>
      </c>
      <c r="L3763" s="112" t="s">
        <v>88</v>
      </c>
      <c r="M3763" s="113">
        <v>52500.0</v>
      </c>
      <c r="N3763" s="74"/>
      <c r="O3763" s="87">
        <f t="shared" si="11"/>
        <v>52500</v>
      </c>
      <c r="P3763" s="102" t="str">
        <f t="shared" si="2"/>
        <v>Rp52,500-1 BOX-0.00%</v>
      </c>
      <c r="Q3763" s="92">
        <v>45422.0</v>
      </c>
      <c r="R3763" s="76"/>
      <c r="S3763" s="92">
        <v>45430.0</v>
      </c>
      <c r="T3763" s="49"/>
      <c r="V3763" s="21" t="s">
        <v>3505</v>
      </c>
    </row>
    <row r="3764">
      <c r="A3764" s="93">
        <v>186.0</v>
      </c>
      <c r="B3764" s="77" t="s">
        <v>29</v>
      </c>
      <c r="C3764" s="77" t="s">
        <v>3436</v>
      </c>
      <c r="D3764" s="77" t="s">
        <v>2881</v>
      </c>
      <c r="E3764" s="41" t="str">
        <f>IFERROR(__xludf.DUMMYFUNCTION("IFNA(vlookup(D3764,IMPORTRANGE(""https://docs.google.com/spreadsheets/d/1swGwZOEqYlTEUCJLY-eeJM1911Kvaei5oySBIxdgtNo/edit?pli=1#gid=257618397"",""stock untanna!B:C""),2,false),V:V)"),"BP GELL 585")</f>
        <v>BP GELL 585</v>
      </c>
      <c r="F3764" s="49"/>
      <c r="G3764" s="71"/>
      <c r="H3764" s="41"/>
      <c r="I3764" s="42"/>
      <c r="J3764" s="85" t="s">
        <v>1319</v>
      </c>
      <c r="K3764" s="93">
        <v>3.0</v>
      </c>
      <c r="L3764" s="112" t="s">
        <v>62</v>
      </c>
      <c r="M3764" s="113">
        <v>22500.0</v>
      </c>
      <c r="N3764" s="74"/>
      <c r="O3764" s="87">
        <f t="shared" si="11"/>
        <v>67500</v>
      </c>
      <c r="P3764" s="102" t="str">
        <f t="shared" si="2"/>
        <v>Rp22,500-3 LSN-0.00%</v>
      </c>
      <c r="Q3764" s="92">
        <v>45422.0</v>
      </c>
      <c r="R3764" s="76"/>
      <c r="S3764" s="92">
        <v>45430.0</v>
      </c>
      <c r="T3764" s="49"/>
      <c r="V3764" s="21" t="s">
        <v>2882</v>
      </c>
    </row>
    <row r="3765">
      <c r="A3765" s="93">
        <v>186.0</v>
      </c>
      <c r="B3765" s="77" t="s">
        <v>29</v>
      </c>
      <c r="C3765" s="77" t="s">
        <v>3436</v>
      </c>
      <c r="D3765" s="77" t="s">
        <v>2879</v>
      </c>
      <c r="E3765" s="41" t="str">
        <f>IFERROR(__xludf.DUMMYFUNCTION("IFNA(vlookup(D3765,IMPORTRANGE(""https://docs.google.com/spreadsheets/d/1swGwZOEqYlTEUCJLY-eeJM1911Kvaei5oySBIxdgtNo/edit?pli=1#gid=257618397"",""stock untanna!B:C""),2,false),V:V)"),"BP 7064")</f>
        <v>BP 7064</v>
      </c>
      <c r="F3765" s="49"/>
      <c r="G3765" s="71"/>
      <c r="H3765" s="41"/>
      <c r="I3765" s="42"/>
      <c r="J3765" s="85" t="s">
        <v>1319</v>
      </c>
      <c r="K3765" s="93">
        <v>3.0</v>
      </c>
      <c r="L3765" s="112" t="s">
        <v>62</v>
      </c>
      <c r="M3765" s="113">
        <v>18500.0</v>
      </c>
      <c r="N3765" s="74"/>
      <c r="O3765" s="87">
        <f t="shared" si="11"/>
        <v>55500</v>
      </c>
      <c r="P3765" s="102" t="str">
        <f t="shared" si="2"/>
        <v>Rp18,500-3 LSN-0.00%</v>
      </c>
      <c r="Q3765" s="92">
        <v>45422.0</v>
      </c>
      <c r="R3765" s="76"/>
      <c r="S3765" s="92">
        <v>45430.0</v>
      </c>
      <c r="T3765" s="49"/>
      <c r="V3765" s="21" t="s">
        <v>2880</v>
      </c>
    </row>
    <row r="3766">
      <c r="A3766" s="93">
        <v>186.0</v>
      </c>
      <c r="B3766" s="77" t="s">
        <v>29</v>
      </c>
      <c r="C3766" s="77" t="s">
        <v>3436</v>
      </c>
      <c r="D3766" s="77" t="s">
        <v>2002</v>
      </c>
      <c r="E3766" s="41" t="str">
        <f>IFERROR(__xludf.DUMMYFUNCTION("IFNA(vlookup(D3766,IMPORTRANGE(""https://docs.google.com/spreadsheets/d/1swGwZOEqYlTEUCJLY-eeJM1911Kvaei5oySBIxdgtNo/edit?pli=1#gid=257618397"",""stock untanna!B:C""),2,false),V:V)"),"STABILO DEBOZZ SB 007")</f>
        <v>STABILO DEBOZZ SB 007</v>
      </c>
      <c r="F3766" s="49"/>
      <c r="G3766" s="71"/>
      <c r="H3766" s="41"/>
      <c r="I3766" s="42"/>
      <c r="J3766" s="85" t="s">
        <v>1319</v>
      </c>
      <c r="K3766" s="93">
        <v>2.0</v>
      </c>
      <c r="L3766" s="112" t="s">
        <v>62</v>
      </c>
      <c r="M3766" s="113">
        <v>30000.0</v>
      </c>
      <c r="N3766" s="74"/>
      <c r="O3766" s="87">
        <f t="shared" si="11"/>
        <v>60000</v>
      </c>
      <c r="P3766" s="102" t="str">
        <f t="shared" si="2"/>
        <v>Rp30,000-2 LSN-0.00%</v>
      </c>
      <c r="Q3766" s="92">
        <v>45422.0</v>
      </c>
      <c r="R3766" s="76"/>
      <c r="S3766" s="92">
        <v>45430.0</v>
      </c>
      <c r="T3766" s="49"/>
      <c r="V3766" s="21" t="s">
        <v>2003</v>
      </c>
    </row>
    <row r="3767">
      <c r="A3767" s="93">
        <v>186.0</v>
      </c>
      <c r="B3767" s="77" t="s">
        <v>29</v>
      </c>
      <c r="C3767" s="77" t="s">
        <v>3436</v>
      </c>
      <c r="D3767" s="91"/>
      <c r="E3767" s="41" t="str">
        <f>IFERROR(__xludf.DUMMYFUNCTION("IFNA(vlookup(D3767,IMPORTRANGE(""https://docs.google.com/spreadsheets/d/1swGwZOEqYlTEUCJLY-eeJM1911Kvaei5oySBIxdgtNo/edit?pli=1#gid=257618397"",""stock untanna!B:C""),2,false),V:V)"),"STABILLO CS 8108")</f>
        <v>STABILLO CS 8108</v>
      </c>
      <c r="F3767" s="49"/>
      <c r="G3767" s="71"/>
      <c r="H3767" s="41"/>
      <c r="I3767" s="42"/>
      <c r="J3767" s="85" t="s">
        <v>3190</v>
      </c>
      <c r="K3767" s="93">
        <v>1.0</v>
      </c>
      <c r="L3767" s="112" t="s">
        <v>62</v>
      </c>
      <c r="M3767" s="113">
        <v>35000.0</v>
      </c>
      <c r="N3767" s="74"/>
      <c r="O3767" s="87">
        <f t="shared" si="11"/>
        <v>35000</v>
      </c>
      <c r="P3767" s="102" t="str">
        <f t="shared" si="2"/>
        <v>Rp35,000-1 LSN-0.00%</v>
      </c>
      <c r="Q3767" s="92">
        <v>45422.0</v>
      </c>
      <c r="R3767" s="76"/>
      <c r="S3767" s="92">
        <v>45430.0</v>
      </c>
      <c r="T3767" s="49"/>
      <c r="V3767" s="21" t="s">
        <v>3506</v>
      </c>
    </row>
    <row r="3768">
      <c r="A3768" s="93">
        <v>186.0</v>
      </c>
      <c r="B3768" s="77" t="s">
        <v>29</v>
      </c>
      <c r="C3768" s="77" t="s">
        <v>3436</v>
      </c>
      <c r="D3768" s="77" t="s">
        <v>2301</v>
      </c>
      <c r="E3768" s="41" t="str">
        <f>IFERROR(__xludf.DUMMYFUNCTION("IFNA(vlookup(D3768,IMPORTRANGE(""https://docs.google.com/spreadsheets/d/1swGwZOEqYlTEUCJLY-eeJM1911Kvaei5oySBIxdgtNo/edit?pli=1#gid=257618397"",""stock untanna!B:C""),2,false),V:V)"),"GARISAN SET FS 9810 UNICORN")</f>
        <v>GARISAN SET FS 9810 UNICORN</v>
      </c>
      <c r="F3768" s="49"/>
      <c r="G3768" s="71"/>
      <c r="H3768" s="41"/>
      <c r="I3768" s="42"/>
      <c r="J3768" s="85" t="s">
        <v>1319</v>
      </c>
      <c r="K3768" s="93">
        <v>1.0</v>
      </c>
      <c r="L3768" s="112" t="s">
        <v>88</v>
      </c>
      <c r="M3768" s="113">
        <v>170000.0</v>
      </c>
      <c r="N3768" s="74"/>
      <c r="O3768" s="87">
        <f t="shared" si="11"/>
        <v>170000</v>
      </c>
      <c r="P3768" s="102" t="str">
        <f t="shared" si="2"/>
        <v>Rp170,000-1 BOX-0.00%</v>
      </c>
      <c r="Q3768" s="92">
        <v>45422.0</v>
      </c>
      <c r="R3768" s="76"/>
      <c r="S3768" s="92">
        <v>45430.0</v>
      </c>
      <c r="T3768" s="49"/>
      <c r="V3768" s="21" t="s">
        <v>2302</v>
      </c>
    </row>
    <row r="3769">
      <c r="A3769" s="93">
        <v>187.0</v>
      </c>
      <c r="B3769" s="77" t="s">
        <v>29</v>
      </c>
      <c r="C3769" s="77" t="s">
        <v>3436</v>
      </c>
      <c r="D3769" s="77" t="s">
        <v>2367</v>
      </c>
      <c r="E3769" s="41" t="str">
        <f>IFERROR(__xludf.DUMMYFUNCTION("IFNA(vlookup(D3769,IMPORTRANGE(""https://docs.google.com/spreadsheets/d/1swGwZOEqYlTEUCJLY-eeJM1911Kvaei5oySBIxdgtNo/edit?pli=1#gid=257618397"",""stock untanna!B:C""),2,false),V:V)"),"ASAHAN PAYU 830 KUPU-KUPU")</f>
        <v>ASAHAN PAYU 830 KUPU-KUPU</v>
      </c>
      <c r="F3769" s="49"/>
      <c r="G3769" s="71"/>
      <c r="H3769" s="41"/>
      <c r="I3769" s="42"/>
      <c r="J3769" s="85" t="s">
        <v>1319</v>
      </c>
      <c r="K3769" s="93">
        <v>2.0</v>
      </c>
      <c r="L3769" s="112" t="s">
        <v>88</v>
      </c>
      <c r="M3769" s="113">
        <v>15000.0</v>
      </c>
      <c r="N3769" s="74"/>
      <c r="O3769" s="87">
        <f t="shared" si="11"/>
        <v>30000</v>
      </c>
      <c r="P3769" s="102" t="str">
        <f t="shared" si="2"/>
        <v>Rp15,000-2 BOX-0.00%</v>
      </c>
      <c r="Q3769" s="92">
        <v>45422.0</v>
      </c>
      <c r="R3769" s="76"/>
      <c r="S3769" s="92">
        <v>45430.0</v>
      </c>
      <c r="T3769" s="49"/>
      <c r="V3769" s="21" t="s">
        <v>2368</v>
      </c>
    </row>
    <row r="3770">
      <c r="A3770" s="93">
        <v>187.0</v>
      </c>
      <c r="B3770" s="77" t="s">
        <v>29</v>
      </c>
      <c r="C3770" s="77" t="s">
        <v>3436</v>
      </c>
      <c r="D3770" s="77" t="s">
        <v>1120</v>
      </c>
      <c r="E3770" s="41" t="str">
        <f>IFERROR(__xludf.DUMMYFUNCTION("IFNA(vlookup(D3770,IMPORTRANGE(""https://docs.google.com/spreadsheets/d/1swGwZOEqYlTEUCJLY-eeJM1911Kvaei5oySBIxdgtNo/edit?pli=1#gid=257618397"",""stock untanna!B:C""),2,false),V:V)"),"ASAHAN PAYU 849 STROBERI")</f>
        <v>ASAHAN PAYU 849 STROBERI</v>
      </c>
      <c r="F3770" s="49"/>
      <c r="G3770" s="71"/>
      <c r="H3770" s="41"/>
      <c r="I3770" s="42"/>
      <c r="J3770" s="85" t="s">
        <v>1319</v>
      </c>
      <c r="K3770" s="93">
        <v>2.0</v>
      </c>
      <c r="L3770" s="112" t="s">
        <v>88</v>
      </c>
      <c r="M3770" s="113">
        <v>15000.0</v>
      </c>
      <c r="N3770" s="74"/>
      <c r="O3770" s="87">
        <f t="shared" si="11"/>
        <v>30000</v>
      </c>
      <c r="P3770" s="102" t="str">
        <f t="shared" si="2"/>
        <v>Rp15,000-2 BOX-0.00%</v>
      </c>
      <c r="Q3770" s="92">
        <v>45422.0</v>
      </c>
      <c r="R3770" s="76"/>
      <c r="S3770" s="92">
        <v>45430.0</v>
      </c>
      <c r="T3770" s="49"/>
      <c r="V3770" s="21" t="s">
        <v>1121</v>
      </c>
    </row>
    <row r="3771">
      <c r="A3771" s="93">
        <v>187.0</v>
      </c>
      <c r="B3771" s="77" t="s">
        <v>29</v>
      </c>
      <c r="C3771" s="77" t="s">
        <v>3436</v>
      </c>
      <c r="D3771" s="91"/>
      <c r="E3771" s="41" t="str">
        <f>IFERROR(__xludf.DUMMYFUNCTION("IFNA(vlookup(D3771,IMPORTRANGE(""https://docs.google.com/spreadsheets/d/1swGwZOEqYlTEUCJLY-eeJM1911Kvaei5oySBIxdgtNo/edit?pli=1#gid=257618397"",""stock untanna!B:C""),2,false),V:V)"),"STABILLO JK J-356")</f>
        <v>STABILLO JK J-356</v>
      </c>
      <c r="F3771" s="49"/>
      <c r="G3771" s="71"/>
      <c r="H3771" s="41"/>
      <c r="I3771" s="42"/>
      <c r="J3771" s="85" t="s">
        <v>3190</v>
      </c>
      <c r="K3771" s="93">
        <v>2.0</v>
      </c>
      <c r="L3771" s="112" t="s">
        <v>88</v>
      </c>
      <c r="M3771" s="113">
        <v>18750.0</v>
      </c>
      <c r="N3771" s="74"/>
      <c r="O3771" s="87">
        <f t="shared" si="11"/>
        <v>37500</v>
      </c>
      <c r="P3771" s="102" t="str">
        <f t="shared" si="2"/>
        <v>Rp18,750-2 BOX-0.00%</v>
      </c>
      <c r="Q3771" s="92">
        <v>45422.0</v>
      </c>
      <c r="R3771" s="76"/>
      <c r="S3771" s="92">
        <v>45430.0</v>
      </c>
      <c r="T3771" s="49"/>
      <c r="V3771" s="21" t="s">
        <v>3507</v>
      </c>
    </row>
    <row r="3772">
      <c r="A3772" s="93">
        <v>187.0</v>
      </c>
      <c r="B3772" s="77" t="s">
        <v>29</v>
      </c>
      <c r="C3772" s="77" t="s">
        <v>3436</v>
      </c>
      <c r="D3772" s="77" t="s">
        <v>1260</v>
      </c>
      <c r="E3772" s="41" t="str">
        <f>IFERROR(__xludf.DUMMYFUNCTION("IFNA(vlookup(D3772,IMPORTRANGE(""https://docs.google.com/spreadsheets/d/1swGwZOEqYlTEUCJLY-eeJM1911Kvaei5oySBIxdgtNo/edit?pli=1#gid=257618397"",""stock untanna!B:C""),2,false),V:V)"),"TAS KARUNG 40X45 ")</f>
        <v>TAS KARUNG 40X45 </v>
      </c>
      <c r="F3772" s="49"/>
      <c r="G3772" s="71"/>
      <c r="H3772" s="41"/>
      <c r="I3772" s="42"/>
      <c r="J3772" s="85" t="s">
        <v>1319</v>
      </c>
      <c r="K3772" s="93">
        <v>2.0</v>
      </c>
      <c r="L3772" s="112" t="s">
        <v>62</v>
      </c>
      <c r="M3772" s="113">
        <v>262500.0</v>
      </c>
      <c r="N3772" s="74"/>
      <c r="O3772" s="87">
        <f t="shared" si="11"/>
        <v>525000</v>
      </c>
      <c r="P3772" s="102" t="str">
        <f t="shared" si="2"/>
        <v>Rp262,500-2 LSN-0.00%</v>
      </c>
      <c r="Q3772" s="92">
        <v>45422.0</v>
      </c>
      <c r="R3772" s="76"/>
      <c r="S3772" s="92">
        <v>45430.0</v>
      </c>
      <c r="T3772" s="49"/>
      <c r="V3772" s="21" t="s">
        <v>1261</v>
      </c>
    </row>
    <row r="3773">
      <c r="A3773" s="93">
        <v>187.0</v>
      </c>
      <c r="B3773" s="77" t="s">
        <v>29</v>
      </c>
      <c r="C3773" s="77" t="s">
        <v>3436</v>
      </c>
      <c r="D3773" s="91"/>
      <c r="E3773" s="41" t="str">
        <f>IFERROR(__xludf.DUMMYFUNCTION("IFNA(vlookup(D3773,IMPORTRANGE(""https://docs.google.com/spreadsheets/d/1swGwZOEqYlTEUCJLY-eeJM1911Kvaei5oySBIxdgtNo/edit?pli=1#gid=257618397"",""stock untanna!B:C""),2,false),V:V)"),"TAS BATIK BESAR")</f>
        <v>TAS BATIK BESAR</v>
      </c>
      <c r="F3773" s="49"/>
      <c r="G3773" s="71"/>
      <c r="H3773" s="41"/>
      <c r="I3773" s="42"/>
      <c r="J3773" s="85" t="s">
        <v>3190</v>
      </c>
      <c r="K3773" s="93">
        <v>2.0</v>
      </c>
      <c r="L3773" s="112" t="s">
        <v>62</v>
      </c>
      <c r="M3773" s="113">
        <v>55000.0</v>
      </c>
      <c r="N3773" s="74"/>
      <c r="O3773" s="87">
        <f t="shared" si="11"/>
        <v>110000</v>
      </c>
      <c r="P3773" s="102" t="str">
        <f t="shared" si="2"/>
        <v>Rp55,000-2 LSN-0.00%</v>
      </c>
      <c r="Q3773" s="92">
        <v>45422.0</v>
      </c>
      <c r="R3773" s="76"/>
      <c r="S3773" s="92">
        <v>45430.0</v>
      </c>
      <c r="T3773" s="49"/>
      <c r="V3773" s="21" t="s">
        <v>3508</v>
      </c>
    </row>
    <row r="3774">
      <c r="A3774" s="93">
        <v>187.0</v>
      </c>
      <c r="B3774" s="77" t="s">
        <v>29</v>
      </c>
      <c r="C3774" s="77" t="s">
        <v>3436</v>
      </c>
      <c r="D3774" s="77" t="s">
        <v>696</v>
      </c>
      <c r="E3774" s="41" t="str">
        <f>IFERROR(__xludf.DUMMYFUNCTION("IFNA(vlookup(D3774,IMPORTRANGE(""https://docs.google.com/spreadsheets/d/1swGwZOEqYlTEUCJLY-eeJM1911Kvaei5oySBIxdgtNo/edit?pli=1#gid=257618397"",""stock untanna!B:C""),2,false),V:V)"),"CLIPBOARD ACRYLIC TF-015")</f>
        <v>CLIPBOARD ACRYLIC TF-015</v>
      </c>
      <c r="F3774" s="49"/>
      <c r="G3774" s="71"/>
      <c r="H3774" s="41"/>
      <c r="I3774" s="42"/>
      <c r="J3774" s="85" t="s">
        <v>1319</v>
      </c>
      <c r="K3774" s="93">
        <v>9.0</v>
      </c>
      <c r="L3774" s="112" t="s">
        <v>69</v>
      </c>
      <c r="M3774" s="113">
        <v>20833.3</v>
      </c>
      <c r="N3774" s="74"/>
      <c r="O3774" s="87">
        <f t="shared" si="11"/>
        <v>187499.7</v>
      </c>
      <c r="P3774" s="102" t="str">
        <f t="shared" si="2"/>
        <v>Rp20,833-9 PCS-0.00%</v>
      </c>
      <c r="Q3774" s="92">
        <v>45422.0</v>
      </c>
      <c r="R3774" s="76"/>
      <c r="S3774" s="92">
        <v>45430.0</v>
      </c>
      <c r="T3774" s="49"/>
      <c r="V3774" s="21" t="s">
        <v>697</v>
      </c>
    </row>
    <row r="3775">
      <c r="A3775" s="93">
        <v>174.0</v>
      </c>
      <c r="B3775" s="77" t="s">
        <v>29</v>
      </c>
      <c r="C3775" s="77" t="s">
        <v>3509</v>
      </c>
      <c r="D3775" s="77" t="s">
        <v>2356</v>
      </c>
      <c r="E3775" s="41" t="str">
        <f>IFERROR(__xludf.DUMMYFUNCTION("IFNA(vlookup(D3775,IMPORTRANGE(""https://docs.google.com/spreadsheets/d/1swGwZOEqYlTEUCJLY-eeJM1911Kvaei5oySBIxdgtNo/edit?pli=1#gid=257618397"",""stock untanna!B:C""),2,false),V:V)"),"PENSIL CASE AD-062")</f>
        <v>PENSIL CASE AD-062</v>
      </c>
      <c r="F3775" s="49"/>
      <c r="G3775" s="71"/>
      <c r="H3775" s="41"/>
      <c r="I3775" s="42"/>
      <c r="J3775" s="85" t="s">
        <v>1319</v>
      </c>
      <c r="K3775" s="93">
        <v>24.0</v>
      </c>
      <c r="L3775" s="112" t="s">
        <v>69</v>
      </c>
      <c r="M3775" s="113">
        <v>16666.7</v>
      </c>
      <c r="N3775" s="74"/>
      <c r="O3775" s="87">
        <f t="shared" si="11"/>
        <v>400000.8</v>
      </c>
      <c r="P3775" s="102" t="str">
        <f t="shared" si="2"/>
        <v>Rp16,667-24 PCS-0.00%</v>
      </c>
      <c r="Q3775" s="92">
        <v>45422.0</v>
      </c>
      <c r="R3775" s="76"/>
      <c r="S3775" s="92">
        <v>45430.0</v>
      </c>
      <c r="T3775" s="49"/>
      <c r="V3775" s="21" t="s">
        <v>2357</v>
      </c>
    </row>
    <row r="3776">
      <c r="A3776" s="93">
        <v>174.0</v>
      </c>
      <c r="B3776" s="77" t="s">
        <v>29</v>
      </c>
      <c r="C3776" s="77" t="s">
        <v>3509</v>
      </c>
      <c r="D3776" s="77" t="s">
        <v>95</v>
      </c>
      <c r="E3776" s="41" t="str">
        <f>IFERROR(__xludf.DUMMYFUNCTION("IFNA(vlookup(D3776,IMPORTRANGE(""https://docs.google.com/spreadsheets/d/1swGwZOEqYlTEUCJLY-eeJM1911Kvaei5oySBIxdgtNo/edit?pli=1#gid=257618397"",""stock untanna!B:C""),2,false),V:V)"),"PENCIL CASE MAGNET 8631 + CALL")</f>
        <v>PENCIL CASE MAGNET 8631 + CALL</v>
      </c>
      <c r="F3776" s="49"/>
      <c r="G3776" s="71"/>
      <c r="H3776" s="41"/>
      <c r="I3776" s="42"/>
      <c r="J3776" s="85" t="s">
        <v>1319</v>
      </c>
      <c r="K3776" s="93">
        <v>24.0</v>
      </c>
      <c r="L3776" s="112" t="s">
        <v>69</v>
      </c>
      <c r="M3776" s="113">
        <v>15000.0</v>
      </c>
      <c r="N3776" s="74"/>
      <c r="O3776" s="87">
        <f t="shared" si="11"/>
        <v>360000</v>
      </c>
      <c r="P3776" s="102" t="str">
        <f t="shared" si="2"/>
        <v>Rp15,000-24 PCS-0.00%</v>
      </c>
      <c r="Q3776" s="92">
        <v>45422.0</v>
      </c>
      <c r="R3776" s="76"/>
      <c r="S3776" s="92">
        <v>45430.0</v>
      </c>
      <c r="T3776" s="49"/>
      <c r="V3776" s="21" t="s">
        <v>96</v>
      </c>
    </row>
    <row r="3777">
      <c r="A3777" s="93">
        <v>174.0</v>
      </c>
      <c r="B3777" s="77" t="s">
        <v>29</v>
      </c>
      <c r="C3777" s="77" t="s">
        <v>3509</v>
      </c>
      <c r="D3777" s="77" t="s">
        <v>596</v>
      </c>
      <c r="E3777" s="41" t="str">
        <f>IFERROR(__xludf.DUMMYFUNCTION("IFNA(vlookup(D3777,IMPORTRANGE(""https://docs.google.com/spreadsheets/d/1swGwZOEqYlTEUCJLY-eeJM1911Kvaei5oySBIxdgtNo/edit?pli=1#gid=257618397"",""stock untanna!B:C""),2,false),V:V)"),"PENSIL CASE 6A-26")</f>
        <v>PENSIL CASE 6A-26</v>
      </c>
      <c r="F3777" s="49"/>
      <c r="G3777" s="71"/>
      <c r="H3777" s="41"/>
      <c r="I3777" s="42"/>
      <c r="J3777" s="85" t="s">
        <v>1319</v>
      </c>
      <c r="K3777" s="93">
        <v>12.0</v>
      </c>
      <c r="L3777" s="112" t="s">
        <v>69</v>
      </c>
      <c r="M3777" s="113">
        <v>18750.0</v>
      </c>
      <c r="N3777" s="74"/>
      <c r="O3777" s="87">
        <f t="shared" si="11"/>
        <v>225000</v>
      </c>
      <c r="P3777" s="102" t="str">
        <f t="shared" si="2"/>
        <v>Rp18,750-12 PCS-0.00%</v>
      </c>
      <c r="Q3777" s="92">
        <v>45422.0</v>
      </c>
      <c r="R3777" s="76"/>
      <c r="S3777" s="92">
        <v>45430.0</v>
      </c>
      <c r="T3777" s="49"/>
      <c r="V3777" s="21" t="s">
        <v>597</v>
      </c>
    </row>
    <row r="3778">
      <c r="A3778" s="93">
        <v>174.0</v>
      </c>
      <c r="B3778" s="77" t="s">
        <v>29</v>
      </c>
      <c r="C3778" s="77" t="s">
        <v>3509</v>
      </c>
      <c r="D3778" s="77" t="s">
        <v>3399</v>
      </c>
      <c r="E3778" s="41" t="str">
        <f>IFERROR(__xludf.DUMMYFUNCTION("IFNA(vlookup(D3778,IMPORTRANGE(""https://docs.google.com/spreadsheets/d/1swGwZOEqYlTEUCJLY-eeJM1911Kvaei5oySBIxdgtNo/edit?pli=1#gid=257618397"",""stock untanna!B:C""),2,false),V:V)"),"GARISAN BESI 30CM GLITER HS 1906 (9030)")</f>
        <v>GARISAN BESI 30CM GLITER HS 1906 (9030)</v>
      </c>
      <c r="F3778" s="49"/>
      <c r="G3778" s="71"/>
      <c r="H3778" s="41"/>
      <c r="I3778" s="42"/>
      <c r="J3778" s="85" t="s">
        <v>1319</v>
      </c>
      <c r="K3778" s="93">
        <v>48.0</v>
      </c>
      <c r="L3778" s="112" t="s">
        <v>69</v>
      </c>
      <c r="M3778" s="113">
        <v>3208.33</v>
      </c>
      <c r="N3778" s="74"/>
      <c r="O3778" s="87">
        <f t="shared" si="11"/>
        <v>153999.84</v>
      </c>
      <c r="P3778" s="102" t="str">
        <f t="shared" si="2"/>
        <v>Rp3,208-48 PCS-0.00%</v>
      </c>
      <c r="Q3778" s="92">
        <v>45422.0</v>
      </c>
      <c r="R3778" s="76"/>
      <c r="S3778" s="92">
        <v>45430.0</v>
      </c>
      <c r="T3778" s="49"/>
      <c r="V3778" s="21" t="s">
        <v>3400</v>
      </c>
    </row>
    <row r="3779">
      <c r="A3779" s="93">
        <v>174.0</v>
      </c>
      <c r="B3779" s="77" t="s">
        <v>29</v>
      </c>
      <c r="C3779" s="77" t="s">
        <v>3509</v>
      </c>
      <c r="D3779" s="77" t="s">
        <v>203</v>
      </c>
      <c r="E3779" s="41" t="str">
        <f>IFERROR(__xludf.DUMMYFUNCTION("IFNA(vlookup(D3779,IMPORTRANGE(""https://docs.google.com/spreadsheets/d/1swGwZOEqYlTEUCJLY-eeJM1911Kvaei5oySBIxdgtNo/edit?pli=1#gid=257618397"",""stock untanna!B:C""),2,false),V:V)"),"BP HITECH JOSS GP-168 0.28MM")</f>
        <v>BP HITECH JOSS GP-168 0.28MM</v>
      </c>
      <c r="F3779" s="49"/>
      <c r="G3779" s="71"/>
      <c r="H3779" s="41"/>
      <c r="I3779" s="42"/>
      <c r="J3779" s="85" t="s">
        <v>1319</v>
      </c>
      <c r="K3779" s="93">
        <v>6.0</v>
      </c>
      <c r="L3779" s="112" t="s">
        <v>62</v>
      </c>
      <c r="M3779" s="113">
        <v>47500.0</v>
      </c>
      <c r="N3779" s="74"/>
      <c r="O3779" s="87">
        <f t="shared" si="11"/>
        <v>285000</v>
      </c>
      <c r="P3779" s="102" t="str">
        <f t="shared" si="2"/>
        <v>Rp47,500-6 LSN-0.00%</v>
      </c>
      <c r="Q3779" s="92">
        <v>45422.0</v>
      </c>
      <c r="R3779" s="76"/>
      <c r="S3779" s="92">
        <v>45430.0</v>
      </c>
      <c r="T3779" s="49"/>
      <c r="V3779" s="21" t="s">
        <v>204</v>
      </c>
    </row>
    <row r="3780">
      <c r="A3780" s="93">
        <v>174.0</v>
      </c>
      <c r="B3780" s="77" t="s">
        <v>29</v>
      </c>
      <c r="C3780" s="77" t="s">
        <v>3509</v>
      </c>
      <c r="D3780" s="91"/>
      <c r="E3780" s="41" t="str">
        <f>IFERROR(__xludf.DUMMYFUNCTION("IFNA(vlookup(D3780,IMPORTRANGE(""https://docs.google.com/spreadsheets/d/1swGwZOEqYlTEUCJLY-eeJM1911Kvaei5oySBIxdgtNo/edit?pli=1#gid=257618397"",""stock untanna!B:C""),2,false),V:V)"),"BUKU MEWARNAI 6-8 A4")</f>
        <v>BUKU MEWARNAI 6-8 A4</v>
      </c>
      <c r="F3780" s="49"/>
      <c r="G3780" s="71"/>
      <c r="H3780" s="41"/>
      <c r="I3780" s="42"/>
      <c r="J3780" s="85" t="s">
        <v>1319</v>
      </c>
      <c r="K3780" s="93">
        <v>5.0</v>
      </c>
      <c r="L3780" s="112" t="s">
        <v>62</v>
      </c>
      <c r="M3780" s="113">
        <v>75000.0</v>
      </c>
      <c r="N3780" s="74"/>
      <c r="O3780" s="87">
        <f t="shared" si="11"/>
        <v>375000</v>
      </c>
      <c r="P3780" s="102" t="str">
        <f t="shared" si="2"/>
        <v>Rp75,000-5 LSN-0.00%</v>
      </c>
      <c r="Q3780" s="92">
        <v>45422.0</v>
      </c>
      <c r="R3780" s="76"/>
      <c r="S3780" s="92">
        <v>45430.0</v>
      </c>
      <c r="T3780" s="77" t="s">
        <v>280</v>
      </c>
      <c r="V3780" s="21" t="s">
        <v>3510</v>
      </c>
    </row>
    <row r="3781">
      <c r="A3781" s="93">
        <v>174.0</v>
      </c>
      <c r="B3781" s="77" t="s">
        <v>29</v>
      </c>
      <c r="C3781" s="77" t="s">
        <v>3509</v>
      </c>
      <c r="D3781" s="91"/>
      <c r="E3781" s="41" t="str">
        <f>IFERROR(__xludf.DUMMYFUNCTION("IFNA(vlookup(D3781,IMPORTRANGE(""https://docs.google.com/spreadsheets/d/1swGwZOEqYlTEUCJLY-eeJM1911Kvaei5oySBIxdgtNo/edit?pli=1#gid=257618397"",""stock untanna!B:C""),2,false),V:V)"),"BUKU MEWARNAI SPS")</f>
        <v>BUKU MEWARNAI SPS</v>
      </c>
      <c r="F3781" s="49"/>
      <c r="G3781" s="71"/>
      <c r="H3781" s="41"/>
      <c r="I3781" s="42"/>
      <c r="J3781" s="85" t="s">
        <v>3190</v>
      </c>
      <c r="K3781" s="93">
        <v>5.0</v>
      </c>
      <c r="L3781" s="112" t="s">
        <v>62</v>
      </c>
      <c r="M3781" s="113">
        <v>45000.0</v>
      </c>
      <c r="N3781" s="74"/>
      <c r="O3781" s="87">
        <f t="shared" si="11"/>
        <v>225000</v>
      </c>
      <c r="P3781" s="102" t="str">
        <f t="shared" si="2"/>
        <v>Rp45,000-5 LSN-0.00%</v>
      </c>
      <c r="Q3781" s="92">
        <v>45422.0</v>
      </c>
      <c r="R3781" s="76"/>
      <c r="S3781" s="92">
        <v>45430.0</v>
      </c>
      <c r="T3781" s="49"/>
      <c r="V3781" s="21" t="s">
        <v>1230</v>
      </c>
    </row>
    <row r="3782">
      <c r="A3782" s="93">
        <v>174.0</v>
      </c>
      <c r="B3782" s="77" t="s">
        <v>29</v>
      </c>
      <c r="C3782" s="77" t="s">
        <v>3509</v>
      </c>
      <c r="D3782" s="91"/>
      <c r="E3782" s="41" t="str">
        <f>IFERROR(__xludf.DUMMYFUNCTION("IFNA(vlookup(D3782,IMPORTRANGE(""https://docs.google.com/spreadsheets/d/1swGwZOEqYlTEUCJLY-eeJM1911Kvaei5oySBIxdgtNo/edit?pli=1#gid=257618397"",""stock untanna!B:C""),2,false),V:V)"),"BUKU MEWARNAI SIKA")</f>
        <v>BUKU MEWARNAI SIKA</v>
      </c>
      <c r="F3782" s="49"/>
      <c r="G3782" s="71"/>
      <c r="H3782" s="41"/>
      <c r="I3782" s="42"/>
      <c r="J3782" s="85" t="s">
        <v>3190</v>
      </c>
      <c r="K3782" s="93">
        <v>5.0</v>
      </c>
      <c r="L3782" s="112" t="s">
        <v>62</v>
      </c>
      <c r="M3782" s="113">
        <v>45000.0</v>
      </c>
      <c r="N3782" s="74"/>
      <c r="O3782" s="87">
        <f t="shared" si="11"/>
        <v>225000</v>
      </c>
      <c r="P3782" s="102" t="str">
        <f t="shared" si="2"/>
        <v>Rp45,000-5 LSN-0.00%</v>
      </c>
      <c r="Q3782" s="92">
        <v>45422.0</v>
      </c>
      <c r="R3782" s="76"/>
      <c r="S3782" s="92">
        <v>45430.0</v>
      </c>
      <c r="T3782" s="49"/>
      <c r="V3782" s="21" t="s">
        <v>3247</v>
      </c>
    </row>
    <row r="3783">
      <c r="A3783" s="93">
        <v>174.0</v>
      </c>
      <c r="B3783" s="77" t="s">
        <v>29</v>
      </c>
      <c r="C3783" s="77" t="s">
        <v>3509</v>
      </c>
      <c r="D3783" s="77" t="s">
        <v>1193</v>
      </c>
      <c r="E3783" s="41" t="str">
        <f>IFERROR(__xludf.DUMMYFUNCTION("IFNA(vlookup(D3783,IMPORTRANGE(""https://docs.google.com/spreadsheets/d/1swGwZOEqYlTEUCJLY-eeJM1911Kvaei5oySBIxdgtNo/edit?pli=1#gid=257618397"",""stock untanna!B:C""),2,false),V:V)"),"ISI GEL GR 090 (20PCS TABUNG)")</f>
        <v>ISI GEL GR 090 (20PCS TABUNG)</v>
      </c>
      <c r="F3783" s="49"/>
      <c r="G3783" s="71"/>
      <c r="H3783" s="41"/>
      <c r="I3783" s="42"/>
      <c r="J3783" s="85" t="s">
        <v>1319</v>
      </c>
      <c r="K3783" s="93">
        <v>2.0</v>
      </c>
      <c r="L3783" s="112" t="s">
        <v>88</v>
      </c>
      <c r="M3783" s="113">
        <v>192000.0</v>
      </c>
      <c r="N3783" s="74"/>
      <c r="O3783" s="87">
        <f t="shared" si="11"/>
        <v>384000</v>
      </c>
      <c r="P3783" s="102" t="str">
        <f t="shared" si="2"/>
        <v>Rp192,000-2 BOX-0.00%</v>
      </c>
      <c r="Q3783" s="92">
        <v>45422.0</v>
      </c>
      <c r="R3783" s="76"/>
      <c r="S3783" s="92">
        <v>45430.0</v>
      </c>
      <c r="T3783" s="49"/>
      <c r="V3783" s="21" t="s">
        <v>1194</v>
      </c>
    </row>
    <row r="3784">
      <c r="A3784" s="93">
        <v>174.0</v>
      </c>
      <c r="B3784" s="77" t="s">
        <v>29</v>
      </c>
      <c r="C3784" s="77" t="s">
        <v>3509</v>
      </c>
      <c r="D3784" s="77" t="s">
        <v>1889</v>
      </c>
      <c r="E3784" s="41" t="str">
        <f>IFERROR(__xludf.DUMMYFUNCTION("IFNA(vlookup(D3784,IMPORTRANGE(""https://docs.google.com/spreadsheets/d/1swGwZOEqYlTEUCJLY-eeJM1911Kvaei5oySBIxdgtNo/edit?pli=1#gid=257618397"",""stock untanna!B:C""),2,false),V:V)"),"NOTEBOOK  A5-107")</f>
        <v>NOTEBOOK  A5-107</v>
      </c>
      <c r="F3784" s="49"/>
      <c r="G3784" s="71"/>
      <c r="H3784" s="41"/>
      <c r="I3784" s="42"/>
      <c r="J3784" s="85" t="s">
        <v>1319</v>
      </c>
      <c r="K3784" s="93">
        <v>1.0</v>
      </c>
      <c r="L3784" s="112" t="s">
        <v>62</v>
      </c>
      <c r="M3784" s="113">
        <v>210000.0</v>
      </c>
      <c r="N3784" s="74"/>
      <c r="O3784" s="87">
        <f t="shared" si="11"/>
        <v>210000</v>
      </c>
      <c r="P3784" s="102" t="str">
        <f t="shared" si="2"/>
        <v>Rp210,000-1 LSN-0.00%</v>
      </c>
      <c r="Q3784" s="92">
        <v>45422.0</v>
      </c>
      <c r="R3784" s="76"/>
      <c r="S3784" s="92">
        <v>45430.0</v>
      </c>
      <c r="T3784" s="49"/>
      <c r="V3784" s="21" t="s">
        <v>1890</v>
      </c>
    </row>
    <row r="3785">
      <c r="A3785" s="93">
        <v>174.0</v>
      </c>
      <c r="B3785" s="77" t="s">
        <v>29</v>
      </c>
      <c r="C3785" s="77" t="s">
        <v>3509</v>
      </c>
      <c r="D3785" s="77" t="s">
        <v>2398</v>
      </c>
      <c r="E3785" s="41" t="str">
        <f>IFERROR(__xludf.DUMMYFUNCTION("IFNA(vlookup(D3785,IMPORTRANGE(""https://docs.google.com/spreadsheets/d/1swGwZOEqYlTEUCJLY-eeJM1911Kvaei5oySBIxdgtNo/edit?pli=1#gid=257618397"",""stock untanna!B:C""),2,false),V:V)"),"NOTEBOOK  A5-508")</f>
        <v>NOTEBOOK  A5-508</v>
      </c>
      <c r="F3785" s="49"/>
      <c r="G3785" s="71"/>
      <c r="H3785" s="41"/>
      <c r="I3785" s="42"/>
      <c r="J3785" s="85" t="s">
        <v>1319</v>
      </c>
      <c r="K3785" s="93">
        <v>1.0</v>
      </c>
      <c r="L3785" s="112" t="s">
        <v>62</v>
      </c>
      <c r="M3785" s="113">
        <v>210000.0</v>
      </c>
      <c r="N3785" s="74"/>
      <c r="O3785" s="87">
        <f t="shared" si="11"/>
        <v>210000</v>
      </c>
      <c r="P3785" s="102" t="str">
        <f t="shared" si="2"/>
        <v>Rp210,000-1 LSN-0.00%</v>
      </c>
      <c r="Q3785" s="92">
        <v>45422.0</v>
      </c>
      <c r="R3785" s="76"/>
      <c r="S3785" s="92">
        <v>45430.0</v>
      </c>
      <c r="T3785" s="49"/>
      <c r="V3785" s="21" t="s">
        <v>2399</v>
      </c>
    </row>
    <row r="3786">
      <c r="A3786" s="93">
        <v>174.0</v>
      </c>
      <c r="B3786" s="77" t="s">
        <v>29</v>
      </c>
      <c r="C3786" s="77" t="s">
        <v>3509</v>
      </c>
      <c r="D3786" s="77" t="s">
        <v>1370</v>
      </c>
      <c r="E3786" s="41" t="str">
        <f>IFERROR(__xludf.DUMMYFUNCTION("IFNA(vlookup(D3786,IMPORTRANGE(""https://docs.google.com/spreadsheets/d/1swGwZOEqYlTEUCJLY-eeJM1911Kvaei5oySBIxdgtNo/edit?pli=1#gid=257618397"",""stock untanna!B:C""),2,false),V:V)"),"NOTEBOOK  A5-UN")</f>
        <v>NOTEBOOK  A5-UN</v>
      </c>
      <c r="F3786" s="49"/>
      <c r="G3786" s="71"/>
      <c r="H3786" s="41"/>
      <c r="I3786" s="42"/>
      <c r="J3786" s="85" t="s">
        <v>1319</v>
      </c>
      <c r="K3786" s="93">
        <v>1.0</v>
      </c>
      <c r="L3786" s="112" t="s">
        <v>62</v>
      </c>
      <c r="M3786" s="113">
        <v>210000.0</v>
      </c>
      <c r="N3786" s="74"/>
      <c r="O3786" s="87">
        <f t="shared" si="11"/>
        <v>210000</v>
      </c>
      <c r="P3786" s="102" t="str">
        <f t="shared" si="2"/>
        <v>Rp210,000-1 LSN-0.00%</v>
      </c>
      <c r="Q3786" s="92">
        <v>45422.0</v>
      </c>
      <c r="R3786" s="76"/>
      <c r="S3786" s="92">
        <v>45430.0</v>
      </c>
      <c r="T3786" s="49"/>
      <c r="V3786" s="21" t="s">
        <v>1371</v>
      </c>
    </row>
    <row r="3787">
      <c r="A3787" s="93">
        <v>174.0</v>
      </c>
      <c r="B3787" s="77" t="s">
        <v>29</v>
      </c>
      <c r="C3787" s="77" t="s">
        <v>3509</v>
      </c>
      <c r="D3787" s="91"/>
      <c r="E3787" s="41" t="str">
        <f>IFERROR(__xludf.DUMMYFUNCTION("IFNA(vlookup(D3787,IMPORTRANGE(""https://docs.google.com/spreadsheets/d/1swGwZOEqYlTEUCJLY-eeJM1911Kvaei5oySBIxdgtNo/edit?pli=1#gid=257618397"",""stock untanna!B:C""),2,false),V:V)"),"NOTEBOOK A5-ME")</f>
        <v>NOTEBOOK A5-ME</v>
      </c>
      <c r="F3787" s="49"/>
      <c r="G3787" s="71"/>
      <c r="H3787" s="41"/>
      <c r="I3787" s="42"/>
      <c r="J3787" s="85" t="s">
        <v>1319</v>
      </c>
      <c r="K3787" s="93">
        <v>12.0</v>
      </c>
      <c r="L3787" s="112" t="s">
        <v>69</v>
      </c>
      <c r="M3787" s="113">
        <v>17500.0</v>
      </c>
      <c r="N3787" s="74"/>
      <c r="O3787" s="87">
        <f t="shared" si="11"/>
        <v>210000</v>
      </c>
      <c r="P3787" s="102" t="str">
        <f t="shared" si="2"/>
        <v>Rp17,500-12 PCS-0.00%</v>
      </c>
      <c r="Q3787" s="92">
        <v>45422.0</v>
      </c>
      <c r="R3787" s="76"/>
      <c r="S3787" s="92">
        <v>45430.0</v>
      </c>
      <c r="T3787" s="77" t="s">
        <v>280</v>
      </c>
      <c r="V3787" s="21" t="s">
        <v>3248</v>
      </c>
    </row>
    <row r="3788">
      <c r="A3788" s="93">
        <v>174.0</v>
      </c>
      <c r="B3788" s="77" t="s">
        <v>29</v>
      </c>
      <c r="C3788" s="77" t="s">
        <v>3509</v>
      </c>
      <c r="D3788" s="77" t="s">
        <v>2008</v>
      </c>
      <c r="E3788" s="41" t="str">
        <f>IFERROR(__xludf.DUMMYFUNCTION("IFNA(vlookup(D3788,IMPORTRANGE(""https://docs.google.com/spreadsheets/d/1swGwZOEqYlTEUCJLY-eeJM1911Kvaei5oySBIxdgtNo/edit?pli=1#gid=257618397"",""stock untanna!B:C""),2,false),V:V)"),"PW 9999-12")</f>
        <v>PW 9999-12</v>
      </c>
      <c r="F3788" s="49"/>
      <c r="G3788" s="71"/>
      <c r="H3788" s="41"/>
      <c r="I3788" s="42"/>
      <c r="J3788" s="85" t="s">
        <v>1319</v>
      </c>
      <c r="K3788" s="93">
        <v>6.0</v>
      </c>
      <c r="L3788" s="112" t="s">
        <v>62</v>
      </c>
      <c r="M3788" s="113">
        <v>175000.0</v>
      </c>
      <c r="N3788" s="74"/>
      <c r="O3788" s="87">
        <f t="shared" si="11"/>
        <v>1050000</v>
      </c>
      <c r="P3788" s="102" t="str">
        <f t="shared" si="2"/>
        <v>Rp175,000-6 LSN-0.00%</v>
      </c>
      <c r="Q3788" s="92">
        <v>45422.0</v>
      </c>
      <c r="R3788" s="76"/>
      <c r="S3788" s="92">
        <v>45430.0</v>
      </c>
      <c r="T3788" s="49"/>
      <c r="V3788" s="21" t="s">
        <v>2009</v>
      </c>
    </row>
    <row r="3789">
      <c r="A3789" s="93">
        <v>174.0</v>
      </c>
      <c r="B3789" s="77" t="s">
        <v>29</v>
      </c>
      <c r="C3789" s="77" t="s">
        <v>3509</v>
      </c>
      <c r="D3789" s="77" t="s">
        <v>3254</v>
      </c>
      <c r="E3789" s="41" t="str">
        <f>IFERROR(__xludf.DUMMYFUNCTION("IFNA(vlookup(D3789,IMPORTRANGE(""https://docs.google.com/spreadsheets/d/1swGwZOEqYlTEUCJLY-eeJM1911Kvaei5oySBIxdgtNo/edit?pli=1#gid=257618397"",""stock untanna!B:C""),2,false),V:V)"),"PITA TARIK/KADO 30 CM BIASA")</f>
        <v>PITA TARIK/KADO 30 CM BIASA</v>
      </c>
      <c r="F3789" s="49"/>
      <c r="G3789" s="71"/>
      <c r="H3789" s="41"/>
      <c r="I3789" s="42"/>
      <c r="J3789" s="85" t="s">
        <v>1319</v>
      </c>
      <c r="K3789" s="93">
        <v>50.0</v>
      </c>
      <c r="L3789" s="112" t="s">
        <v>69</v>
      </c>
      <c r="M3789" s="113">
        <v>4500.0</v>
      </c>
      <c r="N3789" s="74"/>
      <c r="O3789" s="87">
        <f t="shared" si="11"/>
        <v>225000</v>
      </c>
      <c r="P3789" s="102" t="str">
        <f t="shared" si="2"/>
        <v>Rp4,500-50 PCS-0.00%</v>
      </c>
      <c r="Q3789" s="92">
        <v>45422.0</v>
      </c>
      <c r="R3789" s="76"/>
      <c r="S3789" s="92">
        <v>45430.0</v>
      </c>
      <c r="T3789" s="49"/>
      <c r="V3789" s="21" t="s">
        <v>3255</v>
      </c>
    </row>
    <row r="3790">
      <c r="A3790" s="93">
        <v>175.0</v>
      </c>
      <c r="B3790" s="77" t="s">
        <v>29</v>
      </c>
      <c r="C3790" s="77" t="s">
        <v>3509</v>
      </c>
      <c r="D3790" s="77" t="s">
        <v>1557</v>
      </c>
      <c r="E3790" s="41" t="str">
        <f>IFERROR(__xludf.DUMMYFUNCTION("IFNA(vlookup(D3790,IMPORTRANGE(""https://docs.google.com/spreadsheets/d/1swGwZOEqYlTEUCJLY-eeJM1911Kvaei5oySBIxdgtNo/edit?pli=1#gid=257618397"",""stock untanna!B:C""),2,false),V:V)"),"NOTEBOOK  A5-103")</f>
        <v>NOTEBOOK  A5-103</v>
      </c>
      <c r="F3790" s="49"/>
      <c r="G3790" s="71"/>
      <c r="H3790" s="41"/>
      <c r="I3790" s="42"/>
      <c r="J3790" s="85" t="s">
        <v>1319</v>
      </c>
      <c r="K3790" s="93">
        <v>2.0</v>
      </c>
      <c r="L3790" s="112" t="s">
        <v>62</v>
      </c>
      <c r="M3790" s="113">
        <v>210000.0</v>
      </c>
      <c r="N3790" s="74"/>
      <c r="O3790" s="87">
        <f t="shared" si="11"/>
        <v>420000</v>
      </c>
      <c r="P3790" s="102" t="str">
        <f t="shared" si="2"/>
        <v>Rp210,000-2 LSN-0.00%</v>
      </c>
      <c r="Q3790" s="92">
        <v>45422.0</v>
      </c>
      <c r="R3790" s="76"/>
      <c r="S3790" s="92">
        <v>45430.0</v>
      </c>
      <c r="T3790" s="49"/>
      <c r="V3790" s="21" t="s">
        <v>1558</v>
      </c>
    </row>
    <row r="3791">
      <c r="A3791" s="93">
        <v>175.0</v>
      </c>
      <c r="B3791" s="77" t="s">
        <v>29</v>
      </c>
      <c r="C3791" s="77" t="s">
        <v>3509</v>
      </c>
      <c r="D3791" s="77" t="s">
        <v>2604</v>
      </c>
      <c r="E3791" s="41" t="str">
        <f>IFERROR(__xludf.DUMMYFUNCTION("IFNA(vlookup(D3791,IMPORTRANGE(""https://docs.google.com/spreadsheets/d/1swGwZOEqYlTEUCJLY-eeJM1911Kvaei5oySBIxdgtNo/edit?pli=1#gid=257618397"",""stock untanna!B:C""),2,false),V:V)"),"PENSIL CASE A-6500")</f>
        <v>PENSIL CASE A-6500</v>
      </c>
      <c r="F3791" s="49"/>
      <c r="G3791" s="71"/>
      <c r="H3791" s="41"/>
      <c r="I3791" s="42"/>
      <c r="J3791" s="85" t="s">
        <v>1319</v>
      </c>
      <c r="K3791" s="93">
        <v>12.0</v>
      </c>
      <c r="L3791" s="112" t="s">
        <v>69</v>
      </c>
      <c r="M3791" s="113">
        <v>29166.7</v>
      </c>
      <c r="N3791" s="74"/>
      <c r="O3791" s="87">
        <f t="shared" si="11"/>
        <v>350000.4</v>
      </c>
      <c r="P3791" s="102" t="str">
        <f t="shared" si="2"/>
        <v>Rp29,167-12 PCS-0.00%</v>
      </c>
      <c r="Q3791" s="92">
        <v>45422.0</v>
      </c>
      <c r="R3791" s="76"/>
      <c r="S3791" s="92">
        <v>45430.0</v>
      </c>
      <c r="T3791" s="49"/>
      <c r="V3791" s="21" t="s">
        <v>2605</v>
      </c>
    </row>
    <row r="3792">
      <c r="A3792" s="93">
        <v>175.0</v>
      </c>
      <c r="B3792" s="77" t="s">
        <v>29</v>
      </c>
      <c r="C3792" s="77" t="s">
        <v>3509</v>
      </c>
      <c r="D3792" s="77" t="s">
        <v>1166</v>
      </c>
      <c r="E3792" s="41" t="str">
        <f>IFERROR(__xludf.DUMMYFUNCTION("IFNA(vlookup(D3792,IMPORTRANGE(""https://docs.google.com/spreadsheets/d/1swGwZOEqYlTEUCJLY-eeJM1911Kvaei5oySBIxdgtNo/edit?pli=1#gid=257618397"",""stock untanna!B:C""),2,false),V:V)"),"PC MAGNIT A 6682")</f>
        <v>PC MAGNIT A 6682</v>
      </c>
      <c r="F3792" s="49"/>
      <c r="G3792" s="71"/>
      <c r="H3792" s="41"/>
      <c r="I3792" s="42"/>
      <c r="J3792" s="85" t="s">
        <v>1319</v>
      </c>
      <c r="K3792" s="93">
        <v>12.0</v>
      </c>
      <c r="L3792" s="112" t="s">
        <v>69</v>
      </c>
      <c r="M3792" s="113">
        <v>29166.7</v>
      </c>
      <c r="N3792" s="74"/>
      <c r="O3792" s="87">
        <f t="shared" si="11"/>
        <v>350000.4</v>
      </c>
      <c r="P3792" s="102" t="str">
        <f t="shared" si="2"/>
        <v>Rp29,167-12 PCS-0.00%</v>
      </c>
      <c r="Q3792" s="92">
        <v>45422.0</v>
      </c>
      <c r="R3792" s="76"/>
      <c r="S3792" s="92">
        <v>45430.0</v>
      </c>
      <c r="T3792" s="49"/>
      <c r="V3792" s="21" t="s">
        <v>587</v>
      </c>
    </row>
    <row r="3793">
      <c r="A3793" s="93">
        <v>175.0</v>
      </c>
      <c r="B3793" s="77" t="s">
        <v>29</v>
      </c>
      <c r="C3793" s="77" t="s">
        <v>3509</v>
      </c>
      <c r="D3793" s="77" t="s">
        <v>1164</v>
      </c>
      <c r="E3793" s="41" t="str">
        <f>IFERROR(__xludf.DUMMYFUNCTION("IFNA(vlookup(D3793,IMPORTRANGE(""https://docs.google.com/spreadsheets/d/1swGwZOEqYlTEUCJLY-eeJM1911Kvaei5oySBIxdgtNo/edit?pli=1#gid=257618397"",""stock untanna!B:C""),2,false),V:V)"),"PENSIL CASE KW-1717")</f>
        <v>PENSIL CASE KW-1717</v>
      </c>
      <c r="F3793" s="49"/>
      <c r="G3793" s="71"/>
      <c r="H3793" s="41"/>
      <c r="I3793" s="42"/>
      <c r="J3793" s="85" t="s">
        <v>1319</v>
      </c>
      <c r="K3793" s="93">
        <v>12.0</v>
      </c>
      <c r="L3793" s="112" t="s">
        <v>69</v>
      </c>
      <c r="M3793" s="113">
        <v>62500.0</v>
      </c>
      <c r="N3793" s="74"/>
      <c r="O3793" s="87">
        <f t="shared" si="11"/>
        <v>750000</v>
      </c>
      <c r="P3793" s="102" t="str">
        <f t="shared" si="2"/>
        <v>Rp62,500-12 PCS-0.00%</v>
      </c>
      <c r="Q3793" s="92">
        <v>45422.0</v>
      </c>
      <c r="R3793" s="76"/>
      <c r="S3793" s="92">
        <v>45430.0</v>
      </c>
      <c r="T3793" s="49"/>
      <c r="V3793" s="21" t="s">
        <v>1165</v>
      </c>
    </row>
    <row r="3794">
      <c r="A3794" s="93">
        <v>175.0</v>
      </c>
      <c r="B3794" s="77" t="s">
        <v>29</v>
      </c>
      <c r="C3794" s="77" t="s">
        <v>3509</v>
      </c>
      <c r="D3794" s="77" t="s">
        <v>3511</v>
      </c>
      <c r="E3794" s="41" t="str">
        <f>IFERROR(__xludf.DUMMYFUNCTION("IFNA(vlookup(D3794,IMPORTRANGE(""https://docs.google.com/spreadsheets/d/1swGwZOEqYlTEUCJLY-eeJM1911Kvaei5oySBIxdgtNo/edit?pli=1#gid=257618397"",""stock untanna!B:C""),2,false),V:V)"),"PENSIL CASE KW-1919")</f>
        <v>PENSIL CASE KW-1919</v>
      </c>
      <c r="F3794" s="49"/>
      <c r="G3794" s="71"/>
      <c r="H3794" s="41"/>
      <c r="I3794" s="42"/>
      <c r="J3794" s="85" t="s">
        <v>1319</v>
      </c>
      <c r="K3794" s="93">
        <v>12.0</v>
      </c>
      <c r="L3794" s="112" t="s">
        <v>69</v>
      </c>
      <c r="M3794" s="113">
        <v>62500.0</v>
      </c>
      <c r="N3794" s="74"/>
      <c r="O3794" s="87">
        <f t="shared" si="11"/>
        <v>750000</v>
      </c>
      <c r="P3794" s="102" t="str">
        <f t="shared" si="2"/>
        <v>Rp62,500-12 PCS-0.00%</v>
      </c>
      <c r="Q3794" s="92">
        <v>45422.0</v>
      </c>
      <c r="R3794" s="76"/>
      <c r="S3794" s="92">
        <v>45430.0</v>
      </c>
      <c r="T3794" s="49"/>
      <c r="V3794" s="21" t="s">
        <v>3512</v>
      </c>
    </row>
    <row r="3795">
      <c r="A3795" s="93">
        <v>175.0</v>
      </c>
      <c r="B3795" s="77" t="s">
        <v>29</v>
      </c>
      <c r="C3795" s="77" t="s">
        <v>3509</v>
      </c>
      <c r="D3795" s="77" t="s">
        <v>1113</v>
      </c>
      <c r="E3795" s="41" t="str">
        <f>IFERROR(__xludf.DUMMYFUNCTION("IFNA(vlookup(D3795,IMPORTRANGE(""https://docs.google.com/spreadsheets/d/1swGwZOEqYlTEUCJLY-eeJM1911Kvaei5oySBIxdgtNo/edit?pli=1#gid=257618397"",""stock untanna!B:C""),2,false),V:V)"),"PENCIL CASE 5864")</f>
        <v>PENCIL CASE 5864</v>
      </c>
      <c r="F3795" s="49"/>
      <c r="G3795" s="71"/>
      <c r="H3795" s="41"/>
      <c r="I3795" s="42"/>
      <c r="J3795" s="85" t="s">
        <v>1319</v>
      </c>
      <c r="K3795" s="93">
        <v>12.0</v>
      </c>
      <c r="L3795" s="112" t="s">
        <v>69</v>
      </c>
      <c r="M3795" s="113">
        <v>25000.0</v>
      </c>
      <c r="N3795" s="74"/>
      <c r="O3795" s="87">
        <f t="shared" si="11"/>
        <v>300000</v>
      </c>
      <c r="P3795" s="102" t="str">
        <f t="shared" si="2"/>
        <v>Rp25,000-12 PCS-0.00%</v>
      </c>
      <c r="Q3795" s="92">
        <v>45422.0</v>
      </c>
      <c r="R3795" s="76"/>
      <c r="S3795" s="92">
        <v>45430.0</v>
      </c>
      <c r="T3795" s="49"/>
      <c r="V3795" s="21" t="s">
        <v>1114</v>
      </c>
    </row>
    <row r="3796">
      <c r="A3796" s="93">
        <v>175.0</v>
      </c>
      <c r="B3796" s="77" t="s">
        <v>29</v>
      </c>
      <c r="C3796" s="77" t="s">
        <v>3509</v>
      </c>
      <c r="D3796" s="77" t="s">
        <v>18</v>
      </c>
      <c r="E3796" s="41" t="str">
        <f>IFERROR(__xludf.DUMMYFUNCTION("IFNA(vlookup(D3796,IMPORTRANGE(""https://docs.google.com/spreadsheets/d/1swGwZOEqYlTEUCJLY-eeJM1911Kvaei5oySBIxdgtNo/edit?pli=1#gid=257618397"",""stock untanna!B:C""),2,false),V:V)"),"PENCIL CASE 5815")</f>
        <v>PENCIL CASE 5815</v>
      </c>
      <c r="F3796" s="49"/>
      <c r="G3796" s="71"/>
      <c r="H3796" s="41"/>
      <c r="I3796" s="42"/>
      <c r="J3796" s="85" t="s">
        <v>1319</v>
      </c>
      <c r="K3796" s="93">
        <v>12.0</v>
      </c>
      <c r="L3796" s="112" t="s">
        <v>69</v>
      </c>
      <c r="M3796" s="113">
        <v>25000.0</v>
      </c>
      <c r="N3796" s="74"/>
      <c r="O3796" s="87">
        <f t="shared" si="11"/>
        <v>300000</v>
      </c>
      <c r="P3796" s="102" t="str">
        <f t="shared" si="2"/>
        <v>Rp25,000-12 PCS-0.00%</v>
      </c>
      <c r="Q3796" s="92">
        <v>45422.0</v>
      </c>
      <c r="R3796" s="76"/>
      <c r="S3796" s="92">
        <v>45430.0</v>
      </c>
      <c r="T3796" s="49"/>
      <c r="V3796" s="21" t="s">
        <v>2674</v>
      </c>
    </row>
    <row r="3797">
      <c r="A3797" s="93">
        <v>175.0</v>
      </c>
      <c r="B3797" s="77" t="s">
        <v>29</v>
      </c>
      <c r="C3797" s="77" t="s">
        <v>3509</v>
      </c>
      <c r="D3797" s="77" t="s">
        <v>3513</v>
      </c>
      <c r="E3797" s="41" t="str">
        <f>IFERROR(__xludf.DUMMYFUNCTION("IFNA(vlookup(D3797,IMPORTRANGE(""https://docs.google.com/spreadsheets/d/1swGwZOEqYlTEUCJLY-eeJM1911Kvaei5oySBIxdgtNo/edit?pli=1#gid=257618397"",""stock untanna!B:C""),2,false),V:V)"),"PENSIL CASE 5843")</f>
        <v>PENSIL CASE 5843</v>
      </c>
      <c r="F3797" s="49"/>
      <c r="G3797" s="71"/>
      <c r="H3797" s="41"/>
      <c r="I3797" s="42"/>
      <c r="J3797" s="85" t="s">
        <v>1319</v>
      </c>
      <c r="K3797" s="93">
        <v>12.0</v>
      </c>
      <c r="L3797" s="112" t="s">
        <v>69</v>
      </c>
      <c r="M3797" s="113">
        <v>25000.0</v>
      </c>
      <c r="N3797" s="74"/>
      <c r="O3797" s="87">
        <f t="shared" si="11"/>
        <v>300000</v>
      </c>
      <c r="P3797" s="102" t="str">
        <f t="shared" si="2"/>
        <v>Rp25,000-12 PCS-0.00%</v>
      </c>
      <c r="Q3797" s="92">
        <v>45422.0</v>
      </c>
      <c r="R3797" s="76"/>
      <c r="S3797" s="92">
        <v>45430.0</v>
      </c>
      <c r="T3797" s="49"/>
      <c r="V3797" s="21" t="s">
        <v>3514</v>
      </c>
    </row>
    <row r="3798">
      <c r="A3798" s="93">
        <v>175.0</v>
      </c>
      <c r="B3798" s="77" t="s">
        <v>29</v>
      </c>
      <c r="C3798" s="77" t="s">
        <v>3509</v>
      </c>
      <c r="D3798" s="77" t="s">
        <v>22</v>
      </c>
      <c r="E3798" s="41" t="str">
        <f>IFERROR(__xludf.DUMMYFUNCTION("IFNA(vlookup(D3798,IMPORTRANGE(""https://docs.google.com/spreadsheets/d/1swGwZOEqYlTEUCJLY-eeJM1911Kvaei5oySBIxdgtNo/edit?pli=1#gid=257618397"",""stock untanna!B:C""),2,false),V:V)"),"PENCIL CASE 5811")</f>
        <v>PENCIL CASE 5811</v>
      </c>
      <c r="F3798" s="49"/>
      <c r="G3798" s="71"/>
      <c r="H3798" s="41"/>
      <c r="I3798" s="42"/>
      <c r="J3798" s="85" t="s">
        <v>1319</v>
      </c>
      <c r="K3798" s="93">
        <v>12.0</v>
      </c>
      <c r="L3798" s="112" t="s">
        <v>69</v>
      </c>
      <c r="M3798" s="113">
        <v>25000.0</v>
      </c>
      <c r="N3798" s="74"/>
      <c r="O3798" s="87">
        <f t="shared" si="11"/>
        <v>300000</v>
      </c>
      <c r="P3798" s="102" t="str">
        <f t="shared" si="2"/>
        <v>Rp25,000-12 PCS-0.00%</v>
      </c>
      <c r="Q3798" s="92">
        <v>45422.0</v>
      </c>
      <c r="R3798" s="76"/>
      <c r="S3798" s="92">
        <v>45430.0</v>
      </c>
      <c r="T3798" s="49"/>
      <c r="V3798" s="21" t="s">
        <v>1152</v>
      </c>
    </row>
    <row r="3799">
      <c r="A3799" s="93">
        <v>175.0</v>
      </c>
      <c r="B3799" s="77" t="s">
        <v>29</v>
      </c>
      <c r="C3799" s="77" t="s">
        <v>3509</v>
      </c>
      <c r="D3799" s="77" t="s">
        <v>1107</v>
      </c>
      <c r="E3799" s="41" t="str">
        <f>IFERROR(__xludf.DUMMYFUNCTION("IFNA(vlookup(D3799,IMPORTRANGE(""https://docs.google.com/spreadsheets/d/1swGwZOEqYlTEUCJLY-eeJM1911Kvaei5oySBIxdgtNo/edit?pli=1#gid=257618397"",""stock untanna!B:C""),2,false),V:V)"),"PENCIL CASE 5866")</f>
        <v>PENCIL CASE 5866</v>
      </c>
      <c r="F3799" s="49"/>
      <c r="G3799" s="71"/>
      <c r="H3799" s="41"/>
      <c r="I3799" s="42"/>
      <c r="J3799" s="85" t="s">
        <v>1319</v>
      </c>
      <c r="K3799" s="93">
        <v>12.0</v>
      </c>
      <c r="L3799" s="112" t="s">
        <v>69</v>
      </c>
      <c r="M3799" s="113">
        <v>25000.0</v>
      </c>
      <c r="N3799" s="74"/>
      <c r="O3799" s="87">
        <f t="shared" si="11"/>
        <v>300000</v>
      </c>
      <c r="P3799" s="102" t="str">
        <f t="shared" si="2"/>
        <v>Rp25,000-12 PCS-0.00%</v>
      </c>
      <c r="Q3799" s="92">
        <v>45422.0</v>
      </c>
      <c r="R3799" s="76"/>
      <c r="S3799" s="92">
        <v>45430.0</v>
      </c>
      <c r="T3799" s="49"/>
      <c r="V3799" s="21" t="s">
        <v>1108</v>
      </c>
    </row>
    <row r="3800">
      <c r="A3800" s="93">
        <v>175.0</v>
      </c>
      <c r="B3800" s="77" t="s">
        <v>29</v>
      </c>
      <c r="C3800" s="77" t="s">
        <v>3509</v>
      </c>
      <c r="D3800" s="77" t="s">
        <v>1136</v>
      </c>
      <c r="E3800" s="41" t="str">
        <f>IFERROR(__xludf.DUMMYFUNCTION("IFNA(vlookup(D3800,IMPORTRANGE(""https://docs.google.com/spreadsheets/d/1swGwZOEqYlTEUCJLY-eeJM1911Kvaei5oySBIxdgtNo/edit?pli=1#gid=257618397"",""stock untanna!B:C""),2,false),V:V)"),"PENSIL CASE SH-8703")</f>
        <v>PENSIL CASE SH-8703</v>
      </c>
      <c r="F3800" s="49"/>
      <c r="G3800" s="71"/>
      <c r="H3800" s="41"/>
      <c r="I3800" s="42"/>
      <c r="J3800" s="85" t="s">
        <v>1319</v>
      </c>
      <c r="K3800" s="93">
        <v>12.0</v>
      </c>
      <c r="L3800" s="112" t="s">
        <v>69</v>
      </c>
      <c r="M3800" s="113">
        <v>25000.0</v>
      </c>
      <c r="N3800" s="74"/>
      <c r="O3800" s="87">
        <f t="shared" si="11"/>
        <v>300000</v>
      </c>
      <c r="P3800" s="102" t="str">
        <f t="shared" si="2"/>
        <v>Rp25,000-12 PCS-0.00%</v>
      </c>
      <c r="Q3800" s="92">
        <v>45422.0</v>
      </c>
      <c r="R3800" s="76"/>
      <c r="S3800" s="92">
        <v>45430.0</v>
      </c>
      <c r="T3800" s="49"/>
      <c r="V3800" s="21" t="s">
        <v>1137</v>
      </c>
    </row>
    <row r="3801">
      <c r="A3801" s="93">
        <v>175.0</v>
      </c>
      <c r="B3801" s="77" t="s">
        <v>29</v>
      </c>
      <c r="C3801" s="77" t="s">
        <v>3509</v>
      </c>
      <c r="D3801" s="77" t="s">
        <v>3515</v>
      </c>
      <c r="E3801" s="41" t="str">
        <f>IFERROR(__xludf.DUMMYFUNCTION("IFNA(vlookup(D3801,IMPORTRANGE(""https://docs.google.com/spreadsheets/d/1swGwZOEqYlTEUCJLY-eeJM1911Kvaei5oySBIxdgtNo/edit?pli=1#gid=257618397"",""stock untanna!B:C""),2,false),V:V)"),"SIPOA 8013")</f>
        <v>SIPOA 8013</v>
      </c>
      <c r="F3801" s="49"/>
      <c r="G3801" s="71"/>
      <c r="H3801" s="41"/>
      <c r="I3801" s="42"/>
      <c r="J3801" s="85" t="s">
        <v>1319</v>
      </c>
      <c r="K3801" s="93">
        <v>1.0</v>
      </c>
      <c r="L3801" s="112" t="s">
        <v>62</v>
      </c>
      <c r="M3801" s="113">
        <v>190000.0</v>
      </c>
      <c r="N3801" s="74"/>
      <c r="O3801" s="87">
        <f t="shared" si="11"/>
        <v>190000</v>
      </c>
      <c r="P3801" s="102" t="str">
        <f t="shared" si="2"/>
        <v>Rp190,000-1 LSN-0.00%</v>
      </c>
      <c r="Q3801" s="92">
        <v>45422.0</v>
      </c>
      <c r="R3801" s="76"/>
      <c r="S3801" s="92">
        <v>45430.0</v>
      </c>
      <c r="T3801" s="49"/>
      <c r="V3801" s="21" t="s">
        <v>3516</v>
      </c>
    </row>
    <row r="3802">
      <c r="A3802" s="93">
        <v>175.0</v>
      </c>
      <c r="B3802" s="77" t="s">
        <v>29</v>
      </c>
      <c r="C3802" s="77" t="s">
        <v>3509</v>
      </c>
      <c r="D3802" s="77" t="s">
        <v>247</v>
      </c>
      <c r="E3802" s="41" t="str">
        <f>IFERROR(__xludf.DUMMYFUNCTION("IFNA(vlookup(D3802,IMPORTRANGE(""https://docs.google.com/spreadsheets/d/1swGwZOEqYlTEUCJLY-eeJM1911Kvaei5oySBIxdgtNo/edit?pli=1#gid=257618397"",""stock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802" s="49"/>
      <c r="G3802" s="71"/>
      <c r="H3802" s="41"/>
      <c r="I3802" s="42"/>
      <c r="J3802" s="85" t="s">
        <v>1319</v>
      </c>
      <c r="K3802" s="93">
        <v>2.0</v>
      </c>
      <c r="L3802" s="112" t="s">
        <v>62</v>
      </c>
      <c r="M3802" s="113">
        <v>105000.0</v>
      </c>
      <c r="N3802" s="74"/>
      <c r="O3802" s="87">
        <f t="shared" si="11"/>
        <v>210000</v>
      </c>
      <c r="P3802" s="102" t="str">
        <f t="shared" si="2"/>
        <v>Rp105,000-2 LSN-0.00%</v>
      </c>
      <c r="Q3802" s="92">
        <v>45422.0</v>
      </c>
      <c r="R3802" s="76"/>
      <c r="S3802" s="92">
        <v>45430.0</v>
      </c>
      <c r="T3802" s="49"/>
      <c r="V3802" s="21" t="s">
        <v>248</v>
      </c>
    </row>
    <row r="3803">
      <c r="A3803" s="93">
        <v>175.0</v>
      </c>
      <c r="B3803" s="77" t="s">
        <v>29</v>
      </c>
      <c r="C3803" s="77" t="s">
        <v>3509</v>
      </c>
      <c r="D3803" s="91"/>
      <c r="E3803" s="41" t="str">
        <f>IFERROR(__xludf.DUMMYFUNCTION("IFNA(vlookup(D3803,IMPORTRANGE(""https://docs.google.com/spreadsheets/d/1swGwZOEqYlTEUCJLY-eeJM1911Kvaei5oySBIxdgtNo/edit?pli=1#gid=257618397"",""stock untanna!B:C""),2,false),V:V)"),"TAS TALI GILAP MIX BESAR")</f>
        <v>TAS TALI GILAP MIX BESAR</v>
      </c>
      <c r="F3803" s="49"/>
      <c r="G3803" s="71"/>
      <c r="H3803" s="41"/>
      <c r="I3803" s="42"/>
      <c r="J3803" s="85" t="s">
        <v>3190</v>
      </c>
      <c r="K3803" s="93">
        <v>1.0</v>
      </c>
      <c r="L3803" s="112" t="s">
        <v>62</v>
      </c>
      <c r="M3803" s="113">
        <v>126000.0</v>
      </c>
      <c r="N3803" s="74"/>
      <c r="O3803" s="87">
        <f t="shared" si="11"/>
        <v>126000</v>
      </c>
      <c r="P3803" s="102" t="str">
        <f t="shared" si="2"/>
        <v>Rp126,000-1 LSN-0.00%</v>
      </c>
      <c r="Q3803" s="92">
        <v>45422.0</v>
      </c>
      <c r="R3803" s="76"/>
      <c r="S3803" s="92">
        <v>45430.0</v>
      </c>
      <c r="T3803" s="49"/>
      <c r="V3803" s="21" t="s">
        <v>3517</v>
      </c>
    </row>
    <row r="3804">
      <c r="A3804" s="93">
        <v>175.0</v>
      </c>
      <c r="B3804" s="77" t="s">
        <v>29</v>
      </c>
      <c r="C3804" s="77" t="s">
        <v>3509</v>
      </c>
      <c r="D3804" s="77" t="s">
        <v>251</v>
      </c>
      <c r="E3804" s="41" t="str">
        <f>IFERROR(__xludf.DUMMYFUNCTION("IFNA(vlookup(D3804,IMPORTRANGE(""https://docs.google.com/spreadsheets/d/1swGwZOEqYlTEUCJLY-eeJM1911Kvaei5oySBIxdgtNo/edit?pli=1#gid=257618397"",""stock untanna!B:C""),2,false),V:V)"),"TAS TUTUP PITA KADO FG-401 JUMBO")</f>
        <v>TAS TUTUP PITA KADO FG-401 JUMBO</v>
      </c>
      <c r="F3804" s="49"/>
      <c r="G3804" s="71"/>
      <c r="H3804" s="41"/>
      <c r="I3804" s="42"/>
      <c r="J3804" s="85" t="s">
        <v>1319</v>
      </c>
      <c r="K3804" s="93">
        <v>1.0</v>
      </c>
      <c r="L3804" s="112" t="s">
        <v>62</v>
      </c>
      <c r="M3804" s="113">
        <v>150000.0</v>
      </c>
      <c r="N3804" s="74"/>
      <c r="O3804" s="87">
        <f t="shared" si="11"/>
        <v>150000</v>
      </c>
      <c r="P3804" s="102" t="str">
        <f t="shared" si="2"/>
        <v>Rp150,000-1 LSN-0.00%</v>
      </c>
      <c r="Q3804" s="92">
        <v>45422.0</v>
      </c>
      <c r="R3804" s="76"/>
      <c r="S3804" s="92">
        <v>45430.0</v>
      </c>
      <c r="T3804" s="49"/>
      <c r="V3804" s="21" t="s">
        <v>252</v>
      </c>
    </row>
    <row r="3805">
      <c r="A3805" s="93">
        <v>176.0</v>
      </c>
      <c r="B3805" s="77" t="s">
        <v>29</v>
      </c>
      <c r="C3805" s="77" t="s">
        <v>3509</v>
      </c>
      <c r="D3805" s="77" t="s">
        <v>3256</v>
      </c>
      <c r="E3805" s="41" t="str">
        <f>IFERROR(__xludf.DUMMYFUNCTION("IFNA(vlookup(D3805,IMPORTRANGE(""https://docs.google.com/spreadsheets/d/1swGwZOEqYlTEUCJLY-eeJM1911Kvaei5oySBIxdgtNo/edit?pli=1#gid=257618397"",""stock untanna!B:C""),2,false),V:V)"),"TIPEX KERTAS 91038HG")</f>
        <v>TIPEX KERTAS 91038HG</v>
      </c>
      <c r="F3805" s="49"/>
      <c r="G3805" s="71"/>
      <c r="H3805" s="41"/>
      <c r="I3805" s="42"/>
      <c r="J3805" s="85" t="s">
        <v>1319</v>
      </c>
      <c r="K3805" s="93">
        <v>4.0</v>
      </c>
      <c r="L3805" s="112" t="s">
        <v>62</v>
      </c>
      <c r="M3805" s="113">
        <v>50000.0</v>
      </c>
      <c r="N3805" s="74"/>
      <c r="O3805" s="87">
        <f t="shared" si="11"/>
        <v>200000</v>
      </c>
      <c r="P3805" s="102" t="str">
        <f t="shared" si="2"/>
        <v>Rp50,000-4 LSN-0.00%</v>
      </c>
      <c r="Q3805" s="92">
        <v>45422.0</v>
      </c>
      <c r="R3805" s="76"/>
      <c r="S3805" s="92">
        <v>45430.0</v>
      </c>
      <c r="T3805" s="49"/>
      <c r="V3805" s="21" t="s">
        <v>3257</v>
      </c>
    </row>
    <row r="3806">
      <c r="A3806" s="93">
        <v>176.0</v>
      </c>
      <c r="B3806" s="77" t="s">
        <v>29</v>
      </c>
      <c r="C3806" s="77" t="s">
        <v>3509</v>
      </c>
      <c r="D3806" s="77" t="s">
        <v>3018</v>
      </c>
      <c r="E3806" s="41" t="str">
        <f>IFERROR(__xludf.DUMMYFUNCTION("IFNA(vlookup(D3806,IMPORTRANGE(""https://docs.google.com/spreadsheets/d/1swGwZOEqYlTEUCJLY-eeJM1911Kvaei5oySBIxdgtNo/edit?pli=1#gid=257618397"",""stock untanna!B:C""),2,false),V:V)"),"TIPEX KERTAS 91040HG")</f>
        <v>TIPEX KERTAS 91040HG</v>
      </c>
      <c r="F3806" s="49"/>
      <c r="G3806" s="71"/>
      <c r="H3806" s="41"/>
      <c r="I3806" s="42"/>
      <c r="J3806" s="85" t="s">
        <v>1319</v>
      </c>
      <c r="K3806" s="93">
        <v>4.0</v>
      </c>
      <c r="L3806" s="112" t="s">
        <v>62</v>
      </c>
      <c r="M3806" s="113">
        <v>50000.0</v>
      </c>
      <c r="N3806" s="74"/>
      <c r="O3806" s="87">
        <f t="shared" si="11"/>
        <v>200000</v>
      </c>
      <c r="P3806" s="102" t="str">
        <f t="shared" si="2"/>
        <v>Rp50,000-4 LSN-0.00%</v>
      </c>
      <c r="Q3806" s="92">
        <v>45422.0</v>
      </c>
      <c r="R3806" s="76"/>
      <c r="S3806" s="92">
        <v>45430.0</v>
      </c>
      <c r="T3806" s="77"/>
      <c r="V3806" s="21" t="s">
        <v>3019</v>
      </c>
    </row>
    <row r="3807">
      <c r="A3807" s="93">
        <v>176.0</v>
      </c>
      <c r="B3807" s="77" t="s">
        <v>29</v>
      </c>
      <c r="C3807" s="77" t="s">
        <v>3509</v>
      </c>
      <c r="D3807" s="77" t="s">
        <v>118</v>
      </c>
      <c r="E3807" s="41" t="str">
        <f>IFERROR(__xludf.DUMMYFUNCTION("IFNA(vlookup(D3807,IMPORTRANGE(""https://docs.google.com/spreadsheets/d/1swGwZOEqYlTEUCJLY-eeJM1911Kvaei5oySBIxdgtNo/edit?pli=1#gid=257618397"",""stock untanna!B:C""),2,false),V:V)"),"TIPEX KERTAS NO.9443")</f>
        <v>TIPEX KERTAS NO.9443</v>
      </c>
      <c r="F3807" s="49"/>
      <c r="G3807" s="71"/>
      <c r="H3807" s="41"/>
      <c r="I3807" s="42"/>
      <c r="J3807" s="85" t="s">
        <v>1319</v>
      </c>
      <c r="K3807" s="93">
        <v>4.0</v>
      </c>
      <c r="L3807" s="112" t="s">
        <v>62</v>
      </c>
      <c r="M3807" s="113">
        <v>50000.0</v>
      </c>
      <c r="N3807" s="74"/>
      <c r="O3807" s="87">
        <f t="shared" si="11"/>
        <v>200000</v>
      </c>
      <c r="P3807" s="102" t="str">
        <f t="shared" si="2"/>
        <v>Rp50,000-4 LSN-0.00%</v>
      </c>
      <c r="Q3807" s="92">
        <v>45422.0</v>
      </c>
      <c r="R3807" s="76"/>
      <c r="S3807" s="92">
        <v>45430.0</v>
      </c>
      <c r="T3807" s="49"/>
      <c r="V3807" s="21" t="s">
        <v>119</v>
      </c>
    </row>
    <row r="3808">
      <c r="A3808" s="93">
        <v>176.0</v>
      </c>
      <c r="B3808" s="77" t="s">
        <v>29</v>
      </c>
      <c r="C3808" s="77" t="s">
        <v>3509</v>
      </c>
      <c r="D3808" s="77" t="s">
        <v>2864</v>
      </c>
      <c r="E3808" s="41" t="str">
        <f>IFERROR(__xludf.DUMMYFUNCTION("IFNA(vlookup(D3808,IMPORTRANGE(""https://docs.google.com/spreadsheets/d/1swGwZOEqYlTEUCJLY-eeJM1911Kvaei5oySBIxdgtNo/edit?pli=1#gid=257618397"",""stock untanna!B:C""),2,false),V:V)"),"TIPEX KERTAS NO.9473")</f>
        <v>TIPEX KERTAS NO.9473</v>
      </c>
      <c r="F3808" s="49"/>
      <c r="G3808" s="71"/>
      <c r="H3808" s="41"/>
      <c r="I3808" s="42"/>
      <c r="J3808" s="85" t="s">
        <v>1319</v>
      </c>
      <c r="K3808" s="93">
        <v>4.0</v>
      </c>
      <c r="L3808" s="112" t="s">
        <v>62</v>
      </c>
      <c r="M3808" s="113">
        <v>50000.0</v>
      </c>
      <c r="N3808" s="74"/>
      <c r="O3808" s="87">
        <f t="shared" si="11"/>
        <v>200000</v>
      </c>
      <c r="P3808" s="102" t="str">
        <f t="shared" si="2"/>
        <v>Rp50,000-4 LSN-0.00%</v>
      </c>
      <c r="Q3808" s="92">
        <v>45422.0</v>
      </c>
      <c r="R3808" s="76"/>
      <c r="S3808" s="92">
        <v>45430.0</v>
      </c>
      <c r="T3808" s="49"/>
      <c r="V3808" s="21" t="s">
        <v>2865</v>
      </c>
    </row>
    <row r="3809">
      <c r="A3809" s="93">
        <v>176.0</v>
      </c>
      <c r="B3809" s="77" t="s">
        <v>29</v>
      </c>
      <c r="C3809" s="77" t="s">
        <v>3509</v>
      </c>
      <c r="D3809" s="77" t="s">
        <v>3189</v>
      </c>
      <c r="E3809" s="41" t="str">
        <f>IFERROR(__xludf.DUMMYFUNCTION("IFNA(vlookup(D3809,IMPORTRANGE(""https://docs.google.com/spreadsheets/d/1swGwZOEqYlTEUCJLY-eeJM1911Kvaei5oySBIxdgtNo/edit?pli=1#gid=257618397"",""stock untanna!B:C""),2,false),V:V)"),"TIPEX KERTAS NO.9462")</f>
        <v>TIPEX KERTAS NO.9462</v>
      </c>
      <c r="F3809" s="49"/>
      <c r="G3809" s="71"/>
      <c r="H3809" s="41"/>
      <c r="I3809" s="42"/>
      <c r="J3809" s="85" t="s">
        <v>1319</v>
      </c>
      <c r="K3809" s="93">
        <v>4.0</v>
      </c>
      <c r="L3809" s="112" t="s">
        <v>62</v>
      </c>
      <c r="M3809" s="113">
        <v>50000.0</v>
      </c>
      <c r="N3809" s="74"/>
      <c r="O3809" s="87">
        <f t="shared" si="11"/>
        <v>200000</v>
      </c>
      <c r="P3809" s="102" t="str">
        <f t="shared" si="2"/>
        <v>Rp50,000-4 LSN-0.00%</v>
      </c>
      <c r="Q3809" s="92">
        <v>45422.0</v>
      </c>
      <c r="R3809" s="76"/>
      <c r="S3809" s="92">
        <v>45430.0</v>
      </c>
      <c r="T3809" s="49"/>
      <c r="V3809" s="21" t="s">
        <v>1607</v>
      </c>
    </row>
    <row r="3810">
      <c r="A3810" s="93">
        <v>176.0</v>
      </c>
      <c r="B3810" s="77" t="s">
        <v>29</v>
      </c>
      <c r="C3810" s="77" t="s">
        <v>3509</v>
      </c>
      <c r="D3810" s="77" t="s">
        <v>2860</v>
      </c>
      <c r="E3810" s="41" t="str">
        <f>IFERROR(__xludf.DUMMYFUNCTION("IFNA(vlookup(D3810,IMPORTRANGE(""https://docs.google.com/spreadsheets/d/1swGwZOEqYlTEUCJLY-eeJM1911Kvaei5oySBIxdgtNo/edit?pli=1#gid=257618397"",""stock untanna!B:C""),2,false),V:V)"),"TIPEX KERTAS NO.9459")</f>
        <v>TIPEX KERTAS NO.9459</v>
      </c>
      <c r="F3810" s="49"/>
      <c r="G3810" s="71"/>
      <c r="H3810" s="41"/>
      <c r="I3810" s="42"/>
      <c r="J3810" s="85" t="s">
        <v>1319</v>
      </c>
      <c r="K3810" s="93">
        <v>4.0</v>
      </c>
      <c r="L3810" s="112" t="s">
        <v>62</v>
      </c>
      <c r="M3810" s="113">
        <v>50000.0</v>
      </c>
      <c r="N3810" s="74"/>
      <c r="O3810" s="87">
        <f t="shared" si="11"/>
        <v>200000</v>
      </c>
      <c r="P3810" s="102" t="str">
        <f t="shared" si="2"/>
        <v>Rp50,000-4 LSN-0.00%</v>
      </c>
      <c r="Q3810" s="92">
        <v>45422.0</v>
      </c>
      <c r="R3810" s="76"/>
      <c r="S3810" s="92">
        <v>45430.0</v>
      </c>
      <c r="T3810" s="49"/>
      <c r="V3810" s="21" t="s">
        <v>2861</v>
      </c>
    </row>
    <row r="3811">
      <c r="A3811" s="93">
        <v>176.0</v>
      </c>
      <c r="B3811" s="77" t="s">
        <v>29</v>
      </c>
      <c r="C3811" s="77" t="s">
        <v>3509</v>
      </c>
      <c r="D3811" s="77" t="s">
        <v>2858</v>
      </c>
      <c r="E3811" s="41" t="str">
        <f>IFERROR(__xludf.DUMMYFUNCTION("IFNA(vlookup(D3811,IMPORTRANGE(""https://docs.google.com/spreadsheets/d/1swGwZOEqYlTEUCJLY-eeJM1911Kvaei5oySBIxdgtNo/edit?pli=1#gid=257618397"",""stock untanna!B:C""),2,false),V:V)"),"TIPEX KERTAS NO.9461")</f>
        <v>TIPEX KERTAS NO.9461</v>
      </c>
      <c r="F3811" s="49"/>
      <c r="G3811" s="71"/>
      <c r="H3811" s="41"/>
      <c r="I3811" s="42"/>
      <c r="J3811" s="85" t="s">
        <v>1319</v>
      </c>
      <c r="K3811" s="93">
        <v>4.0</v>
      </c>
      <c r="L3811" s="112" t="s">
        <v>62</v>
      </c>
      <c r="M3811" s="113">
        <v>50000.0</v>
      </c>
      <c r="N3811" s="74"/>
      <c r="O3811" s="87">
        <f t="shared" si="11"/>
        <v>200000</v>
      </c>
      <c r="P3811" s="102" t="str">
        <f t="shared" si="2"/>
        <v>Rp50,000-4 LSN-0.00%</v>
      </c>
      <c r="Q3811" s="92">
        <v>45422.0</v>
      </c>
      <c r="R3811" s="76"/>
      <c r="S3811" s="92">
        <v>45430.0</v>
      </c>
      <c r="T3811" s="49"/>
      <c r="V3811" s="21" t="s">
        <v>2859</v>
      </c>
    </row>
    <row r="3812">
      <c r="A3812" s="93">
        <v>176.0</v>
      </c>
      <c r="B3812" s="77" t="s">
        <v>29</v>
      </c>
      <c r="C3812" s="77" t="s">
        <v>3509</v>
      </c>
      <c r="D3812" s="77" t="s">
        <v>1023</v>
      </c>
      <c r="E3812" s="41" t="str">
        <f>IFERROR(__xludf.DUMMYFUNCTION("IFNA(vlookup(D3812,IMPORTRANGE(""https://docs.google.com/spreadsheets/d/1swGwZOEqYlTEUCJLY-eeJM1911Kvaei5oySBIxdgtNo/edit?pli=1#gid=257618397"",""stock untanna!B:C""),2,false),V:V)"),"TIPEX KERTAS 91033HG")</f>
        <v>TIPEX KERTAS 91033HG</v>
      </c>
      <c r="F3812" s="49"/>
      <c r="G3812" s="71"/>
      <c r="H3812" s="41"/>
      <c r="I3812" s="42"/>
      <c r="J3812" s="85" t="s">
        <v>1319</v>
      </c>
      <c r="K3812" s="93">
        <v>4.0</v>
      </c>
      <c r="L3812" s="112" t="s">
        <v>62</v>
      </c>
      <c r="M3812" s="113">
        <v>50000.0</v>
      </c>
      <c r="N3812" s="74"/>
      <c r="O3812" s="87">
        <f t="shared" si="11"/>
        <v>200000</v>
      </c>
      <c r="P3812" s="102" t="str">
        <f t="shared" si="2"/>
        <v>Rp50,000-4 LSN-0.00%</v>
      </c>
      <c r="Q3812" s="92">
        <v>45422.0</v>
      </c>
      <c r="R3812" s="76"/>
      <c r="S3812" s="92">
        <v>45430.0</v>
      </c>
      <c r="T3812" s="49"/>
      <c r="V3812" s="21" t="s">
        <v>1024</v>
      </c>
    </row>
    <row r="3813">
      <c r="A3813" s="93">
        <v>176.0</v>
      </c>
      <c r="B3813" s="77" t="s">
        <v>29</v>
      </c>
      <c r="C3813" s="77" t="s">
        <v>3509</v>
      </c>
      <c r="D3813" s="77" t="s">
        <v>247</v>
      </c>
      <c r="E3813" s="41" t="str">
        <f>IFERROR(__xludf.DUMMYFUNCTION("IFNA(vlookup(D3813,IMPORTRANGE(""https://docs.google.com/spreadsheets/d/1swGwZOEqYlTEUCJLY-eeJM1911Kvaei5oySBIxdgtNo/edit?pli=1#gid=257618397"",""stock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813" s="49"/>
      <c r="G3813" s="71"/>
      <c r="H3813" s="41"/>
      <c r="I3813" s="42"/>
      <c r="J3813" s="85" t="s">
        <v>1319</v>
      </c>
      <c r="K3813" s="93">
        <v>1.0</v>
      </c>
      <c r="L3813" s="112" t="s">
        <v>62</v>
      </c>
      <c r="M3813" s="113">
        <v>105000.0</v>
      </c>
      <c r="N3813" s="74"/>
      <c r="O3813" s="87">
        <f t="shared" si="11"/>
        <v>105000</v>
      </c>
      <c r="P3813" s="102" t="str">
        <f t="shared" si="2"/>
        <v>Rp105,000-1 LSN-0.00%</v>
      </c>
      <c r="Q3813" s="92">
        <v>45422.0</v>
      </c>
      <c r="R3813" s="76"/>
      <c r="S3813" s="92">
        <v>45430.0</v>
      </c>
      <c r="T3813" s="49"/>
      <c r="V3813" s="21" t="s">
        <v>248</v>
      </c>
    </row>
    <row r="3814">
      <c r="A3814" s="93">
        <v>176.0</v>
      </c>
      <c r="B3814" s="77" t="s">
        <v>29</v>
      </c>
      <c r="C3814" s="77" t="s">
        <v>3509</v>
      </c>
      <c r="D3814" s="77" t="s">
        <v>247</v>
      </c>
      <c r="E3814" s="41" t="str">
        <f>IFERROR(__xludf.DUMMYFUNCTION("IFNA(vlookup(D3814,IMPORTRANGE(""https://docs.google.com/spreadsheets/d/1swGwZOEqYlTEUCJLY-eeJM1911Kvaei5oySBIxdgtNo/edit?pli=1#gid=257618397"",""stock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814" s="49"/>
      <c r="G3814" s="71"/>
      <c r="H3814" s="41"/>
      <c r="I3814" s="42"/>
      <c r="J3814" s="85" t="s">
        <v>1319</v>
      </c>
      <c r="K3814" s="93">
        <v>1.0</v>
      </c>
      <c r="L3814" s="112" t="s">
        <v>62</v>
      </c>
      <c r="M3814" s="113">
        <v>105000.0</v>
      </c>
      <c r="N3814" s="74"/>
      <c r="O3814" s="87">
        <f t="shared" si="11"/>
        <v>105000</v>
      </c>
      <c r="P3814" s="102" t="str">
        <f t="shared" si="2"/>
        <v>Rp105,000-1 LSN-0.00%</v>
      </c>
      <c r="Q3814" s="92">
        <v>45422.0</v>
      </c>
      <c r="R3814" s="76"/>
      <c r="S3814" s="92">
        <v>45430.0</v>
      </c>
      <c r="T3814" s="49"/>
      <c r="V3814" s="21" t="s">
        <v>248</v>
      </c>
    </row>
    <row r="3815">
      <c r="A3815" s="93">
        <v>176.0</v>
      </c>
      <c r="B3815" s="77" t="s">
        <v>29</v>
      </c>
      <c r="C3815" s="77" t="s">
        <v>3509</v>
      </c>
      <c r="D3815" s="91"/>
      <c r="E3815" s="41" t="str">
        <f>IFERROR(__xludf.DUMMYFUNCTION("IFNA(vlookup(D3815,IMPORTRANGE(""https://docs.google.com/spreadsheets/d/1swGwZOEqYlTEUCJLY-eeJM1911Kvaei5oySBIxdgtNo/edit?pli=1#gid=257618397"",""stock untanna!B:C""),2,false),V:V)"),"TAS 2066-1 B GLITTER")</f>
        <v>TAS 2066-1 B GLITTER</v>
      </c>
      <c r="F3815" s="49"/>
      <c r="G3815" s="71"/>
      <c r="H3815" s="41"/>
      <c r="I3815" s="42"/>
      <c r="J3815" s="85" t="s">
        <v>3190</v>
      </c>
      <c r="K3815" s="93">
        <v>1.0</v>
      </c>
      <c r="L3815" s="112" t="s">
        <v>62</v>
      </c>
      <c r="M3815" s="113">
        <v>142000.0</v>
      </c>
      <c r="N3815" s="74"/>
      <c r="O3815" s="87">
        <f t="shared" si="11"/>
        <v>142000</v>
      </c>
      <c r="P3815" s="102" t="str">
        <f t="shared" si="2"/>
        <v>Rp142,000-1 LSN-0.00%</v>
      </c>
      <c r="Q3815" s="92">
        <v>45422.0</v>
      </c>
      <c r="R3815" s="76"/>
      <c r="S3815" s="92">
        <v>45430.0</v>
      </c>
      <c r="T3815" s="49"/>
      <c r="V3815" s="21" t="s">
        <v>3518</v>
      </c>
    </row>
    <row r="3816">
      <c r="A3816" s="93">
        <v>176.0</v>
      </c>
      <c r="B3816" s="77" t="s">
        <v>29</v>
      </c>
      <c r="C3816" s="77" t="s">
        <v>3509</v>
      </c>
      <c r="D3816" s="91"/>
      <c r="E3816" s="41" t="str">
        <f>IFERROR(__xludf.DUMMYFUNCTION("IFNA(vlookup(D3816,IMPORTRANGE(""https://docs.google.com/spreadsheets/d/1swGwZOEqYlTEUCJLY-eeJM1911Kvaei5oySBIxdgtNo/edit?pli=1#gid=257618397"",""stock untanna!B:C""),2,false),V:V)"),"TAS 1833 L GLITTER BESAR")</f>
        <v>TAS 1833 L GLITTER BESAR</v>
      </c>
      <c r="F3816" s="49"/>
      <c r="G3816" s="71"/>
      <c r="H3816" s="41"/>
      <c r="I3816" s="42"/>
      <c r="J3816" s="85" t="s">
        <v>3190</v>
      </c>
      <c r="K3816" s="93">
        <v>1.0</v>
      </c>
      <c r="L3816" s="112" t="s">
        <v>62</v>
      </c>
      <c r="M3816" s="113">
        <v>142000.0</v>
      </c>
      <c r="N3816" s="74"/>
      <c r="O3816" s="87">
        <f t="shared" si="11"/>
        <v>142000</v>
      </c>
      <c r="P3816" s="102" t="str">
        <f t="shared" si="2"/>
        <v>Rp142,000-1 LSN-0.00%</v>
      </c>
      <c r="Q3816" s="92">
        <v>45422.0</v>
      </c>
      <c r="R3816" s="76"/>
      <c r="S3816" s="92">
        <v>45430.0</v>
      </c>
      <c r="T3816" s="49"/>
      <c r="V3816" s="21" t="s">
        <v>3519</v>
      </c>
    </row>
    <row r="3817">
      <c r="A3817" s="93">
        <v>176.0</v>
      </c>
      <c r="B3817" s="77" t="s">
        <v>29</v>
      </c>
      <c r="C3817" s="77" t="s">
        <v>3509</v>
      </c>
      <c r="D3817" s="91"/>
      <c r="E3817" s="41" t="str">
        <f>IFERROR(__xludf.DUMMYFUNCTION("IFNA(vlookup(D3817,IMPORTRANGE(""https://docs.google.com/spreadsheets/d/1swGwZOEqYlTEUCJLY-eeJM1911Kvaei5oySBIxdgtNo/edit?pli=1#gid=257618397"",""stock untanna!B:C""),2,false),V:V)"),"TAS GLITTER SM 105 BESAR")</f>
        <v>TAS GLITTER SM 105 BESAR</v>
      </c>
      <c r="F3817" s="49"/>
      <c r="G3817" s="71"/>
      <c r="H3817" s="41"/>
      <c r="I3817" s="42"/>
      <c r="J3817" s="85" t="s">
        <v>3190</v>
      </c>
      <c r="K3817" s="93">
        <v>1.0</v>
      </c>
      <c r="L3817" s="112" t="s">
        <v>62</v>
      </c>
      <c r="M3817" s="113">
        <v>142000.0</v>
      </c>
      <c r="N3817" s="74"/>
      <c r="O3817" s="87">
        <f t="shared" si="11"/>
        <v>142000</v>
      </c>
      <c r="P3817" s="102" t="str">
        <f t="shared" si="2"/>
        <v>Rp142,000-1 LSN-0.00%</v>
      </c>
      <c r="Q3817" s="92">
        <v>45422.0</v>
      </c>
      <c r="R3817" s="76"/>
      <c r="S3817" s="92">
        <v>45430.0</v>
      </c>
      <c r="T3817" s="49"/>
      <c r="V3817" s="21" t="s">
        <v>3520</v>
      </c>
    </row>
    <row r="3818">
      <c r="A3818" s="93">
        <v>176.0</v>
      </c>
      <c r="B3818" s="77" t="s">
        <v>29</v>
      </c>
      <c r="C3818" s="77" t="s">
        <v>3509</v>
      </c>
      <c r="D3818" s="91"/>
      <c r="E3818" s="41" t="str">
        <f>IFERROR(__xludf.DUMMYFUNCTION("IFNA(vlookup(D3818,IMPORTRANGE(""https://docs.google.com/spreadsheets/d/1swGwZOEqYlTEUCJLY-eeJM1911Kvaei5oySBIxdgtNo/edit?pli=1#gid=257618397"",""stock untanna!B:C""),2,false),V:V)"),"UNDANGAN ULTAH ANAK PON 233")</f>
        <v>UNDANGAN ULTAH ANAK PON 233</v>
      </c>
      <c r="F3818" s="49"/>
      <c r="G3818" s="71"/>
      <c r="H3818" s="41"/>
      <c r="I3818" s="42"/>
      <c r="J3818" s="85" t="s">
        <v>3190</v>
      </c>
      <c r="K3818" s="93">
        <v>100.0</v>
      </c>
      <c r="L3818" s="112" t="s">
        <v>114</v>
      </c>
      <c r="M3818" s="113">
        <v>1000.0</v>
      </c>
      <c r="N3818" s="74"/>
      <c r="O3818" s="87">
        <f t="shared" si="11"/>
        <v>100000</v>
      </c>
      <c r="P3818" s="102" t="str">
        <f t="shared" si="2"/>
        <v>Rp1,000-100 PAK-0.00%</v>
      </c>
      <c r="Q3818" s="92">
        <v>45422.0</v>
      </c>
      <c r="R3818" s="76"/>
      <c r="S3818" s="92">
        <v>45430.0</v>
      </c>
      <c r="T3818" s="49"/>
      <c r="V3818" s="21" t="s">
        <v>3521</v>
      </c>
    </row>
    <row r="3819">
      <c r="A3819" s="93">
        <v>176.0</v>
      </c>
      <c r="B3819" s="77" t="s">
        <v>29</v>
      </c>
      <c r="C3819" s="77" t="s">
        <v>3509</v>
      </c>
      <c r="D3819" s="77" t="s">
        <v>129</v>
      </c>
      <c r="E3819" s="41" t="str">
        <f>IFERROR(__xludf.DUMMYFUNCTION("IFNA(vlookup(D3819,IMPORTRANGE(""https://docs.google.com/spreadsheets/d/1swGwZOEqYlTEUCJLY-eeJM1911Kvaei5oySBIxdgtNo/edit?pli=1#gid=257618397"",""stock untanna!B:C""),2,false),V:V)"),"PENSIL TF 688")</f>
        <v>PENSIL TF 688</v>
      </c>
      <c r="F3819" s="49"/>
      <c r="G3819" s="71"/>
      <c r="H3819" s="41"/>
      <c r="I3819" s="42"/>
      <c r="J3819" s="85" t="s">
        <v>1319</v>
      </c>
      <c r="K3819" s="93">
        <v>1.0</v>
      </c>
      <c r="L3819" s="112" t="s">
        <v>131</v>
      </c>
      <c r="M3819" s="113">
        <v>105000.0</v>
      </c>
      <c r="N3819" s="74"/>
      <c r="O3819" s="87">
        <f t="shared" si="11"/>
        <v>105000</v>
      </c>
      <c r="P3819" s="102" t="str">
        <f t="shared" si="2"/>
        <v>Rp105,000-1 GRS-0.00%</v>
      </c>
      <c r="Q3819" s="92">
        <v>45422.0</v>
      </c>
      <c r="R3819" s="76"/>
      <c r="S3819" s="92">
        <v>45430.0</v>
      </c>
      <c r="T3819" s="49"/>
      <c r="V3819" s="21" t="s">
        <v>130</v>
      </c>
    </row>
    <row r="3820">
      <c r="A3820" s="93">
        <v>177.0</v>
      </c>
      <c r="B3820" s="77" t="s">
        <v>29</v>
      </c>
      <c r="C3820" s="77" t="s">
        <v>3509</v>
      </c>
      <c r="D3820" s="77" t="s">
        <v>3522</v>
      </c>
      <c r="E3820" s="41" t="str">
        <f>IFERROR(__xludf.DUMMYFUNCTION("IFNA(vlookup(D3820,IMPORTRANGE(""https://docs.google.com/spreadsheets/d/1swGwZOEqYlTEUCJLY-eeJM1911Kvaei5oySBIxdgtNo/edit?pli=1#gid=257618397"",""stock untanna!B:C""),2,false),V:V)"),"PENSIL TF 88 S")</f>
        <v>PENSIL TF 88 S</v>
      </c>
      <c r="F3820" s="49"/>
      <c r="G3820" s="71"/>
      <c r="H3820" s="41"/>
      <c r="I3820" s="42"/>
      <c r="J3820" s="43" t="str">
        <f t="shared" ref="J3820:J3821" si="14">IF(D3820="","TIDAK ADA","ADA")</f>
        <v>ADA</v>
      </c>
      <c r="K3820" s="93">
        <v>1.0</v>
      </c>
      <c r="L3820" s="112" t="s">
        <v>131</v>
      </c>
      <c r="M3820" s="113">
        <v>105000.0</v>
      </c>
      <c r="N3820" s="74"/>
      <c r="O3820" s="87">
        <f t="shared" si="11"/>
        <v>105000</v>
      </c>
      <c r="P3820" s="102" t="str">
        <f t="shared" si="2"/>
        <v>Rp105,000-1 GRS-0.00%</v>
      </c>
      <c r="Q3820" s="92">
        <v>45422.0</v>
      </c>
      <c r="R3820" s="76"/>
      <c r="S3820" s="92">
        <v>45430.0</v>
      </c>
      <c r="T3820" s="77" t="s">
        <v>280</v>
      </c>
      <c r="V3820" s="21" t="s">
        <v>3523</v>
      </c>
    </row>
    <row r="3821">
      <c r="A3821" s="93">
        <v>177.0</v>
      </c>
      <c r="B3821" s="77" t="s">
        <v>29</v>
      </c>
      <c r="C3821" s="77" t="s">
        <v>3509</v>
      </c>
      <c r="D3821" s="77" t="s">
        <v>2200</v>
      </c>
      <c r="E3821" s="41" t="str">
        <f>IFERROR(__xludf.DUMMYFUNCTION("IFNA(vlookup(D3821,IMPORTRANGE(""https://docs.google.com/spreadsheets/d/1swGwZOEqYlTEUCJLY-eeJM1911Kvaei5oySBIxdgtNo/edit?pli=1#gid=257618397"",""stock untanna!B:C""),2,false),V:V)"),"PENSIL TF 99 S")</f>
        <v>PENSIL TF 99 S</v>
      </c>
      <c r="F3821" s="49"/>
      <c r="G3821" s="71"/>
      <c r="H3821" s="41"/>
      <c r="I3821" s="42"/>
      <c r="J3821" s="43" t="str">
        <f t="shared" si="14"/>
        <v>ADA</v>
      </c>
      <c r="K3821" s="93">
        <v>1.0</v>
      </c>
      <c r="L3821" s="112" t="s">
        <v>131</v>
      </c>
      <c r="M3821" s="113">
        <v>105000.0</v>
      </c>
      <c r="N3821" s="74"/>
      <c r="O3821" s="87">
        <f t="shared" si="11"/>
        <v>105000</v>
      </c>
      <c r="P3821" s="102" t="str">
        <f t="shared" si="2"/>
        <v>Rp105,000-1 GRS-0.00%</v>
      </c>
      <c r="Q3821" s="92">
        <v>45422.0</v>
      </c>
      <c r="R3821" s="76"/>
      <c r="S3821" s="92">
        <v>45430.0</v>
      </c>
      <c r="T3821" s="77" t="s">
        <v>280</v>
      </c>
      <c r="V3821" s="21" t="s">
        <v>2201</v>
      </c>
    </row>
    <row r="3822">
      <c r="A3822" s="93">
        <v>177.0</v>
      </c>
      <c r="B3822" s="77" t="s">
        <v>29</v>
      </c>
      <c r="C3822" s="77" t="s">
        <v>3509</v>
      </c>
      <c r="D3822" s="91"/>
      <c r="E3822" s="41" t="str">
        <f>IFERROR(__xludf.DUMMYFUNCTION("IFNA(vlookup(D3822,IMPORTRANGE(""https://docs.google.com/spreadsheets/d/1swGwZOEqYlTEUCJLY-eeJM1911Kvaei5oySBIxdgtNo/edit?pli=1#gid=257618397"",""stock untanna!B:C""),2,false),V:V)"),"P WARNA 36W KYCP 0736")</f>
        <v>P WARNA 36W KYCP 0736</v>
      </c>
      <c r="F3822" s="49"/>
      <c r="G3822" s="71"/>
      <c r="H3822" s="41"/>
      <c r="I3822" s="42"/>
      <c r="J3822" s="85" t="s">
        <v>3190</v>
      </c>
      <c r="K3822" s="93">
        <v>0.916666667</v>
      </c>
      <c r="L3822" s="112" t="s">
        <v>62</v>
      </c>
      <c r="M3822" s="113">
        <v>400000.0</v>
      </c>
      <c r="N3822" s="74"/>
      <c r="O3822" s="87">
        <f t="shared" si="11"/>
        <v>366666.6668</v>
      </c>
      <c r="P3822" s="102" t="str">
        <f t="shared" si="2"/>
        <v>Rp400,000-0.916666667 LSN-0.00%</v>
      </c>
      <c r="Q3822" s="92">
        <v>45422.0</v>
      </c>
      <c r="R3822" s="76"/>
      <c r="S3822" s="92">
        <v>45430.0</v>
      </c>
      <c r="T3822" s="49"/>
      <c r="V3822" s="21" t="s">
        <v>3524</v>
      </c>
    </row>
    <row r="3823">
      <c r="A3823" s="93">
        <v>177.0</v>
      </c>
      <c r="B3823" s="77" t="s">
        <v>29</v>
      </c>
      <c r="C3823" s="77" t="s">
        <v>3509</v>
      </c>
      <c r="D3823" s="77" t="s">
        <v>2086</v>
      </c>
      <c r="E3823" s="41" t="str">
        <f>IFERROR(__xludf.DUMMYFUNCTION("IFNA(vlookup(D3823,IMPORTRANGE(""https://docs.google.com/spreadsheets/d/1swGwZOEqYlTEUCJLY-eeJM1911Kvaei5oySBIxdgtNo/edit?pli=1#gid=257618397"",""stock untanna!B:C""),2,false),V:V)"),"PC MAGNIT CC 7806 + CALL")</f>
        <v>PC MAGNIT CC 7806 + CALL</v>
      </c>
      <c r="F3823" s="49"/>
      <c r="G3823" s="71"/>
      <c r="H3823" s="41"/>
      <c r="I3823" s="42"/>
      <c r="J3823" s="85" t="s">
        <v>1319</v>
      </c>
      <c r="K3823" s="93">
        <v>2.0</v>
      </c>
      <c r="L3823" s="112" t="s">
        <v>62</v>
      </c>
      <c r="M3823" s="113">
        <v>225000.0</v>
      </c>
      <c r="N3823" s="74"/>
      <c r="O3823" s="87">
        <f t="shared" si="11"/>
        <v>450000</v>
      </c>
      <c r="P3823" s="102" t="str">
        <f t="shared" si="2"/>
        <v>Rp225,000-2 LSN-0.00%</v>
      </c>
      <c r="Q3823" s="92">
        <v>45422.0</v>
      </c>
      <c r="R3823" s="76"/>
      <c r="S3823" s="92">
        <v>45430.0</v>
      </c>
      <c r="T3823" s="77" t="s">
        <v>280</v>
      </c>
      <c r="V3823" s="21" t="s">
        <v>3463</v>
      </c>
    </row>
    <row r="3824">
      <c r="A3824" s="93">
        <v>122.0</v>
      </c>
      <c r="B3824" s="77" t="s">
        <v>65</v>
      </c>
      <c r="C3824" s="77" t="s">
        <v>3525</v>
      </c>
      <c r="D3824" s="77" t="s">
        <v>2216</v>
      </c>
      <c r="E3824" s="41" t="str">
        <f>IFERROR(__xludf.DUMMYFUNCTION("IFNA(vlookup(D3824,IMPORTRANGE(""https://docs.google.com/spreadsheets/d/1swGwZOEqYlTEUCJLY-eeJM1911Kvaei5oySBIxdgtNo/edit?pli=1#gid=257618397"",""stock untanna!B:C""),2,false),V:V)"),"ISI GEL TIZO TG 308-AR")</f>
        <v>ISI GEL TIZO TG 308-AR</v>
      </c>
      <c r="F3824" s="49"/>
      <c r="G3824" s="71"/>
      <c r="H3824" s="41"/>
      <c r="I3824" s="42"/>
      <c r="J3824" s="85" t="s">
        <v>1319</v>
      </c>
      <c r="K3824" s="93">
        <v>24.0</v>
      </c>
      <c r="L3824" s="112" t="s">
        <v>114</v>
      </c>
      <c r="M3824" s="113">
        <v>25000.0</v>
      </c>
      <c r="N3824" s="74"/>
      <c r="O3824" s="87">
        <f t="shared" si="11"/>
        <v>600000</v>
      </c>
      <c r="P3824" s="102" t="str">
        <f t="shared" si="2"/>
        <v>Rp25,000-24 PAK-0.00%</v>
      </c>
      <c r="Q3824" s="92">
        <v>45422.0</v>
      </c>
      <c r="R3824" s="76"/>
      <c r="S3824" s="92">
        <v>45430.0</v>
      </c>
      <c r="T3824" s="49"/>
      <c r="V3824" s="21" t="s">
        <v>2217</v>
      </c>
    </row>
    <row r="3825">
      <c r="A3825" s="93">
        <v>122.0</v>
      </c>
      <c r="B3825" s="77" t="s">
        <v>65</v>
      </c>
      <c r="C3825" s="77" t="s">
        <v>3525</v>
      </c>
      <c r="D3825" s="77" t="s">
        <v>629</v>
      </c>
      <c r="E3825" s="41" t="str">
        <f>IFERROR(__xludf.DUMMYFUNCTION("IFNA(vlookup(D3825,IMPORTRANGE(""https://docs.google.com/spreadsheets/d/1swGwZOEqYlTEUCJLY-eeJM1911Kvaei5oySBIxdgtNo/edit?pli=1#gid=257618397"",""stock untanna!B:C""),2,false),V:V)"),"BP GEL TIZO 30801F S3 FANCY")</f>
        <v>BP GEL TIZO 30801F S3 FANCY</v>
      </c>
      <c r="F3825" s="49"/>
      <c r="G3825" s="71"/>
      <c r="H3825" s="41"/>
      <c r="I3825" s="42"/>
      <c r="J3825" s="85" t="s">
        <v>1319</v>
      </c>
      <c r="K3825" s="93">
        <v>24.0</v>
      </c>
      <c r="L3825" s="112" t="s">
        <v>62</v>
      </c>
      <c r="M3825" s="113">
        <v>18000.0</v>
      </c>
      <c r="N3825" s="74"/>
      <c r="O3825" s="87">
        <f t="shared" si="11"/>
        <v>432000</v>
      </c>
      <c r="P3825" s="102" t="str">
        <f t="shared" si="2"/>
        <v>Rp18,000-24 LSN-0.00%</v>
      </c>
      <c r="Q3825" s="92">
        <v>45422.0</v>
      </c>
      <c r="R3825" s="76"/>
      <c r="S3825" s="92">
        <v>45430.0</v>
      </c>
      <c r="T3825" s="49"/>
      <c r="V3825" s="21" t="s">
        <v>630</v>
      </c>
    </row>
    <row r="3826">
      <c r="A3826" s="93">
        <v>122.0</v>
      </c>
      <c r="B3826" s="77" t="s">
        <v>65</v>
      </c>
      <c r="C3826" s="77" t="s">
        <v>3525</v>
      </c>
      <c r="D3826" s="77" t="s">
        <v>627</v>
      </c>
      <c r="E3826" s="41" t="str">
        <f>IFERROR(__xludf.DUMMYFUNCTION("IFNA(vlookup(D3826,IMPORTRANGE(""https://docs.google.com/spreadsheets/d/1swGwZOEqYlTEUCJLY-eeJM1911Kvaei5oySBIxdgtNo/edit?pli=1#gid=257618397"",""stock untanna!B:C""),2,false),V:V)"),"BP TIZO TG 30541F FANCY")</f>
        <v>BP TIZO TG 30541F FANCY</v>
      </c>
      <c r="F3826" s="49"/>
      <c r="G3826" s="71"/>
      <c r="H3826" s="41"/>
      <c r="I3826" s="42"/>
      <c r="J3826" s="85" t="s">
        <v>1319</v>
      </c>
      <c r="K3826" s="93">
        <v>3.0</v>
      </c>
      <c r="L3826" s="112" t="s">
        <v>62</v>
      </c>
      <c r="M3826" s="113">
        <v>18000.0</v>
      </c>
      <c r="N3826" s="74"/>
      <c r="O3826" s="87">
        <f t="shared" si="11"/>
        <v>54000</v>
      </c>
      <c r="P3826" s="102" t="str">
        <f t="shared" si="2"/>
        <v>Rp18,000-3 LSN-0.00%</v>
      </c>
      <c r="Q3826" s="92">
        <v>45422.0</v>
      </c>
      <c r="R3826" s="76"/>
      <c r="S3826" s="92">
        <v>45430.0</v>
      </c>
      <c r="T3826" s="49"/>
      <c r="V3826" s="21" t="s">
        <v>628</v>
      </c>
    </row>
    <row r="3827">
      <c r="A3827" s="93">
        <v>122.0</v>
      </c>
      <c r="B3827" s="77" t="s">
        <v>65</v>
      </c>
      <c r="C3827" s="77" t="s">
        <v>3525</v>
      </c>
      <c r="D3827" s="77" t="s">
        <v>2339</v>
      </c>
      <c r="E3827" s="41" t="str">
        <f>IFERROR(__xludf.DUMMYFUNCTION("IFNA(vlookup(D3827,IMPORTRANGE(""https://docs.google.com/spreadsheets/d/1swGwZOEqYlTEUCJLY-eeJM1911Kvaei5oySBIxdgtNo/edit?pli=1#gid=257618397"",""stock untanna!B:C""),2,false),V:V)"),"BP GEL KOALA GP-168-C HJ")</f>
        <v>BP GEL KOALA GP-168-C HJ</v>
      </c>
      <c r="F3827" s="49"/>
      <c r="G3827" s="71"/>
      <c r="H3827" s="41"/>
      <c r="I3827" s="42"/>
      <c r="J3827" s="85" t="s">
        <v>1319</v>
      </c>
      <c r="K3827" s="93">
        <v>2.0</v>
      </c>
      <c r="L3827" s="112" t="s">
        <v>62</v>
      </c>
      <c r="M3827" s="113">
        <v>25000.0</v>
      </c>
      <c r="N3827" s="74"/>
      <c r="O3827" s="87">
        <f t="shared" si="11"/>
        <v>50000</v>
      </c>
      <c r="P3827" s="102" t="str">
        <f t="shared" si="2"/>
        <v>Rp25,000-2 LSN-0.00%</v>
      </c>
      <c r="Q3827" s="92">
        <v>45422.0</v>
      </c>
      <c r="R3827" s="76"/>
      <c r="S3827" s="92">
        <v>45430.0</v>
      </c>
      <c r="T3827" s="49"/>
      <c r="V3827" s="21" t="s">
        <v>2340</v>
      </c>
    </row>
    <row r="3828">
      <c r="A3828" s="93">
        <v>122.0</v>
      </c>
      <c r="B3828" s="77" t="s">
        <v>65</v>
      </c>
      <c r="C3828" s="77" t="s">
        <v>3525</v>
      </c>
      <c r="D3828" s="77" t="s">
        <v>2341</v>
      </c>
      <c r="E3828" s="41" t="str">
        <f>IFERROR(__xludf.DUMMYFUNCTION("IFNA(vlookup(D3828,IMPORTRANGE(""https://docs.google.com/spreadsheets/d/1swGwZOEqYlTEUCJLY-eeJM1911Kvaei5oySBIxdgtNo/edit?pli=1#gid=257618397"",""stock untanna!B:C""),2,false),V:V)"),"BP GEL KOALA GP-168-D VL")</f>
        <v>BP GEL KOALA GP-168-D VL</v>
      </c>
      <c r="F3828" s="49"/>
      <c r="G3828" s="71"/>
      <c r="H3828" s="41"/>
      <c r="I3828" s="42"/>
      <c r="J3828" s="85" t="s">
        <v>1319</v>
      </c>
      <c r="K3828" s="93">
        <v>2.0</v>
      </c>
      <c r="L3828" s="112" t="s">
        <v>62</v>
      </c>
      <c r="M3828" s="113">
        <v>25000.0</v>
      </c>
      <c r="N3828" s="74"/>
      <c r="O3828" s="87">
        <f t="shared" si="11"/>
        <v>50000</v>
      </c>
      <c r="P3828" s="102" t="str">
        <f t="shared" si="2"/>
        <v>Rp25,000-2 LSN-0.00%</v>
      </c>
      <c r="Q3828" s="92">
        <v>45422.0</v>
      </c>
      <c r="R3828" s="76"/>
      <c r="S3828" s="92">
        <v>45430.0</v>
      </c>
      <c r="T3828" s="49"/>
      <c r="V3828" s="21" t="s">
        <v>2342</v>
      </c>
    </row>
    <row r="3829">
      <c r="A3829" s="93">
        <v>122.0</v>
      </c>
      <c r="B3829" s="77" t="s">
        <v>65</v>
      </c>
      <c r="C3829" s="77" t="s">
        <v>3525</v>
      </c>
      <c r="D3829" s="77" t="s">
        <v>2347</v>
      </c>
      <c r="E3829" s="41" t="str">
        <f>IFERROR(__xludf.DUMMYFUNCTION("IFNA(vlookup(D3829,IMPORTRANGE(""https://docs.google.com/spreadsheets/d/1swGwZOEqYlTEUCJLY-eeJM1911Kvaei5oySBIxdgtNo/edit?pli=1#gid=257618397"",""stock untanna!B:C""),2,false),V:V)"),"BP GEL KOALA GP-168-G PK")</f>
        <v>BP GEL KOALA GP-168-G PK</v>
      </c>
      <c r="F3829" s="49"/>
      <c r="G3829" s="71"/>
      <c r="H3829" s="41"/>
      <c r="I3829" s="42"/>
      <c r="J3829" s="85" t="s">
        <v>1319</v>
      </c>
      <c r="K3829" s="93">
        <v>2.0</v>
      </c>
      <c r="L3829" s="112" t="s">
        <v>62</v>
      </c>
      <c r="M3829" s="113">
        <v>25000.0</v>
      </c>
      <c r="N3829" s="74"/>
      <c r="O3829" s="87">
        <f t="shared" si="11"/>
        <v>50000</v>
      </c>
      <c r="P3829" s="102" t="str">
        <f t="shared" si="2"/>
        <v>Rp25,000-2 LSN-0.00%</v>
      </c>
      <c r="Q3829" s="92">
        <v>45422.0</v>
      </c>
      <c r="R3829" s="76"/>
      <c r="S3829" s="92">
        <v>45430.0</v>
      </c>
      <c r="T3829" s="49"/>
      <c r="V3829" s="21" t="s">
        <v>2348</v>
      </c>
    </row>
    <row r="3830">
      <c r="A3830" s="93">
        <v>122.0</v>
      </c>
      <c r="B3830" s="77" t="s">
        <v>65</v>
      </c>
      <c r="C3830" s="77" t="s">
        <v>3525</v>
      </c>
      <c r="D3830" s="77" t="s">
        <v>2337</v>
      </c>
      <c r="E3830" s="41" t="str">
        <f>IFERROR(__xludf.DUMMYFUNCTION("IFNA(vlookup(D3830,IMPORTRANGE(""https://docs.google.com/spreadsheets/d/1swGwZOEqYlTEUCJLY-eeJM1911Kvaei5oySBIxdgtNo/edit?pli=1#gid=257618397"",""stock untanna!B:C""),2,false),V:V)"),"BP GEL KOALA GP-168-B BR")</f>
        <v>BP GEL KOALA GP-168-B BR</v>
      </c>
      <c r="F3830" s="49"/>
      <c r="G3830" s="71"/>
      <c r="H3830" s="41"/>
      <c r="I3830" s="42"/>
      <c r="J3830" s="85" t="s">
        <v>1319</v>
      </c>
      <c r="K3830" s="93">
        <v>2.0</v>
      </c>
      <c r="L3830" s="112" t="s">
        <v>62</v>
      </c>
      <c r="M3830" s="113">
        <v>25000.0</v>
      </c>
      <c r="N3830" s="74"/>
      <c r="O3830" s="87">
        <f t="shared" si="11"/>
        <v>50000</v>
      </c>
      <c r="P3830" s="102" t="str">
        <f t="shared" si="2"/>
        <v>Rp25,000-2 LSN-0.00%</v>
      </c>
      <c r="Q3830" s="92">
        <v>45422.0</v>
      </c>
      <c r="R3830" s="76"/>
      <c r="S3830" s="92">
        <v>45430.0</v>
      </c>
      <c r="T3830" s="49"/>
      <c r="V3830" s="21" t="s">
        <v>2338</v>
      </c>
    </row>
    <row r="3831">
      <c r="A3831" s="93">
        <v>122.0</v>
      </c>
      <c r="B3831" s="77" t="s">
        <v>65</v>
      </c>
      <c r="C3831" s="77" t="s">
        <v>3525</v>
      </c>
      <c r="D3831" s="77" t="s">
        <v>2345</v>
      </c>
      <c r="E3831" s="41" t="str">
        <f>IFERROR(__xludf.DUMMYFUNCTION("IFNA(vlookup(D3831,IMPORTRANGE(""https://docs.google.com/spreadsheets/d/1swGwZOEqYlTEUCJLY-eeJM1911Kvaei5oySBIxdgtNo/edit?pli=1#gid=257618397"",""stock untanna!B:C""),2,false),V:V)"),"BP GEL KOALA GP-168-F BR TUA")</f>
        <v>BP GEL KOALA GP-168-F BR TUA</v>
      </c>
      <c r="F3831" s="49"/>
      <c r="G3831" s="71"/>
      <c r="H3831" s="41"/>
      <c r="I3831" s="42"/>
      <c r="J3831" s="85" t="s">
        <v>1319</v>
      </c>
      <c r="K3831" s="93">
        <v>2.0</v>
      </c>
      <c r="L3831" s="112" t="s">
        <v>62</v>
      </c>
      <c r="M3831" s="113">
        <v>25000.0</v>
      </c>
      <c r="N3831" s="74"/>
      <c r="O3831" s="87">
        <f t="shared" si="11"/>
        <v>50000</v>
      </c>
      <c r="P3831" s="102" t="str">
        <f t="shared" si="2"/>
        <v>Rp25,000-2 LSN-0.00%</v>
      </c>
      <c r="Q3831" s="92">
        <v>45422.0</v>
      </c>
      <c r="R3831" s="76"/>
      <c r="S3831" s="92">
        <v>45430.0</v>
      </c>
      <c r="T3831" s="49"/>
      <c r="V3831" s="21" t="s">
        <v>2346</v>
      </c>
    </row>
    <row r="3832">
      <c r="A3832" s="93">
        <v>122.0</v>
      </c>
      <c r="B3832" s="77" t="s">
        <v>65</v>
      </c>
      <c r="C3832" s="77" t="s">
        <v>3525</v>
      </c>
      <c r="D3832" s="77" t="s">
        <v>3236</v>
      </c>
      <c r="E3832" s="41" t="str">
        <f>IFERROR(__xludf.DUMMYFUNCTION("IFNA(vlookup(D3832,IMPORTRANGE(""https://docs.google.com/spreadsheets/d/1swGwZOEqYlTEUCJLY-eeJM1911Kvaei5oySBIxdgtNo/edit?pli=1#gid=257618397"",""stock untanna!B:C""),2,false),V:V)"),"BP GEL GP-801 NEW KOALA HTM")</f>
        <v>BP GEL GP-801 NEW KOALA HTM</v>
      </c>
      <c r="F3832" s="49"/>
      <c r="G3832" s="71"/>
      <c r="H3832" s="41"/>
      <c r="I3832" s="42"/>
      <c r="J3832" s="85" t="s">
        <v>1319</v>
      </c>
      <c r="K3832" s="93">
        <v>36.0</v>
      </c>
      <c r="L3832" s="112" t="s">
        <v>62</v>
      </c>
      <c r="M3832" s="113">
        <v>12500.0</v>
      </c>
      <c r="N3832" s="74"/>
      <c r="O3832" s="87">
        <f t="shared" si="11"/>
        <v>450000</v>
      </c>
      <c r="P3832" s="102" t="str">
        <f t="shared" si="2"/>
        <v>Rp12,500-36 LSN-0.00%</v>
      </c>
      <c r="Q3832" s="92">
        <v>45422.0</v>
      </c>
      <c r="R3832" s="76"/>
      <c r="S3832" s="92">
        <v>45430.0</v>
      </c>
      <c r="T3832" s="49"/>
      <c r="V3832" s="21" t="s">
        <v>3237</v>
      </c>
    </row>
    <row r="3833">
      <c r="A3833" s="93">
        <v>122.0</v>
      </c>
      <c r="B3833" s="77" t="s">
        <v>65</v>
      </c>
      <c r="C3833" s="77" t="s">
        <v>3525</v>
      </c>
      <c r="D3833" s="77" t="s">
        <v>3238</v>
      </c>
      <c r="E3833" s="41" t="str">
        <f>IFERROR(__xludf.DUMMYFUNCTION("IFNA(vlookup(D3833,IMPORTRANGE(""https://docs.google.com/spreadsheets/d/1swGwZOEqYlTEUCJLY-eeJM1911Kvaei5oySBIxdgtNo/edit?pli=1#gid=257618397"",""stock untanna!B:C""),2,false),V:V)"),"BP GEL GP-801 NEW KOALA MRH")</f>
        <v>BP GEL GP-801 NEW KOALA MRH</v>
      </c>
      <c r="F3833" s="49"/>
      <c r="G3833" s="71"/>
      <c r="H3833" s="41"/>
      <c r="I3833" s="42"/>
      <c r="J3833" s="85" t="s">
        <v>1319</v>
      </c>
      <c r="K3833" s="93">
        <v>12.0</v>
      </c>
      <c r="L3833" s="112" t="s">
        <v>62</v>
      </c>
      <c r="M3833" s="113">
        <v>12500.0</v>
      </c>
      <c r="N3833" s="74"/>
      <c r="O3833" s="87">
        <f t="shared" si="11"/>
        <v>150000</v>
      </c>
      <c r="P3833" s="102" t="str">
        <f t="shared" si="2"/>
        <v>Rp12,500-12 LSN-0.00%</v>
      </c>
      <c r="Q3833" s="92">
        <v>45422.0</v>
      </c>
      <c r="R3833" s="76"/>
      <c r="S3833" s="92">
        <v>45430.0</v>
      </c>
      <c r="T3833" s="49"/>
      <c r="V3833" s="21" t="s">
        <v>3239</v>
      </c>
    </row>
    <row r="3834">
      <c r="A3834" s="93">
        <v>122.0</v>
      </c>
      <c r="B3834" s="77" t="s">
        <v>65</v>
      </c>
      <c r="C3834" s="77" t="s">
        <v>3525</v>
      </c>
      <c r="D3834" s="77" t="s">
        <v>199</v>
      </c>
      <c r="E3834" s="41" t="str">
        <f>IFERROR(__xludf.DUMMYFUNCTION("IFNA(vlookup(D3834,IMPORTRANGE(""https://docs.google.com/spreadsheets/d/1swGwZOEqYlTEUCJLY-eeJM1911Kvaei5oySBIxdgtNo/edit?pli=1#gid=257618397"",""stock untanna!B:C""),2,false),V:V)"),"BP TF 1022")</f>
        <v>BP TF 1022</v>
      </c>
      <c r="F3834" s="49"/>
      <c r="G3834" s="71"/>
      <c r="H3834" s="41"/>
      <c r="I3834" s="42"/>
      <c r="J3834" s="85" t="s">
        <v>1319</v>
      </c>
      <c r="K3834" s="93">
        <v>12.0</v>
      </c>
      <c r="L3834" s="112" t="s">
        <v>62</v>
      </c>
      <c r="M3834" s="113">
        <v>15000.0</v>
      </c>
      <c r="N3834" s="74"/>
      <c r="O3834" s="87">
        <f t="shared" si="11"/>
        <v>180000</v>
      </c>
      <c r="P3834" s="102" t="str">
        <f t="shared" si="2"/>
        <v>Rp15,000-12 LSN-0.00%</v>
      </c>
      <c r="Q3834" s="92">
        <v>45422.0</v>
      </c>
      <c r="R3834" s="76"/>
      <c r="S3834" s="92">
        <v>45430.0</v>
      </c>
      <c r="T3834" s="49"/>
      <c r="V3834" s="21" t="s">
        <v>200</v>
      </c>
    </row>
    <row r="3835">
      <c r="A3835" s="93">
        <v>122.0</v>
      </c>
      <c r="B3835" s="77" t="s">
        <v>65</v>
      </c>
      <c r="C3835" s="77" t="s">
        <v>3525</v>
      </c>
      <c r="D3835" s="77" t="s">
        <v>2096</v>
      </c>
      <c r="E3835" s="41" t="str">
        <f>IFERROR(__xludf.DUMMYFUNCTION("IFNA(vlookup(D3835,IMPORTRANGE(""https://docs.google.com/spreadsheets/d/1swGwZOEqYlTEUCJLY-eeJM1911Kvaei5oySBIxdgtNo/edit?pli=1#gid=257618397"",""stock untanna!B:C""),2,false),V:V)"),"PENSIL CASE AC-2860-3")</f>
        <v>PENSIL CASE AC-2860-3</v>
      </c>
      <c r="F3835" s="49"/>
      <c r="G3835" s="71"/>
      <c r="H3835" s="41"/>
      <c r="I3835" s="42"/>
      <c r="J3835" s="85" t="s">
        <v>1319</v>
      </c>
      <c r="K3835" s="93">
        <v>24.0</v>
      </c>
      <c r="L3835" s="112" t="s">
        <v>69</v>
      </c>
      <c r="M3835" s="113">
        <v>14583.3</v>
      </c>
      <c r="N3835" s="74"/>
      <c r="O3835" s="87">
        <f t="shared" si="11"/>
        <v>349999.2</v>
      </c>
      <c r="P3835" s="102" t="str">
        <f t="shared" si="2"/>
        <v>Rp14,583-24 PCS-0.00%</v>
      </c>
      <c r="Q3835" s="92">
        <v>45422.0</v>
      </c>
      <c r="R3835" s="76"/>
      <c r="S3835" s="92">
        <v>45430.0</v>
      </c>
      <c r="T3835" s="49"/>
      <c r="V3835" s="21" t="s">
        <v>2097</v>
      </c>
    </row>
    <row r="3836">
      <c r="A3836" s="93">
        <v>122.0</v>
      </c>
      <c r="B3836" s="77" t="s">
        <v>65</v>
      </c>
      <c r="C3836" s="77" t="s">
        <v>3525</v>
      </c>
      <c r="D3836" s="91"/>
      <c r="E3836" s="41" t="str">
        <f>IFERROR(__xludf.DUMMYFUNCTION("IFNA(vlookup(D3836,IMPORTRANGE(""https://docs.google.com/spreadsheets/d/1swGwZOEqYlTEUCJLY-eeJM1911Kvaei5oySBIxdgtNo/edit?pli=1#gid=257618397"",""stock untanna!B:C""),2,false),V:V)"),"TIPEX MINI FANCY 0846")</f>
        <v>TIPEX MINI FANCY 0846</v>
      </c>
      <c r="F3836" s="49"/>
      <c r="G3836" s="71"/>
      <c r="H3836" s="41"/>
      <c r="I3836" s="42"/>
      <c r="J3836" s="85" t="s">
        <v>3190</v>
      </c>
      <c r="K3836" s="93">
        <v>2.0</v>
      </c>
      <c r="L3836" s="112" t="s">
        <v>62</v>
      </c>
      <c r="M3836" s="113">
        <v>26500.0</v>
      </c>
      <c r="N3836" s="74"/>
      <c r="O3836" s="87">
        <f t="shared" si="11"/>
        <v>53000</v>
      </c>
      <c r="P3836" s="102" t="str">
        <f t="shared" si="2"/>
        <v>Rp26,500-2 LSN-0.00%</v>
      </c>
      <c r="Q3836" s="92">
        <v>45422.0</v>
      </c>
      <c r="R3836" s="76"/>
      <c r="S3836" s="92">
        <v>45430.0</v>
      </c>
      <c r="T3836" s="49"/>
      <c r="V3836" s="21" t="s">
        <v>3526</v>
      </c>
    </row>
    <row r="3837">
      <c r="A3837" s="93">
        <v>122.0</v>
      </c>
      <c r="B3837" s="77" t="s">
        <v>65</v>
      </c>
      <c r="C3837" s="77" t="s">
        <v>3525</v>
      </c>
      <c r="D3837" s="77" t="s">
        <v>3527</v>
      </c>
      <c r="E3837" s="41" t="str">
        <f>IFERROR(__xludf.DUMMYFUNCTION("IFNA(vlookup(D3837,IMPORTRANGE(""https://docs.google.com/spreadsheets/d/1swGwZOEqYlTEUCJLY-eeJM1911Kvaei5oySBIxdgtNo/edit?pli=1#gid=257618397"",""stock untanna!B:C""),2,false),V:V)"),"TIPEX KERTAS 0821")</f>
        <v>TIPEX KERTAS 0821</v>
      </c>
      <c r="F3837" s="49"/>
      <c r="G3837" s="71"/>
      <c r="H3837" s="41"/>
      <c r="I3837" s="42"/>
      <c r="J3837" s="85" t="s">
        <v>1319</v>
      </c>
      <c r="K3837" s="93">
        <v>2.0</v>
      </c>
      <c r="L3837" s="112" t="s">
        <v>62</v>
      </c>
      <c r="M3837" s="113">
        <v>26500.0</v>
      </c>
      <c r="N3837" s="74"/>
      <c r="O3837" s="87">
        <f t="shared" si="11"/>
        <v>53000</v>
      </c>
      <c r="P3837" s="102" t="str">
        <f t="shared" si="2"/>
        <v>Rp26,500-2 LSN-0.00%</v>
      </c>
      <c r="Q3837" s="92">
        <v>45422.0</v>
      </c>
      <c r="R3837" s="76"/>
      <c r="S3837" s="92">
        <v>45430.0</v>
      </c>
      <c r="T3837" s="49"/>
      <c r="V3837" s="21" t="s">
        <v>3528</v>
      </c>
    </row>
    <row r="3838">
      <c r="A3838" s="93">
        <v>122.0</v>
      </c>
      <c r="B3838" s="77" t="s">
        <v>65</v>
      </c>
      <c r="C3838" s="77" t="s">
        <v>3525</v>
      </c>
      <c r="D3838" s="91"/>
      <c r="E3838" s="41" t="str">
        <f>IFERROR(__xludf.DUMMYFUNCTION("IFNA(vlookup(D3838,IMPORTRANGE(""https://docs.google.com/spreadsheets/d/1swGwZOEqYlTEUCJLY-eeJM1911Kvaei5oySBIxdgtNo/edit?pli=1#gid=257618397"",""stock untanna!B:C""),2,false),V:V)"),"TIPEX MINI FANCY 0857")</f>
        <v>TIPEX MINI FANCY 0857</v>
      </c>
      <c r="F3838" s="49"/>
      <c r="G3838" s="71"/>
      <c r="H3838" s="41"/>
      <c r="I3838" s="42"/>
      <c r="J3838" s="85" t="s">
        <v>3190</v>
      </c>
      <c r="K3838" s="93">
        <v>2.0</v>
      </c>
      <c r="L3838" s="112" t="s">
        <v>62</v>
      </c>
      <c r="M3838" s="113">
        <v>26500.0</v>
      </c>
      <c r="N3838" s="74"/>
      <c r="O3838" s="87">
        <f t="shared" si="11"/>
        <v>53000</v>
      </c>
      <c r="P3838" s="102" t="str">
        <f t="shared" si="2"/>
        <v>Rp26,500-2 LSN-0.00%</v>
      </c>
      <c r="Q3838" s="92">
        <v>45422.0</v>
      </c>
      <c r="R3838" s="76"/>
      <c r="S3838" s="92">
        <v>45430.0</v>
      </c>
      <c r="T3838" s="49"/>
      <c r="V3838" s="21" t="s">
        <v>3529</v>
      </c>
    </row>
    <row r="3839">
      <c r="A3839" s="93">
        <v>122.0</v>
      </c>
      <c r="B3839" s="77" t="s">
        <v>65</v>
      </c>
      <c r="C3839" s="77" t="s">
        <v>3525</v>
      </c>
      <c r="D3839" s="77" t="s">
        <v>3530</v>
      </c>
      <c r="E3839" s="41" t="str">
        <f>IFERROR(__xludf.DUMMYFUNCTION("IFNA(vlookup(D3839,IMPORTRANGE(""https://docs.google.com/spreadsheets/d/1swGwZOEqYlTEUCJLY-eeJM1911Kvaei5oySBIxdgtNo/edit?pli=1#gid=257618397"",""stock untanna!B:C""),2,false),V:V)"),"TIPEX KERTAS 0831 DISNEY")</f>
        <v>TIPEX KERTAS 0831 DISNEY</v>
      </c>
      <c r="F3839" s="49"/>
      <c r="G3839" s="71"/>
      <c r="H3839" s="41"/>
      <c r="I3839" s="42"/>
      <c r="J3839" s="85" t="s">
        <v>1319</v>
      </c>
      <c r="K3839" s="93">
        <v>24.0</v>
      </c>
      <c r="L3839" s="112" t="s">
        <v>69</v>
      </c>
      <c r="M3839" s="113">
        <v>2208.33</v>
      </c>
      <c r="N3839" s="74"/>
      <c r="O3839" s="87">
        <f t="shared" si="11"/>
        <v>52999.92</v>
      </c>
      <c r="P3839" s="102" t="str">
        <f t="shared" si="2"/>
        <v>Rp2,208-24 PCS-0.00%</v>
      </c>
      <c r="Q3839" s="92">
        <v>45422.0</v>
      </c>
      <c r="R3839" s="76"/>
      <c r="S3839" s="92">
        <v>45430.0</v>
      </c>
      <c r="T3839" s="49"/>
      <c r="V3839" s="21" t="s">
        <v>3531</v>
      </c>
    </row>
    <row r="3840">
      <c r="A3840" s="93">
        <v>123.0</v>
      </c>
      <c r="B3840" s="77" t="s">
        <v>65</v>
      </c>
      <c r="C3840" s="77" t="s">
        <v>3525</v>
      </c>
      <c r="D3840" s="91"/>
      <c r="E3840" s="41" t="str">
        <f>IFERROR(__xludf.DUMMYFUNCTION("IFNA(vlookup(D3840,IMPORTRANGE(""https://docs.google.com/spreadsheets/d/1swGwZOEqYlTEUCJLY-eeJM1911Kvaei5oySBIxdgtNo/edit?pli=1#gid=257618397"",""stock untanna!B:C""),2,false),V:V)"),"TIPEX MINI FANCY 0888")</f>
        <v>TIPEX MINI FANCY 0888</v>
      </c>
      <c r="F3840" s="49"/>
      <c r="G3840" s="71"/>
      <c r="H3840" s="41"/>
      <c r="I3840" s="42"/>
      <c r="J3840" s="85" t="s">
        <v>3190</v>
      </c>
      <c r="K3840" s="93">
        <v>2.0</v>
      </c>
      <c r="L3840" s="112" t="s">
        <v>62</v>
      </c>
      <c r="M3840" s="113">
        <v>26500.0</v>
      </c>
      <c r="N3840" s="74"/>
      <c r="O3840" s="87">
        <f t="shared" si="11"/>
        <v>53000</v>
      </c>
      <c r="P3840" s="102" t="str">
        <f t="shared" si="2"/>
        <v>Rp26,500-2 LSN-0.00%</v>
      </c>
      <c r="Q3840" s="92">
        <v>45422.0</v>
      </c>
      <c r="R3840" s="76"/>
      <c r="S3840" s="92">
        <v>45430.0</v>
      </c>
      <c r="T3840" s="49"/>
      <c r="V3840" s="21" t="s">
        <v>3532</v>
      </c>
    </row>
    <row r="3841">
      <c r="A3841" s="93">
        <v>123.0</v>
      </c>
      <c r="B3841" s="77" t="s">
        <v>65</v>
      </c>
      <c r="C3841" s="77" t="s">
        <v>3525</v>
      </c>
      <c r="D3841" s="77" t="s">
        <v>1931</v>
      </c>
      <c r="E3841" s="41" t="str">
        <f>IFERROR(__xludf.DUMMYFUNCTION("IFNA(vlookup(D3841,IMPORTRANGE(""https://docs.google.com/spreadsheets/d/1swGwZOEqYlTEUCJLY-eeJM1911Kvaei5oySBIxdgtNo/edit?pli=1#gid=257618397"",""stock untanna!B:C""),2,false),V:V)"),"TIPEX KERTAS NO.9458")</f>
        <v>TIPEX KERTAS NO.9458</v>
      </c>
      <c r="F3841" s="49"/>
      <c r="G3841" s="71"/>
      <c r="H3841" s="41"/>
      <c r="I3841" s="42"/>
      <c r="J3841" s="85" t="s">
        <v>1319</v>
      </c>
      <c r="K3841" s="93">
        <v>2.0</v>
      </c>
      <c r="L3841" s="112" t="s">
        <v>62</v>
      </c>
      <c r="M3841" s="113">
        <v>47500.0</v>
      </c>
      <c r="N3841" s="74"/>
      <c r="O3841" s="87">
        <f t="shared" si="11"/>
        <v>95000</v>
      </c>
      <c r="P3841" s="102" t="str">
        <f t="shared" si="2"/>
        <v>Rp47,500-2 LSN-0.00%</v>
      </c>
      <c r="Q3841" s="92">
        <v>45422.0</v>
      </c>
      <c r="R3841" s="76"/>
      <c r="S3841" s="92">
        <v>45430.0</v>
      </c>
      <c r="T3841" s="49"/>
      <c r="V3841" s="21" t="s">
        <v>1932</v>
      </c>
    </row>
    <row r="3842">
      <c r="A3842" s="93">
        <v>123.0</v>
      </c>
      <c r="B3842" s="77" t="s">
        <v>65</v>
      </c>
      <c r="C3842" s="77" t="s">
        <v>3525</v>
      </c>
      <c r="D3842" s="77" t="s">
        <v>118</v>
      </c>
      <c r="E3842" s="41" t="str">
        <f>IFERROR(__xludf.DUMMYFUNCTION("IFNA(vlookup(D3842,IMPORTRANGE(""https://docs.google.com/spreadsheets/d/1swGwZOEqYlTEUCJLY-eeJM1911Kvaei5oySBIxdgtNo/edit?pli=1#gid=257618397"",""stock untanna!B:C""),2,false),V:V)"),"TIPEX KERTAS NO.9443")</f>
        <v>TIPEX KERTAS NO.9443</v>
      </c>
      <c r="F3842" s="49"/>
      <c r="G3842" s="71"/>
      <c r="H3842" s="41"/>
      <c r="I3842" s="42"/>
      <c r="J3842" s="85" t="s">
        <v>1319</v>
      </c>
      <c r="K3842" s="93">
        <v>2.0</v>
      </c>
      <c r="L3842" s="112" t="s">
        <v>62</v>
      </c>
      <c r="M3842" s="113">
        <v>47500.0</v>
      </c>
      <c r="N3842" s="74"/>
      <c r="O3842" s="87">
        <f t="shared" si="11"/>
        <v>95000</v>
      </c>
      <c r="P3842" s="102" t="str">
        <f t="shared" si="2"/>
        <v>Rp47,500-2 LSN-0.00%</v>
      </c>
      <c r="Q3842" s="92">
        <v>45422.0</v>
      </c>
      <c r="R3842" s="76"/>
      <c r="S3842" s="92">
        <v>45430.0</v>
      </c>
      <c r="T3842" s="49"/>
      <c r="V3842" s="21" t="s">
        <v>119</v>
      </c>
    </row>
    <row r="3843">
      <c r="A3843" s="93">
        <v>123.0</v>
      </c>
      <c r="B3843" s="77" t="s">
        <v>65</v>
      </c>
      <c r="C3843" s="77" t="s">
        <v>3525</v>
      </c>
      <c r="D3843" s="77" t="s">
        <v>2862</v>
      </c>
      <c r="E3843" s="41" t="str">
        <f>IFERROR(__xludf.DUMMYFUNCTION("IFNA(vlookup(D3843,IMPORTRANGE(""https://docs.google.com/spreadsheets/d/1swGwZOEqYlTEUCJLY-eeJM1911Kvaei5oySBIxdgtNo/edit?pli=1#gid=257618397"",""stock untanna!B:C""),2,false),V:V)"),"TIPEX KERTAS NO.9442")</f>
        <v>TIPEX KERTAS NO.9442</v>
      </c>
      <c r="F3843" s="49"/>
      <c r="G3843" s="71"/>
      <c r="H3843" s="41"/>
      <c r="I3843" s="42"/>
      <c r="J3843" s="85" t="s">
        <v>1319</v>
      </c>
      <c r="K3843" s="93">
        <v>2.0</v>
      </c>
      <c r="L3843" s="112" t="s">
        <v>62</v>
      </c>
      <c r="M3843" s="113">
        <v>47500.0</v>
      </c>
      <c r="N3843" s="74"/>
      <c r="O3843" s="87">
        <f t="shared" si="11"/>
        <v>95000</v>
      </c>
      <c r="P3843" s="102" t="str">
        <f t="shared" si="2"/>
        <v>Rp47,500-2 LSN-0.00%</v>
      </c>
      <c r="Q3843" s="92">
        <v>45422.0</v>
      </c>
      <c r="R3843" s="76"/>
      <c r="S3843" s="92">
        <v>45430.0</v>
      </c>
      <c r="T3843" s="49"/>
      <c r="V3843" s="21" t="s">
        <v>2863</v>
      </c>
    </row>
    <row r="3844">
      <c r="A3844" s="93">
        <v>123.0</v>
      </c>
      <c r="B3844" s="77" t="s">
        <v>65</v>
      </c>
      <c r="C3844" s="77" t="s">
        <v>3525</v>
      </c>
      <c r="D3844" s="77" t="s">
        <v>3189</v>
      </c>
      <c r="E3844" s="41" t="str">
        <f>IFERROR(__xludf.DUMMYFUNCTION("IFNA(vlookup(D3844,IMPORTRANGE(""https://docs.google.com/spreadsheets/d/1swGwZOEqYlTEUCJLY-eeJM1911Kvaei5oySBIxdgtNo/edit?pli=1#gid=257618397"",""stock untanna!B:C""),2,false),V:V)"),"TIPEX KERTAS NO.9462")</f>
        <v>TIPEX KERTAS NO.9462</v>
      </c>
      <c r="F3844" s="49"/>
      <c r="G3844" s="71"/>
      <c r="H3844" s="41"/>
      <c r="I3844" s="42"/>
      <c r="J3844" s="85" t="s">
        <v>1319</v>
      </c>
      <c r="K3844" s="93">
        <v>2.0</v>
      </c>
      <c r="L3844" s="112" t="s">
        <v>62</v>
      </c>
      <c r="M3844" s="113">
        <v>47500.0</v>
      </c>
      <c r="N3844" s="74"/>
      <c r="O3844" s="87">
        <f t="shared" si="11"/>
        <v>95000</v>
      </c>
      <c r="P3844" s="102" t="str">
        <f t="shared" si="2"/>
        <v>Rp47,500-2 LSN-0.00%</v>
      </c>
      <c r="Q3844" s="92">
        <v>45422.0</v>
      </c>
      <c r="R3844" s="76"/>
      <c r="S3844" s="92">
        <v>45430.0</v>
      </c>
      <c r="T3844" s="49"/>
      <c r="V3844" s="21" t="s">
        <v>1607</v>
      </c>
    </row>
    <row r="3845">
      <c r="A3845" s="93">
        <v>123.0</v>
      </c>
      <c r="B3845" s="77" t="s">
        <v>65</v>
      </c>
      <c r="C3845" s="77" t="s">
        <v>3525</v>
      </c>
      <c r="D3845" s="77" t="s">
        <v>1333</v>
      </c>
      <c r="E3845" s="41" t="str">
        <f>IFERROR(__xludf.DUMMYFUNCTION("IFNA(vlookup(D3845,IMPORTRANGE(""https://docs.google.com/spreadsheets/d/1swGwZOEqYlTEUCJLY-eeJM1911Kvaei5oySBIxdgtNo/edit?pli=1#gid=257618397"",""stock untanna!B:C""),2,false),V:V)"),"PIANIKA LOVELY BIRU")</f>
        <v>PIANIKA LOVELY BIRU</v>
      </c>
      <c r="F3845" s="49"/>
      <c r="G3845" s="71"/>
      <c r="H3845" s="41"/>
      <c r="I3845" s="42"/>
      <c r="J3845" s="85" t="s">
        <v>1319</v>
      </c>
      <c r="K3845" s="93">
        <v>24.0</v>
      </c>
      <c r="L3845" s="112" t="s">
        <v>69</v>
      </c>
      <c r="M3845" s="113">
        <v>95000.0</v>
      </c>
      <c r="N3845" s="74"/>
      <c r="O3845" s="87">
        <f t="shared" si="11"/>
        <v>2280000</v>
      </c>
      <c r="P3845" s="102" t="str">
        <f t="shared" si="2"/>
        <v>Rp95,000-24 PCS-0.00%</v>
      </c>
      <c r="Q3845" s="92">
        <v>45422.0</v>
      </c>
      <c r="R3845" s="76"/>
      <c r="S3845" s="92">
        <v>45430.0</v>
      </c>
      <c r="T3845" s="49"/>
      <c r="V3845" s="21" t="s">
        <v>1334</v>
      </c>
    </row>
    <row r="3846">
      <c r="A3846" s="93">
        <v>4266.0</v>
      </c>
      <c r="B3846" s="77" t="s">
        <v>65</v>
      </c>
      <c r="C3846" s="77" t="s">
        <v>3533</v>
      </c>
      <c r="D3846" s="77" t="s">
        <v>2216</v>
      </c>
      <c r="E3846" s="41" t="str">
        <f>IFERROR(__xludf.DUMMYFUNCTION("IFNA(vlookup(D3846,IMPORTRANGE(""https://docs.google.com/spreadsheets/d/1swGwZOEqYlTEUCJLY-eeJM1911Kvaei5oySBIxdgtNo/edit?pli=1#gid=257618397"",""stock untanna!B:C""),2,false),V:V)"),"ISI GEL TIZO TG 308-AR")</f>
        <v>ISI GEL TIZO TG 308-AR</v>
      </c>
      <c r="F3846" s="49"/>
      <c r="G3846" s="71"/>
      <c r="H3846" s="41"/>
      <c r="I3846" s="42"/>
      <c r="J3846" s="85" t="s">
        <v>1319</v>
      </c>
      <c r="K3846" s="93">
        <v>66.0</v>
      </c>
      <c r="L3846" s="112" t="s">
        <v>114</v>
      </c>
      <c r="M3846" s="113">
        <v>25000.0</v>
      </c>
      <c r="N3846" s="74"/>
      <c r="O3846" s="87">
        <f t="shared" si="11"/>
        <v>1650000</v>
      </c>
      <c r="P3846" s="102" t="str">
        <f t="shared" si="2"/>
        <v>Rp25,000-66 PAK-0.00%</v>
      </c>
      <c r="Q3846" s="92">
        <v>45422.0</v>
      </c>
      <c r="R3846" s="76"/>
      <c r="S3846" s="92">
        <v>45430.0</v>
      </c>
      <c r="T3846" s="49"/>
      <c r="V3846" s="21" t="s">
        <v>2217</v>
      </c>
    </row>
    <row r="3847">
      <c r="A3847" s="93">
        <v>4266.0</v>
      </c>
      <c r="B3847" s="77" t="s">
        <v>65</v>
      </c>
      <c r="C3847" s="77" t="s">
        <v>3533</v>
      </c>
      <c r="D3847" s="77" t="s">
        <v>3534</v>
      </c>
      <c r="E3847" s="41" t="str">
        <f>IFERROR(__xludf.DUMMYFUNCTION("IFNA(vlookup(D3847,IMPORTRANGE(""https://docs.google.com/spreadsheets/d/1swGwZOEqYlTEUCJLY-eeJM1911Kvaei5oySBIxdgtNo/edit?pli=1#gid=257618397"",""stock untanna!B:C""),2,false),V:V)"),"BP V-TRO 236")</f>
        <v>BP V-TRO 236</v>
      </c>
      <c r="F3847" s="49"/>
      <c r="G3847" s="71"/>
      <c r="H3847" s="41"/>
      <c r="I3847" s="42"/>
      <c r="J3847" s="85" t="s">
        <v>1319</v>
      </c>
      <c r="K3847" s="93">
        <v>144.0</v>
      </c>
      <c r="L3847" s="112" t="s">
        <v>62</v>
      </c>
      <c r="M3847" s="113">
        <v>10000.0</v>
      </c>
      <c r="N3847" s="74"/>
      <c r="O3847" s="87">
        <f t="shared" si="11"/>
        <v>1440000</v>
      </c>
      <c r="P3847" s="102" t="str">
        <f t="shared" si="2"/>
        <v>Rp10,000-144 LSN-0.00%</v>
      </c>
      <c r="Q3847" s="92">
        <v>45422.0</v>
      </c>
      <c r="R3847" s="76"/>
      <c r="S3847" s="92">
        <v>45430.0</v>
      </c>
      <c r="T3847" s="49"/>
      <c r="V3847" s="21" t="s">
        <v>3535</v>
      </c>
    </row>
    <row r="3848">
      <c r="A3848" s="93">
        <v>4266.0</v>
      </c>
      <c r="B3848" s="77" t="s">
        <v>65</v>
      </c>
      <c r="C3848" s="77" t="s">
        <v>3533</v>
      </c>
      <c r="D3848" s="77" t="s">
        <v>2278</v>
      </c>
      <c r="E3848" s="41" t="str">
        <f>IFERROR(__xludf.DUMMYFUNCTION("IFNA(vlookup(D3848,IMPORTRANGE(""https://docs.google.com/spreadsheets/d/1swGwZOEqYlTEUCJLY-eeJM1911Kvaei5oySBIxdgtNo/edit?pli=1#gid=257618397"",""stock untanna!B:C""),2,false),V:V)"),"BP V-TRO 237")</f>
        <v>BP V-TRO 237</v>
      </c>
      <c r="F3848" s="49"/>
      <c r="G3848" s="71"/>
      <c r="H3848" s="41"/>
      <c r="I3848" s="42"/>
      <c r="J3848" s="85" t="s">
        <v>1319</v>
      </c>
      <c r="K3848" s="93">
        <v>144.0</v>
      </c>
      <c r="L3848" s="112" t="s">
        <v>62</v>
      </c>
      <c r="M3848" s="113">
        <v>10000.0</v>
      </c>
      <c r="N3848" s="74"/>
      <c r="O3848" s="87">
        <f t="shared" si="11"/>
        <v>1440000</v>
      </c>
      <c r="P3848" s="102" t="str">
        <f t="shared" si="2"/>
        <v>Rp10,000-144 LSN-0.00%</v>
      </c>
      <c r="Q3848" s="92">
        <v>45422.0</v>
      </c>
      <c r="R3848" s="76"/>
      <c r="S3848" s="92">
        <v>45430.0</v>
      </c>
      <c r="T3848" s="49"/>
      <c r="V3848" s="21" t="s">
        <v>2279</v>
      </c>
    </row>
    <row r="3849">
      <c r="A3849" s="93">
        <v>4266.0</v>
      </c>
      <c r="B3849" s="77" t="s">
        <v>65</v>
      </c>
      <c r="C3849" s="77" t="s">
        <v>3533</v>
      </c>
      <c r="D3849" s="77" t="s">
        <v>308</v>
      </c>
      <c r="E3849" s="41" t="str">
        <f>IFERROR(__xludf.DUMMYFUNCTION("IFNA(vlookup(D3849,IMPORTRANGE(""https://docs.google.com/spreadsheets/d/1swGwZOEqYlTEUCJLY-eeJM1911Kvaei5oySBIxdgtNo/edit?pli=1#gid=257618397"",""stock untanna!B:C""),2,false),V:V)"),"BP V-TRO 217")</f>
        <v>BP V-TRO 217</v>
      </c>
      <c r="F3849" s="49"/>
      <c r="G3849" s="71"/>
      <c r="H3849" s="41"/>
      <c r="I3849" s="42"/>
      <c r="J3849" s="85" t="s">
        <v>1319</v>
      </c>
      <c r="K3849" s="93">
        <v>144.0</v>
      </c>
      <c r="L3849" s="112" t="s">
        <v>62</v>
      </c>
      <c r="M3849" s="113">
        <v>10000.0</v>
      </c>
      <c r="N3849" s="74"/>
      <c r="O3849" s="87">
        <f t="shared" si="11"/>
        <v>1440000</v>
      </c>
      <c r="P3849" s="102" t="str">
        <f t="shared" si="2"/>
        <v>Rp10,000-144 LSN-0.00%</v>
      </c>
      <c r="Q3849" s="92">
        <v>45422.0</v>
      </c>
      <c r="R3849" s="76"/>
      <c r="S3849" s="92">
        <v>45430.0</v>
      </c>
      <c r="T3849" s="49"/>
      <c r="V3849" s="21" t="s">
        <v>309</v>
      </c>
    </row>
    <row r="3850">
      <c r="A3850" s="93">
        <v>4266.0</v>
      </c>
      <c r="B3850" s="77" t="s">
        <v>65</v>
      </c>
      <c r="C3850" s="77" t="s">
        <v>3533</v>
      </c>
      <c r="D3850" s="77" t="s">
        <v>2113</v>
      </c>
      <c r="E3850" s="41" t="str">
        <f>IFERROR(__xludf.DUMMYFUNCTION("IFNA(vlookup(D3850,IMPORTRANGE(""https://docs.google.com/spreadsheets/d/1swGwZOEqYlTEUCJLY-eeJM1911Kvaei5oySBIxdgtNo/edit?pli=1#gid=257618397"",""stock untanna!B:C""),2,false),V:V)"),"BP V-TRO 235")</f>
        <v>BP V-TRO 235</v>
      </c>
      <c r="F3850" s="49"/>
      <c r="G3850" s="71"/>
      <c r="H3850" s="41"/>
      <c r="I3850" s="42"/>
      <c r="J3850" s="85" t="s">
        <v>1319</v>
      </c>
      <c r="K3850" s="93">
        <v>144.0</v>
      </c>
      <c r="L3850" s="112" t="s">
        <v>62</v>
      </c>
      <c r="M3850" s="113">
        <v>10000.0</v>
      </c>
      <c r="N3850" s="74"/>
      <c r="O3850" s="87">
        <f t="shared" si="11"/>
        <v>1440000</v>
      </c>
      <c r="P3850" s="102" t="str">
        <f t="shared" si="2"/>
        <v>Rp10,000-144 LSN-0.00%</v>
      </c>
      <c r="Q3850" s="92">
        <v>45422.0</v>
      </c>
      <c r="R3850" s="76"/>
      <c r="S3850" s="92">
        <v>45430.0</v>
      </c>
      <c r="T3850" s="49"/>
      <c r="V3850" s="21" t="s">
        <v>2114</v>
      </c>
    </row>
    <row r="3851">
      <c r="A3851" s="93">
        <v>4266.0</v>
      </c>
      <c r="B3851" s="77" t="s">
        <v>65</v>
      </c>
      <c r="C3851" s="77" t="s">
        <v>3533</v>
      </c>
      <c r="D3851" s="77" t="s">
        <v>2274</v>
      </c>
      <c r="E3851" s="41" t="str">
        <f>IFERROR(__xludf.DUMMYFUNCTION("IFNA(vlookup(D3851,IMPORTRANGE(""https://docs.google.com/spreadsheets/d/1swGwZOEqYlTEUCJLY-eeJM1911Kvaei5oySBIxdgtNo/edit?pli=1#gid=257618397"",""stock untanna!B:C""),2,false),V:V)"),"BP V-TRO 238")</f>
        <v>BP V-TRO 238</v>
      </c>
      <c r="F3851" s="49"/>
      <c r="G3851" s="71"/>
      <c r="H3851" s="41"/>
      <c r="I3851" s="42"/>
      <c r="J3851" s="85" t="s">
        <v>1319</v>
      </c>
      <c r="K3851" s="93">
        <v>144.0</v>
      </c>
      <c r="L3851" s="112" t="s">
        <v>62</v>
      </c>
      <c r="M3851" s="113">
        <v>10000.0</v>
      </c>
      <c r="N3851" s="74"/>
      <c r="O3851" s="87">
        <f t="shared" si="11"/>
        <v>1440000</v>
      </c>
      <c r="P3851" s="102" t="str">
        <f t="shared" si="2"/>
        <v>Rp10,000-144 LSN-0.00%</v>
      </c>
      <c r="Q3851" s="92">
        <v>45422.0</v>
      </c>
      <c r="R3851" s="76"/>
      <c r="S3851" s="92">
        <v>45430.0</v>
      </c>
      <c r="T3851" s="49"/>
      <c r="V3851" s="21" t="s">
        <v>2275</v>
      </c>
    </row>
    <row r="3852">
      <c r="A3852" s="93">
        <v>4266.0</v>
      </c>
      <c r="B3852" s="77" t="s">
        <v>65</v>
      </c>
      <c r="C3852" s="77" t="s">
        <v>3533</v>
      </c>
      <c r="D3852" s="77" t="s">
        <v>1362</v>
      </c>
      <c r="E3852" s="41" t="str">
        <f>IFERROR(__xludf.DUMMYFUNCTION("IFNA(vlookup(D3852,IMPORTRANGE(""https://docs.google.com/spreadsheets/d/1swGwZOEqYlTEUCJLY-eeJM1911Kvaei5oySBIxdgtNo/edit?pli=1#gid=257618397"",""stock untanna!B:C""),2,false),V:V)"),"BP V-TRO 225")</f>
        <v>BP V-TRO 225</v>
      </c>
      <c r="F3852" s="49"/>
      <c r="G3852" s="71"/>
      <c r="H3852" s="41"/>
      <c r="I3852" s="42"/>
      <c r="J3852" s="85" t="s">
        <v>1319</v>
      </c>
      <c r="K3852" s="93">
        <v>144.0</v>
      </c>
      <c r="L3852" s="112" t="s">
        <v>62</v>
      </c>
      <c r="M3852" s="113">
        <v>10000.0</v>
      </c>
      <c r="N3852" s="74"/>
      <c r="O3852" s="87">
        <f t="shared" si="11"/>
        <v>1440000</v>
      </c>
      <c r="P3852" s="102" t="str">
        <f t="shared" si="2"/>
        <v>Rp10,000-144 LSN-0.00%</v>
      </c>
      <c r="Q3852" s="92">
        <v>45422.0</v>
      </c>
      <c r="R3852" s="76"/>
      <c r="S3852" s="92">
        <v>45430.0</v>
      </c>
      <c r="T3852" s="49"/>
      <c r="V3852" s="21" t="s">
        <v>1363</v>
      </c>
    </row>
    <row r="3853">
      <c r="A3853" s="93">
        <v>4266.0</v>
      </c>
      <c r="B3853" s="77" t="s">
        <v>65</v>
      </c>
      <c r="C3853" s="77" t="s">
        <v>3533</v>
      </c>
      <c r="D3853" s="77" t="s">
        <v>247</v>
      </c>
      <c r="E3853" s="41" t="str">
        <f>IFERROR(__xludf.DUMMYFUNCTION("IFNA(vlookup(D3853,IMPORTRANGE(""https://docs.google.com/spreadsheets/d/1swGwZOEqYlTEUCJLY-eeJM1911Kvaei5oySBIxdgtNo/edit?pli=1#gid=257618397"",""stock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3853" s="49"/>
      <c r="G3853" s="71"/>
      <c r="H3853" s="41"/>
      <c r="I3853" s="42"/>
      <c r="J3853" s="85" t="s">
        <v>1319</v>
      </c>
      <c r="K3853" s="93">
        <v>40.0</v>
      </c>
      <c r="L3853" s="112" t="s">
        <v>62</v>
      </c>
      <c r="M3853" s="113">
        <v>95000.0</v>
      </c>
      <c r="N3853" s="115">
        <v>0.1</v>
      </c>
      <c r="O3853" s="87">
        <f t="shared" si="11"/>
        <v>3420000</v>
      </c>
      <c r="P3853" s="102" t="str">
        <f t="shared" si="2"/>
        <v>Rp95,000-40 LSN-10.00%</v>
      </c>
      <c r="Q3853" s="92">
        <v>45422.0</v>
      </c>
      <c r="R3853" s="76"/>
      <c r="S3853" s="92">
        <v>45430.0</v>
      </c>
      <c r="T3853" s="49"/>
      <c r="V3853" s="21" t="s">
        <v>248</v>
      </c>
    </row>
    <row r="3854">
      <c r="A3854" s="93">
        <v>117.0</v>
      </c>
      <c r="B3854" s="77" t="s">
        <v>65</v>
      </c>
      <c r="C3854" s="77" t="s">
        <v>3536</v>
      </c>
      <c r="D3854" s="91"/>
      <c r="E3854" s="41" t="str">
        <f>IFERROR(__xludf.DUMMYFUNCTION("IFNA(vlookup(D3854,IMPORTRANGE(""https://docs.google.com/spreadsheets/d/1swGwZOEqYlTEUCJLY-eeJM1911Kvaei5oySBIxdgtNo/edit?pli=1#gid=257618397"",""stock untanna!B:C""),2,false),V:V)"),"STANDART BK V-TEC ST-065/ 6.5")</f>
        <v>STANDART BK V-TEC ST-065/ 6.5</v>
      </c>
      <c r="F3854" s="49"/>
      <c r="G3854" s="71"/>
      <c r="H3854" s="41"/>
      <c r="I3854" s="42"/>
      <c r="J3854" s="85" t="s">
        <v>1319</v>
      </c>
      <c r="K3854" s="93">
        <v>5.0</v>
      </c>
      <c r="L3854" s="112" t="s">
        <v>62</v>
      </c>
      <c r="M3854" s="113">
        <v>138000.0</v>
      </c>
      <c r="N3854" s="74"/>
      <c r="O3854" s="87">
        <f t="shared" si="11"/>
        <v>690000</v>
      </c>
      <c r="P3854" s="102" t="str">
        <f t="shared" si="2"/>
        <v>Rp138,000-5 LSN-0.00%</v>
      </c>
      <c r="Q3854" s="92">
        <v>45422.0</v>
      </c>
      <c r="R3854" s="76"/>
      <c r="S3854" s="92">
        <v>45430.0</v>
      </c>
      <c r="T3854" s="77" t="s">
        <v>280</v>
      </c>
      <c r="V3854" s="21" t="s">
        <v>3537</v>
      </c>
    </row>
    <row r="3855">
      <c r="A3855" s="93">
        <v>117.0</v>
      </c>
      <c r="B3855" s="77" t="s">
        <v>65</v>
      </c>
      <c r="C3855" s="77" t="s">
        <v>3536</v>
      </c>
      <c r="D3855" s="77" t="s">
        <v>98</v>
      </c>
      <c r="E3855" s="41" t="str">
        <f>IFERROR(__xludf.DUMMYFUNCTION("IFNA(vlookup(D3855,IMPORTRANGE(""https://docs.google.com/spreadsheets/d/1swGwZOEqYlTEUCJLY-eeJM1911Kvaei5oySBIxdgtNo/edit?pli=1#gid=257618397"",""stock untanna!B:C""),2,false),V:V)"),"TALI ID CARD PEONY MERAH")</f>
        <v>TALI ID CARD PEONY MERAH</v>
      </c>
      <c r="F3855" s="49"/>
      <c r="G3855" s="71"/>
      <c r="H3855" s="41"/>
      <c r="I3855" s="42"/>
      <c r="J3855" s="85" t="s">
        <v>1319</v>
      </c>
      <c r="K3855" s="93">
        <v>600.0</v>
      </c>
      <c r="L3855" s="112" t="s">
        <v>69</v>
      </c>
      <c r="M3855" s="113">
        <v>450.0</v>
      </c>
      <c r="N3855" s="74"/>
      <c r="O3855" s="87">
        <f t="shared" si="11"/>
        <v>270000</v>
      </c>
      <c r="P3855" s="102" t="str">
        <f t="shared" si="2"/>
        <v>Rp450-600 PCS-0.00%</v>
      </c>
      <c r="Q3855" s="92">
        <v>45422.0</v>
      </c>
      <c r="R3855" s="76"/>
      <c r="S3855" s="92">
        <v>45430.0</v>
      </c>
      <c r="T3855" s="49"/>
      <c r="V3855" s="21" t="s">
        <v>99</v>
      </c>
    </row>
    <row r="3856">
      <c r="A3856" s="93">
        <v>117.0</v>
      </c>
      <c r="B3856" s="77" t="s">
        <v>65</v>
      </c>
      <c r="C3856" s="77" t="s">
        <v>3536</v>
      </c>
      <c r="D3856" s="77" t="s">
        <v>3230</v>
      </c>
      <c r="E3856" s="41" t="str">
        <f>IFERROR(__xludf.DUMMYFUNCTION("IFNA(vlookup(D3856,IMPORTRANGE(""https://docs.google.com/spreadsheets/d/1swGwZOEqYlTEUCJLY-eeJM1911Kvaei5oySBIxdgtNo/edit?pli=1#gid=257618397"",""stock untanna!B:C""),2,false),V:V)"),"TALI ID CARD PEONY HIJAU")</f>
        <v>TALI ID CARD PEONY HIJAU</v>
      </c>
      <c r="F3856" s="49"/>
      <c r="G3856" s="71"/>
      <c r="H3856" s="41"/>
      <c r="I3856" s="42"/>
      <c r="J3856" s="85" t="s">
        <v>1319</v>
      </c>
      <c r="K3856" s="93">
        <v>600.0</v>
      </c>
      <c r="L3856" s="112" t="s">
        <v>69</v>
      </c>
      <c r="M3856" s="113">
        <v>450.0</v>
      </c>
      <c r="N3856" s="74"/>
      <c r="O3856" s="87">
        <f t="shared" si="11"/>
        <v>270000</v>
      </c>
      <c r="P3856" s="102" t="str">
        <f t="shared" si="2"/>
        <v>Rp450-600 PCS-0.00%</v>
      </c>
      <c r="Q3856" s="92">
        <v>45422.0</v>
      </c>
      <c r="R3856" s="76"/>
      <c r="S3856" s="92">
        <v>45430.0</v>
      </c>
      <c r="T3856" s="49"/>
      <c r="V3856" s="21" t="s">
        <v>3231</v>
      </c>
    </row>
    <row r="3857">
      <c r="A3857" s="93">
        <v>117.0</v>
      </c>
      <c r="B3857" s="77" t="s">
        <v>65</v>
      </c>
      <c r="C3857" s="77" t="s">
        <v>3536</v>
      </c>
      <c r="D3857" s="77" t="s">
        <v>2174</v>
      </c>
      <c r="E3857" s="41" t="str">
        <f>IFERROR(__xludf.DUMMYFUNCTION("IFNA(vlookup(D3857,IMPORTRANGE(""https://docs.google.com/spreadsheets/d/1swGwZOEqYlTEUCJLY-eeJM1911Kvaei5oySBIxdgtNo/edit?pli=1#gid=257618397"",""stock untanna!B:C""),2,false),V:V)"),"TALI ID CARD PEONY HITAM")</f>
        <v>TALI ID CARD PEONY HITAM</v>
      </c>
      <c r="F3857" s="49"/>
      <c r="G3857" s="71"/>
      <c r="H3857" s="41"/>
      <c r="I3857" s="42"/>
      <c r="J3857" s="85" t="s">
        <v>1319</v>
      </c>
      <c r="K3857" s="93">
        <v>600.0</v>
      </c>
      <c r="L3857" s="112" t="s">
        <v>69</v>
      </c>
      <c r="M3857" s="113">
        <v>450.0</v>
      </c>
      <c r="N3857" s="74"/>
      <c r="O3857" s="87">
        <f t="shared" si="11"/>
        <v>270000</v>
      </c>
      <c r="P3857" s="102" t="str">
        <f t="shared" si="2"/>
        <v>Rp450-600 PCS-0.00%</v>
      </c>
      <c r="Q3857" s="92">
        <v>45422.0</v>
      </c>
      <c r="R3857" s="76"/>
      <c r="S3857" s="92">
        <v>45430.0</v>
      </c>
      <c r="T3857" s="49"/>
      <c r="V3857" s="21" t="s">
        <v>2175</v>
      </c>
    </row>
    <row r="3858">
      <c r="A3858" s="93">
        <v>4215.0</v>
      </c>
      <c r="B3858" s="77" t="s">
        <v>29</v>
      </c>
      <c r="C3858" s="77" t="s">
        <v>2243</v>
      </c>
      <c r="D3858" s="77" t="s">
        <v>3254</v>
      </c>
      <c r="E3858" s="41" t="str">
        <f>IFERROR(__xludf.DUMMYFUNCTION("IFNA(vlookup(D3858,IMPORTRANGE(""https://docs.google.com/spreadsheets/d/1swGwZOEqYlTEUCJLY-eeJM1911Kvaei5oySBIxdgtNo/edit?pli=1#gid=257618397"",""stock untanna!B:C""),2,false),V:V)"),"PITA TARIK/KADO 30 CM BIASA")</f>
        <v>PITA TARIK/KADO 30 CM BIASA</v>
      </c>
      <c r="F3858" s="49"/>
      <c r="G3858" s="71"/>
      <c r="H3858" s="41"/>
      <c r="I3858" s="42"/>
      <c r="J3858" s="85" t="s">
        <v>1319</v>
      </c>
      <c r="K3858" s="93">
        <v>16500.0</v>
      </c>
      <c r="L3858" s="112" t="s">
        <v>69</v>
      </c>
      <c r="M3858" s="113">
        <v>1850.0</v>
      </c>
      <c r="N3858" s="74"/>
      <c r="O3858" s="87">
        <f t="shared" si="11"/>
        <v>30525000</v>
      </c>
      <c r="P3858" s="102" t="str">
        <f t="shared" si="2"/>
        <v>Rp1,850-16500 PCS-0.00%</v>
      </c>
      <c r="Q3858" s="92">
        <v>45422.0</v>
      </c>
      <c r="R3858" s="76"/>
      <c r="S3858" s="92">
        <v>45430.0</v>
      </c>
      <c r="T3858" s="49"/>
      <c r="V3858" s="21" t="s">
        <v>3255</v>
      </c>
    </row>
    <row r="3859">
      <c r="A3859" s="93">
        <v>4375.0</v>
      </c>
      <c r="B3859" s="77" t="s">
        <v>58</v>
      </c>
      <c r="C3859" s="77" t="s">
        <v>3538</v>
      </c>
      <c r="D3859" s="77" t="s">
        <v>214</v>
      </c>
      <c r="E3859" s="41" t="str">
        <f>IFERROR(__xludf.DUMMYFUNCTION("IFNA(vlookup(D3859,IMPORTRANGE(""https://docs.google.com/spreadsheets/d/1swGwZOEqYlTEUCJLY-eeJM1911Kvaei5oySBIxdgtNo/edit?pli=1#gid=257618397"",""stock untanna!B:C""),2,false),V:V)"),"TAS COKLAT TEBAL KECIL ")</f>
        <v>TAS COKLAT TEBAL KECIL </v>
      </c>
      <c r="F3859" s="49"/>
      <c r="G3859" s="71"/>
      <c r="H3859" s="41"/>
      <c r="I3859" s="42"/>
      <c r="J3859" s="85" t="s">
        <v>1319</v>
      </c>
      <c r="K3859" s="93">
        <v>10.0</v>
      </c>
      <c r="L3859" s="112" t="s">
        <v>62</v>
      </c>
      <c r="M3859" s="113">
        <v>18000.0</v>
      </c>
      <c r="N3859" s="74"/>
      <c r="O3859" s="87">
        <f t="shared" si="11"/>
        <v>180000</v>
      </c>
      <c r="P3859" s="102" t="str">
        <f t="shared" si="2"/>
        <v>Rp18,000-10 LSN-0.00%</v>
      </c>
      <c r="Q3859" s="92">
        <v>45422.0</v>
      </c>
      <c r="R3859" s="76"/>
      <c r="S3859" s="92">
        <v>45430.0</v>
      </c>
      <c r="T3859" s="49"/>
      <c r="V3859" s="21" t="s">
        <v>215</v>
      </c>
    </row>
    <row r="3860">
      <c r="A3860" s="93">
        <v>4375.0</v>
      </c>
      <c r="B3860" s="77" t="s">
        <v>58</v>
      </c>
      <c r="C3860" s="77" t="s">
        <v>3538</v>
      </c>
      <c r="D3860" s="91"/>
      <c r="E3860" s="41" t="str">
        <f>IFERROR(__xludf.DUMMYFUNCTION("IFNA(vlookup(D3860,IMPORTRANGE(""https://docs.google.com/spreadsheets/d/1swGwZOEqYlTEUCJLY-eeJM1911Kvaei5oySBIxdgtNo/edit?pli=1#gid=257618397"",""stock untanna!B:C""),2,false),V:V)"),"TAS KADO/ TALI KCL 5 MOTIF")</f>
        <v>TAS KADO/ TALI KCL 5 MOTIF</v>
      </c>
      <c r="F3860" s="49"/>
      <c r="G3860" s="71"/>
      <c r="H3860" s="41"/>
      <c r="I3860" s="42"/>
      <c r="J3860" s="85" t="s">
        <v>3190</v>
      </c>
      <c r="K3860" s="93">
        <v>5.0</v>
      </c>
      <c r="L3860" s="112" t="s">
        <v>62</v>
      </c>
      <c r="M3860" s="113">
        <v>55000.0</v>
      </c>
      <c r="N3860" s="115">
        <v>0.1</v>
      </c>
      <c r="O3860" s="87">
        <f t="shared" si="11"/>
        <v>247500</v>
      </c>
      <c r="P3860" s="102" t="str">
        <f t="shared" si="2"/>
        <v>Rp55,000-5 LSN-10.00%</v>
      </c>
      <c r="Q3860" s="92">
        <v>45422.0</v>
      </c>
      <c r="R3860" s="76"/>
      <c r="S3860" s="92">
        <v>45430.0</v>
      </c>
      <c r="T3860" s="49"/>
      <c r="V3860" s="21" t="s">
        <v>3539</v>
      </c>
    </row>
    <row r="3861">
      <c r="A3861" s="93">
        <v>4375.0</v>
      </c>
      <c r="B3861" s="77" t="s">
        <v>58</v>
      </c>
      <c r="C3861" s="77" t="s">
        <v>3538</v>
      </c>
      <c r="D3861" s="91"/>
      <c r="E3861" s="41" t="str">
        <f>IFERROR(__xludf.DUMMYFUNCTION("IFNA(vlookup(D3861,IMPORTRANGE(""https://docs.google.com/spreadsheets/d/1swGwZOEqYlTEUCJLY-eeJM1911Kvaei5oySBIxdgtNo/edit?pli=1#gid=257618397"",""stock untanna!B:C""),2,false),V:V)"),"TAS KADO/ TALI TG 5 MOTIF")</f>
        <v>TAS KADO/ TALI TG 5 MOTIF</v>
      </c>
      <c r="F3861" s="49"/>
      <c r="G3861" s="71"/>
      <c r="H3861" s="41"/>
      <c r="I3861" s="42"/>
      <c r="J3861" s="85" t="s">
        <v>3190</v>
      </c>
      <c r="K3861" s="93">
        <v>5.0</v>
      </c>
      <c r="L3861" s="112" t="s">
        <v>62</v>
      </c>
      <c r="M3861" s="113">
        <v>90000.0</v>
      </c>
      <c r="N3861" s="115">
        <v>0.1</v>
      </c>
      <c r="O3861" s="87">
        <f t="shared" si="11"/>
        <v>405000</v>
      </c>
      <c r="P3861" s="102" t="str">
        <f t="shared" si="2"/>
        <v>Rp90,000-5 LSN-10.00%</v>
      </c>
      <c r="Q3861" s="92">
        <v>45422.0</v>
      </c>
      <c r="R3861" s="76"/>
      <c r="S3861" s="92">
        <v>45430.0</v>
      </c>
      <c r="T3861" s="49"/>
      <c r="V3861" s="21" t="s">
        <v>3540</v>
      </c>
    </row>
    <row r="3862">
      <c r="A3862" s="93">
        <v>4375.0</v>
      </c>
      <c r="B3862" s="77" t="s">
        <v>58</v>
      </c>
      <c r="C3862" s="77" t="s">
        <v>3538</v>
      </c>
      <c r="D3862" s="91"/>
      <c r="E3862" s="41" t="str">
        <f>IFERROR(__xludf.DUMMYFUNCTION("IFNA(vlookup(D3862,IMPORTRANGE(""https://docs.google.com/spreadsheets/d/1swGwZOEqYlTEUCJLY-eeJM1911Kvaei5oySBIxdgtNo/edit?pli=1#gid=257618397"",""stock untanna!B:C""),2,false),V:V)"),"TAS KADO/ TALI BSR 5 MOTIF")</f>
        <v>TAS KADO/ TALI BSR 5 MOTIF</v>
      </c>
      <c r="F3862" s="49"/>
      <c r="G3862" s="71"/>
      <c r="H3862" s="41"/>
      <c r="I3862" s="42"/>
      <c r="J3862" s="85" t="s">
        <v>3190</v>
      </c>
      <c r="K3862" s="93">
        <v>5.0</v>
      </c>
      <c r="L3862" s="112" t="s">
        <v>62</v>
      </c>
      <c r="M3862" s="113">
        <v>100000.0</v>
      </c>
      <c r="N3862" s="115">
        <v>0.1</v>
      </c>
      <c r="O3862" s="87">
        <f t="shared" si="11"/>
        <v>450000</v>
      </c>
      <c r="P3862" s="102" t="str">
        <f t="shared" si="2"/>
        <v>Rp100,000-5 LSN-10.00%</v>
      </c>
      <c r="Q3862" s="92">
        <v>45422.0</v>
      </c>
      <c r="R3862" s="76"/>
      <c r="S3862" s="92">
        <v>45430.0</v>
      </c>
      <c r="T3862" s="49"/>
      <c r="V3862" s="21" t="s">
        <v>3541</v>
      </c>
    </row>
    <row r="3863">
      <c r="A3863" s="93">
        <v>4375.0</v>
      </c>
      <c r="B3863" s="77" t="s">
        <v>58</v>
      </c>
      <c r="C3863" s="77" t="s">
        <v>3538</v>
      </c>
      <c r="D3863" s="91"/>
      <c r="E3863" s="41" t="str">
        <f>IFERROR(__xludf.DUMMYFUNCTION("IFNA(vlookup(D3863,IMPORTRANGE(""https://docs.google.com/spreadsheets/d/1swGwZOEqYlTEUCJLY-eeJM1911Kvaei5oySBIxdgtNo/edit?pli=1#gid=257618397"",""stock untanna!B:C""),2,false),V:V)"),"TAS GILAP TG 5 MOTIF")</f>
        <v>TAS GILAP TG 5 MOTIF</v>
      </c>
      <c r="F3863" s="49"/>
      <c r="G3863" s="71"/>
      <c r="H3863" s="41"/>
      <c r="I3863" s="42"/>
      <c r="J3863" s="85" t="s">
        <v>3190</v>
      </c>
      <c r="K3863" s="93">
        <v>5.0</v>
      </c>
      <c r="L3863" s="112" t="s">
        <v>62</v>
      </c>
      <c r="M3863" s="113">
        <v>100000.0</v>
      </c>
      <c r="N3863" s="115">
        <v>0.1</v>
      </c>
      <c r="O3863" s="87">
        <f t="shared" si="11"/>
        <v>450000</v>
      </c>
      <c r="P3863" s="102" t="str">
        <f t="shared" si="2"/>
        <v>Rp100,000-5 LSN-10.00%</v>
      </c>
      <c r="Q3863" s="92">
        <v>45422.0</v>
      </c>
      <c r="R3863" s="76"/>
      <c r="S3863" s="92">
        <v>45430.0</v>
      </c>
      <c r="T3863" s="49"/>
      <c r="V3863" s="21" t="s">
        <v>3542</v>
      </c>
    </row>
    <row r="3864">
      <c r="A3864" s="93">
        <v>4375.0</v>
      </c>
      <c r="B3864" s="77" t="s">
        <v>58</v>
      </c>
      <c r="C3864" s="77" t="s">
        <v>3538</v>
      </c>
      <c r="D3864" s="91"/>
      <c r="E3864" s="41" t="str">
        <f>IFERROR(__xludf.DUMMYFUNCTION("IFNA(vlookup(D3864,IMPORTRANGE(""https://docs.google.com/spreadsheets/d/1swGwZOEqYlTEUCJLY-eeJM1911Kvaei5oySBIxdgtNo/edit?pli=1#gid=257618397"",""stock untanna!B:C""),2,false),V:V)"),"TAS GILAP BSR MIX")</f>
        <v>TAS GILAP BSR MIX</v>
      </c>
      <c r="F3864" s="49"/>
      <c r="G3864" s="71"/>
      <c r="H3864" s="41"/>
      <c r="I3864" s="42"/>
      <c r="J3864" s="85" t="s">
        <v>3190</v>
      </c>
      <c r="K3864" s="93">
        <v>2.0</v>
      </c>
      <c r="L3864" s="112" t="s">
        <v>62</v>
      </c>
      <c r="M3864" s="113">
        <v>120000.0</v>
      </c>
      <c r="N3864" s="115">
        <v>0.1</v>
      </c>
      <c r="O3864" s="87">
        <f t="shared" si="11"/>
        <v>216000</v>
      </c>
      <c r="P3864" s="102" t="str">
        <f t="shared" si="2"/>
        <v>Rp120,000-2 LSN-10.00%</v>
      </c>
      <c r="Q3864" s="92">
        <v>45422.0</v>
      </c>
      <c r="R3864" s="76"/>
      <c r="S3864" s="92">
        <v>45430.0</v>
      </c>
      <c r="T3864" s="49"/>
      <c r="V3864" s="21" t="s">
        <v>3543</v>
      </c>
    </row>
    <row r="3865">
      <c r="A3865" s="93">
        <v>4375.0</v>
      </c>
      <c r="B3865" s="77" t="s">
        <v>58</v>
      </c>
      <c r="C3865" s="77" t="s">
        <v>3538</v>
      </c>
      <c r="D3865" s="91"/>
      <c r="E3865" s="41" t="str">
        <f>IFERROR(__xludf.DUMMYFUNCTION("IFNA(vlookup(D3865,IMPORTRANGE(""https://docs.google.com/spreadsheets/d/1swGwZOEqYlTEUCJLY-eeJM1911Kvaei5oySBIxdgtNo/edit?pli=1#gid=257618397"",""stock untanna!B:C""),2,false),V:V)"),"TAS GLITTER KCL 5 MOTIF")</f>
        <v>TAS GLITTER KCL 5 MOTIF</v>
      </c>
      <c r="F3865" s="49"/>
      <c r="G3865" s="71"/>
      <c r="H3865" s="41"/>
      <c r="I3865" s="42"/>
      <c r="J3865" s="85" t="s">
        <v>3190</v>
      </c>
      <c r="K3865" s="93">
        <v>5.0</v>
      </c>
      <c r="L3865" s="112" t="s">
        <v>62</v>
      </c>
      <c r="M3865" s="113">
        <v>65000.0</v>
      </c>
      <c r="N3865" s="115">
        <v>0.1</v>
      </c>
      <c r="O3865" s="87">
        <f t="shared" si="11"/>
        <v>292500</v>
      </c>
      <c r="P3865" s="102" t="str">
        <f t="shared" si="2"/>
        <v>Rp65,000-5 LSN-10.00%</v>
      </c>
      <c r="Q3865" s="92">
        <v>45422.0</v>
      </c>
      <c r="R3865" s="76"/>
      <c r="S3865" s="92">
        <v>45430.0</v>
      </c>
      <c r="T3865" s="49"/>
      <c r="V3865" s="21" t="s">
        <v>3544</v>
      </c>
    </row>
    <row r="3866">
      <c r="A3866" s="93">
        <v>4375.0</v>
      </c>
      <c r="B3866" s="77" t="s">
        <v>58</v>
      </c>
      <c r="C3866" s="77" t="s">
        <v>3538</v>
      </c>
      <c r="D3866" s="91"/>
      <c r="E3866" s="41" t="str">
        <f>IFERROR(__xludf.DUMMYFUNCTION("IFNA(vlookup(D3866,IMPORTRANGE(""https://docs.google.com/spreadsheets/d/1swGwZOEqYlTEUCJLY-eeJM1911Kvaei5oySBIxdgtNo/edit?pli=1#gid=257618397"",""stock untanna!B:C""),2,false),V:V)"),"TAS GLITTER TG 5 MOTIF")</f>
        <v>TAS GLITTER TG 5 MOTIF</v>
      </c>
      <c r="F3866" s="49"/>
      <c r="G3866" s="71"/>
      <c r="H3866" s="41"/>
      <c r="I3866" s="42"/>
      <c r="J3866" s="85" t="s">
        <v>3190</v>
      </c>
      <c r="K3866" s="93">
        <v>5.0</v>
      </c>
      <c r="L3866" s="112" t="s">
        <v>62</v>
      </c>
      <c r="M3866" s="113">
        <v>105000.0</v>
      </c>
      <c r="N3866" s="115">
        <v>0.1</v>
      </c>
      <c r="O3866" s="87">
        <f t="shared" si="11"/>
        <v>472500</v>
      </c>
      <c r="P3866" s="102" t="str">
        <f t="shared" si="2"/>
        <v>Rp105,000-5 LSN-10.00%</v>
      </c>
      <c r="Q3866" s="92">
        <v>45422.0</v>
      </c>
      <c r="R3866" s="76"/>
      <c r="S3866" s="92">
        <v>45430.0</v>
      </c>
      <c r="T3866" s="49"/>
      <c r="V3866" s="21" t="s">
        <v>3545</v>
      </c>
    </row>
    <row r="3867">
      <c r="A3867" s="93">
        <v>4375.0</v>
      </c>
      <c r="B3867" s="77" t="s">
        <v>58</v>
      </c>
      <c r="C3867" s="77" t="s">
        <v>3538</v>
      </c>
      <c r="D3867" s="91"/>
      <c r="E3867" s="41" t="str">
        <f>IFERROR(__xludf.DUMMYFUNCTION("IFNA(vlookup(D3867,IMPORTRANGE(""https://docs.google.com/spreadsheets/d/1swGwZOEqYlTEUCJLY-eeJM1911Kvaei5oySBIxdgtNo/edit?pli=1#gid=257618397"",""stock untanna!B:C""),2,false),V:V)"),"TAS GLITTER BSR 5 MOTIF")</f>
        <v>TAS GLITTER BSR 5 MOTIF</v>
      </c>
      <c r="F3867" s="49"/>
      <c r="G3867" s="71"/>
      <c r="H3867" s="41"/>
      <c r="I3867" s="42"/>
      <c r="J3867" s="85" t="s">
        <v>3190</v>
      </c>
      <c r="K3867" s="93">
        <v>5.0</v>
      </c>
      <c r="L3867" s="112" t="s">
        <v>62</v>
      </c>
      <c r="M3867" s="113">
        <v>135000.0</v>
      </c>
      <c r="N3867" s="115">
        <v>0.1</v>
      </c>
      <c r="O3867" s="87">
        <f t="shared" si="11"/>
        <v>607500</v>
      </c>
      <c r="P3867" s="102" t="str">
        <f t="shared" si="2"/>
        <v>Rp135,000-5 LSN-10.00%</v>
      </c>
      <c r="Q3867" s="92">
        <v>45422.0</v>
      </c>
      <c r="R3867" s="76"/>
      <c r="S3867" s="92">
        <v>45430.0</v>
      </c>
      <c r="T3867" s="49"/>
      <c r="V3867" s="21" t="s">
        <v>3546</v>
      </c>
    </row>
    <row r="3868">
      <c r="A3868" s="93">
        <v>4375.0</v>
      </c>
      <c r="B3868" s="77" t="s">
        <v>58</v>
      </c>
      <c r="C3868" s="77" t="s">
        <v>3538</v>
      </c>
      <c r="D3868" s="77" t="s">
        <v>1256</v>
      </c>
      <c r="E3868" s="41" t="str">
        <f>IFERROR(__xludf.DUMMYFUNCTION("IFNA(vlookup(D3868,IMPORTRANGE(""https://docs.google.com/spreadsheets/d/1swGwZOEqYlTEUCJLY-eeJM1911Kvaei5oySBIxdgtNo/edit?pli=1#gid=257618397"",""stock untanna!B:C""),2,false),V:V)"),"TAS KARUNG TIDUR 40X30")</f>
        <v>TAS KARUNG TIDUR 40X30</v>
      </c>
      <c r="F3868" s="49"/>
      <c r="G3868" s="71"/>
      <c r="H3868" s="41"/>
      <c r="I3868" s="42"/>
      <c r="J3868" s="85" t="s">
        <v>1319</v>
      </c>
      <c r="K3868" s="93">
        <v>5.0</v>
      </c>
      <c r="L3868" s="112" t="s">
        <v>62</v>
      </c>
      <c r="M3868" s="113">
        <v>126000.0</v>
      </c>
      <c r="N3868" s="74"/>
      <c r="O3868" s="87">
        <f t="shared" si="11"/>
        <v>630000</v>
      </c>
      <c r="P3868" s="102" t="str">
        <f t="shared" si="2"/>
        <v>Rp126,000-5 LSN-0.00%</v>
      </c>
      <c r="Q3868" s="92">
        <v>45422.0</v>
      </c>
      <c r="R3868" s="76"/>
      <c r="S3868" s="92">
        <v>45430.0</v>
      </c>
      <c r="T3868" s="49"/>
      <c r="V3868" s="21" t="s">
        <v>1257</v>
      </c>
    </row>
    <row r="3869">
      <c r="A3869" s="93">
        <v>4375.0</v>
      </c>
      <c r="B3869" s="77" t="s">
        <v>58</v>
      </c>
      <c r="C3869" s="77" t="s">
        <v>3538</v>
      </c>
      <c r="D3869" s="77" t="s">
        <v>1260</v>
      </c>
      <c r="E3869" s="41" t="str">
        <f>IFERROR(__xludf.DUMMYFUNCTION("IFNA(vlookup(D3869,IMPORTRANGE(""https://docs.google.com/spreadsheets/d/1swGwZOEqYlTEUCJLY-eeJM1911Kvaei5oySBIxdgtNo/edit?pli=1#gid=257618397"",""stock untanna!B:C""),2,false),V:V)"),"TAS KARUNG 40X45 ")</f>
        <v>TAS KARUNG 40X45 </v>
      </c>
      <c r="F3869" s="49"/>
      <c r="G3869" s="71"/>
      <c r="H3869" s="41"/>
      <c r="I3869" s="42"/>
      <c r="J3869" s="85" t="s">
        <v>1319</v>
      </c>
      <c r="K3869" s="93">
        <v>5.0</v>
      </c>
      <c r="L3869" s="112" t="s">
        <v>62</v>
      </c>
      <c r="M3869" s="113">
        <v>150000.0</v>
      </c>
      <c r="N3869" s="74"/>
      <c r="O3869" s="87">
        <f t="shared" si="11"/>
        <v>750000</v>
      </c>
      <c r="P3869" s="102" t="str">
        <f t="shared" si="2"/>
        <v>Rp150,000-5 LSN-0.00%</v>
      </c>
      <c r="Q3869" s="92">
        <v>45422.0</v>
      </c>
      <c r="R3869" s="76"/>
      <c r="S3869" s="92">
        <v>45430.0</v>
      </c>
      <c r="T3869" s="49"/>
      <c r="V3869" s="21" t="s">
        <v>1261</v>
      </c>
    </row>
    <row r="3870">
      <c r="A3870" s="93">
        <v>4375.0</v>
      </c>
      <c r="B3870" s="77" t="s">
        <v>58</v>
      </c>
      <c r="C3870" s="77" t="s">
        <v>3538</v>
      </c>
      <c r="D3870" s="91"/>
      <c r="E3870" s="41" t="str">
        <f>IFERROR(__xludf.DUMMYFUNCTION("IFNA(vlookup(D3870,IMPORTRANGE(""https://docs.google.com/spreadsheets/d/1swGwZOEqYlTEUCJLY-eeJM1911Kvaei5oySBIxdgtNo/edit?pli=1#gid=257618397"",""stock untanna!B:C""),2,false),V:V)"),"TAS KARUNG 55X65")</f>
        <v>TAS KARUNG 55X65</v>
      </c>
      <c r="F3870" s="49"/>
      <c r="G3870" s="71"/>
      <c r="H3870" s="41"/>
      <c r="I3870" s="42"/>
      <c r="J3870" s="85" t="s">
        <v>1319</v>
      </c>
      <c r="K3870" s="93">
        <v>5.0</v>
      </c>
      <c r="L3870" s="112" t="s">
        <v>62</v>
      </c>
      <c r="M3870" s="113">
        <v>236000.0</v>
      </c>
      <c r="N3870" s="74"/>
      <c r="O3870" s="87">
        <f t="shared" si="11"/>
        <v>1180000</v>
      </c>
      <c r="P3870" s="102" t="str">
        <f t="shared" si="2"/>
        <v>Rp236,000-5 LSN-0.00%</v>
      </c>
      <c r="Q3870" s="92">
        <v>45422.0</v>
      </c>
      <c r="R3870" s="76"/>
      <c r="S3870" s="92">
        <v>45430.0</v>
      </c>
      <c r="T3870" s="77" t="s">
        <v>280</v>
      </c>
      <c r="V3870" s="21" t="s">
        <v>160</v>
      </c>
    </row>
    <row r="3871">
      <c r="A3871" s="93">
        <v>4375.0</v>
      </c>
      <c r="B3871" s="77" t="s">
        <v>58</v>
      </c>
      <c r="C3871" s="77" t="s">
        <v>3538</v>
      </c>
      <c r="D3871" s="77" t="s">
        <v>2854</v>
      </c>
      <c r="E3871" s="41" t="str">
        <f>IFERROR(__xludf.DUMMYFUNCTION("IFNA(vlookup(D3871,IMPORTRANGE(""https://docs.google.com/spreadsheets/d/1swGwZOEqYlTEUCJLY-eeJM1911Kvaei5oySBIxdgtNo/edit?pli=1#gid=257618397"",""stock untanna!B:C""),2,false),V:V)"),"TAS COKLAT TEBAL TANGGUNG ")</f>
        <v>TAS COKLAT TEBAL TANGGUNG </v>
      </c>
      <c r="F3871" s="49"/>
      <c r="G3871" s="71"/>
      <c r="H3871" s="41"/>
      <c r="I3871" s="42"/>
      <c r="J3871" s="85" t="s">
        <v>1319</v>
      </c>
      <c r="K3871" s="93">
        <v>10.0</v>
      </c>
      <c r="L3871" s="112" t="s">
        <v>62</v>
      </c>
      <c r="M3871" s="113">
        <v>26000.0</v>
      </c>
      <c r="N3871" s="74"/>
      <c r="O3871" s="87">
        <f t="shared" si="11"/>
        <v>260000</v>
      </c>
      <c r="P3871" s="102" t="str">
        <f t="shared" si="2"/>
        <v>Rp26,000-10 LSN-0.00%</v>
      </c>
      <c r="Q3871" s="92">
        <v>45422.0</v>
      </c>
      <c r="R3871" s="76"/>
      <c r="S3871" s="92">
        <v>45430.0</v>
      </c>
      <c r="T3871" s="49"/>
      <c r="V3871" s="21" t="s">
        <v>2855</v>
      </c>
    </row>
    <row r="3872">
      <c r="A3872" s="93">
        <v>4375.0</v>
      </c>
      <c r="B3872" s="77" t="s">
        <v>58</v>
      </c>
      <c r="C3872" s="77" t="s">
        <v>3538</v>
      </c>
      <c r="D3872" s="77" t="s">
        <v>216</v>
      </c>
      <c r="E3872" s="41" t="str">
        <f>IFERROR(__xludf.DUMMYFUNCTION("IFNA(vlookup(D3872,IMPORTRANGE(""https://docs.google.com/spreadsheets/d/1swGwZOEqYlTEUCJLY-eeJM1911Kvaei5oySBIxdgtNo/edit?pli=1#gid=257618397"",""stock untanna!B:C""),2,false),V:V)"),"TAS COKLAT TEBAL BESAR")</f>
        <v>TAS COKLAT TEBAL BESAR</v>
      </c>
      <c r="F3872" s="49"/>
      <c r="G3872" s="71"/>
      <c r="H3872" s="41"/>
      <c r="I3872" s="42"/>
      <c r="J3872" s="85" t="s">
        <v>1319</v>
      </c>
      <c r="K3872" s="93">
        <v>3.0</v>
      </c>
      <c r="L3872" s="112" t="s">
        <v>62</v>
      </c>
      <c r="M3872" s="113">
        <v>30000.0</v>
      </c>
      <c r="N3872" s="74"/>
      <c r="O3872" s="87">
        <f t="shared" si="11"/>
        <v>90000</v>
      </c>
      <c r="P3872" s="102" t="str">
        <f t="shared" si="2"/>
        <v>Rp30,000-3 LSN-0.00%</v>
      </c>
      <c r="Q3872" s="92">
        <v>45422.0</v>
      </c>
      <c r="R3872" s="76"/>
      <c r="S3872" s="92">
        <v>45430.0</v>
      </c>
      <c r="T3872" s="49"/>
      <c r="V3872" s="21" t="s">
        <v>217</v>
      </c>
    </row>
    <row r="3873">
      <c r="A3873" s="93">
        <v>4375.0</v>
      </c>
      <c r="B3873" s="77" t="s">
        <v>58</v>
      </c>
      <c r="C3873" s="77" t="s">
        <v>3538</v>
      </c>
      <c r="D3873" s="77" t="s">
        <v>1258</v>
      </c>
      <c r="E3873" s="41" t="str">
        <f>IFERROR(__xludf.DUMMYFUNCTION("IFNA(vlookup(D3873,IMPORTRANGE(""https://docs.google.com/spreadsheets/d/1swGwZOEqYlTEUCJLY-eeJM1911Kvaei5oySBIxdgtNo/edit?pli=1#gid=257618397"",""stock untanna!B:C""),2,false),V:V)"),"TAS KARUNG 45X50")</f>
        <v>TAS KARUNG 45X50</v>
      </c>
      <c r="F3873" s="49"/>
      <c r="G3873" s="71"/>
      <c r="H3873" s="41"/>
      <c r="I3873" s="42"/>
      <c r="J3873" s="85" t="s">
        <v>1319</v>
      </c>
      <c r="K3873" s="93">
        <v>5.0</v>
      </c>
      <c r="L3873" s="112" t="s">
        <v>62</v>
      </c>
      <c r="M3873" s="113">
        <v>170000.0</v>
      </c>
      <c r="N3873" s="74"/>
      <c r="O3873" s="87">
        <f t="shared" si="11"/>
        <v>850000</v>
      </c>
      <c r="P3873" s="102" t="str">
        <f t="shared" si="2"/>
        <v>Rp170,000-5 LSN-0.00%</v>
      </c>
      <c r="Q3873" s="92">
        <v>45422.0</v>
      </c>
      <c r="R3873" s="76"/>
      <c r="S3873" s="92">
        <v>45430.0</v>
      </c>
      <c r="T3873" s="49"/>
      <c r="V3873" s="21" t="s">
        <v>1259</v>
      </c>
    </row>
    <row r="3874">
      <c r="A3874" s="93">
        <v>4375.0</v>
      </c>
      <c r="B3874" s="77" t="s">
        <v>58</v>
      </c>
      <c r="C3874" s="77" t="s">
        <v>3538</v>
      </c>
      <c r="D3874" s="77" t="s">
        <v>1262</v>
      </c>
      <c r="E3874" s="41" t="str">
        <f>IFERROR(__xludf.DUMMYFUNCTION("IFNA(vlookup(D3874,IMPORTRANGE(""https://docs.google.com/spreadsheets/d/1swGwZOEqYlTEUCJLY-eeJM1911Kvaei5oySBIxdgtNo/edit?pli=1#gid=257618397"",""stock untanna!B:C""),2,false),V:V)"),"TAS KARUNG 50X55")</f>
        <v>TAS KARUNG 50X55</v>
      </c>
      <c r="F3874" s="49"/>
      <c r="G3874" s="71"/>
      <c r="H3874" s="41"/>
      <c r="I3874" s="42"/>
      <c r="J3874" s="85" t="s">
        <v>1319</v>
      </c>
      <c r="K3874" s="93">
        <v>5.0</v>
      </c>
      <c r="L3874" s="112" t="s">
        <v>62</v>
      </c>
      <c r="M3874" s="113">
        <v>200000.0</v>
      </c>
      <c r="N3874" s="74"/>
      <c r="O3874" s="87">
        <f t="shared" si="11"/>
        <v>1000000</v>
      </c>
      <c r="P3874" s="102" t="str">
        <f t="shared" si="2"/>
        <v>Rp200,000-5 LSN-0.00%</v>
      </c>
      <c r="Q3874" s="92">
        <v>45422.0</v>
      </c>
      <c r="R3874" s="76"/>
      <c r="S3874" s="92">
        <v>45430.0</v>
      </c>
      <c r="T3874" s="49"/>
      <c r="V3874" s="21" t="s">
        <v>1263</v>
      </c>
    </row>
    <row r="3875">
      <c r="A3875" s="93">
        <v>4450.0</v>
      </c>
      <c r="B3875" s="77" t="s">
        <v>29</v>
      </c>
      <c r="C3875" s="77" t="s">
        <v>2369</v>
      </c>
      <c r="D3875" s="77" t="s">
        <v>419</v>
      </c>
      <c r="E3875" s="41" t="str">
        <f>IFERROR(__xludf.DUMMYFUNCTION("IFNA(vlookup(D3875,IMPORTRANGE(""https://docs.google.com/spreadsheets/d/1swGwZOEqYlTEUCJLY-eeJM1911Kvaei5oySBIxdgtNo/edit?pli=1#gid=257618397"",""stock untanna!B:C""),2,false),V:V)"),"BP GEL ZUI XUA HY-1020 HITAM")</f>
        <v>BP GEL ZUI XUA HY-1020 HITAM</v>
      </c>
      <c r="F3875" s="49"/>
      <c r="G3875" s="71"/>
      <c r="H3875" s="41"/>
      <c r="I3875" s="42"/>
      <c r="J3875" s="85" t="s">
        <v>1319</v>
      </c>
      <c r="K3875" s="93">
        <v>576.0</v>
      </c>
      <c r="L3875" s="112" t="s">
        <v>62</v>
      </c>
      <c r="M3875" s="113">
        <v>11500.0</v>
      </c>
      <c r="N3875" s="74"/>
      <c r="O3875" s="87">
        <f t="shared" si="11"/>
        <v>6624000</v>
      </c>
      <c r="P3875" s="102" t="str">
        <f t="shared" si="2"/>
        <v>Rp11,500-576 LSN-0.00%</v>
      </c>
      <c r="Q3875" s="92">
        <v>45422.0</v>
      </c>
      <c r="R3875" s="76"/>
      <c r="S3875" s="92">
        <v>45430.0</v>
      </c>
      <c r="T3875" s="49"/>
      <c r="V3875" s="21" t="s">
        <v>3281</v>
      </c>
    </row>
    <row r="3876">
      <c r="A3876" s="93">
        <v>253.0</v>
      </c>
      <c r="B3876" s="77" t="s">
        <v>29</v>
      </c>
      <c r="C3876" s="77" t="s">
        <v>2476</v>
      </c>
      <c r="D3876" s="91"/>
      <c r="E3876" s="41" t="str">
        <f>IFERROR(__xludf.DUMMYFUNCTION("IFNA(vlookup(D3876,IMPORTRANGE(""https://docs.google.com/spreadsheets/d/1swGwZOEqYlTEUCJLY-eeJM1911Kvaei5oySBIxdgtNo/edit?pli=1#gid=257618397"",""stock untanna!B:C""),2,false),V:V)"),"TAS BATIK KECIL")</f>
        <v>TAS BATIK KECIL</v>
      </c>
      <c r="F3876" s="49"/>
      <c r="G3876" s="71"/>
      <c r="H3876" s="41"/>
      <c r="I3876" s="42"/>
      <c r="J3876" s="85" t="s">
        <v>3190</v>
      </c>
      <c r="K3876" s="93">
        <v>90.0</v>
      </c>
      <c r="L3876" s="112" t="s">
        <v>62</v>
      </c>
      <c r="M3876" s="113">
        <v>16000.0</v>
      </c>
      <c r="N3876" s="74"/>
      <c r="O3876" s="87">
        <f t="shared" si="11"/>
        <v>1440000</v>
      </c>
      <c r="P3876" s="102" t="str">
        <f t="shared" si="2"/>
        <v>Rp16,000-90 LSN-0.00%</v>
      </c>
      <c r="Q3876" s="92">
        <v>45422.0</v>
      </c>
      <c r="R3876" s="76"/>
      <c r="S3876" s="92">
        <v>45430.0</v>
      </c>
      <c r="T3876" s="49"/>
      <c r="V3876" s="21" t="s">
        <v>3547</v>
      </c>
    </row>
    <row r="3877">
      <c r="A3877" s="93">
        <v>253.0</v>
      </c>
      <c r="B3877" s="77" t="s">
        <v>29</v>
      </c>
      <c r="C3877" s="77" t="s">
        <v>2476</v>
      </c>
      <c r="D3877" s="91"/>
      <c r="E3877" s="41" t="str">
        <f>IFERROR(__xludf.DUMMYFUNCTION("IFNA(vlookup(D3877,IMPORTRANGE(""https://docs.google.com/spreadsheets/d/1swGwZOEqYlTEUCJLY-eeJM1911Kvaei5oySBIxdgtNo/edit?pli=1#gid=257618397"",""stock untanna!B:C""),2,false),V:V)"),"TAS BATIK TG")</f>
        <v>TAS BATIK TG</v>
      </c>
      <c r="F3877" s="49"/>
      <c r="G3877" s="71"/>
      <c r="H3877" s="41"/>
      <c r="I3877" s="42"/>
      <c r="J3877" s="85" t="s">
        <v>3190</v>
      </c>
      <c r="K3877" s="93">
        <v>50.0</v>
      </c>
      <c r="L3877" s="112" t="s">
        <v>62</v>
      </c>
      <c r="M3877" s="113">
        <v>25000.0</v>
      </c>
      <c r="N3877" s="74"/>
      <c r="O3877" s="87">
        <f t="shared" si="11"/>
        <v>1250000</v>
      </c>
      <c r="P3877" s="102" t="str">
        <f t="shared" si="2"/>
        <v>Rp25,000-50 LSN-0.00%</v>
      </c>
      <c r="Q3877" s="92">
        <v>45422.0</v>
      </c>
      <c r="R3877" s="76"/>
      <c r="S3877" s="92">
        <v>45430.0</v>
      </c>
      <c r="T3877" s="49"/>
      <c r="V3877" s="21" t="s">
        <v>3548</v>
      </c>
    </row>
    <row r="3878">
      <c r="A3878" s="93">
        <v>253.0</v>
      </c>
      <c r="B3878" s="77" t="s">
        <v>29</v>
      </c>
      <c r="C3878" s="77" t="s">
        <v>2476</v>
      </c>
      <c r="D3878" s="91"/>
      <c r="E3878" s="41" t="str">
        <f>IFERROR(__xludf.DUMMYFUNCTION("IFNA(vlookup(D3878,IMPORTRANGE(""https://docs.google.com/spreadsheets/d/1swGwZOEqYlTEUCJLY-eeJM1911Kvaei5oySBIxdgtNo/edit?pli=1#gid=257618397"",""stock untanna!B:C""),2,false),V:V)"),"TAS BATIK BSR")</f>
        <v>TAS BATIK BSR</v>
      </c>
      <c r="F3878" s="49"/>
      <c r="G3878" s="71"/>
      <c r="H3878" s="41"/>
      <c r="I3878" s="42"/>
      <c r="J3878" s="85" t="s">
        <v>3190</v>
      </c>
      <c r="K3878" s="93">
        <v>50.0</v>
      </c>
      <c r="L3878" s="112" t="s">
        <v>62</v>
      </c>
      <c r="M3878" s="113">
        <v>30000.0</v>
      </c>
      <c r="N3878" s="74"/>
      <c r="O3878" s="87">
        <f t="shared" si="11"/>
        <v>1500000</v>
      </c>
      <c r="P3878" s="102" t="str">
        <f t="shared" si="2"/>
        <v>Rp30,000-50 LSN-0.00%</v>
      </c>
      <c r="Q3878" s="92">
        <v>45422.0</v>
      </c>
      <c r="R3878" s="76"/>
      <c r="S3878" s="92">
        <v>45430.0</v>
      </c>
      <c r="T3878" s="49"/>
      <c r="V3878" s="21" t="s">
        <v>3549</v>
      </c>
    </row>
    <row r="3879">
      <c r="A3879" s="93">
        <v>251.0</v>
      </c>
      <c r="B3879" s="77" t="s">
        <v>29</v>
      </c>
      <c r="C3879" s="77" t="s">
        <v>1773</v>
      </c>
      <c r="D3879" s="77" t="s">
        <v>3550</v>
      </c>
      <c r="E3879" s="41" t="str">
        <f>IFERROR(__xludf.DUMMYFUNCTION("IFNA(vlookup(D3879,IMPORTRANGE(""https://docs.google.com/spreadsheets/d/1swGwZOEqYlTEUCJLY-eeJM1911Kvaei5oySBIxdgtNo/edit?pli=1#gid=257618397"",""stock untanna!B:C""),2,false),V:V)"),"DOKUMEN RISLETING INFINITY")</f>
        <v>DOKUMEN RISLETING INFINITY</v>
      </c>
      <c r="F3879" s="49"/>
      <c r="G3879" s="71"/>
      <c r="H3879" s="41"/>
      <c r="I3879" s="42"/>
      <c r="J3879" s="85" t="s">
        <v>1319</v>
      </c>
      <c r="K3879" s="93">
        <v>8.0</v>
      </c>
      <c r="L3879" s="112" t="s">
        <v>62</v>
      </c>
      <c r="M3879" s="113">
        <v>190000.0</v>
      </c>
      <c r="N3879" s="74"/>
      <c r="O3879" s="87">
        <f t="shared" si="11"/>
        <v>1520000</v>
      </c>
      <c r="P3879" s="102" t="str">
        <f t="shared" si="2"/>
        <v>Rp190,000-8 LSN-0.00%</v>
      </c>
      <c r="Q3879" s="92">
        <v>45422.0</v>
      </c>
      <c r="R3879" s="76"/>
      <c r="S3879" s="92">
        <v>45430.0</v>
      </c>
      <c r="T3879" s="49"/>
      <c r="V3879" s="21" t="s">
        <v>3551</v>
      </c>
    </row>
    <row r="3880">
      <c r="A3880" s="93">
        <v>251.0</v>
      </c>
      <c r="B3880" s="77" t="s">
        <v>29</v>
      </c>
      <c r="C3880" s="77" t="s">
        <v>1773</v>
      </c>
      <c r="D3880" s="77" t="s">
        <v>3552</v>
      </c>
      <c r="E3880" s="41" t="str">
        <f>IFERROR(__xludf.DUMMYFUNCTION("IFNA(vlookup(D3880,IMPORTRANGE(""https://docs.google.com/spreadsheets/d/1swGwZOEqYlTEUCJLY-eeJM1911Kvaei5oySBIxdgtNo/edit?pli=1#gid=257618397"",""stock untanna!B:C""),2,false),V:V)"),"DOKUMEN RISLETING PRESTIGE")</f>
        <v>DOKUMEN RISLETING PRESTIGE</v>
      </c>
      <c r="F3880" s="49"/>
      <c r="G3880" s="71"/>
      <c r="H3880" s="41"/>
      <c r="I3880" s="42"/>
      <c r="J3880" s="85" t="s">
        <v>1319</v>
      </c>
      <c r="K3880" s="93">
        <v>8.0</v>
      </c>
      <c r="L3880" s="112" t="s">
        <v>62</v>
      </c>
      <c r="M3880" s="113">
        <v>210000.0</v>
      </c>
      <c r="N3880" s="74"/>
      <c r="O3880" s="87">
        <f t="shared" si="11"/>
        <v>1680000</v>
      </c>
      <c r="P3880" s="102" t="str">
        <f t="shared" si="2"/>
        <v>Rp210,000-8 LSN-0.00%</v>
      </c>
      <c r="Q3880" s="92">
        <v>45422.0</v>
      </c>
      <c r="R3880" s="76"/>
      <c r="S3880" s="92">
        <v>45430.0</v>
      </c>
      <c r="T3880" s="49"/>
      <c r="V3880" s="21" t="s">
        <v>3553</v>
      </c>
    </row>
    <row r="3881">
      <c r="A3881" s="93">
        <v>252.0</v>
      </c>
      <c r="B3881" s="77" t="s">
        <v>29</v>
      </c>
      <c r="C3881" s="77" t="s">
        <v>2635</v>
      </c>
      <c r="D3881" s="77" t="s">
        <v>3550</v>
      </c>
      <c r="E3881" s="41" t="str">
        <f>IFERROR(__xludf.DUMMYFUNCTION("IFNA(vlookup(D3881,IMPORTRANGE(""https://docs.google.com/spreadsheets/d/1swGwZOEqYlTEUCJLY-eeJM1911Kvaei5oySBIxdgtNo/edit?pli=1#gid=257618397"",""stock untanna!B:C""),2,false),V:V)"),"DOKUMEN RISLETING INFINITY")</f>
        <v>DOKUMEN RISLETING INFINITY</v>
      </c>
      <c r="F3881" s="49"/>
      <c r="G3881" s="71"/>
      <c r="H3881" s="41"/>
      <c r="I3881" s="42"/>
      <c r="J3881" s="85" t="s">
        <v>1319</v>
      </c>
      <c r="K3881" s="93">
        <v>8.0</v>
      </c>
      <c r="L3881" s="112" t="s">
        <v>62</v>
      </c>
      <c r="M3881" s="113">
        <v>190000.0</v>
      </c>
      <c r="N3881" s="74"/>
      <c r="O3881" s="87">
        <f t="shared" si="11"/>
        <v>1520000</v>
      </c>
      <c r="P3881" s="102" t="str">
        <f t="shared" si="2"/>
        <v>Rp190,000-8 LSN-0.00%</v>
      </c>
      <c r="Q3881" s="92">
        <v>45422.0</v>
      </c>
      <c r="R3881" s="76"/>
      <c r="S3881" s="92">
        <v>45430.0</v>
      </c>
      <c r="T3881" s="49"/>
      <c r="V3881" s="21" t="s">
        <v>3551</v>
      </c>
    </row>
    <row r="3882">
      <c r="A3882" s="93">
        <v>311.0</v>
      </c>
      <c r="B3882" s="91"/>
      <c r="C3882" s="77" t="s">
        <v>2603</v>
      </c>
      <c r="D3882" s="91"/>
      <c r="E3882" s="41" t="str">
        <f>IFERROR(__xludf.DUMMYFUNCTION("IFNA(vlookup(D3882,IMPORTRANGE(""https://docs.google.com/spreadsheets/d/1swGwZOEqYlTEUCJLY-eeJM1911Kvaei5oySBIxdgtNo/edit?pli=1#gid=257618397"",""stock untanna!B:C""),2,false),V:V)"),"KACA PEMBESAR TF BIASA 50")</f>
        <v>KACA PEMBESAR TF BIASA 50</v>
      </c>
      <c r="F3882" s="49"/>
      <c r="G3882" s="71"/>
      <c r="H3882" s="41"/>
      <c r="I3882" s="42"/>
      <c r="J3882" s="85" t="s">
        <v>1319</v>
      </c>
      <c r="K3882" s="93">
        <v>0.5</v>
      </c>
      <c r="L3882" s="112" t="s">
        <v>62</v>
      </c>
      <c r="M3882" s="113">
        <v>75000.0</v>
      </c>
      <c r="N3882" s="115">
        <v>0.1</v>
      </c>
      <c r="O3882" s="87">
        <f t="shared" si="11"/>
        <v>33750</v>
      </c>
      <c r="P3882" s="102" t="str">
        <f t="shared" si="2"/>
        <v>Rp75,000-0.5 LSN-10.00%</v>
      </c>
      <c r="Q3882" s="92">
        <v>45422.0</v>
      </c>
      <c r="R3882" s="76"/>
      <c r="S3882" s="92">
        <v>45430.0</v>
      </c>
      <c r="T3882" s="77" t="s">
        <v>280</v>
      </c>
      <c r="V3882" s="21" t="s">
        <v>3554</v>
      </c>
    </row>
    <row r="3883">
      <c r="A3883" s="93">
        <v>311.0</v>
      </c>
      <c r="B3883" s="91"/>
      <c r="C3883" s="77" t="s">
        <v>2603</v>
      </c>
      <c r="D3883" s="91"/>
      <c r="E3883" s="41" t="str">
        <f>IFERROR(__xludf.DUMMYFUNCTION("IFNA(vlookup(D3883,IMPORTRANGE(""https://docs.google.com/spreadsheets/d/1swGwZOEqYlTEUCJLY-eeJM1911Kvaei5oySBIxdgtNo/edit?pli=1#gid=257618397"",""stock untanna!B:C""),2,false),V:V)"),"KUAS MAOPI KECIL")</f>
        <v>KUAS MAOPI KECIL</v>
      </c>
      <c r="F3883" s="49"/>
      <c r="G3883" s="71"/>
      <c r="H3883" s="41"/>
      <c r="I3883" s="42"/>
      <c r="J3883" s="85" t="s">
        <v>3190</v>
      </c>
      <c r="K3883" s="93">
        <v>1.0</v>
      </c>
      <c r="L3883" s="112" t="s">
        <v>62</v>
      </c>
      <c r="M3883" s="113">
        <v>12000.0</v>
      </c>
      <c r="N3883" s="74"/>
      <c r="O3883" s="87">
        <f t="shared" si="11"/>
        <v>12000</v>
      </c>
      <c r="P3883" s="102" t="str">
        <f t="shared" si="2"/>
        <v>Rp12,000-1 LSN-0.00%</v>
      </c>
      <c r="Q3883" s="92">
        <v>45422.0</v>
      </c>
      <c r="R3883" s="76"/>
      <c r="S3883" s="92">
        <v>45430.0</v>
      </c>
      <c r="T3883" s="49"/>
      <c r="V3883" s="21" t="s">
        <v>3555</v>
      </c>
    </row>
    <row r="3884">
      <c r="A3884" s="93">
        <v>311.0</v>
      </c>
      <c r="B3884" s="91"/>
      <c r="C3884" s="77" t="s">
        <v>2603</v>
      </c>
      <c r="D3884" s="77" t="s">
        <v>762</v>
      </c>
      <c r="E3884" s="41" t="str">
        <f>IFERROR(__xludf.DUMMYFUNCTION("IFNA(vlookup(D3884,IMPORTRANGE(""https://docs.google.com/spreadsheets/d/1swGwZOEqYlTEUCJLY-eeJM1911Kvaei5oySBIxdgtNo/edit?pli=1#gid=257618397"",""stock untanna!B:C""),2,false),V:V)"),"BP TIZO TG340 BIRU")</f>
        <v>BP TIZO TG340 BIRU</v>
      </c>
      <c r="F3884" s="49"/>
      <c r="G3884" s="71"/>
      <c r="H3884" s="41"/>
      <c r="I3884" s="42"/>
      <c r="J3884" s="85" t="s">
        <v>1319</v>
      </c>
      <c r="K3884" s="93">
        <v>1.0</v>
      </c>
      <c r="L3884" s="112" t="s">
        <v>62</v>
      </c>
      <c r="M3884" s="113">
        <v>34000.0</v>
      </c>
      <c r="N3884" s="74"/>
      <c r="O3884" s="87">
        <f t="shared" si="11"/>
        <v>34000</v>
      </c>
      <c r="P3884" s="102" t="str">
        <f t="shared" si="2"/>
        <v>Rp34,000-1 LSN-0.00%</v>
      </c>
      <c r="Q3884" s="92">
        <v>45422.0</v>
      </c>
      <c r="R3884" s="76"/>
      <c r="S3884" s="92">
        <v>45430.0</v>
      </c>
      <c r="T3884" s="49"/>
      <c r="V3884" s="21" t="s">
        <v>763</v>
      </c>
    </row>
    <row r="3885">
      <c r="A3885" s="93">
        <v>311.0</v>
      </c>
      <c r="B3885" s="91"/>
      <c r="C3885" s="77" t="s">
        <v>2603</v>
      </c>
      <c r="D3885" s="77" t="s">
        <v>345</v>
      </c>
      <c r="E3885" s="41" t="str">
        <f>IFERROR(__xludf.DUMMYFUNCTION("IFNA(vlookup(D3885,IMPORTRANGE(""https://docs.google.com/spreadsheets/d/1swGwZOEqYlTEUCJLY-eeJM1911Kvaei5oySBIxdgtNo/edit?pli=1#gid=257618397"",""stock untanna!B:C""),2,false),V:V)"),"GARISAN 30CM BESI 5030 YOEKER ORANGE")</f>
        <v>GARISAN 30CM BESI 5030 YOEKER ORANGE</v>
      </c>
      <c r="F3885" s="49"/>
      <c r="G3885" s="71"/>
      <c r="H3885" s="41"/>
      <c r="I3885" s="42"/>
      <c r="J3885" s="85" t="s">
        <v>1319</v>
      </c>
      <c r="K3885" s="93">
        <v>1.0</v>
      </c>
      <c r="L3885" s="112" t="s">
        <v>62</v>
      </c>
      <c r="M3885" s="113">
        <v>19000.0</v>
      </c>
      <c r="N3885" s="74"/>
      <c r="O3885" s="87">
        <f t="shared" si="11"/>
        <v>19000</v>
      </c>
      <c r="P3885" s="102" t="str">
        <f t="shared" si="2"/>
        <v>Rp19,000-1 LSN-0.00%</v>
      </c>
      <c r="Q3885" s="92">
        <v>45422.0</v>
      </c>
      <c r="R3885" s="76"/>
      <c r="S3885" s="92">
        <v>45430.0</v>
      </c>
      <c r="T3885" s="49"/>
      <c r="V3885" s="21" t="s">
        <v>346</v>
      </c>
    </row>
    <row r="3886">
      <c r="A3886" s="93">
        <v>311.0</v>
      </c>
      <c r="B3886" s="91"/>
      <c r="C3886" s="77" t="s">
        <v>2603</v>
      </c>
      <c r="D3886" s="77" t="s">
        <v>2149</v>
      </c>
      <c r="E3886" s="41" t="str">
        <f>IFERROR(__xludf.DUMMYFUNCTION("IFNA(vlookup(D3886,IMPORTRANGE(""https://docs.google.com/spreadsheets/d/1swGwZOEqYlTEUCJLY-eeJM1911Kvaei5oySBIxdgtNo/edit?pli=1#gid=257618397"",""stock untanna!B:C""),2,false),V:V)"),"MAP TALI SIKA PUTIH")</f>
        <v>MAP TALI SIKA PUTIH</v>
      </c>
      <c r="F3886" s="49"/>
      <c r="G3886" s="71"/>
      <c r="H3886" s="41"/>
      <c r="I3886" s="42"/>
      <c r="J3886" s="85" t="s">
        <v>1319</v>
      </c>
      <c r="K3886" s="93">
        <v>1.0</v>
      </c>
      <c r="L3886" s="112" t="s">
        <v>62</v>
      </c>
      <c r="M3886" s="113">
        <v>19500.0</v>
      </c>
      <c r="N3886" s="74"/>
      <c r="O3886" s="87">
        <f t="shared" si="11"/>
        <v>19500</v>
      </c>
      <c r="P3886" s="102" t="str">
        <f t="shared" si="2"/>
        <v>Rp19,500-1 LSN-0.00%</v>
      </c>
      <c r="Q3886" s="92">
        <v>45422.0</v>
      </c>
      <c r="R3886" s="76"/>
      <c r="S3886" s="92">
        <v>45430.0</v>
      </c>
      <c r="T3886" s="49"/>
      <c r="V3886" s="21" t="s">
        <v>2150</v>
      </c>
    </row>
    <row r="3887">
      <c r="A3887" s="93">
        <v>311.0</v>
      </c>
      <c r="B3887" s="91"/>
      <c r="C3887" s="77" t="s">
        <v>2603</v>
      </c>
      <c r="D3887" s="77" t="s">
        <v>801</v>
      </c>
      <c r="E3887" s="41" t="str">
        <f>IFERROR(__xludf.DUMMYFUNCTION("IFNA(vlookup(D3887,IMPORTRANGE(""https://docs.google.com/spreadsheets/d/1swGwZOEqYlTEUCJLY-eeJM1911Kvaei5oySBIxdgtNo/edit?pli=1#gid=257618397"",""stock untanna!B:C""),2,false),V:V)"),"MAP KANCING SIKA AC-05 MERAH")</f>
        <v>MAP KANCING SIKA AC-05 MERAH</v>
      </c>
      <c r="F3887" s="49"/>
      <c r="G3887" s="71"/>
      <c r="H3887" s="41"/>
      <c r="I3887" s="42"/>
      <c r="J3887" s="85" t="s">
        <v>1319</v>
      </c>
      <c r="K3887" s="93">
        <v>1.0</v>
      </c>
      <c r="L3887" s="112" t="s">
        <v>62</v>
      </c>
      <c r="M3887" s="113">
        <v>19500.0</v>
      </c>
      <c r="N3887" s="74"/>
      <c r="O3887" s="87">
        <f t="shared" si="11"/>
        <v>19500</v>
      </c>
      <c r="P3887" s="102" t="str">
        <f t="shared" si="2"/>
        <v>Rp19,500-1 LSN-0.00%</v>
      </c>
      <c r="Q3887" s="92">
        <v>45422.0</v>
      </c>
      <c r="R3887" s="76"/>
      <c r="S3887" s="92">
        <v>45430.0</v>
      </c>
      <c r="T3887" s="49"/>
      <c r="V3887" s="21" t="s">
        <v>3556</v>
      </c>
    </row>
    <row r="3888">
      <c r="A3888" s="93">
        <v>311.0</v>
      </c>
      <c r="B3888" s="91"/>
      <c r="C3888" s="77" t="s">
        <v>2603</v>
      </c>
      <c r="D3888" s="77" t="s">
        <v>541</v>
      </c>
      <c r="E3888" s="41" t="str">
        <f>IFERROR(__xludf.DUMMYFUNCTION("IFNA(vlookup(D3888,IMPORTRANGE(""https://docs.google.com/spreadsheets/d/1swGwZOEqYlTEUCJLY-eeJM1911Kvaei5oySBIxdgtNo/edit?pli=1#gid=257618397"",""stock untanna!B:C""),2,false),V:V)"),"PALET CAT AIR SAKURA TRANS")</f>
        <v>PALET CAT AIR SAKURA TRANS</v>
      </c>
      <c r="F3888" s="49"/>
      <c r="G3888" s="71"/>
      <c r="H3888" s="41"/>
      <c r="I3888" s="42"/>
      <c r="J3888" s="85" t="s">
        <v>1319</v>
      </c>
      <c r="K3888" s="93">
        <v>1.0</v>
      </c>
      <c r="L3888" s="112" t="s">
        <v>62</v>
      </c>
      <c r="M3888" s="113">
        <v>12500.0</v>
      </c>
      <c r="N3888" s="74"/>
      <c r="O3888" s="87">
        <f t="shared" si="11"/>
        <v>12500</v>
      </c>
      <c r="P3888" s="102" t="str">
        <f t="shared" si="2"/>
        <v>Rp12,500-1 LSN-0.00%</v>
      </c>
      <c r="Q3888" s="92">
        <v>45422.0</v>
      </c>
      <c r="R3888" s="76"/>
      <c r="S3888" s="92">
        <v>45430.0</v>
      </c>
      <c r="T3888" s="49"/>
      <c r="V3888" s="21" t="s">
        <v>542</v>
      </c>
    </row>
    <row r="3889">
      <c r="A3889" s="93">
        <v>178.0</v>
      </c>
      <c r="B3889" s="77" t="s">
        <v>29</v>
      </c>
      <c r="C3889" s="77" t="s">
        <v>3557</v>
      </c>
      <c r="D3889" s="77" t="s">
        <v>2596</v>
      </c>
      <c r="E3889" s="41" t="str">
        <f>IFERROR(__xludf.DUMMYFUNCTION("IFNA(vlookup(D3889,IMPORTRANGE(""https://docs.google.com/spreadsheets/d/1swGwZOEqYlTEUCJLY-eeJM1911Kvaei5oySBIxdgtNo/edit?pli=1#gid=257618397"",""stock untanna!B:C""),2,false),V:V)"),"MAP HUTANG PIUTANG")</f>
        <v>MAP HUTANG PIUTANG</v>
      </c>
      <c r="F3889" s="49"/>
      <c r="G3889" s="71"/>
      <c r="H3889" s="41"/>
      <c r="I3889" s="42"/>
      <c r="J3889" s="85" t="s">
        <v>1319</v>
      </c>
      <c r="K3889" s="93">
        <v>50.0</v>
      </c>
      <c r="L3889" s="112" t="s">
        <v>114</v>
      </c>
      <c r="M3889" s="113">
        <v>4750.0</v>
      </c>
      <c r="N3889" s="74"/>
      <c r="O3889" s="87">
        <f t="shared" si="11"/>
        <v>237500</v>
      </c>
      <c r="P3889" s="102" t="str">
        <f t="shared" si="2"/>
        <v>Rp4,750-50 PAK-0.00%</v>
      </c>
      <c r="Q3889" s="92">
        <v>45422.0</v>
      </c>
      <c r="R3889" s="76"/>
      <c r="S3889" s="92">
        <v>45430.0</v>
      </c>
      <c r="T3889" s="77" t="s">
        <v>3558</v>
      </c>
      <c r="V3889" s="21" t="s">
        <v>2597</v>
      </c>
    </row>
    <row r="3890">
      <c r="A3890" s="93">
        <v>178.0</v>
      </c>
      <c r="B3890" s="77" t="s">
        <v>29</v>
      </c>
      <c r="C3890" s="77" t="s">
        <v>3557</v>
      </c>
      <c r="D3890" s="77" t="s">
        <v>163</v>
      </c>
      <c r="E3890" s="41" t="str">
        <f>IFERROR(__xludf.DUMMYFUNCTION("IFNA(vlookup(D3890,IMPORTRANGE(""https://docs.google.com/spreadsheets/d/1swGwZOEqYlTEUCJLY-eeJM1911Kvaei5oySBIxdgtNo/edit?pli=1#gid=257618397"",""stock untanna!B:C""),2,false),V:V)"),"KARTU ABSENSI KOJIKO DUS MERAH")</f>
        <v>KARTU ABSENSI KOJIKO DUS MERAH</v>
      </c>
      <c r="F3890" s="49"/>
      <c r="G3890" s="71"/>
      <c r="H3890" s="41"/>
      <c r="I3890" s="42"/>
      <c r="J3890" s="85" t="s">
        <v>1319</v>
      </c>
      <c r="K3890" s="93">
        <v>15.0</v>
      </c>
      <c r="L3890" s="112" t="s">
        <v>114</v>
      </c>
      <c r="M3890" s="113">
        <v>20000.0</v>
      </c>
      <c r="N3890" s="74"/>
      <c r="O3890" s="87">
        <f t="shared" si="11"/>
        <v>300000</v>
      </c>
      <c r="P3890" s="102" t="str">
        <f t="shared" si="2"/>
        <v>Rp20,000-15 PAK-0.00%</v>
      </c>
      <c r="Q3890" s="92">
        <v>45422.0</v>
      </c>
      <c r="R3890" s="76"/>
      <c r="S3890" s="92">
        <v>45430.0</v>
      </c>
      <c r="T3890" s="49"/>
      <c r="V3890" s="21" t="s">
        <v>164</v>
      </c>
    </row>
    <row r="3891">
      <c r="A3891" s="93">
        <v>4267.0</v>
      </c>
      <c r="B3891" s="77" t="s">
        <v>65</v>
      </c>
      <c r="C3891" s="77" t="s">
        <v>3559</v>
      </c>
      <c r="D3891" s="77" t="s">
        <v>138</v>
      </c>
      <c r="E3891" s="41" t="str">
        <f>IFERROR(__xludf.DUMMYFUNCTION("IFNA(vlookup(D3891,IMPORTRANGE(""https://docs.google.com/spreadsheets/d/1swGwZOEqYlTEUCJLY-eeJM1911Kvaei5oySBIxdgtNo/edit?pli=1#gid=257618397"",""stock untanna!B:C""),2,false),V:V)"),"GARISAN LIPAT 008 (40) 30 CM FANCY")</f>
        <v>GARISAN LIPAT 008 (40) 30 CM FANCY</v>
      </c>
      <c r="F3891" s="49"/>
      <c r="G3891" s="71"/>
      <c r="H3891" s="41"/>
      <c r="I3891" s="42"/>
      <c r="J3891" s="85" t="s">
        <v>1319</v>
      </c>
      <c r="K3891" s="93">
        <v>2.0</v>
      </c>
      <c r="L3891" s="112" t="s">
        <v>88</v>
      </c>
      <c r="M3891" s="113">
        <v>52000.0</v>
      </c>
      <c r="N3891" s="74"/>
      <c r="O3891" s="87">
        <f t="shared" si="11"/>
        <v>104000</v>
      </c>
      <c r="P3891" s="102" t="str">
        <f t="shared" si="2"/>
        <v>Rp52,000-2 BOX-0.00%</v>
      </c>
      <c r="Q3891" s="92">
        <v>45423.0</v>
      </c>
      <c r="R3891" s="114">
        <v>45422.0</v>
      </c>
      <c r="S3891" s="92">
        <v>45430.0</v>
      </c>
      <c r="T3891" s="49"/>
      <c r="V3891" s="21" t="s">
        <v>139</v>
      </c>
    </row>
    <row r="3892">
      <c r="A3892" s="93">
        <v>4267.0</v>
      </c>
      <c r="B3892" s="77" t="s">
        <v>65</v>
      </c>
      <c r="C3892" s="77" t="s">
        <v>3559</v>
      </c>
      <c r="D3892" s="77" t="s">
        <v>1450</v>
      </c>
      <c r="E3892" s="41" t="str">
        <f>IFERROR(__xludf.DUMMYFUNCTION("IFNA(vlookup(D3892,IMPORTRANGE(""https://docs.google.com/spreadsheets/d/1swGwZOEqYlTEUCJLY-eeJM1911Kvaei5oySBIxdgtNo/edit?pli=1#gid=257618397"",""stock untanna!B:C""),2,false),V:V)"),"PALET APEL")</f>
        <v>PALET APEL</v>
      </c>
      <c r="F3892" s="49"/>
      <c r="G3892" s="71"/>
      <c r="H3892" s="41"/>
      <c r="I3892" s="42"/>
      <c r="J3892" s="85" t="s">
        <v>1319</v>
      </c>
      <c r="K3892" s="93">
        <v>3.0</v>
      </c>
      <c r="L3892" s="112" t="s">
        <v>62</v>
      </c>
      <c r="M3892" s="113">
        <v>10000.0</v>
      </c>
      <c r="N3892" s="74"/>
      <c r="O3892" s="87">
        <f t="shared" si="11"/>
        <v>30000</v>
      </c>
      <c r="P3892" s="102" t="str">
        <f t="shared" si="2"/>
        <v>Rp10,000-3 LSN-0.00%</v>
      </c>
      <c r="Q3892" s="92">
        <v>45423.0</v>
      </c>
      <c r="R3892" s="114">
        <v>45422.0</v>
      </c>
      <c r="S3892" s="92">
        <v>45430.0</v>
      </c>
      <c r="T3892" s="49"/>
      <c r="V3892" s="21" t="s">
        <v>1451</v>
      </c>
    </row>
    <row r="3893">
      <c r="A3893" s="93">
        <v>4267.0</v>
      </c>
      <c r="B3893" s="77" t="s">
        <v>65</v>
      </c>
      <c r="C3893" s="77" t="s">
        <v>3559</v>
      </c>
      <c r="D3893" s="77" t="s">
        <v>547</v>
      </c>
      <c r="E3893" s="41" t="str">
        <f>IFERROR(__xludf.DUMMYFUNCTION("IFNA(vlookup(D3893,IMPORTRANGE(""https://docs.google.com/spreadsheets/d/1swGwZOEqYlTEUCJLY-eeJM1911Kvaei5oySBIxdgtNo/edit?pli=1#gid=257618397"",""stock untanna!B:C""),2,false),V:V)"),"PALET 21839-12")</f>
        <v>PALET 21839-12</v>
      </c>
      <c r="F3893" s="49"/>
      <c r="G3893" s="71"/>
      <c r="H3893" s="41"/>
      <c r="I3893" s="42"/>
      <c r="J3893" s="85" t="s">
        <v>1319</v>
      </c>
      <c r="K3893" s="93">
        <v>36.0</v>
      </c>
      <c r="L3893" s="112" t="s">
        <v>69</v>
      </c>
      <c r="M3893" s="113">
        <v>2250.0</v>
      </c>
      <c r="N3893" s="74"/>
      <c r="O3893" s="87">
        <f t="shared" si="11"/>
        <v>81000</v>
      </c>
      <c r="P3893" s="102" t="str">
        <f t="shared" si="2"/>
        <v>Rp2,250-36 PCS-0.00%</v>
      </c>
      <c r="Q3893" s="92">
        <v>45423.0</v>
      </c>
      <c r="R3893" s="114">
        <v>45422.0</v>
      </c>
      <c r="S3893" s="92">
        <v>45430.0</v>
      </c>
      <c r="T3893" s="49"/>
      <c r="V3893" s="21" t="s">
        <v>548</v>
      </c>
    </row>
    <row r="3894">
      <c r="A3894" s="93">
        <v>4267.0</v>
      </c>
      <c r="B3894" s="77" t="s">
        <v>65</v>
      </c>
      <c r="C3894" s="77" t="s">
        <v>3559</v>
      </c>
      <c r="D3894" s="77" t="s">
        <v>1169</v>
      </c>
      <c r="E3894" s="41" t="str">
        <f>IFERROR(__xludf.DUMMYFUNCTION("IFNA(vlookup(D3894,IMPORTRANGE(""https://docs.google.com/spreadsheets/d/1swGwZOEqYlTEUCJLY-eeJM1911Kvaei5oySBIxdgtNo/edit?pli=1#gid=257618397"",""stock untanna!B:C""),2,false),V:V)"),"MAGNET 034")</f>
        <v>MAGNET 034</v>
      </c>
      <c r="F3894" s="49"/>
      <c r="G3894" s="71"/>
      <c r="H3894" s="41"/>
      <c r="I3894" s="42"/>
      <c r="J3894" s="85" t="s">
        <v>1319</v>
      </c>
      <c r="K3894" s="93">
        <v>6.0</v>
      </c>
      <c r="L3894" s="112" t="s">
        <v>69</v>
      </c>
      <c r="M3894" s="113">
        <v>5000.0</v>
      </c>
      <c r="N3894" s="74"/>
      <c r="O3894" s="87">
        <f t="shared" si="11"/>
        <v>30000</v>
      </c>
      <c r="P3894" s="102" t="str">
        <f t="shared" si="2"/>
        <v>Rp5,000-6 PCS-0.00%</v>
      </c>
      <c r="Q3894" s="92">
        <v>45423.0</v>
      </c>
      <c r="R3894" s="114">
        <v>45422.0</v>
      </c>
      <c r="S3894" s="92">
        <v>45430.0</v>
      </c>
      <c r="T3894" s="49"/>
      <c r="V3894" s="21" t="s">
        <v>1170</v>
      </c>
    </row>
    <row r="3895">
      <c r="A3895" s="93">
        <v>4267.0</v>
      </c>
      <c r="B3895" s="77" t="s">
        <v>65</v>
      </c>
      <c r="C3895" s="77" t="s">
        <v>3559</v>
      </c>
      <c r="D3895" s="77" t="s">
        <v>3560</v>
      </c>
      <c r="E3895" s="41" t="str">
        <f>IFERROR(__xludf.DUMMYFUNCTION("IFNA(vlookup(D3895,IMPORTRANGE(""https://docs.google.com/spreadsheets/d/1swGwZOEqYlTEUCJLY-eeJM1911Kvaei5oySBIxdgtNo/edit?pli=1#gid=257618397"",""stock untanna!B:C""),2,false),V:V)"),"MAGNET 003")</f>
        <v>MAGNET 003</v>
      </c>
      <c r="F3895" s="49"/>
      <c r="G3895" s="71"/>
      <c r="H3895" s="41"/>
      <c r="I3895" s="42"/>
      <c r="J3895" s="85" t="s">
        <v>1319</v>
      </c>
      <c r="K3895" s="93">
        <v>6.0</v>
      </c>
      <c r="L3895" s="112" t="s">
        <v>69</v>
      </c>
      <c r="M3895" s="113">
        <v>20000.0</v>
      </c>
      <c r="N3895" s="74"/>
      <c r="O3895" s="87">
        <f t="shared" si="11"/>
        <v>120000</v>
      </c>
      <c r="P3895" s="102" t="str">
        <f t="shared" si="2"/>
        <v>Rp20,000-6 PCS-0.00%</v>
      </c>
      <c r="Q3895" s="92">
        <v>45423.0</v>
      </c>
      <c r="R3895" s="114">
        <v>45422.0</v>
      </c>
      <c r="S3895" s="92">
        <v>45430.0</v>
      </c>
      <c r="T3895" s="49"/>
      <c r="V3895" s="21" t="s">
        <v>3561</v>
      </c>
    </row>
    <row r="3896">
      <c r="A3896" s="93">
        <v>4267.0</v>
      </c>
      <c r="B3896" s="77" t="s">
        <v>65</v>
      </c>
      <c r="C3896" s="77" t="s">
        <v>3559</v>
      </c>
      <c r="D3896" s="77" t="s">
        <v>1275</v>
      </c>
      <c r="E3896" s="41" t="str">
        <f>IFERROR(__xludf.DUMMYFUNCTION("IFNA(vlookup(D3896,IMPORTRANGE(""https://docs.google.com/spreadsheets/d/1swGwZOEqYlTEUCJLY-eeJM1911Kvaei5oySBIxdgtNo/edit?pli=1#gid=257618397"",""stock untanna!B:C""),2,false),V:V)"),"BALON FS POLKADOT LKF 3200 PP")</f>
        <v>BALON FS POLKADOT LKF 3200 PP</v>
      </c>
      <c r="F3896" s="49"/>
      <c r="G3896" s="71"/>
      <c r="H3896" s="41"/>
      <c r="I3896" s="42"/>
      <c r="J3896" s="85" t="s">
        <v>1319</v>
      </c>
      <c r="K3896" s="93">
        <v>2.0</v>
      </c>
      <c r="L3896" s="112" t="s">
        <v>1521</v>
      </c>
      <c r="M3896" s="113">
        <v>125000.0</v>
      </c>
      <c r="N3896" s="74"/>
      <c r="O3896" s="87">
        <f t="shared" si="11"/>
        <v>250000</v>
      </c>
      <c r="P3896" s="102" t="str">
        <f t="shared" si="2"/>
        <v>Rp125,000-2 DISP-0.00%</v>
      </c>
      <c r="Q3896" s="92">
        <v>45423.0</v>
      </c>
      <c r="R3896" s="114">
        <v>45422.0</v>
      </c>
      <c r="S3896" s="92">
        <v>45430.0</v>
      </c>
      <c r="T3896" s="49"/>
      <c r="V3896" s="21" t="s">
        <v>1276</v>
      </c>
    </row>
    <row r="3897">
      <c r="A3897" s="93">
        <v>4267.0</v>
      </c>
      <c r="B3897" s="77" t="s">
        <v>65</v>
      </c>
      <c r="C3897" s="77" t="s">
        <v>3559</v>
      </c>
      <c r="D3897" s="77" t="s">
        <v>2941</v>
      </c>
      <c r="E3897" s="41" t="str">
        <f>IFERROR(__xludf.DUMMYFUNCTION("IFNA(vlookup(D3897,IMPORTRANGE(""https://docs.google.com/spreadsheets/d/1swGwZOEqYlTEUCJLY-eeJM1911Kvaei5oySBIxdgtNo/edit?pli=1#gid=257618397"",""stock untanna!B:C""),2,false),V:V)"),"BALON METALIK HB LMS 2800 HB")</f>
        <v>BALON METALIK HB LMS 2800 HB</v>
      </c>
      <c r="F3897" s="49"/>
      <c r="G3897" s="71"/>
      <c r="H3897" s="41"/>
      <c r="I3897" s="42"/>
      <c r="J3897" s="85" t="s">
        <v>1319</v>
      </c>
      <c r="K3897" s="93">
        <v>2.0</v>
      </c>
      <c r="L3897" s="112" t="s">
        <v>1521</v>
      </c>
      <c r="M3897" s="113">
        <v>100000.0</v>
      </c>
      <c r="N3897" s="74"/>
      <c r="O3897" s="87">
        <f t="shared" si="11"/>
        <v>200000</v>
      </c>
      <c r="P3897" s="102" t="str">
        <f t="shared" si="2"/>
        <v>Rp100,000-2 DISP-0.00%</v>
      </c>
      <c r="Q3897" s="92">
        <v>45423.0</v>
      </c>
      <c r="R3897" s="114">
        <v>45422.0</v>
      </c>
      <c r="S3897" s="92">
        <v>45430.0</v>
      </c>
      <c r="T3897" s="49"/>
      <c r="V3897" s="21" t="s">
        <v>2942</v>
      </c>
    </row>
    <row r="3898">
      <c r="A3898" s="93">
        <v>4267.0</v>
      </c>
      <c r="B3898" s="77" t="s">
        <v>65</v>
      </c>
      <c r="C3898" s="77" t="s">
        <v>3559</v>
      </c>
      <c r="D3898" s="91"/>
      <c r="E3898" s="41" t="str">
        <f>IFERROR(__xludf.DUMMYFUNCTION("IFNA(vlookup(D3898,IMPORTRANGE(""https://docs.google.com/spreadsheets/d/1swGwZOEqYlTEUCJLY-eeJM1911Kvaei5oySBIxdgtNo/edit?pli=1#gid=257618397"",""stock untanna!B:C""),2,false),V:V)"),"KARET GELANG BESAR UTN")</f>
        <v>KARET GELANG BESAR UTN</v>
      </c>
      <c r="F3898" s="49"/>
      <c r="G3898" s="71"/>
      <c r="H3898" s="41"/>
      <c r="I3898" s="42"/>
      <c r="J3898" s="85" t="s">
        <v>3190</v>
      </c>
      <c r="K3898" s="93">
        <v>6.0</v>
      </c>
      <c r="L3898" s="112" t="s">
        <v>114</v>
      </c>
      <c r="M3898" s="113">
        <v>25000.0</v>
      </c>
      <c r="N3898" s="74"/>
      <c r="O3898" s="87">
        <f t="shared" si="11"/>
        <v>150000</v>
      </c>
      <c r="P3898" s="102" t="str">
        <f t="shared" si="2"/>
        <v>Rp25,000-6 PAK-0.00%</v>
      </c>
      <c r="Q3898" s="92">
        <v>45423.0</v>
      </c>
      <c r="R3898" s="114">
        <v>45422.0</v>
      </c>
      <c r="S3898" s="92">
        <v>45430.0</v>
      </c>
      <c r="T3898" s="49"/>
      <c r="V3898" s="21" t="s">
        <v>3157</v>
      </c>
    </row>
    <row r="3899">
      <c r="A3899" s="93">
        <v>4267.0</v>
      </c>
      <c r="B3899" s="77" t="s">
        <v>65</v>
      </c>
      <c r="C3899" s="77" t="s">
        <v>3559</v>
      </c>
      <c r="D3899" s="91"/>
      <c r="E3899" s="41" t="str">
        <f>IFERROR(__xludf.DUMMYFUNCTION("IFNA(vlookup(D3899,IMPORTRANGE(""https://docs.google.com/spreadsheets/d/1swGwZOEqYlTEUCJLY-eeJM1911Kvaei5oySBIxdgtNo/edit?pli=1#gid=257618397"",""stock untanna!B:C""),2,false),V:V)"),"PITA TARIK/KADO 23 BIASA")</f>
        <v>PITA TARIK/KADO 23 BIASA</v>
      </c>
      <c r="F3899" s="49"/>
      <c r="G3899" s="71"/>
      <c r="H3899" s="41"/>
      <c r="I3899" s="42"/>
      <c r="J3899" s="85" t="s">
        <v>3190</v>
      </c>
      <c r="K3899" s="93">
        <v>40.0</v>
      </c>
      <c r="L3899" s="112" t="s">
        <v>69</v>
      </c>
      <c r="M3899" s="113">
        <v>2000.0</v>
      </c>
      <c r="N3899" s="74"/>
      <c r="O3899" s="87">
        <f t="shared" si="11"/>
        <v>80000</v>
      </c>
      <c r="P3899" s="102" t="str">
        <f t="shared" si="2"/>
        <v>Rp2,000-40 PCS-0.00%</v>
      </c>
      <c r="Q3899" s="92">
        <v>45423.0</v>
      </c>
      <c r="R3899" s="114">
        <v>45422.0</v>
      </c>
      <c r="S3899" s="92">
        <v>45430.0</v>
      </c>
      <c r="T3899" s="49"/>
      <c r="V3899" s="21" t="s">
        <v>3562</v>
      </c>
    </row>
    <row r="3900">
      <c r="A3900" s="93">
        <v>4267.0</v>
      </c>
      <c r="B3900" s="77" t="s">
        <v>65</v>
      </c>
      <c r="C3900" s="77" t="s">
        <v>3559</v>
      </c>
      <c r="D3900" s="77" t="s">
        <v>3318</v>
      </c>
      <c r="E3900" s="41" t="str">
        <f>IFERROR(__xludf.DUMMYFUNCTION("IFNA(vlookup(D3900,IMPORTRANGE(""https://docs.google.com/spreadsheets/d/1swGwZOEqYlTEUCJLY-eeJM1911Kvaei5oySBIxdgtNo/edit?pli=1#gid=257618397"",""stock untanna!B:C""),2,false),V:V)"),"PITA TARIK/KADO 23 LIST GOLD (LISMAS)")</f>
        <v>PITA TARIK/KADO 23 LIST GOLD (LISMAS)</v>
      </c>
      <c r="F3900" s="49"/>
      <c r="G3900" s="71"/>
      <c r="H3900" s="41"/>
      <c r="I3900" s="42"/>
      <c r="J3900" s="85" t="s">
        <v>1319</v>
      </c>
      <c r="K3900" s="93">
        <v>40.0</v>
      </c>
      <c r="L3900" s="112" t="s">
        <v>69</v>
      </c>
      <c r="M3900" s="113">
        <v>3500.0</v>
      </c>
      <c r="N3900" s="74"/>
      <c r="O3900" s="87">
        <f t="shared" si="11"/>
        <v>140000</v>
      </c>
      <c r="P3900" s="102" t="str">
        <f t="shared" si="2"/>
        <v>Rp3,500-40 PCS-0.00%</v>
      </c>
      <c r="Q3900" s="92">
        <v>45423.0</v>
      </c>
      <c r="R3900" s="114">
        <v>45422.0</v>
      </c>
      <c r="S3900" s="92">
        <v>45430.0</v>
      </c>
      <c r="T3900" s="49"/>
      <c r="V3900" s="21" t="s">
        <v>3319</v>
      </c>
    </row>
    <row r="3901">
      <c r="A3901" s="93">
        <v>4267.0</v>
      </c>
      <c r="B3901" s="77" t="s">
        <v>65</v>
      </c>
      <c r="C3901" s="77" t="s">
        <v>3559</v>
      </c>
      <c r="D3901" s="77" t="s">
        <v>3563</v>
      </c>
      <c r="E3901" s="41" t="str">
        <f>IFERROR(__xludf.DUMMYFUNCTION("IFNA(vlookup(D3901,IMPORTRANGE(""https://docs.google.com/spreadsheets/d/1swGwZOEqYlTEUCJLY-eeJM1911Kvaei5oySBIxdgtNo/edit?pli=1#gid=257618397"",""stock untanna!B:C""),2,false),V:V)"),"PITA TARIK/KADO 18 BIASA")</f>
        <v>PITA TARIK/KADO 18 BIASA</v>
      </c>
      <c r="F3901" s="49"/>
      <c r="G3901" s="71"/>
      <c r="H3901" s="41"/>
      <c r="I3901" s="42"/>
      <c r="J3901" s="85" t="s">
        <v>1319</v>
      </c>
      <c r="K3901" s="93">
        <v>40.0</v>
      </c>
      <c r="L3901" s="112" t="s">
        <v>69</v>
      </c>
      <c r="M3901" s="113">
        <v>1700.0</v>
      </c>
      <c r="N3901" s="74"/>
      <c r="O3901" s="87">
        <f t="shared" si="11"/>
        <v>68000</v>
      </c>
      <c r="P3901" s="102" t="str">
        <f t="shared" si="2"/>
        <v>Rp1,700-40 PCS-0.00%</v>
      </c>
      <c r="Q3901" s="92">
        <v>45423.0</v>
      </c>
      <c r="R3901" s="114">
        <v>45422.0</v>
      </c>
      <c r="S3901" s="92">
        <v>45430.0</v>
      </c>
      <c r="T3901" s="49"/>
      <c r="V3901" s="21" t="s">
        <v>3564</v>
      </c>
    </row>
    <row r="3902">
      <c r="A3902" s="93">
        <v>4267.0</v>
      </c>
      <c r="B3902" s="77" t="s">
        <v>65</v>
      </c>
      <c r="C3902" s="77" t="s">
        <v>3559</v>
      </c>
      <c r="D3902" s="77" t="s">
        <v>3565</v>
      </c>
      <c r="E3902" s="41" t="str">
        <f>IFERROR(__xludf.DUMMYFUNCTION("IFNA(vlookup(D3902,IMPORTRANGE(""https://docs.google.com/spreadsheets/d/1swGwZOEqYlTEUCJLY-eeJM1911Kvaei5oySBIxdgtNo/edit?pli=1#gid=257618397"",""stock untanna!B:C""),2,false),V:V)"),"PITA TARIK/KADO 18 LS")</f>
        <v>PITA TARIK/KADO 18 LS</v>
      </c>
      <c r="F3902" s="49"/>
      <c r="G3902" s="71"/>
      <c r="H3902" s="41"/>
      <c r="I3902" s="42"/>
      <c r="J3902" s="85" t="s">
        <v>1319</v>
      </c>
      <c r="K3902" s="93">
        <v>40.0</v>
      </c>
      <c r="L3902" s="112" t="s">
        <v>69</v>
      </c>
      <c r="M3902" s="113">
        <v>3250.0</v>
      </c>
      <c r="N3902" s="74"/>
      <c r="O3902" s="87">
        <f t="shared" si="11"/>
        <v>130000</v>
      </c>
      <c r="P3902" s="102" t="str">
        <f t="shared" si="2"/>
        <v>Rp3,250-40 PCS-0.00%</v>
      </c>
      <c r="Q3902" s="92">
        <v>45423.0</v>
      </c>
      <c r="R3902" s="114">
        <v>45422.0</v>
      </c>
      <c r="S3902" s="92">
        <v>45430.0</v>
      </c>
      <c r="T3902" s="49"/>
      <c r="V3902" s="21" t="s">
        <v>3566</v>
      </c>
    </row>
    <row r="3903">
      <c r="A3903" s="93">
        <v>4267.0</v>
      </c>
      <c r="B3903" s="77" t="s">
        <v>65</v>
      </c>
      <c r="C3903" s="77" t="s">
        <v>3559</v>
      </c>
      <c r="D3903" s="91"/>
      <c r="E3903" s="41" t="str">
        <f>IFERROR(__xludf.DUMMYFUNCTION("IFNA(vlookup(D3903,IMPORTRANGE(""https://docs.google.com/spreadsheets/d/1swGwZOEqYlTEUCJLY-eeJM1911Kvaei5oySBIxdgtNo/edit?pli=1#gid=257618397"",""stock untanna!B:C""),2,false),V:V)"),"KARET GELANG KCL")</f>
        <v>KARET GELANG KCL</v>
      </c>
      <c r="F3903" s="49"/>
      <c r="G3903" s="71"/>
      <c r="H3903" s="41"/>
      <c r="I3903" s="42"/>
      <c r="J3903" s="85" t="s">
        <v>3190</v>
      </c>
      <c r="K3903" s="93">
        <v>10.0</v>
      </c>
      <c r="L3903" s="112" t="s">
        <v>69</v>
      </c>
      <c r="M3903" s="113">
        <v>6500.0</v>
      </c>
      <c r="N3903" s="74"/>
      <c r="O3903" s="87">
        <f t="shared" si="11"/>
        <v>65000</v>
      </c>
      <c r="P3903" s="102" t="str">
        <f t="shared" si="2"/>
        <v>Rp6,500-10 PCS-0.00%</v>
      </c>
      <c r="Q3903" s="92">
        <v>45423.0</v>
      </c>
      <c r="R3903" s="114">
        <v>45422.0</v>
      </c>
      <c r="S3903" s="92">
        <v>45430.0</v>
      </c>
      <c r="T3903" s="49"/>
      <c r="V3903" s="21" t="s">
        <v>3567</v>
      </c>
    </row>
    <row r="3904">
      <c r="A3904" s="93">
        <v>4267.0</v>
      </c>
      <c r="B3904" s="77" t="s">
        <v>65</v>
      </c>
      <c r="C3904" s="77" t="s">
        <v>3559</v>
      </c>
      <c r="D3904" s="91"/>
      <c r="E3904" s="41" t="str">
        <f>IFERROR(__xludf.DUMMYFUNCTION("IFNA(vlookup(D3904,IMPORTRANGE(""https://docs.google.com/spreadsheets/d/1swGwZOEqYlTEUCJLY-eeJM1911Kvaei5oySBIxdgtNo/edit?pli=1#gid=257618397"",""stock untanna!B:C""),2,false),V:V)"),"BENDERA PLST BIASA")</f>
        <v>BENDERA PLST BIASA</v>
      </c>
      <c r="F3904" s="49"/>
      <c r="G3904" s="71"/>
      <c r="H3904" s="41"/>
      <c r="I3904" s="42"/>
      <c r="J3904" s="85" t="s">
        <v>3190</v>
      </c>
      <c r="K3904" s="93">
        <v>50.0</v>
      </c>
      <c r="L3904" s="112" t="s">
        <v>69</v>
      </c>
      <c r="M3904" s="113">
        <v>3500.0</v>
      </c>
      <c r="N3904" s="74"/>
      <c r="O3904" s="87">
        <f t="shared" si="11"/>
        <v>175000</v>
      </c>
      <c r="P3904" s="102" t="str">
        <f t="shared" si="2"/>
        <v>Rp3,500-50 PCS-0.00%</v>
      </c>
      <c r="Q3904" s="92">
        <v>45423.0</v>
      </c>
      <c r="R3904" s="114">
        <v>45422.0</v>
      </c>
      <c r="S3904" s="92">
        <v>45430.0</v>
      </c>
      <c r="T3904" s="49"/>
      <c r="V3904" s="21" t="s">
        <v>3568</v>
      </c>
    </row>
    <row r="3905">
      <c r="A3905" s="93">
        <v>4267.0</v>
      </c>
      <c r="B3905" s="77" t="s">
        <v>65</v>
      </c>
      <c r="C3905" s="77" t="s">
        <v>3559</v>
      </c>
      <c r="D3905" s="91"/>
      <c r="E3905" s="41" t="str">
        <f>IFERROR(__xludf.DUMMYFUNCTION("IFNA(vlookup(D3905,IMPORTRANGE(""https://docs.google.com/spreadsheets/d/1swGwZOEqYlTEUCJLY-eeJM1911Kvaei5oySBIxdgtNo/edit?pli=1#gid=257618397"",""stock untanna!B:C""),2,false),V:V)"),"BENDERA PLST TALI")</f>
        <v>BENDERA PLST TALI</v>
      </c>
      <c r="F3905" s="49"/>
      <c r="G3905" s="71"/>
      <c r="H3905" s="41"/>
      <c r="I3905" s="42"/>
      <c r="J3905" s="85" t="s">
        <v>3190</v>
      </c>
      <c r="K3905" s="93">
        <v>50.0</v>
      </c>
      <c r="L3905" s="112" t="s">
        <v>69</v>
      </c>
      <c r="M3905" s="113">
        <v>3500.0</v>
      </c>
      <c r="N3905" s="74"/>
      <c r="O3905" s="87">
        <f t="shared" si="11"/>
        <v>175000</v>
      </c>
      <c r="P3905" s="102" t="str">
        <f t="shared" si="2"/>
        <v>Rp3,500-50 PCS-0.00%</v>
      </c>
      <c r="Q3905" s="92">
        <v>45423.0</v>
      </c>
      <c r="R3905" s="114">
        <v>45422.0</v>
      </c>
      <c r="S3905" s="92">
        <v>45430.0</v>
      </c>
      <c r="T3905" s="49"/>
      <c r="V3905" s="21" t="s">
        <v>3569</v>
      </c>
    </row>
    <row r="3906">
      <c r="A3906" s="93">
        <v>4267.0</v>
      </c>
      <c r="B3906" s="77" t="s">
        <v>65</v>
      </c>
      <c r="C3906" s="77" t="s">
        <v>3559</v>
      </c>
      <c r="D3906" s="77" t="s">
        <v>3570</v>
      </c>
      <c r="E3906" s="41" t="str">
        <f>IFERROR(__xludf.DUMMYFUNCTION("IFNA(vlookup(D3906,IMPORTRANGE(""https://docs.google.com/spreadsheets/d/1swGwZOEqYlTEUCJLY-eeJM1911Kvaei5oySBIxdgtNo/edit?pli=1#gid=257618397"",""stock untanna!B:C""),2,false),V:V)"),"PW PASTEL TF 195 12W")</f>
        <v>PW PASTEL TF 195 12W</v>
      </c>
      <c r="F3906" s="49"/>
      <c r="G3906" s="71"/>
      <c r="H3906" s="41"/>
      <c r="I3906" s="42"/>
      <c r="J3906" s="85" t="s">
        <v>1319</v>
      </c>
      <c r="K3906" s="93">
        <v>1.0</v>
      </c>
      <c r="L3906" s="112" t="s">
        <v>62</v>
      </c>
      <c r="M3906" s="113">
        <v>150000.0</v>
      </c>
      <c r="N3906" s="74"/>
      <c r="O3906" s="87">
        <f t="shared" si="11"/>
        <v>150000</v>
      </c>
      <c r="P3906" s="102" t="str">
        <f t="shared" si="2"/>
        <v>Rp150,000-1 LSN-0.00%</v>
      </c>
      <c r="Q3906" s="92">
        <v>45423.0</v>
      </c>
      <c r="R3906" s="114">
        <v>45422.0</v>
      </c>
      <c r="S3906" s="92">
        <v>45430.0</v>
      </c>
      <c r="T3906" s="49"/>
      <c r="V3906" s="21" t="s">
        <v>3571</v>
      </c>
    </row>
    <row r="3907">
      <c r="A3907" s="93">
        <v>4268.0</v>
      </c>
      <c r="B3907" s="77" t="s">
        <v>65</v>
      </c>
      <c r="C3907" s="77" t="s">
        <v>3559</v>
      </c>
      <c r="D3907" s="77" t="s">
        <v>1341</v>
      </c>
      <c r="E3907" s="41" t="str">
        <f>IFERROR(__xludf.DUMMYFUNCTION("IFNA(vlookup(D3907,IMPORTRANGE(""https://docs.google.com/spreadsheets/d/1swGwZOEqYlTEUCJLY-eeJM1911Kvaei5oySBIxdgtNo/edit?pli=1#gid=257618397"",""stock untanna!B:C""),2,false),V:V)"),"STABILLO TF-1145 LIVE COLOUR PASTEL")</f>
        <v>STABILLO TF-1145 LIVE COLOUR PASTEL</v>
      </c>
      <c r="F3907" s="49"/>
      <c r="G3907" s="71"/>
      <c r="H3907" s="41"/>
      <c r="I3907" s="42"/>
      <c r="J3907" s="85" t="s">
        <v>1319</v>
      </c>
      <c r="K3907" s="93">
        <v>2.0</v>
      </c>
      <c r="L3907" s="112" t="s">
        <v>62</v>
      </c>
      <c r="M3907" s="113">
        <v>25000.0</v>
      </c>
      <c r="N3907" s="74"/>
      <c r="O3907" s="87">
        <f t="shared" si="11"/>
        <v>50000</v>
      </c>
      <c r="P3907" s="102" t="str">
        <f t="shared" si="2"/>
        <v>Rp25,000-2 LSN-0.00%</v>
      </c>
      <c r="Q3907" s="92">
        <v>45423.0</v>
      </c>
      <c r="R3907" s="114">
        <v>45422.0</v>
      </c>
      <c r="S3907" s="92">
        <v>45430.0</v>
      </c>
      <c r="T3907" s="49"/>
      <c r="V3907" s="21" t="s">
        <v>1342</v>
      </c>
    </row>
    <row r="3908">
      <c r="A3908" s="93">
        <v>4268.0</v>
      </c>
      <c r="B3908" s="77" t="s">
        <v>65</v>
      </c>
      <c r="C3908" s="77" t="s">
        <v>3559</v>
      </c>
      <c r="D3908" s="77" t="s">
        <v>2002</v>
      </c>
      <c r="E3908" s="41" t="str">
        <f>IFERROR(__xludf.DUMMYFUNCTION("IFNA(vlookup(D3908,IMPORTRANGE(""https://docs.google.com/spreadsheets/d/1swGwZOEqYlTEUCJLY-eeJM1911Kvaei5oySBIxdgtNo/edit?pli=1#gid=257618397"",""stock untanna!B:C""),2,false),V:V)"),"STABILO DEBOZZ SB 007")</f>
        <v>STABILO DEBOZZ SB 007</v>
      </c>
      <c r="F3908" s="49"/>
      <c r="G3908" s="71"/>
      <c r="H3908" s="41"/>
      <c r="I3908" s="42"/>
      <c r="J3908" s="85" t="s">
        <v>1319</v>
      </c>
      <c r="K3908" s="93">
        <v>5.0</v>
      </c>
      <c r="L3908" s="112" t="s">
        <v>62</v>
      </c>
      <c r="M3908" s="113">
        <v>22500.0</v>
      </c>
      <c r="N3908" s="74"/>
      <c r="O3908" s="87">
        <f t="shared" si="11"/>
        <v>112500</v>
      </c>
      <c r="P3908" s="102" t="str">
        <f t="shared" si="2"/>
        <v>Rp22,500-5 LSN-0.00%</v>
      </c>
      <c r="Q3908" s="92">
        <v>45423.0</v>
      </c>
      <c r="R3908" s="114">
        <v>45422.0</v>
      </c>
      <c r="S3908" s="92">
        <v>45430.0</v>
      </c>
      <c r="T3908" s="49"/>
      <c r="V3908" s="21" t="s">
        <v>2003</v>
      </c>
    </row>
    <row r="3909">
      <c r="A3909" s="93">
        <v>4268.0</v>
      </c>
      <c r="B3909" s="77" t="s">
        <v>65</v>
      </c>
      <c r="C3909" s="77" t="s">
        <v>3559</v>
      </c>
      <c r="D3909" s="77" t="s">
        <v>698</v>
      </c>
      <c r="E3909" s="41" t="str">
        <f>IFERROR(__xludf.DUMMYFUNCTION("IFNA(vlookup(D3909,IMPORTRANGE(""https://docs.google.com/spreadsheets/d/1swGwZOEqYlTEUCJLY-eeJM1911Kvaei5oySBIxdgtNo/edit?pli=1#gid=257618397"",""stock untanna!B:C""),2,false),V:V)"),"BP GEL TIZO 1.0 TG630-A")</f>
        <v>BP GEL TIZO 1.0 TG630-A</v>
      </c>
      <c r="F3909" s="49"/>
      <c r="G3909" s="71"/>
      <c r="H3909" s="41"/>
      <c r="I3909" s="42"/>
      <c r="J3909" s="85" t="s">
        <v>1319</v>
      </c>
      <c r="K3909" s="93">
        <v>2.0</v>
      </c>
      <c r="L3909" s="112" t="s">
        <v>62</v>
      </c>
      <c r="M3909" s="113">
        <v>48000.0</v>
      </c>
      <c r="N3909" s="74"/>
      <c r="O3909" s="87">
        <f t="shared" si="11"/>
        <v>96000</v>
      </c>
      <c r="P3909" s="102" t="str">
        <f t="shared" si="2"/>
        <v>Rp48,000-2 LSN-0.00%</v>
      </c>
      <c r="Q3909" s="92">
        <v>45423.0</v>
      </c>
      <c r="R3909" s="114">
        <v>45422.0</v>
      </c>
      <c r="S3909" s="92">
        <v>45430.0</v>
      </c>
      <c r="T3909" s="49"/>
      <c r="V3909" s="21" t="s">
        <v>699</v>
      </c>
    </row>
    <row r="3910">
      <c r="A3910" s="93">
        <v>4268.0</v>
      </c>
      <c r="B3910" s="77" t="s">
        <v>65</v>
      </c>
      <c r="C3910" s="77" t="s">
        <v>3559</v>
      </c>
      <c r="D3910" s="77" t="s">
        <v>2538</v>
      </c>
      <c r="E3910" s="41" t="str">
        <f>IFERROR(__xludf.DUMMYFUNCTION("IFNA(vlookup(D3910,IMPORTRANGE(""https://docs.google.com/spreadsheets/d/1swGwZOEqYlTEUCJLY-eeJM1911Kvaei5oySBIxdgtNo/edit?pli=1#gid=257618397"",""stock untanna!B:C""),2,false),V:V)"),"BP GEL CS-G208")</f>
        <v>BP GEL CS-G208</v>
      </c>
      <c r="F3910" s="49"/>
      <c r="G3910" s="71"/>
      <c r="H3910" s="41"/>
      <c r="I3910" s="42"/>
      <c r="J3910" s="85" t="s">
        <v>1319</v>
      </c>
      <c r="K3910" s="93">
        <v>3.0</v>
      </c>
      <c r="L3910" s="112" t="s">
        <v>62</v>
      </c>
      <c r="M3910" s="113">
        <v>27500.0</v>
      </c>
      <c r="N3910" s="74"/>
      <c r="O3910" s="87">
        <f t="shared" si="11"/>
        <v>82500</v>
      </c>
      <c r="P3910" s="102" t="str">
        <f t="shared" si="2"/>
        <v>Rp27,500-3 LSN-0.00%</v>
      </c>
      <c r="Q3910" s="92">
        <v>45423.0</v>
      </c>
      <c r="R3910" s="114">
        <v>45422.0</v>
      </c>
      <c r="S3910" s="92">
        <v>45430.0</v>
      </c>
      <c r="T3910" s="49"/>
      <c r="V3910" s="21" t="s">
        <v>2539</v>
      </c>
    </row>
    <row r="3911">
      <c r="A3911" s="93">
        <v>4268.0</v>
      </c>
      <c r="B3911" s="77" t="s">
        <v>65</v>
      </c>
      <c r="C3911" s="77" t="s">
        <v>3559</v>
      </c>
      <c r="D3911" s="77" t="s">
        <v>750</v>
      </c>
      <c r="E3911" s="41" t="str">
        <f>IFERROR(__xludf.DUMMYFUNCTION("IFNA(vlookup(D3911,IMPORTRANGE(""https://docs.google.com/spreadsheets/d/1swGwZOEqYlTEUCJLY-eeJM1911Kvaei5oySBIxdgtNo/edit?pli=1#gid=257618397"",""stock untanna!B:C""),2,false),V:V)"),"BP X DATA M1")</f>
        <v>BP X DATA M1</v>
      </c>
      <c r="F3911" s="49"/>
      <c r="G3911" s="71"/>
      <c r="H3911" s="41"/>
      <c r="I3911" s="42"/>
      <c r="J3911" s="85" t="s">
        <v>1319</v>
      </c>
      <c r="K3911" s="93">
        <v>6.0</v>
      </c>
      <c r="L3911" s="112" t="s">
        <v>131</v>
      </c>
      <c r="M3911" s="113">
        <v>75000.0</v>
      </c>
      <c r="N3911" s="74"/>
      <c r="O3911" s="87">
        <f t="shared" si="11"/>
        <v>450000</v>
      </c>
      <c r="P3911" s="102" t="str">
        <f t="shared" si="2"/>
        <v>Rp75,000-6 GRS-0.00%</v>
      </c>
      <c r="Q3911" s="92">
        <v>45423.0</v>
      </c>
      <c r="R3911" s="114">
        <v>45422.0</v>
      </c>
      <c r="S3911" s="92">
        <v>45430.0</v>
      </c>
      <c r="T3911" s="49"/>
      <c r="V3911" s="21" t="s">
        <v>751</v>
      </c>
    </row>
    <row r="3912">
      <c r="A3912" s="93">
        <v>4268.0</v>
      </c>
      <c r="B3912" s="77" t="s">
        <v>65</v>
      </c>
      <c r="C3912" s="77" t="s">
        <v>3559</v>
      </c>
      <c r="D3912" s="77" t="s">
        <v>629</v>
      </c>
      <c r="E3912" s="41" t="str">
        <f>IFERROR(__xludf.DUMMYFUNCTION("IFNA(vlookup(D3912,IMPORTRANGE(""https://docs.google.com/spreadsheets/d/1swGwZOEqYlTEUCJLY-eeJM1911Kvaei5oySBIxdgtNo/edit?pli=1#gid=257618397"",""stock untanna!B:C""),2,false),V:V)"),"BP GEL TIZO 30801F S3 FANCY")</f>
        <v>BP GEL TIZO 30801F S3 FANCY</v>
      </c>
      <c r="F3912" s="49"/>
      <c r="G3912" s="71"/>
      <c r="H3912" s="41"/>
      <c r="I3912" s="42"/>
      <c r="J3912" s="85" t="s">
        <v>1319</v>
      </c>
      <c r="K3912" s="93">
        <v>18.0</v>
      </c>
      <c r="L3912" s="112" t="s">
        <v>62</v>
      </c>
      <c r="M3912" s="113">
        <v>18000.0</v>
      </c>
      <c r="N3912" s="74"/>
      <c r="O3912" s="87">
        <f t="shared" si="11"/>
        <v>324000</v>
      </c>
      <c r="P3912" s="102" t="str">
        <f t="shared" si="2"/>
        <v>Rp18,000-18 LSN-0.00%</v>
      </c>
      <c r="Q3912" s="92">
        <v>45423.0</v>
      </c>
      <c r="R3912" s="114">
        <v>45422.0</v>
      </c>
      <c r="S3912" s="92">
        <v>45430.0</v>
      </c>
      <c r="T3912" s="49"/>
      <c r="V3912" s="21" t="s">
        <v>630</v>
      </c>
    </row>
    <row r="3913">
      <c r="A3913" s="93">
        <v>4268.0</v>
      </c>
      <c r="B3913" s="77" t="s">
        <v>65</v>
      </c>
      <c r="C3913" s="77" t="s">
        <v>3559</v>
      </c>
      <c r="D3913" s="77" t="s">
        <v>3572</v>
      </c>
      <c r="E3913" s="41" t="str">
        <f>IFERROR(__xludf.DUMMYFUNCTION("IFNA(vlookup(D3913,IMPORTRANGE(""https://docs.google.com/spreadsheets/d/1swGwZOEqYlTEUCJLY-eeJM1911Kvaei5oySBIxdgtNo/edit?pli=1#gid=257618397"",""stock untanna!B:C""),2,false),V:V)"),"BP GEL TIZO 30900E FANCY")</f>
        <v>BP GEL TIZO 30900E FANCY</v>
      </c>
      <c r="F3913" s="49"/>
      <c r="G3913" s="71"/>
      <c r="H3913" s="41"/>
      <c r="I3913" s="42"/>
      <c r="J3913" s="85" t="s">
        <v>1319</v>
      </c>
      <c r="K3913" s="93">
        <v>9.0</v>
      </c>
      <c r="L3913" s="112" t="s">
        <v>62</v>
      </c>
      <c r="M3913" s="113">
        <v>18000.0</v>
      </c>
      <c r="N3913" s="74"/>
      <c r="O3913" s="87">
        <f t="shared" si="11"/>
        <v>162000</v>
      </c>
      <c r="P3913" s="102" t="str">
        <f t="shared" si="2"/>
        <v>Rp18,000-9 LSN-0.00%</v>
      </c>
      <c r="Q3913" s="92">
        <v>45423.0</v>
      </c>
      <c r="R3913" s="114">
        <v>45422.0</v>
      </c>
      <c r="S3913" s="92">
        <v>45430.0</v>
      </c>
      <c r="T3913" s="49"/>
      <c r="V3913" s="21" t="s">
        <v>3573</v>
      </c>
    </row>
    <row r="3914">
      <c r="A3914" s="93">
        <v>4268.0</v>
      </c>
      <c r="B3914" s="77" t="s">
        <v>65</v>
      </c>
      <c r="C3914" s="77" t="s">
        <v>3559</v>
      </c>
      <c r="D3914" s="77" t="s">
        <v>633</v>
      </c>
      <c r="E3914" s="41" t="str">
        <f>IFERROR(__xludf.DUMMYFUNCTION("IFNA(vlookup(D3914,IMPORTRANGE(""https://docs.google.com/spreadsheets/d/1swGwZOEqYlTEUCJLY-eeJM1911Kvaei5oySBIxdgtNo/edit?pli=1#gid=257618397"",""stock untanna!B:C""),2,false),V:V)"),"BP GEL TIZO 30734F FANCY")</f>
        <v>BP GEL TIZO 30734F FANCY</v>
      </c>
      <c r="F3914" s="49"/>
      <c r="G3914" s="71"/>
      <c r="H3914" s="41"/>
      <c r="I3914" s="42"/>
      <c r="J3914" s="85" t="s">
        <v>1319</v>
      </c>
      <c r="K3914" s="93">
        <v>12.0</v>
      </c>
      <c r="L3914" s="112" t="s">
        <v>62</v>
      </c>
      <c r="M3914" s="113">
        <v>18000.0</v>
      </c>
      <c r="N3914" s="74"/>
      <c r="O3914" s="87">
        <f t="shared" si="11"/>
        <v>216000</v>
      </c>
      <c r="P3914" s="102" t="str">
        <f t="shared" si="2"/>
        <v>Rp18,000-12 LSN-0.00%</v>
      </c>
      <c r="Q3914" s="92">
        <v>45423.0</v>
      </c>
      <c r="R3914" s="114">
        <v>45422.0</v>
      </c>
      <c r="S3914" s="92">
        <v>45430.0</v>
      </c>
      <c r="T3914" s="49"/>
      <c r="V3914" s="21" t="s">
        <v>634</v>
      </c>
    </row>
    <row r="3915">
      <c r="A3915" s="93">
        <v>4268.0</v>
      </c>
      <c r="B3915" s="77" t="s">
        <v>65</v>
      </c>
      <c r="C3915" s="77" t="s">
        <v>3559</v>
      </c>
      <c r="D3915" s="77" t="s">
        <v>2253</v>
      </c>
      <c r="E3915" s="41" t="str">
        <f>IFERROR(__xludf.DUMMYFUNCTION("IFNA(vlookup(D3915,IMPORTRANGE(""https://docs.google.com/spreadsheets/d/1swGwZOEqYlTEUCJLY-eeJM1911Kvaei5oySBIxdgtNo/edit?pli=1#gid=257618397"",""stock untanna!B:C""),2,false),V:V)"),"BP TIZO TG 31475F FANCY")</f>
        <v>BP TIZO TG 31475F FANCY</v>
      </c>
      <c r="F3915" s="49"/>
      <c r="G3915" s="71"/>
      <c r="H3915" s="41"/>
      <c r="I3915" s="42"/>
      <c r="J3915" s="85" t="s">
        <v>1319</v>
      </c>
      <c r="K3915" s="93">
        <v>2.0</v>
      </c>
      <c r="L3915" s="112" t="s">
        <v>62</v>
      </c>
      <c r="M3915" s="113">
        <v>18000.0</v>
      </c>
      <c r="N3915" s="74"/>
      <c r="O3915" s="87">
        <f t="shared" si="11"/>
        <v>36000</v>
      </c>
      <c r="P3915" s="102" t="str">
        <f t="shared" si="2"/>
        <v>Rp18,000-2 LSN-0.00%</v>
      </c>
      <c r="Q3915" s="92">
        <v>45423.0</v>
      </c>
      <c r="R3915" s="114">
        <v>45422.0</v>
      </c>
      <c r="S3915" s="92">
        <v>45430.0</v>
      </c>
      <c r="T3915" s="49"/>
      <c r="V3915" s="21" t="s">
        <v>2254</v>
      </c>
    </row>
    <row r="3916">
      <c r="A3916" s="93">
        <v>4268.0</v>
      </c>
      <c r="B3916" s="77" t="s">
        <v>65</v>
      </c>
      <c r="C3916" s="77" t="s">
        <v>3559</v>
      </c>
      <c r="D3916" s="77" t="s">
        <v>641</v>
      </c>
      <c r="E3916" s="41" t="str">
        <f>IFERROR(__xludf.DUMMYFUNCTION("IFNA(vlookup(D3916,IMPORTRANGE(""https://docs.google.com/spreadsheets/d/1swGwZOEqYlTEUCJLY-eeJM1911Kvaei5oySBIxdgtNo/edit?pli=1#gid=257618397"",""stock untanna!B:C""),2,false),V:V)"),"BP GEL TIZO TG 348F FANCY")</f>
        <v>BP GEL TIZO TG 348F FANCY</v>
      </c>
      <c r="F3916" s="49"/>
      <c r="G3916" s="71"/>
      <c r="H3916" s="41"/>
      <c r="I3916" s="42"/>
      <c r="J3916" s="85" t="s">
        <v>1319</v>
      </c>
      <c r="K3916" s="93">
        <v>2.0</v>
      </c>
      <c r="L3916" s="112" t="s">
        <v>62</v>
      </c>
      <c r="M3916" s="113">
        <v>18000.0</v>
      </c>
      <c r="N3916" s="74"/>
      <c r="O3916" s="87">
        <f t="shared" si="11"/>
        <v>36000</v>
      </c>
      <c r="P3916" s="102" t="str">
        <f t="shared" si="2"/>
        <v>Rp18,000-2 LSN-0.00%</v>
      </c>
      <c r="Q3916" s="92">
        <v>45423.0</v>
      </c>
      <c r="R3916" s="114">
        <v>45422.0</v>
      </c>
      <c r="S3916" s="92">
        <v>45430.0</v>
      </c>
      <c r="T3916" s="49"/>
      <c r="V3916" s="21" t="s">
        <v>2255</v>
      </c>
    </row>
    <row r="3917">
      <c r="A3917" s="93">
        <v>4268.0</v>
      </c>
      <c r="B3917" s="77" t="s">
        <v>65</v>
      </c>
      <c r="C3917" s="77" t="s">
        <v>3559</v>
      </c>
      <c r="D3917" s="77" t="s">
        <v>639</v>
      </c>
      <c r="E3917" s="41" t="str">
        <f>IFERROR(__xludf.DUMMYFUNCTION("IFNA(vlookup(D3917,IMPORTRANGE(""https://docs.google.com/spreadsheets/d/1swGwZOEqYlTEUCJLY-eeJM1911Kvaei5oySBIxdgtNo/edit?pli=1#gid=257618397"",""stock untanna!B:C""),2,false),V:V)"),"BP GEL TIZO 31035F FANCY")</f>
        <v>BP GEL TIZO 31035F FANCY</v>
      </c>
      <c r="F3917" s="49"/>
      <c r="G3917" s="71"/>
      <c r="H3917" s="41"/>
      <c r="I3917" s="42"/>
      <c r="J3917" s="85" t="s">
        <v>1319</v>
      </c>
      <c r="K3917" s="93">
        <v>1.0</v>
      </c>
      <c r="L3917" s="112" t="s">
        <v>62</v>
      </c>
      <c r="M3917" s="113">
        <v>18000.0</v>
      </c>
      <c r="N3917" s="74"/>
      <c r="O3917" s="87">
        <f t="shared" si="11"/>
        <v>18000</v>
      </c>
      <c r="P3917" s="102" t="str">
        <f t="shared" si="2"/>
        <v>Rp18,000-1 LSN-0.00%</v>
      </c>
      <c r="Q3917" s="92">
        <v>45423.0</v>
      </c>
      <c r="R3917" s="114">
        <v>45422.0</v>
      </c>
      <c r="S3917" s="92">
        <v>45430.0</v>
      </c>
      <c r="T3917" s="49"/>
      <c r="V3917" s="21" t="s">
        <v>640</v>
      </c>
    </row>
    <row r="3918">
      <c r="A3918" s="93">
        <v>4268.0</v>
      </c>
      <c r="B3918" s="77" t="s">
        <v>65</v>
      </c>
      <c r="C3918" s="77" t="s">
        <v>3559</v>
      </c>
      <c r="D3918" s="77" t="s">
        <v>631</v>
      </c>
      <c r="E3918" s="41" t="str">
        <f>IFERROR(__xludf.DUMMYFUNCTION("IFNA(vlookup(D3918,IMPORTRANGE(""https://docs.google.com/spreadsheets/d/1swGwZOEqYlTEUCJLY-eeJM1911Kvaei5oySBIxdgtNo/edit?pli=1#gid=257618397"",""stock untanna!B:C""),2,false),V:V)"),"BP TIZO 31810F FANCY")</f>
        <v>BP TIZO 31810F FANCY</v>
      </c>
      <c r="F3918" s="49"/>
      <c r="G3918" s="71"/>
      <c r="H3918" s="41"/>
      <c r="I3918" s="42"/>
      <c r="J3918" s="85" t="s">
        <v>1319</v>
      </c>
      <c r="K3918" s="93">
        <v>2.0</v>
      </c>
      <c r="L3918" s="112" t="s">
        <v>62</v>
      </c>
      <c r="M3918" s="113">
        <v>18000.0</v>
      </c>
      <c r="N3918" s="74"/>
      <c r="O3918" s="87">
        <f t="shared" si="11"/>
        <v>36000</v>
      </c>
      <c r="P3918" s="102" t="str">
        <f t="shared" si="2"/>
        <v>Rp18,000-2 LSN-0.00%</v>
      </c>
      <c r="Q3918" s="92">
        <v>45423.0</v>
      </c>
      <c r="R3918" s="114">
        <v>45422.0</v>
      </c>
      <c r="S3918" s="92">
        <v>45430.0</v>
      </c>
      <c r="T3918" s="49"/>
      <c r="V3918" s="21" t="s">
        <v>632</v>
      </c>
    </row>
    <row r="3919">
      <c r="A3919" s="93">
        <v>4268.0</v>
      </c>
      <c r="B3919" s="77" t="s">
        <v>65</v>
      </c>
      <c r="C3919" s="77" t="s">
        <v>3559</v>
      </c>
      <c r="D3919" s="77" t="s">
        <v>637</v>
      </c>
      <c r="E3919" s="41" t="str">
        <f>IFERROR(__xludf.DUMMYFUNCTION("IFNA(vlookup(D3919,IMPORTRANGE(""https://docs.google.com/spreadsheets/d/1swGwZOEqYlTEUCJLY-eeJM1911Kvaei5oySBIxdgtNo/edit?pli=1#gid=257618397"",""stock untanna!B:C""),2,false),V:V)"),"BP GEL TIZO 31762F FANCY")</f>
        <v>BP GEL TIZO 31762F FANCY</v>
      </c>
      <c r="F3919" s="49"/>
      <c r="G3919" s="71"/>
      <c r="H3919" s="41"/>
      <c r="I3919" s="42"/>
      <c r="J3919" s="85" t="s">
        <v>1319</v>
      </c>
      <c r="K3919" s="93">
        <v>3.0</v>
      </c>
      <c r="L3919" s="112" t="s">
        <v>62</v>
      </c>
      <c r="M3919" s="113">
        <v>18000.0</v>
      </c>
      <c r="N3919" s="74"/>
      <c r="O3919" s="87">
        <f t="shared" si="11"/>
        <v>54000</v>
      </c>
      <c r="P3919" s="102" t="str">
        <f t="shared" si="2"/>
        <v>Rp18,000-3 LSN-0.00%</v>
      </c>
      <c r="Q3919" s="92">
        <v>45423.0</v>
      </c>
      <c r="R3919" s="114">
        <v>45422.0</v>
      </c>
      <c r="S3919" s="92">
        <v>45430.0</v>
      </c>
      <c r="T3919" s="49"/>
      <c r="V3919" s="21" t="s">
        <v>638</v>
      </c>
    </row>
    <row r="3920">
      <c r="A3920" s="93">
        <v>4268.0</v>
      </c>
      <c r="B3920" s="77" t="s">
        <v>65</v>
      </c>
      <c r="C3920" s="77" t="s">
        <v>3559</v>
      </c>
      <c r="D3920" s="77" t="s">
        <v>2251</v>
      </c>
      <c r="E3920" s="41" t="str">
        <f>IFERROR(__xludf.DUMMYFUNCTION("IFNA(vlookup(D3920,IMPORTRANGE(""https://docs.google.com/spreadsheets/d/1swGwZOEqYlTEUCJLY-eeJM1911Kvaei5oySBIxdgtNo/edit?pli=1#gid=257618397"",""stock untanna!B:C""),2,false),V:V)"),"BP TIZO TG 30802F S3 FANCY")</f>
        <v>BP TIZO TG 30802F S3 FANCY</v>
      </c>
      <c r="F3920" s="49"/>
      <c r="G3920" s="71"/>
      <c r="H3920" s="41"/>
      <c r="I3920" s="42"/>
      <c r="J3920" s="85" t="s">
        <v>1319</v>
      </c>
      <c r="K3920" s="93">
        <v>2.0</v>
      </c>
      <c r="L3920" s="112" t="s">
        <v>62</v>
      </c>
      <c r="M3920" s="113">
        <v>18000.0</v>
      </c>
      <c r="N3920" s="74"/>
      <c r="O3920" s="87">
        <f t="shared" si="11"/>
        <v>36000</v>
      </c>
      <c r="P3920" s="102" t="str">
        <f t="shared" si="2"/>
        <v>Rp18,000-2 LSN-0.00%</v>
      </c>
      <c r="Q3920" s="92">
        <v>45423.0</v>
      </c>
      <c r="R3920" s="114">
        <v>45422.0</v>
      </c>
      <c r="S3920" s="92">
        <v>45430.0</v>
      </c>
      <c r="T3920" s="49"/>
      <c r="V3920" s="21" t="s">
        <v>2252</v>
      </c>
    </row>
    <row r="3921">
      <c r="A3921" s="93">
        <v>4268.0</v>
      </c>
      <c r="B3921" s="77" t="s">
        <v>65</v>
      </c>
      <c r="C3921" s="77" t="s">
        <v>3559</v>
      </c>
      <c r="D3921" s="77" t="s">
        <v>627</v>
      </c>
      <c r="E3921" s="41" t="str">
        <f>IFERROR(__xludf.DUMMYFUNCTION("IFNA(vlookup(D3921,IMPORTRANGE(""https://docs.google.com/spreadsheets/d/1swGwZOEqYlTEUCJLY-eeJM1911Kvaei5oySBIxdgtNo/edit?pli=1#gid=257618397"",""stock untanna!B:C""),2,false),V:V)"),"BP TIZO TG 30541F FANCY")</f>
        <v>BP TIZO TG 30541F FANCY</v>
      </c>
      <c r="F3921" s="49"/>
      <c r="G3921" s="71"/>
      <c r="H3921" s="41"/>
      <c r="I3921" s="42"/>
      <c r="J3921" s="85" t="s">
        <v>1319</v>
      </c>
      <c r="K3921" s="93">
        <v>3.0</v>
      </c>
      <c r="L3921" s="112" t="s">
        <v>62</v>
      </c>
      <c r="M3921" s="113">
        <v>18000.0</v>
      </c>
      <c r="N3921" s="74"/>
      <c r="O3921" s="87">
        <f t="shared" si="11"/>
        <v>54000</v>
      </c>
      <c r="P3921" s="102" t="str">
        <f t="shared" si="2"/>
        <v>Rp18,000-3 LSN-0.00%</v>
      </c>
      <c r="Q3921" s="92">
        <v>45423.0</v>
      </c>
      <c r="R3921" s="114">
        <v>45422.0</v>
      </c>
      <c r="S3921" s="92">
        <v>45430.0</v>
      </c>
      <c r="T3921" s="49"/>
      <c r="V3921" s="21" t="s">
        <v>628</v>
      </c>
    </row>
    <row r="3922">
      <c r="A3922" s="93">
        <v>4268.0</v>
      </c>
      <c r="B3922" s="77" t="s">
        <v>65</v>
      </c>
      <c r="C3922" s="77" t="s">
        <v>3559</v>
      </c>
      <c r="D3922" s="77" t="s">
        <v>635</v>
      </c>
      <c r="E3922" s="41" t="str">
        <f>IFERROR(__xludf.DUMMYFUNCTION("IFNA(vlookup(D3922,IMPORTRANGE(""https://docs.google.com/spreadsheets/d/1swGwZOEqYlTEUCJLY-eeJM1911Kvaei5oySBIxdgtNo/edit?pli=1#gid=257618397"",""stock untanna!B:C""),2,false),V:V)"),"BP GEL TIZO 31763F FANCY")</f>
        <v>BP GEL TIZO 31763F FANCY</v>
      </c>
      <c r="F3922" s="49"/>
      <c r="G3922" s="71"/>
      <c r="H3922" s="41"/>
      <c r="I3922" s="42"/>
      <c r="J3922" s="85" t="s">
        <v>1319</v>
      </c>
      <c r="K3922" s="93">
        <v>6.0</v>
      </c>
      <c r="L3922" s="112" t="s">
        <v>62</v>
      </c>
      <c r="M3922" s="113">
        <v>18000.0</v>
      </c>
      <c r="N3922" s="74"/>
      <c r="O3922" s="87">
        <f t="shared" si="11"/>
        <v>108000</v>
      </c>
      <c r="P3922" s="102" t="str">
        <f t="shared" si="2"/>
        <v>Rp18,000-6 LSN-0.00%</v>
      </c>
      <c r="Q3922" s="92">
        <v>45423.0</v>
      </c>
      <c r="R3922" s="114">
        <v>45422.0</v>
      </c>
      <c r="S3922" s="92">
        <v>45430.0</v>
      </c>
      <c r="T3922" s="49"/>
      <c r="V3922" s="21" t="s">
        <v>636</v>
      </c>
    </row>
    <row r="3923">
      <c r="A3923" s="93">
        <v>4269.0</v>
      </c>
      <c r="B3923" s="77" t="s">
        <v>65</v>
      </c>
      <c r="C3923" s="77" t="s">
        <v>2420</v>
      </c>
      <c r="D3923" s="77" t="s">
        <v>682</v>
      </c>
      <c r="E3923" s="41" t="str">
        <f>IFERROR(__xludf.DUMMYFUNCTION("IFNA(vlookup(D3923,IMPORTRANGE(""https://docs.google.com/spreadsheets/d/1swGwZOEqYlTEUCJLY-eeJM1911Kvaei5oySBIxdgtNo/edit?pli=1#gid=257618397"",""stock untanna!B:C""),2,false),V:V)"),"BP GEL 830")</f>
        <v>BP GEL 830</v>
      </c>
      <c r="F3923" s="49"/>
      <c r="G3923" s="71"/>
      <c r="H3923" s="41"/>
      <c r="I3923" s="42"/>
      <c r="J3923" s="85" t="s">
        <v>1319</v>
      </c>
      <c r="K3923" s="93">
        <v>144.0</v>
      </c>
      <c r="L3923" s="112" t="s">
        <v>69</v>
      </c>
      <c r="M3923" s="113">
        <v>1250.0</v>
      </c>
      <c r="N3923" s="74"/>
      <c r="O3923" s="87">
        <f t="shared" si="11"/>
        <v>180000</v>
      </c>
      <c r="P3923" s="102" t="str">
        <f t="shared" si="2"/>
        <v>Rp1,250-144 PCS-0.00%</v>
      </c>
      <c r="Q3923" s="92">
        <v>45423.0</v>
      </c>
      <c r="R3923" s="76"/>
      <c r="S3923" s="92">
        <v>45430.0</v>
      </c>
      <c r="T3923" s="49"/>
      <c r="V3923" s="21" t="s">
        <v>683</v>
      </c>
    </row>
    <row r="3924">
      <c r="A3924" s="93">
        <v>4269.0</v>
      </c>
      <c r="B3924" s="77" t="s">
        <v>65</v>
      </c>
      <c r="C3924" s="77" t="s">
        <v>2420</v>
      </c>
      <c r="D3924" s="77" t="s">
        <v>3574</v>
      </c>
      <c r="E3924" s="41" t="str">
        <f>IFERROR(__xludf.DUMMYFUNCTION("IFNA(vlookup(D3924,IMPORTRANGE(""https://docs.google.com/spreadsheets/d/1swGwZOEqYlTEUCJLY-eeJM1911Kvaei5oySBIxdgtNo/edit?pli=1#gid=257618397"",""stock untanna!B:C""),2,false),V:V)"),"BP GEL 832")</f>
        <v>BP GEL 832</v>
      </c>
      <c r="F3924" s="49"/>
      <c r="G3924" s="71"/>
      <c r="H3924" s="41"/>
      <c r="I3924" s="42"/>
      <c r="J3924" s="85" t="s">
        <v>1319</v>
      </c>
      <c r="K3924" s="93">
        <v>144.0</v>
      </c>
      <c r="L3924" s="112" t="s">
        <v>69</v>
      </c>
      <c r="M3924" s="113">
        <v>1250.0</v>
      </c>
      <c r="N3924" s="74"/>
      <c r="O3924" s="87">
        <f t="shared" si="11"/>
        <v>180000</v>
      </c>
      <c r="P3924" s="102" t="str">
        <f t="shared" si="2"/>
        <v>Rp1,250-144 PCS-0.00%</v>
      </c>
      <c r="Q3924" s="92">
        <v>45423.0</v>
      </c>
      <c r="R3924" s="76"/>
      <c r="S3924" s="92">
        <v>45430.0</v>
      </c>
      <c r="T3924" s="49"/>
      <c r="V3924" s="21" t="s">
        <v>3575</v>
      </c>
    </row>
    <row r="3925">
      <c r="A3925" s="93">
        <v>4269.0</v>
      </c>
      <c r="B3925" s="77" t="s">
        <v>65</v>
      </c>
      <c r="C3925" s="77" t="s">
        <v>2420</v>
      </c>
      <c r="D3925" s="77" t="s">
        <v>3576</v>
      </c>
      <c r="E3925" s="41" t="str">
        <f>IFERROR(__xludf.DUMMYFUNCTION("IFNA(vlookup(D3925,IMPORTRANGE(""https://docs.google.com/spreadsheets/d/1swGwZOEqYlTEUCJLY-eeJM1911Kvaei5oySBIxdgtNo/edit?pli=1#gid=257618397"",""stock untanna!B:C""),2,false),V:V)"),"BP GEL 835")</f>
        <v>BP GEL 835</v>
      </c>
      <c r="F3925" s="49"/>
      <c r="G3925" s="71"/>
      <c r="H3925" s="41"/>
      <c r="I3925" s="42"/>
      <c r="J3925" s="85" t="s">
        <v>1319</v>
      </c>
      <c r="K3925" s="93">
        <v>144.0</v>
      </c>
      <c r="L3925" s="112" t="s">
        <v>69</v>
      </c>
      <c r="M3925" s="113">
        <v>1250.0</v>
      </c>
      <c r="N3925" s="74"/>
      <c r="O3925" s="87">
        <f t="shared" si="11"/>
        <v>180000</v>
      </c>
      <c r="P3925" s="102" t="str">
        <f t="shared" si="2"/>
        <v>Rp1,250-144 PCS-0.00%</v>
      </c>
      <c r="Q3925" s="92">
        <v>45423.0</v>
      </c>
      <c r="R3925" s="76"/>
      <c r="S3925" s="92">
        <v>45430.0</v>
      </c>
      <c r="T3925" s="49"/>
      <c r="V3925" s="21" t="s">
        <v>3577</v>
      </c>
    </row>
    <row r="3926">
      <c r="A3926" s="93">
        <v>4269.0</v>
      </c>
      <c r="B3926" s="77" t="s">
        <v>65</v>
      </c>
      <c r="C3926" s="77" t="s">
        <v>2420</v>
      </c>
      <c r="D3926" s="77" t="s">
        <v>151</v>
      </c>
      <c r="E3926" s="41" t="str">
        <f>IFERROR(__xludf.DUMMYFUNCTION("IFNA(vlookup(D3926,IMPORTRANGE(""https://docs.google.com/spreadsheets/d/1swGwZOEqYlTEUCJLY-eeJM1911Kvaei5oySBIxdgtNo/edit?pli=1#gid=257618397"",""stock untanna!B:C""),2,false),V:V)"),"BP GEL DTIAN 837 ")</f>
        <v>BP GEL DTIAN 837 </v>
      </c>
      <c r="F3926" s="49"/>
      <c r="G3926" s="71"/>
      <c r="H3926" s="41"/>
      <c r="I3926" s="42"/>
      <c r="J3926" s="85" t="s">
        <v>1319</v>
      </c>
      <c r="K3926" s="93">
        <v>12.0</v>
      </c>
      <c r="L3926" s="112" t="s">
        <v>62</v>
      </c>
      <c r="M3926" s="113">
        <v>15000.0</v>
      </c>
      <c r="N3926" s="74"/>
      <c r="O3926" s="87">
        <f t="shared" si="11"/>
        <v>180000</v>
      </c>
      <c r="P3926" s="102" t="str">
        <f t="shared" si="2"/>
        <v>Rp15,000-12 LSN-0.00%</v>
      </c>
      <c r="Q3926" s="92">
        <v>45423.0</v>
      </c>
      <c r="R3926" s="76"/>
      <c r="S3926" s="92">
        <v>45430.0</v>
      </c>
      <c r="T3926" s="49"/>
      <c r="V3926" s="21" t="s">
        <v>152</v>
      </c>
    </row>
    <row r="3927">
      <c r="A3927" s="93">
        <v>4269.0</v>
      </c>
      <c r="B3927" s="77" t="s">
        <v>65</v>
      </c>
      <c r="C3927" s="77" t="s">
        <v>2420</v>
      </c>
      <c r="D3927" s="77" t="s">
        <v>434</v>
      </c>
      <c r="E3927" s="41" t="str">
        <f>IFERROR(__xludf.DUMMYFUNCTION("IFNA(vlookup(D3927,IMPORTRANGE(""https://docs.google.com/spreadsheets/d/1swGwZOEqYlTEUCJLY-eeJM1911Kvaei5oySBIxdgtNo/edit?pli=1#gid=257618397"",""stock untanna!B:C""),2,false),V:V)"),"BP GEL DTIAN 8801")</f>
        <v>BP GEL DTIAN 8801</v>
      </c>
      <c r="F3927" s="49"/>
      <c r="G3927" s="71"/>
      <c r="H3927" s="41"/>
      <c r="I3927" s="42"/>
      <c r="J3927" s="85" t="s">
        <v>1319</v>
      </c>
      <c r="K3927" s="93">
        <v>12.0</v>
      </c>
      <c r="L3927" s="112" t="s">
        <v>62</v>
      </c>
      <c r="M3927" s="113">
        <v>15000.0</v>
      </c>
      <c r="N3927" s="74"/>
      <c r="O3927" s="87">
        <f t="shared" si="11"/>
        <v>180000</v>
      </c>
      <c r="P3927" s="102" t="str">
        <f t="shared" si="2"/>
        <v>Rp15,000-12 LSN-0.00%</v>
      </c>
      <c r="Q3927" s="92">
        <v>45423.0</v>
      </c>
      <c r="R3927" s="76"/>
      <c r="S3927" s="92">
        <v>45430.0</v>
      </c>
      <c r="T3927" s="49"/>
      <c r="V3927" s="21" t="s">
        <v>435</v>
      </c>
    </row>
    <row r="3928">
      <c r="A3928" s="93">
        <v>4269.0</v>
      </c>
      <c r="B3928" s="77" t="s">
        <v>65</v>
      </c>
      <c r="C3928" s="77" t="s">
        <v>2420</v>
      </c>
      <c r="D3928" s="77" t="s">
        <v>678</v>
      </c>
      <c r="E3928" s="41" t="str">
        <f>IFERROR(__xludf.DUMMYFUNCTION("IFNA(vlookup(D3928,IMPORTRANGE(""https://docs.google.com/spreadsheets/d/1swGwZOEqYlTEUCJLY-eeJM1911Kvaei5oySBIxdgtNo/edit?pli=1#gid=257618397"",""stock untanna!B:C""),2,false),V:V)"),"BP GEL 8803")</f>
        <v>BP GEL 8803</v>
      </c>
      <c r="F3928" s="49"/>
      <c r="G3928" s="71"/>
      <c r="H3928" s="41"/>
      <c r="I3928" s="42"/>
      <c r="J3928" s="85" t="s">
        <v>1319</v>
      </c>
      <c r="K3928" s="93">
        <v>144.0</v>
      </c>
      <c r="L3928" s="112" t="s">
        <v>69</v>
      </c>
      <c r="M3928" s="113">
        <v>1250.0</v>
      </c>
      <c r="N3928" s="74"/>
      <c r="O3928" s="87">
        <f t="shared" si="11"/>
        <v>180000</v>
      </c>
      <c r="P3928" s="102" t="str">
        <f t="shared" si="2"/>
        <v>Rp1,250-144 PCS-0.00%</v>
      </c>
      <c r="Q3928" s="92">
        <v>45423.0</v>
      </c>
      <c r="R3928" s="76"/>
      <c r="S3928" s="92">
        <v>45430.0</v>
      </c>
      <c r="T3928" s="49"/>
      <c r="V3928" s="21" t="s">
        <v>679</v>
      </c>
    </row>
    <row r="3929">
      <c r="A3929" s="93">
        <v>4269.0</v>
      </c>
      <c r="B3929" s="77" t="s">
        <v>65</v>
      </c>
      <c r="C3929" s="77" t="s">
        <v>2420</v>
      </c>
      <c r="D3929" s="77" t="s">
        <v>149</v>
      </c>
      <c r="E3929" s="41" t="str">
        <f>IFERROR(__xludf.DUMMYFUNCTION("IFNA(vlookup(D3929,IMPORTRANGE(""https://docs.google.com/spreadsheets/d/1swGwZOEqYlTEUCJLY-eeJM1911Kvaei5oySBIxdgtNo/edit?pli=1#gid=257618397"",""stock untanna!B:C""),2,false),V:V)"),"BP GEL 8805")</f>
        <v>BP GEL 8805</v>
      </c>
      <c r="F3929" s="49"/>
      <c r="G3929" s="71"/>
      <c r="H3929" s="41"/>
      <c r="I3929" s="42"/>
      <c r="J3929" s="85" t="s">
        <v>1319</v>
      </c>
      <c r="K3929" s="93">
        <v>144.0</v>
      </c>
      <c r="L3929" s="112" t="s">
        <v>69</v>
      </c>
      <c r="M3929" s="113">
        <v>1250.0</v>
      </c>
      <c r="N3929" s="74"/>
      <c r="O3929" s="87">
        <f t="shared" si="11"/>
        <v>180000</v>
      </c>
      <c r="P3929" s="102" t="str">
        <f t="shared" si="2"/>
        <v>Rp1,250-144 PCS-0.00%</v>
      </c>
      <c r="Q3929" s="92">
        <v>45423.0</v>
      </c>
      <c r="R3929" s="76"/>
      <c r="S3929" s="92">
        <v>45430.0</v>
      </c>
      <c r="T3929" s="49"/>
      <c r="V3929" s="21" t="s">
        <v>150</v>
      </c>
    </row>
    <row r="3930">
      <c r="A3930" s="93">
        <v>4269.0</v>
      </c>
      <c r="B3930" s="77" t="s">
        <v>65</v>
      </c>
      <c r="C3930" s="77" t="s">
        <v>2420</v>
      </c>
      <c r="D3930" s="77" t="s">
        <v>676</v>
      </c>
      <c r="E3930" s="41" t="str">
        <f>IFERROR(__xludf.DUMMYFUNCTION("IFNA(vlookup(D3930,IMPORTRANGE(""https://docs.google.com/spreadsheets/d/1swGwZOEqYlTEUCJLY-eeJM1911Kvaei5oySBIxdgtNo/edit?pli=1#gid=257618397"",""stock untanna!B:C""),2,false),V:V)"),"BP GEL 8807")</f>
        <v>BP GEL 8807</v>
      </c>
      <c r="F3930" s="49"/>
      <c r="G3930" s="71"/>
      <c r="H3930" s="41"/>
      <c r="I3930" s="42"/>
      <c r="J3930" s="85" t="s">
        <v>1319</v>
      </c>
      <c r="K3930" s="93">
        <v>12.0</v>
      </c>
      <c r="L3930" s="112" t="s">
        <v>62</v>
      </c>
      <c r="M3930" s="113">
        <v>15000.0</v>
      </c>
      <c r="N3930" s="74"/>
      <c r="O3930" s="87">
        <f t="shared" si="11"/>
        <v>180000</v>
      </c>
      <c r="P3930" s="102" t="str">
        <f t="shared" si="2"/>
        <v>Rp15,000-12 LSN-0.00%</v>
      </c>
      <c r="Q3930" s="92">
        <v>45423.0</v>
      </c>
      <c r="R3930" s="76"/>
      <c r="S3930" s="92">
        <v>45430.0</v>
      </c>
      <c r="T3930" s="49"/>
      <c r="V3930" s="21" t="s">
        <v>677</v>
      </c>
    </row>
    <row r="3931">
      <c r="A3931" s="93">
        <v>4269.0</v>
      </c>
      <c r="B3931" s="77" t="s">
        <v>65</v>
      </c>
      <c r="C3931" s="77" t="s">
        <v>2420</v>
      </c>
      <c r="D3931" s="77" t="s">
        <v>2108</v>
      </c>
      <c r="E3931" s="41" t="str">
        <f>IFERROR(__xludf.DUMMYFUNCTION("IFNA(vlookup(D3931,IMPORTRANGE(""https://docs.google.com/spreadsheets/d/1swGwZOEqYlTEUCJLY-eeJM1911Kvaei5oySBIxdgtNo/edit?pli=1#gid=257618397"",""stock untanna!B:C""),2,false),V:V)"),"BP GEL DTIAN DT-221")</f>
        <v>BP GEL DTIAN DT-221</v>
      </c>
      <c r="F3931" s="49"/>
      <c r="G3931" s="71"/>
      <c r="H3931" s="41"/>
      <c r="I3931" s="42"/>
      <c r="J3931" s="85" t="s">
        <v>1319</v>
      </c>
      <c r="K3931" s="93">
        <v>12.0</v>
      </c>
      <c r="L3931" s="112" t="s">
        <v>62</v>
      </c>
      <c r="M3931" s="113">
        <v>17500.0</v>
      </c>
      <c r="N3931" s="74"/>
      <c r="O3931" s="87">
        <f t="shared" si="11"/>
        <v>210000</v>
      </c>
      <c r="P3931" s="102" t="str">
        <f t="shared" si="2"/>
        <v>Rp17,500-12 LSN-0.00%</v>
      </c>
      <c r="Q3931" s="92">
        <v>45423.0</v>
      </c>
      <c r="R3931" s="76"/>
      <c r="S3931" s="92">
        <v>45430.0</v>
      </c>
      <c r="T3931" s="49"/>
      <c r="V3931" s="21" t="s">
        <v>2109</v>
      </c>
    </row>
    <row r="3932">
      <c r="A3932" s="93">
        <v>4269.0</v>
      </c>
      <c r="B3932" s="77" t="s">
        <v>65</v>
      </c>
      <c r="C3932" s="77" t="s">
        <v>2420</v>
      </c>
      <c r="D3932" s="77" t="s">
        <v>964</v>
      </c>
      <c r="E3932" s="41" t="str">
        <f>IFERROR(__xludf.DUMMYFUNCTION("IFNA(vlookup(D3932,IMPORTRANGE(""https://docs.google.com/spreadsheets/d/1swGwZOEqYlTEUCJLY-eeJM1911Kvaei5oySBIxdgtNo/edit?pli=1#gid=257618397"",""stock untanna!B:C""),2,false),V:V)"),"BP GEL DTIAN DT-233")</f>
        <v>BP GEL DTIAN DT-233</v>
      </c>
      <c r="F3932" s="49"/>
      <c r="G3932" s="71"/>
      <c r="H3932" s="41"/>
      <c r="I3932" s="42"/>
      <c r="J3932" s="85" t="s">
        <v>1319</v>
      </c>
      <c r="K3932" s="93">
        <v>12.0</v>
      </c>
      <c r="L3932" s="112" t="s">
        <v>62</v>
      </c>
      <c r="M3932" s="113">
        <v>17500.0</v>
      </c>
      <c r="N3932" s="74"/>
      <c r="O3932" s="87">
        <f t="shared" si="11"/>
        <v>210000</v>
      </c>
      <c r="P3932" s="102" t="str">
        <f t="shared" si="2"/>
        <v>Rp17,500-12 LSN-0.00%</v>
      </c>
      <c r="Q3932" s="92">
        <v>45423.0</v>
      </c>
      <c r="R3932" s="76"/>
      <c r="S3932" s="92">
        <v>45430.0</v>
      </c>
      <c r="T3932" s="49"/>
      <c r="V3932" s="21" t="s">
        <v>965</v>
      </c>
    </row>
    <row r="3933">
      <c r="A3933" s="93">
        <v>4269.0</v>
      </c>
      <c r="B3933" s="77" t="s">
        <v>65</v>
      </c>
      <c r="C3933" s="77" t="s">
        <v>2420</v>
      </c>
      <c r="D3933" s="77" t="s">
        <v>949</v>
      </c>
      <c r="E3933" s="41" t="str">
        <f>IFERROR(__xludf.DUMMYFUNCTION("IFNA(vlookup(D3933,IMPORTRANGE(""https://docs.google.com/spreadsheets/d/1swGwZOEqYlTEUCJLY-eeJM1911Kvaei5oySBIxdgtNo/edit?pli=1#gid=257618397"",""stock untanna!B:C""),2,false),V:V)"),"BP GEL DT-236")</f>
        <v>BP GEL DT-236</v>
      </c>
      <c r="F3933" s="49"/>
      <c r="G3933" s="71"/>
      <c r="H3933" s="41"/>
      <c r="I3933" s="42"/>
      <c r="J3933" s="85" t="s">
        <v>1319</v>
      </c>
      <c r="K3933" s="93">
        <v>144.0</v>
      </c>
      <c r="L3933" s="112" t="s">
        <v>69</v>
      </c>
      <c r="M3933" s="113">
        <v>1458.33</v>
      </c>
      <c r="N3933" s="74"/>
      <c r="O3933" s="87">
        <f t="shared" si="11"/>
        <v>209999.52</v>
      </c>
      <c r="P3933" s="102" t="str">
        <f t="shared" si="2"/>
        <v>Rp1,458-144 PCS-0.00%</v>
      </c>
      <c r="Q3933" s="92">
        <v>45423.0</v>
      </c>
      <c r="R3933" s="76"/>
      <c r="S3933" s="92">
        <v>45430.0</v>
      </c>
      <c r="T3933" s="49"/>
      <c r="V3933" s="21" t="s">
        <v>950</v>
      </c>
    </row>
    <row r="3934">
      <c r="A3934" s="93">
        <v>4269.0</v>
      </c>
      <c r="B3934" s="77" t="s">
        <v>65</v>
      </c>
      <c r="C3934" s="77" t="s">
        <v>2420</v>
      </c>
      <c r="D3934" s="77" t="s">
        <v>1650</v>
      </c>
      <c r="E3934" s="41" t="str">
        <f>IFERROR(__xludf.DUMMYFUNCTION("IFNA(vlookup(D3934,IMPORTRANGE(""https://docs.google.com/spreadsheets/d/1swGwZOEqYlTEUCJLY-eeJM1911Kvaei5oySBIxdgtNo/edit?pli=1#gid=257618397"",""stock untanna!B:C""),2,false),V:V)"),"BP GEL DTIAN DT-227")</f>
        <v>BP GEL DTIAN DT-227</v>
      </c>
      <c r="F3934" s="49"/>
      <c r="G3934" s="71"/>
      <c r="H3934" s="41"/>
      <c r="I3934" s="42"/>
      <c r="J3934" s="85" t="s">
        <v>1319</v>
      </c>
      <c r="K3934" s="93">
        <v>12.0</v>
      </c>
      <c r="L3934" s="112" t="s">
        <v>62</v>
      </c>
      <c r="M3934" s="113">
        <v>17500.0</v>
      </c>
      <c r="N3934" s="74"/>
      <c r="O3934" s="87">
        <f t="shared" si="11"/>
        <v>210000</v>
      </c>
      <c r="P3934" s="102" t="str">
        <f t="shared" si="2"/>
        <v>Rp17,500-12 LSN-0.00%</v>
      </c>
      <c r="Q3934" s="92">
        <v>45423.0</v>
      </c>
      <c r="R3934" s="76"/>
      <c r="S3934" s="92">
        <v>45430.0</v>
      </c>
      <c r="T3934" s="49"/>
      <c r="V3934" s="21" t="s">
        <v>1651</v>
      </c>
    </row>
    <row r="3935">
      <c r="A3935" s="93">
        <v>4269.0</v>
      </c>
      <c r="B3935" s="77" t="s">
        <v>65</v>
      </c>
      <c r="C3935" s="77" t="s">
        <v>2420</v>
      </c>
      <c r="D3935" s="77" t="s">
        <v>966</v>
      </c>
      <c r="E3935" s="41" t="str">
        <f>IFERROR(__xludf.DUMMYFUNCTION("IFNA(vlookup(D3935,IMPORTRANGE(""https://docs.google.com/spreadsheets/d/1swGwZOEqYlTEUCJLY-eeJM1911Kvaei5oySBIxdgtNo/edit?pli=1#gid=257618397"",""stock untanna!B:C""),2,false),V:V)"),"BP GEL DT-238")</f>
        <v>BP GEL DT-238</v>
      </c>
      <c r="F3935" s="49"/>
      <c r="G3935" s="71"/>
      <c r="H3935" s="41"/>
      <c r="I3935" s="42"/>
      <c r="J3935" s="85" t="s">
        <v>1319</v>
      </c>
      <c r="K3935" s="93">
        <v>144.0</v>
      </c>
      <c r="L3935" s="112" t="s">
        <v>69</v>
      </c>
      <c r="M3935" s="113">
        <v>1458.33</v>
      </c>
      <c r="N3935" s="74"/>
      <c r="O3935" s="87">
        <f t="shared" si="11"/>
        <v>209999.52</v>
      </c>
      <c r="P3935" s="102" t="str">
        <f t="shared" si="2"/>
        <v>Rp1,458-144 PCS-0.00%</v>
      </c>
      <c r="Q3935" s="92">
        <v>45423.0</v>
      </c>
      <c r="R3935" s="76"/>
      <c r="S3935" s="92">
        <v>45430.0</v>
      </c>
      <c r="T3935" s="49"/>
      <c r="V3935" s="21" t="s">
        <v>967</v>
      </c>
    </row>
    <row r="3936">
      <c r="A3936" s="93">
        <v>4269.0</v>
      </c>
      <c r="B3936" s="77" t="s">
        <v>65</v>
      </c>
      <c r="C3936" s="77" t="s">
        <v>2420</v>
      </c>
      <c r="D3936" s="77" t="s">
        <v>962</v>
      </c>
      <c r="E3936" s="41" t="str">
        <f>IFERROR(__xludf.DUMMYFUNCTION("IFNA(vlookup(D3936,IMPORTRANGE(""https://docs.google.com/spreadsheets/d/1swGwZOEqYlTEUCJLY-eeJM1911Kvaei5oySBIxdgtNo/edit?pli=1#gid=257618397"",""stock untanna!B:C""),2,false),V:V)"),"BP GEL DT-239")</f>
        <v>BP GEL DT-239</v>
      </c>
      <c r="F3936" s="49"/>
      <c r="G3936" s="71"/>
      <c r="H3936" s="41"/>
      <c r="I3936" s="42"/>
      <c r="J3936" s="85" t="s">
        <v>1319</v>
      </c>
      <c r="K3936" s="93">
        <v>144.0</v>
      </c>
      <c r="L3936" s="112" t="s">
        <v>69</v>
      </c>
      <c r="M3936" s="113">
        <v>1458.33</v>
      </c>
      <c r="N3936" s="74"/>
      <c r="O3936" s="87">
        <f t="shared" si="11"/>
        <v>209999.52</v>
      </c>
      <c r="P3936" s="102" t="str">
        <f t="shared" si="2"/>
        <v>Rp1,458-144 PCS-0.00%</v>
      </c>
      <c r="Q3936" s="92">
        <v>45423.0</v>
      </c>
      <c r="R3936" s="76"/>
      <c r="S3936" s="92">
        <v>45430.0</v>
      </c>
      <c r="T3936" s="49"/>
      <c r="V3936" s="21" t="s">
        <v>963</v>
      </c>
    </row>
    <row r="3937">
      <c r="A3937" s="93">
        <v>4269.0</v>
      </c>
      <c r="B3937" s="77" t="s">
        <v>65</v>
      </c>
      <c r="C3937" s="77" t="s">
        <v>2420</v>
      </c>
      <c r="D3937" s="77" t="s">
        <v>2110</v>
      </c>
      <c r="E3937" s="41" t="str">
        <f>IFERROR(__xludf.DUMMYFUNCTION("IFNA(vlookup(D3937,IMPORTRANGE(""https://docs.google.com/spreadsheets/d/1swGwZOEqYlTEUCJLY-eeJM1911Kvaei5oySBIxdgtNo/edit?pli=1#gid=257618397"",""stock untanna!B:C""),2,false),V:V)"),"BP GEL DTIAN DT-225")</f>
        <v>BP GEL DTIAN DT-225</v>
      </c>
      <c r="F3937" s="49"/>
      <c r="G3937" s="71"/>
      <c r="H3937" s="41"/>
      <c r="I3937" s="42"/>
      <c r="J3937" s="85" t="s">
        <v>1319</v>
      </c>
      <c r="K3937" s="93">
        <v>12.0</v>
      </c>
      <c r="L3937" s="112" t="s">
        <v>62</v>
      </c>
      <c r="M3937" s="113">
        <v>17500.0</v>
      </c>
      <c r="N3937" s="74"/>
      <c r="O3937" s="87">
        <f t="shared" si="11"/>
        <v>210000</v>
      </c>
      <c r="P3937" s="102" t="str">
        <f t="shared" si="2"/>
        <v>Rp17,500-12 LSN-0.00%</v>
      </c>
      <c r="Q3937" s="92">
        <v>45423.0</v>
      </c>
      <c r="R3937" s="76"/>
      <c r="S3937" s="92">
        <v>45430.0</v>
      </c>
      <c r="T3937" s="49"/>
      <c r="V3937" s="21" t="s">
        <v>2111</v>
      </c>
    </row>
    <row r="3938">
      <c r="A3938" s="93">
        <v>4269.0</v>
      </c>
      <c r="B3938" s="77" t="s">
        <v>65</v>
      </c>
      <c r="C3938" s="77" t="s">
        <v>2420</v>
      </c>
      <c r="D3938" s="77" t="s">
        <v>1648</v>
      </c>
      <c r="E3938" s="41" t="str">
        <f>IFERROR(__xludf.DUMMYFUNCTION("IFNA(vlookup(D3938,IMPORTRANGE(""https://docs.google.com/spreadsheets/d/1swGwZOEqYlTEUCJLY-eeJM1911Kvaei5oySBIxdgtNo/edit?pli=1#gid=257618397"",""stock untanna!B:C""),2,false),V:V)"),"BP GEL DTIAN DT-222")</f>
        <v>BP GEL DTIAN DT-222</v>
      </c>
      <c r="F3938" s="49"/>
      <c r="G3938" s="71"/>
      <c r="H3938" s="41"/>
      <c r="I3938" s="42"/>
      <c r="J3938" s="85" t="s">
        <v>1319</v>
      </c>
      <c r="K3938" s="93">
        <v>12.0</v>
      </c>
      <c r="L3938" s="112" t="s">
        <v>62</v>
      </c>
      <c r="M3938" s="113">
        <v>17500.0</v>
      </c>
      <c r="N3938" s="74"/>
      <c r="O3938" s="87">
        <f t="shared" si="11"/>
        <v>210000</v>
      </c>
      <c r="P3938" s="102" t="str">
        <f t="shared" si="2"/>
        <v>Rp17,500-12 LSN-0.00%</v>
      </c>
      <c r="Q3938" s="92">
        <v>45423.0</v>
      </c>
      <c r="R3938" s="76"/>
      <c r="S3938" s="92">
        <v>45430.0</v>
      </c>
      <c r="T3938" s="49"/>
      <c r="V3938" s="21" t="s">
        <v>1649</v>
      </c>
    </row>
    <row r="3939">
      <c r="A3939" s="93">
        <v>4270.0</v>
      </c>
      <c r="B3939" s="77" t="s">
        <v>65</v>
      </c>
      <c r="C3939" s="77" t="s">
        <v>2420</v>
      </c>
      <c r="D3939" s="77" t="s">
        <v>3578</v>
      </c>
      <c r="E3939" s="41" t="str">
        <f>IFERROR(__xludf.DUMMYFUNCTION("IFNA(vlookup(D3939,IMPORTRANGE(""https://docs.google.com/spreadsheets/d/1swGwZOEqYlTEUCJLY-eeJM1911Kvaei5oySBIxdgtNo/edit?pli=1#gid=257618397"",""stock untanna!B:C""),2,false),V:V)"),"KUAS UTN 661-1")</f>
        <v>KUAS UTN 661-1</v>
      </c>
      <c r="F3939" s="49"/>
      <c r="G3939" s="71"/>
      <c r="H3939" s="41"/>
      <c r="I3939" s="42"/>
      <c r="J3939" s="85" t="s">
        <v>1319</v>
      </c>
      <c r="K3939" s="93">
        <v>6.0</v>
      </c>
      <c r="L3939" s="112" t="s">
        <v>84</v>
      </c>
      <c r="M3939" s="113">
        <v>8000.0</v>
      </c>
      <c r="N3939" s="74"/>
      <c r="O3939" s="87">
        <f t="shared" si="11"/>
        <v>48000</v>
      </c>
      <c r="P3939" s="102" t="str">
        <f t="shared" si="2"/>
        <v>Rp8,000-6 SET-0.00%</v>
      </c>
      <c r="Q3939" s="92">
        <v>45423.0</v>
      </c>
      <c r="R3939" s="76"/>
      <c r="S3939" s="92">
        <v>45430.0</v>
      </c>
      <c r="T3939" s="49"/>
      <c r="V3939" s="21" t="s">
        <v>3579</v>
      </c>
    </row>
    <row r="3940">
      <c r="A3940" s="93">
        <v>4270.0</v>
      </c>
      <c r="B3940" s="77" t="s">
        <v>65</v>
      </c>
      <c r="C3940" s="77" t="s">
        <v>2420</v>
      </c>
      <c r="D3940" s="77" t="s">
        <v>3580</v>
      </c>
      <c r="E3940" s="41" t="str">
        <f>IFERROR(__xludf.DUMMYFUNCTION("IFNA(vlookup(D3940,IMPORTRANGE(""https://docs.google.com/spreadsheets/d/1swGwZOEqYlTEUCJLY-eeJM1911Kvaei5oySBIxdgtNo/edit?pli=1#gid=257618397"",""stock untanna!B:C""),2,false),V:V)"),"KUAS UTN 661-2")</f>
        <v>KUAS UTN 661-2</v>
      </c>
      <c r="F3940" s="49"/>
      <c r="G3940" s="71"/>
      <c r="H3940" s="41"/>
      <c r="I3940" s="42"/>
      <c r="J3940" s="85" t="s">
        <v>1319</v>
      </c>
      <c r="K3940" s="93">
        <v>6.0</v>
      </c>
      <c r="L3940" s="112" t="s">
        <v>84</v>
      </c>
      <c r="M3940" s="113">
        <v>9000.0</v>
      </c>
      <c r="N3940" s="74"/>
      <c r="O3940" s="87">
        <f t="shared" si="11"/>
        <v>54000</v>
      </c>
      <c r="P3940" s="102" t="str">
        <f t="shared" si="2"/>
        <v>Rp9,000-6 SET-0.00%</v>
      </c>
      <c r="Q3940" s="92">
        <v>45423.0</v>
      </c>
      <c r="R3940" s="76"/>
      <c r="S3940" s="92">
        <v>45430.0</v>
      </c>
      <c r="T3940" s="49"/>
      <c r="V3940" s="21" t="s">
        <v>3581</v>
      </c>
    </row>
    <row r="3941">
      <c r="A3941" s="93">
        <v>4270.0</v>
      </c>
      <c r="B3941" s="77" t="s">
        <v>65</v>
      </c>
      <c r="C3941" s="77" t="s">
        <v>2420</v>
      </c>
      <c r="D3941" s="77" t="s">
        <v>3582</v>
      </c>
      <c r="E3941" s="41" t="str">
        <f>IFERROR(__xludf.DUMMYFUNCTION("IFNA(vlookup(D3941,IMPORTRANGE(""https://docs.google.com/spreadsheets/d/1swGwZOEqYlTEUCJLY-eeJM1911Kvaei5oySBIxdgtNo/edit?pli=1#gid=257618397"",""stock untanna!B:C""),2,false),V:V)"),"KUAS UTN 661-3")</f>
        <v>KUAS UTN 661-3</v>
      </c>
      <c r="F3941" s="49"/>
      <c r="G3941" s="71"/>
      <c r="H3941" s="41"/>
      <c r="I3941" s="42"/>
      <c r="J3941" s="85" t="s">
        <v>1319</v>
      </c>
      <c r="K3941" s="93">
        <v>6.0</v>
      </c>
      <c r="L3941" s="112" t="s">
        <v>84</v>
      </c>
      <c r="M3941" s="113">
        <v>10000.0</v>
      </c>
      <c r="N3941" s="74"/>
      <c r="O3941" s="87">
        <f t="shared" si="11"/>
        <v>60000</v>
      </c>
      <c r="P3941" s="102" t="str">
        <f t="shared" si="2"/>
        <v>Rp10,000-6 SET-0.00%</v>
      </c>
      <c r="Q3941" s="92">
        <v>45423.0</v>
      </c>
      <c r="R3941" s="76"/>
      <c r="S3941" s="92">
        <v>45430.0</v>
      </c>
      <c r="T3941" s="49"/>
      <c r="V3941" s="21" t="s">
        <v>3583</v>
      </c>
    </row>
    <row r="3942">
      <c r="A3942" s="93">
        <v>4270.0</v>
      </c>
      <c r="B3942" s="77" t="s">
        <v>65</v>
      </c>
      <c r="C3942" s="77" t="s">
        <v>2420</v>
      </c>
      <c r="D3942" s="77" t="s">
        <v>3584</v>
      </c>
      <c r="E3942" s="41" t="str">
        <f>IFERROR(__xludf.DUMMYFUNCTION("IFNA(vlookup(D3942,IMPORTRANGE(""https://docs.google.com/spreadsheets/d/1swGwZOEqYlTEUCJLY-eeJM1911Kvaei5oySBIxdgtNo/edit?pli=1#gid=257618397"",""stock untanna!B:C""),2,false),V:V)"),"KUAS UTN 661-4")</f>
        <v>KUAS UTN 661-4</v>
      </c>
      <c r="F3942" s="49"/>
      <c r="G3942" s="71"/>
      <c r="H3942" s="41"/>
      <c r="I3942" s="42"/>
      <c r="J3942" s="85" t="s">
        <v>1319</v>
      </c>
      <c r="K3942" s="93">
        <v>6.0</v>
      </c>
      <c r="L3942" s="112" t="s">
        <v>84</v>
      </c>
      <c r="M3942" s="113">
        <v>11500.0</v>
      </c>
      <c r="N3942" s="74"/>
      <c r="O3942" s="87">
        <f t="shared" si="11"/>
        <v>69000</v>
      </c>
      <c r="P3942" s="102" t="str">
        <f t="shared" si="2"/>
        <v>Rp11,500-6 SET-0.00%</v>
      </c>
      <c r="Q3942" s="92">
        <v>45423.0</v>
      </c>
      <c r="R3942" s="76"/>
      <c r="S3942" s="92">
        <v>45430.0</v>
      </c>
      <c r="T3942" s="49"/>
      <c r="V3942" s="21" t="s">
        <v>3585</v>
      </c>
    </row>
    <row r="3943">
      <c r="A3943" s="93">
        <v>4270.0</v>
      </c>
      <c r="B3943" s="77" t="s">
        <v>65</v>
      </c>
      <c r="C3943" s="77" t="s">
        <v>2420</v>
      </c>
      <c r="D3943" s="77" t="s">
        <v>3586</v>
      </c>
      <c r="E3943" s="41" t="str">
        <f>IFERROR(__xludf.DUMMYFUNCTION("IFNA(vlookup(D3943,IMPORTRANGE(""https://docs.google.com/spreadsheets/d/1swGwZOEqYlTEUCJLY-eeJM1911Kvaei5oySBIxdgtNo/edit?pli=1#gid=257618397"",""stock untanna!B:C""),2,false),V:V)"),"KUAS UTN 661-5")</f>
        <v>KUAS UTN 661-5</v>
      </c>
      <c r="F3943" s="49"/>
      <c r="G3943" s="71"/>
      <c r="H3943" s="41"/>
      <c r="I3943" s="42"/>
      <c r="J3943" s="85" t="s">
        <v>1319</v>
      </c>
      <c r="K3943" s="93">
        <v>6.0</v>
      </c>
      <c r="L3943" s="112" t="s">
        <v>84</v>
      </c>
      <c r="M3943" s="113">
        <v>13000.0</v>
      </c>
      <c r="N3943" s="74"/>
      <c r="O3943" s="87">
        <f t="shared" si="11"/>
        <v>78000</v>
      </c>
      <c r="P3943" s="102" t="str">
        <f t="shared" si="2"/>
        <v>Rp13,000-6 SET-0.00%</v>
      </c>
      <c r="Q3943" s="92">
        <v>45423.0</v>
      </c>
      <c r="R3943" s="76"/>
      <c r="S3943" s="92">
        <v>45430.0</v>
      </c>
      <c r="T3943" s="49"/>
      <c r="V3943" s="21" t="s">
        <v>3587</v>
      </c>
    </row>
    <row r="3944">
      <c r="A3944" s="93">
        <v>4270.0</v>
      </c>
      <c r="B3944" s="77" t="s">
        <v>65</v>
      </c>
      <c r="C3944" s="77" t="s">
        <v>2420</v>
      </c>
      <c r="D3944" s="77" t="s">
        <v>3588</v>
      </c>
      <c r="E3944" s="41" t="str">
        <f>IFERROR(__xludf.DUMMYFUNCTION("IFNA(vlookup(D3944,IMPORTRANGE(""https://docs.google.com/spreadsheets/d/1swGwZOEqYlTEUCJLY-eeJM1911Kvaei5oySBIxdgtNo/edit?pli=1#gid=257618397"",""stock untanna!B:C""),2,false),V:V)"),"KUAS UTN 661-6")</f>
        <v>KUAS UTN 661-6</v>
      </c>
      <c r="F3944" s="49"/>
      <c r="G3944" s="71"/>
      <c r="H3944" s="41"/>
      <c r="I3944" s="42"/>
      <c r="J3944" s="85" t="s">
        <v>1319</v>
      </c>
      <c r="K3944" s="93">
        <v>6.0</v>
      </c>
      <c r="L3944" s="112" t="s">
        <v>84</v>
      </c>
      <c r="M3944" s="113">
        <v>15500.0</v>
      </c>
      <c r="N3944" s="74"/>
      <c r="O3944" s="87">
        <f t="shared" si="11"/>
        <v>93000</v>
      </c>
      <c r="P3944" s="102" t="str">
        <f t="shared" si="2"/>
        <v>Rp15,500-6 SET-0.00%</v>
      </c>
      <c r="Q3944" s="92">
        <v>45423.0</v>
      </c>
      <c r="R3944" s="76"/>
      <c r="S3944" s="92">
        <v>45430.0</v>
      </c>
      <c r="T3944" s="49"/>
      <c r="V3944" s="21" t="s">
        <v>3589</v>
      </c>
    </row>
    <row r="3945">
      <c r="A3945" s="93">
        <v>4270.0</v>
      </c>
      <c r="B3945" s="77" t="s">
        <v>65</v>
      </c>
      <c r="C3945" s="77" t="s">
        <v>2420</v>
      </c>
      <c r="D3945" s="77" t="s">
        <v>3590</v>
      </c>
      <c r="E3945" s="41" t="str">
        <f>IFERROR(__xludf.DUMMYFUNCTION("IFNA(vlookup(D3945,IMPORTRANGE(""https://docs.google.com/spreadsheets/d/1swGwZOEqYlTEUCJLY-eeJM1911Kvaei5oySBIxdgtNo/edit?pli=1#gid=257618397"",""stock untanna!B:C""),2,false),V:V)"),"KUAS UTN 661-7")</f>
        <v>KUAS UTN 661-7</v>
      </c>
      <c r="F3945" s="49"/>
      <c r="G3945" s="71"/>
      <c r="H3945" s="41"/>
      <c r="I3945" s="42"/>
      <c r="J3945" s="85" t="s">
        <v>1319</v>
      </c>
      <c r="K3945" s="93">
        <v>6.0</v>
      </c>
      <c r="L3945" s="112" t="s">
        <v>84</v>
      </c>
      <c r="M3945" s="113">
        <v>17000.0</v>
      </c>
      <c r="N3945" s="74"/>
      <c r="O3945" s="87">
        <f t="shared" si="11"/>
        <v>102000</v>
      </c>
      <c r="P3945" s="102" t="str">
        <f t="shared" si="2"/>
        <v>Rp17,000-6 SET-0.00%</v>
      </c>
      <c r="Q3945" s="92">
        <v>45423.0</v>
      </c>
      <c r="R3945" s="76"/>
      <c r="S3945" s="92">
        <v>45430.0</v>
      </c>
      <c r="T3945" s="49"/>
      <c r="V3945" s="21" t="s">
        <v>3591</v>
      </c>
    </row>
    <row r="3946">
      <c r="A3946" s="93">
        <v>4270.0</v>
      </c>
      <c r="B3946" s="77" t="s">
        <v>65</v>
      </c>
      <c r="C3946" s="77" t="s">
        <v>2420</v>
      </c>
      <c r="D3946" s="77" t="s">
        <v>795</v>
      </c>
      <c r="E3946" s="41" t="str">
        <f>IFERROR(__xludf.DUMMYFUNCTION("IFNA(vlookup(D3946,IMPORTRANGE(""https://docs.google.com/spreadsheets/d/1swGwZOEqYlTEUCJLY-eeJM1911Kvaei5oySBIxdgtNo/edit?pli=1#gid=257618397"",""stock untanna!B:C""),2,false),V:V)"),"KUAS UTN 661-8")</f>
        <v>KUAS UTN 661-8</v>
      </c>
      <c r="F3946" s="49"/>
      <c r="G3946" s="71"/>
      <c r="H3946" s="41"/>
      <c r="I3946" s="42"/>
      <c r="J3946" s="85" t="s">
        <v>1319</v>
      </c>
      <c r="K3946" s="93">
        <v>6.0</v>
      </c>
      <c r="L3946" s="112" t="s">
        <v>84</v>
      </c>
      <c r="M3946" s="113">
        <v>19000.0</v>
      </c>
      <c r="N3946" s="74"/>
      <c r="O3946" s="87">
        <f t="shared" si="11"/>
        <v>114000</v>
      </c>
      <c r="P3946" s="102" t="str">
        <f t="shared" si="2"/>
        <v>Rp19,000-6 SET-0.00%</v>
      </c>
      <c r="Q3946" s="92">
        <v>45423.0</v>
      </c>
      <c r="R3946" s="76"/>
      <c r="S3946" s="92">
        <v>45430.0</v>
      </c>
      <c r="T3946" s="49"/>
      <c r="V3946" s="21" t="s">
        <v>796</v>
      </c>
    </row>
    <row r="3947">
      <c r="A3947" s="93">
        <v>4270.0</v>
      </c>
      <c r="B3947" s="77" t="s">
        <v>65</v>
      </c>
      <c r="C3947" s="77" t="s">
        <v>2420</v>
      </c>
      <c r="D3947" s="77" t="s">
        <v>3592</v>
      </c>
      <c r="E3947" s="41" t="str">
        <f>IFERROR(__xludf.DUMMYFUNCTION("IFNA(vlookup(D3947,IMPORTRANGE(""https://docs.google.com/spreadsheets/d/1swGwZOEqYlTEUCJLY-eeJM1911Kvaei5oySBIxdgtNo/edit?pli=1#gid=257618397"",""stock untanna!B:C""),2,false),V:V)"),"KUAS UTN 661-9")</f>
        <v>KUAS UTN 661-9</v>
      </c>
      <c r="F3947" s="49"/>
      <c r="G3947" s="71"/>
      <c r="H3947" s="41"/>
      <c r="I3947" s="42"/>
      <c r="J3947" s="85" t="s">
        <v>1319</v>
      </c>
      <c r="K3947" s="93">
        <v>6.0</v>
      </c>
      <c r="L3947" s="112" t="s">
        <v>84</v>
      </c>
      <c r="M3947" s="113">
        <v>21000.0</v>
      </c>
      <c r="N3947" s="74"/>
      <c r="O3947" s="87">
        <f t="shared" si="11"/>
        <v>126000</v>
      </c>
      <c r="P3947" s="102" t="str">
        <f t="shared" si="2"/>
        <v>Rp21,000-6 SET-0.00%</v>
      </c>
      <c r="Q3947" s="92">
        <v>45423.0</v>
      </c>
      <c r="R3947" s="76"/>
      <c r="S3947" s="92">
        <v>45430.0</v>
      </c>
      <c r="T3947" s="49"/>
      <c r="V3947" s="21" t="s">
        <v>3593</v>
      </c>
    </row>
    <row r="3948">
      <c r="A3948" s="93">
        <v>4270.0</v>
      </c>
      <c r="B3948" s="77" t="s">
        <v>65</v>
      </c>
      <c r="C3948" s="77" t="s">
        <v>2420</v>
      </c>
      <c r="D3948" s="77" t="s">
        <v>3594</v>
      </c>
      <c r="E3948" s="41" t="str">
        <f>IFERROR(__xludf.DUMMYFUNCTION("IFNA(vlookup(D3948,IMPORTRANGE(""https://docs.google.com/spreadsheets/d/1swGwZOEqYlTEUCJLY-eeJM1911Kvaei5oySBIxdgtNo/edit?pli=1#gid=257618397"",""stock untanna!B:C""),2,false),V:V)"),"KUAS UTN 661-10")</f>
        <v>KUAS UTN 661-10</v>
      </c>
      <c r="F3948" s="49"/>
      <c r="G3948" s="71"/>
      <c r="H3948" s="41"/>
      <c r="I3948" s="42"/>
      <c r="J3948" s="85" t="s">
        <v>1319</v>
      </c>
      <c r="K3948" s="93">
        <v>6.0</v>
      </c>
      <c r="L3948" s="112" t="s">
        <v>84</v>
      </c>
      <c r="M3948" s="113">
        <v>23000.0</v>
      </c>
      <c r="N3948" s="74"/>
      <c r="O3948" s="87">
        <f t="shared" si="11"/>
        <v>138000</v>
      </c>
      <c r="P3948" s="102" t="str">
        <f t="shared" si="2"/>
        <v>Rp23,000-6 SET-0.00%</v>
      </c>
      <c r="Q3948" s="92">
        <v>45423.0</v>
      </c>
      <c r="R3948" s="76"/>
      <c r="S3948" s="92">
        <v>45430.0</v>
      </c>
      <c r="T3948" s="49"/>
      <c r="V3948" s="21" t="s">
        <v>3595</v>
      </c>
    </row>
    <row r="3949">
      <c r="A3949" s="93">
        <v>4270.0</v>
      </c>
      <c r="B3949" s="77" t="s">
        <v>65</v>
      </c>
      <c r="C3949" s="77" t="s">
        <v>2420</v>
      </c>
      <c r="D3949" s="77" t="s">
        <v>3596</v>
      </c>
      <c r="E3949" s="41" t="str">
        <f>IFERROR(__xludf.DUMMYFUNCTION("IFNA(vlookup(D3949,IMPORTRANGE(""https://docs.google.com/spreadsheets/d/1swGwZOEqYlTEUCJLY-eeJM1911Kvaei5oySBIxdgtNo/edit?pli=1#gid=257618397"",""stock untanna!B:C""),2,false),V:V)"),"KUAS UTN 661-11")</f>
        <v>KUAS UTN 661-11</v>
      </c>
      <c r="F3949" s="49"/>
      <c r="G3949" s="71"/>
      <c r="H3949" s="41"/>
      <c r="I3949" s="42"/>
      <c r="J3949" s="85" t="s">
        <v>1319</v>
      </c>
      <c r="K3949" s="93">
        <v>6.0</v>
      </c>
      <c r="L3949" s="112" t="s">
        <v>84</v>
      </c>
      <c r="M3949" s="113">
        <v>25000.0</v>
      </c>
      <c r="N3949" s="74"/>
      <c r="O3949" s="87">
        <f t="shared" si="11"/>
        <v>150000</v>
      </c>
      <c r="P3949" s="102" t="str">
        <f t="shared" si="2"/>
        <v>Rp25,000-6 SET-0.00%</v>
      </c>
      <c r="Q3949" s="92">
        <v>45423.0</v>
      </c>
      <c r="R3949" s="76"/>
      <c r="S3949" s="92">
        <v>45430.0</v>
      </c>
      <c r="T3949" s="49"/>
      <c r="V3949" s="21" t="s">
        <v>3597</v>
      </c>
    </row>
    <row r="3950">
      <c r="A3950" s="93">
        <v>4270.0</v>
      </c>
      <c r="B3950" s="77" t="s">
        <v>65</v>
      </c>
      <c r="C3950" s="77" t="s">
        <v>2420</v>
      </c>
      <c r="D3950" s="77" t="s">
        <v>3598</v>
      </c>
      <c r="E3950" s="41" t="str">
        <f>IFERROR(__xludf.DUMMYFUNCTION("IFNA(vlookup(D3950,IMPORTRANGE(""https://docs.google.com/spreadsheets/d/1swGwZOEqYlTEUCJLY-eeJM1911Kvaei5oySBIxdgtNo/edit?pli=1#gid=257618397"",""stock untanna!B:C""),2,false),V:V)"),"KUAS UTN 661-12")</f>
        <v>KUAS UTN 661-12</v>
      </c>
      <c r="F3950" s="49"/>
      <c r="G3950" s="71"/>
      <c r="H3950" s="41"/>
      <c r="I3950" s="42"/>
      <c r="J3950" s="85" t="s">
        <v>1319</v>
      </c>
      <c r="K3950" s="93">
        <v>6.0</v>
      </c>
      <c r="L3950" s="112" t="s">
        <v>84</v>
      </c>
      <c r="M3950" s="113">
        <v>27000.0</v>
      </c>
      <c r="N3950" s="74"/>
      <c r="O3950" s="87">
        <f t="shared" si="11"/>
        <v>162000</v>
      </c>
      <c r="P3950" s="102" t="str">
        <f t="shared" si="2"/>
        <v>Rp27,000-6 SET-0.00%</v>
      </c>
      <c r="Q3950" s="92">
        <v>45423.0</v>
      </c>
      <c r="R3950" s="76"/>
      <c r="S3950" s="92">
        <v>45430.0</v>
      </c>
      <c r="T3950" s="49"/>
      <c r="V3950" s="21" t="s">
        <v>3599</v>
      </c>
    </row>
    <row r="3951">
      <c r="A3951" s="93">
        <v>4270.0</v>
      </c>
      <c r="B3951" s="77" t="s">
        <v>65</v>
      </c>
      <c r="C3951" s="77" t="s">
        <v>2420</v>
      </c>
      <c r="D3951" s="77" t="s">
        <v>1627</v>
      </c>
      <c r="E3951" s="41" t="str">
        <f>IFERROR(__xludf.DUMMYFUNCTION("IFNA(vlookup(D3951,IMPORTRANGE(""https://docs.google.com/spreadsheets/d/1swGwZOEqYlTEUCJLY-eeJM1911Kvaei5oySBIxdgtNo/edit?pli=1#gid=257618397"",""stock untanna!B:C""),2,false),V:V)"),"KUAS 21839-4S")</f>
        <v>KUAS 21839-4S</v>
      </c>
      <c r="F3951" s="49"/>
      <c r="G3951" s="71"/>
      <c r="H3951" s="41"/>
      <c r="I3951" s="42"/>
      <c r="J3951" s="85" t="s">
        <v>1319</v>
      </c>
      <c r="K3951" s="93">
        <v>36.0</v>
      </c>
      <c r="L3951" s="112" t="s">
        <v>69</v>
      </c>
      <c r="M3951" s="113">
        <v>19000.0</v>
      </c>
      <c r="N3951" s="74"/>
      <c r="O3951" s="87">
        <f t="shared" si="11"/>
        <v>684000</v>
      </c>
      <c r="P3951" s="102" t="str">
        <f t="shared" si="2"/>
        <v>Rp19,000-36 PCS-0.00%</v>
      </c>
      <c r="Q3951" s="92">
        <v>45423.0</v>
      </c>
      <c r="R3951" s="76"/>
      <c r="S3951" s="92">
        <v>45430.0</v>
      </c>
      <c r="T3951" s="49"/>
      <c r="V3951" s="21" t="s">
        <v>1628</v>
      </c>
    </row>
    <row r="3952">
      <c r="A3952" s="93">
        <v>4270.0</v>
      </c>
      <c r="B3952" s="77" t="s">
        <v>65</v>
      </c>
      <c r="C3952" s="77" t="s">
        <v>2420</v>
      </c>
      <c r="D3952" s="91"/>
      <c r="E3952" s="41" t="str">
        <f>IFERROR(__xludf.DUMMYFUNCTION("IFNA(vlookup(D3952,IMPORTRANGE(""https://docs.google.com/spreadsheets/d/1swGwZOEqYlTEUCJLY-eeJM1911Kvaei5oySBIxdgtNo/edit?pli=1#gid=257618397"",""stock untanna!B:C""),2,false),V:V)"),"KUAS E01")</f>
        <v>KUAS E01</v>
      </c>
      <c r="F3952" s="49"/>
      <c r="G3952" s="71"/>
      <c r="H3952" s="41"/>
      <c r="I3952" s="42"/>
      <c r="J3952" s="85" t="s">
        <v>3190</v>
      </c>
      <c r="K3952" s="93">
        <v>36.0</v>
      </c>
      <c r="L3952" s="112" t="s">
        <v>84</v>
      </c>
      <c r="M3952" s="113">
        <v>18000.0</v>
      </c>
      <c r="N3952" s="115">
        <v>0.1</v>
      </c>
      <c r="O3952" s="87">
        <f t="shared" si="11"/>
        <v>583200</v>
      </c>
      <c r="P3952" s="102" t="str">
        <f t="shared" si="2"/>
        <v>Rp18,000-36 SET-10.00%</v>
      </c>
      <c r="Q3952" s="92">
        <v>45423.0</v>
      </c>
      <c r="R3952" s="76"/>
      <c r="S3952" s="92">
        <v>45430.0</v>
      </c>
      <c r="T3952" s="49"/>
      <c r="V3952" s="21" t="s">
        <v>3600</v>
      </c>
    </row>
    <row r="3953">
      <c r="A3953" s="93">
        <v>4270.0</v>
      </c>
      <c r="B3953" s="77" t="s">
        <v>65</v>
      </c>
      <c r="C3953" s="77" t="s">
        <v>2420</v>
      </c>
      <c r="D3953" s="91"/>
      <c r="E3953" s="41" t="str">
        <f>IFERROR(__xludf.DUMMYFUNCTION("IFNA(vlookup(D3953,IMPORTRANGE(""https://docs.google.com/spreadsheets/d/1swGwZOEqYlTEUCJLY-eeJM1911Kvaei5oySBIxdgtNo/edit?pli=1#gid=257618397"",""stock untanna!B:C""),2,false),V:V)"),"KUAS CAT H 4 POAI")</f>
        <v>KUAS CAT H 4 POAI</v>
      </c>
      <c r="F3953" s="49"/>
      <c r="G3953" s="71"/>
      <c r="H3953" s="41"/>
      <c r="I3953" s="42"/>
      <c r="J3953" s="85" t="s">
        <v>1319</v>
      </c>
      <c r="K3953" s="93">
        <v>60.0</v>
      </c>
      <c r="L3953" s="112" t="s">
        <v>84</v>
      </c>
      <c r="M3953" s="113">
        <v>11000.0</v>
      </c>
      <c r="N3953" s="115">
        <v>0.1</v>
      </c>
      <c r="O3953" s="87">
        <f t="shared" si="11"/>
        <v>594000</v>
      </c>
      <c r="P3953" s="102" t="str">
        <f t="shared" si="2"/>
        <v>Rp11,000-60 SET-10.00%</v>
      </c>
      <c r="Q3953" s="92">
        <v>45423.0</v>
      </c>
      <c r="R3953" s="76"/>
      <c r="S3953" s="92">
        <v>45430.0</v>
      </c>
      <c r="T3953" s="77" t="s">
        <v>280</v>
      </c>
      <c r="V3953" s="21" t="s">
        <v>3601</v>
      </c>
    </row>
    <row r="3954">
      <c r="A3954" s="93">
        <v>4270.0</v>
      </c>
      <c r="B3954" s="77" t="s">
        <v>65</v>
      </c>
      <c r="C3954" s="77" t="s">
        <v>2420</v>
      </c>
      <c r="D3954" s="77" t="s">
        <v>647</v>
      </c>
      <c r="E3954" s="41" t="str">
        <f>IFERROR(__xludf.DUMMYFUNCTION("IFNA(vlookup(D3954,IMPORTRANGE(""https://docs.google.com/spreadsheets/d/1swGwZOEqYlTEUCJLY-eeJM1911Kvaei5oySBIxdgtNo/edit?pli=1#gid=257618397"",""stock untanna!B:C""),2,false),V:V)"),"KUAS 251-6CJ")</f>
        <v>KUAS 251-6CJ</v>
      </c>
      <c r="F3954" s="49"/>
      <c r="G3954" s="71"/>
      <c r="H3954" s="41"/>
      <c r="I3954" s="42"/>
      <c r="J3954" s="85" t="s">
        <v>1319</v>
      </c>
      <c r="K3954" s="93">
        <v>24.0</v>
      </c>
      <c r="L3954" s="112" t="s">
        <v>84</v>
      </c>
      <c r="M3954" s="113">
        <v>10000.0</v>
      </c>
      <c r="N3954" s="74"/>
      <c r="O3954" s="87">
        <f t="shared" si="11"/>
        <v>240000</v>
      </c>
      <c r="P3954" s="102" t="str">
        <f t="shared" si="2"/>
        <v>Rp10,000-24 SET-0.00%</v>
      </c>
      <c r="Q3954" s="92">
        <v>45423.0</v>
      </c>
      <c r="R3954" s="76"/>
      <c r="S3954" s="92">
        <v>45430.0</v>
      </c>
      <c r="T3954" s="49"/>
      <c r="V3954" s="21" t="s">
        <v>648</v>
      </c>
    </row>
    <row r="3955">
      <c r="A3955" s="93">
        <v>4271.0</v>
      </c>
      <c r="B3955" s="77" t="s">
        <v>65</v>
      </c>
      <c r="C3955" s="77" t="s">
        <v>2420</v>
      </c>
      <c r="D3955" s="77" t="s">
        <v>1625</v>
      </c>
      <c r="E3955" s="41" t="str">
        <f>IFERROR(__xludf.DUMMYFUNCTION("IFNA(vlookup(D3955,IMPORTRANGE(""https://docs.google.com/spreadsheets/d/1swGwZOEqYlTEUCJLY-eeJM1911Kvaei5oySBIxdgtNo/edit?pli=1#gid=257618397"",""stock untanna!B:C""),2,false),V:V)"),"KUAS 21839-6HP")</f>
        <v>KUAS 21839-6HP</v>
      </c>
      <c r="F3955" s="49"/>
      <c r="G3955" s="71"/>
      <c r="H3955" s="41"/>
      <c r="I3955" s="42"/>
      <c r="J3955" s="85" t="s">
        <v>1319</v>
      </c>
      <c r="K3955" s="93">
        <v>24.0</v>
      </c>
      <c r="L3955" s="112" t="s">
        <v>84</v>
      </c>
      <c r="M3955" s="113">
        <v>12000.0</v>
      </c>
      <c r="N3955" s="74"/>
      <c r="O3955" s="87">
        <f t="shared" si="11"/>
        <v>288000</v>
      </c>
      <c r="P3955" s="102" t="str">
        <f t="shared" si="2"/>
        <v>Rp12,000-24 SET-0.00%</v>
      </c>
      <c r="Q3955" s="92">
        <v>45423.0</v>
      </c>
      <c r="R3955" s="76"/>
      <c r="S3955" s="92">
        <v>45430.0</v>
      </c>
      <c r="T3955" s="49"/>
      <c r="V3955" s="21" t="s">
        <v>1626</v>
      </c>
    </row>
    <row r="3956">
      <c r="A3956" s="93">
        <v>4271.0</v>
      </c>
      <c r="B3956" s="77" t="s">
        <v>65</v>
      </c>
      <c r="C3956" s="77" t="s">
        <v>2420</v>
      </c>
      <c r="D3956" s="77" t="s">
        <v>645</v>
      </c>
      <c r="E3956" s="41" t="str">
        <f>IFERROR(__xludf.DUMMYFUNCTION("IFNA(vlookup(D3956,IMPORTRANGE(""https://docs.google.com/spreadsheets/d/1swGwZOEqYlTEUCJLY-eeJM1911Kvaei5oySBIxdgtNo/edit?pli=1#gid=257618397"",""stock untanna!B:C""),2,false),V:V)"),"KUAS 21839-6H4")</f>
        <v>KUAS 21839-6H4</v>
      </c>
      <c r="F3956" s="49"/>
      <c r="G3956" s="71"/>
      <c r="H3956" s="41"/>
      <c r="I3956" s="42"/>
      <c r="J3956" s="85" t="s">
        <v>1319</v>
      </c>
      <c r="K3956" s="93">
        <v>24.0</v>
      </c>
      <c r="L3956" s="112" t="s">
        <v>69</v>
      </c>
      <c r="M3956" s="113">
        <v>12000.0</v>
      </c>
      <c r="N3956" s="74"/>
      <c r="O3956" s="87">
        <f t="shared" si="11"/>
        <v>288000</v>
      </c>
      <c r="P3956" s="102" t="str">
        <f t="shared" si="2"/>
        <v>Rp12,000-24 PCS-0.00%</v>
      </c>
      <c r="Q3956" s="92">
        <v>45423.0</v>
      </c>
      <c r="R3956" s="76"/>
      <c r="S3956" s="92">
        <v>45430.0</v>
      </c>
      <c r="T3956" s="49"/>
      <c r="V3956" s="21" t="s">
        <v>646</v>
      </c>
    </row>
    <row r="3957">
      <c r="A3957" s="93">
        <v>4271.0</v>
      </c>
      <c r="B3957" s="77" t="s">
        <v>65</v>
      </c>
      <c r="C3957" s="77" t="s">
        <v>2420</v>
      </c>
      <c r="D3957" s="77" t="s">
        <v>3552</v>
      </c>
      <c r="E3957" s="41" t="str">
        <f>IFERROR(__xludf.DUMMYFUNCTION("IFNA(vlookup(D3957,IMPORTRANGE(""https://docs.google.com/spreadsheets/d/1swGwZOEqYlTEUCJLY-eeJM1911Kvaei5oySBIxdgtNo/edit?pli=1#gid=257618397"",""stock untanna!B:C""),2,false),V:V)"),"DOKUMEN RISLETING PRESTIGE")</f>
        <v>DOKUMEN RISLETING PRESTIGE</v>
      </c>
      <c r="F3957" s="49"/>
      <c r="G3957" s="71"/>
      <c r="H3957" s="41"/>
      <c r="I3957" s="42"/>
      <c r="J3957" s="85" t="s">
        <v>1319</v>
      </c>
      <c r="K3957" s="93">
        <v>1.0</v>
      </c>
      <c r="L3957" s="112" t="s">
        <v>62</v>
      </c>
      <c r="M3957" s="113">
        <v>210000.0</v>
      </c>
      <c r="N3957" s="74"/>
      <c r="O3957" s="87">
        <f t="shared" si="11"/>
        <v>210000</v>
      </c>
      <c r="P3957" s="102" t="str">
        <f t="shared" si="2"/>
        <v>Rp210,000-1 LSN-0.00%</v>
      </c>
      <c r="Q3957" s="92">
        <v>45423.0</v>
      </c>
      <c r="R3957" s="76"/>
      <c r="S3957" s="92">
        <v>45430.0</v>
      </c>
      <c r="T3957" s="49"/>
      <c r="V3957" s="21" t="s">
        <v>3553</v>
      </c>
    </row>
    <row r="3958">
      <c r="A3958" s="93">
        <v>4271.0</v>
      </c>
      <c r="B3958" s="77" t="s">
        <v>65</v>
      </c>
      <c r="C3958" s="77" t="s">
        <v>2420</v>
      </c>
      <c r="D3958" s="77" t="s">
        <v>3602</v>
      </c>
      <c r="E3958" s="41" t="str">
        <f>IFERROR(__xludf.DUMMYFUNCTION("IFNA(vlookup(D3958,IMPORTRANGE(""https://docs.google.com/spreadsheets/d/1swGwZOEqYlTEUCJLY-eeJM1911Kvaei5oySBIxdgtNo/edit?pli=1#gid=257618397"",""stock untanna!B:C""),2,false),V:V)"),"ACRYLIC 8 X 25")</f>
        <v>ACRYLIC 8 X 25</v>
      </c>
      <c r="F3958" s="49"/>
      <c r="G3958" s="71"/>
      <c r="H3958" s="41"/>
      <c r="I3958" s="42"/>
      <c r="J3958" s="85" t="s">
        <v>1319</v>
      </c>
      <c r="K3958" s="93">
        <v>12.0</v>
      </c>
      <c r="L3958" s="112" t="s">
        <v>69</v>
      </c>
      <c r="M3958" s="113">
        <v>19500.0</v>
      </c>
      <c r="N3958" s="74"/>
      <c r="O3958" s="87">
        <f t="shared" si="11"/>
        <v>234000</v>
      </c>
      <c r="P3958" s="102" t="str">
        <f t="shared" si="2"/>
        <v>Rp19,500-12 PCS-0.00%</v>
      </c>
      <c r="Q3958" s="92">
        <v>45423.0</v>
      </c>
      <c r="R3958" s="76"/>
      <c r="S3958" s="92">
        <v>45430.0</v>
      </c>
      <c r="T3958" s="49"/>
      <c r="V3958" s="21" t="s">
        <v>3603</v>
      </c>
    </row>
    <row r="3959">
      <c r="A3959" s="93">
        <v>4271.0</v>
      </c>
      <c r="B3959" s="77" t="s">
        <v>65</v>
      </c>
      <c r="C3959" s="77" t="s">
        <v>2420</v>
      </c>
      <c r="D3959" s="77" t="s">
        <v>3604</v>
      </c>
      <c r="E3959" s="41" t="str">
        <f>IFERROR(__xludf.DUMMYFUNCTION("IFNA(vlookup(D3959,IMPORTRANGE(""https://docs.google.com/spreadsheets/d/1swGwZOEqYlTEUCJLY-eeJM1911Kvaei5oySBIxdgtNo/edit?pli=1#gid=257618397"",""stock untanna!B:C""),2,false),V:V)"),"ACRYLIC 7X25")</f>
        <v>ACRYLIC 7X25</v>
      </c>
      <c r="F3959" s="49"/>
      <c r="G3959" s="71"/>
      <c r="H3959" s="41"/>
      <c r="I3959" s="42"/>
      <c r="J3959" s="85" t="s">
        <v>1319</v>
      </c>
      <c r="K3959" s="93">
        <v>12.0</v>
      </c>
      <c r="L3959" s="112" t="s">
        <v>69</v>
      </c>
      <c r="M3959" s="113">
        <v>18500.0</v>
      </c>
      <c r="N3959" s="74"/>
      <c r="O3959" s="87">
        <f t="shared" si="11"/>
        <v>222000</v>
      </c>
      <c r="P3959" s="102" t="str">
        <f t="shared" si="2"/>
        <v>Rp18,500-12 PCS-0.00%</v>
      </c>
      <c r="Q3959" s="92">
        <v>45423.0</v>
      </c>
      <c r="R3959" s="76"/>
      <c r="S3959" s="92">
        <v>45430.0</v>
      </c>
      <c r="T3959" s="49"/>
      <c r="V3959" s="21" t="s">
        <v>3605</v>
      </c>
    </row>
    <row r="3960">
      <c r="A3960" s="93">
        <v>4271.0</v>
      </c>
      <c r="B3960" s="77" t="s">
        <v>65</v>
      </c>
      <c r="C3960" s="77" t="s">
        <v>2420</v>
      </c>
      <c r="D3960" s="77" t="s">
        <v>3606</v>
      </c>
      <c r="E3960" s="41" t="str">
        <f>IFERROR(__xludf.DUMMYFUNCTION("IFNA(vlookup(D3960,IMPORTRANGE(""https://docs.google.com/spreadsheets/d/1swGwZOEqYlTEUCJLY-eeJM1911Kvaei5oySBIxdgtNo/edit?pli=1#gid=257618397"",""stock untanna!B:C""),2,false),V:V)"),"ACRYLIC A6 11X16")</f>
        <v>ACRYLIC A6 11X16</v>
      </c>
      <c r="F3960" s="49"/>
      <c r="G3960" s="71"/>
      <c r="H3960" s="41"/>
      <c r="I3960" s="42"/>
      <c r="J3960" s="85" t="s">
        <v>1319</v>
      </c>
      <c r="K3960" s="93">
        <v>12.0</v>
      </c>
      <c r="L3960" s="112" t="s">
        <v>69</v>
      </c>
      <c r="M3960" s="113">
        <v>24000.0</v>
      </c>
      <c r="N3960" s="74"/>
      <c r="O3960" s="87">
        <f t="shared" si="11"/>
        <v>288000</v>
      </c>
      <c r="P3960" s="102" t="str">
        <f t="shared" si="2"/>
        <v>Rp24,000-12 PCS-0.00%</v>
      </c>
      <c r="Q3960" s="92">
        <v>45423.0</v>
      </c>
      <c r="R3960" s="76"/>
      <c r="S3960" s="92">
        <v>45430.0</v>
      </c>
      <c r="T3960" s="49"/>
      <c r="V3960" s="21" t="s">
        <v>3607</v>
      </c>
    </row>
    <row r="3961">
      <c r="A3961" s="93">
        <v>4271.0</v>
      </c>
      <c r="B3961" s="77" t="s">
        <v>65</v>
      </c>
      <c r="C3961" s="77" t="s">
        <v>2420</v>
      </c>
      <c r="D3961" s="91"/>
      <c r="E3961" s="41" t="str">
        <f>IFERROR(__xludf.DUMMYFUNCTION("IFNA(vlookup(D3961,IMPORTRANGE(""https://docs.google.com/spreadsheets/d/1swGwZOEqYlTEUCJLY-eeJM1911Kvaei5oySBIxdgtNo/edit?pli=1#gid=257618397"",""stock untanna!B:C""),2,false),V:V)"),"ACRYLIC 11X21.5")</f>
        <v>ACRYLIC 11X21.5</v>
      </c>
      <c r="F3961" s="49"/>
      <c r="G3961" s="71"/>
      <c r="H3961" s="41"/>
      <c r="I3961" s="42"/>
      <c r="J3961" s="85" t="s">
        <v>1319</v>
      </c>
      <c r="K3961" s="93">
        <v>12.0</v>
      </c>
      <c r="L3961" s="112" t="s">
        <v>69</v>
      </c>
      <c r="M3961" s="113">
        <v>25000.0</v>
      </c>
      <c r="N3961" s="74"/>
      <c r="O3961" s="87">
        <f t="shared" si="11"/>
        <v>300000</v>
      </c>
      <c r="P3961" s="102" t="str">
        <f t="shared" si="2"/>
        <v>Rp25,000-12 PCS-0.00%</v>
      </c>
      <c r="Q3961" s="92">
        <v>45423.0</v>
      </c>
      <c r="R3961" s="76"/>
      <c r="S3961" s="92">
        <v>45430.0</v>
      </c>
      <c r="T3961" s="77" t="s">
        <v>280</v>
      </c>
      <c r="V3961" s="21" t="s">
        <v>3608</v>
      </c>
    </row>
    <row r="3962">
      <c r="A3962" s="93">
        <v>4271.0</v>
      </c>
      <c r="B3962" s="77" t="s">
        <v>65</v>
      </c>
      <c r="C3962" s="77" t="s">
        <v>2420</v>
      </c>
      <c r="D3962" s="91"/>
      <c r="E3962" s="41" t="str">
        <f>IFERROR(__xludf.DUMMYFUNCTION("IFNA(vlookup(D3962,IMPORTRANGE(""https://docs.google.com/spreadsheets/d/1swGwZOEqYlTEUCJLY-eeJM1911Kvaei5oySBIxdgtNo/edit?pli=1#gid=257618397"",""stock untanna!B:C""),2,false),V:V)"),"N BOOK MAGNIT A6 CR 64")</f>
        <v>N BOOK MAGNIT A6 CR 64</v>
      </c>
      <c r="F3962" s="49"/>
      <c r="G3962" s="71"/>
      <c r="H3962" s="41"/>
      <c r="I3962" s="42"/>
      <c r="J3962" s="85" t="s">
        <v>3190</v>
      </c>
      <c r="K3962" s="93">
        <v>12.0</v>
      </c>
      <c r="L3962" s="112" t="s">
        <v>69</v>
      </c>
      <c r="M3962" s="113">
        <v>15000.0</v>
      </c>
      <c r="N3962" s="74"/>
      <c r="O3962" s="87">
        <f t="shared" si="11"/>
        <v>180000</v>
      </c>
      <c r="P3962" s="102" t="str">
        <f t="shared" si="2"/>
        <v>Rp15,000-12 PCS-0.00%</v>
      </c>
      <c r="Q3962" s="92">
        <v>45423.0</v>
      </c>
      <c r="R3962" s="76"/>
      <c r="S3962" s="92">
        <v>45430.0</v>
      </c>
      <c r="T3962" s="49"/>
      <c r="V3962" s="21" t="s">
        <v>3609</v>
      </c>
    </row>
    <row r="3963">
      <c r="A3963" s="93">
        <v>4271.0</v>
      </c>
      <c r="B3963" s="77" t="s">
        <v>65</v>
      </c>
      <c r="C3963" s="77" t="s">
        <v>2420</v>
      </c>
      <c r="D3963" s="77" t="s">
        <v>2019</v>
      </c>
      <c r="E3963" s="41" t="str">
        <f>IFERROR(__xludf.DUMMYFUNCTION("IFNA(vlookup(D3963,IMPORTRANGE(""https://docs.google.com/spreadsheets/d/1swGwZOEqYlTEUCJLY-eeJM1911Kvaei5oySBIxdgtNo/edit?pli=1#gid=257618397"",""stock untanna!B:C""),2,false),V:V)"),"BN RABBIT KOALA A5")</f>
        <v>BN RABBIT KOALA A5</v>
      </c>
      <c r="F3963" s="49"/>
      <c r="G3963" s="71"/>
      <c r="H3963" s="41"/>
      <c r="I3963" s="42"/>
      <c r="J3963" s="85" t="s">
        <v>1319</v>
      </c>
      <c r="K3963" s="93">
        <v>24.0</v>
      </c>
      <c r="L3963" s="112" t="s">
        <v>69</v>
      </c>
      <c r="M3963" s="113">
        <v>25000.0</v>
      </c>
      <c r="N3963" s="74"/>
      <c r="O3963" s="87">
        <f t="shared" si="11"/>
        <v>600000</v>
      </c>
      <c r="P3963" s="102" t="str">
        <f t="shared" si="2"/>
        <v>Rp25,000-24 PCS-0.00%</v>
      </c>
      <c r="Q3963" s="92">
        <v>45423.0</v>
      </c>
      <c r="R3963" s="76"/>
      <c r="S3963" s="92">
        <v>45430.0</v>
      </c>
      <c r="T3963" s="49"/>
      <c r="V3963" s="21" t="s">
        <v>2020</v>
      </c>
    </row>
    <row r="3964">
      <c r="A3964" s="93">
        <v>4271.0</v>
      </c>
      <c r="B3964" s="77" t="s">
        <v>65</v>
      </c>
      <c r="C3964" s="77" t="s">
        <v>2420</v>
      </c>
      <c r="D3964" s="91"/>
      <c r="E3964" s="41" t="str">
        <f>IFERROR(__xludf.DUMMYFUNCTION("IFNA(vlookup(D3964,IMPORTRANGE(""https://docs.google.com/spreadsheets/d/1swGwZOEqYlTEUCJLY-eeJM1911Kvaei5oySBIxdgtNo/edit?pli=1#gid=257618397"",""stock untanna!B:C""),2,false),V:V)"),"N BOOK 005 SET STICKER")</f>
        <v>N BOOK 005 SET STICKER</v>
      </c>
      <c r="F3964" s="49"/>
      <c r="G3964" s="71"/>
      <c r="H3964" s="41"/>
      <c r="I3964" s="42"/>
      <c r="J3964" s="85" t="s">
        <v>3190</v>
      </c>
      <c r="K3964" s="93">
        <v>12.0</v>
      </c>
      <c r="L3964" s="112" t="s">
        <v>69</v>
      </c>
      <c r="M3964" s="113">
        <v>16500.0</v>
      </c>
      <c r="N3964" s="74"/>
      <c r="O3964" s="87">
        <f t="shared" si="11"/>
        <v>198000</v>
      </c>
      <c r="P3964" s="102" t="str">
        <f t="shared" si="2"/>
        <v>Rp16,500-12 PCS-0.00%</v>
      </c>
      <c r="Q3964" s="92">
        <v>45423.0</v>
      </c>
      <c r="R3964" s="76"/>
      <c r="S3964" s="92">
        <v>45430.0</v>
      </c>
      <c r="T3964" s="49"/>
      <c r="V3964" s="21" t="s">
        <v>3610</v>
      </c>
    </row>
    <row r="3965">
      <c r="A3965" s="93">
        <v>4271.0</v>
      </c>
      <c r="B3965" s="77" t="s">
        <v>65</v>
      </c>
      <c r="C3965" s="77" t="s">
        <v>2420</v>
      </c>
      <c r="D3965" s="91"/>
      <c r="E3965" s="41" t="str">
        <f>IFERROR(__xludf.DUMMYFUNCTION("IFNA(vlookup(D3965,IMPORTRANGE(""https://docs.google.com/spreadsheets/d/1swGwZOEqYlTEUCJLY-eeJM1911Kvaei5oySBIxdgtNo/edit?pli=1#gid=257618397"",""stock untanna!B:C""),2,false),V:V)"),"STUDY BOARD 3180")</f>
        <v>STUDY BOARD 3180</v>
      </c>
      <c r="F3965" s="49"/>
      <c r="G3965" s="71"/>
      <c r="H3965" s="41"/>
      <c r="I3965" s="42"/>
      <c r="J3965" s="85" t="s">
        <v>1319</v>
      </c>
      <c r="K3965" s="93">
        <v>1.0</v>
      </c>
      <c r="L3965" s="112" t="s">
        <v>114</v>
      </c>
      <c r="M3965" s="113">
        <v>135000.0</v>
      </c>
      <c r="N3965" s="74"/>
      <c r="O3965" s="87">
        <f t="shared" si="11"/>
        <v>135000</v>
      </c>
      <c r="P3965" s="102" t="str">
        <f t="shared" si="2"/>
        <v>Rp135,000-1 PAK-0.00%</v>
      </c>
      <c r="Q3965" s="92">
        <v>45423.0</v>
      </c>
      <c r="R3965" s="76"/>
      <c r="S3965" s="92">
        <v>45430.0</v>
      </c>
      <c r="T3965" s="77" t="s">
        <v>280</v>
      </c>
      <c r="V3965" s="21" t="s">
        <v>3611</v>
      </c>
    </row>
    <row r="3966">
      <c r="A3966" s="93">
        <v>4271.0</v>
      </c>
      <c r="B3966" s="77" t="s">
        <v>65</v>
      </c>
      <c r="C3966" s="77" t="s">
        <v>2420</v>
      </c>
      <c r="D3966" s="91"/>
      <c r="E3966" s="41" t="str">
        <f>IFERROR(__xludf.DUMMYFUNCTION("IFNA(vlookup(D3966,IMPORTRANGE(""https://docs.google.com/spreadsheets/d/1swGwZOEqYlTEUCJLY-eeJM1911Kvaei5oySBIxdgtNo/edit?pli=1#gid=257618397"",""stock untanna!B:C""),2,false),V:V)"),"BUKU MEWARNAI 8 DESAIN KECIL")</f>
        <v>BUKU MEWARNAI 8 DESAIN KECIL</v>
      </c>
      <c r="F3966" s="49"/>
      <c r="G3966" s="71"/>
      <c r="H3966" s="41"/>
      <c r="I3966" s="42"/>
      <c r="J3966" s="85" t="s">
        <v>3190</v>
      </c>
      <c r="K3966" s="93">
        <v>50.0</v>
      </c>
      <c r="L3966" s="112" t="s">
        <v>69</v>
      </c>
      <c r="M3966" s="113">
        <v>1000.0</v>
      </c>
      <c r="N3966" s="74"/>
      <c r="O3966" s="87">
        <f t="shared" si="11"/>
        <v>50000</v>
      </c>
      <c r="P3966" s="102" t="str">
        <f t="shared" si="2"/>
        <v>Rp1,000-50 PCS-0.00%</v>
      </c>
      <c r="Q3966" s="92">
        <v>45423.0</v>
      </c>
      <c r="R3966" s="76"/>
      <c r="S3966" s="92">
        <v>45430.0</v>
      </c>
      <c r="T3966" s="49"/>
      <c r="V3966" s="21" t="s">
        <v>3612</v>
      </c>
    </row>
    <row r="3967">
      <c r="A3967" s="93">
        <v>4271.0</v>
      </c>
      <c r="B3967" s="77" t="s">
        <v>65</v>
      </c>
      <c r="C3967" s="77" t="s">
        <v>2420</v>
      </c>
      <c r="D3967" s="77" t="s">
        <v>3613</v>
      </c>
      <c r="E3967" s="41" t="str">
        <f>IFERROR(__xludf.DUMMYFUNCTION("IFNA(vlookup(D3967,IMPORTRANGE(""https://docs.google.com/spreadsheets/d/1swGwZOEqYlTEUCJLY-eeJM1911Kvaei5oySBIxdgtNo/edit?pli=1#gid=257618397"",""stock untanna!B:C""),2,false),V:V)"),"POST IT WALITO WLT-8838")</f>
        <v>POST IT WALITO WLT-8838</v>
      </c>
      <c r="F3967" s="49"/>
      <c r="G3967" s="71"/>
      <c r="H3967" s="41"/>
      <c r="I3967" s="42"/>
      <c r="J3967" s="85" t="s">
        <v>1319</v>
      </c>
      <c r="K3967" s="93">
        <v>12.0</v>
      </c>
      <c r="L3967" s="112" t="s">
        <v>69</v>
      </c>
      <c r="M3967" s="113">
        <v>9500.0</v>
      </c>
      <c r="N3967" s="74"/>
      <c r="O3967" s="87">
        <f t="shared" si="11"/>
        <v>114000</v>
      </c>
      <c r="P3967" s="102" t="str">
        <f t="shared" si="2"/>
        <v>Rp9,500-12 PCS-0.00%</v>
      </c>
      <c r="Q3967" s="92">
        <v>45423.0</v>
      </c>
      <c r="R3967" s="76"/>
      <c r="S3967" s="92">
        <v>45430.0</v>
      </c>
      <c r="T3967" s="49"/>
      <c r="V3967" s="21" t="s">
        <v>3614</v>
      </c>
    </row>
    <row r="3968">
      <c r="A3968" s="93">
        <v>4271.0</v>
      </c>
      <c r="B3968" s="77" t="s">
        <v>65</v>
      </c>
      <c r="C3968" s="77" t="s">
        <v>2420</v>
      </c>
      <c r="D3968" s="91"/>
      <c r="E3968" s="41" t="str">
        <f>IFERROR(__xludf.DUMMYFUNCTION("IFNA(vlookup(D3968,IMPORTRANGE(""https://docs.google.com/spreadsheets/d/1swGwZOEqYlTEUCJLY-eeJM1911Kvaei5oySBIxdgtNo/edit?pli=1#gid=257618397"",""stock untanna!B:C""),2,false),V:V)"),"AGENDA 48K-1")</f>
        <v>AGENDA 48K-1</v>
      </c>
      <c r="F3968" s="49"/>
      <c r="G3968" s="71"/>
      <c r="H3968" s="41"/>
      <c r="I3968" s="42"/>
      <c r="J3968" s="85" t="s">
        <v>3190</v>
      </c>
      <c r="K3968" s="93">
        <v>12.0</v>
      </c>
      <c r="L3968" s="112" t="s">
        <v>69</v>
      </c>
      <c r="M3968" s="113">
        <v>21000.0</v>
      </c>
      <c r="N3968" s="74"/>
      <c r="O3968" s="87">
        <f t="shared" si="11"/>
        <v>252000</v>
      </c>
      <c r="P3968" s="102" t="str">
        <f t="shared" si="2"/>
        <v>Rp21,000-12 PCS-0.00%</v>
      </c>
      <c r="Q3968" s="92">
        <v>45423.0</v>
      </c>
      <c r="R3968" s="76"/>
      <c r="S3968" s="92">
        <v>45430.0</v>
      </c>
      <c r="T3968" s="49"/>
      <c r="V3968" s="21" t="s">
        <v>3615</v>
      </c>
    </row>
    <row r="3969">
      <c r="A3969" s="93">
        <v>4271.0</v>
      </c>
      <c r="B3969" s="77" t="s">
        <v>65</v>
      </c>
      <c r="C3969" s="77" t="s">
        <v>2420</v>
      </c>
      <c r="D3969" s="91"/>
      <c r="E3969" s="41" t="str">
        <f>IFERROR(__xludf.DUMMYFUNCTION("IFNA(vlookup(D3969,IMPORTRANGE(""https://docs.google.com/spreadsheets/d/1swGwZOEqYlTEUCJLY-eeJM1911Kvaei5oySBIxdgtNo/edit?pli=1#gid=257618397"",""stock untanna!B:C""),2,false),V:V)"),"AGENDA 25K MB 35-25")</f>
        <v>AGENDA 25K MB 35-25</v>
      </c>
      <c r="F3969" s="49"/>
      <c r="G3969" s="71"/>
      <c r="H3969" s="41"/>
      <c r="I3969" s="42"/>
      <c r="J3969" s="85" t="s">
        <v>3190</v>
      </c>
      <c r="K3969" s="93">
        <v>36.0</v>
      </c>
      <c r="L3969" s="112" t="s">
        <v>69</v>
      </c>
      <c r="M3969" s="113">
        <v>16500.0</v>
      </c>
      <c r="N3969" s="74"/>
      <c r="O3969" s="87">
        <f t="shared" si="11"/>
        <v>594000</v>
      </c>
      <c r="P3969" s="102" t="str">
        <f t="shared" si="2"/>
        <v>Rp16,500-36 PCS-0.00%</v>
      </c>
      <c r="Q3969" s="92">
        <v>45423.0</v>
      </c>
      <c r="R3969" s="76"/>
      <c r="S3969" s="92">
        <v>45430.0</v>
      </c>
      <c r="T3969" s="49"/>
      <c r="V3969" s="21" t="s">
        <v>1811</v>
      </c>
    </row>
    <row r="3970">
      <c r="A3970" s="93">
        <v>4271.0</v>
      </c>
      <c r="B3970" s="77" t="s">
        <v>65</v>
      </c>
      <c r="C3970" s="77" t="s">
        <v>2420</v>
      </c>
      <c r="D3970" s="91"/>
      <c r="E3970" s="41" t="str">
        <f>IFERROR(__xludf.DUMMYFUNCTION("IFNA(vlookup(D3970,IMPORTRANGE(""https://docs.google.com/spreadsheets/d/1swGwZOEqYlTEUCJLY-eeJM1911Kvaei5oySBIxdgtNo/edit?pli=1#gid=257618397"",""stock untanna!B:C""),2,false),V:V)"),"AGENDA MB 35-50")</f>
        <v>AGENDA MB 35-50</v>
      </c>
      <c r="F3970" s="49"/>
      <c r="G3970" s="71"/>
      <c r="H3970" s="41"/>
      <c r="I3970" s="42"/>
      <c r="J3970" s="85" t="s">
        <v>3190</v>
      </c>
      <c r="K3970" s="93">
        <v>36.0</v>
      </c>
      <c r="L3970" s="112" t="s">
        <v>69</v>
      </c>
      <c r="M3970" s="113">
        <v>10000.0</v>
      </c>
      <c r="N3970" s="74"/>
      <c r="O3970" s="87">
        <f t="shared" si="11"/>
        <v>360000</v>
      </c>
      <c r="P3970" s="102" t="str">
        <f t="shared" si="2"/>
        <v>Rp10,000-36 PCS-0.00%</v>
      </c>
      <c r="Q3970" s="92">
        <v>45423.0</v>
      </c>
      <c r="R3970" s="76"/>
      <c r="S3970" s="92">
        <v>45430.0</v>
      </c>
      <c r="T3970" s="49"/>
      <c r="V3970" s="21" t="s">
        <v>3616</v>
      </c>
    </row>
    <row r="3971">
      <c r="A3971" s="93">
        <v>4272.0</v>
      </c>
      <c r="B3971" s="77" t="s">
        <v>65</v>
      </c>
      <c r="C3971" s="77" t="s">
        <v>2420</v>
      </c>
      <c r="D3971" s="91"/>
      <c r="E3971" s="41" t="str">
        <f>IFERROR(__xludf.DUMMYFUNCTION("IFNA(vlookup(D3971,IMPORTRANGE(""https://docs.google.com/spreadsheets/d/1swGwZOEqYlTEUCJLY-eeJM1911Kvaei5oySBIxdgtNo/edit?pli=1#gid=257618397"",""stock untanna!B:C""),2,false),V:V)"),"SKETCH BOOK A5-3555")</f>
        <v>SKETCH BOOK A5-3555</v>
      </c>
      <c r="F3971" s="49"/>
      <c r="G3971" s="71"/>
      <c r="H3971" s="41"/>
      <c r="I3971" s="42"/>
      <c r="J3971" s="85" t="s">
        <v>1319</v>
      </c>
      <c r="K3971" s="93">
        <v>4.0</v>
      </c>
      <c r="L3971" s="112" t="s">
        <v>69</v>
      </c>
      <c r="M3971" s="113">
        <v>18000.0</v>
      </c>
      <c r="N3971" s="74"/>
      <c r="O3971" s="87">
        <f t="shared" si="11"/>
        <v>72000</v>
      </c>
      <c r="P3971" s="102" t="str">
        <f t="shared" si="2"/>
        <v>Rp18,000-4 PCS-0.00%</v>
      </c>
      <c r="Q3971" s="92">
        <v>45423.0</v>
      </c>
      <c r="R3971" s="76"/>
      <c r="S3971" s="92">
        <v>45430.0</v>
      </c>
      <c r="T3971" s="77" t="s">
        <v>280</v>
      </c>
      <c r="V3971" s="21" t="s">
        <v>3617</v>
      </c>
    </row>
    <row r="3972">
      <c r="A3972" s="93">
        <v>4272.0</v>
      </c>
      <c r="B3972" s="77" t="s">
        <v>65</v>
      </c>
      <c r="C3972" s="77" t="s">
        <v>2420</v>
      </c>
      <c r="D3972" s="91"/>
      <c r="E3972" s="41" t="str">
        <f>IFERROR(__xludf.DUMMYFUNCTION("IFNA(vlookup(D3972,IMPORTRANGE(""https://docs.google.com/spreadsheets/d/1swGwZOEqYlTEUCJLY-eeJM1911Kvaei5oySBIxdgtNo/edit?pli=1#gid=257618397"",""stock untanna!B:C""),2,false),V:V)"),"KUAS SET 889")</f>
        <v>KUAS SET 889</v>
      </c>
      <c r="F3972" s="49"/>
      <c r="G3972" s="71"/>
      <c r="H3972" s="41"/>
      <c r="I3972" s="42"/>
      <c r="J3972" s="85" t="s">
        <v>3190</v>
      </c>
      <c r="K3972" s="93">
        <v>12.0</v>
      </c>
      <c r="L3972" s="112" t="s">
        <v>84</v>
      </c>
      <c r="M3972" s="113">
        <v>30000.0</v>
      </c>
      <c r="N3972" s="74"/>
      <c r="O3972" s="87">
        <f t="shared" si="11"/>
        <v>360000</v>
      </c>
      <c r="P3972" s="102" t="str">
        <f t="shared" si="2"/>
        <v>Rp30,000-12 SET-0.00%</v>
      </c>
      <c r="Q3972" s="92">
        <v>45423.0</v>
      </c>
      <c r="R3972" s="76"/>
      <c r="S3972" s="92">
        <v>45430.0</v>
      </c>
      <c r="T3972" s="49"/>
      <c r="V3972" s="21" t="s">
        <v>3618</v>
      </c>
    </row>
    <row r="3973">
      <c r="A3973" s="93">
        <v>4272.0</v>
      </c>
      <c r="B3973" s="77" t="s">
        <v>65</v>
      </c>
      <c r="C3973" s="77" t="s">
        <v>2420</v>
      </c>
      <c r="D3973" s="77" t="s">
        <v>3619</v>
      </c>
      <c r="E3973" s="41" t="str">
        <f>IFERROR(__xludf.DUMMYFUNCTION("IFNA(vlookup(D3973,IMPORTRANGE(""https://docs.google.com/spreadsheets/d/1swGwZOEqYlTEUCJLY-eeJM1911Kvaei5oySBIxdgtNo/edit?pli=1#gid=257618397"",""stock untanna!B:C""),2,false),V:V)"),"GUNTING GUNINDO SPL COKLAT")</f>
        <v>GUNTING GUNINDO SPL COKLAT</v>
      </c>
      <c r="F3973" s="49"/>
      <c r="G3973" s="71"/>
      <c r="H3973" s="41"/>
      <c r="I3973" s="42"/>
      <c r="J3973" s="85" t="s">
        <v>1319</v>
      </c>
      <c r="K3973" s="93">
        <v>3.0</v>
      </c>
      <c r="L3973" s="112" t="s">
        <v>62</v>
      </c>
      <c r="M3973" s="113">
        <v>60000.0</v>
      </c>
      <c r="N3973" s="74"/>
      <c r="O3973" s="87">
        <f t="shared" si="11"/>
        <v>180000</v>
      </c>
      <c r="P3973" s="102" t="str">
        <f t="shared" si="2"/>
        <v>Rp60,000-3 LSN-0.00%</v>
      </c>
      <c r="Q3973" s="92">
        <v>45423.0</v>
      </c>
      <c r="R3973" s="76"/>
      <c r="S3973" s="92">
        <v>45430.0</v>
      </c>
      <c r="T3973" s="49"/>
      <c r="V3973" s="21" t="s">
        <v>3620</v>
      </c>
    </row>
    <row r="3974">
      <c r="A3974" s="93">
        <v>4272.0</v>
      </c>
      <c r="B3974" s="77" t="s">
        <v>65</v>
      </c>
      <c r="C3974" s="77" t="s">
        <v>2420</v>
      </c>
      <c r="D3974" s="77" t="s">
        <v>3621</v>
      </c>
      <c r="E3974" s="41" t="str">
        <f>IFERROR(__xludf.DUMMYFUNCTION("IFNA(vlookup(D3974,IMPORTRANGE(""https://docs.google.com/spreadsheets/d/1swGwZOEqYlTEUCJLY-eeJM1911Kvaei5oySBIxdgtNo/edit?pli=1#gid=257618397"",""stock untanna!B:C""),2,false),V:V)"),"GUNTING GUNINDO FM GA-07 COKLAT")</f>
        <v>GUNTING GUNINDO FM GA-07 COKLAT</v>
      </c>
      <c r="F3974" s="49"/>
      <c r="G3974" s="71"/>
      <c r="H3974" s="41"/>
      <c r="I3974" s="42"/>
      <c r="J3974" s="85" t="s">
        <v>1319</v>
      </c>
      <c r="K3974" s="93">
        <v>3.0</v>
      </c>
      <c r="L3974" s="112" t="s">
        <v>62</v>
      </c>
      <c r="M3974" s="113">
        <v>90000.0</v>
      </c>
      <c r="N3974" s="74"/>
      <c r="O3974" s="87">
        <f t="shared" si="11"/>
        <v>270000</v>
      </c>
      <c r="P3974" s="102" t="str">
        <f t="shared" si="2"/>
        <v>Rp90,000-3 LSN-0.00%</v>
      </c>
      <c r="Q3974" s="92">
        <v>45423.0</v>
      </c>
      <c r="R3974" s="76"/>
      <c r="S3974" s="92">
        <v>45430.0</v>
      </c>
      <c r="T3974" s="49"/>
      <c r="V3974" s="21" t="s">
        <v>3622</v>
      </c>
    </row>
    <row r="3975">
      <c r="A3975" s="93">
        <v>4272.0</v>
      </c>
      <c r="B3975" s="77" t="s">
        <v>65</v>
      </c>
      <c r="C3975" s="77" t="s">
        <v>2420</v>
      </c>
      <c r="D3975" s="77" t="s">
        <v>3623</v>
      </c>
      <c r="E3975" s="41" t="str">
        <f>IFERROR(__xludf.DUMMYFUNCTION("IFNA(vlookup(D3975,IMPORTRANGE(""https://docs.google.com/spreadsheets/d/1swGwZOEqYlTEUCJLY-eeJM1911Kvaei5oySBIxdgtNo/edit?pli=1#gid=257618397"",""stock untanna!B:C""),2,false),V:V)"),"GUNTING GUNINDO FL GA-10 COKLAT")</f>
        <v>GUNTING GUNINDO FL GA-10 COKLAT</v>
      </c>
      <c r="F3975" s="49"/>
      <c r="G3975" s="71"/>
      <c r="H3975" s="41"/>
      <c r="I3975" s="42"/>
      <c r="J3975" s="85" t="s">
        <v>1319</v>
      </c>
      <c r="K3975" s="93">
        <v>3.0</v>
      </c>
      <c r="L3975" s="112" t="s">
        <v>62</v>
      </c>
      <c r="M3975" s="113">
        <v>120000.0</v>
      </c>
      <c r="N3975" s="74"/>
      <c r="O3975" s="87">
        <f t="shared" si="11"/>
        <v>360000</v>
      </c>
      <c r="P3975" s="102" t="str">
        <f t="shared" si="2"/>
        <v>Rp120,000-3 LSN-0.00%</v>
      </c>
      <c r="Q3975" s="92">
        <v>45423.0</v>
      </c>
      <c r="R3975" s="76"/>
      <c r="S3975" s="92">
        <v>45430.0</v>
      </c>
      <c r="T3975" s="49"/>
      <c r="V3975" s="21" t="s">
        <v>3624</v>
      </c>
    </row>
    <row r="3976">
      <c r="A3976" s="93">
        <v>4272.0</v>
      </c>
      <c r="B3976" s="77" t="s">
        <v>65</v>
      </c>
      <c r="C3976" s="77" t="s">
        <v>2420</v>
      </c>
      <c r="D3976" s="77" t="s">
        <v>417</v>
      </c>
      <c r="E3976" s="41" t="str">
        <f>IFERROR(__xludf.DUMMYFUNCTION("IFNA(vlookup(D3976,IMPORTRANGE(""https://docs.google.com/spreadsheets/d/1swGwZOEqYlTEUCJLY-eeJM1911Kvaei5oySBIxdgtNo/edit?pli=1#gid=257618397"",""stock untanna!B:C""),2,false),V:V)"),"GUNTING DAVIS DVL 6")</f>
        <v>GUNTING DAVIS DVL 6</v>
      </c>
      <c r="F3976" s="49"/>
      <c r="G3976" s="71"/>
      <c r="H3976" s="41"/>
      <c r="I3976" s="42"/>
      <c r="J3976" s="85" t="s">
        <v>1319</v>
      </c>
      <c r="K3976" s="93">
        <v>3.0</v>
      </c>
      <c r="L3976" s="112" t="s">
        <v>62</v>
      </c>
      <c r="M3976" s="113">
        <v>37500.0</v>
      </c>
      <c r="N3976" s="74"/>
      <c r="O3976" s="87">
        <f t="shared" si="11"/>
        <v>112500</v>
      </c>
      <c r="P3976" s="102" t="str">
        <f t="shared" si="2"/>
        <v>Rp37,500-3 LSN-0.00%</v>
      </c>
      <c r="Q3976" s="92">
        <v>45423.0</v>
      </c>
      <c r="R3976" s="76"/>
      <c r="S3976" s="92">
        <v>45430.0</v>
      </c>
      <c r="T3976" s="49"/>
      <c r="V3976" s="21" t="s">
        <v>418</v>
      </c>
    </row>
    <row r="3977">
      <c r="A3977" s="93">
        <v>4272.0</v>
      </c>
      <c r="B3977" s="77" t="s">
        <v>65</v>
      </c>
      <c r="C3977" s="77" t="s">
        <v>2420</v>
      </c>
      <c r="D3977" s="77" t="s">
        <v>2115</v>
      </c>
      <c r="E3977" s="41" t="str">
        <f>IFERROR(__xludf.DUMMYFUNCTION("IFNA(vlookup(D3977,IMPORTRANGE(""https://docs.google.com/spreadsheets/d/1swGwZOEqYlTEUCJLY-eeJM1911Kvaei5oySBIxdgtNo/edit?pli=1#gid=257618397"",""stock untanna!B:C""),2,false),V:V)"),"GUNTING IDEAL K 100")</f>
        <v>GUNTING IDEAL K 100</v>
      </c>
      <c r="F3977" s="49"/>
      <c r="G3977" s="71"/>
      <c r="H3977" s="41"/>
      <c r="I3977" s="42"/>
      <c r="J3977" s="85" t="s">
        <v>1319</v>
      </c>
      <c r="K3977" s="93">
        <v>2.0</v>
      </c>
      <c r="L3977" s="112" t="s">
        <v>62</v>
      </c>
      <c r="M3977" s="113">
        <v>62000.0</v>
      </c>
      <c r="N3977" s="74"/>
      <c r="O3977" s="87">
        <f t="shared" si="11"/>
        <v>124000</v>
      </c>
      <c r="P3977" s="102" t="str">
        <f t="shared" si="2"/>
        <v>Rp62,000-2 LSN-0.00%</v>
      </c>
      <c r="Q3977" s="92">
        <v>45423.0</v>
      </c>
      <c r="R3977" s="76"/>
      <c r="S3977" s="92">
        <v>45430.0</v>
      </c>
      <c r="T3977" s="49"/>
      <c r="V3977" s="21" t="s">
        <v>2116</v>
      </c>
    </row>
    <row r="3978">
      <c r="A3978" s="93">
        <v>4272.0</v>
      </c>
      <c r="B3978" s="77" t="s">
        <v>65</v>
      </c>
      <c r="C3978" s="77" t="s">
        <v>2420</v>
      </c>
      <c r="D3978" s="77" t="s">
        <v>3420</v>
      </c>
      <c r="E3978" s="41" t="str">
        <f>IFERROR(__xludf.DUMMYFUNCTION("IFNA(vlookup(D3978,IMPORTRANGE(""https://docs.google.com/spreadsheets/d/1swGwZOEqYlTEUCJLY-eeJM1911Kvaei5oySBIxdgtNo/edit?pli=1#gid=257618397"",""stock untanna!B:C""),2,false),V:V)"),"GUNTING IDEAL K-200")</f>
        <v>GUNTING IDEAL K-200</v>
      </c>
      <c r="F3978" s="49"/>
      <c r="G3978" s="71"/>
      <c r="H3978" s="41"/>
      <c r="I3978" s="42"/>
      <c r="J3978" s="85" t="s">
        <v>1319</v>
      </c>
      <c r="K3978" s="93">
        <v>5.0</v>
      </c>
      <c r="L3978" s="112" t="s">
        <v>62</v>
      </c>
      <c r="M3978" s="113">
        <v>69000.0</v>
      </c>
      <c r="N3978" s="74"/>
      <c r="O3978" s="87">
        <f t="shared" si="11"/>
        <v>345000</v>
      </c>
      <c r="P3978" s="102" t="str">
        <f t="shared" si="2"/>
        <v>Rp69,000-5 LSN-0.00%</v>
      </c>
      <c r="Q3978" s="92">
        <v>45423.0</v>
      </c>
      <c r="R3978" s="76"/>
      <c r="S3978" s="92">
        <v>45430.0</v>
      </c>
      <c r="T3978" s="49"/>
      <c r="V3978" s="21" t="s">
        <v>3421</v>
      </c>
    </row>
    <row r="3979">
      <c r="A3979" s="93">
        <v>4272.0</v>
      </c>
      <c r="B3979" s="77" t="s">
        <v>65</v>
      </c>
      <c r="C3979" s="77" t="s">
        <v>2420</v>
      </c>
      <c r="D3979" s="77" t="s">
        <v>2117</v>
      </c>
      <c r="E3979" s="41" t="str">
        <f>IFERROR(__xludf.DUMMYFUNCTION("IFNA(vlookup(D3979,IMPORTRANGE(""https://docs.google.com/spreadsheets/d/1swGwZOEqYlTEUCJLY-eeJM1911Kvaei5oySBIxdgtNo/edit?pli=1#gid=257618397"",""stock untanna!B:C""),2,false),V:V)"),"GUNTING IDEAL K-300")</f>
        <v>GUNTING IDEAL K-300</v>
      </c>
      <c r="F3979" s="49"/>
      <c r="G3979" s="71"/>
      <c r="H3979" s="41"/>
      <c r="I3979" s="42"/>
      <c r="J3979" s="85" t="s">
        <v>1319</v>
      </c>
      <c r="K3979" s="93">
        <v>2.0</v>
      </c>
      <c r="L3979" s="112" t="s">
        <v>62</v>
      </c>
      <c r="M3979" s="113">
        <v>87000.0</v>
      </c>
      <c r="N3979" s="74"/>
      <c r="O3979" s="87">
        <f t="shared" si="11"/>
        <v>174000</v>
      </c>
      <c r="P3979" s="102" t="str">
        <f t="shared" si="2"/>
        <v>Rp87,000-2 LSN-0.00%</v>
      </c>
      <c r="Q3979" s="92">
        <v>45423.0</v>
      </c>
      <c r="R3979" s="76"/>
      <c r="S3979" s="92">
        <v>45430.0</v>
      </c>
      <c r="T3979" s="49"/>
      <c r="V3979" s="21" t="s">
        <v>2118</v>
      </c>
    </row>
    <row r="3980">
      <c r="A3980" s="93">
        <v>4272.0</v>
      </c>
      <c r="B3980" s="77" t="s">
        <v>65</v>
      </c>
      <c r="C3980" s="77" t="s">
        <v>2420</v>
      </c>
      <c r="D3980" s="77" t="s">
        <v>3625</v>
      </c>
      <c r="E3980" s="41" t="str">
        <f>IFERROR(__xludf.DUMMYFUNCTION("IFNA(vlookup(D3980,IMPORTRANGE(""https://docs.google.com/spreadsheets/d/1swGwZOEqYlTEUCJLY-eeJM1911Kvaei5oySBIxdgtNo/edit?pli=1#gid=257618397"",""stock untanna!B:C""),2,false),V:V)"),"GUNTING IDEAL K-400")</f>
        <v>GUNTING IDEAL K-400</v>
      </c>
      <c r="F3980" s="49"/>
      <c r="G3980" s="71"/>
      <c r="H3980" s="41"/>
      <c r="I3980" s="42"/>
      <c r="J3980" s="85" t="s">
        <v>1319</v>
      </c>
      <c r="K3980" s="93">
        <v>2.0</v>
      </c>
      <c r="L3980" s="112" t="s">
        <v>62</v>
      </c>
      <c r="M3980" s="113">
        <v>100000.0</v>
      </c>
      <c r="N3980" s="74"/>
      <c r="O3980" s="87">
        <f t="shared" si="11"/>
        <v>200000</v>
      </c>
      <c r="P3980" s="102" t="str">
        <f t="shared" si="2"/>
        <v>Rp100,000-2 LSN-0.00%</v>
      </c>
      <c r="Q3980" s="92">
        <v>45423.0</v>
      </c>
      <c r="R3980" s="76"/>
      <c r="S3980" s="92">
        <v>45430.0</v>
      </c>
      <c r="T3980" s="49"/>
      <c r="V3980" s="21" t="s">
        <v>3626</v>
      </c>
    </row>
    <row r="3981">
      <c r="A3981" s="93">
        <v>4272.0</v>
      </c>
      <c r="B3981" s="77" t="s">
        <v>65</v>
      </c>
      <c r="C3981" s="77" t="s">
        <v>2420</v>
      </c>
      <c r="D3981" s="77" t="s">
        <v>2119</v>
      </c>
      <c r="E3981" s="41" t="str">
        <f>IFERROR(__xludf.DUMMYFUNCTION("IFNA(vlookup(D3981,IMPORTRANGE(""https://docs.google.com/spreadsheets/d/1swGwZOEqYlTEUCJLY-eeJM1911Kvaei5oySBIxdgtNo/edit?pli=1#gid=257618397"",""stock untanna!B:C""),2,false),V:V)"),"GUNTING IDEAL K-500")</f>
        <v>GUNTING IDEAL K-500</v>
      </c>
      <c r="F3981" s="49"/>
      <c r="G3981" s="71"/>
      <c r="H3981" s="41"/>
      <c r="I3981" s="42"/>
      <c r="J3981" s="85" t="s">
        <v>1319</v>
      </c>
      <c r="K3981" s="93">
        <v>5.0</v>
      </c>
      <c r="L3981" s="112" t="s">
        <v>62</v>
      </c>
      <c r="M3981" s="113">
        <v>133000.0</v>
      </c>
      <c r="N3981" s="74"/>
      <c r="O3981" s="87">
        <f t="shared" si="11"/>
        <v>665000</v>
      </c>
      <c r="P3981" s="102" t="str">
        <f t="shared" si="2"/>
        <v>Rp133,000-5 LSN-0.00%</v>
      </c>
      <c r="Q3981" s="92">
        <v>45423.0</v>
      </c>
      <c r="R3981" s="76"/>
      <c r="S3981" s="92">
        <v>45430.0</v>
      </c>
      <c r="T3981" s="49"/>
      <c r="V3981" s="21" t="s">
        <v>2120</v>
      </c>
    </row>
    <row r="3982">
      <c r="A3982" s="93">
        <v>4272.0</v>
      </c>
      <c r="B3982" s="77" t="s">
        <v>65</v>
      </c>
      <c r="C3982" s="77" t="s">
        <v>2420</v>
      </c>
      <c r="D3982" s="77" t="s">
        <v>976</v>
      </c>
      <c r="E3982" s="41" t="str">
        <f>IFERROR(__xludf.DUMMYFUNCTION("IFNA(vlookup(D3982,IMPORTRANGE(""https://docs.google.com/spreadsheets/d/1swGwZOEqYlTEUCJLY-eeJM1911Kvaei5oySBIxdgtNo/edit?pli=1#gid=257618397"",""stock untanna!B:C""),2,false),V:V)"),"GUNTING JUNIOR J 100")</f>
        <v>GUNTING JUNIOR J 100</v>
      </c>
      <c r="F3982" s="49"/>
      <c r="G3982" s="71"/>
      <c r="H3982" s="41"/>
      <c r="I3982" s="42"/>
      <c r="J3982" s="85" t="s">
        <v>1319</v>
      </c>
      <c r="K3982" s="93">
        <v>2.0</v>
      </c>
      <c r="L3982" s="112" t="s">
        <v>62</v>
      </c>
      <c r="M3982" s="113">
        <v>36000.0</v>
      </c>
      <c r="N3982" s="74"/>
      <c r="O3982" s="87">
        <f t="shared" si="11"/>
        <v>72000</v>
      </c>
      <c r="P3982" s="102" t="str">
        <f t="shared" si="2"/>
        <v>Rp36,000-2 LSN-0.00%</v>
      </c>
      <c r="Q3982" s="92">
        <v>45423.0</v>
      </c>
      <c r="R3982" s="76"/>
      <c r="S3982" s="92">
        <v>45430.0</v>
      </c>
      <c r="T3982" s="49"/>
      <c r="V3982" s="21" t="s">
        <v>977</v>
      </c>
    </row>
    <row r="3983">
      <c r="A3983" s="93">
        <v>4272.0</v>
      </c>
      <c r="B3983" s="77" t="s">
        <v>65</v>
      </c>
      <c r="C3983" s="77" t="s">
        <v>2420</v>
      </c>
      <c r="D3983" s="77" t="s">
        <v>1960</v>
      </c>
      <c r="E3983" s="41" t="str">
        <f>IFERROR(__xludf.DUMMYFUNCTION("IFNA(vlookup(D3983,IMPORTRANGE(""https://docs.google.com/spreadsheets/d/1swGwZOEqYlTEUCJLY-eeJM1911Kvaei5oySBIxdgtNo/edit?pli=1#gid=257618397"",""stock untanna!B:C""),2,false),V:V)"),"GUNTING JUNIOR J 200")</f>
        <v>GUNTING JUNIOR J 200</v>
      </c>
      <c r="F3983" s="49"/>
      <c r="G3983" s="71"/>
      <c r="H3983" s="41"/>
      <c r="I3983" s="42"/>
      <c r="J3983" s="85" t="s">
        <v>1319</v>
      </c>
      <c r="K3983" s="93">
        <v>2.0</v>
      </c>
      <c r="L3983" s="112" t="s">
        <v>62</v>
      </c>
      <c r="M3983" s="113">
        <v>38000.0</v>
      </c>
      <c r="N3983" s="74"/>
      <c r="O3983" s="87">
        <f t="shared" si="11"/>
        <v>76000</v>
      </c>
      <c r="P3983" s="102" t="str">
        <f t="shared" si="2"/>
        <v>Rp38,000-2 LSN-0.00%</v>
      </c>
      <c r="Q3983" s="92">
        <v>45423.0</v>
      </c>
      <c r="R3983" s="76"/>
      <c r="S3983" s="92">
        <v>45430.0</v>
      </c>
      <c r="T3983" s="49"/>
      <c r="V3983" s="21" t="s">
        <v>1961</v>
      </c>
    </row>
    <row r="3984">
      <c r="A3984" s="93">
        <v>4272.0</v>
      </c>
      <c r="B3984" s="77" t="s">
        <v>65</v>
      </c>
      <c r="C3984" s="77" t="s">
        <v>2420</v>
      </c>
      <c r="D3984" s="77" t="s">
        <v>978</v>
      </c>
      <c r="E3984" s="41" t="str">
        <f>IFERROR(__xludf.DUMMYFUNCTION("IFNA(vlookup(D3984,IMPORTRANGE(""https://docs.google.com/spreadsheets/d/1swGwZOEqYlTEUCJLY-eeJM1911Kvaei5oySBIxdgtNo/edit?pli=1#gid=257618397"",""stock untanna!B:C""),2,false),V:V)"),"GUNTING JUNIOR J-300")</f>
        <v>GUNTING JUNIOR J-300</v>
      </c>
      <c r="F3984" s="49"/>
      <c r="G3984" s="71"/>
      <c r="H3984" s="41"/>
      <c r="I3984" s="42"/>
      <c r="J3984" s="85" t="s">
        <v>1319</v>
      </c>
      <c r="K3984" s="93">
        <v>2.0</v>
      </c>
      <c r="L3984" s="112" t="s">
        <v>62</v>
      </c>
      <c r="M3984" s="113">
        <v>46000.0</v>
      </c>
      <c r="N3984" s="74"/>
      <c r="O3984" s="87">
        <f t="shared" si="11"/>
        <v>92000</v>
      </c>
      <c r="P3984" s="102" t="str">
        <f t="shared" si="2"/>
        <v>Rp46,000-2 LSN-0.00%</v>
      </c>
      <c r="Q3984" s="92">
        <v>45423.0</v>
      </c>
      <c r="R3984" s="76"/>
      <c r="S3984" s="92">
        <v>45430.0</v>
      </c>
      <c r="T3984" s="49"/>
      <c r="V3984" s="21" t="s">
        <v>979</v>
      </c>
    </row>
    <row r="3985">
      <c r="A3985" s="93">
        <v>4272.0</v>
      </c>
      <c r="B3985" s="77" t="s">
        <v>65</v>
      </c>
      <c r="C3985" s="77" t="s">
        <v>2420</v>
      </c>
      <c r="D3985" s="77" t="s">
        <v>2712</v>
      </c>
      <c r="E3985" s="41" t="str">
        <f>IFERROR(__xludf.DUMMYFUNCTION("IFNA(vlookup(D3985,IMPORTRANGE(""https://docs.google.com/spreadsheets/d/1swGwZOEqYlTEUCJLY-eeJM1911Kvaei5oySBIxdgtNo/edit?pli=1#gid=257618397"",""stock untanna!B:C""),2,false),V:V)"),"GUNTING JUNIOR J 400")</f>
        <v>GUNTING JUNIOR J 400</v>
      </c>
      <c r="F3985" s="49"/>
      <c r="G3985" s="71"/>
      <c r="H3985" s="41"/>
      <c r="I3985" s="42"/>
      <c r="J3985" s="85" t="s">
        <v>1319</v>
      </c>
      <c r="K3985" s="93">
        <v>2.0</v>
      </c>
      <c r="L3985" s="112" t="s">
        <v>62</v>
      </c>
      <c r="M3985" s="113">
        <v>52000.0</v>
      </c>
      <c r="N3985" s="74"/>
      <c r="O3985" s="87">
        <f t="shared" si="11"/>
        <v>104000</v>
      </c>
      <c r="P3985" s="102" t="str">
        <f t="shared" si="2"/>
        <v>Rp52,000-2 LSN-0.00%</v>
      </c>
      <c r="Q3985" s="92">
        <v>45423.0</v>
      </c>
      <c r="R3985" s="76"/>
      <c r="S3985" s="92">
        <v>45430.0</v>
      </c>
      <c r="T3985" s="49"/>
      <c r="V3985" s="21" t="s">
        <v>2713</v>
      </c>
    </row>
    <row r="3986">
      <c r="A3986" s="93">
        <v>4272.0</v>
      </c>
      <c r="B3986" s="77" t="s">
        <v>65</v>
      </c>
      <c r="C3986" s="77" t="s">
        <v>2420</v>
      </c>
      <c r="D3986" s="77" t="s">
        <v>3627</v>
      </c>
      <c r="E3986" s="41" t="str">
        <f>IFERROR(__xludf.DUMMYFUNCTION("IFNA(vlookup(D3986,IMPORTRANGE(""https://docs.google.com/spreadsheets/d/1swGwZOEqYlTEUCJLY-eeJM1911Kvaei5oySBIxdgtNo/edit?pli=1#gid=257618397"",""stock untanna!B:C""),2,false),V:V)"),"GUNTING 9002A")</f>
        <v>GUNTING 9002A</v>
      </c>
      <c r="F3986" s="49"/>
      <c r="G3986" s="71"/>
      <c r="H3986" s="41"/>
      <c r="I3986" s="42"/>
      <c r="J3986" s="85" t="s">
        <v>1319</v>
      </c>
      <c r="K3986" s="93">
        <v>24.0</v>
      </c>
      <c r="L3986" s="112" t="s">
        <v>69</v>
      </c>
      <c r="M3986" s="113">
        <v>10416.7</v>
      </c>
      <c r="N3986" s="74"/>
      <c r="O3986" s="87">
        <f t="shared" si="11"/>
        <v>250000.8</v>
      </c>
      <c r="P3986" s="102" t="str">
        <f t="shared" si="2"/>
        <v>Rp10,417-24 PCS-0.00%</v>
      </c>
      <c r="Q3986" s="92">
        <v>45423.0</v>
      </c>
      <c r="R3986" s="76"/>
      <c r="S3986" s="92">
        <v>45430.0</v>
      </c>
      <c r="T3986" s="49"/>
      <c r="V3986" s="21" t="s">
        <v>3628</v>
      </c>
    </row>
    <row r="3987">
      <c r="A3987" s="93">
        <v>4273.0</v>
      </c>
      <c r="B3987" s="77" t="s">
        <v>65</v>
      </c>
      <c r="C3987" s="77" t="s">
        <v>2420</v>
      </c>
      <c r="D3987" s="77" t="s">
        <v>1764</v>
      </c>
      <c r="E3987" s="41" t="str">
        <f>IFERROR(__xludf.DUMMYFUNCTION("IFNA(vlookup(D3987,IMPORTRANGE(""https://docs.google.com/spreadsheets/d/1swGwZOEqYlTEUCJLY-eeJM1911Kvaei5oySBIxdgtNo/edit?pli=1#gid=257618397"",""stock untanna!B:C""),2,false),V:V)"),"PW VANCO 12W PJG ZOO")</f>
        <v>PW VANCO 12W PJG ZOO</v>
      </c>
      <c r="F3987" s="49"/>
      <c r="G3987" s="71"/>
      <c r="H3987" s="41"/>
      <c r="I3987" s="42"/>
      <c r="J3987" s="85" t="s">
        <v>1319</v>
      </c>
      <c r="K3987" s="93">
        <v>36.0</v>
      </c>
      <c r="L3987" s="112" t="s">
        <v>69</v>
      </c>
      <c r="M3987" s="113">
        <v>7500.0</v>
      </c>
      <c r="N3987" s="74"/>
      <c r="O3987" s="87">
        <f t="shared" si="11"/>
        <v>270000</v>
      </c>
      <c r="P3987" s="102" t="str">
        <f t="shared" si="2"/>
        <v>Rp7,500-36 PCS-0.00%</v>
      </c>
      <c r="Q3987" s="92">
        <v>45423.0</v>
      </c>
      <c r="R3987" s="76"/>
      <c r="S3987" s="92">
        <v>45430.0</v>
      </c>
      <c r="T3987" s="49"/>
      <c r="V3987" s="21" t="s">
        <v>1765</v>
      </c>
    </row>
    <row r="3988">
      <c r="A3988" s="93">
        <v>4273.0</v>
      </c>
      <c r="B3988" s="77" t="s">
        <v>65</v>
      </c>
      <c r="C3988" s="77" t="s">
        <v>2420</v>
      </c>
      <c r="D3988" s="77" t="s">
        <v>467</v>
      </c>
      <c r="E3988" s="41" t="str">
        <f>IFERROR(__xludf.DUMMYFUNCTION("IFNA(vlookup(D3988,IMPORTRANGE(""https://docs.google.com/spreadsheets/d/1swGwZOEqYlTEUCJLY-eeJM1911Kvaei5oySBIxdgtNo/edit?pli=1#gid=257618397"",""stock untanna!B:C""),2,false),V:V)"),"BENSIA 03LM4 (6202)")</f>
        <v>BENSIA 03LM4 (6202)</v>
      </c>
      <c r="F3988" s="49"/>
      <c r="G3988" s="71"/>
      <c r="H3988" s="41"/>
      <c r="I3988" s="42"/>
      <c r="J3988" s="85" t="s">
        <v>1319</v>
      </c>
      <c r="K3988" s="93">
        <v>6.0</v>
      </c>
      <c r="L3988" s="112" t="s">
        <v>88</v>
      </c>
      <c r="M3988" s="113">
        <v>67200.0</v>
      </c>
      <c r="N3988" s="74"/>
      <c r="O3988" s="87">
        <f t="shared" si="11"/>
        <v>403200</v>
      </c>
      <c r="P3988" s="102" t="str">
        <f t="shared" si="2"/>
        <v>Rp67,200-6 BOX-0.00%</v>
      </c>
      <c r="Q3988" s="92">
        <v>45423.0</v>
      </c>
      <c r="R3988" s="76"/>
      <c r="S3988" s="92">
        <v>45430.0</v>
      </c>
      <c r="T3988" s="49"/>
      <c r="V3988" s="21" t="s">
        <v>468</v>
      </c>
    </row>
    <row r="3989">
      <c r="A3989" s="93">
        <v>4273.0</v>
      </c>
      <c r="B3989" s="77" t="s">
        <v>65</v>
      </c>
      <c r="C3989" s="77" t="s">
        <v>2420</v>
      </c>
      <c r="D3989" s="77" t="s">
        <v>1190</v>
      </c>
      <c r="E3989" s="41" t="str">
        <f>IFERROR(__xludf.DUMMYFUNCTION("IFNA(vlookup(D3989,IMPORTRANGE(""https://docs.google.com/spreadsheets/d/1swGwZOEqYlTEUCJLY-eeJM1911Kvaei5oySBIxdgtNo/edit?pli=1#gid=257618397"",""stock untanna!B:C""),2,false),V:V)"),"BENSIA 10LM1 (6209)")</f>
        <v>BENSIA 10LM1 (6209)</v>
      </c>
      <c r="F3989" s="49"/>
      <c r="G3989" s="71"/>
      <c r="H3989" s="41"/>
      <c r="I3989" s="42"/>
      <c r="J3989" s="85" t="s">
        <v>1319</v>
      </c>
      <c r="K3989" s="93">
        <v>6.0</v>
      </c>
      <c r="L3989" s="112" t="s">
        <v>88</v>
      </c>
      <c r="M3989" s="113">
        <v>80000.0</v>
      </c>
      <c r="N3989" s="74"/>
      <c r="O3989" s="87">
        <f t="shared" si="11"/>
        <v>480000</v>
      </c>
      <c r="P3989" s="102" t="str">
        <f t="shared" si="2"/>
        <v>Rp80,000-6 BOX-0.00%</v>
      </c>
      <c r="Q3989" s="92">
        <v>45423.0</v>
      </c>
      <c r="R3989" s="76"/>
      <c r="S3989" s="92">
        <v>45430.0</v>
      </c>
      <c r="T3989" s="49"/>
      <c r="V3989" s="21" t="s">
        <v>1191</v>
      </c>
    </row>
    <row r="3990">
      <c r="A3990" s="93">
        <v>4273.0</v>
      </c>
      <c r="B3990" s="77" t="s">
        <v>65</v>
      </c>
      <c r="C3990" s="77" t="s">
        <v>2420</v>
      </c>
      <c r="D3990" s="77" t="s">
        <v>1186</v>
      </c>
      <c r="E3990" s="41" t="str">
        <f>IFERROR(__xludf.DUMMYFUNCTION("IFNA(vlookup(D3990,IMPORTRANGE(""https://docs.google.com/spreadsheets/d/1swGwZOEqYlTEUCJLY-eeJM1911Kvaei5oySBIxdgtNo/edit?pli=1#gid=257618397"",""stock untanna!B:C""),2,false),V:V)"),"BENSIA 04LM1 (5921")</f>
        <v>BENSIA 04LM1 (5921</v>
      </c>
      <c r="F3990" s="49"/>
      <c r="G3990" s="71"/>
      <c r="H3990" s="41"/>
      <c r="I3990" s="42"/>
      <c r="J3990" s="85" t="s">
        <v>1319</v>
      </c>
      <c r="K3990" s="93">
        <v>6.0</v>
      </c>
      <c r="L3990" s="112" t="s">
        <v>88</v>
      </c>
      <c r="M3990" s="113">
        <v>80000.0</v>
      </c>
      <c r="N3990" s="74"/>
      <c r="O3990" s="87">
        <f t="shared" si="11"/>
        <v>480000</v>
      </c>
      <c r="P3990" s="102" t="str">
        <f t="shared" si="2"/>
        <v>Rp80,000-6 BOX-0.00%</v>
      </c>
      <c r="Q3990" s="92">
        <v>45423.0</v>
      </c>
      <c r="R3990" s="76"/>
      <c r="S3990" s="92">
        <v>45430.0</v>
      </c>
      <c r="T3990" s="49"/>
      <c r="V3990" s="21" t="s">
        <v>1187</v>
      </c>
    </row>
    <row r="3991">
      <c r="A3991" s="93">
        <v>4273.0</v>
      </c>
      <c r="B3991" s="77" t="s">
        <v>65</v>
      </c>
      <c r="C3991" s="77" t="s">
        <v>2420</v>
      </c>
      <c r="D3991" s="77" t="s">
        <v>2330</v>
      </c>
      <c r="E3991" s="41" t="str">
        <f>IFERROR(__xludf.DUMMYFUNCTION("IFNA(vlookup(D3991,IMPORTRANGE(""https://docs.google.com/spreadsheets/d/1swGwZOEqYlTEUCJLY-eeJM1911Kvaei5oySBIxdgtNo/edit?pli=1#gid=257618397"",""stock untanna!B:C""),2,false),V:V)"),"BENSIA 9935 PLUIT (42)")</f>
        <v>BENSIA 9935 PLUIT (42)</v>
      </c>
      <c r="F3991" s="49"/>
      <c r="G3991" s="71"/>
      <c r="H3991" s="41"/>
      <c r="I3991" s="42"/>
      <c r="J3991" s="85" t="s">
        <v>1319</v>
      </c>
      <c r="K3991" s="93">
        <v>6.0</v>
      </c>
      <c r="L3991" s="112" t="s">
        <v>88</v>
      </c>
      <c r="M3991" s="113">
        <v>52500.0</v>
      </c>
      <c r="N3991" s="74"/>
      <c r="O3991" s="87">
        <f t="shared" si="11"/>
        <v>315000</v>
      </c>
      <c r="P3991" s="102" t="str">
        <f t="shared" si="2"/>
        <v>Rp52,500-6 BOX-0.00%</v>
      </c>
      <c r="Q3991" s="92">
        <v>45423.0</v>
      </c>
      <c r="R3991" s="76"/>
      <c r="S3991" s="92">
        <v>45430.0</v>
      </c>
      <c r="T3991" s="49"/>
      <c r="V3991" s="21" t="s">
        <v>2331</v>
      </c>
    </row>
    <row r="3992">
      <c r="A3992" s="93">
        <v>4273.0</v>
      </c>
      <c r="B3992" s="77" t="s">
        <v>65</v>
      </c>
      <c r="C3992" s="77" t="s">
        <v>2420</v>
      </c>
      <c r="D3992" s="77" t="s">
        <v>3629</v>
      </c>
      <c r="E3992" s="41" t="str">
        <f>IFERROR(__xludf.DUMMYFUNCTION("IFNA(vlookup(D3992,IMPORTRANGE(""https://docs.google.com/spreadsheets/d/1swGwZOEqYlTEUCJLY-eeJM1911Kvaei5oySBIxdgtNo/edit?pli=1#gid=257618397"",""stock untanna!B:C""),2,false),V:V)"),"TIPEX KERTAS XB-B221")</f>
        <v>TIPEX KERTAS XB-B221</v>
      </c>
      <c r="F3992" s="49"/>
      <c r="G3992" s="71"/>
      <c r="H3992" s="41"/>
      <c r="I3992" s="42"/>
      <c r="J3992" s="85" t="s">
        <v>1319</v>
      </c>
      <c r="K3992" s="93">
        <v>1.0</v>
      </c>
      <c r="L3992" s="112" t="s">
        <v>62</v>
      </c>
      <c r="M3992" s="113">
        <v>108000.0</v>
      </c>
      <c r="N3992" s="74"/>
      <c r="O3992" s="87">
        <f t="shared" si="11"/>
        <v>108000</v>
      </c>
      <c r="P3992" s="102" t="str">
        <f t="shared" si="2"/>
        <v>Rp108,000-1 LSN-0.00%</v>
      </c>
      <c r="Q3992" s="92">
        <v>45423.0</v>
      </c>
      <c r="R3992" s="76"/>
      <c r="S3992" s="92">
        <v>45430.0</v>
      </c>
      <c r="T3992" s="49"/>
      <c r="V3992" s="21" t="s">
        <v>3630</v>
      </c>
    </row>
    <row r="3993">
      <c r="A3993" s="93">
        <v>4273.0</v>
      </c>
      <c r="B3993" s="77" t="s">
        <v>65</v>
      </c>
      <c r="C3993" s="77" t="s">
        <v>2420</v>
      </c>
      <c r="D3993" s="91"/>
      <c r="E3993" s="41" t="str">
        <f>IFERROR(__xludf.DUMMYFUNCTION("IFNA(vlookup(D3993,IMPORTRANGE(""https://docs.google.com/spreadsheets/d/1swGwZOEqYlTEUCJLY-eeJM1911Kvaei5oySBIxdgtNo/edit?pli=1#gid=257618397"",""stock untanna!B:C""),2,false),V:V)"),"TIPEX SET 0857")</f>
        <v>TIPEX SET 0857</v>
      </c>
      <c r="F3993" s="49"/>
      <c r="G3993" s="71"/>
      <c r="H3993" s="41"/>
      <c r="I3993" s="42"/>
      <c r="J3993" s="85" t="s">
        <v>3190</v>
      </c>
      <c r="K3993" s="93">
        <v>3.0</v>
      </c>
      <c r="L3993" s="112" t="s">
        <v>62</v>
      </c>
      <c r="M3993" s="113">
        <v>26500.0</v>
      </c>
      <c r="N3993" s="74"/>
      <c r="O3993" s="87">
        <f t="shared" si="11"/>
        <v>79500</v>
      </c>
      <c r="P3993" s="102" t="str">
        <f t="shared" si="2"/>
        <v>Rp26,500-3 LSN-0.00%</v>
      </c>
      <c r="Q3993" s="92">
        <v>45423.0</v>
      </c>
      <c r="R3993" s="76"/>
      <c r="S3993" s="92">
        <v>45430.0</v>
      </c>
      <c r="T3993" s="49"/>
      <c r="V3993" s="21" t="s">
        <v>3631</v>
      </c>
    </row>
    <row r="3994">
      <c r="A3994" s="93">
        <v>4273.0</v>
      </c>
      <c r="B3994" s="77" t="s">
        <v>65</v>
      </c>
      <c r="C3994" s="77" t="s">
        <v>2420</v>
      </c>
      <c r="D3994" s="77" t="s">
        <v>3632</v>
      </c>
      <c r="E3994" s="41" t="str">
        <f>IFERROR(__xludf.DUMMYFUNCTION("IFNA(vlookup(D3994,IMPORTRANGE(""https://docs.google.com/spreadsheets/d/1swGwZOEqYlTEUCJLY-eeJM1911Kvaei5oySBIxdgtNo/edit?pli=1#gid=257618397"",""stock untanna!B:C""),2,false),V:V)"),"TIPEX KERTAS NO.5037")</f>
        <v>TIPEX KERTAS NO.5037</v>
      </c>
      <c r="F3994" s="49"/>
      <c r="G3994" s="71"/>
      <c r="H3994" s="41"/>
      <c r="I3994" s="42"/>
      <c r="J3994" s="85" t="s">
        <v>1319</v>
      </c>
      <c r="K3994" s="93">
        <v>2.0</v>
      </c>
      <c r="L3994" s="112" t="s">
        <v>62</v>
      </c>
      <c r="M3994" s="113">
        <v>57500.0</v>
      </c>
      <c r="N3994" s="74"/>
      <c r="O3994" s="87">
        <f t="shared" si="11"/>
        <v>115000</v>
      </c>
      <c r="P3994" s="102" t="str">
        <f t="shared" si="2"/>
        <v>Rp57,500-2 LSN-0.00%</v>
      </c>
      <c r="Q3994" s="92">
        <v>45423.0</v>
      </c>
      <c r="R3994" s="76"/>
      <c r="S3994" s="92">
        <v>45430.0</v>
      </c>
      <c r="T3994" s="49"/>
      <c r="V3994" s="21" t="s">
        <v>3633</v>
      </c>
    </row>
    <row r="3995">
      <c r="A3995" s="93">
        <v>4273.0</v>
      </c>
      <c r="B3995" s="77" t="s">
        <v>65</v>
      </c>
      <c r="C3995" s="77" t="s">
        <v>2420</v>
      </c>
      <c r="D3995" s="77" t="s">
        <v>1023</v>
      </c>
      <c r="E3995" s="41" t="str">
        <f>IFERROR(__xludf.DUMMYFUNCTION("IFNA(vlookup(D3995,IMPORTRANGE(""https://docs.google.com/spreadsheets/d/1swGwZOEqYlTEUCJLY-eeJM1911Kvaei5oySBIxdgtNo/edit?pli=1#gid=257618397"",""stock untanna!B:C""),2,false),V:V)"),"TIPEX KERTAS 91033HG")</f>
        <v>TIPEX KERTAS 91033HG</v>
      </c>
      <c r="F3995" s="49"/>
      <c r="G3995" s="71"/>
      <c r="H3995" s="41"/>
      <c r="I3995" s="42"/>
      <c r="J3995" s="85" t="s">
        <v>1319</v>
      </c>
      <c r="K3995" s="93">
        <v>2.0</v>
      </c>
      <c r="L3995" s="112" t="s">
        <v>62</v>
      </c>
      <c r="M3995" s="113">
        <v>50000.0</v>
      </c>
      <c r="N3995" s="74"/>
      <c r="O3995" s="87">
        <f t="shared" si="11"/>
        <v>100000</v>
      </c>
      <c r="P3995" s="102" t="str">
        <f t="shared" si="2"/>
        <v>Rp50,000-2 LSN-0.00%</v>
      </c>
      <c r="Q3995" s="92">
        <v>45423.0</v>
      </c>
      <c r="R3995" s="76"/>
      <c r="S3995" s="92">
        <v>45430.0</v>
      </c>
      <c r="T3995" s="49"/>
      <c r="V3995" s="21" t="s">
        <v>1024</v>
      </c>
    </row>
    <row r="3996">
      <c r="A3996" s="93">
        <v>4273.0</v>
      </c>
      <c r="B3996" s="77" t="s">
        <v>65</v>
      </c>
      <c r="C3996" s="77" t="s">
        <v>2420</v>
      </c>
      <c r="D3996" s="77" t="s">
        <v>1956</v>
      </c>
      <c r="E3996" s="41" t="str">
        <f>IFERROR(__xludf.DUMMYFUNCTION("IFNA(vlookup(D3996,IMPORTRANGE(""https://docs.google.com/spreadsheets/d/1swGwZOEqYlTEUCJLY-eeJM1911Kvaei5oySBIxdgtNo/edit?pli=1#gid=257618397"",""stock untanna!B:C""),2,false),V:V)"),"KUAS 21839-W")</f>
        <v>KUAS 21839-W</v>
      </c>
      <c r="F3996" s="49"/>
      <c r="G3996" s="71"/>
      <c r="H3996" s="41"/>
      <c r="I3996" s="42"/>
      <c r="J3996" s="85" t="s">
        <v>1319</v>
      </c>
      <c r="K3996" s="93">
        <v>24.0</v>
      </c>
      <c r="L3996" s="112" t="s">
        <v>69</v>
      </c>
      <c r="M3996" s="113">
        <v>14583.3</v>
      </c>
      <c r="N3996" s="115">
        <v>0.1</v>
      </c>
      <c r="O3996" s="87">
        <f t="shared" si="11"/>
        <v>314999.28</v>
      </c>
      <c r="P3996" s="102" t="str">
        <f t="shared" si="2"/>
        <v>Rp14,583-24 PCS-10.00%</v>
      </c>
      <c r="Q3996" s="92">
        <v>45423.0</v>
      </c>
      <c r="R3996" s="76"/>
      <c r="S3996" s="92">
        <v>45430.0</v>
      </c>
      <c r="T3996" s="49"/>
      <c r="V3996" s="21" t="s">
        <v>1957</v>
      </c>
    </row>
    <row r="3997">
      <c r="A3997" s="93">
        <v>4273.0</v>
      </c>
      <c r="B3997" s="77" t="s">
        <v>65</v>
      </c>
      <c r="C3997" s="77" t="s">
        <v>2420</v>
      </c>
      <c r="D3997" s="77" t="s">
        <v>3634</v>
      </c>
      <c r="E3997" s="41" t="str">
        <f>IFERROR(__xludf.DUMMYFUNCTION("IFNA(vlookup(D3997,IMPORTRANGE(""https://docs.google.com/spreadsheets/d/1swGwZOEqYlTEUCJLY-eeJM1911Kvaei5oySBIxdgtNo/edit?pli=1#gid=257618397"",""stock untanna!B:C""),2,false),V:V)"),"WATER COLOUR ACRYLIC 12W MOZAKI")</f>
        <v>WATER COLOUR ACRYLIC 12W MOZAKI</v>
      </c>
      <c r="F3997" s="49"/>
      <c r="G3997" s="71"/>
      <c r="H3997" s="41"/>
      <c r="I3997" s="42"/>
      <c r="J3997" s="85" t="s">
        <v>1319</v>
      </c>
      <c r="K3997" s="93">
        <v>3.0</v>
      </c>
      <c r="L3997" s="112" t="s">
        <v>62</v>
      </c>
      <c r="M3997" s="113">
        <v>225000.0</v>
      </c>
      <c r="N3997" s="74"/>
      <c r="O3997" s="87">
        <f t="shared" si="11"/>
        <v>675000</v>
      </c>
      <c r="P3997" s="102" t="str">
        <f t="shared" si="2"/>
        <v>Rp225,000-3 LSN-0.00%</v>
      </c>
      <c r="Q3997" s="92">
        <v>45423.0</v>
      </c>
      <c r="R3997" s="76"/>
      <c r="S3997" s="92">
        <v>45430.0</v>
      </c>
      <c r="T3997" s="49"/>
      <c r="V3997" s="21" t="s">
        <v>3635</v>
      </c>
    </row>
    <row r="3998">
      <c r="A3998" s="93">
        <v>4273.0</v>
      </c>
      <c r="B3998" s="77" t="s">
        <v>65</v>
      </c>
      <c r="C3998" s="77" t="s">
        <v>2420</v>
      </c>
      <c r="D3998" s="77" t="s">
        <v>3636</v>
      </c>
      <c r="E3998" s="41" t="str">
        <f>IFERROR(__xludf.DUMMYFUNCTION("IFNA(vlookup(D3998,IMPORTRANGE(""https://docs.google.com/spreadsheets/d/1swGwZOEqYlTEUCJLY-eeJM1911Kvaei5oySBIxdgtNo/edit?pli=1#gid=257618397"",""stock untanna!B:C""),2,false),V:V)"),"WATER COLOUR TFWC-010 (12X6ML)")</f>
        <v>WATER COLOUR TFWC-010 (12X6ML)</v>
      </c>
      <c r="F3998" s="49"/>
      <c r="G3998" s="71"/>
      <c r="H3998" s="41"/>
      <c r="I3998" s="42"/>
      <c r="J3998" s="85" t="s">
        <v>1319</v>
      </c>
      <c r="K3998" s="93">
        <v>36.0</v>
      </c>
      <c r="L3998" s="112" t="s">
        <v>84</v>
      </c>
      <c r="M3998" s="113">
        <v>16000.0</v>
      </c>
      <c r="N3998" s="74"/>
      <c r="O3998" s="87">
        <f t="shared" si="11"/>
        <v>576000</v>
      </c>
      <c r="P3998" s="102" t="str">
        <f t="shared" si="2"/>
        <v>Rp16,000-36 SET-0.00%</v>
      </c>
      <c r="Q3998" s="92">
        <v>45423.0</v>
      </c>
      <c r="R3998" s="76"/>
      <c r="S3998" s="92">
        <v>45430.0</v>
      </c>
      <c r="T3998" s="49"/>
      <c r="V3998" s="21" t="s">
        <v>3637</v>
      </c>
    </row>
    <row r="3999">
      <c r="A3999" s="93">
        <v>4273.0</v>
      </c>
      <c r="B3999" s="77" t="s">
        <v>65</v>
      </c>
      <c r="C3999" s="77" t="s">
        <v>2420</v>
      </c>
      <c r="D3999" s="77" t="s">
        <v>838</v>
      </c>
      <c r="E3999" s="41" t="str">
        <f>IFERROR(__xludf.DUMMYFUNCTION("IFNA(vlookup(D3999,IMPORTRANGE(""https://docs.google.com/spreadsheets/d/1swGwZOEqYlTEUCJLY-eeJM1911Kvaei5oySBIxdgtNo/edit?pli=1#gid=257618397"",""stock untanna!B:C""),2,false),V:V)"),"CAT ACRYLIC COLOUR TF AC-002")</f>
        <v>CAT ACRYLIC COLOUR TF AC-002</v>
      </c>
      <c r="F3999" s="49"/>
      <c r="G3999" s="71"/>
      <c r="H3999" s="41"/>
      <c r="I3999" s="42"/>
      <c r="J3999" s="85" t="s">
        <v>1319</v>
      </c>
      <c r="K3999" s="93">
        <v>3.0</v>
      </c>
      <c r="L3999" s="112" t="s">
        <v>62</v>
      </c>
      <c r="M3999" s="113">
        <v>270000.0</v>
      </c>
      <c r="N3999" s="74"/>
      <c r="O3999" s="87">
        <f t="shared" si="11"/>
        <v>810000</v>
      </c>
      <c r="P3999" s="102" t="str">
        <f t="shared" si="2"/>
        <v>Rp270,000-3 LSN-0.00%</v>
      </c>
      <c r="Q3999" s="92">
        <v>45423.0</v>
      </c>
      <c r="R3999" s="76"/>
      <c r="S3999" s="92">
        <v>45430.0</v>
      </c>
      <c r="T3999" s="49"/>
      <c r="V3999" s="21" t="s">
        <v>839</v>
      </c>
    </row>
    <row r="4000">
      <c r="A4000" s="93">
        <v>4273.0</v>
      </c>
      <c r="B4000" s="77" t="s">
        <v>65</v>
      </c>
      <c r="C4000" s="77" t="s">
        <v>2420</v>
      </c>
      <c r="D4000" s="77" t="s">
        <v>2218</v>
      </c>
      <c r="E4000" s="41" t="str">
        <f>IFERROR(__xludf.DUMMYFUNCTION("IFNA(vlookup(D4000,IMPORTRANGE(""https://docs.google.com/spreadsheets/d/1swGwZOEqYlTEUCJLY-eeJM1911Kvaei5oySBIxdgtNo/edit?pli=1#gid=257618397"",""stock untanna!B:C""),2,false),V:V)"),"HIGHLIGHTER Q1313 STAR-STAMP ISI 5")</f>
        <v>HIGHLIGHTER Q1313 STAR-STAMP ISI 5</v>
      </c>
      <c r="F4000" s="49"/>
      <c r="G4000" s="71"/>
      <c r="H4000" s="41"/>
      <c r="I4000" s="42"/>
      <c r="J4000" s="85" t="s">
        <v>1319</v>
      </c>
      <c r="K4000" s="93">
        <v>12.0</v>
      </c>
      <c r="L4000" s="112" t="s">
        <v>84</v>
      </c>
      <c r="M4000" s="113">
        <v>16500.0</v>
      </c>
      <c r="N4000" s="74"/>
      <c r="O4000" s="87">
        <f t="shared" si="11"/>
        <v>198000</v>
      </c>
      <c r="P4000" s="102" t="str">
        <f t="shared" si="2"/>
        <v>Rp16,500-12 SET-0.00%</v>
      </c>
      <c r="Q4000" s="92">
        <v>45423.0</v>
      </c>
      <c r="R4000" s="76"/>
      <c r="S4000" s="92">
        <v>45430.0</v>
      </c>
      <c r="T4000" s="49"/>
      <c r="V4000" s="21" t="s">
        <v>2219</v>
      </c>
    </row>
    <row r="4001">
      <c r="A4001" s="93">
        <v>4273.0</v>
      </c>
      <c r="B4001" s="77" t="s">
        <v>65</v>
      </c>
      <c r="C4001" s="77" t="s">
        <v>2420</v>
      </c>
      <c r="D4001" s="77" t="s">
        <v>3217</v>
      </c>
      <c r="E4001" s="41" t="str">
        <f>IFERROR(__xludf.DUMMYFUNCTION("IFNA(vlookup(D4001,IMPORTRANGE(""https://docs.google.com/spreadsheets/d/1swGwZOEqYlTEUCJLY-eeJM1911Kvaei5oySBIxdgtNo/edit?pli=1#gid=257618397"",""stock untanna!B:C""),2,false),V:V)"),"BP GEL CS-H764 6WR + STABILLO")</f>
        <v>BP GEL CS-H764 6WR + STABILLO</v>
      </c>
      <c r="F4001" s="49"/>
      <c r="G4001" s="71"/>
      <c r="H4001" s="41"/>
      <c r="I4001" s="42"/>
      <c r="J4001" s="85" t="s">
        <v>1319</v>
      </c>
      <c r="K4001" s="93">
        <v>24.0</v>
      </c>
      <c r="L4001" s="112" t="s">
        <v>84</v>
      </c>
      <c r="M4001" s="113">
        <v>16500.0</v>
      </c>
      <c r="N4001" s="74"/>
      <c r="O4001" s="87">
        <f t="shared" si="11"/>
        <v>396000</v>
      </c>
      <c r="P4001" s="102" t="str">
        <f t="shared" si="2"/>
        <v>Rp16,500-24 SET-0.00%</v>
      </c>
      <c r="Q4001" s="92">
        <v>45423.0</v>
      </c>
      <c r="R4001" s="76"/>
      <c r="S4001" s="92">
        <v>45430.0</v>
      </c>
      <c r="T4001" s="49"/>
      <c r="V4001" s="21" t="s">
        <v>3218</v>
      </c>
    </row>
    <row r="4002">
      <c r="A4002" s="93">
        <v>4273.0</v>
      </c>
      <c r="B4002" s="77" t="s">
        <v>65</v>
      </c>
      <c r="C4002" s="77" t="s">
        <v>2420</v>
      </c>
      <c r="D4002" s="77" t="s">
        <v>31</v>
      </c>
      <c r="E4002" s="41" t="str">
        <f>IFERROR(__xludf.DUMMYFUNCTION("IFNA(vlookup(D4002,IMPORTRANGE(""https://docs.google.com/spreadsheets/d/1swGwZOEqYlTEUCJLY-eeJM1911Kvaei5oySBIxdgtNo/edit?pli=1#gid=257618397"",""stock untanna!B:C""),2,false),V:V)"),"ISI STAPLER 13/8 JOSS")</f>
        <v>ISI STAPLER 13/8 JOSS</v>
      </c>
      <c r="F4002" s="49"/>
      <c r="G4002" s="71"/>
      <c r="H4002" s="41"/>
      <c r="I4002" s="42"/>
      <c r="J4002" s="85" t="s">
        <v>1319</v>
      </c>
      <c r="K4002" s="93">
        <v>10.0</v>
      </c>
      <c r="L4002" s="112" t="s">
        <v>114</v>
      </c>
      <c r="M4002" s="113">
        <v>18500.0</v>
      </c>
      <c r="N4002" s="74"/>
      <c r="O4002" s="87">
        <f t="shared" si="11"/>
        <v>185000</v>
      </c>
      <c r="P4002" s="102" t="str">
        <f t="shared" si="2"/>
        <v>Rp18,500-10 PAK-0.00%</v>
      </c>
      <c r="Q4002" s="92">
        <v>45423.0</v>
      </c>
      <c r="R4002" s="76"/>
      <c r="S4002" s="92">
        <v>45430.0</v>
      </c>
      <c r="T4002" s="49"/>
      <c r="V4002" s="21" t="s">
        <v>113</v>
      </c>
    </row>
    <row r="4003">
      <c r="A4003" s="93">
        <v>4274.0</v>
      </c>
      <c r="B4003" s="77" t="s">
        <v>65</v>
      </c>
      <c r="C4003" s="77" t="s">
        <v>2420</v>
      </c>
      <c r="D4003" s="77" t="s">
        <v>86</v>
      </c>
      <c r="E4003" s="41" t="str">
        <f>IFERROR(__xludf.DUMMYFUNCTION("IFNA(vlookup(D4003,IMPORTRANGE(""https://docs.google.com/spreadsheets/d/1swGwZOEqYlTEUCJLY-eeJM1911Kvaei5oySBIxdgtNo/edit?pli=1#gid=257618397"",""stock untanna!B:C""),2,false),V:V)"),"ISI GEL PEN DTIAN GR-088 (ISI 6 PCS TABUNG)")</f>
        <v>ISI GEL PEN DTIAN GR-088 (ISI 6 PCS TABUNG)</v>
      </c>
      <c r="F4003" s="49"/>
      <c r="G4003" s="71"/>
      <c r="H4003" s="41"/>
      <c r="I4003" s="42"/>
      <c r="J4003" s="85" t="s">
        <v>1319</v>
      </c>
      <c r="K4003" s="93">
        <v>3.0</v>
      </c>
      <c r="L4003" s="112" t="s">
        <v>88</v>
      </c>
      <c r="M4003" s="113">
        <v>108000.0</v>
      </c>
      <c r="N4003" s="74"/>
      <c r="O4003" s="87">
        <f t="shared" si="11"/>
        <v>324000</v>
      </c>
      <c r="P4003" s="102" t="str">
        <f t="shared" si="2"/>
        <v>Rp108,000-3 BOX-0.00%</v>
      </c>
      <c r="Q4003" s="92">
        <v>45423.0</v>
      </c>
      <c r="R4003" s="76"/>
      <c r="S4003" s="92">
        <v>45430.0</v>
      </c>
      <c r="T4003" s="49"/>
      <c r="V4003" s="21" t="s">
        <v>87</v>
      </c>
    </row>
    <row r="4004">
      <c r="A4004" s="93">
        <v>4274.0</v>
      </c>
      <c r="B4004" s="77" t="s">
        <v>65</v>
      </c>
      <c r="C4004" s="77" t="s">
        <v>2420</v>
      </c>
      <c r="D4004" s="77" t="s">
        <v>90</v>
      </c>
      <c r="E4004" s="41" t="str">
        <f>IFERROR(__xludf.DUMMYFUNCTION("IFNA(vlookup(D4004,IMPORTRANGE(""https://docs.google.com/spreadsheets/d/1swGwZOEqYlTEUCJLY-eeJM1911Kvaei5oySBIxdgtNo/edit?pli=1#gid=257618397"",""stock untanna!B:C""),2,false),V:V)"),"ISI GEL GR 089 (12PCS TABUNG)")</f>
        <v>ISI GEL GR 089 (12PCS TABUNG)</v>
      </c>
      <c r="F4004" s="49"/>
      <c r="G4004" s="71"/>
      <c r="H4004" s="41"/>
      <c r="I4004" s="42"/>
      <c r="J4004" s="85" t="s">
        <v>1319</v>
      </c>
      <c r="K4004" s="93">
        <v>3.0</v>
      </c>
      <c r="L4004" s="112" t="s">
        <v>88</v>
      </c>
      <c r="M4004" s="113">
        <v>144000.0</v>
      </c>
      <c r="N4004" s="74"/>
      <c r="O4004" s="87">
        <f t="shared" si="11"/>
        <v>432000</v>
      </c>
      <c r="P4004" s="102" t="str">
        <f t="shared" si="2"/>
        <v>Rp144,000-3 BOX-0.00%</v>
      </c>
      <c r="Q4004" s="92">
        <v>45423.0</v>
      </c>
      <c r="R4004" s="76"/>
      <c r="S4004" s="92">
        <v>45430.0</v>
      </c>
      <c r="T4004" s="49"/>
      <c r="V4004" s="21" t="s">
        <v>91</v>
      </c>
    </row>
    <row r="4005">
      <c r="A4005" s="93">
        <v>4274.0</v>
      </c>
      <c r="B4005" s="77" t="s">
        <v>65</v>
      </c>
      <c r="C4005" s="77" t="s">
        <v>2420</v>
      </c>
      <c r="D4005" s="77" t="s">
        <v>1193</v>
      </c>
      <c r="E4005" s="41" t="str">
        <f>IFERROR(__xludf.DUMMYFUNCTION("IFNA(vlookup(D4005,IMPORTRANGE(""https://docs.google.com/spreadsheets/d/1swGwZOEqYlTEUCJLY-eeJM1911Kvaei5oySBIxdgtNo/edit?pli=1#gid=257618397"",""stock untanna!B:C""),2,false),V:V)"),"ISI GEL GR 090 (20PCS TABUNG)")</f>
        <v>ISI GEL GR 090 (20PCS TABUNG)</v>
      </c>
      <c r="F4005" s="49"/>
      <c r="G4005" s="71"/>
      <c r="H4005" s="41"/>
      <c r="I4005" s="42"/>
      <c r="J4005" s="85" t="s">
        <v>1319</v>
      </c>
      <c r="K4005" s="93">
        <v>3.0</v>
      </c>
      <c r="L4005" s="112" t="s">
        <v>88</v>
      </c>
      <c r="M4005" s="113">
        <v>216000.0</v>
      </c>
      <c r="N4005" s="74"/>
      <c r="O4005" s="87">
        <f t="shared" si="11"/>
        <v>648000</v>
      </c>
      <c r="P4005" s="102" t="str">
        <f t="shared" si="2"/>
        <v>Rp216,000-3 BOX-0.00%</v>
      </c>
      <c r="Q4005" s="92">
        <v>45423.0</v>
      </c>
      <c r="R4005" s="76"/>
      <c r="S4005" s="92">
        <v>45430.0</v>
      </c>
      <c r="T4005" s="49"/>
      <c r="V4005" s="21" t="s">
        <v>1194</v>
      </c>
    </row>
    <row r="4006">
      <c r="A4006" s="93">
        <v>4274.0</v>
      </c>
      <c r="B4006" s="77" t="s">
        <v>65</v>
      </c>
      <c r="C4006" s="77" t="s">
        <v>2420</v>
      </c>
      <c r="D4006" s="91"/>
      <c r="E4006" s="41" t="str">
        <f>IFERROR(__xludf.DUMMYFUNCTION("IFNA(vlookup(D4006,IMPORTRANGE(""https://docs.google.com/spreadsheets/d/1swGwZOEqYlTEUCJLY-eeJM1911Kvaei5oySBIxdgtNo/edit?pli=1#gid=257618397"",""stock untanna!B:C""),2,false),V:V)"),"ISI MECHPEN COLLEN GOLD G-2000 HB (1 BOX=40 TUBE/ 1 TUBE=20 PC)")</f>
        <v>ISI MECHPEN COLLEN GOLD G-2000 HB (1 BOX=40 TUBE/ 1 TUBE=20 PC)</v>
      </c>
      <c r="F4006" s="49"/>
      <c r="G4006" s="71"/>
      <c r="H4006" s="41"/>
      <c r="I4006" s="42"/>
      <c r="J4006" s="85" t="s">
        <v>1319</v>
      </c>
      <c r="K4006" s="93">
        <v>1.0</v>
      </c>
      <c r="L4006" s="112" t="s">
        <v>114</v>
      </c>
      <c r="M4006" s="113">
        <v>55000.0</v>
      </c>
      <c r="N4006" s="74"/>
      <c r="O4006" s="87">
        <f t="shared" si="11"/>
        <v>55000</v>
      </c>
      <c r="P4006" s="102" t="str">
        <f t="shared" si="2"/>
        <v>Rp55,000-1 PAK-0.00%</v>
      </c>
      <c r="Q4006" s="92">
        <v>45423.0</v>
      </c>
      <c r="R4006" s="76"/>
      <c r="S4006" s="92">
        <v>45430.0</v>
      </c>
      <c r="T4006" s="77" t="s">
        <v>280</v>
      </c>
      <c r="V4006" s="21" t="s">
        <v>3638</v>
      </c>
    </row>
    <row r="4007">
      <c r="A4007" s="93">
        <v>4274.0</v>
      </c>
      <c r="B4007" s="77" t="s">
        <v>65</v>
      </c>
      <c r="C4007" s="77" t="s">
        <v>2420</v>
      </c>
      <c r="D4007" s="77" t="s">
        <v>3179</v>
      </c>
      <c r="E4007" s="41" t="str">
        <f>IFERROR(__xludf.DUMMYFUNCTION("IFNA(vlookup(D4007,IMPORTRANGE(""https://docs.google.com/spreadsheets/d/1swGwZOEqYlTEUCJLY-eeJM1911Kvaei5oySBIxdgtNo/edit?pli=1#gid=257618397"",""stock untanna!B:C""),2,false),V:V)"),"ISI PENSIL VTRO 20 2B")</f>
        <v>ISI PENSIL VTRO 20 2B</v>
      </c>
      <c r="F4007" s="49"/>
      <c r="G4007" s="71"/>
      <c r="H4007" s="41"/>
      <c r="I4007" s="42"/>
      <c r="J4007" s="43" t="str">
        <f t="shared" ref="J4007:J4009" si="15">IF(D4007="","TIDAK ADA","ADA")</f>
        <v>ADA</v>
      </c>
      <c r="K4007" s="93">
        <v>3.0</v>
      </c>
      <c r="L4007" s="112" t="s">
        <v>114</v>
      </c>
      <c r="M4007" s="113">
        <v>8500.0</v>
      </c>
      <c r="N4007" s="74"/>
      <c r="O4007" s="87">
        <f t="shared" si="11"/>
        <v>25500</v>
      </c>
      <c r="P4007" s="102" t="str">
        <f t="shared" si="2"/>
        <v>Rp8,500-3 PAK-0.00%</v>
      </c>
      <c r="Q4007" s="92">
        <v>45423.0</v>
      </c>
      <c r="R4007" s="76"/>
      <c r="S4007" s="92">
        <v>45430.0</v>
      </c>
      <c r="T4007" s="77" t="s">
        <v>280</v>
      </c>
      <c r="V4007" s="21" t="s">
        <v>3180</v>
      </c>
    </row>
    <row r="4008">
      <c r="A4008" s="93">
        <v>4274.0</v>
      </c>
      <c r="B4008" s="77" t="s">
        <v>65</v>
      </c>
      <c r="C4008" s="77" t="s">
        <v>2420</v>
      </c>
      <c r="D4008" s="77" t="s">
        <v>985</v>
      </c>
      <c r="E4008" s="41" t="str">
        <f>IFERROR(__xludf.DUMMYFUNCTION("IFNA(vlookup(D4008,IMPORTRANGE(""https://docs.google.com/spreadsheets/d/1swGwZOEqYlTEUCJLY-eeJM1911Kvaei5oySBIxdgtNo/edit?pli=1#gid=257618397"",""stock untanna!B:C""),2,false),V:V)"),"ISI PENSIL KNOW 2270")</f>
        <v>ISI PENSIL KNOW 2270</v>
      </c>
      <c r="F4008" s="49"/>
      <c r="G4008" s="71"/>
      <c r="H4008" s="41"/>
      <c r="I4008" s="42"/>
      <c r="J4008" s="43" t="str">
        <f t="shared" si="15"/>
        <v>ADA</v>
      </c>
      <c r="K4008" s="93">
        <v>2.0</v>
      </c>
      <c r="L4008" s="112" t="s">
        <v>114</v>
      </c>
      <c r="M4008" s="113">
        <v>13500.0</v>
      </c>
      <c r="N4008" s="74"/>
      <c r="O4008" s="87">
        <f t="shared" si="11"/>
        <v>27000</v>
      </c>
      <c r="P4008" s="102" t="str">
        <f t="shared" si="2"/>
        <v>Rp13,500-2 PAK-0.00%</v>
      </c>
      <c r="Q4008" s="92">
        <v>45423.0</v>
      </c>
      <c r="R4008" s="76"/>
      <c r="S4008" s="92">
        <v>45430.0</v>
      </c>
      <c r="T4008" s="77" t="s">
        <v>280</v>
      </c>
      <c r="V4008" s="21" t="s">
        <v>986</v>
      </c>
    </row>
    <row r="4009">
      <c r="A4009" s="93">
        <v>4274.0</v>
      </c>
      <c r="B4009" s="77" t="s">
        <v>65</v>
      </c>
      <c r="C4009" s="77" t="s">
        <v>2420</v>
      </c>
      <c r="D4009" s="77" t="s">
        <v>1204</v>
      </c>
      <c r="E4009" s="41" t="str">
        <f>IFERROR(__xludf.DUMMYFUNCTION("IFNA(vlookup(D4009,IMPORTRANGE(""https://docs.google.com/spreadsheets/d/1swGwZOEqYlTEUCJLY-eeJM1911Kvaei5oySBIxdgtNo/edit?pli=1#gid=257618397"",""stock untanna!B:C""),2,false),V:V)"),"ISI GEL V-TRO 2020 HIJAB")</f>
        <v>ISI GEL V-TRO 2020 HIJAB</v>
      </c>
      <c r="F4009" s="49"/>
      <c r="G4009" s="71"/>
      <c r="H4009" s="41"/>
      <c r="I4009" s="42"/>
      <c r="J4009" s="43" t="str">
        <f t="shared" si="15"/>
        <v>ADA</v>
      </c>
      <c r="K4009" s="93">
        <v>12.0</v>
      </c>
      <c r="L4009" s="112" t="s">
        <v>88</v>
      </c>
      <c r="M4009" s="113">
        <v>6250.0</v>
      </c>
      <c r="N4009" s="74"/>
      <c r="O4009" s="87">
        <f t="shared" si="11"/>
        <v>75000</v>
      </c>
      <c r="P4009" s="102" t="str">
        <f t="shared" si="2"/>
        <v>Rp6,250-12 BOX-0.00%</v>
      </c>
      <c r="Q4009" s="92">
        <v>45423.0</v>
      </c>
      <c r="R4009" s="76"/>
      <c r="S4009" s="92">
        <v>45430.0</v>
      </c>
      <c r="T4009" s="77" t="s">
        <v>280</v>
      </c>
      <c r="V4009" s="21" t="s">
        <v>1205</v>
      </c>
    </row>
    <row r="4010">
      <c r="A4010" s="93">
        <v>4274.0</v>
      </c>
      <c r="B4010" s="77" t="s">
        <v>65</v>
      </c>
      <c r="C4010" s="77" t="s">
        <v>2420</v>
      </c>
      <c r="D4010" s="77" t="s">
        <v>2272</v>
      </c>
      <c r="E4010" s="41" t="str">
        <f>IFERROR(__xludf.DUMMYFUNCTION("IFNA(vlookup(D4010,IMPORTRANGE(""https://docs.google.com/spreadsheets/d/1swGwZOEqYlTEUCJLY-eeJM1911Kvaei5oySBIxdgtNo/edit?pli=1#gid=257618397"",""stock untanna!B:C""),2,false),V:V)"),"ISI GEL ELSON ES-228 SUPER HEROES")</f>
        <v>ISI GEL ELSON ES-228 SUPER HEROES</v>
      </c>
      <c r="F4010" s="49"/>
      <c r="G4010" s="71"/>
      <c r="H4010" s="41"/>
      <c r="I4010" s="42"/>
      <c r="J4010" s="85" t="s">
        <v>1319</v>
      </c>
      <c r="K4010" s="93">
        <v>12.0</v>
      </c>
      <c r="L4010" s="112" t="s">
        <v>88</v>
      </c>
      <c r="M4010" s="113">
        <v>6250.0</v>
      </c>
      <c r="N4010" s="74"/>
      <c r="O4010" s="87">
        <f t="shared" si="11"/>
        <v>75000</v>
      </c>
      <c r="P4010" s="102" t="str">
        <f t="shared" si="2"/>
        <v>Rp6,250-12 BOX-0.00%</v>
      </c>
      <c r="Q4010" s="92">
        <v>45423.0</v>
      </c>
      <c r="R4010" s="76"/>
      <c r="S4010" s="92">
        <v>45430.0</v>
      </c>
      <c r="T4010" s="49"/>
      <c r="V4010" s="21" t="s">
        <v>2273</v>
      </c>
    </row>
    <row r="4011">
      <c r="A4011" s="93">
        <v>4274.0</v>
      </c>
      <c r="B4011" s="77" t="s">
        <v>65</v>
      </c>
      <c r="C4011" s="77" t="s">
        <v>2420</v>
      </c>
      <c r="D4011" s="77" t="s">
        <v>1635</v>
      </c>
      <c r="E4011" s="41" t="str">
        <f>IFERROR(__xludf.DUMMYFUNCTION("IFNA(vlookup(D4011,IMPORTRANGE(""https://docs.google.com/spreadsheets/d/1swGwZOEqYlTEUCJLY-eeJM1911Kvaei5oySBIxdgtNo/edit?pli=1#gid=257618397"",""stock untanna!B:C""),2,false),V:V)"),"PW 12W PANJANG BTS")</f>
        <v>PW 12W PANJANG BTS</v>
      </c>
      <c r="F4011" s="49"/>
      <c r="G4011" s="71"/>
      <c r="H4011" s="41"/>
      <c r="I4011" s="42"/>
      <c r="J4011" s="85" t="s">
        <v>1319</v>
      </c>
      <c r="K4011" s="93">
        <v>1.0</v>
      </c>
      <c r="L4011" s="112" t="s">
        <v>62</v>
      </c>
      <c r="M4011" s="113">
        <v>50000.0</v>
      </c>
      <c r="N4011" s="74"/>
      <c r="O4011" s="87">
        <f t="shared" si="11"/>
        <v>50000</v>
      </c>
      <c r="P4011" s="102" t="str">
        <f t="shared" si="2"/>
        <v>Rp50,000-1 LSN-0.00%</v>
      </c>
      <c r="Q4011" s="92">
        <v>45423.0</v>
      </c>
      <c r="R4011" s="76"/>
      <c r="S4011" s="92">
        <v>45430.0</v>
      </c>
      <c r="T4011" s="49"/>
      <c r="V4011" s="21" t="s">
        <v>1636</v>
      </c>
    </row>
    <row r="4012">
      <c r="A4012" s="93">
        <v>4274.0</v>
      </c>
      <c r="B4012" s="77" t="s">
        <v>65</v>
      </c>
      <c r="C4012" s="77" t="s">
        <v>2420</v>
      </c>
      <c r="D4012" s="77" t="s">
        <v>3639</v>
      </c>
      <c r="E4012" s="41" t="str">
        <f>IFERROR(__xludf.DUMMYFUNCTION("IFNA(vlookup(D4012,IMPORTRANGE(""https://docs.google.com/spreadsheets/d/1swGwZOEqYlTEUCJLY-eeJM1911Kvaei5oySBIxdgtNo/edit?pli=1#gid=257618397"",""stock untanna!B:C""),2,false),V:V)"),"PW INFICO 12W PDK 1235")</f>
        <v>PW INFICO 12W PDK 1235</v>
      </c>
      <c r="F4012" s="49"/>
      <c r="G4012" s="71"/>
      <c r="H4012" s="41"/>
      <c r="I4012" s="42"/>
      <c r="J4012" s="85" t="s">
        <v>1319</v>
      </c>
      <c r="K4012" s="93">
        <v>1.0</v>
      </c>
      <c r="L4012" s="112" t="s">
        <v>62</v>
      </c>
      <c r="M4012" s="113">
        <v>50000.0</v>
      </c>
      <c r="N4012" s="74"/>
      <c r="O4012" s="87">
        <f t="shared" si="11"/>
        <v>50000</v>
      </c>
      <c r="P4012" s="102" t="str">
        <f t="shared" si="2"/>
        <v>Rp50,000-1 LSN-0.00%</v>
      </c>
      <c r="Q4012" s="92">
        <v>45423.0</v>
      </c>
      <c r="R4012" s="76"/>
      <c r="S4012" s="92">
        <v>45430.0</v>
      </c>
      <c r="T4012" s="49"/>
      <c r="V4012" s="21" t="s">
        <v>3640</v>
      </c>
    </row>
    <row r="4013">
      <c r="A4013" s="93">
        <v>4274.0</v>
      </c>
      <c r="B4013" s="77" t="s">
        <v>65</v>
      </c>
      <c r="C4013" s="77" t="s">
        <v>2420</v>
      </c>
      <c r="D4013" s="77" t="s">
        <v>1943</v>
      </c>
      <c r="E4013" s="41" t="str">
        <f>IFERROR(__xludf.DUMMYFUNCTION("IFNA(vlookup(D4013,IMPORTRANGE(""https://docs.google.com/spreadsheets/d/1swGwZOEqYlTEUCJLY-eeJM1911Kvaei5oySBIxdgtNo/edit?pli=1#gid=257618397"",""stock untanna!B:C""),2,false),V:V)"),"PW KIKO 12/12W")</f>
        <v>PW KIKO 12/12W</v>
      </c>
      <c r="F4013" s="49"/>
      <c r="G4013" s="71"/>
      <c r="H4013" s="41"/>
      <c r="I4013" s="42"/>
      <c r="J4013" s="85" t="s">
        <v>1319</v>
      </c>
      <c r="K4013" s="93">
        <v>3.0</v>
      </c>
      <c r="L4013" s="112" t="s">
        <v>62</v>
      </c>
      <c r="M4013" s="113">
        <v>148100.0</v>
      </c>
      <c r="N4013" s="74"/>
      <c r="O4013" s="87">
        <f t="shared" si="11"/>
        <v>444300</v>
      </c>
      <c r="P4013" s="102" t="str">
        <f t="shared" si="2"/>
        <v>Rp148,100-3 LSN-0.00%</v>
      </c>
      <c r="Q4013" s="92">
        <v>45423.0</v>
      </c>
      <c r="R4013" s="76"/>
      <c r="S4013" s="92">
        <v>45430.0</v>
      </c>
      <c r="T4013" s="49"/>
      <c r="V4013" s="21" t="s">
        <v>1944</v>
      </c>
    </row>
    <row r="4014">
      <c r="A4014" s="93">
        <v>4274.0</v>
      </c>
      <c r="B4014" s="77" t="s">
        <v>65</v>
      </c>
      <c r="C4014" s="77" t="s">
        <v>2420</v>
      </c>
      <c r="D4014" s="77" t="s">
        <v>3385</v>
      </c>
      <c r="E4014" s="41" t="str">
        <f>IFERROR(__xludf.DUMMYFUNCTION("IFNA(vlookup(D4014,IMPORTRANGE(""https://docs.google.com/spreadsheets/d/1swGwZOEqYlTEUCJLY-eeJM1911Kvaei5oySBIxdgtNo/edit?pli=1#gid=257618397"",""stock untanna!B:C""),2,false),V:V)"),"PENSIL DW9021-12")</f>
        <v>PENSIL DW9021-12</v>
      </c>
      <c r="F4014" s="49"/>
      <c r="G4014" s="71"/>
      <c r="H4014" s="41"/>
      <c r="I4014" s="42"/>
      <c r="J4014" s="43" t="str">
        <f>IF(D4014="","TIDAK ADA","ADA")</f>
        <v>ADA</v>
      </c>
      <c r="K4014" s="93">
        <v>1.0</v>
      </c>
      <c r="L4014" s="112" t="s">
        <v>62</v>
      </c>
      <c r="M4014" s="113">
        <v>120000.0</v>
      </c>
      <c r="N4014" s="74"/>
      <c r="O4014" s="87">
        <f t="shared" si="11"/>
        <v>120000</v>
      </c>
      <c r="P4014" s="102" t="str">
        <f t="shared" si="2"/>
        <v>Rp120,000-1 LSN-0.00%</v>
      </c>
      <c r="Q4014" s="92">
        <v>45423.0</v>
      </c>
      <c r="R4014" s="76"/>
      <c r="S4014" s="92">
        <v>45430.0</v>
      </c>
      <c r="T4014" s="77" t="s">
        <v>280</v>
      </c>
      <c r="V4014" s="21" t="s">
        <v>3386</v>
      </c>
    </row>
    <row r="4015">
      <c r="A4015" s="93">
        <v>4274.0</v>
      </c>
      <c r="B4015" s="77" t="s">
        <v>65</v>
      </c>
      <c r="C4015" s="77" t="s">
        <v>2420</v>
      </c>
      <c r="D4015" s="77" t="s">
        <v>3570</v>
      </c>
      <c r="E4015" s="41" t="str">
        <f>IFERROR(__xludf.DUMMYFUNCTION("IFNA(vlookup(D4015,IMPORTRANGE(""https://docs.google.com/spreadsheets/d/1swGwZOEqYlTEUCJLY-eeJM1911Kvaei5oySBIxdgtNo/edit?pli=1#gid=257618397"",""stock untanna!B:C""),2,false),V:V)"),"PW PASTEL TF 195 12W")</f>
        <v>PW PASTEL TF 195 12W</v>
      </c>
      <c r="F4015" s="49"/>
      <c r="G4015" s="71"/>
      <c r="H4015" s="41"/>
      <c r="I4015" s="42"/>
      <c r="J4015" s="85" t="s">
        <v>1319</v>
      </c>
      <c r="K4015" s="93">
        <v>6.0</v>
      </c>
      <c r="L4015" s="112" t="s">
        <v>62</v>
      </c>
      <c r="M4015" s="113">
        <v>150000.0</v>
      </c>
      <c r="N4015" s="74"/>
      <c r="O4015" s="87">
        <f t="shared" si="11"/>
        <v>900000</v>
      </c>
      <c r="P4015" s="102" t="str">
        <f t="shared" si="2"/>
        <v>Rp150,000-6 LSN-0.00%</v>
      </c>
      <c r="Q4015" s="92">
        <v>45423.0</v>
      </c>
      <c r="R4015" s="76"/>
      <c r="S4015" s="92">
        <v>45430.0</v>
      </c>
      <c r="T4015" s="49"/>
      <c r="V4015" s="21" t="s">
        <v>3571</v>
      </c>
    </row>
    <row r="4016">
      <c r="A4016" s="93">
        <v>4274.0</v>
      </c>
      <c r="B4016" s="77" t="s">
        <v>65</v>
      </c>
      <c r="C4016" s="77" t="s">
        <v>2420</v>
      </c>
      <c r="D4016" s="77" t="s">
        <v>1958</v>
      </c>
      <c r="E4016" s="41" t="str">
        <f>IFERROR(__xludf.DUMMYFUNCTION("IFNA(vlookup(D4016,IMPORTRANGE(""https://docs.google.com/spreadsheets/d/1swGwZOEqYlTEUCJLY-eeJM1911Kvaei5oySBIxdgtNo/edit?pli=1#gid=257618397"",""stock untanna!B:C""),2,false),V:V)"),"ACRYLIC MARKER TF-AM 301-12")</f>
        <v>ACRYLIC MARKER TF-AM 301-12</v>
      </c>
      <c r="F4016" s="49"/>
      <c r="G4016" s="71"/>
      <c r="H4016" s="41"/>
      <c r="I4016" s="42"/>
      <c r="J4016" s="85" t="s">
        <v>1319</v>
      </c>
      <c r="K4016" s="93">
        <v>12.0</v>
      </c>
      <c r="L4016" s="112" t="s">
        <v>84</v>
      </c>
      <c r="M4016" s="113">
        <v>17000.0</v>
      </c>
      <c r="N4016" s="74"/>
      <c r="O4016" s="87">
        <f t="shared" si="11"/>
        <v>204000</v>
      </c>
      <c r="P4016" s="102" t="str">
        <f t="shared" si="2"/>
        <v>Rp17,000-12 SET-0.00%</v>
      </c>
      <c r="Q4016" s="92">
        <v>45423.0</v>
      </c>
      <c r="R4016" s="76"/>
      <c r="S4016" s="92">
        <v>45430.0</v>
      </c>
      <c r="T4016" s="49"/>
      <c r="V4016" s="21" t="s">
        <v>1959</v>
      </c>
    </row>
    <row r="4017">
      <c r="A4017" s="93">
        <v>4274.0</v>
      </c>
      <c r="B4017" s="77" t="s">
        <v>65</v>
      </c>
      <c r="C4017" s="77" t="s">
        <v>2420</v>
      </c>
      <c r="D4017" s="91"/>
      <c r="E4017" s="41" t="str">
        <f>IFERROR(__xludf.DUMMYFUNCTION("IFNA(vlookup(D4017,IMPORTRANGE(""https://docs.google.com/spreadsheets/d/1swGwZOEqYlTEUCJLY-eeJM1911Kvaei5oySBIxdgtNo/edit?pli=1#gid=257618397"",""stock untanna!B:C""),2,false),V:V)"),"CRAYON PUTAR PJG 12W OUQIER")</f>
        <v>CRAYON PUTAR PJG 12W OUQIER</v>
      </c>
      <c r="F4017" s="49"/>
      <c r="G4017" s="71"/>
      <c r="H4017" s="41"/>
      <c r="I4017" s="42"/>
      <c r="J4017" s="85" t="s">
        <v>3190</v>
      </c>
      <c r="K4017" s="93">
        <v>3.0</v>
      </c>
      <c r="L4017" s="112" t="s">
        <v>62</v>
      </c>
      <c r="M4017" s="113">
        <v>175000.0</v>
      </c>
      <c r="N4017" s="74"/>
      <c r="O4017" s="87">
        <f t="shared" si="11"/>
        <v>525000</v>
      </c>
      <c r="P4017" s="102" t="str">
        <f t="shared" si="2"/>
        <v>Rp175,000-3 LSN-0.00%</v>
      </c>
      <c r="Q4017" s="92">
        <v>45423.0</v>
      </c>
      <c r="R4017" s="76"/>
      <c r="S4017" s="92">
        <v>45430.0</v>
      </c>
      <c r="T4017" s="49"/>
      <c r="V4017" s="21" t="s">
        <v>3641</v>
      </c>
    </row>
    <row r="4018">
      <c r="A4018" s="93">
        <v>4274.0</v>
      </c>
      <c r="B4018" s="77" t="s">
        <v>65</v>
      </c>
      <c r="C4018" s="77" t="s">
        <v>2420</v>
      </c>
      <c r="D4018" s="77" t="s">
        <v>2887</v>
      </c>
      <c r="E4018" s="41" t="str">
        <f>IFERROR(__xludf.DUMMYFUNCTION("IFNA(vlookup(D4018,IMPORTRANGE(""https://docs.google.com/spreadsheets/d/1swGwZOEqYlTEUCJLY-eeJM1911Kvaei5oySBIxdgtNo/edit?pli=1#gid=257618397"",""stock untanna!B:C""),2,false),V:V)"),"JANGKA TOZCHA TZ 8186")</f>
        <v>JANGKA TOZCHA TZ 8186</v>
      </c>
      <c r="F4018" s="49"/>
      <c r="G4018" s="71"/>
      <c r="H4018" s="41"/>
      <c r="I4018" s="42"/>
      <c r="J4018" s="85" t="s">
        <v>1319</v>
      </c>
      <c r="K4018" s="93">
        <v>2.0</v>
      </c>
      <c r="L4018" s="112" t="s">
        <v>62</v>
      </c>
      <c r="M4018" s="113">
        <v>50000.0</v>
      </c>
      <c r="N4018" s="74"/>
      <c r="O4018" s="87">
        <f t="shared" si="11"/>
        <v>100000</v>
      </c>
      <c r="P4018" s="102" t="str">
        <f t="shared" si="2"/>
        <v>Rp50,000-2 LSN-0.00%</v>
      </c>
      <c r="Q4018" s="92">
        <v>45423.0</v>
      </c>
      <c r="R4018" s="76"/>
      <c r="S4018" s="92">
        <v>45430.0</v>
      </c>
      <c r="T4018" s="49"/>
      <c r="V4018" s="21" t="s">
        <v>2888</v>
      </c>
    </row>
    <row r="4019">
      <c r="A4019" s="93">
        <v>4275.0</v>
      </c>
      <c r="B4019" s="77" t="s">
        <v>65</v>
      </c>
      <c r="C4019" s="77" t="s">
        <v>2420</v>
      </c>
      <c r="D4019" s="77" t="s">
        <v>3389</v>
      </c>
      <c r="E4019" s="41" t="str">
        <f>IFERROR(__xludf.DUMMYFUNCTION("IFNA(vlookup(D4019,IMPORTRANGE(""https://docs.google.com/spreadsheets/d/1swGwZOEqYlTEUCJLY-eeJM1911Kvaei5oySBIxdgtNo/edit?pli=1#gid=257618397"",""stock untanna!B:C""),2,false),V:V)"),"GARISAN 6606")</f>
        <v>GARISAN 6606</v>
      </c>
      <c r="F4019" s="49"/>
      <c r="G4019" s="71"/>
      <c r="H4019" s="41"/>
      <c r="I4019" s="42"/>
      <c r="J4019" s="85" t="s">
        <v>1319</v>
      </c>
      <c r="K4019" s="93">
        <v>24.0</v>
      </c>
      <c r="L4019" s="112" t="s">
        <v>69</v>
      </c>
      <c r="M4019" s="113">
        <v>7083.33</v>
      </c>
      <c r="N4019" s="74"/>
      <c r="O4019" s="87">
        <f t="shared" si="11"/>
        <v>169999.92</v>
      </c>
      <c r="P4019" s="102" t="str">
        <f t="shared" si="2"/>
        <v>Rp7,083-24 PCS-0.00%</v>
      </c>
      <c r="Q4019" s="92">
        <v>45423.0</v>
      </c>
      <c r="R4019" s="76"/>
      <c r="S4019" s="92">
        <v>45430.0</v>
      </c>
      <c r="T4019" s="49"/>
      <c r="V4019" s="21" t="s">
        <v>3390</v>
      </c>
    </row>
    <row r="4020">
      <c r="A4020" s="93">
        <v>4275.0</v>
      </c>
      <c r="B4020" s="77" t="s">
        <v>65</v>
      </c>
      <c r="C4020" s="77" t="s">
        <v>2420</v>
      </c>
      <c r="D4020" s="77" t="s">
        <v>2725</v>
      </c>
      <c r="E4020" s="41" t="str">
        <f>IFERROR(__xludf.DUMMYFUNCTION("IFNA(vlookup(D4020,IMPORTRANGE(""https://docs.google.com/spreadsheets/d/1swGwZOEqYlTEUCJLY-eeJM1911Kvaei5oySBIxdgtNo/edit?pli=1#gid=257618397"",""stock untanna!B:C""),2,false),V:V)"),"GARISAN SET ACRYLIC 20CM GR-180455")</f>
        <v>GARISAN SET ACRYLIC 20CM GR-180455</v>
      </c>
      <c r="F4020" s="49"/>
      <c r="G4020" s="71"/>
      <c r="H4020" s="41"/>
      <c r="I4020" s="42"/>
      <c r="J4020" s="85" t="s">
        <v>1319</v>
      </c>
      <c r="K4020" s="93">
        <v>143.0</v>
      </c>
      <c r="L4020" s="112" t="s">
        <v>84</v>
      </c>
      <c r="M4020" s="113">
        <v>13000.0</v>
      </c>
      <c r="N4020" s="74"/>
      <c r="O4020" s="87">
        <f t="shared" si="11"/>
        <v>1859000</v>
      </c>
      <c r="P4020" s="102" t="str">
        <f t="shared" si="2"/>
        <v>Rp13,000-143 SET-0.00%</v>
      </c>
      <c r="Q4020" s="92">
        <v>45423.0</v>
      </c>
      <c r="R4020" s="76"/>
      <c r="S4020" s="92">
        <v>45430.0</v>
      </c>
      <c r="T4020" s="49"/>
      <c r="V4020" s="21" t="s">
        <v>2726</v>
      </c>
    </row>
    <row r="4021">
      <c r="A4021" s="93">
        <v>4275.0</v>
      </c>
      <c r="B4021" s="77" t="s">
        <v>65</v>
      </c>
      <c r="C4021" s="77" t="s">
        <v>2420</v>
      </c>
      <c r="D4021" s="77" t="s">
        <v>2723</v>
      </c>
      <c r="E4021" s="41" t="str">
        <f>IFERROR(__xludf.DUMMYFUNCTION("IFNA(vlookup(D4021,IMPORTRANGE(""https://docs.google.com/spreadsheets/d/1swGwZOEqYlTEUCJLY-eeJM1911Kvaei5oySBIxdgtNo/edit?pli=1#gid=257618397"",""stock untanna!B:C""),2,false),V:V)"),"GARISAN SET ACRYLIC 30CM GR-180456")</f>
        <v>GARISAN SET ACRYLIC 30CM GR-180456</v>
      </c>
      <c r="F4021" s="49"/>
      <c r="G4021" s="71"/>
      <c r="H4021" s="41"/>
      <c r="I4021" s="42"/>
      <c r="J4021" s="85" t="s">
        <v>1319</v>
      </c>
      <c r="K4021" s="93">
        <v>144.0</v>
      </c>
      <c r="L4021" s="112" t="s">
        <v>84</v>
      </c>
      <c r="M4021" s="113">
        <v>16500.0</v>
      </c>
      <c r="N4021" s="74"/>
      <c r="O4021" s="87">
        <f t="shared" si="11"/>
        <v>2376000</v>
      </c>
      <c r="P4021" s="102" t="str">
        <f t="shared" si="2"/>
        <v>Rp16,500-144 SET-0.00%</v>
      </c>
      <c r="Q4021" s="92">
        <v>45423.0</v>
      </c>
      <c r="R4021" s="76"/>
      <c r="S4021" s="92">
        <v>45430.0</v>
      </c>
      <c r="T4021" s="49"/>
      <c r="V4021" s="21" t="s">
        <v>2724</v>
      </c>
    </row>
    <row r="4022">
      <c r="A4022" s="93">
        <v>4275.0</v>
      </c>
      <c r="B4022" s="77" t="s">
        <v>65</v>
      </c>
      <c r="C4022" s="77" t="s">
        <v>2420</v>
      </c>
      <c r="D4022" s="91"/>
      <c r="E4022" s="41" t="str">
        <f>IFERROR(__xludf.DUMMYFUNCTION("IFNA(vlookup(D4022,IMPORTRANGE(""https://docs.google.com/spreadsheets/d/1swGwZOEqYlTEUCJLY-eeJM1911Kvaei5oySBIxdgtNo/edit?pli=1#gid=257618397"",""stock untanna!B:C""),2,false),V:V)"),"GARISAN GR 2302")</f>
        <v>GARISAN GR 2302</v>
      </c>
      <c r="F4022" s="49"/>
      <c r="G4022" s="71"/>
      <c r="H4022" s="41"/>
      <c r="I4022" s="42"/>
      <c r="J4022" s="85" t="s">
        <v>3190</v>
      </c>
      <c r="K4022" s="93">
        <v>24.0</v>
      </c>
      <c r="L4022" s="112" t="s">
        <v>69</v>
      </c>
      <c r="M4022" s="113">
        <v>5500.0</v>
      </c>
      <c r="N4022" s="74"/>
      <c r="O4022" s="87">
        <f t="shared" si="11"/>
        <v>132000</v>
      </c>
      <c r="P4022" s="102" t="str">
        <f t="shared" si="2"/>
        <v>Rp5,500-24 PCS-0.00%</v>
      </c>
      <c r="Q4022" s="92">
        <v>45423.0</v>
      </c>
      <c r="R4022" s="76"/>
      <c r="S4022" s="92">
        <v>45430.0</v>
      </c>
      <c r="T4022" s="49"/>
      <c r="V4022" s="21" t="s">
        <v>3642</v>
      </c>
    </row>
    <row r="4023">
      <c r="A4023" s="93">
        <v>4275.0</v>
      </c>
      <c r="B4023" s="77" t="s">
        <v>65</v>
      </c>
      <c r="C4023" s="77" t="s">
        <v>2420</v>
      </c>
      <c r="D4023" s="77" t="s">
        <v>2808</v>
      </c>
      <c r="E4023" s="41" t="str">
        <f>IFERROR(__xludf.DUMMYFUNCTION("IFNA(vlookup(D4023,IMPORTRANGE(""https://docs.google.com/spreadsheets/d/1swGwZOEqYlTEUCJLY-eeJM1911Kvaei5oySBIxdgtNo/edit?pli=1#gid=257618397"",""stock untanna!B:C""),2,false),V:V)"),"GARISAN ELASTIS 30CM GR-2303 (WALITO)")</f>
        <v>GARISAN ELASTIS 30CM GR-2303 (WALITO)</v>
      </c>
      <c r="F4023" s="49"/>
      <c r="G4023" s="71"/>
      <c r="H4023" s="41"/>
      <c r="I4023" s="42"/>
      <c r="J4023" s="85" t="s">
        <v>1319</v>
      </c>
      <c r="K4023" s="93">
        <v>2.0</v>
      </c>
      <c r="L4023" s="112" t="s">
        <v>62</v>
      </c>
      <c r="M4023" s="113">
        <v>81000.0</v>
      </c>
      <c r="N4023" s="74"/>
      <c r="O4023" s="87">
        <f t="shared" si="11"/>
        <v>162000</v>
      </c>
      <c r="P4023" s="102" t="str">
        <f t="shared" si="2"/>
        <v>Rp81,000-2 LSN-0.00%</v>
      </c>
      <c r="Q4023" s="92">
        <v>45423.0</v>
      </c>
      <c r="R4023" s="76"/>
      <c r="S4023" s="92">
        <v>45430.0</v>
      </c>
      <c r="T4023" s="49"/>
      <c r="V4023" s="21" t="s">
        <v>2809</v>
      </c>
    </row>
    <row r="4024">
      <c r="A4024" s="93">
        <v>4275.0</v>
      </c>
      <c r="B4024" s="77" t="s">
        <v>65</v>
      </c>
      <c r="C4024" s="77" t="s">
        <v>2420</v>
      </c>
      <c r="D4024" s="77" t="s">
        <v>138</v>
      </c>
      <c r="E4024" s="41" t="str">
        <f>IFERROR(__xludf.DUMMYFUNCTION("IFNA(vlookup(D4024,IMPORTRANGE(""https://docs.google.com/spreadsheets/d/1swGwZOEqYlTEUCJLY-eeJM1911Kvaei5oySBIxdgtNo/edit?pli=1#gid=257618397"",""stock untanna!B:C""),2,false),V:V)"),"GARISAN LIPAT 008 (40) 30 CM FANCY")</f>
        <v>GARISAN LIPAT 008 (40) 30 CM FANCY</v>
      </c>
      <c r="F4024" s="49"/>
      <c r="G4024" s="71"/>
      <c r="H4024" s="41"/>
      <c r="I4024" s="42"/>
      <c r="J4024" s="85" t="s">
        <v>1319</v>
      </c>
      <c r="K4024" s="93">
        <v>12.0</v>
      </c>
      <c r="L4024" s="112" t="s">
        <v>88</v>
      </c>
      <c r="M4024" s="113">
        <v>50000.0</v>
      </c>
      <c r="N4024" s="74"/>
      <c r="O4024" s="87">
        <f t="shared" si="11"/>
        <v>600000</v>
      </c>
      <c r="P4024" s="102" t="str">
        <f t="shared" si="2"/>
        <v>Rp50,000-12 BOX-0.00%</v>
      </c>
      <c r="Q4024" s="92">
        <v>45423.0</v>
      </c>
      <c r="R4024" s="76"/>
      <c r="S4024" s="92">
        <v>45430.0</v>
      </c>
      <c r="T4024" s="49"/>
      <c r="V4024" s="21" t="s">
        <v>139</v>
      </c>
    </row>
    <row r="4025">
      <c r="A4025" s="93">
        <v>4275.0</v>
      </c>
      <c r="B4025" s="77" t="s">
        <v>65</v>
      </c>
      <c r="C4025" s="77" t="s">
        <v>2420</v>
      </c>
      <c r="D4025" s="77" t="s">
        <v>2222</v>
      </c>
      <c r="E4025" s="41" t="str">
        <f>IFERROR(__xludf.DUMMYFUNCTION("IFNA(vlookup(D4025,IMPORTRANGE(""https://docs.google.com/spreadsheets/d/1swGwZOEqYlTEUCJLY-eeJM1911Kvaei5oySBIxdgtNo/edit?pli=1#gid=257618397"",""stock untanna!B:C""),2,false),V:V)"),"GARISAN TW-8068")</f>
        <v>GARISAN TW-8068</v>
      </c>
      <c r="F4025" s="49"/>
      <c r="G4025" s="71"/>
      <c r="H4025" s="41"/>
      <c r="I4025" s="42"/>
      <c r="J4025" s="85" t="s">
        <v>1319</v>
      </c>
      <c r="K4025" s="93">
        <v>24.0</v>
      </c>
      <c r="L4025" s="112" t="s">
        <v>69</v>
      </c>
      <c r="M4025" s="113">
        <v>3750.0</v>
      </c>
      <c r="N4025" s="74"/>
      <c r="O4025" s="87">
        <f t="shared" si="11"/>
        <v>90000</v>
      </c>
      <c r="P4025" s="102" t="str">
        <f t="shared" si="2"/>
        <v>Rp3,750-24 PCS-0.00%</v>
      </c>
      <c r="Q4025" s="92">
        <v>45423.0</v>
      </c>
      <c r="R4025" s="76"/>
      <c r="S4025" s="92">
        <v>45430.0</v>
      </c>
      <c r="T4025" s="49"/>
      <c r="V4025" s="21" t="s">
        <v>2223</v>
      </c>
    </row>
    <row r="4026">
      <c r="A4026" s="93">
        <v>4275.0</v>
      </c>
      <c r="B4026" s="77" t="s">
        <v>65</v>
      </c>
      <c r="C4026" s="77" t="s">
        <v>2420</v>
      </c>
      <c r="D4026" s="77" t="s">
        <v>3643</v>
      </c>
      <c r="E4026" s="41" t="str">
        <f>IFERROR(__xludf.DUMMYFUNCTION("IFNA(vlookup(D4026,IMPORTRANGE(""https://docs.google.com/spreadsheets/d/1swGwZOEqYlTEUCJLY-eeJM1911Kvaei5oySBIxdgtNo/edit?pli=1#gid=257618397"",""stock untanna!B:C""),2,false),V:V)"),"GARISAN 20CM 2011(10)/ 2010(2)")</f>
        <v>GARISAN 20CM 2011(10)/ 2010(2)</v>
      </c>
      <c r="F4026" s="49"/>
      <c r="G4026" s="71"/>
      <c r="H4026" s="41"/>
      <c r="I4026" s="42"/>
      <c r="J4026" s="85" t="s">
        <v>1319</v>
      </c>
      <c r="K4026" s="93">
        <v>200.0</v>
      </c>
      <c r="L4026" s="112" t="s">
        <v>69</v>
      </c>
      <c r="M4026" s="113">
        <v>1000.0</v>
      </c>
      <c r="N4026" s="74"/>
      <c r="O4026" s="87">
        <f t="shared" si="11"/>
        <v>200000</v>
      </c>
      <c r="P4026" s="102" t="str">
        <f t="shared" si="2"/>
        <v>Rp1,000-200 PCS-0.00%</v>
      </c>
      <c r="Q4026" s="92">
        <v>45423.0</v>
      </c>
      <c r="R4026" s="76"/>
      <c r="S4026" s="92">
        <v>45430.0</v>
      </c>
      <c r="T4026" s="77" t="s">
        <v>100</v>
      </c>
      <c r="V4026" s="21" t="s">
        <v>3644</v>
      </c>
    </row>
    <row r="4027">
      <c r="A4027" s="93">
        <v>4275.0</v>
      </c>
      <c r="B4027" s="77" t="s">
        <v>65</v>
      </c>
      <c r="C4027" s="77" t="s">
        <v>2420</v>
      </c>
      <c r="D4027" s="77" t="s">
        <v>3645</v>
      </c>
      <c r="E4027" s="41" t="str">
        <f>IFERROR(__xludf.DUMMYFUNCTION("IFNA(vlookup(D4027,IMPORTRANGE(""https://docs.google.com/spreadsheets/d/1swGwZOEqYlTEUCJLY-eeJM1911Kvaei5oySBIxdgtNo/edit?pli=1#gid=257618397"",""stock untanna!B:C""),2,false),V:V)"),"GARISAN YS 2020")</f>
        <v>GARISAN YS 2020</v>
      </c>
      <c r="F4027" s="49"/>
      <c r="G4027" s="71"/>
      <c r="H4027" s="41"/>
      <c r="I4027" s="42"/>
      <c r="J4027" s="85" t="s">
        <v>1319</v>
      </c>
      <c r="K4027" s="93">
        <v>5.0</v>
      </c>
      <c r="L4027" s="112" t="s">
        <v>62</v>
      </c>
      <c r="M4027" s="113">
        <v>18000.0</v>
      </c>
      <c r="N4027" s="74"/>
      <c r="O4027" s="87">
        <f t="shared" si="11"/>
        <v>90000</v>
      </c>
      <c r="P4027" s="102" t="str">
        <f t="shared" si="2"/>
        <v>Rp18,000-5 LSN-0.00%</v>
      </c>
      <c r="Q4027" s="92">
        <v>45423.0</v>
      </c>
      <c r="R4027" s="76"/>
      <c r="S4027" s="92">
        <v>45430.0</v>
      </c>
      <c r="T4027" s="49"/>
      <c r="V4027" s="21" t="s">
        <v>3646</v>
      </c>
    </row>
    <row r="4028">
      <c r="A4028" s="93">
        <v>4275.0</v>
      </c>
      <c r="B4028" s="77" t="s">
        <v>65</v>
      </c>
      <c r="C4028" s="77" t="s">
        <v>2420</v>
      </c>
      <c r="D4028" s="77" t="s">
        <v>3647</v>
      </c>
      <c r="E4028" s="41" t="str">
        <f>IFERROR(__xludf.DUMMYFUNCTION("IFNA(vlookup(D4028,IMPORTRANGE(""https://docs.google.com/spreadsheets/d/1swGwZOEqYlTEUCJLY-eeJM1911Kvaei5oySBIxdgtNo/edit?pli=1#gid=257618397"",""stock untanna!B:C""),2,false),V:V)"),"GARISAN BC-8996")</f>
        <v>GARISAN BC-8996</v>
      </c>
      <c r="F4028" s="49"/>
      <c r="G4028" s="71"/>
      <c r="H4028" s="41"/>
      <c r="I4028" s="42"/>
      <c r="J4028" s="85" t="s">
        <v>1319</v>
      </c>
      <c r="K4028" s="93">
        <v>120.0</v>
      </c>
      <c r="L4028" s="112" t="s">
        <v>69</v>
      </c>
      <c r="M4028" s="113">
        <v>4250.0</v>
      </c>
      <c r="N4028" s="74"/>
      <c r="O4028" s="87">
        <f t="shared" si="11"/>
        <v>510000</v>
      </c>
      <c r="P4028" s="102" t="str">
        <f t="shared" si="2"/>
        <v>Rp4,250-120 PCS-0.00%</v>
      </c>
      <c r="Q4028" s="92">
        <v>45423.0</v>
      </c>
      <c r="R4028" s="76"/>
      <c r="S4028" s="92">
        <v>45430.0</v>
      </c>
      <c r="T4028" s="49"/>
      <c r="V4028" s="21" t="s">
        <v>3648</v>
      </c>
    </row>
    <row r="4029">
      <c r="A4029" s="93">
        <v>4275.0</v>
      </c>
      <c r="B4029" s="77" t="s">
        <v>65</v>
      </c>
      <c r="C4029" s="77" t="s">
        <v>2420</v>
      </c>
      <c r="D4029" s="77" t="s">
        <v>3199</v>
      </c>
      <c r="E4029" s="41" t="str">
        <f>IFERROR(__xludf.DUMMYFUNCTION("IFNA(vlookup(D4029,IMPORTRANGE(""https://docs.google.com/spreadsheets/d/1swGwZOEqYlTEUCJLY-eeJM1911Kvaei5oySBIxdgtNo/edit?pli=1#gid=257618397"",""stock untanna!B:C""),2,false),V:V)"),"GARISAN 18CM 322 (84) TRANSFORMER")</f>
        <v>GARISAN 18CM 322 (84) TRANSFORMER</v>
      </c>
      <c r="F4029" s="49"/>
      <c r="G4029" s="71"/>
      <c r="H4029" s="41"/>
      <c r="I4029" s="42"/>
      <c r="J4029" s="85" t="s">
        <v>1319</v>
      </c>
      <c r="K4029" s="93">
        <v>3.0</v>
      </c>
      <c r="L4029" s="112" t="s">
        <v>88</v>
      </c>
      <c r="M4029" s="113">
        <v>87500.0</v>
      </c>
      <c r="N4029" s="74"/>
      <c r="O4029" s="87">
        <f t="shared" si="11"/>
        <v>262500</v>
      </c>
      <c r="P4029" s="102" t="str">
        <f t="shared" si="2"/>
        <v>Rp87,500-3 BOX-0.00%</v>
      </c>
      <c r="Q4029" s="92">
        <v>45423.0</v>
      </c>
      <c r="R4029" s="76"/>
      <c r="S4029" s="92">
        <v>45430.0</v>
      </c>
      <c r="T4029" s="49"/>
      <c r="V4029" s="21" t="s">
        <v>3200</v>
      </c>
    </row>
    <row r="4030">
      <c r="A4030" s="93">
        <v>4275.0</v>
      </c>
      <c r="B4030" s="77" t="s">
        <v>65</v>
      </c>
      <c r="C4030" s="77" t="s">
        <v>2420</v>
      </c>
      <c r="D4030" s="91"/>
      <c r="E4030" s="41" t="str">
        <f>IFERROR(__xludf.DUMMYFUNCTION("IFNA(vlookup(D4030,IMPORTRANGE(""https://docs.google.com/spreadsheets/d/1swGwZOEqYlTEUCJLY-eeJM1911Kvaei5oySBIxdgtNo/edit?pli=1#gid=257618397"",""stock untanna!B:C""),2,false),V:V)"),"GARISAN 30CM FANCY")</f>
        <v>GARISAN 30CM FANCY</v>
      </c>
      <c r="F4030" s="49"/>
      <c r="G4030" s="71"/>
      <c r="H4030" s="41"/>
      <c r="I4030" s="42"/>
      <c r="J4030" s="85" t="s">
        <v>3190</v>
      </c>
      <c r="K4030" s="93">
        <v>12.0</v>
      </c>
      <c r="L4030" s="112" t="s">
        <v>62</v>
      </c>
      <c r="M4030" s="113">
        <v>37500.0</v>
      </c>
      <c r="N4030" s="74"/>
      <c r="O4030" s="87">
        <f t="shared" si="11"/>
        <v>450000</v>
      </c>
      <c r="P4030" s="102" t="str">
        <f t="shared" si="2"/>
        <v>Rp37,500-12 LSN-0.00%</v>
      </c>
      <c r="Q4030" s="92">
        <v>45423.0</v>
      </c>
      <c r="R4030" s="76"/>
      <c r="S4030" s="92">
        <v>45430.0</v>
      </c>
      <c r="T4030" s="49"/>
      <c r="V4030" s="21" t="s">
        <v>3649</v>
      </c>
    </row>
    <row r="4031">
      <c r="A4031" s="93">
        <v>4275.0</v>
      </c>
      <c r="B4031" s="77" t="s">
        <v>65</v>
      </c>
      <c r="C4031" s="77" t="s">
        <v>2420</v>
      </c>
      <c r="D4031" s="77" t="s">
        <v>3650</v>
      </c>
      <c r="E4031" s="41" t="str">
        <f>IFERROR(__xludf.DUMMYFUNCTION("IFNA(vlookup(D4031,IMPORTRANGE(""https://docs.google.com/spreadsheets/d/1swGwZOEqYlTEUCJLY-eeJM1911Kvaei5oySBIxdgtNo/edit?pli=1#gid=257618397"",""stock untanna!B:C""),2,false),V:V)"),"GARISAN BESI YOEKER 40 CM")</f>
        <v>GARISAN BESI YOEKER 40 CM</v>
      </c>
      <c r="F4031" s="49"/>
      <c r="G4031" s="71"/>
      <c r="H4031" s="41"/>
      <c r="I4031" s="42"/>
      <c r="J4031" s="85" t="s">
        <v>1319</v>
      </c>
      <c r="K4031" s="93">
        <v>3.0</v>
      </c>
      <c r="L4031" s="112" t="s">
        <v>62</v>
      </c>
      <c r="M4031" s="113">
        <v>42000.0</v>
      </c>
      <c r="N4031" s="74"/>
      <c r="O4031" s="87">
        <f t="shared" si="11"/>
        <v>126000</v>
      </c>
      <c r="P4031" s="102" t="str">
        <f t="shared" si="2"/>
        <v>Rp42,000-3 LSN-0.00%</v>
      </c>
      <c r="Q4031" s="92">
        <v>45423.0</v>
      </c>
      <c r="R4031" s="76"/>
      <c r="S4031" s="92">
        <v>45430.0</v>
      </c>
      <c r="T4031" s="49"/>
      <c r="V4031" s="21" t="s">
        <v>3651</v>
      </c>
    </row>
    <row r="4032">
      <c r="A4032" s="93">
        <v>4275.0</v>
      </c>
      <c r="B4032" s="77" t="s">
        <v>65</v>
      </c>
      <c r="C4032" s="77" t="s">
        <v>2420</v>
      </c>
      <c r="D4032" s="91"/>
      <c r="E4032" s="41" t="str">
        <f>IFERROR(__xludf.DUMMYFUNCTION("IFNA(vlookup(D4032,IMPORTRANGE(""https://docs.google.com/spreadsheets/d/1swGwZOEqYlTEUCJLY-eeJM1911Kvaei5oySBIxdgtNo/edit?pli=1#gid=257618397"",""stock untanna!B:C""),2,false),V:V)"),"GARISAN MAL 280 ABJAD")</f>
        <v>GARISAN MAL 280 ABJAD</v>
      </c>
      <c r="F4032" s="49"/>
      <c r="G4032" s="71"/>
      <c r="H4032" s="41"/>
      <c r="I4032" s="42"/>
      <c r="J4032" s="85" t="s">
        <v>3190</v>
      </c>
      <c r="K4032" s="93">
        <v>2.0</v>
      </c>
      <c r="L4032" s="112" t="s">
        <v>62</v>
      </c>
      <c r="M4032" s="113">
        <v>30000.0</v>
      </c>
      <c r="N4032" s="74"/>
      <c r="O4032" s="87">
        <f t="shared" si="11"/>
        <v>60000</v>
      </c>
      <c r="P4032" s="102" t="str">
        <f t="shared" si="2"/>
        <v>Rp30,000-2 LSN-0.00%</v>
      </c>
      <c r="Q4032" s="92">
        <v>45423.0</v>
      </c>
      <c r="R4032" s="76"/>
      <c r="S4032" s="92">
        <v>45430.0</v>
      </c>
      <c r="T4032" s="49"/>
      <c r="V4032" s="21" t="s">
        <v>3652</v>
      </c>
    </row>
    <row r="4033">
      <c r="A4033" s="93">
        <v>4275.0</v>
      </c>
      <c r="B4033" s="77" t="s">
        <v>65</v>
      </c>
      <c r="C4033" s="77" t="s">
        <v>2420</v>
      </c>
      <c r="D4033" s="91"/>
      <c r="E4033" s="41" t="str">
        <f>IFERROR(__xludf.DUMMYFUNCTION("IFNA(vlookup(D4033,IMPORTRANGE(""https://docs.google.com/spreadsheets/d/1swGwZOEqYlTEUCJLY-eeJM1911Kvaei5oySBIxdgtNo/edit?pli=1#gid=257618397"",""stock untanna!B:C""),2,false),V:V)"),"GARISAN MAL 190 ABJAD")</f>
        <v>GARISAN MAL 190 ABJAD</v>
      </c>
      <c r="F4033" s="49"/>
      <c r="G4033" s="71"/>
      <c r="H4033" s="41"/>
      <c r="I4033" s="42"/>
      <c r="J4033" s="85" t="s">
        <v>3190</v>
      </c>
      <c r="K4033" s="93">
        <v>2.0</v>
      </c>
      <c r="L4033" s="112" t="s">
        <v>62</v>
      </c>
      <c r="M4033" s="113">
        <v>40000.0</v>
      </c>
      <c r="N4033" s="74"/>
      <c r="O4033" s="87">
        <f t="shared" si="11"/>
        <v>80000</v>
      </c>
      <c r="P4033" s="102" t="str">
        <f t="shared" si="2"/>
        <v>Rp40,000-2 LSN-0.00%</v>
      </c>
      <c r="Q4033" s="92">
        <v>45423.0</v>
      </c>
      <c r="R4033" s="76"/>
      <c r="S4033" s="92">
        <v>45430.0</v>
      </c>
      <c r="T4033" s="49"/>
      <c r="V4033" s="21" t="s">
        <v>3653</v>
      </c>
    </row>
    <row r="4034">
      <c r="A4034" s="93">
        <v>4275.0</v>
      </c>
      <c r="B4034" s="77" t="s">
        <v>65</v>
      </c>
      <c r="C4034" s="77" t="s">
        <v>2420</v>
      </c>
      <c r="D4034" s="91"/>
      <c r="E4034" s="41" t="str">
        <f>IFERROR(__xludf.DUMMYFUNCTION("IFNA(vlookup(D4034,IMPORTRANGE(""https://docs.google.com/spreadsheets/d/1swGwZOEqYlTEUCJLY-eeJM1911Kvaei5oySBIxdgtNo/edit?pli=1#gid=257618397"",""stock untanna!B:C""),2,false),V:V)"),"GARISAN ALUMINIUM KOALA 30CM")</f>
        <v>GARISAN ALUMINIUM KOALA 30CM</v>
      </c>
      <c r="F4034" s="49"/>
      <c r="G4034" s="71"/>
      <c r="H4034" s="41"/>
      <c r="I4034" s="42"/>
      <c r="J4034" s="85" t="s">
        <v>3190</v>
      </c>
      <c r="K4034" s="93">
        <v>5.0</v>
      </c>
      <c r="L4034" s="112" t="s">
        <v>62</v>
      </c>
      <c r="M4034" s="113">
        <v>70000.0</v>
      </c>
      <c r="N4034" s="74"/>
      <c r="O4034" s="87">
        <f t="shared" si="11"/>
        <v>350000</v>
      </c>
      <c r="P4034" s="102" t="str">
        <f t="shared" si="2"/>
        <v>Rp70,000-5 LSN-0.00%</v>
      </c>
      <c r="Q4034" s="92">
        <v>45423.0</v>
      </c>
      <c r="R4034" s="76"/>
      <c r="S4034" s="92">
        <v>45430.0</v>
      </c>
      <c r="T4034" s="49"/>
      <c r="V4034" s="21" t="s">
        <v>3654</v>
      </c>
    </row>
    <row r="4035">
      <c r="A4035" s="93">
        <v>4276.0</v>
      </c>
      <c r="B4035" s="77" t="s">
        <v>65</v>
      </c>
      <c r="C4035" s="77" t="s">
        <v>2420</v>
      </c>
      <c r="D4035" s="77" t="s">
        <v>341</v>
      </c>
      <c r="E4035" s="41" t="str">
        <f>IFERROR(__xludf.DUMMYFUNCTION("IFNA(vlookup(D4035,IMPORTRANGE(""https://docs.google.com/spreadsheets/d/1swGwZOEqYlTEUCJLY-eeJM1911Kvaei5oySBIxdgtNo/edit?pli=1#gid=257618397"",""stock untanna!B:C""),2,false),V:V)"),"GARISAN MIKA ENTER 60 CM")</f>
        <v>GARISAN MIKA ENTER 60 CM</v>
      </c>
      <c r="F4035" s="49"/>
      <c r="G4035" s="71"/>
      <c r="H4035" s="41"/>
      <c r="I4035" s="42"/>
      <c r="J4035" s="85" t="s">
        <v>1319</v>
      </c>
      <c r="K4035" s="93">
        <v>3.0</v>
      </c>
      <c r="L4035" s="112" t="s">
        <v>62</v>
      </c>
      <c r="M4035" s="113">
        <v>45000.0</v>
      </c>
      <c r="N4035" s="74"/>
      <c r="O4035" s="87">
        <f t="shared" si="11"/>
        <v>135000</v>
      </c>
      <c r="P4035" s="102" t="str">
        <f t="shared" si="2"/>
        <v>Rp45,000-3 LSN-0.00%</v>
      </c>
      <c r="Q4035" s="92">
        <v>45423.0</v>
      </c>
      <c r="R4035" s="76"/>
      <c r="S4035" s="92">
        <v>45430.0</v>
      </c>
      <c r="T4035" s="49"/>
      <c r="V4035" s="21" t="s">
        <v>342</v>
      </c>
    </row>
    <row r="4036">
      <c r="A4036" s="93">
        <v>4276.0</v>
      </c>
      <c r="B4036" s="77" t="s">
        <v>65</v>
      </c>
      <c r="C4036" s="77" t="s">
        <v>2420</v>
      </c>
      <c r="D4036" s="77" t="s">
        <v>337</v>
      </c>
      <c r="E4036" s="41" t="str">
        <f>IFERROR(__xludf.DUMMYFUNCTION("IFNA(vlookup(D4036,IMPORTRANGE(""https://docs.google.com/spreadsheets/d/1swGwZOEqYlTEUCJLY-eeJM1911Kvaei5oySBIxdgtNo/edit?pli=1#gid=257618397"",""stock untanna!B:C""),2,false),V:V)"),"GARISAN MIKA 40CM ENTER")</f>
        <v>GARISAN MIKA 40CM ENTER</v>
      </c>
      <c r="F4036" s="49"/>
      <c r="G4036" s="71"/>
      <c r="H4036" s="41"/>
      <c r="I4036" s="42"/>
      <c r="J4036" s="85" t="s">
        <v>1319</v>
      </c>
      <c r="K4036" s="93">
        <v>3.0</v>
      </c>
      <c r="L4036" s="112" t="s">
        <v>62</v>
      </c>
      <c r="M4036" s="113">
        <v>30000.0</v>
      </c>
      <c r="N4036" s="74"/>
      <c r="O4036" s="87">
        <f t="shared" si="11"/>
        <v>90000</v>
      </c>
      <c r="P4036" s="102" t="str">
        <f t="shared" si="2"/>
        <v>Rp30,000-3 LSN-0.00%</v>
      </c>
      <c r="Q4036" s="92">
        <v>45423.0</v>
      </c>
      <c r="R4036" s="76"/>
      <c r="S4036" s="92">
        <v>45430.0</v>
      </c>
      <c r="T4036" s="49"/>
      <c r="V4036" s="21" t="s">
        <v>338</v>
      </c>
    </row>
    <row r="4037">
      <c r="A4037" s="93">
        <v>4276.0</v>
      </c>
      <c r="B4037" s="77" t="s">
        <v>65</v>
      </c>
      <c r="C4037" s="77" t="s">
        <v>2420</v>
      </c>
      <c r="D4037" s="91"/>
      <c r="E4037" s="41" t="str">
        <f>IFERROR(__xludf.DUMMYFUNCTION("IFNA(vlookup(D4037,IMPORTRANGE(""https://docs.google.com/spreadsheets/d/1swGwZOEqYlTEUCJLY-eeJM1911Kvaei5oySBIxdgtNo/edit?pli=1#gid=257618397"",""stock untanna!B:C""),2,false),V:V)"),"GARISAN 100CM BESI")</f>
        <v>GARISAN 100CM BESI</v>
      </c>
      <c r="F4037" s="49"/>
      <c r="G4037" s="71"/>
      <c r="H4037" s="41"/>
      <c r="I4037" s="42"/>
      <c r="J4037" s="85" t="s">
        <v>3190</v>
      </c>
      <c r="K4037" s="93">
        <v>2.0</v>
      </c>
      <c r="L4037" s="112" t="s">
        <v>62</v>
      </c>
      <c r="M4037" s="113">
        <v>170000.0</v>
      </c>
      <c r="N4037" s="74"/>
      <c r="O4037" s="87">
        <f t="shared" si="11"/>
        <v>340000</v>
      </c>
      <c r="P4037" s="102" t="str">
        <f t="shared" si="2"/>
        <v>Rp170,000-2 LSN-0.00%</v>
      </c>
      <c r="Q4037" s="92">
        <v>45423.0</v>
      </c>
      <c r="R4037" s="76"/>
      <c r="S4037" s="92">
        <v>45430.0</v>
      </c>
      <c r="T4037" s="49"/>
      <c r="V4037" s="21" t="s">
        <v>3655</v>
      </c>
    </row>
    <row r="4038">
      <c r="A4038" s="93">
        <v>4276.0</v>
      </c>
      <c r="B4038" s="77" t="s">
        <v>65</v>
      </c>
      <c r="C4038" s="77" t="s">
        <v>2420</v>
      </c>
      <c r="D4038" s="77" t="s">
        <v>3656</v>
      </c>
      <c r="E4038" s="41" t="str">
        <f>IFERROR(__xludf.DUMMYFUNCTION("IFNA(vlookup(D4038,IMPORTRANGE(""https://docs.google.com/spreadsheets/d/1swGwZOEqYlTEUCJLY-eeJM1911Kvaei5oySBIxdgtNo/edit?pli=1#gid=257618397"",""stock untanna!B:C""),2,false),V:V)"),"BP DEBOZZ DB G 09")</f>
        <v>BP DEBOZZ DB G 09</v>
      </c>
      <c r="F4038" s="49"/>
      <c r="G4038" s="71"/>
      <c r="H4038" s="41"/>
      <c r="I4038" s="42"/>
      <c r="J4038" s="85" t="s">
        <v>1319</v>
      </c>
      <c r="K4038" s="93">
        <v>12.0</v>
      </c>
      <c r="L4038" s="112" t="s">
        <v>62</v>
      </c>
      <c r="M4038" s="113">
        <v>25000.0</v>
      </c>
      <c r="N4038" s="74"/>
      <c r="O4038" s="87">
        <f t="shared" si="11"/>
        <v>300000</v>
      </c>
      <c r="P4038" s="102" t="str">
        <f t="shared" si="2"/>
        <v>Rp25,000-12 LSN-0.00%</v>
      </c>
      <c r="Q4038" s="92">
        <v>45423.0</v>
      </c>
      <c r="R4038" s="76"/>
      <c r="S4038" s="92">
        <v>45430.0</v>
      </c>
      <c r="T4038" s="49"/>
      <c r="V4038" s="21" t="s">
        <v>3657</v>
      </c>
    </row>
    <row r="4039">
      <c r="A4039" s="93">
        <v>4276.0</v>
      </c>
      <c r="B4039" s="77" t="s">
        <v>65</v>
      </c>
      <c r="C4039" s="77" t="s">
        <v>2420</v>
      </c>
      <c r="D4039" s="77" t="s">
        <v>2536</v>
      </c>
      <c r="E4039" s="41" t="str">
        <f>IFERROR(__xludf.DUMMYFUNCTION("IFNA(vlookup(D4039,IMPORTRANGE(""https://docs.google.com/spreadsheets/d/1swGwZOEqYlTEUCJLY-eeJM1911Kvaei5oySBIxdgtNo/edit?pli=1#gid=257618397"",""stock untanna!B:C""),2,false),V:V)"),"BP DEBOZZ DB G 07")</f>
        <v>BP DEBOZZ DB G 07</v>
      </c>
      <c r="F4039" s="49"/>
      <c r="G4039" s="71"/>
      <c r="H4039" s="41"/>
      <c r="I4039" s="42"/>
      <c r="J4039" s="85" t="s">
        <v>1319</v>
      </c>
      <c r="K4039" s="93">
        <v>12.0</v>
      </c>
      <c r="L4039" s="112" t="s">
        <v>62</v>
      </c>
      <c r="M4039" s="113">
        <v>28000.0</v>
      </c>
      <c r="N4039" s="74"/>
      <c r="O4039" s="87">
        <f t="shared" si="11"/>
        <v>336000</v>
      </c>
      <c r="P4039" s="102" t="str">
        <f t="shared" si="2"/>
        <v>Rp28,000-12 LSN-0.00%</v>
      </c>
      <c r="Q4039" s="92">
        <v>45423.0</v>
      </c>
      <c r="R4039" s="76"/>
      <c r="S4039" s="92">
        <v>45430.0</v>
      </c>
      <c r="T4039" s="77" t="s">
        <v>280</v>
      </c>
      <c r="V4039" s="21" t="s">
        <v>2537</v>
      </c>
    </row>
    <row r="4040">
      <c r="A4040" s="93">
        <v>4276.0</v>
      </c>
      <c r="B4040" s="77" t="s">
        <v>65</v>
      </c>
      <c r="C4040" s="77" t="s">
        <v>2420</v>
      </c>
      <c r="D4040" s="77" t="s">
        <v>623</v>
      </c>
      <c r="E4040" s="41" t="str">
        <f>IFERROR(__xludf.DUMMYFUNCTION("IFNA(vlookup(D4040,IMPORTRANGE(""https://docs.google.com/spreadsheets/d/1swGwZOEqYlTEUCJLY-eeJM1911Kvaei5oySBIxdgtNo/edit?pli=1#gid=257618397"",""stock untanna!B:C""),2,false),V:V)"),"BP GEL TF-1190 0.3MM HIGHTECH (H)")</f>
        <v>BP GEL TF-1190 0.3MM HIGHTECH (H)</v>
      </c>
      <c r="F4040" s="49"/>
      <c r="G4040" s="71"/>
      <c r="H4040" s="41"/>
      <c r="I4040" s="42"/>
      <c r="J4040" s="85" t="s">
        <v>1319</v>
      </c>
      <c r="K4040" s="93">
        <v>24.0</v>
      </c>
      <c r="L4040" s="112" t="s">
        <v>62</v>
      </c>
      <c r="M4040" s="113">
        <v>28500.0</v>
      </c>
      <c r="N4040" s="74"/>
      <c r="O4040" s="87">
        <f t="shared" si="11"/>
        <v>684000</v>
      </c>
      <c r="P4040" s="102" t="str">
        <f t="shared" si="2"/>
        <v>Rp28,500-24 LSN-0.00%</v>
      </c>
      <c r="Q4040" s="92">
        <v>45423.0</v>
      </c>
      <c r="R4040" s="76"/>
      <c r="S4040" s="92">
        <v>45430.0</v>
      </c>
      <c r="T4040" s="49"/>
      <c r="V4040" s="21" t="s">
        <v>624</v>
      </c>
    </row>
    <row r="4041">
      <c r="A4041" s="93">
        <v>4276.0</v>
      </c>
      <c r="B4041" s="77" t="s">
        <v>65</v>
      </c>
      <c r="C4041" s="77" t="s">
        <v>2420</v>
      </c>
      <c r="D4041" s="77" t="s">
        <v>201</v>
      </c>
      <c r="E4041" s="41" t="str">
        <f>IFERROR(__xludf.DUMMYFUNCTION("IFNA(vlookup(D4041,IMPORTRANGE(""https://docs.google.com/spreadsheets/d/1swGwZOEqYlTEUCJLY-eeJM1911Kvaei5oySBIxdgtNo/edit?pli=1#gid=257618397"",""stock untanna!B:C""),2,false),V:V)"),"BP GEL TF-1190 0.3MM HIGHTECH (B)")</f>
        <v>BP GEL TF-1190 0.3MM HIGHTECH (B)</v>
      </c>
      <c r="F4041" s="49"/>
      <c r="G4041" s="71"/>
      <c r="H4041" s="41"/>
      <c r="I4041" s="42"/>
      <c r="J4041" s="85" t="s">
        <v>1319</v>
      </c>
      <c r="K4041" s="93">
        <v>6.0</v>
      </c>
      <c r="L4041" s="112" t="s">
        <v>62</v>
      </c>
      <c r="M4041" s="113">
        <v>28500.0</v>
      </c>
      <c r="N4041" s="74"/>
      <c r="O4041" s="87">
        <f t="shared" si="11"/>
        <v>171000</v>
      </c>
      <c r="P4041" s="102" t="str">
        <f t="shared" si="2"/>
        <v>Rp28,500-6 LSN-0.00%</v>
      </c>
      <c r="Q4041" s="92">
        <v>45423.0</v>
      </c>
      <c r="R4041" s="76"/>
      <c r="S4041" s="92">
        <v>45430.0</v>
      </c>
      <c r="T4041" s="49"/>
      <c r="V4041" s="21" t="s">
        <v>202</v>
      </c>
    </row>
    <row r="4042">
      <c r="A4042" s="93">
        <v>4276.0</v>
      </c>
      <c r="B4042" s="77" t="s">
        <v>65</v>
      </c>
      <c r="C4042" s="77" t="s">
        <v>2420</v>
      </c>
      <c r="D4042" s="77" t="s">
        <v>207</v>
      </c>
      <c r="E4042" s="41" t="str">
        <f>IFERROR(__xludf.DUMMYFUNCTION("IFNA(vlookup(D4042,IMPORTRANGE(""https://docs.google.com/spreadsheets/d/1swGwZOEqYlTEUCJLY-eeJM1911Kvaei5oySBIxdgtNo/edit?pli=1#gid=257618397"",""stock untanna!B:C""),2,false),V:V)"),"BP GEL KOALA GP-168")</f>
        <v>BP GEL KOALA GP-168</v>
      </c>
      <c r="F4042" s="49"/>
      <c r="G4042" s="71"/>
      <c r="H4042" s="41"/>
      <c r="I4042" s="42"/>
      <c r="J4042" s="85" t="s">
        <v>1319</v>
      </c>
      <c r="K4042" s="93">
        <v>12.0</v>
      </c>
      <c r="L4042" s="112" t="s">
        <v>62</v>
      </c>
      <c r="M4042" s="113">
        <v>22500.0</v>
      </c>
      <c r="N4042" s="74"/>
      <c r="O4042" s="87">
        <f t="shared" si="11"/>
        <v>270000</v>
      </c>
      <c r="P4042" s="102" t="str">
        <f t="shared" si="2"/>
        <v>Rp22,500-12 LSN-0.00%</v>
      </c>
      <c r="Q4042" s="92">
        <v>45423.0</v>
      </c>
      <c r="R4042" s="76"/>
      <c r="S4042" s="92">
        <v>45430.0</v>
      </c>
      <c r="T4042" s="49"/>
      <c r="V4042" s="21" t="s">
        <v>208</v>
      </c>
    </row>
    <row r="4043">
      <c r="A4043" s="93">
        <v>4276.0</v>
      </c>
      <c r="B4043" s="77" t="s">
        <v>65</v>
      </c>
      <c r="C4043" s="77" t="s">
        <v>2420</v>
      </c>
      <c r="D4043" s="77" t="s">
        <v>762</v>
      </c>
      <c r="E4043" s="41" t="str">
        <f>IFERROR(__xludf.DUMMYFUNCTION("IFNA(vlookup(D4043,IMPORTRANGE(""https://docs.google.com/spreadsheets/d/1swGwZOEqYlTEUCJLY-eeJM1911Kvaei5oySBIxdgtNo/edit?pli=1#gid=257618397"",""stock untanna!B:C""),2,false),V:V)"),"BP TIZO TG340 BIRU")</f>
        <v>BP TIZO TG340 BIRU</v>
      </c>
      <c r="F4043" s="49"/>
      <c r="G4043" s="71"/>
      <c r="H4043" s="41"/>
      <c r="I4043" s="42"/>
      <c r="J4043" s="85" t="s">
        <v>1319</v>
      </c>
      <c r="K4043" s="93">
        <v>6.0</v>
      </c>
      <c r="L4043" s="112" t="s">
        <v>62</v>
      </c>
      <c r="M4043" s="113">
        <v>34000.0</v>
      </c>
      <c r="N4043" s="74"/>
      <c r="O4043" s="87">
        <f t="shared" si="11"/>
        <v>204000</v>
      </c>
      <c r="P4043" s="102" t="str">
        <f t="shared" si="2"/>
        <v>Rp34,000-6 LSN-0.00%</v>
      </c>
      <c r="Q4043" s="92">
        <v>45423.0</v>
      </c>
      <c r="R4043" s="76"/>
      <c r="S4043" s="92">
        <v>45430.0</v>
      </c>
      <c r="T4043" s="49"/>
      <c r="V4043" s="21" t="s">
        <v>763</v>
      </c>
    </row>
    <row r="4044">
      <c r="A4044" s="93">
        <v>4276.0</v>
      </c>
      <c r="B4044" s="77" t="s">
        <v>65</v>
      </c>
      <c r="C4044" s="77" t="s">
        <v>2420</v>
      </c>
      <c r="D4044" s="91"/>
      <c r="E4044" s="41" t="str">
        <f>IFERROR(__xludf.DUMMYFUNCTION("IFNA(vlookup(D4044,IMPORTRANGE(""https://docs.google.com/spreadsheets/d/1swGwZOEqYlTEUCJLY-eeJM1911Kvaei5oySBIxdgtNo/edit?pli=1#gid=257618397"",""stock untanna!B:C""),2,false),V:V)"),"BP ODEMI BATIK 9933")</f>
        <v>BP ODEMI BATIK 9933</v>
      </c>
      <c r="F4044" s="49"/>
      <c r="G4044" s="71"/>
      <c r="H4044" s="41"/>
      <c r="I4044" s="42"/>
      <c r="J4044" s="85" t="s">
        <v>3190</v>
      </c>
      <c r="K4044" s="93">
        <v>12.0</v>
      </c>
      <c r="L4044" s="112" t="s">
        <v>62</v>
      </c>
      <c r="M4044" s="113">
        <v>18000.0</v>
      </c>
      <c r="N4044" s="74"/>
      <c r="O4044" s="87">
        <f t="shared" si="11"/>
        <v>216000</v>
      </c>
      <c r="P4044" s="102" t="str">
        <f t="shared" si="2"/>
        <v>Rp18,000-12 LSN-0.00%</v>
      </c>
      <c r="Q4044" s="92">
        <v>45423.0</v>
      </c>
      <c r="R4044" s="76"/>
      <c r="S4044" s="92">
        <v>45430.0</v>
      </c>
      <c r="T4044" s="49"/>
      <c r="V4044" s="21" t="s">
        <v>3658</v>
      </c>
    </row>
    <row r="4045">
      <c r="A4045" s="93">
        <v>4276.0</v>
      </c>
      <c r="B4045" s="77" t="s">
        <v>65</v>
      </c>
      <c r="C4045" s="77" t="s">
        <v>2420</v>
      </c>
      <c r="D4045" s="91"/>
      <c r="E4045" s="41" t="str">
        <f>IFERROR(__xludf.DUMMYFUNCTION("IFNA(vlookup(D4045,IMPORTRANGE(""https://docs.google.com/spreadsheets/d/1swGwZOEqYlTEUCJLY-eeJM1911Kvaei5oySBIxdgtNo/edit?pli=1#gid=257618397"",""stock untanna!B:C""),2,false),V:V)"),"BP MINI FISH 7200")</f>
        <v>BP MINI FISH 7200</v>
      </c>
      <c r="F4045" s="49"/>
      <c r="G4045" s="71"/>
      <c r="H4045" s="41"/>
      <c r="I4045" s="42"/>
      <c r="J4045" s="85" t="s">
        <v>3190</v>
      </c>
      <c r="K4045" s="93">
        <v>12.0</v>
      </c>
      <c r="L4045" s="112" t="s">
        <v>62</v>
      </c>
      <c r="M4045" s="113">
        <v>42000.0</v>
      </c>
      <c r="N4045" s="74"/>
      <c r="O4045" s="87">
        <f t="shared" si="11"/>
        <v>504000</v>
      </c>
      <c r="P4045" s="102" t="str">
        <f t="shared" si="2"/>
        <v>Rp42,000-12 LSN-0.00%</v>
      </c>
      <c r="Q4045" s="92">
        <v>45423.0</v>
      </c>
      <c r="R4045" s="76"/>
      <c r="S4045" s="92">
        <v>45430.0</v>
      </c>
      <c r="T4045" s="49"/>
      <c r="V4045" s="21" t="s">
        <v>3659</v>
      </c>
    </row>
    <row r="4046">
      <c r="A4046" s="93">
        <v>4276.0</v>
      </c>
      <c r="B4046" s="77" t="s">
        <v>65</v>
      </c>
      <c r="C4046" s="77" t="s">
        <v>2420</v>
      </c>
      <c r="D4046" s="77" t="s">
        <v>3236</v>
      </c>
      <c r="E4046" s="41" t="str">
        <f>IFERROR(__xludf.DUMMYFUNCTION("IFNA(vlookup(D4046,IMPORTRANGE(""https://docs.google.com/spreadsheets/d/1swGwZOEqYlTEUCJLY-eeJM1911Kvaei5oySBIxdgtNo/edit?pli=1#gid=257618397"",""stock untanna!B:C""),2,false),V:V)"),"BP GEL GP-801 NEW KOALA HTM")</f>
        <v>BP GEL GP-801 NEW KOALA HTM</v>
      </c>
      <c r="F4046" s="49"/>
      <c r="G4046" s="71"/>
      <c r="H4046" s="41"/>
      <c r="I4046" s="42"/>
      <c r="J4046" s="85" t="s">
        <v>1319</v>
      </c>
      <c r="K4046" s="93">
        <v>48.0</v>
      </c>
      <c r="L4046" s="112" t="s">
        <v>62</v>
      </c>
      <c r="M4046" s="113">
        <v>12500.0</v>
      </c>
      <c r="N4046" s="74"/>
      <c r="O4046" s="87">
        <f t="shared" si="11"/>
        <v>600000</v>
      </c>
      <c r="P4046" s="102" t="str">
        <f t="shared" si="2"/>
        <v>Rp12,500-48 LSN-0.00%</v>
      </c>
      <c r="Q4046" s="92">
        <v>45423.0</v>
      </c>
      <c r="R4046" s="76"/>
      <c r="S4046" s="92">
        <v>45430.0</v>
      </c>
      <c r="T4046" s="49"/>
      <c r="V4046" s="21" t="s">
        <v>3237</v>
      </c>
    </row>
    <row r="4047">
      <c r="A4047" s="93">
        <v>4276.0</v>
      </c>
      <c r="B4047" s="77" t="s">
        <v>65</v>
      </c>
      <c r="C4047" s="77" t="s">
        <v>2420</v>
      </c>
      <c r="D4047" s="77" t="s">
        <v>3238</v>
      </c>
      <c r="E4047" s="41" t="str">
        <f>IFERROR(__xludf.DUMMYFUNCTION("IFNA(vlookup(D4047,IMPORTRANGE(""https://docs.google.com/spreadsheets/d/1swGwZOEqYlTEUCJLY-eeJM1911Kvaei5oySBIxdgtNo/edit?pli=1#gid=257618397"",""stock untanna!B:C""),2,false),V:V)"),"BP GEL GP-801 NEW KOALA MRH")</f>
        <v>BP GEL GP-801 NEW KOALA MRH</v>
      </c>
      <c r="F4047" s="49"/>
      <c r="G4047" s="71"/>
      <c r="H4047" s="41"/>
      <c r="I4047" s="42"/>
      <c r="J4047" s="85" t="s">
        <v>1319</v>
      </c>
      <c r="K4047" s="93">
        <v>24.0</v>
      </c>
      <c r="L4047" s="112" t="s">
        <v>62</v>
      </c>
      <c r="M4047" s="113">
        <v>12500.0</v>
      </c>
      <c r="N4047" s="74"/>
      <c r="O4047" s="87">
        <f t="shared" si="11"/>
        <v>300000</v>
      </c>
      <c r="P4047" s="102" t="str">
        <f t="shared" si="2"/>
        <v>Rp12,500-24 LSN-0.00%</v>
      </c>
      <c r="Q4047" s="92">
        <v>45423.0</v>
      </c>
      <c r="R4047" s="76"/>
      <c r="S4047" s="92">
        <v>45430.0</v>
      </c>
      <c r="T4047" s="49"/>
      <c r="V4047" s="21" t="s">
        <v>3239</v>
      </c>
    </row>
    <row r="4048">
      <c r="A4048" s="93">
        <v>4276.0</v>
      </c>
      <c r="B4048" s="77" t="s">
        <v>65</v>
      </c>
      <c r="C4048" s="77" t="s">
        <v>2420</v>
      </c>
      <c r="D4048" s="77" t="s">
        <v>700</v>
      </c>
      <c r="E4048" s="41" t="str">
        <f>IFERROR(__xludf.DUMMYFUNCTION("IFNA(vlookup(D4048,IMPORTRANGE(""https://docs.google.com/spreadsheets/d/1swGwZOEqYlTEUCJLY-eeJM1911Kvaei5oySBIxdgtNo/edit?pli=1#gid=257618397"",""stock untanna!B:C""),2,false),V:V)"),"BP TIZO KLIK TG 3300")</f>
        <v>BP TIZO KLIK TG 3300</v>
      </c>
      <c r="F4048" s="49"/>
      <c r="G4048" s="71"/>
      <c r="H4048" s="41"/>
      <c r="I4048" s="42"/>
      <c r="J4048" s="85" t="s">
        <v>1319</v>
      </c>
      <c r="K4048" s="93">
        <v>36.0</v>
      </c>
      <c r="L4048" s="112" t="s">
        <v>62</v>
      </c>
      <c r="M4048" s="113">
        <v>26500.0</v>
      </c>
      <c r="N4048" s="74"/>
      <c r="O4048" s="87">
        <f t="shared" si="11"/>
        <v>954000</v>
      </c>
      <c r="P4048" s="102" t="str">
        <f t="shared" si="2"/>
        <v>Rp26,500-36 LSN-0.00%</v>
      </c>
      <c r="Q4048" s="92">
        <v>45423.0</v>
      </c>
      <c r="R4048" s="76"/>
      <c r="S4048" s="92">
        <v>45430.0</v>
      </c>
      <c r="T4048" s="49"/>
      <c r="V4048" s="21" t="s">
        <v>701</v>
      </c>
    </row>
    <row r="4049">
      <c r="A4049" s="93">
        <v>4276.0</v>
      </c>
      <c r="B4049" s="77" t="s">
        <v>65</v>
      </c>
      <c r="C4049" s="77" t="s">
        <v>2420</v>
      </c>
      <c r="D4049" s="77" t="s">
        <v>2538</v>
      </c>
      <c r="E4049" s="41" t="str">
        <f>IFERROR(__xludf.DUMMYFUNCTION("IFNA(vlookup(D4049,IMPORTRANGE(""https://docs.google.com/spreadsheets/d/1swGwZOEqYlTEUCJLY-eeJM1911Kvaei5oySBIxdgtNo/edit?pli=1#gid=257618397"",""stock untanna!B:C""),2,false),V:V)"),"BP GEL CS-G208")</f>
        <v>BP GEL CS-G208</v>
      </c>
      <c r="F4049" s="49"/>
      <c r="G4049" s="71"/>
      <c r="H4049" s="41"/>
      <c r="I4049" s="42"/>
      <c r="J4049" s="85" t="s">
        <v>1319</v>
      </c>
      <c r="K4049" s="93">
        <v>36.0</v>
      </c>
      <c r="L4049" s="112" t="s">
        <v>62</v>
      </c>
      <c r="M4049" s="113">
        <v>27000.0</v>
      </c>
      <c r="N4049" s="74"/>
      <c r="O4049" s="87">
        <f t="shared" si="11"/>
        <v>972000</v>
      </c>
      <c r="P4049" s="102" t="str">
        <f t="shared" si="2"/>
        <v>Rp27,000-36 LSN-0.00%</v>
      </c>
      <c r="Q4049" s="92">
        <v>45423.0</v>
      </c>
      <c r="R4049" s="76"/>
      <c r="S4049" s="92">
        <v>45430.0</v>
      </c>
      <c r="T4049" s="49"/>
      <c r="V4049" s="21" t="s">
        <v>2539</v>
      </c>
    </row>
    <row r="4050">
      <c r="A4050" s="93">
        <v>4276.0</v>
      </c>
      <c r="B4050" s="77" t="s">
        <v>65</v>
      </c>
      <c r="C4050" s="77" t="s">
        <v>2420</v>
      </c>
      <c r="D4050" s="77" t="s">
        <v>419</v>
      </c>
      <c r="E4050" s="41" t="str">
        <f>IFERROR(__xludf.DUMMYFUNCTION("IFNA(vlookup(D4050,IMPORTRANGE(""https://docs.google.com/spreadsheets/d/1swGwZOEqYlTEUCJLY-eeJM1911Kvaei5oySBIxdgtNo/edit?pli=1#gid=257618397"",""stock untanna!B:C""),2,false),V:V)"),"BP GEL ZUI XUA HY-1020 HITAM")</f>
        <v>BP GEL ZUI XUA HY-1020 HITAM</v>
      </c>
      <c r="F4050" s="49"/>
      <c r="G4050" s="71"/>
      <c r="H4050" s="41"/>
      <c r="I4050" s="42"/>
      <c r="J4050" s="85" t="s">
        <v>1319</v>
      </c>
      <c r="K4050" s="93">
        <v>36.0</v>
      </c>
      <c r="L4050" s="112" t="s">
        <v>62</v>
      </c>
      <c r="M4050" s="113">
        <v>11000.0</v>
      </c>
      <c r="N4050" s="74"/>
      <c r="O4050" s="87">
        <f t="shared" si="11"/>
        <v>396000</v>
      </c>
      <c r="P4050" s="102" t="str">
        <f t="shared" si="2"/>
        <v>Rp11,000-36 LSN-0.00%</v>
      </c>
      <c r="Q4050" s="92">
        <v>45423.0</v>
      </c>
      <c r="R4050" s="76"/>
      <c r="S4050" s="92">
        <v>45430.0</v>
      </c>
      <c r="T4050" s="49"/>
      <c r="V4050" s="21" t="s">
        <v>3281</v>
      </c>
    </row>
    <row r="4051">
      <c r="A4051" s="93">
        <v>4277.0</v>
      </c>
      <c r="B4051" s="77" t="s">
        <v>65</v>
      </c>
      <c r="C4051" s="77" t="s">
        <v>2420</v>
      </c>
      <c r="D4051" s="91"/>
      <c r="E4051" s="41" t="str">
        <f>IFERROR(__xludf.DUMMYFUNCTION("IFNA(vlookup(D4051,IMPORTRANGE(""https://docs.google.com/spreadsheets/d/1swGwZOEqYlTEUCJLY-eeJM1911Kvaei5oySBIxdgtNo/edit?pli=1#gid=257618397"",""stock untanna!B:C""),2,false),V:V)"),"BP KOALA GP 303")</f>
        <v>BP KOALA GP 303</v>
      </c>
      <c r="F4051" s="49"/>
      <c r="G4051" s="71"/>
      <c r="H4051" s="41"/>
      <c r="I4051" s="42"/>
      <c r="J4051" s="85" t="s">
        <v>3190</v>
      </c>
      <c r="K4051" s="93">
        <v>36.0</v>
      </c>
      <c r="L4051" s="112" t="s">
        <v>62</v>
      </c>
      <c r="M4051" s="113">
        <v>21000.0</v>
      </c>
      <c r="N4051" s="74"/>
      <c r="O4051" s="87">
        <f t="shared" si="11"/>
        <v>756000</v>
      </c>
      <c r="P4051" s="102" t="str">
        <f t="shared" si="2"/>
        <v>Rp21,000-36 LSN-0.00%</v>
      </c>
      <c r="Q4051" s="92">
        <v>45423.0</v>
      </c>
      <c r="R4051" s="76"/>
      <c r="S4051" s="92">
        <v>45430.0</v>
      </c>
      <c r="T4051" s="49"/>
      <c r="V4051" s="21" t="s">
        <v>3660</v>
      </c>
    </row>
    <row r="4052">
      <c r="A4052" s="93">
        <v>4277.0</v>
      </c>
      <c r="B4052" s="77" t="s">
        <v>65</v>
      </c>
      <c r="C4052" s="77" t="s">
        <v>2420</v>
      </c>
      <c r="D4052" s="77" t="s">
        <v>547</v>
      </c>
      <c r="E4052" s="41" t="str">
        <f>IFERROR(__xludf.DUMMYFUNCTION("IFNA(vlookup(D4052,IMPORTRANGE(""https://docs.google.com/spreadsheets/d/1swGwZOEqYlTEUCJLY-eeJM1911Kvaei5oySBIxdgtNo/edit?pli=1#gid=257618397"",""stock untanna!B:C""),2,false),V:V)"),"PALET 21839-12")</f>
        <v>PALET 21839-12</v>
      </c>
      <c r="F4052" s="49"/>
      <c r="G4052" s="71"/>
      <c r="H4052" s="41"/>
      <c r="I4052" s="42"/>
      <c r="J4052" s="85" t="s">
        <v>1319</v>
      </c>
      <c r="K4052" s="93">
        <v>36.0</v>
      </c>
      <c r="L4052" s="112" t="s">
        <v>69</v>
      </c>
      <c r="M4052" s="113">
        <v>2250.0</v>
      </c>
      <c r="N4052" s="74"/>
      <c r="O4052" s="87">
        <f t="shared" si="11"/>
        <v>81000</v>
      </c>
      <c r="P4052" s="102" t="str">
        <f t="shared" si="2"/>
        <v>Rp2,250-36 PCS-0.00%</v>
      </c>
      <c r="Q4052" s="92">
        <v>45423.0</v>
      </c>
      <c r="R4052" s="76"/>
      <c r="S4052" s="92">
        <v>45430.0</v>
      </c>
      <c r="T4052" s="49"/>
      <c r="V4052" s="21" t="s">
        <v>548</v>
      </c>
    </row>
    <row r="4053">
      <c r="A4053" s="93">
        <v>4277.0</v>
      </c>
      <c r="B4053" s="77" t="s">
        <v>65</v>
      </c>
      <c r="C4053" s="77" t="s">
        <v>2420</v>
      </c>
      <c r="D4053" s="77" t="s">
        <v>1450</v>
      </c>
      <c r="E4053" s="41" t="str">
        <f>IFERROR(__xludf.DUMMYFUNCTION("IFNA(vlookup(D4053,IMPORTRANGE(""https://docs.google.com/spreadsheets/d/1swGwZOEqYlTEUCJLY-eeJM1911Kvaei5oySBIxdgtNo/edit?pli=1#gid=257618397"",""stock untanna!B:C""),2,false),V:V)"),"PALET APEL")</f>
        <v>PALET APEL</v>
      </c>
      <c r="F4053" s="49"/>
      <c r="G4053" s="71"/>
      <c r="H4053" s="41"/>
      <c r="I4053" s="42"/>
      <c r="J4053" s="85" t="s">
        <v>1319</v>
      </c>
      <c r="K4053" s="93">
        <v>5.0</v>
      </c>
      <c r="L4053" s="112" t="s">
        <v>62</v>
      </c>
      <c r="M4053" s="113">
        <v>11000.0</v>
      </c>
      <c r="N4053" s="74"/>
      <c r="O4053" s="87">
        <f t="shared" si="11"/>
        <v>55000</v>
      </c>
      <c r="P4053" s="102" t="str">
        <f t="shared" si="2"/>
        <v>Rp11,000-5 LSN-0.00%</v>
      </c>
      <c r="Q4053" s="92">
        <v>45423.0</v>
      </c>
      <c r="R4053" s="76"/>
      <c r="S4053" s="92">
        <v>45430.0</v>
      </c>
      <c r="T4053" s="49"/>
      <c r="V4053" s="21" t="s">
        <v>1451</v>
      </c>
    </row>
    <row r="4054">
      <c r="A4054" s="93">
        <v>4277.0</v>
      </c>
      <c r="B4054" s="77" t="s">
        <v>65</v>
      </c>
      <c r="C4054" s="77" t="s">
        <v>2420</v>
      </c>
      <c r="D4054" s="77" t="s">
        <v>1448</v>
      </c>
      <c r="E4054" s="41" t="str">
        <f>IFERROR(__xludf.DUMMYFUNCTION("IFNA(vlookup(D4054,IMPORTRANGE(""https://docs.google.com/spreadsheets/d/1swGwZOEqYlTEUCJLY-eeJM1911Kvaei5oySBIxdgtNo/edit?pli=1#gid=257618397"",""stock untanna!B:C""),2,false),V:V)"),"PALET ANGGUR")</f>
        <v>PALET ANGGUR</v>
      </c>
      <c r="F4054" s="49"/>
      <c r="G4054" s="71"/>
      <c r="H4054" s="41"/>
      <c r="I4054" s="42"/>
      <c r="J4054" s="85" t="s">
        <v>1319</v>
      </c>
      <c r="K4054" s="93">
        <v>5.0</v>
      </c>
      <c r="L4054" s="112" t="s">
        <v>62</v>
      </c>
      <c r="M4054" s="113">
        <v>11000.0</v>
      </c>
      <c r="N4054" s="74"/>
      <c r="O4054" s="87">
        <f t="shared" si="11"/>
        <v>55000</v>
      </c>
      <c r="P4054" s="102" t="str">
        <f t="shared" si="2"/>
        <v>Rp11,000-5 LSN-0.00%</v>
      </c>
      <c r="Q4054" s="92">
        <v>45423.0</v>
      </c>
      <c r="R4054" s="76"/>
      <c r="S4054" s="92">
        <v>45430.0</v>
      </c>
      <c r="T4054" s="49"/>
      <c r="V4054" s="21" t="s">
        <v>1449</v>
      </c>
    </row>
    <row r="4055">
      <c r="A4055" s="93">
        <v>4277.0</v>
      </c>
      <c r="B4055" s="77" t="s">
        <v>65</v>
      </c>
      <c r="C4055" s="77" t="s">
        <v>2420</v>
      </c>
      <c r="D4055" s="77" t="s">
        <v>3661</v>
      </c>
      <c r="E4055" s="41" t="str">
        <f>IFERROR(__xludf.DUMMYFUNCTION("IFNA(vlookup(D4055,IMPORTRANGE(""https://docs.google.com/spreadsheets/d/1swGwZOEqYlTEUCJLY-eeJM1911Kvaei5oySBIxdgtNo/edit?pli=1#gid=257618397"",""stock untanna!B:C""),2,false),V:V)"),"STUDY BOARD XG-106")</f>
        <v>STUDY BOARD XG-106</v>
      </c>
      <c r="F4055" s="49"/>
      <c r="G4055" s="71"/>
      <c r="H4055" s="41"/>
      <c r="I4055" s="42"/>
      <c r="J4055" s="85" t="s">
        <v>1319</v>
      </c>
      <c r="K4055" s="93">
        <v>60.0</v>
      </c>
      <c r="L4055" s="112" t="s">
        <v>69</v>
      </c>
      <c r="M4055" s="113">
        <v>17500.0</v>
      </c>
      <c r="N4055" s="74"/>
      <c r="O4055" s="87">
        <f t="shared" si="11"/>
        <v>1050000</v>
      </c>
      <c r="P4055" s="102" t="str">
        <f t="shared" si="2"/>
        <v>Rp17,500-60 PCS-0.00%</v>
      </c>
      <c r="Q4055" s="92">
        <v>45423.0</v>
      </c>
      <c r="R4055" s="76"/>
      <c r="S4055" s="92">
        <v>45430.0</v>
      </c>
      <c r="T4055" s="49"/>
      <c r="V4055" s="21" t="s">
        <v>3662</v>
      </c>
    </row>
    <row r="4056">
      <c r="A4056" s="93">
        <v>4277.0</v>
      </c>
      <c r="B4056" s="77" t="s">
        <v>65</v>
      </c>
      <c r="C4056" s="77" t="s">
        <v>2420</v>
      </c>
      <c r="D4056" s="77" t="s">
        <v>505</v>
      </c>
      <c r="E4056" s="41" t="str">
        <f>IFERROR(__xludf.DUMMYFUNCTION("IFNA(vlookup(D4056,IMPORTRANGE(""https://docs.google.com/spreadsheets/d/1swGwZOEqYlTEUCJLY-eeJM1911Kvaei5oySBIxdgtNo/edit?pli=1#gid=257618397"",""stock untanna!B:C""),2,false),V:V)"),"CUTTER TACO 88 BESAR")</f>
        <v>CUTTER TACO 88 BESAR</v>
      </c>
      <c r="F4056" s="49"/>
      <c r="G4056" s="71"/>
      <c r="H4056" s="41"/>
      <c r="I4056" s="42"/>
      <c r="J4056" s="85" t="s">
        <v>1319</v>
      </c>
      <c r="K4056" s="93">
        <v>3.0</v>
      </c>
      <c r="L4056" s="112" t="s">
        <v>62</v>
      </c>
      <c r="M4056" s="113">
        <v>33000.0</v>
      </c>
      <c r="N4056" s="74"/>
      <c r="O4056" s="87">
        <f t="shared" si="11"/>
        <v>99000</v>
      </c>
      <c r="P4056" s="102" t="str">
        <f t="shared" si="2"/>
        <v>Rp33,000-3 LSN-0.00%</v>
      </c>
      <c r="Q4056" s="92">
        <v>45423.0</v>
      </c>
      <c r="R4056" s="76"/>
      <c r="S4056" s="92">
        <v>45430.0</v>
      </c>
      <c r="T4056" s="49"/>
      <c r="V4056" s="21" t="s">
        <v>506</v>
      </c>
    </row>
    <row r="4057">
      <c r="A4057" s="93">
        <v>4277.0</v>
      </c>
      <c r="B4057" s="77" t="s">
        <v>65</v>
      </c>
      <c r="C4057" s="77" t="s">
        <v>2420</v>
      </c>
      <c r="D4057" s="77" t="s">
        <v>503</v>
      </c>
      <c r="E4057" s="41" t="str">
        <f>IFERROR(__xludf.DUMMYFUNCTION("IFNA(vlookup(D4057,IMPORTRANGE(""https://docs.google.com/spreadsheets/d/1swGwZOEqYlTEUCJLY-eeJM1911Kvaei5oySBIxdgtNo/edit?pli=1#gid=257618397"",""stock untanna!B:C""),2,false),V:V)"),"CUTTER TACO 78 KECIL TRANSPARAN")</f>
        <v>CUTTER TACO 78 KECIL TRANSPARAN</v>
      </c>
      <c r="F4057" s="49"/>
      <c r="G4057" s="71"/>
      <c r="H4057" s="41"/>
      <c r="I4057" s="42"/>
      <c r="J4057" s="85" t="s">
        <v>1319</v>
      </c>
      <c r="K4057" s="93">
        <v>3.0</v>
      </c>
      <c r="L4057" s="112" t="s">
        <v>62</v>
      </c>
      <c r="M4057" s="113">
        <v>23000.0</v>
      </c>
      <c r="N4057" s="74"/>
      <c r="O4057" s="87">
        <f t="shared" si="11"/>
        <v>69000</v>
      </c>
      <c r="P4057" s="102" t="str">
        <f t="shared" si="2"/>
        <v>Rp23,000-3 LSN-0.00%</v>
      </c>
      <c r="Q4057" s="92">
        <v>45423.0</v>
      </c>
      <c r="R4057" s="76"/>
      <c r="S4057" s="92">
        <v>45430.0</v>
      </c>
      <c r="T4057" s="49"/>
      <c r="V4057" s="21" t="s">
        <v>504</v>
      </c>
    </row>
    <row r="4058">
      <c r="A4058" s="93">
        <v>4277.0</v>
      </c>
      <c r="B4058" s="77" t="s">
        <v>65</v>
      </c>
      <c r="C4058" s="77" t="s">
        <v>2420</v>
      </c>
      <c r="D4058" s="91"/>
      <c r="E4058" s="41" t="str">
        <f>IFERROR(__xludf.DUMMYFUNCTION("IFNA(vlookup(D4058,IMPORTRANGE(""https://docs.google.com/spreadsheets/d/1swGwZOEqYlTEUCJLY-eeJM1911Kvaei5oySBIxdgtNo/edit?pli=1#gid=257618397"",""stock untanna!B:C""),2,false),V:V)"),"GLITTER RENTENG EMAS")</f>
        <v>GLITTER RENTENG EMAS</v>
      </c>
      <c r="F4058" s="49"/>
      <c r="G4058" s="71"/>
      <c r="H4058" s="41"/>
      <c r="I4058" s="42"/>
      <c r="J4058" s="85" t="s">
        <v>3190</v>
      </c>
      <c r="K4058" s="93">
        <v>2.0</v>
      </c>
      <c r="L4058" s="112" t="s">
        <v>3663</v>
      </c>
      <c r="M4058" s="113">
        <v>18000.0</v>
      </c>
      <c r="N4058" s="74"/>
      <c r="O4058" s="87">
        <f t="shared" si="11"/>
        <v>36000</v>
      </c>
      <c r="P4058" s="102" t="str">
        <f t="shared" si="2"/>
        <v>Rp18,000-2 RENT-0.00%</v>
      </c>
      <c r="Q4058" s="92">
        <v>45423.0</v>
      </c>
      <c r="R4058" s="76"/>
      <c r="S4058" s="92">
        <v>45430.0</v>
      </c>
      <c r="T4058" s="49"/>
      <c r="V4058" s="21" t="s">
        <v>3664</v>
      </c>
    </row>
    <row r="4059">
      <c r="A4059" s="93">
        <v>4277.0</v>
      </c>
      <c r="B4059" s="77" t="s">
        <v>65</v>
      </c>
      <c r="C4059" s="77" t="s">
        <v>2420</v>
      </c>
      <c r="D4059" s="91"/>
      <c r="E4059" s="41" t="str">
        <f>IFERROR(__xludf.DUMMYFUNCTION("IFNA(vlookup(D4059,IMPORTRANGE(""https://docs.google.com/spreadsheets/d/1swGwZOEqYlTEUCJLY-eeJM1911Kvaei5oySBIxdgtNo/edit?pli=1#gid=257618397"",""stock untanna!B:C""),2,false),V:V)"),"GLITTER RENTENG SILVER")</f>
        <v>GLITTER RENTENG SILVER</v>
      </c>
      <c r="F4059" s="49"/>
      <c r="G4059" s="71"/>
      <c r="H4059" s="41"/>
      <c r="I4059" s="42"/>
      <c r="J4059" s="85" t="s">
        <v>3190</v>
      </c>
      <c r="K4059" s="93">
        <v>2.0</v>
      </c>
      <c r="L4059" s="112" t="s">
        <v>3663</v>
      </c>
      <c r="M4059" s="113">
        <v>18000.0</v>
      </c>
      <c r="N4059" s="74"/>
      <c r="O4059" s="87">
        <f t="shared" si="11"/>
        <v>36000</v>
      </c>
      <c r="P4059" s="102" t="str">
        <f t="shared" si="2"/>
        <v>Rp18,000-2 RENT-0.00%</v>
      </c>
      <c r="Q4059" s="92">
        <v>45423.0</v>
      </c>
      <c r="R4059" s="76"/>
      <c r="S4059" s="92">
        <v>45430.0</v>
      </c>
      <c r="T4059" s="49"/>
      <c r="V4059" s="21" t="s">
        <v>3665</v>
      </c>
    </row>
    <row r="4060">
      <c r="A4060" s="93">
        <v>4277.0</v>
      </c>
      <c r="B4060" s="77" t="s">
        <v>65</v>
      </c>
      <c r="C4060" s="77" t="s">
        <v>2420</v>
      </c>
      <c r="D4060" s="77" t="s">
        <v>615</v>
      </c>
      <c r="E4060" s="41" t="str">
        <f>IFERROR(__xludf.DUMMYFUNCTION("IFNA(vlookup(D4060,IMPORTRANGE(""https://docs.google.com/spreadsheets/d/1swGwZOEqYlTEUCJLY-eeJM1911Kvaei5oySBIxdgtNo/edit?pli=1#gid=257618397"",""stock untanna!B:C""),2,false),V:V)"),"GLITTER GF-88")</f>
        <v>GLITTER GF-88</v>
      </c>
      <c r="F4060" s="49"/>
      <c r="G4060" s="71"/>
      <c r="H4060" s="41"/>
      <c r="I4060" s="42"/>
      <c r="J4060" s="85" t="s">
        <v>1319</v>
      </c>
      <c r="K4060" s="93">
        <v>2.0</v>
      </c>
      <c r="L4060" s="112" t="s">
        <v>3663</v>
      </c>
      <c r="M4060" s="113">
        <v>18000.0</v>
      </c>
      <c r="N4060" s="74"/>
      <c r="O4060" s="87">
        <f t="shared" si="11"/>
        <v>36000</v>
      </c>
      <c r="P4060" s="102" t="str">
        <f t="shared" si="2"/>
        <v>Rp18,000-2 RENT-0.00%</v>
      </c>
      <c r="Q4060" s="92">
        <v>45423.0</v>
      </c>
      <c r="R4060" s="76"/>
      <c r="S4060" s="92">
        <v>45430.0</v>
      </c>
      <c r="T4060" s="77" t="s">
        <v>100</v>
      </c>
      <c r="V4060" s="21" t="s">
        <v>616</v>
      </c>
    </row>
    <row r="4061">
      <c r="A4061" s="93">
        <v>4277.0</v>
      </c>
      <c r="B4061" s="77" t="s">
        <v>65</v>
      </c>
      <c r="C4061" s="77" t="s">
        <v>2420</v>
      </c>
      <c r="D4061" s="91"/>
      <c r="E4061" s="41" t="str">
        <f>IFERROR(__xludf.DUMMYFUNCTION("IFNA(vlookup(D4061,IMPORTRANGE(""https://docs.google.com/spreadsheets/d/1swGwZOEqYlTEUCJLY-eeJM1911Kvaei5oySBIxdgtNo/edit?pli=1#gid=257618397"",""stock untanna!B:C""),2,false),V:V)"),"GLITTER Y-01")</f>
        <v>GLITTER Y-01</v>
      </c>
      <c r="F4061" s="49"/>
      <c r="G4061" s="71"/>
      <c r="H4061" s="41"/>
      <c r="I4061" s="42"/>
      <c r="J4061" s="85" t="s">
        <v>1319</v>
      </c>
      <c r="K4061" s="93">
        <v>2.0</v>
      </c>
      <c r="L4061" s="112" t="s">
        <v>3663</v>
      </c>
      <c r="M4061" s="113">
        <v>18000.0</v>
      </c>
      <c r="N4061" s="74"/>
      <c r="O4061" s="87">
        <f t="shared" si="11"/>
        <v>36000</v>
      </c>
      <c r="P4061" s="102" t="str">
        <f t="shared" si="2"/>
        <v>Rp18,000-2 RENT-0.00%</v>
      </c>
      <c r="Q4061" s="92">
        <v>45423.0</v>
      </c>
      <c r="R4061" s="76"/>
      <c r="S4061" s="92">
        <v>45430.0</v>
      </c>
      <c r="T4061" s="77" t="s">
        <v>280</v>
      </c>
      <c r="V4061" s="21" t="s">
        <v>617</v>
      </c>
    </row>
    <row r="4062">
      <c r="A4062" s="93">
        <v>4277.0</v>
      </c>
      <c r="B4062" s="77" t="s">
        <v>65</v>
      </c>
      <c r="C4062" s="77" t="s">
        <v>2420</v>
      </c>
      <c r="D4062" s="91"/>
      <c r="E4062" s="41" t="str">
        <f>IFERROR(__xludf.DUMMYFUNCTION("IFNA(vlookup(D4062,IMPORTRANGE(""https://docs.google.com/spreadsheets/d/1swGwZOEqYlTEUCJLY-eeJM1911Kvaei5oySBIxdgtNo/edit?pli=1#gid=257618397"",""stock untanna!B:C""),2,false),V:V)"),"GLITTER Y-02")</f>
        <v>GLITTER Y-02</v>
      </c>
      <c r="F4062" s="49"/>
      <c r="G4062" s="71"/>
      <c r="H4062" s="41"/>
      <c r="I4062" s="42"/>
      <c r="J4062" s="85" t="s">
        <v>1319</v>
      </c>
      <c r="K4062" s="93">
        <v>2.0</v>
      </c>
      <c r="L4062" s="112" t="s">
        <v>3663</v>
      </c>
      <c r="M4062" s="113">
        <v>18000.0</v>
      </c>
      <c r="N4062" s="74"/>
      <c r="O4062" s="87">
        <f t="shared" si="11"/>
        <v>36000</v>
      </c>
      <c r="P4062" s="102" t="str">
        <f t="shared" si="2"/>
        <v>Rp18,000-2 RENT-0.00%</v>
      </c>
      <c r="Q4062" s="92">
        <v>45423.0</v>
      </c>
      <c r="R4062" s="76"/>
      <c r="S4062" s="92">
        <v>45430.0</v>
      </c>
      <c r="T4062" s="77" t="s">
        <v>280</v>
      </c>
      <c r="V4062" s="21" t="s">
        <v>618</v>
      </c>
    </row>
    <row r="4063">
      <c r="A4063" s="93">
        <v>4277.0</v>
      </c>
      <c r="B4063" s="77" t="s">
        <v>65</v>
      </c>
      <c r="C4063" s="77" t="s">
        <v>2420</v>
      </c>
      <c r="D4063" s="91"/>
      <c r="E4063" s="41" t="str">
        <f>IFERROR(__xludf.DUMMYFUNCTION("IFNA(vlookup(D4063,IMPORTRANGE(""https://docs.google.com/spreadsheets/d/1swGwZOEqYlTEUCJLY-eeJM1911Kvaei5oySBIxdgtNo/edit?pli=1#gid=257618397"",""stock untanna!B:C""),2,false),V:V)"),"GLITTER Y-03")</f>
        <v>GLITTER Y-03</v>
      </c>
      <c r="F4063" s="49"/>
      <c r="G4063" s="71"/>
      <c r="H4063" s="41"/>
      <c r="I4063" s="42"/>
      <c r="J4063" s="85" t="s">
        <v>1319</v>
      </c>
      <c r="K4063" s="93">
        <v>2.0</v>
      </c>
      <c r="L4063" s="112" t="s">
        <v>3663</v>
      </c>
      <c r="M4063" s="113">
        <v>18000.0</v>
      </c>
      <c r="N4063" s="74"/>
      <c r="O4063" s="87">
        <f t="shared" si="11"/>
        <v>36000</v>
      </c>
      <c r="P4063" s="102" t="str">
        <f t="shared" si="2"/>
        <v>Rp18,000-2 RENT-0.00%</v>
      </c>
      <c r="Q4063" s="92">
        <v>45423.0</v>
      </c>
      <c r="R4063" s="76"/>
      <c r="S4063" s="92">
        <v>45430.0</v>
      </c>
      <c r="T4063" s="77" t="s">
        <v>280</v>
      </c>
      <c r="V4063" s="21" t="s">
        <v>619</v>
      </c>
    </row>
    <row r="4064">
      <c r="A4064" s="93">
        <v>4277.0</v>
      </c>
      <c r="B4064" s="77" t="s">
        <v>65</v>
      </c>
      <c r="C4064" s="77" t="s">
        <v>2420</v>
      </c>
      <c r="D4064" s="91"/>
      <c r="E4064" s="41" t="str">
        <f>IFERROR(__xludf.DUMMYFUNCTION("IFNA(vlookup(D4064,IMPORTRANGE(""https://docs.google.com/spreadsheets/d/1swGwZOEqYlTEUCJLY-eeJM1911Kvaei5oySBIxdgtNo/edit?pli=1#gid=257618397"",""stock untanna!B:C""),2,false),V:V)"),"GLITTER Y-04")</f>
        <v>GLITTER Y-04</v>
      </c>
      <c r="F4064" s="49"/>
      <c r="G4064" s="71"/>
      <c r="H4064" s="41"/>
      <c r="I4064" s="42"/>
      <c r="J4064" s="85" t="s">
        <v>1319</v>
      </c>
      <c r="K4064" s="93">
        <v>2.0</v>
      </c>
      <c r="L4064" s="112" t="s">
        <v>3663</v>
      </c>
      <c r="M4064" s="113">
        <v>18000.0</v>
      </c>
      <c r="N4064" s="74"/>
      <c r="O4064" s="87">
        <f t="shared" si="11"/>
        <v>36000</v>
      </c>
      <c r="P4064" s="102" t="str">
        <f t="shared" si="2"/>
        <v>Rp18,000-2 RENT-0.00%</v>
      </c>
      <c r="Q4064" s="92">
        <v>45423.0</v>
      </c>
      <c r="R4064" s="76"/>
      <c r="S4064" s="92">
        <v>45430.0</v>
      </c>
      <c r="T4064" s="77" t="s">
        <v>280</v>
      </c>
      <c r="V4064" s="21" t="s">
        <v>620</v>
      </c>
    </row>
    <row r="4065">
      <c r="A4065" s="93">
        <v>4277.0</v>
      </c>
      <c r="B4065" s="77" t="s">
        <v>65</v>
      </c>
      <c r="C4065" s="77" t="s">
        <v>2420</v>
      </c>
      <c r="D4065" s="77" t="s">
        <v>1755</v>
      </c>
      <c r="E4065" s="41" t="str">
        <f>IFERROR(__xludf.DUMMYFUNCTION("IFNA(vlookup(D4065,IMPORTRANGE(""https://docs.google.com/spreadsheets/d/1swGwZOEqYlTEUCJLY-eeJM1911Kvaei5oySBIxdgtNo/edit?pli=1#gid=257618397"",""stock untanna!B:C""),2,false),V:V)"),"DISPENSER KENJOY 25")</f>
        <v>DISPENSER KENJOY 25</v>
      </c>
      <c r="F4065" s="49"/>
      <c r="G4065" s="71"/>
      <c r="H4065" s="41"/>
      <c r="I4065" s="42"/>
      <c r="J4065" s="85" t="s">
        <v>1319</v>
      </c>
      <c r="K4065" s="93">
        <v>36.0</v>
      </c>
      <c r="L4065" s="112" t="s">
        <v>69</v>
      </c>
      <c r="M4065" s="113">
        <v>7000.0</v>
      </c>
      <c r="N4065" s="74"/>
      <c r="O4065" s="87">
        <f t="shared" si="11"/>
        <v>252000</v>
      </c>
      <c r="P4065" s="102" t="str">
        <f t="shared" si="2"/>
        <v>Rp7,000-36 PCS-0.00%</v>
      </c>
      <c r="Q4065" s="92">
        <v>45423.0</v>
      </c>
      <c r="R4065" s="76"/>
      <c r="S4065" s="92">
        <v>45430.0</v>
      </c>
      <c r="T4065" s="49"/>
      <c r="V4065" s="21" t="s">
        <v>1756</v>
      </c>
    </row>
    <row r="4066">
      <c r="A4066" s="93">
        <v>4277.0</v>
      </c>
      <c r="B4066" s="77" t="s">
        <v>65</v>
      </c>
      <c r="C4066" s="77" t="s">
        <v>2420</v>
      </c>
      <c r="D4066" s="91"/>
      <c r="E4066" s="41" t="str">
        <f>IFERROR(__xludf.DUMMYFUNCTION("IFNA(vlookup(D4066,IMPORTRANGE(""https://docs.google.com/spreadsheets/d/1swGwZOEqYlTEUCJLY-eeJM1911Kvaei5oySBIxdgtNo/edit?pli=1#gid=257618397"",""stock untanna!B:C""),2,false),V:V)"),"CAT ACRYLIC MARIES ISI 8")</f>
        <v>CAT ACRYLIC MARIES ISI 8</v>
      </c>
      <c r="F4066" s="49"/>
      <c r="G4066" s="71"/>
      <c r="H4066" s="41"/>
      <c r="I4066" s="42"/>
      <c r="J4066" s="85" t="s">
        <v>3190</v>
      </c>
      <c r="K4066" s="93">
        <v>1.0</v>
      </c>
      <c r="L4066" s="112" t="s">
        <v>62</v>
      </c>
      <c r="M4066" s="113">
        <v>675000.0</v>
      </c>
      <c r="N4066" s="74"/>
      <c r="O4066" s="87">
        <f t="shared" si="11"/>
        <v>675000</v>
      </c>
      <c r="P4066" s="102" t="str">
        <f t="shared" si="2"/>
        <v>Rp675,000-1 LSN-0.00%</v>
      </c>
      <c r="Q4066" s="92">
        <v>45423.0</v>
      </c>
      <c r="R4066" s="76"/>
      <c r="S4066" s="92">
        <v>45430.0</v>
      </c>
      <c r="T4066" s="49"/>
      <c r="V4066" s="21" t="s">
        <v>3666</v>
      </c>
    </row>
    <row r="4067">
      <c r="A4067" s="93">
        <v>4278.0</v>
      </c>
      <c r="B4067" s="77" t="s">
        <v>65</v>
      </c>
      <c r="C4067" s="77" t="s">
        <v>2420</v>
      </c>
      <c r="D4067" s="77" t="s">
        <v>1432</v>
      </c>
      <c r="E4067" s="41" t="str">
        <f>IFERROR(__xludf.DUMMYFUNCTION("IFNA(vlookup(D4067,IMPORTRANGE(""https://docs.google.com/spreadsheets/d/1swGwZOEqYlTEUCJLY-eeJM1911Kvaei5oySBIxdgtNo/edit?pli=1#gid=257618397"",""stock untanna!B:C""),2,false),V:V)"),"ISI PENSIL 2B 2.0 DB-IMP062")</f>
        <v>ISI PENSIL 2B 2.0 DB-IMP062</v>
      </c>
      <c r="F4067" s="49"/>
      <c r="G4067" s="71"/>
      <c r="H4067" s="41"/>
      <c r="I4067" s="42"/>
      <c r="J4067" s="85" t="s">
        <v>1319</v>
      </c>
      <c r="K4067" s="93">
        <v>2.0</v>
      </c>
      <c r="L4067" s="112" t="s">
        <v>62</v>
      </c>
      <c r="M4067" s="113">
        <v>15000.0</v>
      </c>
      <c r="N4067" s="74"/>
      <c r="O4067" s="87">
        <f t="shared" si="11"/>
        <v>30000</v>
      </c>
      <c r="P4067" s="102" t="str">
        <f t="shared" si="2"/>
        <v>Rp15,000-2 LSN-0.00%</v>
      </c>
      <c r="Q4067" s="92">
        <v>45423.0</v>
      </c>
      <c r="R4067" s="76"/>
      <c r="S4067" s="92">
        <v>45430.0</v>
      </c>
      <c r="T4067" s="49"/>
      <c r="V4067" s="21" t="s">
        <v>3667</v>
      </c>
    </row>
    <row r="4068">
      <c r="A4068" s="93">
        <v>4278.0</v>
      </c>
      <c r="B4068" s="77" t="s">
        <v>65</v>
      </c>
      <c r="C4068" s="77" t="s">
        <v>2420</v>
      </c>
      <c r="D4068" s="91"/>
      <c r="E4068" s="41" t="str">
        <f>IFERROR(__xludf.DUMMYFUNCTION("IFNA(vlookup(D4068,IMPORTRANGE(""https://docs.google.com/spreadsheets/d/1swGwZOEqYlTEUCJLY-eeJM1911Kvaei5oySBIxdgtNo/edit?pli=1#gid=257618397"",""stock untanna!B:C""),2,false),V:V)"),"CLIP BOARD TRIFELO MIS")</f>
        <v>CLIP BOARD TRIFELO MIS</v>
      </c>
      <c r="F4068" s="49"/>
      <c r="G4068" s="71"/>
      <c r="H4068" s="41"/>
      <c r="I4068" s="42"/>
      <c r="J4068" s="85" t="s">
        <v>3190</v>
      </c>
      <c r="K4068" s="93">
        <v>8.0</v>
      </c>
      <c r="L4068" s="112" t="s">
        <v>62</v>
      </c>
      <c r="M4068" s="113">
        <v>198000.0</v>
      </c>
      <c r="N4068" s="74"/>
      <c r="O4068" s="87">
        <f t="shared" si="11"/>
        <v>1584000</v>
      </c>
      <c r="P4068" s="102" t="str">
        <f t="shared" si="2"/>
        <v>Rp198,000-8 LSN-0.00%</v>
      </c>
      <c r="Q4068" s="92">
        <v>45423.0</v>
      </c>
      <c r="R4068" s="76"/>
      <c r="S4068" s="92">
        <v>45430.0</v>
      </c>
      <c r="T4068" s="49"/>
      <c r="V4068" s="21" t="s">
        <v>3668</v>
      </c>
    </row>
    <row r="4069">
      <c r="A4069" s="93">
        <v>4378.0</v>
      </c>
      <c r="B4069" s="77" t="s">
        <v>58</v>
      </c>
      <c r="C4069" s="77" t="s">
        <v>1338</v>
      </c>
      <c r="D4069" s="91"/>
      <c r="E4069" s="41" t="str">
        <f>IFERROR(__xludf.DUMMYFUNCTION("IFNA(vlookup(D4069,IMPORTRANGE(""https://docs.google.com/spreadsheets/d/1swGwZOEqYlTEUCJLY-eeJM1911Kvaei5oySBIxdgtNo/edit?pli=1#gid=257618397"",""stock untanna!B:C""),2,false),V:V)"),"GEL ZHIXIN K-15")</f>
        <v>GEL ZHIXIN K-15</v>
      </c>
      <c r="F4069" s="49"/>
      <c r="G4069" s="71"/>
      <c r="H4069" s="41"/>
      <c r="I4069" s="42"/>
      <c r="J4069" s="85" t="s">
        <v>3190</v>
      </c>
      <c r="K4069" s="93">
        <v>20.0</v>
      </c>
      <c r="L4069" s="112" t="s">
        <v>62</v>
      </c>
      <c r="M4069" s="113">
        <v>22500.0</v>
      </c>
      <c r="N4069" s="74"/>
      <c r="O4069" s="87">
        <f t="shared" si="11"/>
        <v>450000</v>
      </c>
      <c r="P4069" s="102" t="str">
        <f t="shared" si="2"/>
        <v>Rp22,500-20 LSN-0.00%</v>
      </c>
      <c r="Q4069" s="92">
        <v>45423.0</v>
      </c>
      <c r="R4069" s="76"/>
      <c r="S4069" s="92">
        <v>45432.0</v>
      </c>
      <c r="T4069" s="49"/>
      <c r="V4069" s="21" t="s">
        <v>3669</v>
      </c>
    </row>
    <row r="4070">
      <c r="A4070" s="93">
        <v>4378.0</v>
      </c>
      <c r="B4070" s="77" t="s">
        <v>58</v>
      </c>
      <c r="C4070" s="77" t="s">
        <v>1338</v>
      </c>
      <c r="D4070" s="77" t="s">
        <v>995</v>
      </c>
      <c r="E4070" s="41" t="str">
        <f>IFERROR(__xludf.DUMMYFUNCTION("IFNA(vlookup(D4070,IMPORTRANGE(""https://docs.google.com/spreadsheets/d/1swGwZOEqYlTEUCJLY-eeJM1911Kvaei5oySBIxdgtNo/edit?pli=1#gid=257618397"",""stock untanna!B:C""),2,false),V:V)"),"BP GEL ZHIXIN G 5025")</f>
        <v>BP GEL ZHIXIN G 5025</v>
      </c>
      <c r="F4070" s="49"/>
      <c r="G4070" s="71"/>
      <c r="H4070" s="41"/>
      <c r="I4070" s="42"/>
      <c r="J4070" s="85" t="s">
        <v>1319</v>
      </c>
      <c r="K4070" s="93">
        <v>48.0</v>
      </c>
      <c r="L4070" s="112" t="s">
        <v>62</v>
      </c>
      <c r="M4070" s="113">
        <v>18500.0</v>
      </c>
      <c r="N4070" s="74"/>
      <c r="O4070" s="87">
        <f t="shared" si="11"/>
        <v>888000</v>
      </c>
      <c r="P4070" s="102" t="str">
        <f t="shared" si="2"/>
        <v>Rp18,500-48 LSN-0.00%</v>
      </c>
      <c r="Q4070" s="92">
        <v>45423.0</v>
      </c>
      <c r="R4070" s="76"/>
      <c r="S4070" s="92">
        <v>45432.0</v>
      </c>
      <c r="T4070" s="49"/>
      <c r="V4070" s="21" t="s">
        <v>996</v>
      </c>
    </row>
    <row r="4071">
      <c r="A4071" s="93">
        <v>4378.0</v>
      </c>
      <c r="B4071" s="77" t="s">
        <v>58</v>
      </c>
      <c r="C4071" s="77" t="s">
        <v>1338</v>
      </c>
      <c r="D4071" s="77" t="s">
        <v>2446</v>
      </c>
      <c r="E4071" s="41" t="str">
        <f>IFERROR(__xludf.DUMMYFUNCTION("IFNA(vlookup(D4071,IMPORTRANGE(""https://docs.google.com/spreadsheets/d/1swGwZOEqYlTEUCJLY-eeJM1911Kvaei5oySBIxdgtNo/edit?pli=1#gid=257618397"",""stock untanna!B:C""),2,false),V:V)"),"BP GEL TIZO TG31220")</f>
        <v>BP GEL TIZO TG31220</v>
      </c>
      <c r="F4071" s="49"/>
      <c r="G4071" s="71"/>
      <c r="H4071" s="41"/>
      <c r="I4071" s="42"/>
      <c r="J4071" s="85" t="s">
        <v>1319</v>
      </c>
      <c r="K4071" s="93">
        <v>17.0</v>
      </c>
      <c r="L4071" s="112" t="s">
        <v>62</v>
      </c>
      <c r="M4071" s="113">
        <v>18500.0</v>
      </c>
      <c r="N4071" s="74"/>
      <c r="O4071" s="87">
        <f t="shared" si="11"/>
        <v>314500</v>
      </c>
      <c r="P4071" s="102" t="str">
        <f t="shared" si="2"/>
        <v>Rp18,500-17 LSN-0.00%</v>
      </c>
      <c r="Q4071" s="92">
        <v>45423.0</v>
      </c>
      <c r="R4071" s="76"/>
      <c r="S4071" s="92">
        <v>45432.0</v>
      </c>
      <c r="T4071" s="49"/>
      <c r="V4071" s="21" t="s">
        <v>2447</v>
      </c>
    </row>
    <row r="4072">
      <c r="A4072" s="93">
        <v>4378.0</v>
      </c>
      <c r="B4072" s="77" t="s">
        <v>58</v>
      </c>
      <c r="C4072" s="77" t="s">
        <v>1338</v>
      </c>
      <c r="D4072" s="77" t="s">
        <v>1364</v>
      </c>
      <c r="E4072" s="41" t="str">
        <f>IFERROR(__xludf.DUMMYFUNCTION("IFNA(vlookup(D4072,IMPORTRANGE(""https://docs.google.com/spreadsheets/d/1swGwZOEqYlTEUCJLY-eeJM1911Kvaei5oySBIxdgtNo/edit?pli=1#gid=257618397"",""stock untanna!B:C""),2,false),V:V)"),"BP GEL ZHIXIN G 3164")</f>
        <v>BP GEL ZHIXIN G 3164</v>
      </c>
      <c r="F4072" s="49"/>
      <c r="G4072" s="71"/>
      <c r="H4072" s="41"/>
      <c r="I4072" s="42"/>
      <c r="J4072" s="85" t="s">
        <v>1319</v>
      </c>
      <c r="K4072" s="93">
        <v>14.0</v>
      </c>
      <c r="L4072" s="112" t="s">
        <v>62</v>
      </c>
      <c r="M4072" s="113">
        <v>18500.0</v>
      </c>
      <c r="N4072" s="74"/>
      <c r="O4072" s="87">
        <f t="shared" si="11"/>
        <v>259000</v>
      </c>
      <c r="P4072" s="102" t="str">
        <f t="shared" si="2"/>
        <v>Rp18,500-14 LSN-0.00%</v>
      </c>
      <c r="Q4072" s="92">
        <v>45423.0</v>
      </c>
      <c r="R4072" s="76"/>
      <c r="S4072" s="92">
        <v>45432.0</v>
      </c>
      <c r="T4072" s="49"/>
      <c r="V4072" s="21" t="s">
        <v>1365</v>
      </c>
    </row>
    <row r="4073">
      <c r="A4073" s="93">
        <v>4378.0</v>
      </c>
      <c r="B4073" s="77" t="s">
        <v>58</v>
      </c>
      <c r="C4073" s="77" t="s">
        <v>1338</v>
      </c>
      <c r="D4073" s="77" t="s">
        <v>1378</v>
      </c>
      <c r="E4073" s="41" t="str">
        <f>IFERROR(__xludf.DUMMYFUNCTION("IFNA(vlookup(D4073,IMPORTRANGE(""https://docs.google.com/spreadsheets/d/1swGwZOEqYlTEUCJLY-eeJM1911Kvaei5oySBIxdgtNo/edit?pli=1#gid=257618397"",""stock untanna!B:C""),2,false),V:V)"),"ASAHAN TOPLES KITTY R-5842")</f>
        <v>ASAHAN TOPLES KITTY R-5842</v>
      </c>
      <c r="F4073" s="49"/>
      <c r="G4073" s="71"/>
      <c r="H4073" s="41"/>
      <c r="I4073" s="42"/>
      <c r="J4073" s="85" t="s">
        <v>1319</v>
      </c>
      <c r="K4073" s="93">
        <v>2.0</v>
      </c>
      <c r="L4073" s="112" t="s">
        <v>1380</v>
      </c>
      <c r="M4073" s="113">
        <v>67500.0</v>
      </c>
      <c r="N4073" s="74"/>
      <c r="O4073" s="87">
        <f t="shared" si="11"/>
        <v>135000</v>
      </c>
      <c r="P4073" s="102" t="str">
        <f t="shared" si="2"/>
        <v>Rp67,500-2 TOP-0.00%</v>
      </c>
      <c r="Q4073" s="92">
        <v>45423.0</v>
      </c>
      <c r="R4073" s="76"/>
      <c r="S4073" s="92">
        <v>45432.0</v>
      </c>
      <c r="T4073" s="49"/>
      <c r="V4073" s="21" t="s">
        <v>1379</v>
      </c>
    </row>
    <row r="4074">
      <c r="A4074" s="93">
        <v>4378.0</v>
      </c>
      <c r="B4074" s="77" t="s">
        <v>58</v>
      </c>
      <c r="C4074" s="77" t="s">
        <v>1338</v>
      </c>
      <c r="D4074" s="77" t="s">
        <v>1088</v>
      </c>
      <c r="E4074" s="41" t="str">
        <f>IFERROR(__xludf.DUMMYFUNCTION("IFNA(vlookup(D4074,IMPORTRANGE(""https://docs.google.com/spreadsheets/d/1swGwZOEqYlTEUCJLY-eeJM1911Kvaei5oySBIxdgtNo/edit?pli=1#gid=257618397"",""stock untanna!B:C""),2,false),V:V)"),"ASAHAN TOPLES GOLDEN (24)")</f>
        <v>ASAHAN TOPLES GOLDEN (24)</v>
      </c>
      <c r="F4074" s="49"/>
      <c r="G4074" s="71"/>
      <c r="H4074" s="41"/>
      <c r="I4074" s="42"/>
      <c r="J4074" s="85" t="s">
        <v>1319</v>
      </c>
      <c r="K4074" s="93">
        <v>144.0</v>
      </c>
      <c r="L4074" s="112" t="s">
        <v>88</v>
      </c>
      <c r="M4074" s="113">
        <v>12000.0</v>
      </c>
      <c r="N4074" s="74"/>
      <c r="O4074" s="87">
        <f t="shared" si="11"/>
        <v>1728000</v>
      </c>
      <c r="P4074" s="102" t="str">
        <f t="shared" si="2"/>
        <v>Rp12,000-144 BOX-0.00%</v>
      </c>
      <c r="Q4074" s="92">
        <v>45423.0</v>
      </c>
      <c r="R4074" s="76"/>
      <c r="S4074" s="92">
        <v>45432.0</v>
      </c>
      <c r="T4074" s="49"/>
      <c r="V4074" s="21" t="s">
        <v>1089</v>
      </c>
    </row>
    <row r="4075">
      <c r="A4075" s="93">
        <v>162.0</v>
      </c>
      <c r="B4075" s="77" t="s">
        <v>29</v>
      </c>
      <c r="C4075" s="77" t="s">
        <v>3670</v>
      </c>
      <c r="D4075" s="77" t="s">
        <v>419</v>
      </c>
      <c r="E4075" s="41" t="str">
        <f>IFERROR(__xludf.DUMMYFUNCTION("IFNA(vlookup(D4075,IMPORTRANGE(""https://docs.google.com/spreadsheets/d/1swGwZOEqYlTEUCJLY-eeJM1911Kvaei5oySBIxdgtNo/edit?pli=1#gid=257618397"",""stock untanna!B:C""),2,false),V:V)"),"BP GEL ZUI XUA HY-1020 HITAM")</f>
        <v>BP GEL ZUI XUA HY-1020 HITAM</v>
      </c>
      <c r="F4075" s="49"/>
      <c r="G4075" s="71"/>
      <c r="H4075" s="41"/>
      <c r="I4075" s="42"/>
      <c r="J4075" s="85" t="s">
        <v>1319</v>
      </c>
      <c r="K4075" s="93">
        <v>192.0</v>
      </c>
      <c r="L4075" s="112" t="s">
        <v>62</v>
      </c>
      <c r="M4075" s="113">
        <v>13500.0</v>
      </c>
      <c r="N4075" s="74"/>
      <c r="O4075" s="87">
        <f t="shared" si="11"/>
        <v>2592000</v>
      </c>
      <c r="P4075" s="102" t="str">
        <f t="shared" si="2"/>
        <v>Rp13,500-192 LSN-0.00%</v>
      </c>
      <c r="Q4075" s="92">
        <v>45423.0</v>
      </c>
      <c r="R4075" s="114">
        <v>45419.0</v>
      </c>
      <c r="S4075" s="92">
        <v>45432.0</v>
      </c>
      <c r="T4075" s="49"/>
      <c r="V4075" s="21" t="s">
        <v>3281</v>
      </c>
    </row>
    <row r="4076">
      <c r="A4076" s="93">
        <v>162.0</v>
      </c>
      <c r="B4076" s="77" t="s">
        <v>29</v>
      </c>
      <c r="C4076" s="77" t="s">
        <v>3670</v>
      </c>
      <c r="D4076" s="91"/>
      <c r="E4076" s="41" t="str">
        <f>IFERROR(__xludf.DUMMYFUNCTION("IFNA(vlookup(D4076,IMPORTRANGE(""https://docs.google.com/spreadsheets/d/1swGwZOEqYlTEUCJLY-eeJM1911Kvaei5oySBIxdgtNo/edit?pli=1#gid=257618397"",""stock untanna!B:C""),2,false),V:V)"),"MALAM Y4 KG TG 1 WARNA")</f>
        <v>MALAM Y4 KG TG 1 WARNA</v>
      </c>
      <c r="F4076" s="49"/>
      <c r="G4076" s="71"/>
      <c r="H4076" s="41"/>
      <c r="I4076" s="42"/>
      <c r="J4076" s="85" t="s">
        <v>3190</v>
      </c>
      <c r="K4076" s="93">
        <v>210.0</v>
      </c>
      <c r="L4076" s="112" t="s">
        <v>69</v>
      </c>
      <c r="M4076" s="113">
        <v>4750.0</v>
      </c>
      <c r="N4076" s="74"/>
      <c r="O4076" s="87">
        <f t="shared" si="11"/>
        <v>997500</v>
      </c>
      <c r="P4076" s="102" t="str">
        <f t="shared" si="2"/>
        <v>Rp4,750-210 PCS-0.00%</v>
      </c>
      <c r="Q4076" s="92">
        <v>45423.0</v>
      </c>
      <c r="R4076" s="114">
        <v>45419.0</v>
      </c>
      <c r="S4076" s="92">
        <v>45432.0</v>
      </c>
      <c r="T4076" s="49"/>
      <c r="V4076" s="21" t="s">
        <v>3671</v>
      </c>
    </row>
    <row r="4077">
      <c r="A4077" s="93">
        <v>162.0</v>
      </c>
      <c r="B4077" s="77" t="s">
        <v>29</v>
      </c>
      <c r="C4077" s="77" t="s">
        <v>3670</v>
      </c>
      <c r="D4077" s="77" t="s">
        <v>3672</v>
      </c>
      <c r="E4077" s="41" t="str">
        <f>IFERROR(__xludf.DUMMYFUNCTION("IFNA(vlookup(D4077,IMPORTRANGE(""https://docs.google.com/spreadsheets/d/1swGwZOEqYlTEUCJLY-eeJM1911Kvaei5oySBIxdgtNo/edit?pli=1#gid=257618397"",""stock untanna!B:C""),2,false),V:V)"),"BP GEL ZHIXIN G 3128")</f>
        <v>BP GEL ZHIXIN G 3128</v>
      </c>
      <c r="F4077" s="49"/>
      <c r="G4077" s="71"/>
      <c r="H4077" s="41"/>
      <c r="I4077" s="42"/>
      <c r="J4077" s="85" t="s">
        <v>1319</v>
      </c>
      <c r="K4077" s="93">
        <v>24.0</v>
      </c>
      <c r="L4077" s="112" t="s">
        <v>62</v>
      </c>
      <c r="M4077" s="113">
        <v>18500.0</v>
      </c>
      <c r="N4077" s="74"/>
      <c r="O4077" s="87">
        <f t="shared" si="11"/>
        <v>444000</v>
      </c>
      <c r="P4077" s="102" t="str">
        <f t="shared" si="2"/>
        <v>Rp18,500-24 LSN-0.00%</v>
      </c>
      <c r="Q4077" s="92">
        <v>45423.0</v>
      </c>
      <c r="R4077" s="114">
        <v>45423.0</v>
      </c>
      <c r="S4077" s="92">
        <v>45432.0</v>
      </c>
      <c r="T4077" s="77" t="s">
        <v>280</v>
      </c>
      <c r="V4077" s="21" t="s">
        <v>3673</v>
      </c>
    </row>
    <row r="4078">
      <c r="A4078" s="93">
        <v>162.0</v>
      </c>
      <c r="B4078" s="77" t="s">
        <v>29</v>
      </c>
      <c r="C4078" s="77" t="s">
        <v>3670</v>
      </c>
      <c r="D4078" s="77" t="s">
        <v>3674</v>
      </c>
      <c r="E4078" s="41" t="str">
        <f>IFERROR(__xludf.DUMMYFUNCTION("IFNA(vlookup(D4078,IMPORTRANGE(""https://docs.google.com/spreadsheets/d/1swGwZOEqYlTEUCJLY-eeJM1911Kvaei5oySBIxdgtNo/edit?pli=1#gid=257618397"",""stock untanna!B:C""),2,false),V:V)"),"BP GEL ZHIXIN G 3156")</f>
        <v>BP GEL ZHIXIN G 3156</v>
      </c>
      <c r="F4078" s="49"/>
      <c r="G4078" s="71"/>
      <c r="H4078" s="41"/>
      <c r="I4078" s="42"/>
      <c r="J4078" s="85" t="s">
        <v>1319</v>
      </c>
      <c r="K4078" s="93">
        <v>36.0</v>
      </c>
      <c r="L4078" s="112" t="s">
        <v>62</v>
      </c>
      <c r="M4078" s="113">
        <v>18500.0</v>
      </c>
      <c r="N4078" s="74"/>
      <c r="O4078" s="87">
        <f t="shared" si="11"/>
        <v>666000</v>
      </c>
      <c r="P4078" s="102" t="str">
        <f t="shared" si="2"/>
        <v>Rp18,500-36 LSN-0.00%</v>
      </c>
      <c r="Q4078" s="92">
        <v>45423.0</v>
      </c>
      <c r="R4078" s="114">
        <v>45423.0</v>
      </c>
      <c r="S4078" s="92">
        <v>45432.0</v>
      </c>
      <c r="T4078" s="49"/>
      <c r="V4078" s="21" t="s">
        <v>3675</v>
      </c>
    </row>
    <row r="4079">
      <c r="A4079" s="93">
        <v>162.0</v>
      </c>
      <c r="B4079" s="77" t="s">
        <v>29</v>
      </c>
      <c r="C4079" s="77" t="s">
        <v>3670</v>
      </c>
      <c r="D4079" s="77" t="s">
        <v>1364</v>
      </c>
      <c r="E4079" s="41" t="str">
        <f>IFERROR(__xludf.DUMMYFUNCTION("IFNA(vlookup(D4079,IMPORTRANGE(""https://docs.google.com/spreadsheets/d/1swGwZOEqYlTEUCJLY-eeJM1911Kvaei5oySBIxdgtNo/edit?pli=1#gid=257618397"",""stock untanna!B:C""),2,false),V:V)"),"BP GEL ZHIXIN G 3164")</f>
        <v>BP GEL ZHIXIN G 3164</v>
      </c>
      <c r="F4079" s="49"/>
      <c r="G4079" s="71"/>
      <c r="H4079" s="41"/>
      <c r="I4079" s="42"/>
      <c r="J4079" s="85" t="s">
        <v>1319</v>
      </c>
      <c r="K4079" s="93">
        <v>12.0</v>
      </c>
      <c r="L4079" s="112" t="s">
        <v>62</v>
      </c>
      <c r="M4079" s="113">
        <v>18500.0</v>
      </c>
      <c r="N4079" s="74"/>
      <c r="O4079" s="87">
        <f t="shared" si="11"/>
        <v>222000</v>
      </c>
      <c r="P4079" s="102" t="str">
        <f t="shared" si="2"/>
        <v>Rp18,500-12 LSN-0.00%</v>
      </c>
      <c r="Q4079" s="92">
        <v>45423.0</v>
      </c>
      <c r="R4079" s="114">
        <v>45423.0</v>
      </c>
      <c r="S4079" s="92">
        <v>45432.0</v>
      </c>
      <c r="T4079" s="49"/>
      <c r="V4079" s="21" t="s">
        <v>1365</v>
      </c>
    </row>
    <row r="4080">
      <c r="A4080" s="93">
        <v>162.0</v>
      </c>
      <c r="B4080" s="77" t="s">
        <v>29</v>
      </c>
      <c r="C4080" s="77" t="s">
        <v>3670</v>
      </c>
      <c r="D4080" s="91"/>
      <c r="E4080" s="41" t="str">
        <f>IFERROR(__xludf.DUMMYFUNCTION("IFNA(vlookup(D4080,IMPORTRANGE(""https://docs.google.com/spreadsheets/d/1swGwZOEqYlTEUCJLY-eeJM1911Kvaei5oySBIxdgtNo/edit?pli=1#gid=257618397"",""stock untanna!B:C""),2,false),V:V)"),"BP GEL ZHIXIN G 3165")</f>
        <v>BP GEL ZHIXIN G 3165</v>
      </c>
      <c r="F4080" s="49"/>
      <c r="G4080" s="71"/>
      <c r="H4080" s="41"/>
      <c r="I4080" s="42"/>
      <c r="J4080" s="85" t="s">
        <v>3190</v>
      </c>
      <c r="K4080" s="93">
        <v>12.0</v>
      </c>
      <c r="L4080" s="112" t="s">
        <v>62</v>
      </c>
      <c r="M4080" s="113">
        <v>18500.0</v>
      </c>
      <c r="N4080" s="74"/>
      <c r="O4080" s="87">
        <f t="shared" si="11"/>
        <v>222000</v>
      </c>
      <c r="P4080" s="102" t="str">
        <f t="shared" si="2"/>
        <v>Rp18,500-12 LSN-0.00%</v>
      </c>
      <c r="Q4080" s="92">
        <v>45423.0</v>
      </c>
      <c r="R4080" s="114">
        <v>45423.0</v>
      </c>
      <c r="S4080" s="92">
        <v>45432.0</v>
      </c>
      <c r="T4080" s="49"/>
      <c r="V4080" s="21" t="s">
        <v>3676</v>
      </c>
    </row>
    <row r="4081">
      <c r="A4081" s="93">
        <v>162.0</v>
      </c>
      <c r="B4081" s="77" t="s">
        <v>29</v>
      </c>
      <c r="C4081" s="77" t="s">
        <v>3670</v>
      </c>
      <c r="D4081" s="91"/>
      <c r="E4081" s="41" t="str">
        <f>IFERROR(__xludf.DUMMYFUNCTION("IFNA(vlookup(D4081,IMPORTRANGE(""https://docs.google.com/spreadsheets/d/1swGwZOEqYlTEUCJLY-eeJM1911Kvaei5oySBIxdgtNo/edit?pli=1#gid=257618397"",""stock untanna!B:C""),2,false),V:V)"),"BP GEL ZHIXIN G 3162")</f>
        <v>BP GEL ZHIXIN G 3162</v>
      </c>
      <c r="F4081" s="49"/>
      <c r="G4081" s="71"/>
      <c r="H4081" s="41"/>
      <c r="I4081" s="42"/>
      <c r="J4081" s="85" t="s">
        <v>3190</v>
      </c>
      <c r="K4081" s="93">
        <v>12.0</v>
      </c>
      <c r="L4081" s="112" t="s">
        <v>62</v>
      </c>
      <c r="M4081" s="113">
        <v>18500.0</v>
      </c>
      <c r="N4081" s="74"/>
      <c r="O4081" s="87">
        <f t="shared" si="11"/>
        <v>222000</v>
      </c>
      <c r="P4081" s="102" t="str">
        <f t="shared" si="2"/>
        <v>Rp18,500-12 LSN-0.00%</v>
      </c>
      <c r="Q4081" s="92">
        <v>45423.0</v>
      </c>
      <c r="R4081" s="114">
        <v>45423.0</v>
      </c>
      <c r="S4081" s="92">
        <v>45432.0</v>
      </c>
      <c r="T4081" s="49"/>
      <c r="V4081" s="21" t="s">
        <v>2283</v>
      </c>
    </row>
    <row r="4082">
      <c r="A4082" s="93">
        <v>162.0</v>
      </c>
      <c r="B4082" s="77" t="s">
        <v>29</v>
      </c>
      <c r="C4082" s="77" t="s">
        <v>3670</v>
      </c>
      <c r="D4082" s="77" t="s">
        <v>995</v>
      </c>
      <c r="E4082" s="41" t="str">
        <f>IFERROR(__xludf.DUMMYFUNCTION("IFNA(vlookup(D4082,IMPORTRANGE(""https://docs.google.com/spreadsheets/d/1swGwZOEqYlTEUCJLY-eeJM1911Kvaei5oySBIxdgtNo/edit?pli=1#gid=257618397"",""stock untanna!B:C""),2,false),V:V)"),"BP GEL ZHIXIN G 5025")</f>
        <v>BP GEL ZHIXIN G 5025</v>
      </c>
      <c r="F4082" s="49"/>
      <c r="G4082" s="71"/>
      <c r="H4082" s="41"/>
      <c r="I4082" s="42"/>
      <c r="J4082" s="85" t="s">
        <v>1319</v>
      </c>
      <c r="K4082" s="93">
        <v>12.0</v>
      </c>
      <c r="L4082" s="112" t="s">
        <v>62</v>
      </c>
      <c r="M4082" s="113">
        <v>18500.0</v>
      </c>
      <c r="N4082" s="74"/>
      <c r="O4082" s="87">
        <f t="shared" si="11"/>
        <v>222000</v>
      </c>
      <c r="P4082" s="102" t="str">
        <f t="shared" si="2"/>
        <v>Rp18,500-12 LSN-0.00%</v>
      </c>
      <c r="Q4082" s="92">
        <v>45423.0</v>
      </c>
      <c r="R4082" s="114">
        <v>45423.0</v>
      </c>
      <c r="S4082" s="92">
        <v>45432.0</v>
      </c>
      <c r="T4082" s="49"/>
      <c r="V4082" s="21" t="s">
        <v>996</v>
      </c>
    </row>
    <row r="4083">
      <c r="A4083" s="93">
        <v>162.0</v>
      </c>
      <c r="B4083" s="77" t="s">
        <v>29</v>
      </c>
      <c r="C4083" s="77" t="s">
        <v>3670</v>
      </c>
      <c r="D4083" s="91"/>
      <c r="E4083" s="41" t="str">
        <f>IFERROR(__xludf.DUMMYFUNCTION("IFNA(vlookup(D4083,IMPORTRANGE(""https://docs.google.com/spreadsheets/d/1swGwZOEqYlTEUCJLY-eeJM1911Kvaei5oySBIxdgtNo/edit?pli=1#gid=257618397"",""stock untanna!B:C""),2,false),V:V)"),"BP GEL ZHIXIN G 3167")</f>
        <v>BP GEL ZHIXIN G 3167</v>
      </c>
      <c r="F4083" s="49"/>
      <c r="G4083" s="71"/>
      <c r="H4083" s="41"/>
      <c r="I4083" s="42"/>
      <c r="J4083" s="85" t="s">
        <v>3190</v>
      </c>
      <c r="K4083" s="93">
        <v>12.0</v>
      </c>
      <c r="L4083" s="112" t="s">
        <v>62</v>
      </c>
      <c r="M4083" s="113">
        <v>18500.0</v>
      </c>
      <c r="N4083" s="74"/>
      <c r="O4083" s="87">
        <f t="shared" si="11"/>
        <v>222000</v>
      </c>
      <c r="P4083" s="102" t="str">
        <f t="shared" si="2"/>
        <v>Rp18,500-12 LSN-0.00%</v>
      </c>
      <c r="Q4083" s="92">
        <v>45423.0</v>
      </c>
      <c r="R4083" s="114">
        <v>45423.0</v>
      </c>
      <c r="S4083" s="92">
        <v>45432.0</v>
      </c>
      <c r="T4083" s="49"/>
      <c r="V4083" s="21" t="s">
        <v>3677</v>
      </c>
    </row>
    <row r="4084">
      <c r="A4084" s="93">
        <v>81.0</v>
      </c>
      <c r="B4084" s="77" t="s">
        <v>65</v>
      </c>
      <c r="C4084" s="77" t="s">
        <v>3678</v>
      </c>
      <c r="D4084" s="91"/>
      <c r="E4084" s="41" t="str">
        <f>IFERROR(__xludf.DUMMYFUNCTION("IFNA(vlookup(D4084,IMPORTRANGE(""https://docs.google.com/spreadsheets/d/1swGwZOEqYlTEUCJLY-eeJM1911Kvaei5oySBIxdgtNo/edit?pli=1#gid=257618397"",""stock untanna!B:C""),2,false),V:V)"),"BP TIZO TG 31142 F")</f>
        <v>BP TIZO TG 31142 F</v>
      </c>
      <c r="F4084" s="49"/>
      <c r="G4084" s="71"/>
      <c r="H4084" s="41"/>
      <c r="I4084" s="42"/>
      <c r="J4084" s="85" t="s">
        <v>3190</v>
      </c>
      <c r="K4084" s="93">
        <v>24.0</v>
      </c>
      <c r="L4084" s="112" t="s">
        <v>62</v>
      </c>
      <c r="M4084" s="113">
        <v>18000.0</v>
      </c>
      <c r="N4084" s="74"/>
      <c r="O4084" s="87">
        <f t="shared" si="11"/>
        <v>432000</v>
      </c>
      <c r="P4084" s="102" t="str">
        <f t="shared" si="2"/>
        <v>Rp18,000-24 LSN-0.00%</v>
      </c>
      <c r="Q4084" s="92">
        <v>45423.0</v>
      </c>
      <c r="R4084" s="76"/>
      <c r="S4084" s="92">
        <v>45432.0</v>
      </c>
      <c r="T4084" s="49"/>
      <c r="V4084" s="21" t="s">
        <v>3679</v>
      </c>
    </row>
    <row r="4085">
      <c r="A4085" s="93">
        <v>81.0</v>
      </c>
      <c r="B4085" s="77" t="s">
        <v>65</v>
      </c>
      <c r="C4085" s="77" t="s">
        <v>3678</v>
      </c>
      <c r="D4085" s="77" t="s">
        <v>639</v>
      </c>
      <c r="E4085" s="41" t="str">
        <f>IFERROR(__xludf.DUMMYFUNCTION("IFNA(vlookup(D4085,IMPORTRANGE(""https://docs.google.com/spreadsheets/d/1swGwZOEqYlTEUCJLY-eeJM1911Kvaei5oySBIxdgtNo/edit?pli=1#gid=257618397"",""stock untanna!B:C""),2,false),V:V)"),"BP GEL TIZO 31035F FANCY")</f>
        <v>BP GEL TIZO 31035F FANCY</v>
      </c>
      <c r="F4085" s="49"/>
      <c r="G4085" s="71"/>
      <c r="H4085" s="41"/>
      <c r="I4085" s="42"/>
      <c r="J4085" s="85" t="s">
        <v>1319</v>
      </c>
      <c r="K4085" s="93">
        <v>24.0</v>
      </c>
      <c r="L4085" s="112" t="s">
        <v>62</v>
      </c>
      <c r="M4085" s="113">
        <v>18000.0</v>
      </c>
      <c r="N4085" s="74"/>
      <c r="O4085" s="87">
        <f t="shared" si="11"/>
        <v>432000</v>
      </c>
      <c r="P4085" s="102" t="str">
        <f t="shared" si="2"/>
        <v>Rp18,000-24 LSN-0.00%</v>
      </c>
      <c r="Q4085" s="92">
        <v>45423.0</v>
      </c>
      <c r="R4085" s="76"/>
      <c r="S4085" s="92">
        <v>45432.0</v>
      </c>
      <c r="T4085" s="49"/>
      <c r="V4085" s="21" t="s">
        <v>640</v>
      </c>
    </row>
    <row r="4086">
      <c r="A4086" s="93">
        <v>81.0</v>
      </c>
      <c r="B4086" s="77" t="s">
        <v>65</v>
      </c>
      <c r="C4086" s="77" t="s">
        <v>3678</v>
      </c>
      <c r="D4086" s="77" t="s">
        <v>635</v>
      </c>
      <c r="E4086" s="41" t="str">
        <f>IFERROR(__xludf.DUMMYFUNCTION("IFNA(vlookup(D4086,IMPORTRANGE(""https://docs.google.com/spreadsheets/d/1swGwZOEqYlTEUCJLY-eeJM1911Kvaei5oySBIxdgtNo/edit?pli=1#gid=257618397"",""stock untanna!B:C""),2,false),V:V)"),"BP GEL TIZO 31763F FANCY")</f>
        <v>BP GEL TIZO 31763F FANCY</v>
      </c>
      <c r="F4086" s="49"/>
      <c r="G4086" s="71"/>
      <c r="H4086" s="41"/>
      <c r="I4086" s="42"/>
      <c r="J4086" s="85" t="s">
        <v>1319</v>
      </c>
      <c r="K4086" s="93">
        <v>24.0</v>
      </c>
      <c r="L4086" s="112" t="s">
        <v>62</v>
      </c>
      <c r="M4086" s="113">
        <v>18000.0</v>
      </c>
      <c r="N4086" s="74"/>
      <c r="O4086" s="87">
        <f t="shared" si="11"/>
        <v>432000</v>
      </c>
      <c r="P4086" s="102" t="str">
        <f t="shared" si="2"/>
        <v>Rp18,000-24 LSN-0.00%</v>
      </c>
      <c r="Q4086" s="92">
        <v>45423.0</v>
      </c>
      <c r="R4086" s="76"/>
      <c r="S4086" s="92">
        <v>45432.0</v>
      </c>
      <c r="T4086" s="49"/>
      <c r="V4086" s="21" t="s">
        <v>636</v>
      </c>
    </row>
    <row r="4087">
      <c r="A4087" s="93">
        <v>81.0</v>
      </c>
      <c r="B4087" s="77" t="s">
        <v>65</v>
      </c>
      <c r="C4087" s="77" t="s">
        <v>3678</v>
      </c>
      <c r="D4087" s="91"/>
      <c r="E4087" s="41" t="str">
        <f>IFERROR(__xludf.DUMMYFUNCTION("IFNA(vlookup(D4087,IMPORTRANGE(""https://docs.google.com/spreadsheets/d/1swGwZOEqYlTEUCJLY-eeJM1911Kvaei5oySBIxdgtNo/edit?pli=1#gid=257618397"",""stock untanna!B:C""),2,false),V:V)"),"BP TIZO TG 31142 F")</f>
        <v>BP TIZO TG 31142 F</v>
      </c>
      <c r="F4087" s="49"/>
      <c r="G4087" s="71"/>
      <c r="H4087" s="41"/>
      <c r="I4087" s="42"/>
      <c r="J4087" s="85" t="s">
        <v>3190</v>
      </c>
      <c r="K4087" s="93">
        <v>24.0</v>
      </c>
      <c r="L4087" s="112" t="s">
        <v>62</v>
      </c>
      <c r="M4087" s="113">
        <v>18000.0</v>
      </c>
      <c r="N4087" s="74"/>
      <c r="O4087" s="87">
        <f t="shared" si="11"/>
        <v>432000</v>
      </c>
      <c r="P4087" s="102" t="str">
        <f t="shared" si="2"/>
        <v>Rp18,000-24 LSN-0.00%</v>
      </c>
      <c r="Q4087" s="92">
        <v>45423.0</v>
      </c>
      <c r="R4087" s="76"/>
      <c r="S4087" s="92">
        <v>45432.0</v>
      </c>
      <c r="T4087" s="49"/>
      <c r="V4087" s="21" t="s">
        <v>3679</v>
      </c>
    </row>
    <row r="4088">
      <c r="A4088" s="93">
        <v>81.0</v>
      </c>
      <c r="B4088" s="77" t="s">
        <v>65</v>
      </c>
      <c r="C4088" s="77" t="s">
        <v>3678</v>
      </c>
      <c r="D4088" s="77" t="s">
        <v>2251</v>
      </c>
      <c r="E4088" s="41" t="str">
        <f>IFERROR(__xludf.DUMMYFUNCTION("IFNA(vlookup(D4088,IMPORTRANGE(""https://docs.google.com/spreadsheets/d/1swGwZOEqYlTEUCJLY-eeJM1911Kvaei5oySBIxdgtNo/edit?pli=1#gid=257618397"",""stock untanna!B:C""),2,false),V:V)"),"BP TIZO TG 30802F S3 FANCY")</f>
        <v>BP TIZO TG 30802F S3 FANCY</v>
      </c>
      <c r="F4088" s="49"/>
      <c r="G4088" s="71"/>
      <c r="H4088" s="41"/>
      <c r="I4088" s="42"/>
      <c r="J4088" s="85" t="s">
        <v>1319</v>
      </c>
      <c r="K4088" s="93">
        <v>24.0</v>
      </c>
      <c r="L4088" s="112" t="s">
        <v>62</v>
      </c>
      <c r="M4088" s="113">
        <v>18000.0</v>
      </c>
      <c r="N4088" s="74"/>
      <c r="O4088" s="87">
        <f t="shared" si="11"/>
        <v>432000</v>
      </c>
      <c r="P4088" s="102" t="str">
        <f t="shared" si="2"/>
        <v>Rp18,000-24 LSN-0.00%</v>
      </c>
      <c r="Q4088" s="92">
        <v>45423.0</v>
      </c>
      <c r="R4088" s="76"/>
      <c r="S4088" s="92">
        <v>45432.0</v>
      </c>
      <c r="T4088" s="49"/>
      <c r="V4088" s="21" t="s">
        <v>2252</v>
      </c>
    </row>
    <row r="4089">
      <c r="A4089" s="93">
        <v>81.0</v>
      </c>
      <c r="B4089" s="77" t="s">
        <v>65</v>
      </c>
      <c r="C4089" s="77" t="s">
        <v>3678</v>
      </c>
      <c r="D4089" s="77" t="s">
        <v>835</v>
      </c>
      <c r="E4089" s="41" t="str">
        <f>IFERROR(__xludf.DUMMYFUNCTION("IFNA(vlookup(D4089,IMPORTRANGE(""https://docs.google.com/spreadsheets/d/1swGwZOEqYlTEUCJLY-eeJM1911Kvaei5oySBIxdgtNo/edit?pli=1#gid=257618397"",""stock untanna!B:C""),2,false),V:V)"),"MEKANIK PENSIL 2.0 TIZO TM01800")</f>
        <v>MEKANIK PENSIL 2.0 TIZO TM01800</v>
      </c>
      <c r="F4089" s="49"/>
      <c r="G4089" s="71"/>
      <c r="H4089" s="41"/>
      <c r="I4089" s="42"/>
      <c r="J4089" s="85" t="s">
        <v>1319</v>
      </c>
      <c r="K4089" s="93">
        <v>2.0</v>
      </c>
      <c r="L4089" s="112" t="s">
        <v>62</v>
      </c>
      <c r="M4089" s="113">
        <v>32000.0</v>
      </c>
      <c r="N4089" s="74"/>
      <c r="O4089" s="87">
        <f t="shared" si="11"/>
        <v>64000</v>
      </c>
      <c r="P4089" s="102" t="str">
        <f t="shared" si="2"/>
        <v>Rp32,000-2 LSN-0.00%</v>
      </c>
      <c r="Q4089" s="92">
        <v>45423.0</v>
      </c>
      <c r="R4089" s="76"/>
      <c r="S4089" s="92">
        <v>45432.0</v>
      </c>
      <c r="T4089" s="49"/>
      <c r="V4089" s="21" t="s">
        <v>836</v>
      </c>
    </row>
    <row r="4090">
      <c r="A4090" s="93">
        <v>4379.0</v>
      </c>
      <c r="B4090" s="77" t="s">
        <v>58</v>
      </c>
      <c r="C4090" s="77" t="s">
        <v>3680</v>
      </c>
      <c r="D4090" s="91"/>
      <c r="E4090" s="41" t="str">
        <f>IFERROR(__xludf.DUMMYFUNCTION("IFNA(vlookup(D4090,IMPORTRANGE(""https://docs.google.com/spreadsheets/d/1swGwZOEqYlTEUCJLY-eeJM1911Kvaei5oySBIxdgtNo/edit?pli=1#gid=257618397"",""stock untanna!B:C""),2,false),V:V)"),"CLIP BOARD KAYU ENTER")</f>
        <v>CLIP BOARD KAYU ENTER</v>
      </c>
      <c r="F4090" s="49"/>
      <c r="G4090" s="71"/>
      <c r="H4090" s="41"/>
      <c r="I4090" s="42"/>
      <c r="J4090" s="85" t="s">
        <v>1319</v>
      </c>
      <c r="K4090" s="93">
        <v>8.0</v>
      </c>
      <c r="L4090" s="112" t="s">
        <v>62</v>
      </c>
      <c r="M4090" s="113">
        <v>39000.0</v>
      </c>
      <c r="N4090" s="74"/>
      <c r="O4090" s="87">
        <f t="shared" si="11"/>
        <v>312000</v>
      </c>
      <c r="P4090" s="102" t="str">
        <f t="shared" si="2"/>
        <v>Rp39,000-8 LSN-0.00%</v>
      </c>
      <c r="Q4090" s="92">
        <v>45423.0</v>
      </c>
      <c r="R4090" s="76"/>
      <c r="S4090" s="92">
        <v>45432.0</v>
      </c>
      <c r="T4090" s="77" t="s">
        <v>280</v>
      </c>
      <c r="V4090" s="21" t="s">
        <v>3681</v>
      </c>
    </row>
    <row r="4091">
      <c r="A4091" s="93">
        <v>4379.0</v>
      </c>
      <c r="B4091" s="77" t="s">
        <v>58</v>
      </c>
      <c r="C4091" s="77" t="s">
        <v>3680</v>
      </c>
      <c r="D4091" s="91"/>
      <c r="E4091" s="41" t="str">
        <f>IFERROR(__xludf.DUMMYFUNCTION("IFNA(vlookup(D4091,IMPORTRANGE(""https://docs.google.com/spreadsheets/d/1swGwZOEqYlTEUCJLY-eeJM1911Kvaei5oySBIxdgtNo/edit?pli=1#gid=257618397"",""stock untanna!B:C""),2,false),V:V)"),"MINYAK MARIES 718 SURABAYA")</f>
        <v>MINYAK MARIES 718 SURABAYA</v>
      </c>
      <c r="F4091" s="49"/>
      <c r="G4091" s="71"/>
      <c r="H4091" s="41"/>
      <c r="I4091" s="42"/>
      <c r="J4091" s="85" t="s">
        <v>1319</v>
      </c>
      <c r="K4091" s="93">
        <v>10.0</v>
      </c>
      <c r="L4091" s="112" t="s">
        <v>69</v>
      </c>
      <c r="M4091" s="113">
        <v>21000.0</v>
      </c>
      <c r="N4091" s="74"/>
      <c r="O4091" s="87">
        <f t="shared" si="11"/>
        <v>210000</v>
      </c>
      <c r="P4091" s="102" t="str">
        <f t="shared" si="2"/>
        <v>Rp21,000-10 PCS-0.00%</v>
      </c>
      <c r="Q4091" s="92">
        <v>45423.0</v>
      </c>
      <c r="R4091" s="76"/>
      <c r="S4091" s="92">
        <v>45432.0</v>
      </c>
      <c r="T4091" s="77" t="s">
        <v>280</v>
      </c>
      <c r="V4091" s="21" t="s">
        <v>3682</v>
      </c>
    </row>
    <row r="4092">
      <c r="A4092" s="93">
        <v>4379.0</v>
      </c>
      <c r="B4092" s="77" t="s">
        <v>58</v>
      </c>
      <c r="C4092" s="77" t="s">
        <v>3680</v>
      </c>
      <c r="D4092" s="77" t="s">
        <v>31</v>
      </c>
      <c r="E4092" s="41" t="str">
        <f>IFERROR(__xludf.DUMMYFUNCTION("IFNA(vlookup(D4092,IMPORTRANGE(""https://docs.google.com/spreadsheets/d/1swGwZOEqYlTEUCJLY-eeJM1911Kvaei5oySBIxdgtNo/edit?pli=1#gid=257618397"",""stock untanna!B:C""),2,false),V:V)"),"ISI STAPLER 13/8 JOSS")</f>
        <v>ISI STAPLER 13/8 JOSS</v>
      </c>
      <c r="F4092" s="49"/>
      <c r="G4092" s="71"/>
      <c r="H4092" s="41"/>
      <c r="I4092" s="42"/>
      <c r="J4092" s="85" t="s">
        <v>1319</v>
      </c>
      <c r="K4092" s="93">
        <v>10.0</v>
      </c>
      <c r="L4092" s="112" t="s">
        <v>114</v>
      </c>
      <c r="M4092" s="113">
        <v>18500.0</v>
      </c>
      <c r="N4092" s="74"/>
      <c r="O4092" s="87">
        <f t="shared" si="11"/>
        <v>185000</v>
      </c>
      <c r="P4092" s="102" t="str">
        <f t="shared" si="2"/>
        <v>Rp18,500-10 PAK-0.00%</v>
      </c>
      <c r="Q4092" s="92">
        <v>45423.0</v>
      </c>
      <c r="R4092" s="76"/>
      <c r="S4092" s="92">
        <v>45432.0</v>
      </c>
      <c r="T4092" s="49"/>
      <c r="V4092" s="21" t="s">
        <v>113</v>
      </c>
    </row>
    <row r="4093">
      <c r="A4093" s="93">
        <v>4379.0</v>
      </c>
      <c r="B4093" s="77" t="s">
        <v>58</v>
      </c>
      <c r="C4093" s="77" t="s">
        <v>3680</v>
      </c>
      <c r="D4093" s="91"/>
      <c r="E4093" s="41" t="str">
        <f>IFERROR(__xludf.DUMMYFUNCTION("IFNA(vlookup(D4093,IMPORTRANGE(""https://docs.google.com/spreadsheets/d/1swGwZOEqYlTEUCJLY-eeJM1911Kvaei5oySBIxdgtNo/edit?pli=1#gid=257618397"",""stock untanna!B:C""),2,false),V:V)"),"CLEAR HOLDER TOPLA 40 LB")</f>
        <v>CLEAR HOLDER TOPLA 40 LB</v>
      </c>
      <c r="F4093" s="49"/>
      <c r="G4093" s="71"/>
      <c r="H4093" s="41"/>
      <c r="I4093" s="42"/>
      <c r="J4093" s="85" t="s">
        <v>3190</v>
      </c>
      <c r="K4093" s="93">
        <v>0.666666667</v>
      </c>
      <c r="L4093" s="112" t="s">
        <v>62</v>
      </c>
      <c r="M4093" s="113">
        <v>407500.0</v>
      </c>
      <c r="N4093" s="74"/>
      <c r="O4093" s="87">
        <f t="shared" si="11"/>
        <v>271666.6668</v>
      </c>
      <c r="P4093" s="102" t="str">
        <f t="shared" si="2"/>
        <v>Rp407,500-0.666666667 LSN-0.00%</v>
      </c>
      <c r="Q4093" s="92">
        <v>45423.0</v>
      </c>
      <c r="R4093" s="76"/>
      <c r="S4093" s="92">
        <v>45432.0</v>
      </c>
      <c r="T4093" s="49"/>
      <c r="V4093" s="21" t="s">
        <v>3683</v>
      </c>
    </row>
    <row r="4094">
      <c r="A4094" s="93">
        <v>4265.0</v>
      </c>
      <c r="B4094" s="77" t="s">
        <v>65</v>
      </c>
      <c r="C4094" s="77" t="s">
        <v>97</v>
      </c>
      <c r="D4094" s="77" t="s">
        <v>623</v>
      </c>
      <c r="E4094" s="41" t="str">
        <f>IFERROR(__xludf.DUMMYFUNCTION("IFNA(vlookup(D4094,IMPORTRANGE(""https://docs.google.com/spreadsheets/d/1swGwZOEqYlTEUCJLY-eeJM1911Kvaei5oySBIxdgtNo/edit?pli=1#gid=257618397"",""stock untanna!B:C""),2,false),V:V)"),"BP GEL TF-1190 0.3MM HIGHTECH (H)")</f>
        <v>BP GEL TF-1190 0.3MM HIGHTECH (H)</v>
      </c>
      <c r="F4094" s="49"/>
      <c r="G4094" s="71"/>
      <c r="H4094" s="41"/>
      <c r="I4094" s="42"/>
      <c r="J4094" s="85" t="s">
        <v>1319</v>
      </c>
      <c r="K4094" s="93">
        <v>144.0</v>
      </c>
      <c r="L4094" s="112" t="s">
        <v>62</v>
      </c>
      <c r="M4094" s="113">
        <v>28500.0</v>
      </c>
      <c r="N4094" s="74"/>
      <c r="O4094" s="87">
        <f t="shared" si="11"/>
        <v>4104000</v>
      </c>
      <c r="P4094" s="102" t="str">
        <f t="shared" si="2"/>
        <v>Rp28,500-144 LSN-0.00%</v>
      </c>
      <c r="Q4094" s="92">
        <v>45423.0</v>
      </c>
      <c r="R4094" s="76"/>
      <c r="S4094" s="92">
        <v>45432.0</v>
      </c>
      <c r="T4094" s="49"/>
      <c r="V4094" s="21" t="s">
        <v>624</v>
      </c>
    </row>
    <row r="4095">
      <c r="A4095" s="93">
        <v>257.0</v>
      </c>
      <c r="B4095" s="77" t="s">
        <v>29</v>
      </c>
      <c r="C4095" s="77" t="s">
        <v>3684</v>
      </c>
      <c r="D4095" s="77" t="s">
        <v>1009</v>
      </c>
      <c r="E4095" s="41" t="str">
        <f>IFERROR(__xludf.DUMMYFUNCTION("IFNA(vlookup(D4095,IMPORTRANGE(""https://docs.google.com/spreadsheets/d/1swGwZOEqYlTEUCJLY-eeJM1911Kvaei5oySBIxdgtNo/edit?pli=1#gid=257618397"",""stock untanna!B:C""),2,false),V:V)"),"MAGNIFIER LW-60")</f>
        <v>MAGNIFIER LW-60</v>
      </c>
      <c r="F4095" s="49"/>
      <c r="G4095" s="71"/>
      <c r="H4095" s="41"/>
      <c r="I4095" s="42"/>
      <c r="J4095" s="85" t="s">
        <v>1319</v>
      </c>
      <c r="K4095" s="93">
        <v>6.0</v>
      </c>
      <c r="L4095" s="112" t="s">
        <v>69</v>
      </c>
      <c r="M4095" s="113">
        <v>23750.0</v>
      </c>
      <c r="N4095" s="74"/>
      <c r="O4095" s="87">
        <f t="shared" si="11"/>
        <v>142500</v>
      </c>
      <c r="P4095" s="102" t="str">
        <f t="shared" si="2"/>
        <v>Rp23,750-6 PCS-0.00%</v>
      </c>
      <c r="Q4095" s="92">
        <v>45423.0</v>
      </c>
      <c r="R4095" s="76"/>
      <c r="S4095" s="92">
        <v>45432.0</v>
      </c>
      <c r="T4095" s="49"/>
      <c r="V4095" s="21" t="s">
        <v>1010</v>
      </c>
    </row>
    <row r="4096">
      <c r="A4096" s="93">
        <v>257.0</v>
      </c>
      <c r="B4096" s="77" t="s">
        <v>29</v>
      </c>
      <c r="C4096" s="77" t="s">
        <v>3684</v>
      </c>
      <c r="D4096" s="77" t="s">
        <v>1011</v>
      </c>
      <c r="E4096" s="41" t="str">
        <f>IFERROR(__xludf.DUMMYFUNCTION("IFNA(vlookup(D4096,IMPORTRANGE(""https://docs.google.com/spreadsheets/d/1swGwZOEqYlTEUCJLY-eeJM1911Kvaei5oySBIxdgtNo/edit?pli=1#gid=257618397"",""stock untanna!B:C""),2,false),V:V)"),"MAGNIFIER LW-70")</f>
        <v>MAGNIFIER LW-70</v>
      </c>
      <c r="F4096" s="49"/>
      <c r="G4096" s="71"/>
      <c r="H4096" s="41"/>
      <c r="I4096" s="42"/>
      <c r="J4096" s="85" t="s">
        <v>1319</v>
      </c>
      <c r="K4096" s="93">
        <v>6.0</v>
      </c>
      <c r="L4096" s="112" t="s">
        <v>69</v>
      </c>
      <c r="M4096" s="113">
        <v>26250.0</v>
      </c>
      <c r="N4096" s="74"/>
      <c r="O4096" s="87">
        <f t="shared" si="11"/>
        <v>157500</v>
      </c>
      <c r="P4096" s="102" t="str">
        <f t="shared" si="2"/>
        <v>Rp26,250-6 PCS-0.00%</v>
      </c>
      <c r="Q4096" s="92">
        <v>45423.0</v>
      </c>
      <c r="R4096" s="76"/>
      <c r="S4096" s="92">
        <v>45432.0</v>
      </c>
      <c r="T4096" s="49"/>
      <c r="V4096" s="21" t="s">
        <v>1012</v>
      </c>
    </row>
    <row r="4097">
      <c r="A4097" s="93">
        <v>257.0</v>
      </c>
      <c r="B4097" s="77" t="s">
        <v>29</v>
      </c>
      <c r="C4097" s="77" t="s">
        <v>3684</v>
      </c>
      <c r="D4097" s="77" t="s">
        <v>1013</v>
      </c>
      <c r="E4097" s="41" t="str">
        <f>IFERROR(__xludf.DUMMYFUNCTION("IFNA(vlookup(D4097,IMPORTRANGE(""https://docs.google.com/spreadsheets/d/1swGwZOEqYlTEUCJLY-eeJM1911Kvaei5oySBIxdgtNo/edit?pli=1#gid=257618397"",""stock untanna!B:C""),2,false),V:V)"),"MAGNIFIER LW-80")</f>
        <v>MAGNIFIER LW-80</v>
      </c>
      <c r="F4097" s="49"/>
      <c r="G4097" s="71"/>
      <c r="H4097" s="41"/>
      <c r="I4097" s="42"/>
      <c r="J4097" s="85" t="s">
        <v>1319</v>
      </c>
      <c r="K4097" s="93">
        <v>6.0</v>
      </c>
      <c r="L4097" s="112" t="s">
        <v>69</v>
      </c>
      <c r="M4097" s="113">
        <v>31250.0</v>
      </c>
      <c r="N4097" s="74"/>
      <c r="O4097" s="87">
        <f t="shared" si="11"/>
        <v>187500</v>
      </c>
      <c r="P4097" s="102" t="str">
        <f t="shared" si="2"/>
        <v>Rp31,250-6 PCS-0.00%</v>
      </c>
      <c r="Q4097" s="92">
        <v>45423.0</v>
      </c>
      <c r="R4097" s="76"/>
      <c r="S4097" s="92">
        <v>45432.0</v>
      </c>
      <c r="T4097" s="49"/>
      <c r="V4097" s="21" t="s">
        <v>1014</v>
      </c>
    </row>
    <row r="4098">
      <c r="A4098" s="93">
        <v>257.0</v>
      </c>
      <c r="B4098" s="77" t="s">
        <v>29</v>
      </c>
      <c r="C4098" s="77" t="s">
        <v>3684</v>
      </c>
      <c r="D4098" s="77" t="s">
        <v>1015</v>
      </c>
      <c r="E4098" s="41" t="str">
        <f>IFERROR(__xludf.DUMMYFUNCTION("IFNA(vlookup(D4098,IMPORTRANGE(""https://docs.google.com/spreadsheets/d/1swGwZOEqYlTEUCJLY-eeJM1911Kvaei5oySBIxdgtNo/edit?pli=1#gid=257618397"",""stock untanna!B:C""),2,false),V:V)"),"MAGNIFIER LW-90")</f>
        <v>MAGNIFIER LW-90</v>
      </c>
      <c r="F4098" s="49"/>
      <c r="G4098" s="71"/>
      <c r="H4098" s="41"/>
      <c r="I4098" s="42"/>
      <c r="J4098" s="85" t="s">
        <v>1319</v>
      </c>
      <c r="K4098" s="93">
        <v>6.0</v>
      </c>
      <c r="L4098" s="112" t="s">
        <v>69</v>
      </c>
      <c r="M4098" s="113">
        <v>33333.3</v>
      </c>
      <c r="N4098" s="74"/>
      <c r="O4098" s="87">
        <f t="shared" si="11"/>
        <v>199999.8</v>
      </c>
      <c r="P4098" s="102" t="str">
        <f t="shared" si="2"/>
        <v>Rp33,333-6 PCS-0.00%</v>
      </c>
      <c r="Q4098" s="92">
        <v>45423.0</v>
      </c>
      <c r="R4098" s="76"/>
      <c r="S4098" s="92">
        <v>45432.0</v>
      </c>
      <c r="T4098" s="49"/>
      <c r="V4098" s="21" t="s">
        <v>1016</v>
      </c>
    </row>
    <row r="4099">
      <c r="A4099" s="93">
        <v>4216.0</v>
      </c>
      <c r="B4099" s="77" t="s">
        <v>29</v>
      </c>
      <c r="C4099" s="77" t="s">
        <v>2371</v>
      </c>
      <c r="D4099" s="77" t="s">
        <v>3186</v>
      </c>
      <c r="E4099" s="41" t="str">
        <f>IFERROR(__xludf.DUMMYFUNCTION("IFNA(vlookup(D4099,IMPORTRANGE(""https://docs.google.com/spreadsheets/d/1swGwZOEqYlTEUCJLY-eeJM1911Kvaei5oySBIxdgtNo/edit?pli=1#gid=257618397"",""stock untanna!B:C""),2,false),V:V)"),"JANGKA JF 8021")</f>
        <v>JANGKA JF 8021</v>
      </c>
      <c r="F4099" s="49"/>
      <c r="G4099" s="71"/>
      <c r="H4099" s="41"/>
      <c r="I4099" s="42"/>
      <c r="J4099" s="85" t="s">
        <v>1319</v>
      </c>
      <c r="K4099" s="93">
        <v>10.0</v>
      </c>
      <c r="L4099" s="112" t="s">
        <v>62</v>
      </c>
      <c r="M4099" s="113">
        <v>85000.0</v>
      </c>
      <c r="N4099" s="115">
        <v>0.1</v>
      </c>
      <c r="O4099" s="87">
        <f t="shared" si="11"/>
        <v>765000</v>
      </c>
      <c r="P4099" s="102" t="str">
        <f t="shared" si="2"/>
        <v>Rp85,000-10 LSN-10.00%</v>
      </c>
      <c r="Q4099" s="92">
        <v>45423.0</v>
      </c>
      <c r="R4099" s="76"/>
      <c r="S4099" s="92">
        <v>45432.0</v>
      </c>
      <c r="T4099" s="49"/>
      <c r="V4099" s="21" t="s">
        <v>3187</v>
      </c>
    </row>
    <row r="4100">
      <c r="A4100" s="93">
        <v>4216.0</v>
      </c>
      <c r="B4100" s="77" t="s">
        <v>29</v>
      </c>
      <c r="C4100" s="77" t="s">
        <v>2371</v>
      </c>
      <c r="D4100" s="91"/>
      <c r="E4100" s="41" t="str">
        <f>IFERROR(__xludf.DUMMYFUNCTION("IFNA(vlookup(D4100,IMPORTRANGE(""https://docs.google.com/spreadsheets/d/1swGwZOEqYlTEUCJLY-eeJM1911Kvaei5oySBIxdgtNo/edit?pli=1#gid=257618397"",""stock untanna!B:C""),2,false),V:V)"),"BP EXCELENY")</f>
        <v>BP EXCELENY</v>
      </c>
      <c r="F4100" s="49"/>
      <c r="G4100" s="71"/>
      <c r="H4100" s="41"/>
      <c r="I4100" s="42"/>
      <c r="J4100" s="85" t="s">
        <v>3190</v>
      </c>
      <c r="K4100" s="93">
        <v>144.0</v>
      </c>
      <c r="L4100" s="112" t="s">
        <v>62</v>
      </c>
      <c r="M4100" s="113">
        <v>10000.0</v>
      </c>
      <c r="N4100" s="74"/>
      <c r="O4100" s="87">
        <f t="shared" si="11"/>
        <v>1440000</v>
      </c>
      <c r="P4100" s="102" t="str">
        <f t="shared" si="2"/>
        <v>Rp10,000-144 LSN-0.00%</v>
      </c>
      <c r="Q4100" s="92">
        <v>45423.0</v>
      </c>
      <c r="R4100" s="76"/>
      <c r="S4100" s="92">
        <v>45432.0</v>
      </c>
      <c r="T4100" s="49"/>
      <c r="V4100" s="21" t="s">
        <v>3685</v>
      </c>
    </row>
    <row r="4101">
      <c r="A4101" s="93">
        <v>4216.0</v>
      </c>
      <c r="B4101" s="77" t="s">
        <v>29</v>
      </c>
      <c r="C4101" s="77" t="s">
        <v>2371</v>
      </c>
      <c r="D4101" s="91"/>
      <c r="E4101" s="41" t="str">
        <f>IFERROR(__xludf.DUMMYFUNCTION("IFNA(vlookup(D4101,IMPORTRANGE(""https://docs.google.com/spreadsheets/d/1swGwZOEqYlTEUCJLY-eeJM1911Kvaei5oySBIxdgtNo/edit?pli=1#gid=257618397"",""stock untanna!B:C""),2,false),V:V)"),"P WARNA 24 W KYCP 0724")</f>
        <v>P WARNA 24 W KYCP 0724</v>
      </c>
      <c r="F4101" s="49"/>
      <c r="G4101" s="71"/>
      <c r="H4101" s="41"/>
      <c r="I4101" s="42"/>
      <c r="J4101" s="85" t="s">
        <v>3190</v>
      </c>
      <c r="K4101" s="93">
        <v>12.0</v>
      </c>
      <c r="L4101" s="112" t="s">
        <v>62</v>
      </c>
      <c r="M4101" s="113">
        <v>270000.0</v>
      </c>
      <c r="N4101" s="74"/>
      <c r="O4101" s="87">
        <f t="shared" si="11"/>
        <v>3240000</v>
      </c>
      <c r="P4101" s="102" t="str">
        <f t="shared" si="2"/>
        <v>Rp270,000-12 LSN-0.00%</v>
      </c>
      <c r="Q4101" s="92">
        <v>45423.0</v>
      </c>
      <c r="R4101" s="76"/>
      <c r="S4101" s="92">
        <v>45432.0</v>
      </c>
      <c r="T4101" s="49"/>
      <c r="V4101" s="21" t="s">
        <v>3686</v>
      </c>
    </row>
    <row r="4102">
      <c r="A4102" s="93">
        <v>22.0</v>
      </c>
      <c r="B4102" s="77" t="s">
        <v>58</v>
      </c>
      <c r="C4102" s="77" t="s">
        <v>643</v>
      </c>
      <c r="D4102" s="77" t="s">
        <v>623</v>
      </c>
      <c r="E4102" s="41" t="str">
        <f>IFERROR(__xludf.DUMMYFUNCTION("IFNA(vlookup(D4102,IMPORTRANGE(""https://docs.google.com/spreadsheets/d/1swGwZOEqYlTEUCJLY-eeJM1911Kvaei5oySBIxdgtNo/edit?pli=1#gid=257618397"",""stock untanna!B:C""),2,false),V:V)"),"BP GEL TF-1190 0.3MM HIGHTECH (H)")</f>
        <v>BP GEL TF-1190 0.3MM HIGHTECH (H)</v>
      </c>
      <c r="F4102" s="49"/>
      <c r="G4102" s="71"/>
      <c r="H4102" s="41"/>
      <c r="I4102" s="42"/>
      <c r="J4102" s="85" t="s">
        <v>1319</v>
      </c>
      <c r="K4102" s="93">
        <v>144.0</v>
      </c>
      <c r="L4102" s="112" t="s">
        <v>62</v>
      </c>
      <c r="M4102" s="113">
        <v>28500.0</v>
      </c>
      <c r="N4102" s="74"/>
      <c r="O4102" s="87">
        <f t="shared" si="11"/>
        <v>4104000</v>
      </c>
      <c r="P4102" s="102" t="str">
        <f t="shared" si="2"/>
        <v>Rp28,500-144 LSN-0.00%</v>
      </c>
      <c r="Q4102" s="92">
        <v>45423.0</v>
      </c>
      <c r="R4102" s="76"/>
      <c r="S4102" s="92">
        <v>45432.0</v>
      </c>
      <c r="T4102" s="49"/>
      <c r="V4102" s="21" t="s">
        <v>624</v>
      </c>
    </row>
    <row r="4103">
      <c r="A4103" s="93">
        <v>4377.0</v>
      </c>
      <c r="B4103" s="77" t="s">
        <v>58</v>
      </c>
      <c r="C4103" s="77" t="s">
        <v>3687</v>
      </c>
      <c r="D4103" s="77" t="s">
        <v>3377</v>
      </c>
      <c r="E4103" s="41" t="str">
        <f>IFERROR(__xludf.DUMMYFUNCTION("IFNA(vlookup(D4103,IMPORTRANGE(""https://docs.google.com/spreadsheets/d/1swGwZOEqYlTEUCJLY-eeJM1911Kvaei5oySBIxdgtNo/edit?pli=1#gid=257618397"",""stock untanna!B:C""),2,false),V:V)"),"BP TIZO TB SG 09")</f>
        <v>BP TIZO TB SG 09</v>
      </c>
      <c r="F4103" s="49"/>
      <c r="G4103" s="71"/>
      <c r="H4103" s="41"/>
      <c r="I4103" s="42"/>
      <c r="J4103" s="85" t="s">
        <v>1319</v>
      </c>
      <c r="K4103" s="93">
        <v>144.0</v>
      </c>
      <c r="L4103" s="112" t="s">
        <v>62</v>
      </c>
      <c r="M4103" s="113">
        <v>11000.0</v>
      </c>
      <c r="N4103" s="74"/>
      <c r="O4103" s="87">
        <f t="shared" si="11"/>
        <v>1584000</v>
      </c>
      <c r="P4103" s="102" t="str">
        <f t="shared" si="2"/>
        <v>Rp11,000-144 LSN-0.00%</v>
      </c>
      <c r="Q4103" s="92">
        <v>45423.0</v>
      </c>
      <c r="R4103" s="76"/>
      <c r="S4103" s="92">
        <v>45432.0</v>
      </c>
      <c r="T4103" s="49"/>
      <c r="V4103" s="21" t="s">
        <v>3378</v>
      </c>
    </row>
    <row r="4104">
      <c r="A4104" s="93">
        <v>4377.0</v>
      </c>
      <c r="B4104" s="77" t="s">
        <v>58</v>
      </c>
      <c r="C4104" s="77" t="s">
        <v>3687</v>
      </c>
      <c r="D4104" s="77" t="s">
        <v>997</v>
      </c>
      <c r="E4104" s="41" t="str">
        <f>IFERROR(__xludf.DUMMYFUNCTION("IFNA(vlookup(D4104,IMPORTRANGE(""https://docs.google.com/spreadsheets/d/1swGwZOEqYlTEUCJLY-eeJM1911Kvaei5oySBIxdgtNo/edit?pli=1#gid=257618397"",""stock untanna!B:C""),2,false),V:V)"),"BP TIZO TG 313B")</f>
        <v>BP TIZO TG 313B</v>
      </c>
      <c r="F4104" s="49"/>
      <c r="G4104" s="71"/>
      <c r="H4104" s="41"/>
      <c r="I4104" s="42"/>
      <c r="J4104" s="85" t="s">
        <v>1319</v>
      </c>
      <c r="K4104" s="93">
        <v>144.0</v>
      </c>
      <c r="L4104" s="112" t="s">
        <v>62</v>
      </c>
      <c r="M4104" s="113">
        <v>26500.0</v>
      </c>
      <c r="N4104" s="74"/>
      <c r="O4104" s="87">
        <f t="shared" si="11"/>
        <v>3816000</v>
      </c>
      <c r="P4104" s="102" t="str">
        <f t="shared" si="2"/>
        <v>Rp26,500-144 LSN-0.00%</v>
      </c>
      <c r="Q4104" s="92">
        <v>45423.0</v>
      </c>
      <c r="R4104" s="76"/>
      <c r="S4104" s="92">
        <v>45432.0</v>
      </c>
      <c r="T4104" s="49"/>
      <c r="V4104" s="21" t="s">
        <v>998</v>
      </c>
    </row>
    <row r="4105">
      <c r="A4105" s="93">
        <v>258.0</v>
      </c>
      <c r="B4105" s="77" t="s">
        <v>29</v>
      </c>
      <c r="C4105" s="77" t="s">
        <v>3688</v>
      </c>
      <c r="D4105" s="77" t="s">
        <v>3689</v>
      </c>
      <c r="E4105" s="41" t="str">
        <f>IFERROR(__xludf.DUMMYFUNCTION("IFNA(vlookup(D4105,IMPORTRANGE(""https://docs.google.com/spreadsheets/d/1swGwZOEqYlTEUCJLY-eeJM1911Kvaei5oySBIxdgtNo/edit?pli=1#gid=257618397"",""stock untanna!B:C""),2,false),V:V)"),"BP TIZO TG 31975F FANCY")</f>
        <v>BP TIZO TG 31975F FANCY</v>
      </c>
      <c r="F4105" s="49"/>
      <c r="G4105" s="71"/>
      <c r="H4105" s="41"/>
      <c r="I4105" s="42"/>
      <c r="J4105" s="85" t="s">
        <v>1319</v>
      </c>
      <c r="K4105" s="93">
        <v>36.0</v>
      </c>
      <c r="L4105" s="112" t="s">
        <v>62</v>
      </c>
      <c r="M4105" s="113">
        <v>18000.0</v>
      </c>
      <c r="N4105" s="74"/>
      <c r="O4105" s="87">
        <f t="shared" si="11"/>
        <v>648000</v>
      </c>
      <c r="P4105" s="102" t="str">
        <f t="shared" si="2"/>
        <v>Rp18,000-36 LSN-0.00%</v>
      </c>
      <c r="Q4105" s="92">
        <v>45423.0</v>
      </c>
      <c r="R4105" s="76"/>
      <c r="S4105" s="92">
        <v>45432.0</v>
      </c>
      <c r="T4105" s="49"/>
      <c r="V4105" s="21" t="s">
        <v>3690</v>
      </c>
    </row>
    <row r="4106">
      <c r="A4106" s="93">
        <v>258.0</v>
      </c>
      <c r="B4106" s="77" t="s">
        <v>29</v>
      </c>
      <c r="C4106" s="77" t="s">
        <v>3688</v>
      </c>
      <c r="D4106" s="91"/>
      <c r="E4106" s="41" t="str">
        <f>IFERROR(__xludf.DUMMYFUNCTION("IFNA(vlookup(D4106,IMPORTRANGE(""https://docs.google.com/spreadsheets/d/1swGwZOEqYlTEUCJLY-eeJM1911Kvaei5oySBIxdgtNo/edit?pli=1#gid=257618397"",""stock untanna!B:C""),2,false),V:V)"),"BALLPEN GEL TIZO 31037 F")</f>
        <v>BALLPEN GEL TIZO 31037 F</v>
      </c>
      <c r="F4106" s="49"/>
      <c r="G4106" s="71"/>
      <c r="H4106" s="41"/>
      <c r="I4106" s="42"/>
      <c r="J4106" s="85" t="s">
        <v>3190</v>
      </c>
      <c r="K4106" s="93">
        <v>36.0</v>
      </c>
      <c r="L4106" s="112" t="s">
        <v>62</v>
      </c>
      <c r="M4106" s="113">
        <v>18000.0</v>
      </c>
      <c r="N4106" s="74"/>
      <c r="O4106" s="87">
        <f t="shared" si="11"/>
        <v>648000</v>
      </c>
      <c r="P4106" s="102" t="str">
        <f t="shared" si="2"/>
        <v>Rp18,000-36 LSN-0.00%</v>
      </c>
      <c r="Q4106" s="92">
        <v>45423.0</v>
      </c>
      <c r="R4106" s="76"/>
      <c r="S4106" s="92">
        <v>45432.0</v>
      </c>
      <c r="T4106" s="49"/>
      <c r="V4106" s="21" t="s">
        <v>3691</v>
      </c>
    </row>
    <row r="4107">
      <c r="A4107" s="93">
        <v>258.0</v>
      </c>
      <c r="B4107" s="77" t="s">
        <v>29</v>
      </c>
      <c r="C4107" s="77" t="s">
        <v>3688</v>
      </c>
      <c r="D4107" s="77" t="s">
        <v>3692</v>
      </c>
      <c r="E4107" s="41" t="str">
        <f>IFERROR(__xludf.DUMMYFUNCTION("IFNA(vlookup(D4107,IMPORTRANGE(""https://docs.google.com/spreadsheets/d/1swGwZOEqYlTEUCJLY-eeJM1911Kvaei5oySBIxdgtNo/edit?pli=1#gid=257618397"",""stock untanna!B:C""),2,false),V:V)"),"BP TIZO TG 31590F FANCY")</f>
        <v>BP TIZO TG 31590F FANCY</v>
      </c>
      <c r="F4107" s="49"/>
      <c r="G4107" s="71"/>
      <c r="H4107" s="41"/>
      <c r="I4107" s="42"/>
      <c r="J4107" s="85" t="s">
        <v>1319</v>
      </c>
      <c r="K4107" s="93">
        <v>36.0</v>
      </c>
      <c r="L4107" s="112" t="s">
        <v>62</v>
      </c>
      <c r="M4107" s="113">
        <v>18000.0</v>
      </c>
      <c r="N4107" s="74"/>
      <c r="O4107" s="87">
        <f t="shared" si="11"/>
        <v>648000</v>
      </c>
      <c r="P4107" s="102" t="str">
        <f t="shared" si="2"/>
        <v>Rp18,000-36 LSN-0.00%</v>
      </c>
      <c r="Q4107" s="92">
        <v>45423.0</v>
      </c>
      <c r="R4107" s="76"/>
      <c r="S4107" s="92">
        <v>45432.0</v>
      </c>
      <c r="T4107" s="49"/>
      <c r="V4107" s="21" t="s">
        <v>3693</v>
      </c>
    </row>
    <row r="4108">
      <c r="A4108" s="93">
        <v>258.0</v>
      </c>
      <c r="B4108" s="77" t="s">
        <v>29</v>
      </c>
      <c r="C4108" s="77" t="s">
        <v>3688</v>
      </c>
      <c r="D4108" s="91"/>
      <c r="E4108" s="41" t="str">
        <f>IFERROR(__xludf.DUMMYFUNCTION("IFNA(vlookup(D4108,IMPORTRANGE(""https://docs.google.com/spreadsheets/d/1swGwZOEqYlTEUCJLY-eeJM1911Kvaei5oySBIxdgtNo/edit?pli=1#gid=257618397"",""stock untanna!B:C""),2,false),V:V)"),"BALLPEN GEL TIZO 31780 F")</f>
        <v>BALLPEN GEL TIZO 31780 F</v>
      </c>
      <c r="F4108" s="49"/>
      <c r="G4108" s="71"/>
      <c r="H4108" s="41"/>
      <c r="I4108" s="42"/>
      <c r="J4108" s="85" t="s">
        <v>3190</v>
      </c>
      <c r="K4108" s="93">
        <v>36.0</v>
      </c>
      <c r="L4108" s="112" t="s">
        <v>62</v>
      </c>
      <c r="M4108" s="113">
        <v>18000.0</v>
      </c>
      <c r="N4108" s="74"/>
      <c r="O4108" s="87">
        <f t="shared" si="11"/>
        <v>648000</v>
      </c>
      <c r="P4108" s="102" t="str">
        <f t="shared" si="2"/>
        <v>Rp18,000-36 LSN-0.00%</v>
      </c>
      <c r="Q4108" s="92">
        <v>45423.0</v>
      </c>
      <c r="R4108" s="76"/>
      <c r="S4108" s="92">
        <v>45432.0</v>
      </c>
      <c r="T4108" s="49"/>
      <c r="V4108" s="21" t="s">
        <v>3694</v>
      </c>
    </row>
    <row r="4109">
      <c r="A4109" s="93">
        <v>258.0</v>
      </c>
      <c r="B4109" s="77" t="s">
        <v>29</v>
      </c>
      <c r="C4109" s="77" t="s">
        <v>3688</v>
      </c>
      <c r="D4109" s="77" t="s">
        <v>3366</v>
      </c>
      <c r="E4109" s="41" t="str">
        <f>IFERROR(__xludf.DUMMYFUNCTION("IFNA(vlookup(D4109,IMPORTRANGE(""https://docs.google.com/spreadsheets/d/1swGwZOEqYlTEUCJLY-eeJM1911Kvaei5oySBIxdgtNo/edit?pli=1#gid=257618397"",""stock untanna!B:C""),2,false),V:V)"),"SAMPUL ROLL DUST 344")</f>
        <v>SAMPUL ROLL DUST 344</v>
      </c>
      <c r="F4109" s="49"/>
      <c r="G4109" s="71"/>
      <c r="H4109" s="41"/>
      <c r="I4109" s="42"/>
      <c r="J4109" s="85" t="s">
        <v>1319</v>
      </c>
      <c r="K4109" s="93">
        <v>500.0</v>
      </c>
      <c r="L4109" s="112" t="s">
        <v>1384</v>
      </c>
      <c r="M4109" s="113">
        <v>6000.0</v>
      </c>
      <c r="N4109" s="74"/>
      <c r="O4109" s="87">
        <f t="shared" si="11"/>
        <v>3000000</v>
      </c>
      <c r="P4109" s="102" t="str">
        <f t="shared" si="2"/>
        <v>Rp6,000-500 ROL-0.00%</v>
      </c>
      <c r="Q4109" s="92">
        <v>45423.0</v>
      </c>
      <c r="R4109" s="76"/>
      <c r="S4109" s="92">
        <v>45432.0</v>
      </c>
      <c r="T4109" s="49"/>
      <c r="V4109" s="21" t="s">
        <v>3367</v>
      </c>
    </row>
    <row r="4110">
      <c r="A4110" s="93">
        <v>259.0</v>
      </c>
      <c r="B4110" s="77" t="s">
        <v>29</v>
      </c>
      <c r="C4110" s="77" t="s">
        <v>1768</v>
      </c>
      <c r="D4110" s="77" t="s">
        <v>3695</v>
      </c>
      <c r="E4110" s="41" t="str">
        <f>IFERROR(__xludf.DUMMYFUNCTION("IFNA(vlookup(D4110,IMPORTRANGE(""https://docs.google.com/spreadsheets/d/1swGwZOEqYlTEUCJLY-eeJM1911Kvaei5oySBIxdgtNo/edit?pli=1#gid=257618397"",""stock untanna!B:C""),2,false),V:V)"),"BP TIZO TG 31035F FANCY")</f>
        <v>BP TIZO TG 31035F FANCY</v>
      </c>
      <c r="F4110" s="49"/>
      <c r="G4110" s="71"/>
      <c r="H4110" s="41"/>
      <c r="I4110" s="42"/>
      <c r="J4110" s="85" t="s">
        <v>1319</v>
      </c>
      <c r="K4110" s="93">
        <v>12.0</v>
      </c>
      <c r="L4110" s="112" t="s">
        <v>62</v>
      </c>
      <c r="M4110" s="113">
        <v>18250.0</v>
      </c>
      <c r="N4110" s="74"/>
      <c r="O4110" s="87">
        <f t="shared" si="11"/>
        <v>219000</v>
      </c>
      <c r="P4110" s="102" t="str">
        <f t="shared" si="2"/>
        <v>Rp18,250-12 LSN-0.00%</v>
      </c>
      <c r="Q4110" s="92">
        <v>45423.0</v>
      </c>
      <c r="R4110" s="76"/>
      <c r="S4110" s="92">
        <v>45432.0</v>
      </c>
      <c r="T4110" s="49"/>
      <c r="V4110" s="21" t="s">
        <v>3696</v>
      </c>
    </row>
    <row r="4111">
      <c r="A4111" s="93">
        <v>259.0</v>
      </c>
      <c r="B4111" s="77" t="s">
        <v>29</v>
      </c>
      <c r="C4111" s="77" t="s">
        <v>1768</v>
      </c>
      <c r="D4111" s="77" t="s">
        <v>637</v>
      </c>
      <c r="E4111" s="41" t="str">
        <f>IFERROR(__xludf.DUMMYFUNCTION("IFNA(vlookup(D4111,IMPORTRANGE(""https://docs.google.com/spreadsheets/d/1swGwZOEqYlTEUCJLY-eeJM1911Kvaei5oySBIxdgtNo/edit?pli=1#gid=257618397"",""stock untanna!B:C""),2,false),V:V)"),"BP GEL TIZO 31762F FANCY")</f>
        <v>BP GEL TIZO 31762F FANCY</v>
      </c>
      <c r="F4111" s="49"/>
      <c r="G4111" s="71"/>
      <c r="H4111" s="41"/>
      <c r="I4111" s="42"/>
      <c r="J4111" s="85" t="s">
        <v>1319</v>
      </c>
      <c r="K4111" s="93">
        <v>3.0</v>
      </c>
      <c r="L4111" s="112" t="s">
        <v>62</v>
      </c>
      <c r="M4111" s="113">
        <v>18250.0</v>
      </c>
      <c r="N4111" s="74"/>
      <c r="O4111" s="87">
        <f t="shared" si="11"/>
        <v>54750</v>
      </c>
      <c r="P4111" s="102" t="str">
        <f t="shared" si="2"/>
        <v>Rp18,250-3 LSN-0.00%</v>
      </c>
      <c r="Q4111" s="92">
        <v>45423.0</v>
      </c>
      <c r="R4111" s="76"/>
      <c r="S4111" s="92">
        <v>45432.0</v>
      </c>
      <c r="T4111" s="49"/>
      <c r="V4111" s="21" t="s">
        <v>638</v>
      </c>
    </row>
    <row r="4112">
      <c r="A4112" s="93">
        <v>259.0</v>
      </c>
      <c r="B4112" s="77" t="s">
        <v>29</v>
      </c>
      <c r="C4112" s="77" t="s">
        <v>1768</v>
      </c>
      <c r="D4112" s="77" t="s">
        <v>964</v>
      </c>
      <c r="E4112" s="41" t="str">
        <f>IFERROR(__xludf.DUMMYFUNCTION("IFNA(vlookup(D4112,IMPORTRANGE(""https://docs.google.com/spreadsheets/d/1swGwZOEqYlTEUCJLY-eeJM1911Kvaei5oySBIxdgtNo/edit?pli=1#gid=257618397"",""stock untanna!B:C""),2,false),V:V)"),"BP GEL DTIAN DT-233")</f>
        <v>BP GEL DTIAN DT-233</v>
      </c>
      <c r="F4112" s="49"/>
      <c r="G4112" s="71"/>
      <c r="H4112" s="41"/>
      <c r="I4112" s="42"/>
      <c r="J4112" s="85" t="s">
        <v>1319</v>
      </c>
      <c r="K4112" s="93">
        <v>12.0</v>
      </c>
      <c r="L4112" s="112" t="s">
        <v>62</v>
      </c>
      <c r="M4112" s="113">
        <v>25000.0</v>
      </c>
      <c r="N4112" s="74"/>
      <c r="O4112" s="87">
        <f t="shared" si="11"/>
        <v>300000</v>
      </c>
      <c r="P4112" s="102" t="str">
        <f t="shared" si="2"/>
        <v>Rp25,000-12 LSN-0.00%</v>
      </c>
      <c r="Q4112" s="92">
        <v>45423.0</v>
      </c>
      <c r="R4112" s="76"/>
      <c r="S4112" s="92">
        <v>45432.0</v>
      </c>
      <c r="T4112" s="49"/>
      <c r="V4112" s="21" t="s">
        <v>965</v>
      </c>
    </row>
    <row r="4113">
      <c r="A4113" s="93">
        <v>206.0</v>
      </c>
      <c r="B4113" s="77" t="s">
        <v>29</v>
      </c>
      <c r="C4113" s="77" t="s">
        <v>3697</v>
      </c>
      <c r="D4113" s="77" t="s">
        <v>2898</v>
      </c>
      <c r="E4113" s="41" t="str">
        <f>IFERROR(__xludf.DUMMYFUNCTION("IFNA(vlookup(D4113,IMPORTRANGE(""https://docs.google.com/spreadsheets/d/1swGwZOEqYlTEUCJLY-eeJM1911Kvaei5oySBIxdgtNo/edit?pli=1#gid=257618397"",""stock untanna!B:C""),2,false),V:V)"),"STICKER JN-S")</f>
        <v>STICKER JN-S</v>
      </c>
      <c r="F4113" s="49"/>
      <c r="G4113" s="71"/>
      <c r="H4113" s="41"/>
      <c r="I4113" s="42"/>
      <c r="J4113" s="85" t="s">
        <v>1319</v>
      </c>
      <c r="K4113" s="93">
        <v>50.0</v>
      </c>
      <c r="L4113" s="112" t="s">
        <v>69</v>
      </c>
      <c r="M4113" s="113">
        <v>4500.0</v>
      </c>
      <c r="N4113" s="74"/>
      <c r="O4113" s="87">
        <f t="shared" si="11"/>
        <v>225000</v>
      </c>
      <c r="P4113" s="102" t="str">
        <f t="shared" si="2"/>
        <v>Rp4,500-50 PCS-0.00%</v>
      </c>
      <c r="Q4113" s="92">
        <v>45425.0</v>
      </c>
      <c r="R4113" s="76"/>
      <c r="S4113" s="92">
        <v>45432.0</v>
      </c>
      <c r="T4113" s="49"/>
      <c r="V4113" s="21" t="s">
        <v>2899</v>
      </c>
    </row>
    <row r="4114">
      <c r="A4114" s="93">
        <v>206.0</v>
      </c>
      <c r="B4114" s="77" t="s">
        <v>29</v>
      </c>
      <c r="C4114" s="77" t="s">
        <v>3697</v>
      </c>
      <c r="D4114" s="77" t="s">
        <v>2898</v>
      </c>
      <c r="E4114" s="41" t="str">
        <f>IFERROR(__xludf.DUMMYFUNCTION("IFNA(vlookup(D4114,IMPORTRANGE(""https://docs.google.com/spreadsheets/d/1swGwZOEqYlTEUCJLY-eeJM1911Kvaei5oySBIxdgtNo/edit?pli=1#gid=257618397"",""stock untanna!B:C""),2,false),V:V)"),"STICKER JN-S")</f>
        <v>STICKER JN-S</v>
      </c>
      <c r="F4114" s="49"/>
      <c r="G4114" s="71"/>
      <c r="H4114" s="41"/>
      <c r="I4114" s="42"/>
      <c r="J4114" s="85" t="s">
        <v>1319</v>
      </c>
      <c r="K4114" s="93">
        <v>50.0</v>
      </c>
      <c r="L4114" s="112" t="s">
        <v>69</v>
      </c>
      <c r="M4114" s="113">
        <v>5500.0</v>
      </c>
      <c r="N4114" s="74"/>
      <c r="O4114" s="87">
        <f t="shared" si="11"/>
        <v>275000</v>
      </c>
      <c r="P4114" s="102" t="str">
        <f t="shared" si="2"/>
        <v>Rp5,500-50 PCS-0.00%</v>
      </c>
      <c r="Q4114" s="92">
        <v>45425.0</v>
      </c>
      <c r="R4114" s="76"/>
      <c r="S4114" s="92">
        <v>45432.0</v>
      </c>
      <c r="T4114" s="49"/>
      <c r="V4114" s="21" t="s">
        <v>2899</v>
      </c>
    </row>
    <row r="4115">
      <c r="A4115" s="93">
        <v>206.0</v>
      </c>
      <c r="B4115" s="77" t="s">
        <v>29</v>
      </c>
      <c r="C4115" s="77" t="s">
        <v>3697</v>
      </c>
      <c r="D4115" s="77" t="s">
        <v>2695</v>
      </c>
      <c r="E4115" s="41" t="str">
        <f>IFERROR(__xludf.DUMMYFUNCTION("IFNA(vlookup(D4115,IMPORTRANGE(""https://docs.google.com/spreadsheets/d/1swGwZOEqYlTEUCJLY-eeJM1911Kvaei5oySBIxdgtNo/edit?pli=1#gid=257618397"",""stock untanna!B:C""),2,false),V:V)"),"STICKER YLD")</f>
        <v>STICKER YLD</v>
      </c>
      <c r="F4115" s="49"/>
      <c r="G4115" s="71"/>
      <c r="H4115" s="41"/>
      <c r="I4115" s="42"/>
      <c r="J4115" s="85" t="s">
        <v>1319</v>
      </c>
      <c r="K4115" s="93">
        <v>50.0</v>
      </c>
      <c r="L4115" s="112" t="s">
        <v>69</v>
      </c>
      <c r="M4115" s="113">
        <v>5000.0</v>
      </c>
      <c r="N4115" s="74"/>
      <c r="O4115" s="87">
        <f t="shared" si="11"/>
        <v>250000</v>
      </c>
      <c r="P4115" s="102" t="str">
        <f t="shared" si="2"/>
        <v>Rp5,000-50 PCS-0.00%</v>
      </c>
      <c r="Q4115" s="92">
        <v>45425.0</v>
      </c>
      <c r="R4115" s="76"/>
      <c r="S4115" s="92">
        <v>45432.0</v>
      </c>
      <c r="T4115" s="77" t="s">
        <v>100</v>
      </c>
      <c r="V4115" s="21" t="s">
        <v>2696</v>
      </c>
    </row>
    <row r="4116">
      <c r="A4116" s="93">
        <v>206.0</v>
      </c>
      <c r="B4116" s="77" t="s">
        <v>29</v>
      </c>
      <c r="C4116" s="77" t="s">
        <v>3697</v>
      </c>
      <c r="D4116" s="77" t="s">
        <v>3698</v>
      </c>
      <c r="E4116" s="41" t="str">
        <f>IFERROR(__xludf.DUMMYFUNCTION("IFNA(vlookup(D4116,IMPORTRANGE(""https://docs.google.com/spreadsheets/d/1swGwZOEqYlTEUCJLY-eeJM1911Kvaei5oySBIxdgtNo/edit?pli=1#gid=257618397"",""stock untanna!B:C""),2,false),V:V)"),"TAS SPUNBOUND POLOS 30 X 40 TANGGUNG")</f>
        <v>TAS SPUNBOUND POLOS 30 X 40 TANGGUNG</v>
      </c>
      <c r="F4116" s="49"/>
      <c r="G4116" s="71"/>
      <c r="H4116" s="41"/>
      <c r="I4116" s="42"/>
      <c r="J4116" s="85" t="s">
        <v>1319</v>
      </c>
      <c r="K4116" s="93">
        <v>5.0</v>
      </c>
      <c r="L4116" s="112" t="s">
        <v>62</v>
      </c>
      <c r="M4116" s="113">
        <v>17500.0</v>
      </c>
      <c r="N4116" s="74"/>
      <c r="O4116" s="87">
        <f t="shared" si="11"/>
        <v>87500</v>
      </c>
      <c r="P4116" s="102" t="str">
        <f t="shared" si="2"/>
        <v>Rp17,500-5 LSN-0.00%</v>
      </c>
      <c r="Q4116" s="92">
        <v>45425.0</v>
      </c>
      <c r="R4116" s="76"/>
      <c r="S4116" s="92">
        <v>45432.0</v>
      </c>
      <c r="T4116" s="49"/>
      <c r="V4116" s="21" t="s">
        <v>3699</v>
      </c>
    </row>
    <row r="4117">
      <c r="A4117" s="93">
        <v>206.0</v>
      </c>
      <c r="B4117" s="77" t="s">
        <v>29</v>
      </c>
      <c r="C4117" s="77" t="s">
        <v>3697</v>
      </c>
      <c r="D4117" s="77" t="s">
        <v>1650</v>
      </c>
      <c r="E4117" s="41" t="str">
        <f>IFERROR(__xludf.DUMMYFUNCTION("IFNA(vlookup(D4117,IMPORTRANGE(""https://docs.google.com/spreadsheets/d/1swGwZOEqYlTEUCJLY-eeJM1911Kvaei5oySBIxdgtNo/edit?pli=1#gid=257618397"",""stock untanna!B:C""),2,false),V:V)"),"BP GEL DTIAN DT-227")</f>
        <v>BP GEL DTIAN DT-227</v>
      </c>
      <c r="F4117" s="49"/>
      <c r="G4117" s="71"/>
      <c r="H4117" s="41"/>
      <c r="I4117" s="42"/>
      <c r="J4117" s="85" t="s">
        <v>1319</v>
      </c>
      <c r="K4117" s="93">
        <v>24.0</v>
      </c>
      <c r="L4117" s="112" t="s">
        <v>62</v>
      </c>
      <c r="M4117" s="113">
        <v>20000.0</v>
      </c>
      <c r="N4117" s="115">
        <v>0.1</v>
      </c>
      <c r="O4117" s="87">
        <f t="shared" si="11"/>
        <v>432000</v>
      </c>
      <c r="P4117" s="102" t="str">
        <f t="shared" si="2"/>
        <v>Rp20,000-24 LSN-10.00%</v>
      </c>
      <c r="Q4117" s="92">
        <v>45425.0</v>
      </c>
      <c r="R4117" s="76"/>
      <c r="S4117" s="92">
        <v>45432.0</v>
      </c>
      <c r="T4117" s="49"/>
      <c r="V4117" s="21" t="s">
        <v>1651</v>
      </c>
    </row>
    <row r="4118">
      <c r="A4118" s="93">
        <v>206.0</v>
      </c>
      <c r="B4118" s="77" t="s">
        <v>29</v>
      </c>
      <c r="C4118" s="77" t="s">
        <v>3697</v>
      </c>
      <c r="D4118" s="77" t="s">
        <v>2108</v>
      </c>
      <c r="E4118" s="41" t="str">
        <f>IFERROR(__xludf.DUMMYFUNCTION("IFNA(vlookup(D4118,IMPORTRANGE(""https://docs.google.com/spreadsheets/d/1swGwZOEqYlTEUCJLY-eeJM1911Kvaei5oySBIxdgtNo/edit?pli=1#gid=257618397"",""stock untanna!B:C""),2,false),V:V)"),"BP GEL DTIAN DT-221")</f>
        <v>BP GEL DTIAN DT-221</v>
      </c>
      <c r="F4118" s="49"/>
      <c r="G4118" s="71"/>
      <c r="H4118" s="41"/>
      <c r="I4118" s="42"/>
      <c r="J4118" s="85" t="s">
        <v>1319</v>
      </c>
      <c r="K4118" s="93">
        <v>24.0</v>
      </c>
      <c r="L4118" s="112" t="s">
        <v>62</v>
      </c>
      <c r="M4118" s="113">
        <v>20000.0</v>
      </c>
      <c r="N4118" s="115">
        <v>0.1</v>
      </c>
      <c r="O4118" s="87">
        <f t="shared" si="11"/>
        <v>432000</v>
      </c>
      <c r="P4118" s="102" t="str">
        <f t="shared" si="2"/>
        <v>Rp20,000-24 LSN-10.00%</v>
      </c>
      <c r="Q4118" s="92">
        <v>45425.0</v>
      </c>
      <c r="R4118" s="76"/>
      <c r="S4118" s="92">
        <v>45432.0</v>
      </c>
      <c r="T4118" s="49"/>
      <c r="V4118" s="21" t="s">
        <v>2109</v>
      </c>
    </row>
    <row r="4119">
      <c r="A4119" s="93">
        <v>206.0</v>
      </c>
      <c r="B4119" s="77" t="s">
        <v>29</v>
      </c>
      <c r="C4119" s="77" t="s">
        <v>3697</v>
      </c>
      <c r="D4119" s="77" t="s">
        <v>949</v>
      </c>
      <c r="E4119" s="41" t="str">
        <f>IFERROR(__xludf.DUMMYFUNCTION("IFNA(vlookup(D4119,IMPORTRANGE(""https://docs.google.com/spreadsheets/d/1swGwZOEqYlTEUCJLY-eeJM1911Kvaei5oySBIxdgtNo/edit?pli=1#gid=257618397"",""stock untanna!B:C""),2,false),V:V)"),"BP GEL DT-236")</f>
        <v>BP GEL DT-236</v>
      </c>
      <c r="F4119" s="49"/>
      <c r="G4119" s="71"/>
      <c r="H4119" s="41"/>
      <c r="I4119" s="42"/>
      <c r="J4119" s="85" t="s">
        <v>1319</v>
      </c>
      <c r="K4119" s="93">
        <v>288.0</v>
      </c>
      <c r="L4119" s="112" t="s">
        <v>69</v>
      </c>
      <c r="M4119" s="113">
        <v>1666.67</v>
      </c>
      <c r="N4119" s="115">
        <v>0.1</v>
      </c>
      <c r="O4119" s="87">
        <f t="shared" si="11"/>
        <v>432000.864</v>
      </c>
      <c r="P4119" s="102" t="str">
        <f t="shared" si="2"/>
        <v>Rp1,667-288 PCS-10.00%</v>
      </c>
      <c r="Q4119" s="92">
        <v>45425.0</v>
      </c>
      <c r="R4119" s="76"/>
      <c r="S4119" s="92">
        <v>45432.0</v>
      </c>
      <c r="T4119" s="49"/>
      <c r="V4119" s="21" t="s">
        <v>950</v>
      </c>
    </row>
    <row r="4120">
      <c r="A4120" s="93">
        <v>206.0</v>
      </c>
      <c r="B4120" s="77" t="s">
        <v>29</v>
      </c>
      <c r="C4120" s="77" t="s">
        <v>3697</v>
      </c>
      <c r="D4120" s="77" t="s">
        <v>2110</v>
      </c>
      <c r="E4120" s="41" t="str">
        <f>IFERROR(__xludf.DUMMYFUNCTION("IFNA(vlookup(D4120,IMPORTRANGE(""https://docs.google.com/spreadsheets/d/1swGwZOEqYlTEUCJLY-eeJM1911Kvaei5oySBIxdgtNo/edit?pli=1#gid=257618397"",""stock untanna!B:C""),2,false),V:V)"),"BP GEL DTIAN DT-225")</f>
        <v>BP GEL DTIAN DT-225</v>
      </c>
      <c r="F4120" s="49"/>
      <c r="G4120" s="71"/>
      <c r="H4120" s="41"/>
      <c r="I4120" s="42"/>
      <c r="J4120" s="85" t="s">
        <v>1319</v>
      </c>
      <c r="K4120" s="93">
        <v>24.0</v>
      </c>
      <c r="L4120" s="112" t="s">
        <v>62</v>
      </c>
      <c r="M4120" s="113">
        <v>20000.0</v>
      </c>
      <c r="N4120" s="115">
        <v>0.1</v>
      </c>
      <c r="O4120" s="87">
        <f t="shared" si="11"/>
        <v>432000</v>
      </c>
      <c r="P4120" s="102" t="str">
        <f t="shared" si="2"/>
        <v>Rp20,000-24 LSN-10.00%</v>
      </c>
      <c r="Q4120" s="92">
        <v>45425.0</v>
      </c>
      <c r="R4120" s="76"/>
      <c r="S4120" s="92">
        <v>45432.0</v>
      </c>
      <c r="T4120" s="49"/>
      <c r="V4120" s="21" t="s">
        <v>2111</v>
      </c>
    </row>
    <row r="4121">
      <c r="A4121" s="93">
        <v>206.0</v>
      </c>
      <c r="B4121" s="77" t="s">
        <v>29</v>
      </c>
      <c r="C4121" s="77" t="s">
        <v>3697</v>
      </c>
      <c r="D4121" s="77" t="s">
        <v>676</v>
      </c>
      <c r="E4121" s="41" t="str">
        <f>IFERROR(__xludf.DUMMYFUNCTION("IFNA(vlookup(D4121,IMPORTRANGE(""https://docs.google.com/spreadsheets/d/1swGwZOEqYlTEUCJLY-eeJM1911Kvaei5oySBIxdgtNo/edit?pli=1#gid=257618397"",""stock untanna!B:C""),2,false),V:V)"),"BP GEL 8807")</f>
        <v>BP GEL 8807</v>
      </c>
      <c r="F4121" s="49"/>
      <c r="G4121" s="71"/>
      <c r="H4121" s="41"/>
      <c r="I4121" s="42"/>
      <c r="J4121" s="85" t="s">
        <v>1319</v>
      </c>
      <c r="K4121" s="93">
        <v>24.0</v>
      </c>
      <c r="L4121" s="112" t="s">
        <v>62</v>
      </c>
      <c r="M4121" s="113">
        <v>15000.0</v>
      </c>
      <c r="N4121" s="115">
        <v>0.1</v>
      </c>
      <c r="O4121" s="87">
        <f t="shared" si="11"/>
        <v>324000</v>
      </c>
      <c r="P4121" s="102" t="str">
        <f t="shared" si="2"/>
        <v>Rp15,000-24 LSN-10.00%</v>
      </c>
      <c r="Q4121" s="92">
        <v>45425.0</v>
      </c>
      <c r="R4121" s="76"/>
      <c r="S4121" s="92">
        <v>45432.0</v>
      </c>
      <c r="T4121" s="49"/>
      <c r="V4121" s="21" t="s">
        <v>677</v>
      </c>
    </row>
    <row r="4122">
      <c r="A4122" s="93">
        <v>206.0</v>
      </c>
      <c r="B4122" s="77" t="s">
        <v>29</v>
      </c>
      <c r="C4122" s="77" t="s">
        <v>3697</v>
      </c>
      <c r="D4122" s="77" t="s">
        <v>434</v>
      </c>
      <c r="E4122" s="41" t="str">
        <f>IFERROR(__xludf.DUMMYFUNCTION("IFNA(vlookup(D4122,IMPORTRANGE(""https://docs.google.com/spreadsheets/d/1swGwZOEqYlTEUCJLY-eeJM1911Kvaei5oySBIxdgtNo/edit?pli=1#gid=257618397"",""stock untanna!B:C""),2,false),V:V)"),"BP GEL DTIAN 8801")</f>
        <v>BP GEL DTIAN 8801</v>
      </c>
      <c r="F4122" s="49"/>
      <c r="G4122" s="71"/>
      <c r="H4122" s="41"/>
      <c r="I4122" s="42"/>
      <c r="J4122" s="85" t="s">
        <v>1319</v>
      </c>
      <c r="K4122" s="93">
        <v>24.0</v>
      </c>
      <c r="L4122" s="112" t="s">
        <v>62</v>
      </c>
      <c r="M4122" s="113">
        <v>15000.0</v>
      </c>
      <c r="N4122" s="115">
        <v>0.1</v>
      </c>
      <c r="O4122" s="87">
        <f t="shared" si="11"/>
        <v>324000</v>
      </c>
      <c r="P4122" s="102" t="str">
        <f t="shared" si="2"/>
        <v>Rp15,000-24 LSN-10.00%</v>
      </c>
      <c r="Q4122" s="92">
        <v>45425.0</v>
      </c>
      <c r="R4122" s="76"/>
      <c r="S4122" s="92">
        <v>45432.0</v>
      </c>
      <c r="T4122" s="49"/>
      <c r="V4122" s="21" t="s">
        <v>435</v>
      </c>
    </row>
    <row r="4123">
      <c r="A4123" s="93">
        <v>206.0</v>
      </c>
      <c r="B4123" s="77" t="s">
        <v>29</v>
      </c>
      <c r="C4123" s="77" t="s">
        <v>3697</v>
      </c>
      <c r="D4123" s="91"/>
      <c r="E4123" s="41" t="str">
        <f>IFERROR(__xludf.DUMMYFUNCTION("IFNA(vlookup(D4123,IMPORTRANGE(""https://docs.google.com/spreadsheets/d/1swGwZOEqYlTEUCJLY-eeJM1911Kvaei5oySBIxdgtNo/edit?pli=1#gid=257618397"",""stock untanna!B:C""),2,false),V:V)"),"GEL D TIAN 615")</f>
        <v>GEL D TIAN 615</v>
      </c>
      <c r="F4123" s="49"/>
      <c r="G4123" s="71"/>
      <c r="H4123" s="41"/>
      <c r="I4123" s="42"/>
      <c r="J4123" s="85" t="s">
        <v>3190</v>
      </c>
      <c r="K4123" s="93">
        <v>24.0</v>
      </c>
      <c r="L4123" s="112" t="s">
        <v>62</v>
      </c>
      <c r="M4123" s="113">
        <v>15000.0</v>
      </c>
      <c r="N4123" s="115">
        <v>0.1</v>
      </c>
      <c r="O4123" s="87">
        <f t="shared" si="11"/>
        <v>324000</v>
      </c>
      <c r="P4123" s="102" t="str">
        <f t="shared" si="2"/>
        <v>Rp15,000-24 LSN-10.00%</v>
      </c>
      <c r="Q4123" s="92">
        <v>45425.0</v>
      </c>
      <c r="R4123" s="76"/>
      <c r="S4123" s="92">
        <v>45432.0</v>
      </c>
      <c r="T4123" s="49"/>
      <c r="V4123" s="21" t="s">
        <v>3700</v>
      </c>
    </row>
    <row r="4124">
      <c r="A4124" s="93">
        <v>206.0</v>
      </c>
      <c r="B4124" s="77" t="s">
        <v>29</v>
      </c>
      <c r="C4124" s="77" t="s">
        <v>3697</v>
      </c>
      <c r="D4124" s="77" t="s">
        <v>674</v>
      </c>
      <c r="E4124" s="41" t="str">
        <f>IFERROR(__xludf.DUMMYFUNCTION("IFNA(vlookup(D4124,IMPORTRANGE(""https://docs.google.com/spreadsheets/d/1swGwZOEqYlTEUCJLY-eeJM1911Kvaei5oySBIxdgtNo/edit?pli=1#gid=257618397"",""stock untanna!B:C""),2,false),V:V)"),"BP GEL 931")</f>
        <v>BP GEL 931</v>
      </c>
      <c r="F4124" s="49"/>
      <c r="G4124" s="71"/>
      <c r="H4124" s="41"/>
      <c r="I4124" s="42"/>
      <c r="J4124" s="85" t="s">
        <v>1319</v>
      </c>
      <c r="K4124" s="93">
        <v>288.0</v>
      </c>
      <c r="L4124" s="112" t="s">
        <v>69</v>
      </c>
      <c r="M4124" s="113">
        <v>1250.0</v>
      </c>
      <c r="N4124" s="115">
        <v>0.1</v>
      </c>
      <c r="O4124" s="87">
        <f t="shared" si="11"/>
        <v>324000</v>
      </c>
      <c r="P4124" s="102" t="str">
        <f t="shared" si="2"/>
        <v>Rp1,250-288 PCS-10.00%</v>
      </c>
      <c r="Q4124" s="92">
        <v>45425.0</v>
      </c>
      <c r="R4124" s="76"/>
      <c r="S4124" s="92">
        <v>45432.0</v>
      </c>
      <c r="T4124" s="49"/>
      <c r="V4124" s="21" t="s">
        <v>675</v>
      </c>
    </row>
    <row r="4125">
      <c r="A4125" s="93">
        <v>206.0</v>
      </c>
      <c r="B4125" s="77" t="s">
        <v>29</v>
      </c>
      <c r="C4125" s="77" t="s">
        <v>3697</v>
      </c>
      <c r="D4125" s="77" t="s">
        <v>31</v>
      </c>
      <c r="E4125" s="41" t="str">
        <f>IFERROR(__xludf.DUMMYFUNCTION("IFNA(vlookup(D4125,IMPORTRANGE(""https://docs.google.com/spreadsheets/d/1swGwZOEqYlTEUCJLY-eeJM1911Kvaei5oySBIxdgtNo/edit?pli=1#gid=257618397"",""stock untanna!B:C""),2,false),V:V)"),"ISI STAPLER 13/8 JOSS")</f>
        <v>ISI STAPLER 13/8 JOSS</v>
      </c>
      <c r="F4125" s="49"/>
      <c r="G4125" s="71"/>
      <c r="H4125" s="41"/>
      <c r="I4125" s="42"/>
      <c r="J4125" s="85" t="s">
        <v>1319</v>
      </c>
      <c r="K4125" s="93">
        <v>25.0</v>
      </c>
      <c r="L4125" s="112" t="s">
        <v>114</v>
      </c>
      <c r="M4125" s="113">
        <v>18500.0</v>
      </c>
      <c r="N4125" s="74"/>
      <c r="O4125" s="87">
        <f t="shared" si="11"/>
        <v>462500</v>
      </c>
      <c r="P4125" s="102" t="str">
        <f t="shared" si="2"/>
        <v>Rp18,500-25 PAK-0.00%</v>
      </c>
      <c r="Q4125" s="92">
        <v>45425.0</v>
      </c>
      <c r="R4125" s="76"/>
      <c r="S4125" s="92">
        <v>45432.0</v>
      </c>
      <c r="T4125" s="49"/>
      <c r="V4125" s="21" t="s">
        <v>113</v>
      </c>
    </row>
    <row r="4126">
      <c r="A4126" s="93">
        <v>206.0</v>
      </c>
      <c r="B4126" s="77" t="s">
        <v>29</v>
      </c>
      <c r="C4126" s="77" t="s">
        <v>3697</v>
      </c>
      <c r="D4126" s="77" t="s">
        <v>1193</v>
      </c>
      <c r="E4126" s="41" t="str">
        <f>IFERROR(__xludf.DUMMYFUNCTION("IFNA(vlookup(D4126,IMPORTRANGE(""https://docs.google.com/spreadsheets/d/1swGwZOEqYlTEUCJLY-eeJM1911Kvaei5oySBIxdgtNo/edit?pli=1#gid=257618397"",""stock untanna!B:C""),2,false),V:V)"),"ISI GEL GR 090 (20PCS TABUNG)")</f>
        <v>ISI GEL GR 090 (20PCS TABUNG)</v>
      </c>
      <c r="F4126" s="49"/>
      <c r="G4126" s="71"/>
      <c r="H4126" s="41"/>
      <c r="I4126" s="42"/>
      <c r="J4126" s="85" t="s">
        <v>1319</v>
      </c>
      <c r="K4126" s="93">
        <v>3.0</v>
      </c>
      <c r="L4126" s="112" t="s">
        <v>88</v>
      </c>
      <c r="M4126" s="113">
        <v>216000.0</v>
      </c>
      <c r="N4126" s="74"/>
      <c r="O4126" s="87">
        <f t="shared" si="11"/>
        <v>648000</v>
      </c>
      <c r="P4126" s="102" t="str">
        <f t="shared" si="2"/>
        <v>Rp216,000-3 BOX-0.00%</v>
      </c>
      <c r="Q4126" s="92">
        <v>45425.0</v>
      </c>
      <c r="R4126" s="76"/>
      <c r="S4126" s="92">
        <v>45432.0</v>
      </c>
      <c r="T4126" s="49"/>
      <c r="V4126" s="21" t="s">
        <v>1194</v>
      </c>
    </row>
    <row r="4127">
      <c r="A4127" s="93">
        <v>206.0</v>
      </c>
      <c r="B4127" s="77" t="s">
        <v>29</v>
      </c>
      <c r="C4127" s="77" t="s">
        <v>3697</v>
      </c>
      <c r="D4127" s="91"/>
      <c r="E4127" s="41" t="str">
        <f>IFERROR(__xludf.DUMMYFUNCTION("IFNA(vlookup(D4127,IMPORTRANGE(""https://docs.google.com/spreadsheets/d/1swGwZOEqYlTEUCJLY-eeJM1911Kvaei5oySBIxdgtNo/edit?pli=1#gid=257618397"",""stock untanna!B:C""),2,false),V:V)"),"PENSIL 2B KYPF 3057")</f>
        <v>PENSIL 2B KYPF 3057</v>
      </c>
      <c r="F4127" s="49"/>
      <c r="G4127" s="71"/>
      <c r="H4127" s="41"/>
      <c r="I4127" s="42"/>
      <c r="J4127" s="85" t="s">
        <v>3190</v>
      </c>
      <c r="K4127" s="93">
        <v>2.0</v>
      </c>
      <c r="L4127" s="112" t="s">
        <v>131</v>
      </c>
      <c r="M4127" s="113">
        <v>105000.0</v>
      </c>
      <c r="N4127" s="74"/>
      <c r="O4127" s="87">
        <f t="shared" si="11"/>
        <v>210000</v>
      </c>
      <c r="P4127" s="102" t="str">
        <f t="shared" si="2"/>
        <v>Rp105,000-2 GRS-0.00%</v>
      </c>
      <c r="Q4127" s="92">
        <v>45425.0</v>
      </c>
      <c r="R4127" s="76"/>
      <c r="S4127" s="92">
        <v>45432.0</v>
      </c>
      <c r="T4127" s="49"/>
      <c r="V4127" s="21" t="s">
        <v>2529</v>
      </c>
    </row>
    <row r="4128">
      <c r="A4128" s="93">
        <v>206.0</v>
      </c>
      <c r="B4128" s="77" t="s">
        <v>29</v>
      </c>
      <c r="C4128" s="77" t="s">
        <v>3697</v>
      </c>
      <c r="D4128" s="77" t="s">
        <v>1656</v>
      </c>
      <c r="E4128" s="41" t="str">
        <f>IFERROR(__xludf.DUMMYFUNCTION("IFNA(vlookup(D4128,IMPORTRANGE(""https://docs.google.com/spreadsheets/d/1swGwZOEqYlTEUCJLY-eeJM1911Kvaei5oySBIxdgtNo/edit?pli=1#gid=257618397"",""stock untanna!B:C""),2,false),V:V)"),"PENSIL 2B KAYAGI 3041")</f>
        <v>PENSIL 2B KAYAGI 3041</v>
      </c>
      <c r="F4128" s="49"/>
      <c r="G4128" s="71"/>
      <c r="H4128" s="41"/>
      <c r="I4128" s="42"/>
      <c r="J4128" s="85" t="s">
        <v>1319</v>
      </c>
      <c r="K4128" s="93">
        <v>2.0</v>
      </c>
      <c r="L4128" s="112" t="s">
        <v>131</v>
      </c>
      <c r="M4128" s="113">
        <v>105000.0</v>
      </c>
      <c r="N4128" s="74"/>
      <c r="O4128" s="87">
        <f t="shared" si="11"/>
        <v>210000</v>
      </c>
      <c r="P4128" s="102" t="str">
        <f t="shared" si="2"/>
        <v>Rp105,000-2 GRS-0.00%</v>
      </c>
      <c r="Q4128" s="92">
        <v>45425.0</v>
      </c>
      <c r="R4128" s="76"/>
      <c r="S4128" s="92">
        <v>45432.0</v>
      </c>
      <c r="T4128" s="49"/>
      <c r="V4128" s="21" t="s">
        <v>1657</v>
      </c>
    </row>
    <row r="4129">
      <c r="A4129" s="93">
        <v>207.0</v>
      </c>
      <c r="B4129" s="77" t="s">
        <v>29</v>
      </c>
      <c r="C4129" s="77" t="s">
        <v>3697</v>
      </c>
      <c r="D4129" s="91"/>
      <c r="E4129" s="41" t="str">
        <f>IFERROR(__xludf.DUMMYFUNCTION("IFNA(vlookup(D4129,IMPORTRANGE(""https://docs.google.com/spreadsheets/d/1swGwZOEqYlTEUCJLY-eeJM1911Kvaei5oySBIxdgtNo/edit?pli=1#gid=257618397"",""stock untanna!B:C""),2,false),V:V)"),"PENSIL 2B FANCY SET")</f>
        <v>PENSIL 2B FANCY SET</v>
      </c>
      <c r="F4129" s="49"/>
      <c r="G4129" s="71"/>
      <c r="H4129" s="41"/>
      <c r="I4129" s="42"/>
      <c r="J4129" s="85" t="s">
        <v>3190</v>
      </c>
      <c r="K4129" s="93">
        <v>2.0</v>
      </c>
      <c r="L4129" s="112" t="s">
        <v>131</v>
      </c>
      <c r="M4129" s="113">
        <v>50000.0</v>
      </c>
      <c r="N4129" s="74"/>
      <c r="O4129" s="87">
        <f t="shared" si="11"/>
        <v>100000</v>
      </c>
      <c r="P4129" s="102" t="str">
        <f t="shared" si="2"/>
        <v>Rp50,000-2 GRS-0.00%</v>
      </c>
      <c r="Q4129" s="92">
        <v>45425.0</v>
      </c>
      <c r="R4129" s="76"/>
      <c r="S4129" s="92">
        <v>45432.0</v>
      </c>
      <c r="T4129" s="49"/>
      <c r="V4129" s="21" t="s">
        <v>3701</v>
      </c>
    </row>
    <row r="4130">
      <c r="A4130" s="93">
        <v>207.0</v>
      </c>
      <c r="B4130" s="77" t="s">
        <v>29</v>
      </c>
      <c r="C4130" s="77" t="s">
        <v>3697</v>
      </c>
      <c r="D4130" s="77" t="s">
        <v>782</v>
      </c>
      <c r="E4130" s="41" t="str">
        <f>IFERROR(__xludf.DUMMYFUNCTION("IFNA(vlookup(D4130,IMPORTRANGE(""https://docs.google.com/spreadsheets/d/1swGwZOEqYlTEUCJLY-eeJM1911Kvaei5oySBIxdgtNo/edit?pli=1#gid=257618397"",""stock untanna!B:C""),2,false),V:V)"),"CRAYON PUTAR FANCY 1011/2011 PENDEK CEWEK COWOK 12W")</f>
        <v>CRAYON PUTAR FANCY 1011/2011 PENDEK CEWEK COWOK 12W</v>
      </c>
      <c r="F4130" s="49"/>
      <c r="G4130" s="71"/>
      <c r="H4130" s="41"/>
      <c r="I4130" s="42"/>
      <c r="J4130" s="85" t="s">
        <v>1319</v>
      </c>
      <c r="K4130" s="93">
        <v>12.0</v>
      </c>
      <c r="L4130" s="112" t="s">
        <v>62</v>
      </c>
      <c r="M4130" s="113">
        <v>150000.0</v>
      </c>
      <c r="N4130" s="74"/>
      <c r="O4130" s="87">
        <f t="shared" si="11"/>
        <v>1800000</v>
      </c>
      <c r="P4130" s="102" t="str">
        <f t="shared" si="2"/>
        <v>Rp150,000-12 LSN-0.00%</v>
      </c>
      <c r="Q4130" s="92">
        <v>45425.0</v>
      </c>
      <c r="R4130" s="76"/>
      <c r="S4130" s="92">
        <v>45432.0</v>
      </c>
      <c r="T4130" s="49"/>
      <c r="V4130" s="21" t="s">
        <v>1591</v>
      </c>
    </row>
    <row r="4131">
      <c r="A4131" s="93">
        <v>207.0</v>
      </c>
      <c r="B4131" s="77" t="s">
        <v>29</v>
      </c>
      <c r="C4131" s="77" t="s">
        <v>3697</v>
      </c>
      <c r="D4131" s="77" t="s">
        <v>138</v>
      </c>
      <c r="E4131" s="41" t="str">
        <f>IFERROR(__xludf.DUMMYFUNCTION("IFNA(vlookup(D4131,IMPORTRANGE(""https://docs.google.com/spreadsheets/d/1swGwZOEqYlTEUCJLY-eeJM1911Kvaei5oySBIxdgtNo/edit?pli=1#gid=257618397"",""stock untanna!B:C""),2,false),V:V)"),"GARISAN LIPAT 008 (40) 30 CM FANCY")</f>
        <v>GARISAN LIPAT 008 (40) 30 CM FANCY</v>
      </c>
      <c r="F4131" s="49"/>
      <c r="G4131" s="71"/>
      <c r="H4131" s="41"/>
      <c r="I4131" s="42"/>
      <c r="J4131" s="85" t="s">
        <v>1319</v>
      </c>
      <c r="K4131" s="93">
        <v>10.0</v>
      </c>
      <c r="L4131" s="112" t="s">
        <v>88</v>
      </c>
      <c r="M4131" s="113">
        <v>50000.0</v>
      </c>
      <c r="N4131" s="74"/>
      <c r="O4131" s="87">
        <f t="shared" si="11"/>
        <v>500000</v>
      </c>
      <c r="P4131" s="102" t="str">
        <f t="shared" si="2"/>
        <v>Rp50,000-10 BOX-0.00%</v>
      </c>
      <c r="Q4131" s="92">
        <v>45425.0</v>
      </c>
      <c r="R4131" s="76"/>
      <c r="S4131" s="92">
        <v>45432.0</v>
      </c>
      <c r="T4131" s="49"/>
      <c r="V4131" s="21" t="s">
        <v>139</v>
      </c>
    </row>
    <row r="4132">
      <c r="A4132" s="93">
        <v>207.0</v>
      </c>
      <c r="B4132" s="77" t="s">
        <v>29</v>
      </c>
      <c r="C4132" s="77" t="s">
        <v>3697</v>
      </c>
      <c r="D4132" s="77" t="s">
        <v>383</v>
      </c>
      <c r="E4132" s="41" t="str">
        <f>IFERROR(__xludf.DUMMYFUNCTION("IFNA(vlookup(D4132,IMPORTRANGE(""https://docs.google.com/spreadsheets/d/1swGwZOEqYlTEUCJLY-eeJM1911Kvaei5oySBIxdgtNo/edit?pli=1#gid=257618397"",""stock untanna!B:C""),2,false),V:V)"),"GARISAN BC-6018")</f>
        <v>GARISAN BC-6018</v>
      </c>
      <c r="F4132" s="49"/>
      <c r="G4132" s="71"/>
      <c r="H4132" s="41"/>
      <c r="I4132" s="42"/>
      <c r="J4132" s="85" t="s">
        <v>1319</v>
      </c>
      <c r="K4132" s="93">
        <v>50.0</v>
      </c>
      <c r="L4132" s="112" t="s">
        <v>69</v>
      </c>
      <c r="M4132" s="113">
        <v>4250.0</v>
      </c>
      <c r="N4132" s="74"/>
      <c r="O4132" s="87">
        <f t="shared" si="11"/>
        <v>212500</v>
      </c>
      <c r="P4132" s="102" t="str">
        <f t="shared" si="2"/>
        <v>Rp4,250-50 PCS-0.00%</v>
      </c>
      <c r="Q4132" s="92">
        <v>45425.0</v>
      </c>
      <c r="R4132" s="76"/>
      <c r="S4132" s="92">
        <v>45432.0</v>
      </c>
      <c r="T4132" s="49"/>
      <c r="V4132" s="21" t="s">
        <v>384</v>
      </c>
    </row>
    <row r="4133">
      <c r="A4133" s="93">
        <v>207.0</v>
      </c>
      <c r="B4133" s="77" t="s">
        <v>29</v>
      </c>
      <c r="C4133" s="77" t="s">
        <v>3697</v>
      </c>
      <c r="D4133" s="77" t="s">
        <v>389</v>
      </c>
      <c r="E4133" s="41" t="str">
        <f>IFERROR(__xludf.DUMMYFUNCTION("IFNA(vlookup(D4133,IMPORTRANGE(""https://docs.google.com/spreadsheets/d/1swGwZOEqYlTEUCJLY-eeJM1911Kvaei5oySBIxdgtNo/edit?pli=1#gid=257618397"",""stock untanna!B:C""),2,false),V:V)"),"GARISAN ZH-251 20 CM")</f>
        <v>GARISAN ZH-251 20 CM</v>
      </c>
      <c r="F4133" s="49"/>
      <c r="G4133" s="71"/>
      <c r="H4133" s="41"/>
      <c r="I4133" s="42"/>
      <c r="J4133" s="85" t="s">
        <v>1319</v>
      </c>
      <c r="K4133" s="93">
        <v>80.0</v>
      </c>
      <c r="L4133" s="112" t="s">
        <v>69</v>
      </c>
      <c r="M4133" s="113">
        <v>1600.0</v>
      </c>
      <c r="N4133" s="74"/>
      <c r="O4133" s="87">
        <f t="shared" si="11"/>
        <v>128000</v>
      </c>
      <c r="P4133" s="102" t="str">
        <f t="shared" si="2"/>
        <v>Rp1,600-80 PCS-0.00%</v>
      </c>
      <c r="Q4133" s="92">
        <v>45425.0</v>
      </c>
      <c r="R4133" s="76"/>
      <c r="S4133" s="92">
        <v>45432.0</v>
      </c>
      <c r="T4133" s="49"/>
      <c r="V4133" s="21" t="s">
        <v>390</v>
      </c>
    </row>
    <row r="4134">
      <c r="A4134" s="93">
        <v>207.0</v>
      </c>
      <c r="B4134" s="77" t="s">
        <v>29</v>
      </c>
      <c r="C4134" s="77" t="s">
        <v>3697</v>
      </c>
      <c r="D4134" s="77" t="s">
        <v>3291</v>
      </c>
      <c r="E4134" s="41" t="str">
        <f>IFERROR(__xludf.DUMMYFUNCTION("IFNA(vlookup(D4134,IMPORTRANGE(""https://docs.google.com/spreadsheets/d/1swGwZOEqYlTEUCJLY-eeJM1911Kvaei5oySBIxdgtNo/edit?pli=1#gid=257618397"",""stock untanna!B:C""),2,false),V:V)"),"GARISAN KT005")</f>
        <v>GARISAN KT005</v>
      </c>
      <c r="F4134" s="49"/>
      <c r="G4134" s="71"/>
      <c r="H4134" s="41"/>
      <c r="I4134" s="42"/>
      <c r="J4134" s="85" t="s">
        <v>1319</v>
      </c>
      <c r="K4134" s="93">
        <v>51.996</v>
      </c>
      <c r="L4134" s="112" t="s">
        <v>69</v>
      </c>
      <c r="M4134" s="113">
        <v>3333.33</v>
      </c>
      <c r="N4134" s="74"/>
      <c r="O4134" s="87">
        <f t="shared" si="11"/>
        <v>173319.8267</v>
      </c>
      <c r="P4134" s="102" t="str">
        <f t="shared" si="2"/>
        <v>Rp3,333-51.996 PCS-0.00%</v>
      </c>
      <c r="Q4134" s="92">
        <v>45425.0</v>
      </c>
      <c r="R4134" s="76"/>
      <c r="S4134" s="92">
        <v>45432.0</v>
      </c>
      <c r="T4134" s="49"/>
      <c r="V4134" s="21" t="s">
        <v>3292</v>
      </c>
    </row>
    <row r="4135">
      <c r="A4135" s="93">
        <v>207.0</v>
      </c>
      <c r="B4135" s="77" t="s">
        <v>29</v>
      </c>
      <c r="C4135" s="77" t="s">
        <v>3697</v>
      </c>
      <c r="D4135" s="77" t="s">
        <v>366</v>
      </c>
      <c r="E4135" s="41" t="str">
        <f>IFERROR(__xludf.DUMMYFUNCTION("IFNA(vlookup(D4135,IMPORTRANGE(""https://docs.google.com/spreadsheets/d/1swGwZOEqYlTEUCJLY-eeJM1911Kvaei5oySBIxdgtNo/edit?pli=1#gid=257618397"",""stock untanna!B:C""),2,false),V:V)"),"GARISAN 30CM KAYAGI 3123")</f>
        <v>GARISAN 30CM KAYAGI 3123</v>
      </c>
      <c r="F4135" s="49"/>
      <c r="G4135" s="71"/>
      <c r="H4135" s="41"/>
      <c r="I4135" s="42"/>
      <c r="J4135" s="85" t="s">
        <v>1319</v>
      </c>
      <c r="K4135" s="93">
        <v>16.0</v>
      </c>
      <c r="L4135" s="112" t="s">
        <v>62</v>
      </c>
      <c r="M4135" s="113">
        <v>30000.0</v>
      </c>
      <c r="N4135" s="74"/>
      <c r="O4135" s="87">
        <f t="shared" si="11"/>
        <v>480000</v>
      </c>
      <c r="P4135" s="102" t="str">
        <f t="shared" si="2"/>
        <v>Rp30,000-16 LSN-0.00%</v>
      </c>
      <c r="Q4135" s="92">
        <v>45425.0</v>
      </c>
      <c r="R4135" s="76"/>
      <c r="S4135" s="92">
        <v>45432.0</v>
      </c>
      <c r="T4135" s="49"/>
      <c r="V4135" s="21" t="s">
        <v>367</v>
      </c>
    </row>
    <row r="4136">
      <c r="A4136" s="93">
        <v>207.0</v>
      </c>
      <c r="B4136" s="77" t="s">
        <v>29</v>
      </c>
      <c r="C4136" s="77" t="s">
        <v>3697</v>
      </c>
      <c r="D4136" s="77" t="s">
        <v>1597</v>
      </c>
      <c r="E4136" s="41" t="str">
        <f>IFERROR(__xludf.DUMMYFUNCTION("IFNA(vlookup(D4136,IMPORTRANGE(""https://docs.google.com/spreadsheets/d/1swGwZOEqYlTEUCJLY-eeJM1911Kvaei5oySBIxdgtNo/edit?pli=1#gid=257618397"",""stock untanna!B:C""),2,false),V:V)"),"GARISAN KAYAGI 3124 30CM")</f>
        <v>GARISAN KAYAGI 3124 30CM</v>
      </c>
      <c r="F4136" s="49"/>
      <c r="G4136" s="71"/>
      <c r="H4136" s="41"/>
      <c r="I4136" s="42"/>
      <c r="J4136" s="85" t="s">
        <v>1319</v>
      </c>
      <c r="K4136" s="93">
        <v>16.0</v>
      </c>
      <c r="L4136" s="112" t="s">
        <v>62</v>
      </c>
      <c r="M4136" s="113">
        <v>30000.0</v>
      </c>
      <c r="N4136" s="74"/>
      <c r="O4136" s="87">
        <f t="shared" si="11"/>
        <v>480000</v>
      </c>
      <c r="P4136" s="102" t="str">
        <f t="shared" si="2"/>
        <v>Rp30,000-16 LSN-0.00%</v>
      </c>
      <c r="Q4136" s="92">
        <v>45425.0</v>
      </c>
      <c r="R4136" s="76"/>
      <c r="S4136" s="92">
        <v>45432.0</v>
      </c>
      <c r="T4136" s="49"/>
      <c r="V4136" s="21" t="s">
        <v>1598</v>
      </c>
    </row>
    <row r="4137">
      <c r="A4137" s="93">
        <v>207.0</v>
      </c>
      <c r="B4137" s="77" t="s">
        <v>29</v>
      </c>
      <c r="C4137" s="77" t="s">
        <v>3697</v>
      </c>
      <c r="D4137" s="91"/>
      <c r="E4137" s="41" t="str">
        <f>IFERROR(__xludf.DUMMYFUNCTION("IFNA(vlookup(D4137,IMPORTRANGE(""https://docs.google.com/spreadsheets/d/1swGwZOEqYlTEUCJLY-eeJM1911Kvaei5oySBIxdgtNo/edit?pli=1#gid=257618397"",""stock untanna!B:C""),2,false),V:V)"),"GARISAN 30CM FANCY GLITTER")</f>
        <v>GARISAN 30CM FANCY GLITTER</v>
      </c>
      <c r="F4137" s="49"/>
      <c r="G4137" s="71"/>
      <c r="H4137" s="41"/>
      <c r="I4137" s="42"/>
      <c r="J4137" s="85" t="s">
        <v>3190</v>
      </c>
      <c r="K4137" s="93">
        <v>10.0</v>
      </c>
      <c r="L4137" s="112" t="s">
        <v>62</v>
      </c>
      <c r="M4137" s="113">
        <v>35000.0</v>
      </c>
      <c r="N4137" s="74"/>
      <c r="O4137" s="87">
        <f t="shared" si="11"/>
        <v>350000</v>
      </c>
      <c r="P4137" s="102" t="str">
        <f t="shared" si="2"/>
        <v>Rp35,000-10 LSN-0.00%</v>
      </c>
      <c r="Q4137" s="92">
        <v>45425.0</v>
      </c>
      <c r="R4137" s="76"/>
      <c r="S4137" s="92">
        <v>45432.0</v>
      </c>
      <c r="T4137" s="49"/>
      <c r="V4137" s="21" t="s">
        <v>3702</v>
      </c>
    </row>
    <row r="4138">
      <c r="A4138" s="93">
        <v>207.0</v>
      </c>
      <c r="B4138" s="77" t="s">
        <v>29</v>
      </c>
      <c r="C4138" s="77" t="s">
        <v>3697</v>
      </c>
      <c r="D4138" s="91"/>
      <c r="E4138" s="41" t="str">
        <f>IFERROR(__xludf.DUMMYFUNCTION("IFNA(vlookup(D4138,IMPORTRANGE(""https://docs.google.com/spreadsheets/d/1swGwZOEqYlTEUCJLY-eeJM1911Kvaei5oySBIxdgtNo/edit?pli=1#gid=257618397"",""stock untanna!B:C""),2,false),V:V)"),"GARISAN 30CM ALUMINIUM GLITTER")</f>
        <v>GARISAN 30CM ALUMINIUM GLITTER</v>
      </c>
      <c r="F4138" s="49"/>
      <c r="G4138" s="71"/>
      <c r="H4138" s="41"/>
      <c r="I4138" s="42"/>
      <c r="J4138" s="85" t="s">
        <v>3190</v>
      </c>
      <c r="K4138" s="93">
        <v>10.0</v>
      </c>
      <c r="L4138" s="112" t="s">
        <v>62</v>
      </c>
      <c r="M4138" s="113">
        <v>75000.0</v>
      </c>
      <c r="N4138" s="74"/>
      <c r="O4138" s="87">
        <f t="shared" si="11"/>
        <v>750000</v>
      </c>
      <c r="P4138" s="102" t="str">
        <f t="shared" si="2"/>
        <v>Rp75,000-10 LSN-0.00%</v>
      </c>
      <c r="Q4138" s="92">
        <v>45425.0</v>
      </c>
      <c r="R4138" s="76"/>
      <c r="S4138" s="92">
        <v>45432.0</v>
      </c>
      <c r="T4138" s="49"/>
      <c r="V4138" s="21" t="s">
        <v>2545</v>
      </c>
    </row>
    <row r="4139">
      <c r="A4139" s="93">
        <v>207.0</v>
      </c>
      <c r="B4139" s="77" t="s">
        <v>29</v>
      </c>
      <c r="C4139" s="77" t="s">
        <v>3697</v>
      </c>
      <c r="D4139" s="91"/>
      <c r="E4139" s="41" t="str">
        <f>IFERROR(__xludf.DUMMYFUNCTION("IFNA(vlookup(D4139,IMPORTRANGE(""https://docs.google.com/spreadsheets/d/1swGwZOEqYlTEUCJLY-eeJM1911Kvaei5oySBIxdgtNo/edit?pli=1#gid=257618397"",""stock untanna!B:C""),2,false),V:V)"),"GARISAN ABC 250")</f>
        <v>GARISAN ABC 250</v>
      </c>
      <c r="F4139" s="49"/>
      <c r="G4139" s="71"/>
      <c r="H4139" s="41"/>
      <c r="I4139" s="42"/>
      <c r="J4139" s="85" t="s">
        <v>3190</v>
      </c>
      <c r="K4139" s="93">
        <v>5.0</v>
      </c>
      <c r="L4139" s="112" t="s">
        <v>62</v>
      </c>
      <c r="M4139" s="113">
        <v>17500.0</v>
      </c>
      <c r="N4139" s="74"/>
      <c r="O4139" s="87">
        <f t="shared" si="11"/>
        <v>87500</v>
      </c>
      <c r="P4139" s="102" t="str">
        <f t="shared" si="2"/>
        <v>Rp17,500-5 LSN-0.00%</v>
      </c>
      <c r="Q4139" s="92">
        <v>45425.0</v>
      </c>
      <c r="R4139" s="76"/>
      <c r="S4139" s="92">
        <v>45432.0</v>
      </c>
      <c r="T4139" s="49"/>
      <c r="V4139" s="21" t="s">
        <v>1579</v>
      </c>
    </row>
    <row r="4140">
      <c r="A4140" s="93">
        <v>207.0</v>
      </c>
      <c r="B4140" s="77" t="s">
        <v>29</v>
      </c>
      <c r="C4140" s="77" t="s">
        <v>3697</v>
      </c>
      <c r="D4140" s="91"/>
      <c r="E4140" s="41" t="str">
        <f>IFERROR(__xludf.DUMMYFUNCTION("IFNA(vlookup(D4140,IMPORTRANGE(""https://docs.google.com/spreadsheets/d/1swGwZOEqYlTEUCJLY-eeJM1911Kvaei5oySBIxdgtNo/edit?pli=1#gid=257618397"",""stock untanna!B:C""),2,false),V:V)"),"GARISAN ABC 350")</f>
        <v>GARISAN ABC 350</v>
      </c>
      <c r="F4140" s="49"/>
      <c r="G4140" s="71"/>
      <c r="H4140" s="41"/>
      <c r="I4140" s="42"/>
      <c r="J4140" s="85" t="s">
        <v>3190</v>
      </c>
      <c r="K4140" s="93">
        <v>3.0</v>
      </c>
      <c r="L4140" s="112" t="s">
        <v>62</v>
      </c>
      <c r="M4140" s="113">
        <v>7000.0</v>
      </c>
      <c r="N4140" s="74"/>
      <c r="O4140" s="87">
        <f t="shared" si="11"/>
        <v>21000</v>
      </c>
      <c r="P4140" s="102" t="str">
        <f t="shared" si="2"/>
        <v>Rp7,000-3 LSN-0.00%</v>
      </c>
      <c r="Q4140" s="92">
        <v>45425.0</v>
      </c>
      <c r="R4140" s="76"/>
      <c r="S4140" s="92">
        <v>45432.0</v>
      </c>
      <c r="T4140" s="49"/>
      <c r="V4140" s="21" t="s">
        <v>2522</v>
      </c>
    </row>
    <row r="4141">
      <c r="A4141" s="93">
        <v>207.0</v>
      </c>
      <c r="B4141" s="77" t="s">
        <v>29</v>
      </c>
      <c r="C4141" s="77" t="s">
        <v>3697</v>
      </c>
      <c r="D4141" s="91"/>
      <c r="E4141" s="41" t="str">
        <f>IFERROR(__xludf.DUMMYFUNCTION("IFNA(vlookup(D4141,IMPORTRANGE(""https://docs.google.com/spreadsheets/d/1swGwZOEqYlTEUCJLY-eeJM1911Kvaei5oySBIxdgtNo/edit?pli=1#gid=257618397"",""stock untanna!B:C""),2,false),V:V)"),"GARISAN ABC 300")</f>
        <v>GARISAN ABC 300</v>
      </c>
      <c r="F4141" s="49"/>
      <c r="G4141" s="71"/>
      <c r="H4141" s="41"/>
      <c r="I4141" s="42"/>
      <c r="J4141" s="85" t="s">
        <v>3190</v>
      </c>
      <c r="K4141" s="93">
        <v>3.0</v>
      </c>
      <c r="L4141" s="112" t="s">
        <v>62</v>
      </c>
      <c r="M4141" s="113">
        <v>9500.0</v>
      </c>
      <c r="N4141" s="74"/>
      <c r="O4141" s="87">
        <f t="shared" si="11"/>
        <v>28500</v>
      </c>
      <c r="P4141" s="102" t="str">
        <f t="shared" si="2"/>
        <v>Rp9,500-3 LSN-0.00%</v>
      </c>
      <c r="Q4141" s="92">
        <v>45425.0</v>
      </c>
      <c r="R4141" s="76"/>
      <c r="S4141" s="92">
        <v>45432.0</v>
      </c>
      <c r="T4141" s="49"/>
      <c r="V4141" s="21" t="s">
        <v>2523</v>
      </c>
    </row>
    <row r="4142">
      <c r="A4142" s="93">
        <v>207.0</v>
      </c>
      <c r="B4142" s="77" t="s">
        <v>29</v>
      </c>
      <c r="C4142" s="77" t="s">
        <v>3697</v>
      </c>
      <c r="D4142" s="91"/>
      <c r="E4142" s="41" t="str">
        <f>IFERROR(__xludf.DUMMYFUNCTION("IFNA(vlookup(D4142,IMPORTRANGE(""https://docs.google.com/spreadsheets/d/1swGwZOEqYlTEUCJLY-eeJM1911Kvaei5oySBIxdgtNo/edit?pli=1#gid=257618397"",""stock untanna!B:C""),2,false),V:V)"),"GARISAN STENSIL BESAR")</f>
        <v>GARISAN STENSIL BESAR</v>
      </c>
      <c r="F4142" s="49"/>
      <c r="G4142" s="71"/>
      <c r="H4142" s="41"/>
      <c r="I4142" s="42"/>
      <c r="J4142" s="85" t="s">
        <v>3190</v>
      </c>
      <c r="K4142" s="93">
        <v>2.0</v>
      </c>
      <c r="L4142" s="112" t="s">
        <v>62</v>
      </c>
      <c r="M4142" s="113">
        <v>90000.0</v>
      </c>
      <c r="N4142" s="74"/>
      <c r="O4142" s="87">
        <f t="shared" si="11"/>
        <v>180000</v>
      </c>
      <c r="P4142" s="102" t="str">
        <f t="shared" si="2"/>
        <v>Rp90,000-2 LSN-0.00%</v>
      </c>
      <c r="Q4142" s="92">
        <v>45425.0</v>
      </c>
      <c r="R4142" s="76"/>
      <c r="S4142" s="92">
        <v>45432.0</v>
      </c>
      <c r="T4142" s="49"/>
      <c r="V4142" s="21" t="s">
        <v>3703</v>
      </c>
    </row>
    <row r="4143">
      <c r="A4143" s="93">
        <v>207.0</v>
      </c>
      <c r="B4143" s="77" t="s">
        <v>29</v>
      </c>
      <c r="C4143" s="77" t="s">
        <v>3697</v>
      </c>
      <c r="D4143" s="91"/>
      <c r="E4143" s="41" t="str">
        <f>IFERROR(__xludf.DUMMYFUNCTION("IFNA(vlookup(D4143,IMPORTRANGE(""https://docs.google.com/spreadsheets/d/1swGwZOEqYlTEUCJLY-eeJM1911Kvaei5oySBIxdgtNo/edit?pli=1#gid=257618397"",""stock untanna!B:C""),2,false),V:V)"),"GARISAN 30CM KM 1105 MIX")</f>
        <v>GARISAN 30CM KM 1105 MIX</v>
      </c>
      <c r="F4143" s="49"/>
      <c r="G4143" s="71"/>
      <c r="H4143" s="41"/>
      <c r="I4143" s="42"/>
      <c r="J4143" s="85" t="s">
        <v>3190</v>
      </c>
      <c r="K4143" s="93">
        <v>40.0</v>
      </c>
      <c r="L4143" s="112" t="s">
        <v>62</v>
      </c>
      <c r="M4143" s="113">
        <v>17500.0</v>
      </c>
      <c r="N4143" s="74"/>
      <c r="O4143" s="87">
        <f t="shared" si="11"/>
        <v>700000</v>
      </c>
      <c r="P4143" s="102" t="str">
        <f t="shared" si="2"/>
        <v>Rp17,500-40 LSN-0.00%</v>
      </c>
      <c r="Q4143" s="92">
        <v>45425.0</v>
      </c>
      <c r="R4143" s="76"/>
      <c r="S4143" s="92">
        <v>45432.0</v>
      </c>
      <c r="T4143" s="49"/>
      <c r="V4143" s="21" t="s">
        <v>3704</v>
      </c>
    </row>
    <row r="4144">
      <c r="A4144" s="93">
        <v>207.0</v>
      </c>
      <c r="B4144" s="77" t="s">
        <v>29</v>
      </c>
      <c r="C4144" s="77" t="s">
        <v>3697</v>
      </c>
      <c r="D4144" s="77" t="s">
        <v>1092</v>
      </c>
      <c r="E4144" s="41" t="str">
        <f>IFERROR(__xludf.DUMMYFUNCTION("IFNA(vlookup(D4144,IMPORTRANGE(""https://docs.google.com/spreadsheets/d/1swGwZOEqYlTEUCJLY-eeJM1911Kvaei5oySBIxdgtNo/edit?pli=1#gid=257618397"",""stock untanna!B:C""),2,false),V:V)"),"TAPE LK-22305")</f>
        <v>TAPE LK-22305</v>
      </c>
      <c r="F4144" s="49"/>
      <c r="G4144" s="71"/>
      <c r="H4144" s="41"/>
      <c r="I4144" s="42"/>
      <c r="J4144" s="85" t="s">
        <v>1319</v>
      </c>
      <c r="K4144" s="93">
        <v>1.0</v>
      </c>
      <c r="L4144" s="112" t="s">
        <v>88</v>
      </c>
      <c r="M4144" s="113">
        <v>120000.0</v>
      </c>
      <c r="N4144" s="74"/>
      <c r="O4144" s="87">
        <f t="shared" si="11"/>
        <v>120000</v>
      </c>
      <c r="P4144" s="102" t="str">
        <f t="shared" si="2"/>
        <v>Rp120,000-1 BOX-0.00%</v>
      </c>
      <c r="Q4144" s="92">
        <v>45425.0</v>
      </c>
      <c r="R4144" s="76"/>
      <c r="S4144" s="92">
        <v>45432.0</v>
      </c>
      <c r="T4144" s="49"/>
      <c r="V4144" s="21" t="s">
        <v>1093</v>
      </c>
    </row>
    <row r="4145">
      <c r="A4145" s="93">
        <v>208.0</v>
      </c>
      <c r="B4145" s="77" t="s">
        <v>29</v>
      </c>
      <c r="C4145" s="77" t="s">
        <v>3697</v>
      </c>
      <c r="D4145" s="77" t="s">
        <v>1417</v>
      </c>
      <c r="E4145" s="41" t="str">
        <f>IFERROR(__xludf.DUMMYFUNCTION("IFNA(vlookup(D4145,IMPORTRANGE(""https://docs.google.com/spreadsheets/d/1swGwZOEqYlTEUCJLY-eeJM1911Kvaei5oySBIxdgtNo/edit?pli=1#gid=257618397"",""stock untanna!B:C""),2,false),V:V)"),"PENCIL CASE B-126")</f>
        <v>PENCIL CASE B-126</v>
      </c>
      <c r="F4145" s="49"/>
      <c r="G4145" s="71"/>
      <c r="H4145" s="41"/>
      <c r="I4145" s="42"/>
      <c r="J4145" s="85" t="s">
        <v>1319</v>
      </c>
      <c r="K4145" s="93">
        <v>60.0</v>
      </c>
      <c r="L4145" s="112" t="s">
        <v>69</v>
      </c>
      <c r="M4145" s="113">
        <v>10416.7</v>
      </c>
      <c r="N4145" s="74"/>
      <c r="O4145" s="87">
        <f t="shared" si="11"/>
        <v>625002</v>
      </c>
      <c r="P4145" s="102" t="str">
        <f t="shared" si="2"/>
        <v>Rp10,417-60 PCS-0.00%</v>
      </c>
      <c r="Q4145" s="92">
        <v>45425.0</v>
      </c>
      <c r="R4145" s="76"/>
      <c r="S4145" s="92">
        <v>45432.0</v>
      </c>
      <c r="T4145" s="77" t="s">
        <v>3705</v>
      </c>
      <c r="V4145" s="21" t="s">
        <v>1418</v>
      </c>
    </row>
    <row r="4146">
      <c r="A4146" s="93">
        <v>208.0</v>
      </c>
      <c r="B4146" s="77" t="s">
        <v>29</v>
      </c>
      <c r="C4146" s="77" t="s">
        <v>3697</v>
      </c>
      <c r="D4146" s="77" t="s">
        <v>1150</v>
      </c>
      <c r="E4146" s="41" t="str">
        <f>IFERROR(__xludf.DUMMYFUNCTION("IFNA(vlookup(D4146,IMPORTRANGE(""https://docs.google.com/spreadsheets/d/1swGwZOEqYlTEUCJLY-eeJM1911Kvaei5oySBIxdgtNo/edit?pli=1#gid=257618397"",""stock untanna!B:C""),2,false),V:V)"),"PENCIL CASE B-135")</f>
        <v>PENCIL CASE B-135</v>
      </c>
      <c r="F4146" s="49"/>
      <c r="G4146" s="71"/>
      <c r="H4146" s="41"/>
      <c r="I4146" s="42"/>
      <c r="J4146" s="85" t="s">
        <v>1319</v>
      </c>
      <c r="K4146" s="93">
        <v>3.5</v>
      </c>
      <c r="L4146" s="112" t="s">
        <v>62</v>
      </c>
      <c r="M4146" s="113">
        <v>150000.0</v>
      </c>
      <c r="N4146" s="74"/>
      <c r="O4146" s="87">
        <f t="shared" si="11"/>
        <v>525000</v>
      </c>
      <c r="P4146" s="102" t="str">
        <f t="shared" si="2"/>
        <v>Rp150,000-3.5 LSN-0.00%</v>
      </c>
      <c r="Q4146" s="92">
        <v>45425.0</v>
      </c>
      <c r="R4146" s="76"/>
      <c r="S4146" s="92">
        <v>45432.0</v>
      </c>
      <c r="T4146" s="49"/>
      <c r="V4146" s="21" t="s">
        <v>1151</v>
      </c>
    </row>
    <row r="4147">
      <c r="A4147" s="93">
        <v>208.0</v>
      </c>
      <c r="B4147" s="77" t="s">
        <v>29</v>
      </c>
      <c r="C4147" s="77" t="s">
        <v>3697</v>
      </c>
      <c r="D4147" s="77" t="s">
        <v>1047</v>
      </c>
      <c r="E4147" s="41" t="str">
        <f>IFERROR(__xludf.DUMMYFUNCTION("IFNA(vlookup(D4147,IMPORTRANGE(""https://docs.google.com/spreadsheets/d/1swGwZOEqYlTEUCJLY-eeJM1911Kvaei5oySBIxdgtNo/edit?pli=1#gid=257618397"",""stock untanna!B:C""),2,false),V:V)"),"PENSIL CASE 5871")</f>
        <v>PENSIL CASE 5871</v>
      </c>
      <c r="F4147" s="49"/>
      <c r="G4147" s="71"/>
      <c r="H4147" s="41"/>
      <c r="I4147" s="42"/>
      <c r="J4147" s="85" t="s">
        <v>1319</v>
      </c>
      <c r="K4147" s="93">
        <v>36.0</v>
      </c>
      <c r="L4147" s="112" t="s">
        <v>69</v>
      </c>
      <c r="M4147" s="113">
        <v>25000.0</v>
      </c>
      <c r="N4147" s="74"/>
      <c r="O4147" s="87">
        <f t="shared" si="11"/>
        <v>900000</v>
      </c>
      <c r="P4147" s="102" t="str">
        <f t="shared" si="2"/>
        <v>Rp25,000-36 PCS-0.00%</v>
      </c>
      <c r="Q4147" s="92">
        <v>45425.0</v>
      </c>
      <c r="R4147" s="76"/>
      <c r="S4147" s="92">
        <v>45432.0</v>
      </c>
      <c r="T4147" s="49"/>
      <c r="V4147" s="21" t="s">
        <v>1048</v>
      </c>
    </row>
    <row r="4148">
      <c r="A4148" s="93">
        <v>208.0</v>
      </c>
      <c r="B4148" s="77" t="s">
        <v>29</v>
      </c>
      <c r="C4148" s="77" t="s">
        <v>3697</v>
      </c>
      <c r="D4148" s="77" t="s">
        <v>560</v>
      </c>
      <c r="E4148" s="41" t="str">
        <f>IFERROR(__xludf.DUMMYFUNCTION("IFNA(vlookup(D4148,IMPORTRANGE(""https://docs.google.com/spreadsheets/d/1swGwZOEqYlTEUCJLY-eeJM1911Kvaei5oySBIxdgtNo/edit?pli=1#gid=257618397"",""stock untanna!B:C""),2,false),V:V)"),"PENSIL CASE 5872")</f>
        <v>PENSIL CASE 5872</v>
      </c>
      <c r="F4148" s="49"/>
      <c r="G4148" s="71"/>
      <c r="H4148" s="41"/>
      <c r="I4148" s="42"/>
      <c r="J4148" s="85" t="s">
        <v>1319</v>
      </c>
      <c r="K4148" s="93">
        <v>36.0</v>
      </c>
      <c r="L4148" s="112" t="s">
        <v>69</v>
      </c>
      <c r="M4148" s="113">
        <v>25000.0</v>
      </c>
      <c r="N4148" s="74"/>
      <c r="O4148" s="87">
        <f t="shared" si="11"/>
        <v>900000</v>
      </c>
      <c r="P4148" s="102" t="str">
        <f t="shared" si="2"/>
        <v>Rp25,000-36 PCS-0.00%</v>
      </c>
      <c r="Q4148" s="92">
        <v>45425.0</v>
      </c>
      <c r="R4148" s="76"/>
      <c r="S4148" s="92">
        <v>45432.0</v>
      </c>
      <c r="T4148" s="49"/>
      <c r="V4148" s="21" t="s">
        <v>561</v>
      </c>
    </row>
    <row r="4149">
      <c r="A4149" s="93">
        <v>208.0</v>
      </c>
      <c r="B4149" s="77" t="s">
        <v>29</v>
      </c>
      <c r="C4149" s="77" t="s">
        <v>3697</v>
      </c>
      <c r="D4149" s="77" t="s">
        <v>1107</v>
      </c>
      <c r="E4149" s="41" t="str">
        <f>IFERROR(__xludf.DUMMYFUNCTION("IFNA(vlookup(D4149,IMPORTRANGE(""https://docs.google.com/spreadsheets/d/1swGwZOEqYlTEUCJLY-eeJM1911Kvaei5oySBIxdgtNo/edit?pli=1#gid=257618397"",""stock untanna!B:C""),2,false),V:V)"),"PENCIL CASE 5866")</f>
        <v>PENCIL CASE 5866</v>
      </c>
      <c r="F4149" s="49"/>
      <c r="G4149" s="71"/>
      <c r="H4149" s="41"/>
      <c r="I4149" s="42"/>
      <c r="J4149" s="85" t="s">
        <v>1319</v>
      </c>
      <c r="K4149" s="93">
        <v>36.0</v>
      </c>
      <c r="L4149" s="112" t="s">
        <v>69</v>
      </c>
      <c r="M4149" s="113">
        <v>25000.0</v>
      </c>
      <c r="N4149" s="74"/>
      <c r="O4149" s="87">
        <f t="shared" si="11"/>
        <v>900000</v>
      </c>
      <c r="P4149" s="102" t="str">
        <f t="shared" si="2"/>
        <v>Rp25,000-36 PCS-0.00%</v>
      </c>
      <c r="Q4149" s="92">
        <v>45425.0</v>
      </c>
      <c r="R4149" s="76"/>
      <c r="S4149" s="92">
        <v>45432.0</v>
      </c>
      <c r="T4149" s="49"/>
      <c r="V4149" s="21" t="s">
        <v>1108</v>
      </c>
    </row>
    <row r="4150">
      <c r="A4150" s="93">
        <v>208.0</v>
      </c>
      <c r="B4150" s="77" t="s">
        <v>29</v>
      </c>
      <c r="C4150" s="77" t="s">
        <v>3697</v>
      </c>
      <c r="D4150" s="77" t="s">
        <v>3254</v>
      </c>
      <c r="E4150" s="41" t="str">
        <f>IFERROR(__xludf.DUMMYFUNCTION("IFNA(vlookup(D4150,IMPORTRANGE(""https://docs.google.com/spreadsheets/d/1swGwZOEqYlTEUCJLY-eeJM1911Kvaei5oySBIxdgtNo/edit?pli=1#gid=257618397"",""stock untanna!B:C""),2,false),V:V)"),"PITA TARIK/KADO 30 CM BIASA")</f>
        <v>PITA TARIK/KADO 30 CM BIASA</v>
      </c>
      <c r="F4150" s="49"/>
      <c r="G4150" s="71"/>
      <c r="H4150" s="41"/>
      <c r="I4150" s="42"/>
      <c r="J4150" s="85" t="s">
        <v>1319</v>
      </c>
      <c r="K4150" s="93">
        <v>50.0</v>
      </c>
      <c r="L4150" s="112" t="s">
        <v>69</v>
      </c>
      <c r="M4150" s="113">
        <v>4000.0</v>
      </c>
      <c r="N4150" s="74"/>
      <c r="O4150" s="87">
        <f t="shared" si="11"/>
        <v>200000</v>
      </c>
      <c r="P4150" s="102" t="str">
        <f t="shared" si="2"/>
        <v>Rp4,000-50 PCS-0.00%</v>
      </c>
      <c r="Q4150" s="92">
        <v>45425.0</v>
      </c>
      <c r="R4150" s="76"/>
      <c r="S4150" s="92">
        <v>45432.0</v>
      </c>
      <c r="T4150" s="49"/>
      <c r="V4150" s="21" t="s">
        <v>3255</v>
      </c>
    </row>
    <row r="4151">
      <c r="A4151" s="93">
        <v>208.0</v>
      </c>
      <c r="B4151" s="77" t="s">
        <v>29</v>
      </c>
      <c r="C4151" s="77" t="s">
        <v>3697</v>
      </c>
      <c r="D4151" s="77" t="s">
        <v>3706</v>
      </c>
      <c r="E4151" s="41" t="str">
        <f>IFERROR(__xludf.DUMMYFUNCTION("IFNA(vlookup(D4151,IMPORTRANGE(""https://docs.google.com/spreadsheets/d/1swGwZOEqYlTEUCJLY-eeJM1911Kvaei5oySBIxdgtNo/edit?pli=1#gid=257618397"",""stock untanna!B:C""),2,false),V:V)"),"PITA TARIK/KADO 30-1 RENDA")</f>
        <v>PITA TARIK/KADO 30-1 RENDA</v>
      </c>
      <c r="F4151" s="49"/>
      <c r="G4151" s="71"/>
      <c r="H4151" s="41"/>
      <c r="I4151" s="42"/>
      <c r="J4151" s="85" t="s">
        <v>1319</v>
      </c>
      <c r="K4151" s="93">
        <v>50.0</v>
      </c>
      <c r="L4151" s="112" t="s">
        <v>69</v>
      </c>
      <c r="M4151" s="113">
        <v>4500.0</v>
      </c>
      <c r="N4151" s="74"/>
      <c r="O4151" s="87">
        <f t="shared" si="11"/>
        <v>225000</v>
      </c>
      <c r="P4151" s="102" t="str">
        <f t="shared" si="2"/>
        <v>Rp4,500-50 PCS-0.00%</v>
      </c>
      <c r="Q4151" s="92">
        <v>45425.0</v>
      </c>
      <c r="R4151" s="76"/>
      <c r="S4151" s="92">
        <v>45432.0</v>
      </c>
      <c r="T4151" s="49"/>
      <c r="V4151" s="21" t="s">
        <v>3707</v>
      </c>
    </row>
    <row r="4152">
      <c r="A4152" s="93">
        <v>208.0</v>
      </c>
      <c r="B4152" s="77" t="s">
        <v>29</v>
      </c>
      <c r="C4152" s="77" t="s">
        <v>3697</v>
      </c>
      <c r="D4152" s="77" t="s">
        <v>1984</v>
      </c>
      <c r="E4152" s="41" t="str">
        <f>IFERROR(__xludf.DUMMYFUNCTION("IFNA(vlookup(D4152,IMPORTRANGE(""https://docs.google.com/spreadsheets/d/1swGwZOEqYlTEUCJLY-eeJM1911Kvaei5oySBIxdgtNo/edit?pli=1#gid=257618397"",""stock untanna!B:C""),2,false),V:V)"),"ASAHAN 8811")</f>
        <v>ASAHAN 8811</v>
      </c>
      <c r="F4152" s="49"/>
      <c r="G4152" s="71"/>
      <c r="H4152" s="41"/>
      <c r="I4152" s="42"/>
      <c r="J4152" s="85" t="s">
        <v>1319</v>
      </c>
      <c r="K4152" s="93">
        <v>288.0</v>
      </c>
      <c r="L4152" s="112" t="s">
        <v>69</v>
      </c>
      <c r="M4152" s="113">
        <v>1750.0</v>
      </c>
      <c r="N4152" s="74"/>
      <c r="O4152" s="87">
        <f t="shared" si="11"/>
        <v>504000</v>
      </c>
      <c r="P4152" s="102" t="str">
        <f t="shared" si="2"/>
        <v>Rp1,750-288 PCS-0.00%</v>
      </c>
      <c r="Q4152" s="92">
        <v>45425.0</v>
      </c>
      <c r="R4152" s="76"/>
      <c r="S4152" s="92">
        <v>45432.0</v>
      </c>
      <c r="T4152" s="49"/>
      <c r="V4152" s="21" t="s">
        <v>1985</v>
      </c>
    </row>
    <row r="4153">
      <c r="A4153" s="93">
        <v>208.0</v>
      </c>
      <c r="B4153" s="77" t="s">
        <v>29</v>
      </c>
      <c r="C4153" s="77" t="s">
        <v>3697</v>
      </c>
      <c r="D4153" s="77" t="s">
        <v>3477</v>
      </c>
      <c r="E4153" s="41" t="str">
        <f>IFERROR(__xludf.DUMMYFUNCTION("IFNA(vlookup(D4153,IMPORTRANGE(""https://docs.google.com/spreadsheets/d/1swGwZOEqYlTEUCJLY-eeJM1911Kvaei5oySBIxdgtNo/edit?pli=1#gid=257618397"",""stock untanna!B:C""),2,false),V:V)"),"ASAHAN XH8082")</f>
        <v>ASAHAN XH8082</v>
      </c>
      <c r="F4153" s="49"/>
      <c r="G4153" s="71"/>
      <c r="H4153" s="41"/>
      <c r="I4153" s="42"/>
      <c r="J4153" s="85" t="s">
        <v>1319</v>
      </c>
      <c r="K4153" s="93">
        <v>288.0</v>
      </c>
      <c r="L4153" s="112" t="s">
        <v>69</v>
      </c>
      <c r="M4153" s="113">
        <v>1750.0</v>
      </c>
      <c r="N4153" s="74"/>
      <c r="O4153" s="87">
        <f t="shared" si="11"/>
        <v>504000</v>
      </c>
      <c r="P4153" s="102" t="str">
        <f t="shared" si="2"/>
        <v>Rp1,750-288 PCS-0.00%</v>
      </c>
      <c r="Q4153" s="92">
        <v>45425.0</v>
      </c>
      <c r="R4153" s="76"/>
      <c r="S4153" s="92">
        <v>45432.0</v>
      </c>
      <c r="T4153" s="49"/>
      <c r="V4153" s="21" t="s">
        <v>3478</v>
      </c>
    </row>
    <row r="4154">
      <c r="A4154" s="93">
        <v>208.0</v>
      </c>
      <c r="B4154" s="77" t="s">
        <v>29</v>
      </c>
      <c r="C4154" s="77" t="s">
        <v>3697</v>
      </c>
      <c r="D4154" s="77" t="s">
        <v>533</v>
      </c>
      <c r="E4154" s="41" t="str">
        <f>IFERROR(__xludf.DUMMYFUNCTION("IFNA(vlookup(D4154,IMPORTRANGE(""https://docs.google.com/spreadsheets/d/1swGwZOEqYlTEUCJLY-eeJM1911Kvaei5oySBIxdgtNo/edit?pli=1#gid=257618397"",""stock untanna!B:C""),2,false),V:V)"),"ASAHAN 8809")</f>
        <v>ASAHAN 8809</v>
      </c>
      <c r="F4154" s="49"/>
      <c r="G4154" s="71"/>
      <c r="H4154" s="41"/>
      <c r="I4154" s="42"/>
      <c r="J4154" s="85" t="s">
        <v>1319</v>
      </c>
      <c r="K4154" s="93">
        <v>240.0</v>
      </c>
      <c r="L4154" s="112" t="s">
        <v>69</v>
      </c>
      <c r="M4154" s="113">
        <v>1750.0</v>
      </c>
      <c r="N4154" s="74"/>
      <c r="O4154" s="87">
        <f t="shared" si="11"/>
        <v>420000</v>
      </c>
      <c r="P4154" s="102" t="str">
        <f t="shared" si="2"/>
        <v>Rp1,750-240 PCS-0.00%</v>
      </c>
      <c r="Q4154" s="92">
        <v>45425.0</v>
      </c>
      <c r="R4154" s="76"/>
      <c r="S4154" s="92">
        <v>45432.0</v>
      </c>
      <c r="T4154" s="49"/>
      <c r="V4154" s="21" t="s">
        <v>534</v>
      </c>
    </row>
    <row r="4155">
      <c r="A4155" s="93">
        <v>208.0</v>
      </c>
      <c r="B4155" s="77" t="s">
        <v>29</v>
      </c>
      <c r="C4155" s="77" t="s">
        <v>3697</v>
      </c>
      <c r="D4155" s="77" t="s">
        <v>1745</v>
      </c>
      <c r="E4155" s="41" t="str">
        <f>IFERROR(__xludf.DUMMYFUNCTION("IFNA(vlookup(D4155,IMPORTRANGE(""https://docs.google.com/spreadsheets/d/1swGwZOEqYlTEUCJLY-eeJM1911Kvaei5oySBIxdgtNo/edit?pli=1#gid=257618397"",""stock untanna!B:C""),2,false),V:V)"),"ASAHAN XXY-1868")</f>
        <v>ASAHAN XXY-1868</v>
      </c>
      <c r="F4155" s="49"/>
      <c r="G4155" s="71"/>
      <c r="H4155" s="41"/>
      <c r="I4155" s="42"/>
      <c r="J4155" s="85" t="s">
        <v>1319</v>
      </c>
      <c r="K4155" s="93">
        <v>168.0</v>
      </c>
      <c r="L4155" s="112" t="s">
        <v>69</v>
      </c>
      <c r="M4155" s="113">
        <v>1750.0</v>
      </c>
      <c r="N4155" s="74"/>
      <c r="O4155" s="87">
        <f t="shared" si="11"/>
        <v>294000</v>
      </c>
      <c r="P4155" s="102" t="str">
        <f t="shared" si="2"/>
        <v>Rp1,750-168 PCS-0.00%</v>
      </c>
      <c r="Q4155" s="92">
        <v>45425.0</v>
      </c>
      <c r="R4155" s="76"/>
      <c r="S4155" s="92">
        <v>45432.0</v>
      </c>
      <c r="T4155" s="49"/>
      <c r="V4155" s="21" t="s">
        <v>1746</v>
      </c>
    </row>
    <row r="4156">
      <c r="A4156" s="93">
        <v>208.0</v>
      </c>
      <c r="B4156" s="77" t="s">
        <v>29</v>
      </c>
      <c r="C4156" s="77" t="s">
        <v>3697</v>
      </c>
      <c r="D4156" s="91"/>
      <c r="E4156" s="41" t="str">
        <f>IFERROR(__xludf.DUMMYFUNCTION("IFNA(vlookup(D4156,IMPORTRANGE(""https://docs.google.com/spreadsheets/d/1swGwZOEqYlTEUCJLY-eeJM1911Kvaei5oySBIxdgtNo/edit?pli=1#gid=257618397"",""stock untanna!B:C""),2,false),V:V)"),"ASAHAN 888 J")</f>
        <v>ASAHAN 888 J</v>
      </c>
      <c r="F4156" s="49"/>
      <c r="G4156" s="71"/>
      <c r="H4156" s="41"/>
      <c r="I4156" s="42"/>
      <c r="J4156" s="85" t="s">
        <v>3190</v>
      </c>
      <c r="K4156" s="93">
        <v>6.0</v>
      </c>
      <c r="L4156" s="112" t="s">
        <v>88</v>
      </c>
      <c r="M4156" s="113">
        <v>40000.0</v>
      </c>
      <c r="N4156" s="74"/>
      <c r="O4156" s="87">
        <f t="shared" si="11"/>
        <v>240000</v>
      </c>
      <c r="P4156" s="102" t="str">
        <f t="shared" si="2"/>
        <v>Rp40,000-6 BOX-0.00%</v>
      </c>
      <c r="Q4156" s="92">
        <v>45425.0</v>
      </c>
      <c r="R4156" s="76"/>
      <c r="S4156" s="92">
        <v>45432.0</v>
      </c>
      <c r="T4156" s="49"/>
      <c r="V4156" s="21" t="s">
        <v>3315</v>
      </c>
    </row>
    <row r="4157">
      <c r="A4157" s="93">
        <v>208.0</v>
      </c>
      <c r="B4157" s="77" t="s">
        <v>29</v>
      </c>
      <c r="C4157" s="77" t="s">
        <v>3697</v>
      </c>
      <c r="D4157" s="77" t="s">
        <v>3313</v>
      </c>
      <c r="E4157" s="41" t="str">
        <f>IFERROR(__xludf.DUMMYFUNCTION("IFNA(vlookup(D4157,IMPORTRANGE(""https://docs.google.com/spreadsheets/d/1swGwZOEqYlTEUCJLY-eeJM1911Kvaei5oySBIxdgtNo/edit?pli=1#gid=257618397"",""stock untanna!B:C""),2,false),V:V)"),"ASAHAN 888 H (24)")</f>
        <v>ASAHAN 888 H (24)</v>
      </c>
      <c r="F4157" s="49"/>
      <c r="G4157" s="71"/>
      <c r="H4157" s="41"/>
      <c r="I4157" s="42"/>
      <c r="J4157" s="85" t="s">
        <v>1319</v>
      </c>
      <c r="K4157" s="93">
        <v>6.0</v>
      </c>
      <c r="L4157" s="112" t="s">
        <v>88</v>
      </c>
      <c r="M4157" s="113">
        <v>40000.0</v>
      </c>
      <c r="N4157" s="74"/>
      <c r="O4157" s="87">
        <f t="shared" si="11"/>
        <v>240000</v>
      </c>
      <c r="P4157" s="102" t="str">
        <f t="shared" si="2"/>
        <v>Rp40,000-6 BOX-0.00%</v>
      </c>
      <c r="Q4157" s="92">
        <v>45425.0</v>
      </c>
      <c r="R4157" s="76"/>
      <c r="S4157" s="92">
        <v>45432.0</v>
      </c>
      <c r="T4157" s="49"/>
      <c r="V4157" s="21" t="s">
        <v>3314</v>
      </c>
    </row>
    <row r="4158">
      <c r="A4158" s="93">
        <v>208.0</v>
      </c>
      <c r="B4158" s="77" t="s">
        <v>29</v>
      </c>
      <c r="C4158" s="77" t="s">
        <v>3697</v>
      </c>
      <c r="D4158" s="77" t="s">
        <v>3316</v>
      </c>
      <c r="E4158" s="41" t="str">
        <f>IFERROR(__xludf.DUMMYFUNCTION("IFNA(vlookup(D4158,IMPORTRANGE(""https://docs.google.com/spreadsheets/d/1swGwZOEqYlTEUCJLY-eeJM1911Kvaei5oySBIxdgtNo/edit?pli=1#gid=257618397"",""stock untanna!B:C""),2,false),V:V)"),"ASAHAN DY 393 B")</f>
        <v>ASAHAN DY 393 B</v>
      </c>
      <c r="F4158" s="49"/>
      <c r="G4158" s="71"/>
      <c r="H4158" s="41"/>
      <c r="I4158" s="42"/>
      <c r="J4158" s="85" t="s">
        <v>1319</v>
      </c>
      <c r="K4158" s="93">
        <v>20.0</v>
      </c>
      <c r="L4158" s="112" t="s">
        <v>62</v>
      </c>
      <c r="M4158" s="113">
        <v>20000.0</v>
      </c>
      <c r="N4158" s="115">
        <v>0.1</v>
      </c>
      <c r="O4158" s="87">
        <f t="shared" si="11"/>
        <v>360000</v>
      </c>
      <c r="P4158" s="102" t="str">
        <f t="shared" si="2"/>
        <v>Rp20,000-20 LSN-10.00%</v>
      </c>
      <c r="Q4158" s="92">
        <v>45425.0</v>
      </c>
      <c r="R4158" s="76"/>
      <c r="S4158" s="92">
        <v>45432.0</v>
      </c>
      <c r="T4158" s="77" t="s">
        <v>100</v>
      </c>
      <c r="V4158" s="21" t="s">
        <v>3317</v>
      </c>
    </row>
    <row r="4159">
      <c r="A4159" s="93">
        <v>208.0</v>
      </c>
      <c r="B4159" s="77" t="s">
        <v>29</v>
      </c>
      <c r="C4159" s="77" t="s">
        <v>3697</v>
      </c>
      <c r="D4159" s="91"/>
      <c r="E4159" s="41" t="str">
        <f>IFERROR(__xludf.DUMMYFUNCTION("IFNA(vlookup(D4159,IMPORTRANGE(""https://docs.google.com/spreadsheets/d/1swGwZOEqYlTEUCJLY-eeJM1911Kvaei5oySBIxdgtNo/edit?pli=1#gid=257618397"",""stock untanna!B:C""),2,false),V:V)"),"ASAHAN DY 395 B")</f>
        <v>ASAHAN DY 395 B</v>
      </c>
      <c r="F4159" s="49"/>
      <c r="G4159" s="71"/>
      <c r="H4159" s="41"/>
      <c r="I4159" s="42"/>
      <c r="J4159" s="85" t="s">
        <v>3190</v>
      </c>
      <c r="K4159" s="93">
        <v>20.0</v>
      </c>
      <c r="L4159" s="112" t="s">
        <v>62</v>
      </c>
      <c r="M4159" s="113">
        <v>20000.0</v>
      </c>
      <c r="N4159" s="115">
        <v>0.1</v>
      </c>
      <c r="O4159" s="87">
        <f t="shared" si="11"/>
        <v>360000</v>
      </c>
      <c r="P4159" s="102" t="str">
        <f t="shared" si="2"/>
        <v>Rp20,000-20 LSN-10.00%</v>
      </c>
      <c r="Q4159" s="92">
        <v>45425.0</v>
      </c>
      <c r="R4159" s="76"/>
      <c r="S4159" s="92">
        <v>45432.0</v>
      </c>
      <c r="T4159" s="49"/>
      <c r="V4159" s="21" t="s">
        <v>3479</v>
      </c>
    </row>
    <row r="4160">
      <c r="A4160" s="93">
        <v>208.0</v>
      </c>
      <c r="B4160" s="77" t="s">
        <v>29</v>
      </c>
      <c r="C4160" s="77" t="s">
        <v>3697</v>
      </c>
      <c r="D4160" s="77" t="s">
        <v>1155</v>
      </c>
      <c r="E4160" s="41" t="str">
        <f>IFERROR(__xludf.DUMMYFUNCTION("IFNA(vlookup(D4160,IMPORTRANGE(""https://docs.google.com/spreadsheets/d/1swGwZOEqYlTEUCJLY-eeJM1911Kvaei5oySBIxdgtNo/edit?pli=1#gid=257618397"",""stock untanna!B:C""),2,false),V:V)"),"PENSIL CASE PC-619-3 MOBIL + KODE")</f>
        <v>PENSIL CASE PC-619-3 MOBIL + KODE</v>
      </c>
      <c r="F4160" s="49"/>
      <c r="G4160" s="71"/>
      <c r="H4160" s="41"/>
      <c r="I4160" s="42"/>
      <c r="J4160" s="85" t="s">
        <v>1319</v>
      </c>
      <c r="K4160" s="93">
        <v>60.0</v>
      </c>
      <c r="L4160" s="112" t="s">
        <v>69</v>
      </c>
      <c r="M4160" s="113">
        <v>16666.7</v>
      </c>
      <c r="N4160" s="74"/>
      <c r="O4160" s="87">
        <f t="shared" si="11"/>
        <v>1000002</v>
      </c>
      <c r="P4160" s="102" t="str">
        <f t="shared" si="2"/>
        <v>Rp16,667-60 PCS-0.00%</v>
      </c>
      <c r="Q4160" s="92">
        <v>45425.0</v>
      </c>
      <c r="R4160" s="76"/>
      <c r="S4160" s="92">
        <v>45432.0</v>
      </c>
      <c r="T4160" s="49"/>
      <c r="V4160" s="21" t="s">
        <v>1156</v>
      </c>
    </row>
    <row r="4161">
      <c r="A4161" s="93">
        <v>209.0</v>
      </c>
      <c r="B4161" s="77" t="s">
        <v>29</v>
      </c>
      <c r="C4161" s="77" t="s">
        <v>3697</v>
      </c>
      <c r="D4161" s="77" t="s">
        <v>1148</v>
      </c>
      <c r="E4161" s="41" t="str">
        <f>IFERROR(__xludf.DUMMYFUNCTION("IFNA(vlookup(D4161,IMPORTRANGE(""https://docs.google.com/spreadsheets/d/1swGwZOEqYlTEUCJLY-eeJM1911Kvaei5oySBIxdgtNo/edit?pli=1#gid=257618397"",""stock untanna!B:C""),2,false),V:V)"),"PENSIL CASE 5813")</f>
        <v>PENSIL CASE 5813</v>
      </c>
      <c r="F4161" s="49"/>
      <c r="G4161" s="71"/>
      <c r="H4161" s="41"/>
      <c r="I4161" s="42"/>
      <c r="J4161" s="85" t="s">
        <v>1319</v>
      </c>
      <c r="K4161" s="93">
        <v>60.0</v>
      </c>
      <c r="L4161" s="112" t="s">
        <v>69</v>
      </c>
      <c r="M4161" s="113">
        <v>14583.3</v>
      </c>
      <c r="N4161" s="74"/>
      <c r="O4161" s="87">
        <f t="shared" si="11"/>
        <v>874998</v>
      </c>
      <c r="P4161" s="102" t="str">
        <f t="shared" si="2"/>
        <v>Rp14,583-60 PCS-0.00%</v>
      </c>
      <c r="Q4161" s="92">
        <v>45425.0</v>
      </c>
      <c r="R4161" s="76"/>
      <c r="S4161" s="92">
        <v>45432.0</v>
      </c>
      <c r="T4161" s="49"/>
      <c r="V4161" s="21" t="s">
        <v>1149</v>
      </c>
    </row>
    <row r="4162">
      <c r="A4162" s="93">
        <v>209.0</v>
      </c>
      <c r="B4162" s="77" t="s">
        <v>29</v>
      </c>
      <c r="C4162" s="77" t="s">
        <v>3697</v>
      </c>
      <c r="D4162" s="77" t="s">
        <v>2094</v>
      </c>
      <c r="E4162" s="41" t="str">
        <f>IFERROR(__xludf.DUMMYFUNCTION("IFNA(vlookup(D4162,IMPORTRANGE(""https://docs.google.com/spreadsheets/d/1swGwZOEqYlTEUCJLY-eeJM1911Kvaei5oySBIxdgtNo/edit?pli=1#gid=257618397"",""stock untanna!B:C""),2,false),V:V)"),"PENSIL CASE 168-25")</f>
        <v>PENSIL CASE 168-25</v>
      </c>
      <c r="F4162" s="49"/>
      <c r="G4162" s="71"/>
      <c r="H4162" s="41"/>
      <c r="I4162" s="42"/>
      <c r="J4162" s="85" t="s">
        <v>1319</v>
      </c>
      <c r="K4162" s="93">
        <v>60.0</v>
      </c>
      <c r="L4162" s="112" t="s">
        <v>69</v>
      </c>
      <c r="M4162" s="113">
        <v>18750.0</v>
      </c>
      <c r="N4162" s="74"/>
      <c r="O4162" s="87">
        <f t="shared" si="11"/>
        <v>1125000</v>
      </c>
      <c r="P4162" s="102" t="str">
        <f t="shared" si="2"/>
        <v>Rp18,750-60 PCS-0.00%</v>
      </c>
      <c r="Q4162" s="92">
        <v>45425.0</v>
      </c>
      <c r="R4162" s="76"/>
      <c r="S4162" s="92">
        <v>45432.0</v>
      </c>
      <c r="T4162" s="49"/>
      <c r="V4162" s="21" t="s">
        <v>2095</v>
      </c>
    </row>
    <row r="4163">
      <c r="A4163" s="93">
        <v>209.0</v>
      </c>
      <c r="B4163" s="77" t="s">
        <v>29</v>
      </c>
      <c r="C4163" s="77" t="s">
        <v>3697</v>
      </c>
      <c r="D4163" s="77" t="s">
        <v>3708</v>
      </c>
      <c r="E4163" s="41" t="str">
        <f>IFERROR(__xludf.DUMMYFUNCTION("IFNA(vlookup(D4163,IMPORTRANGE(""https://docs.google.com/spreadsheets/d/1swGwZOEqYlTEUCJLY-eeJM1911Kvaei5oySBIxdgtNo/edit?pli=1#gid=257618397"",""stock untanna!B:C""),2,false),V:V)"),"PENSIL CASE 168-21")</f>
        <v>PENSIL CASE 168-21</v>
      </c>
      <c r="F4163" s="49"/>
      <c r="G4163" s="71"/>
      <c r="H4163" s="41"/>
      <c r="I4163" s="42"/>
      <c r="J4163" s="85" t="s">
        <v>1319</v>
      </c>
      <c r="K4163" s="93">
        <v>60.0</v>
      </c>
      <c r="L4163" s="112" t="s">
        <v>69</v>
      </c>
      <c r="M4163" s="113">
        <v>18750.0</v>
      </c>
      <c r="N4163" s="74"/>
      <c r="O4163" s="87">
        <f t="shared" si="11"/>
        <v>1125000</v>
      </c>
      <c r="P4163" s="102" t="str">
        <f t="shared" si="2"/>
        <v>Rp18,750-60 PCS-0.00%</v>
      </c>
      <c r="Q4163" s="92">
        <v>45425.0</v>
      </c>
      <c r="R4163" s="76"/>
      <c r="S4163" s="92">
        <v>45432.0</v>
      </c>
      <c r="T4163" s="49"/>
      <c r="V4163" s="21" t="s">
        <v>3709</v>
      </c>
    </row>
    <row r="4164">
      <c r="A4164" s="93">
        <v>209.0</v>
      </c>
      <c r="B4164" s="77" t="s">
        <v>29</v>
      </c>
      <c r="C4164" s="77" t="s">
        <v>3697</v>
      </c>
      <c r="D4164" s="77" t="s">
        <v>1166</v>
      </c>
      <c r="E4164" s="41" t="str">
        <f>IFERROR(__xludf.DUMMYFUNCTION("IFNA(vlookup(D4164,IMPORTRANGE(""https://docs.google.com/spreadsheets/d/1swGwZOEqYlTEUCJLY-eeJM1911Kvaei5oySBIxdgtNo/edit?pli=1#gid=257618397"",""stock untanna!B:C""),2,false),V:V)"),"PC MAGNIT A 6682")</f>
        <v>PC MAGNIT A 6682</v>
      </c>
      <c r="F4164" s="49"/>
      <c r="G4164" s="71"/>
      <c r="H4164" s="41"/>
      <c r="I4164" s="42"/>
      <c r="J4164" s="85" t="s">
        <v>1319</v>
      </c>
      <c r="K4164" s="93">
        <v>60.0</v>
      </c>
      <c r="L4164" s="112" t="s">
        <v>69</v>
      </c>
      <c r="M4164" s="113">
        <v>29166.7</v>
      </c>
      <c r="N4164" s="74"/>
      <c r="O4164" s="87">
        <f t="shared" si="11"/>
        <v>1750002</v>
      </c>
      <c r="P4164" s="102" t="str">
        <f t="shared" si="2"/>
        <v>Rp29,167-60 PCS-0.00%</v>
      </c>
      <c r="Q4164" s="92">
        <v>45425.0</v>
      </c>
      <c r="R4164" s="76"/>
      <c r="S4164" s="92">
        <v>45432.0</v>
      </c>
      <c r="T4164" s="49"/>
      <c r="V4164" s="21" t="s">
        <v>587</v>
      </c>
    </row>
    <row r="4165">
      <c r="A4165" s="93">
        <v>209.0</v>
      </c>
      <c r="B4165" s="77" t="s">
        <v>29</v>
      </c>
      <c r="C4165" s="77" t="s">
        <v>3697</v>
      </c>
      <c r="D4165" s="77" t="s">
        <v>2077</v>
      </c>
      <c r="E4165" s="41" t="str">
        <f>IFERROR(__xludf.DUMMYFUNCTION("IFNA(vlookup(D4165,IMPORTRANGE(""https://docs.google.com/spreadsheets/d/1swGwZOEqYlTEUCJLY-eeJM1911Kvaei5oySBIxdgtNo/edit?pli=1#gid=257618397"",""stock untanna!B:C""),2,false),V:V)"),"PC MAGNIT 9363")</f>
        <v>PC MAGNIT 9363</v>
      </c>
      <c r="F4165" s="49"/>
      <c r="G4165" s="71"/>
      <c r="H4165" s="41"/>
      <c r="I4165" s="42"/>
      <c r="J4165" s="85" t="s">
        <v>1319</v>
      </c>
      <c r="K4165" s="93">
        <v>5.0</v>
      </c>
      <c r="L4165" s="112" t="s">
        <v>62</v>
      </c>
      <c r="M4165" s="113">
        <v>150000.0</v>
      </c>
      <c r="N4165" s="74"/>
      <c r="O4165" s="87">
        <f t="shared" si="11"/>
        <v>750000</v>
      </c>
      <c r="P4165" s="102" t="str">
        <f t="shared" si="2"/>
        <v>Rp150,000-5 LSN-0.00%</v>
      </c>
      <c r="Q4165" s="92">
        <v>45425.0</v>
      </c>
      <c r="R4165" s="76"/>
      <c r="S4165" s="92">
        <v>45432.0</v>
      </c>
      <c r="T4165" s="77" t="s">
        <v>280</v>
      </c>
      <c r="V4165" s="21" t="s">
        <v>2078</v>
      </c>
    </row>
    <row r="4166">
      <c r="A4166" s="93">
        <v>209.0</v>
      </c>
      <c r="B4166" s="77" t="s">
        <v>29</v>
      </c>
      <c r="C4166" s="77" t="s">
        <v>3697</v>
      </c>
      <c r="D4166" s="77" t="s">
        <v>2096</v>
      </c>
      <c r="E4166" s="41" t="str">
        <f>IFERROR(__xludf.DUMMYFUNCTION("IFNA(vlookup(D4166,IMPORTRANGE(""https://docs.google.com/spreadsheets/d/1swGwZOEqYlTEUCJLY-eeJM1911Kvaei5oySBIxdgtNo/edit?pli=1#gid=257618397"",""stock untanna!B:C""),2,false),V:V)"),"PENSIL CASE AC-2860-3")</f>
        <v>PENSIL CASE AC-2860-3</v>
      </c>
      <c r="F4166" s="49"/>
      <c r="G4166" s="71"/>
      <c r="H4166" s="41"/>
      <c r="I4166" s="42"/>
      <c r="J4166" s="85" t="s">
        <v>1319</v>
      </c>
      <c r="K4166" s="93">
        <v>60.0</v>
      </c>
      <c r="L4166" s="112" t="s">
        <v>69</v>
      </c>
      <c r="M4166" s="113">
        <v>14583.3</v>
      </c>
      <c r="N4166" s="74"/>
      <c r="O4166" s="87">
        <f t="shared" si="11"/>
        <v>874998</v>
      </c>
      <c r="P4166" s="102" t="str">
        <f t="shared" si="2"/>
        <v>Rp14,583-60 PCS-0.00%</v>
      </c>
      <c r="Q4166" s="92">
        <v>45425.0</v>
      </c>
      <c r="R4166" s="76"/>
      <c r="S4166" s="92">
        <v>45432.0</v>
      </c>
      <c r="T4166" s="49"/>
      <c r="V4166" s="21" t="s">
        <v>2097</v>
      </c>
    </row>
    <row r="4167">
      <c r="A4167" s="93">
        <v>209.0</v>
      </c>
      <c r="B4167" s="77" t="s">
        <v>29</v>
      </c>
      <c r="C4167" s="77" t="s">
        <v>3697</v>
      </c>
      <c r="D4167" s="77" t="s">
        <v>1391</v>
      </c>
      <c r="E4167" s="41" t="str">
        <f>IFERROR(__xludf.DUMMYFUNCTION("IFNA(vlookup(D4167,IMPORTRANGE(""https://docs.google.com/spreadsheets/d/1swGwZOEqYlTEUCJLY-eeJM1911Kvaei5oySBIxdgtNo/edit?pli=1#gid=257618397"",""stock untanna!B:C""),2,false),V:V)"),"PENCIL CASE KALENG H-9888")</f>
        <v>PENCIL CASE KALENG H-9888</v>
      </c>
      <c r="F4167" s="49"/>
      <c r="G4167" s="71"/>
      <c r="H4167" s="41"/>
      <c r="I4167" s="42"/>
      <c r="J4167" s="85" t="s">
        <v>1319</v>
      </c>
      <c r="K4167" s="93">
        <v>60.0</v>
      </c>
      <c r="L4167" s="112" t="s">
        <v>69</v>
      </c>
      <c r="M4167" s="113">
        <v>13000.0</v>
      </c>
      <c r="N4167" s="74"/>
      <c r="O4167" s="87">
        <f t="shared" si="11"/>
        <v>780000</v>
      </c>
      <c r="P4167" s="102" t="str">
        <f t="shared" si="2"/>
        <v>Rp13,000-60 PCS-0.00%</v>
      </c>
      <c r="Q4167" s="92">
        <v>45425.0</v>
      </c>
      <c r="R4167" s="76"/>
      <c r="S4167" s="92">
        <v>45432.0</v>
      </c>
      <c r="T4167" s="49"/>
      <c r="V4167" s="21" t="s">
        <v>1392</v>
      </c>
    </row>
    <row r="4168">
      <c r="A4168" s="93">
        <v>209.0</v>
      </c>
      <c r="B4168" s="77" t="s">
        <v>29</v>
      </c>
      <c r="C4168" s="77" t="s">
        <v>3697</v>
      </c>
      <c r="D4168" s="91"/>
      <c r="E4168" s="41" t="str">
        <f>IFERROR(__xludf.DUMMYFUNCTION("IFNA(vlookup(D4168,IMPORTRANGE(""https://docs.google.com/spreadsheets/d/1swGwZOEqYlTEUCJLY-eeJM1911Kvaei5oySBIxdgtNo/edit?pli=1#gid=257618397"",""stock untanna!B:C""),2,false),V:V)"),"MEJA BELAJAR FANCY")</f>
        <v>MEJA BELAJAR FANCY</v>
      </c>
      <c r="F4168" s="49"/>
      <c r="G4168" s="71"/>
      <c r="H4168" s="41"/>
      <c r="I4168" s="42"/>
      <c r="J4168" s="85" t="s">
        <v>3190</v>
      </c>
      <c r="K4168" s="93">
        <v>20.0</v>
      </c>
      <c r="L4168" s="112" t="s">
        <v>69</v>
      </c>
      <c r="M4168" s="113">
        <v>55000.0</v>
      </c>
      <c r="N4168" s="74"/>
      <c r="O4168" s="87">
        <f t="shared" si="11"/>
        <v>1100000</v>
      </c>
      <c r="P4168" s="102" t="str">
        <f t="shared" si="2"/>
        <v>Rp55,000-20 PCS-0.00%</v>
      </c>
      <c r="Q4168" s="92">
        <v>45425.0</v>
      </c>
      <c r="R4168" s="76"/>
      <c r="S4168" s="92">
        <v>45432.0</v>
      </c>
      <c r="T4168" s="49"/>
      <c r="V4168" s="21" t="s">
        <v>2407</v>
      </c>
    </row>
    <row r="4169">
      <c r="A4169" s="93">
        <v>209.0</v>
      </c>
      <c r="B4169" s="77" t="s">
        <v>29</v>
      </c>
      <c r="C4169" s="77" t="s">
        <v>3697</v>
      </c>
      <c r="D4169" s="77" t="s">
        <v>2006</v>
      </c>
      <c r="E4169" s="41" t="str">
        <f>IFERROR(__xludf.DUMMYFUNCTION("IFNA(vlookup(D4169,IMPORTRANGE(""https://docs.google.com/spreadsheets/d/1swGwZOEqYlTEUCJLY-eeJM1911Kvaei5oySBIxdgtNo/edit?pli=1#gid=257618397"",""stock untanna!B:C""),2,false),V:V)"),"CRAYON PUTAR FANCY 1012/2012 PANJANG ")</f>
        <v>CRAYON PUTAR FANCY 1012/2012 PANJANG </v>
      </c>
      <c r="F4169" s="49"/>
      <c r="G4169" s="71"/>
      <c r="H4169" s="41"/>
      <c r="I4169" s="42"/>
      <c r="J4169" s="85" t="s">
        <v>1319</v>
      </c>
      <c r="K4169" s="93">
        <v>144.0</v>
      </c>
      <c r="L4169" s="112" t="s">
        <v>69</v>
      </c>
      <c r="M4169" s="113">
        <v>15833.3</v>
      </c>
      <c r="N4169" s="74"/>
      <c r="O4169" s="87">
        <f t="shared" si="11"/>
        <v>2279995.2</v>
      </c>
      <c r="P4169" s="102" t="str">
        <f t="shared" si="2"/>
        <v>Rp15,833-144 PCS-0.00%</v>
      </c>
      <c r="Q4169" s="92">
        <v>45425.0</v>
      </c>
      <c r="R4169" s="76"/>
      <c r="S4169" s="92">
        <v>45432.0</v>
      </c>
      <c r="T4169" s="49"/>
      <c r="V4169" s="21" t="s">
        <v>2007</v>
      </c>
    </row>
    <row r="4170">
      <c r="A4170" s="93">
        <v>188.0</v>
      </c>
      <c r="B4170" s="77" t="s">
        <v>29</v>
      </c>
      <c r="C4170" s="77" t="s">
        <v>625</v>
      </c>
      <c r="D4170" s="77" t="s">
        <v>1807</v>
      </c>
      <c r="E4170" s="41" t="str">
        <f>IFERROR(__xludf.DUMMYFUNCTION("IFNA(vlookup(D4170,IMPORTRANGE(""https://docs.google.com/spreadsheets/d/1swGwZOEqYlTEUCJLY-eeJM1911Kvaei5oySBIxdgtNo/edit?pli=1#gid=257618397"",""stock untanna!B:C""),2,false),V:V)"),"CLIP FILE YUSHINCA 318 HT")</f>
        <v>CLIP FILE YUSHINCA 318 HT</v>
      </c>
      <c r="F4170" s="49"/>
      <c r="G4170" s="71"/>
      <c r="H4170" s="41"/>
      <c r="I4170" s="42"/>
      <c r="J4170" s="85" t="s">
        <v>1319</v>
      </c>
      <c r="K4170" s="93">
        <v>1.0</v>
      </c>
      <c r="L4170" s="112" t="s">
        <v>62</v>
      </c>
      <c r="M4170" s="113">
        <v>225000.0</v>
      </c>
      <c r="N4170" s="74"/>
      <c r="O4170" s="87">
        <f t="shared" si="11"/>
        <v>225000</v>
      </c>
      <c r="P4170" s="102" t="str">
        <f t="shared" si="2"/>
        <v>Rp225,000-1 LSN-0.00%</v>
      </c>
      <c r="Q4170" s="92">
        <v>45425.0</v>
      </c>
      <c r="R4170" s="76"/>
      <c r="S4170" s="92">
        <v>45432.0</v>
      </c>
      <c r="T4170" s="49"/>
      <c r="V4170" s="21" t="s">
        <v>1809</v>
      </c>
    </row>
    <row r="4171">
      <c r="A4171" s="93">
        <v>188.0</v>
      </c>
      <c r="B4171" s="77" t="s">
        <v>29</v>
      </c>
      <c r="C4171" s="77" t="s">
        <v>625</v>
      </c>
      <c r="D4171" s="77" t="s">
        <v>1207</v>
      </c>
      <c r="E4171" s="41" t="str">
        <f>IFERROR(__xludf.DUMMYFUNCTION("IFNA(vlookup(D4171,IMPORTRANGE(""https://docs.google.com/spreadsheets/d/1swGwZOEqYlTEUCJLY-eeJM1911Kvaei5oySBIxdgtNo/edit?pli=1#gid=257618397"",""stock untanna!B:C""),2,false),V:V)"),"CLIP FILE YUSHINCA 318 BIRU TUA")</f>
        <v>CLIP FILE YUSHINCA 318 BIRU TUA</v>
      </c>
      <c r="F4171" s="49"/>
      <c r="G4171" s="71"/>
      <c r="H4171" s="41"/>
      <c r="I4171" s="42"/>
      <c r="J4171" s="85" t="s">
        <v>1319</v>
      </c>
      <c r="K4171" s="93">
        <v>1.0</v>
      </c>
      <c r="L4171" s="112" t="s">
        <v>62</v>
      </c>
      <c r="M4171" s="113">
        <v>225000.0</v>
      </c>
      <c r="N4171" s="74"/>
      <c r="O4171" s="87">
        <f t="shared" si="11"/>
        <v>225000</v>
      </c>
      <c r="P4171" s="102" t="str">
        <f t="shared" si="2"/>
        <v>Rp225,000-1 LSN-0.00%</v>
      </c>
      <c r="Q4171" s="92">
        <v>45425.0</v>
      </c>
      <c r="R4171" s="76"/>
      <c r="S4171" s="92">
        <v>45432.0</v>
      </c>
      <c r="T4171" s="49"/>
      <c r="V4171" s="21" t="s">
        <v>1209</v>
      </c>
    </row>
    <row r="4172">
      <c r="A4172" s="93">
        <v>188.0</v>
      </c>
      <c r="B4172" s="77" t="s">
        <v>29</v>
      </c>
      <c r="C4172" s="77" t="s">
        <v>625</v>
      </c>
      <c r="D4172" s="91"/>
      <c r="E4172" s="41" t="str">
        <f>IFERROR(__xludf.DUMMYFUNCTION("IFNA(vlookup(D4172,IMPORTRANGE(""https://docs.google.com/spreadsheets/d/1swGwZOEqYlTEUCJLY-eeJM1911Kvaei5oySBIxdgtNo/edit?pli=1#gid=257618397"",""stock untanna!B:C""),2,false),V:V)"),"KARET PENTIL KECIL")</f>
        <v>KARET PENTIL KECIL</v>
      </c>
      <c r="F4172" s="49"/>
      <c r="G4172" s="71"/>
      <c r="H4172" s="41"/>
      <c r="I4172" s="42"/>
      <c r="J4172" s="85" t="s">
        <v>3190</v>
      </c>
      <c r="K4172" s="93">
        <v>30.0</v>
      </c>
      <c r="L4172" s="112" t="s">
        <v>114</v>
      </c>
      <c r="M4172" s="113">
        <v>6000.0</v>
      </c>
      <c r="N4172" s="74"/>
      <c r="O4172" s="87">
        <f t="shared" si="11"/>
        <v>180000</v>
      </c>
      <c r="P4172" s="102" t="str">
        <f t="shared" si="2"/>
        <v>Rp6,000-30 PAK-0.00%</v>
      </c>
      <c r="Q4172" s="92">
        <v>45425.0</v>
      </c>
      <c r="R4172" s="76"/>
      <c r="S4172" s="92">
        <v>45432.0</v>
      </c>
      <c r="T4172" s="49"/>
      <c r="V4172" s="21" t="s">
        <v>293</v>
      </c>
    </row>
    <row r="4173">
      <c r="A4173" s="93">
        <v>188.0</v>
      </c>
      <c r="B4173" s="77" t="s">
        <v>29</v>
      </c>
      <c r="C4173" s="77" t="s">
        <v>625</v>
      </c>
      <c r="D4173" s="77" t="s">
        <v>2693</v>
      </c>
      <c r="E4173" s="41" t="str">
        <f>IFERROR(__xludf.DUMMYFUNCTION("IFNA(vlookup(D4173,IMPORTRANGE(""https://docs.google.com/spreadsheets/d/1swGwZOEqYlTEUCJLY-eeJM1911Kvaei5oySBIxdgtNo/edit?pli=1#gid=257618397"",""stock untanna!B:C""),2,false),V:V)"),"STICKER JN-H")</f>
        <v>STICKER JN-H</v>
      </c>
      <c r="F4173" s="49"/>
      <c r="G4173" s="71"/>
      <c r="H4173" s="41"/>
      <c r="I4173" s="42"/>
      <c r="J4173" s="85" t="s">
        <v>1319</v>
      </c>
      <c r="K4173" s="93">
        <v>50.0</v>
      </c>
      <c r="L4173" s="112" t="s">
        <v>69</v>
      </c>
      <c r="M4173" s="113">
        <v>5500.0</v>
      </c>
      <c r="N4173" s="74"/>
      <c r="O4173" s="87">
        <f t="shared" si="11"/>
        <v>275000</v>
      </c>
      <c r="P4173" s="102" t="str">
        <f t="shared" si="2"/>
        <v>Rp5,500-50 PCS-0.00%</v>
      </c>
      <c r="Q4173" s="92">
        <v>45425.0</v>
      </c>
      <c r="R4173" s="76"/>
      <c r="S4173" s="92">
        <v>45432.0</v>
      </c>
      <c r="T4173" s="49"/>
      <c r="V4173" s="21" t="s">
        <v>2694</v>
      </c>
    </row>
    <row r="4174">
      <c r="A4174" s="93">
        <v>188.0</v>
      </c>
      <c r="B4174" s="77" t="s">
        <v>29</v>
      </c>
      <c r="C4174" s="77" t="s">
        <v>625</v>
      </c>
      <c r="D4174" s="77" t="s">
        <v>1254</v>
      </c>
      <c r="E4174" s="41" t="str">
        <f>IFERROR(__xludf.DUMMYFUNCTION("IFNA(vlookup(D4174,IMPORTRANGE(""https://docs.google.com/spreadsheets/d/1swGwZOEqYlTEUCJLY-eeJM1911Kvaei5oySBIxdgtNo/edit?pli=1#gid=257618397"",""stock untanna!B:C""),2,false),V:V)"),"TAS KARUNG 70X70")</f>
        <v>TAS KARUNG 70X70</v>
      </c>
      <c r="F4174" s="49"/>
      <c r="G4174" s="71"/>
      <c r="H4174" s="41"/>
      <c r="I4174" s="42"/>
      <c r="J4174" s="85" t="s">
        <v>1319</v>
      </c>
      <c r="K4174" s="93">
        <v>1.0</v>
      </c>
      <c r="L4174" s="112" t="s">
        <v>62</v>
      </c>
      <c r="M4174" s="113">
        <v>300000.0</v>
      </c>
      <c r="N4174" s="74"/>
      <c r="O4174" s="87">
        <f t="shared" si="11"/>
        <v>300000</v>
      </c>
      <c r="P4174" s="102" t="str">
        <f t="shared" si="2"/>
        <v>Rp300,000-1 LSN-0.00%</v>
      </c>
      <c r="Q4174" s="92">
        <v>45425.0</v>
      </c>
      <c r="R4174" s="76"/>
      <c r="S4174" s="92">
        <v>45432.0</v>
      </c>
      <c r="T4174" s="49"/>
      <c r="V4174" s="21" t="s">
        <v>1255</v>
      </c>
    </row>
    <row r="4175">
      <c r="A4175" s="93">
        <v>188.0</v>
      </c>
      <c r="B4175" s="77" t="s">
        <v>29</v>
      </c>
      <c r="C4175" s="77" t="s">
        <v>625</v>
      </c>
      <c r="D4175" s="77" t="s">
        <v>1262</v>
      </c>
      <c r="E4175" s="41" t="str">
        <f>IFERROR(__xludf.DUMMYFUNCTION("IFNA(vlookup(D4175,IMPORTRANGE(""https://docs.google.com/spreadsheets/d/1swGwZOEqYlTEUCJLY-eeJM1911Kvaei5oySBIxdgtNo/edit?pli=1#gid=257618397"",""stock untanna!B:C""),2,false),V:V)"),"TAS KARUNG 50X55")</f>
        <v>TAS KARUNG 50X55</v>
      </c>
      <c r="F4175" s="49"/>
      <c r="G4175" s="71"/>
      <c r="H4175" s="41"/>
      <c r="I4175" s="42"/>
      <c r="J4175" s="85" t="s">
        <v>1319</v>
      </c>
      <c r="K4175" s="93">
        <v>1.0</v>
      </c>
      <c r="L4175" s="112" t="s">
        <v>62</v>
      </c>
      <c r="M4175" s="113">
        <v>240000.0</v>
      </c>
      <c r="N4175" s="74"/>
      <c r="O4175" s="87">
        <f t="shared" si="11"/>
        <v>240000</v>
      </c>
      <c r="P4175" s="102" t="str">
        <f t="shared" si="2"/>
        <v>Rp240,000-1 LSN-0.00%</v>
      </c>
      <c r="Q4175" s="92">
        <v>45425.0</v>
      </c>
      <c r="R4175" s="76"/>
      <c r="S4175" s="92">
        <v>45432.0</v>
      </c>
      <c r="T4175" s="49"/>
      <c r="V4175" s="21" t="s">
        <v>1263</v>
      </c>
    </row>
    <row r="4176">
      <c r="A4176" s="93">
        <v>188.0</v>
      </c>
      <c r="B4176" s="77" t="s">
        <v>29</v>
      </c>
      <c r="C4176" s="77" t="s">
        <v>625</v>
      </c>
      <c r="D4176" s="77" t="s">
        <v>156</v>
      </c>
      <c r="E4176" s="41" t="str">
        <f>IFERROR(__xludf.DUMMYFUNCTION("IFNA(vlookup(D4176,IMPORTRANGE(""https://docs.google.com/spreadsheets/d/1swGwZOEqYlTEUCJLY-eeJM1911Kvaei5oySBIxdgtNo/edit?pli=1#gid=257618397"",""stock untanna!B:C""),2,false),V:V)"),"TAS KARUNG 60 X 45 X 20")</f>
        <v>TAS KARUNG 60 X 45 X 20</v>
      </c>
      <c r="F4176" s="49"/>
      <c r="G4176" s="71"/>
      <c r="H4176" s="41"/>
      <c r="I4176" s="42"/>
      <c r="J4176" s="85" t="s">
        <v>1319</v>
      </c>
      <c r="K4176" s="93">
        <v>12.0</v>
      </c>
      <c r="L4176" s="112" t="s">
        <v>69</v>
      </c>
      <c r="M4176" s="113">
        <v>18750.0</v>
      </c>
      <c r="N4176" s="74"/>
      <c r="O4176" s="87">
        <f t="shared" si="11"/>
        <v>225000</v>
      </c>
      <c r="P4176" s="102" t="str">
        <f t="shared" si="2"/>
        <v>Rp18,750-12 PCS-0.00%</v>
      </c>
      <c r="Q4176" s="92">
        <v>45425.0</v>
      </c>
      <c r="R4176" s="76"/>
      <c r="S4176" s="92">
        <v>45432.0</v>
      </c>
      <c r="T4176" s="49"/>
      <c r="V4176" s="21" t="s">
        <v>3284</v>
      </c>
    </row>
    <row r="4177">
      <c r="A4177" s="93">
        <v>188.0</v>
      </c>
      <c r="B4177" s="77" t="s">
        <v>29</v>
      </c>
      <c r="C4177" s="77" t="s">
        <v>625</v>
      </c>
      <c r="D4177" s="91"/>
      <c r="E4177" s="41" t="str">
        <f>IFERROR(__xludf.DUMMYFUNCTION("IFNA(vlookup(D4177,IMPORTRANGE(""https://docs.google.com/spreadsheets/d/1swGwZOEqYlTEUCJLY-eeJM1911Kvaei5oySBIxdgtNo/edit?pli=1#gid=257618397"",""stock untanna!B:C""),2,false),V:V)"),"TAS KARUNG 70 X 53")</f>
        <v>TAS KARUNG 70 X 53</v>
      </c>
      <c r="F4177" s="49"/>
      <c r="G4177" s="71"/>
      <c r="H4177" s="41"/>
      <c r="I4177" s="42"/>
      <c r="J4177" s="85" t="s">
        <v>3190</v>
      </c>
      <c r="K4177" s="93">
        <v>1.0</v>
      </c>
      <c r="L4177" s="112" t="s">
        <v>62</v>
      </c>
      <c r="M4177" s="113">
        <v>290000.0</v>
      </c>
      <c r="N4177" s="74"/>
      <c r="O4177" s="87">
        <f t="shared" si="11"/>
        <v>290000</v>
      </c>
      <c r="P4177" s="102" t="str">
        <f t="shared" si="2"/>
        <v>Rp290,000-1 LSN-0.00%</v>
      </c>
      <c r="Q4177" s="92">
        <v>45425.0</v>
      </c>
      <c r="R4177" s="76"/>
      <c r="S4177" s="92">
        <v>45432.0</v>
      </c>
      <c r="T4177" s="49"/>
      <c r="V4177" s="21" t="s">
        <v>1267</v>
      </c>
    </row>
    <row r="4178">
      <c r="A4178" s="93">
        <v>188.0</v>
      </c>
      <c r="B4178" s="77" t="s">
        <v>29</v>
      </c>
      <c r="C4178" s="77" t="s">
        <v>625</v>
      </c>
      <c r="D4178" s="91"/>
      <c r="E4178" s="41" t="str">
        <f>IFERROR(__xludf.DUMMYFUNCTION("IFNA(vlookup(D4178,IMPORTRANGE(""https://docs.google.com/spreadsheets/d/1swGwZOEqYlTEUCJLY-eeJM1911Kvaei5oySBIxdgtNo/edit?pli=1#gid=257618397"",""stock untanna!B:C""),2,false),V:V)"),"KUAS ENTER 12")</f>
        <v>KUAS ENTER 12</v>
      </c>
      <c r="F4178" s="49"/>
      <c r="G4178" s="71"/>
      <c r="H4178" s="41"/>
      <c r="I4178" s="42"/>
      <c r="J4178" s="85" t="s">
        <v>3190</v>
      </c>
      <c r="K4178" s="93">
        <v>2.0</v>
      </c>
      <c r="L4178" s="112" t="s">
        <v>62</v>
      </c>
      <c r="M4178" s="113">
        <v>43000.0</v>
      </c>
      <c r="N4178" s="74"/>
      <c r="O4178" s="87">
        <f t="shared" si="11"/>
        <v>86000</v>
      </c>
      <c r="P4178" s="102" t="str">
        <f t="shared" si="2"/>
        <v>Rp43,000-2 LSN-0.00%</v>
      </c>
      <c r="Q4178" s="92">
        <v>45425.0</v>
      </c>
      <c r="R4178" s="76"/>
      <c r="S4178" s="92">
        <v>45432.0</v>
      </c>
      <c r="T4178" s="49"/>
      <c r="V4178" s="21" t="s">
        <v>3710</v>
      </c>
    </row>
    <row r="4179">
      <c r="A4179" s="93">
        <v>188.0</v>
      </c>
      <c r="B4179" s="77" t="s">
        <v>29</v>
      </c>
      <c r="C4179" s="77" t="s">
        <v>625</v>
      </c>
      <c r="D4179" s="91"/>
      <c r="E4179" s="41" t="str">
        <f>IFERROR(__xludf.DUMMYFUNCTION("IFNA(vlookup(D4179,IMPORTRANGE(""https://docs.google.com/spreadsheets/d/1swGwZOEqYlTEUCJLY-eeJM1911Kvaei5oySBIxdgtNo/edit?pli=1#gid=257618397"",""stock untanna!B:C""),2,false),V:V)"),"KUAS ENTER 11")</f>
        <v>KUAS ENTER 11</v>
      </c>
      <c r="F4179" s="49"/>
      <c r="G4179" s="71"/>
      <c r="H4179" s="41"/>
      <c r="I4179" s="42"/>
      <c r="J4179" s="85" t="s">
        <v>3190</v>
      </c>
      <c r="K4179" s="93">
        <v>2.0</v>
      </c>
      <c r="L4179" s="112" t="s">
        <v>62</v>
      </c>
      <c r="M4179" s="113">
        <v>46000.0</v>
      </c>
      <c r="N4179" s="74"/>
      <c r="O4179" s="87">
        <f t="shared" si="11"/>
        <v>92000</v>
      </c>
      <c r="P4179" s="102" t="str">
        <f t="shared" si="2"/>
        <v>Rp46,000-2 LSN-0.00%</v>
      </c>
      <c r="Q4179" s="92">
        <v>45425.0</v>
      </c>
      <c r="R4179" s="76"/>
      <c r="S4179" s="92">
        <v>45432.0</v>
      </c>
      <c r="T4179" s="49"/>
      <c r="V4179" s="21" t="s">
        <v>3711</v>
      </c>
    </row>
    <row r="4180">
      <c r="A4180" s="93">
        <v>188.0</v>
      </c>
      <c r="B4180" s="77" t="s">
        <v>29</v>
      </c>
      <c r="C4180" s="77" t="s">
        <v>625</v>
      </c>
      <c r="D4180" s="77" t="s">
        <v>1912</v>
      </c>
      <c r="E4180" s="41" t="str">
        <f>IFERROR(__xludf.DUMMYFUNCTION("IFNA(vlookup(D4180,IMPORTRANGE(""https://docs.google.com/spreadsheets/d/1swGwZOEqYlTEUCJLY-eeJM1911Kvaei5oySBIxdgtNo/edit?pli=1#gid=257618397"",""stock untanna!B:C""),2,false),V:V)"),"BALON METALIK LMP 2800")</f>
        <v>BALON METALIK LMP 2800</v>
      </c>
      <c r="F4180" s="49"/>
      <c r="G4180" s="71"/>
      <c r="H4180" s="41"/>
      <c r="I4180" s="42"/>
      <c r="J4180" s="85" t="s">
        <v>1319</v>
      </c>
      <c r="K4180" s="93">
        <v>5.0</v>
      </c>
      <c r="L4180" s="112" t="s">
        <v>1521</v>
      </c>
      <c r="M4180" s="113">
        <v>75000.0</v>
      </c>
      <c r="N4180" s="115">
        <v>0.1</v>
      </c>
      <c r="O4180" s="87">
        <f t="shared" si="11"/>
        <v>337500</v>
      </c>
      <c r="P4180" s="102" t="str">
        <f t="shared" si="2"/>
        <v>Rp75,000-5 DISP-10.00%</v>
      </c>
      <c r="Q4180" s="92">
        <v>45425.0</v>
      </c>
      <c r="R4180" s="76"/>
      <c r="S4180" s="92">
        <v>45432.0</v>
      </c>
      <c r="T4180" s="49"/>
      <c r="V4180" s="21" t="s">
        <v>1913</v>
      </c>
    </row>
    <row r="4181">
      <c r="A4181" s="93">
        <v>188.0</v>
      </c>
      <c r="B4181" s="77" t="s">
        <v>29</v>
      </c>
      <c r="C4181" s="77" t="s">
        <v>625</v>
      </c>
      <c r="D4181" s="77" t="s">
        <v>2782</v>
      </c>
      <c r="E4181" s="41" t="str">
        <f>IFERROR(__xludf.DUMMYFUNCTION("IFNA(vlookup(D4181,IMPORTRANGE(""https://docs.google.com/spreadsheets/d/1swGwZOEqYlTEUCJLY-eeJM1911Kvaei5oySBIxdgtNo/edit?pli=1#gid=257618397"",""stock untanna!B:C""),2,false),V:V)"),"BALON BL 1007")</f>
        <v>BALON BL 1007</v>
      </c>
      <c r="F4181" s="49"/>
      <c r="G4181" s="71"/>
      <c r="H4181" s="41"/>
      <c r="I4181" s="42"/>
      <c r="J4181" s="85" t="s">
        <v>1319</v>
      </c>
      <c r="K4181" s="93">
        <v>5.0</v>
      </c>
      <c r="L4181" s="112" t="s">
        <v>1521</v>
      </c>
      <c r="M4181" s="113">
        <v>68750.0</v>
      </c>
      <c r="N4181" s="115">
        <v>0.1</v>
      </c>
      <c r="O4181" s="87">
        <f t="shared" si="11"/>
        <v>309375</v>
      </c>
      <c r="P4181" s="102" t="str">
        <f t="shared" si="2"/>
        <v>Rp68,750-5 DISP-10.00%</v>
      </c>
      <c r="Q4181" s="92">
        <v>45425.0</v>
      </c>
      <c r="R4181" s="76"/>
      <c r="S4181" s="92">
        <v>45432.0</v>
      </c>
      <c r="T4181" s="49"/>
      <c r="V4181" s="21" t="s">
        <v>2783</v>
      </c>
    </row>
    <row r="4182">
      <c r="A4182" s="93">
        <v>188.0</v>
      </c>
      <c r="B4182" s="77" t="s">
        <v>29</v>
      </c>
      <c r="C4182" s="77" t="s">
        <v>625</v>
      </c>
      <c r="D4182" s="77" t="s">
        <v>1522</v>
      </c>
      <c r="E4182" s="41" t="str">
        <f>IFERROR(__xludf.DUMMYFUNCTION("IFNA(vlookup(D4182,IMPORTRANGE(""https://docs.google.com/spreadsheets/d/1swGwZOEqYlTEUCJLY-eeJM1911Kvaei5oySBIxdgtNo/edit?pli=1#gid=257618397"",""stock untanna!B:C""),2,false),V:V)"),"BALON LKM 2800")</f>
        <v>BALON LKM 2800</v>
      </c>
      <c r="F4182" s="49"/>
      <c r="G4182" s="71"/>
      <c r="H4182" s="41"/>
      <c r="I4182" s="42"/>
      <c r="J4182" s="85" t="s">
        <v>1319</v>
      </c>
      <c r="K4182" s="93">
        <v>5.0</v>
      </c>
      <c r="L4182" s="112" t="s">
        <v>1521</v>
      </c>
      <c r="M4182" s="113">
        <v>75000.0</v>
      </c>
      <c r="N4182" s="115">
        <v>0.1</v>
      </c>
      <c r="O4182" s="87">
        <f t="shared" si="11"/>
        <v>337500</v>
      </c>
      <c r="P4182" s="102" t="str">
        <f t="shared" si="2"/>
        <v>Rp75,000-5 DISP-10.00%</v>
      </c>
      <c r="Q4182" s="92">
        <v>45425.0</v>
      </c>
      <c r="R4182" s="76"/>
      <c r="S4182" s="92">
        <v>45432.0</v>
      </c>
      <c r="T4182" s="49"/>
      <c r="V4182" s="21" t="s">
        <v>1523</v>
      </c>
    </row>
    <row r="4183">
      <c r="A4183" s="93">
        <v>188.0</v>
      </c>
      <c r="B4183" s="77" t="s">
        <v>29</v>
      </c>
      <c r="C4183" s="77" t="s">
        <v>625</v>
      </c>
      <c r="D4183" s="77" t="s">
        <v>2784</v>
      </c>
      <c r="E4183" s="41" t="str">
        <f>IFERROR(__xludf.DUMMYFUNCTION("IFNA(vlookup(D4183,IMPORTRANGE(""https://docs.google.com/spreadsheets/d/1swGwZOEqYlTEUCJLY-eeJM1911Kvaei5oySBIxdgtNo/edit?pli=1#gid=257618397"",""stock untanna!B:C""),2,false),V:V)"),"BALON LKP 3200")</f>
        <v>BALON LKP 3200</v>
      </c>
      <c r="F4183" s="49"/>
      <c r="G4183" s="71"/>
      <c r="H4183" s="41"/>
      <c r="I4183" s="42"/>
      <c r="J4183" s="85" t="s">
        <v>1319</v>
      </c>
      <c r="K4183" s="93">
        <v>5.0</v>
      </c>
      <c r="L4183" s="112" t="s">
        <v>1521</v>
      </c>
      <c r="M4183" s="113">
        <v>85000.0</v>
      </c>
      <c r="N4183" s="115">
        <v>0.1</v>
      </c>
      <c r="O4183" s="87">
        <f t="shared" si="11"/>
        <v>382500</v>
      </c>
      <c r="P4183" s="102" t="str">
        <f t="shared" si="2"/>
        <v>Rp85,000-5 DISP-10.00%</v>
      </c>
      <c r="Q4183" s="92">
        <v>45425.0</v>
      </c>
      <c r="R4183" s="76"/>
      <c r="S4183" s="92">
        <v>45432.0</v>
      </c>
      <c r="T4183" s="49"/>
      <c r="V4183" s="21" t="s">
        <v>2785</v>
      </c>
    </row>
    <row r="4184">
      <c r="A4184" s="93">
        <v>188.0</v>
      </c>
      <c r="B4184" s="77" t="s">
        <v>29</v>
      </c>
      <c r="C4184" s="77" t="s">
        <v>625</v>
      </c>
      <c r="D4184" s="91"/>
      <c r="E4184" s="41" t="str">
        <f>IFERROR(__xludf.DUMMYFUNCTION("IFNA(vlookup(D4184,IMPORTRANGE(""https://docs.google.com/spreadsheets/d/1swGwZOEqYlTEUCJLY-eeJM1911Kvaei5oySBIxdgtNo/edit?pli=1#gid=257618397"",""stock untanna!B:C""),2,false),V:V)"),"ISI GEL 1.0")</f>
        <v>ISI GEL 1.0</v>
      </c>
      <c r="F4184" s="49"/>
      <c r="G4184" s="71"/>
      <c r="H4184" s="41"/>
      <c r="I4184" s="42"/>
      <c r="J4184" s="43" t="str">
        <f>IF(D4184="","TIDAK ADA","ADA")</f>
        <v>TIDAK ADA</v>
      </c>
      <c r="K4184" s="93">
        <v>2.0</v>
      </c>
      <c r="L4184" s="112" t="s">
        <v>88</v>
      </c>
      <c r="M4184" s="113">
        <v>25000.0</v>
      </c>
      <c r="N4184" s="74"/>
      <c r="O4184" s="87">
        <f t="shared" si="11"/>
        <v>50000</v>
      </c>
      <c r="P4184" s="102" t="str">
        <f t="shared" si="2"/>
        <v>Rp25,000-2 BOX-0.00%</v>
      </c>
      <c r="Q4184" s="92">
        <v>45425.0</v>
      </c>
      <c r="R4184" s="76"/>
      <c r="S4184" s="92">
        <v>45432.0</v>
      </c>
      <c r="T4184" s="77" t="s">
        <v>280</v>
      </c>
      <c r="V4184" s="21" t="s">
        <v>3712</v>
      </c>
    </row>
    <row r="4185">
      <c r="A4185" s="93">
        <v>188.0</v>
      </c>
      <c r="B4185" s="77" t="s">
        <v>29</v>
      </c>
      <c r="C4185" s="77" t="s">
        <v>625</v>
      </c>
      <c r="D4185" s="91"/>
      <c r="E4185" s="41" t="str">
        <f>IFERROR(__xludf.DUMMYFUNCTION("IFNA(vlookup(D4185,IMPORTRANGE(""https://docs.google.com/spreadsheets/d/1swGwZOEqYlTEUCJLY-eeJM1911Kvaei5oySBIxdgtNo/edit?pli=1#gid=257618397"",""stock untanna!B:C""),2,false),V:V)"),"PENSIL TF 888")</f>
        <v>PENSIL TF 888</v>
      </c>
      <c r="F4185" s="49"/>
      <c r="G4185" s="71"/>
      <c r="H4185" s="41"/>
      <c r="I4185" s="42"/>
      <c r="J4185" s="85" t="s">
        <v>3190</v>
      </c>
      <c r="K4185" s="93">
        <v>2.0</v>
      </c>
      <c r="L4185" s="112" t="s">
        <v>131</v>
      </c>
      <c r="M4185" s="113">
        <v>90000.0</v>
      </c>
      <c r="N4185" s="74"/>
      <c r="O4185" s="87">
        <f t="shared" si="11"/>
        <v>180000</v>
      </c>
      <c r="P4185" s="102" t="str">
        <f t="shared" si="2"/>
        <v>Rp90,000-2 GRS-0.00%</v>
      </c>
      <c r="Q4185" s="92">
        <v>45425.0</v>
      </c>
      <c r="R4185" s="76"/>
      <c r="S4185" s="92">
        <v>45432.0</v>
      </c>
      <c r="T4185" s="49"/>
      <c r="V4185" s="21" t="s">
        <v>135</v>
      </c>
    </row>
    <row r="4186">
      <c r="A4186" s="93">
        <v>189.0</v>
      </c>
      <c r="B4186" s="77" t="s">
        <v>29</v>
      </c>
      <c r="C4186" s="77" t="s">
        <v>625</v>
      </c>
      <c r="D4186" s="91"/>
      <c r="E4186" s="41" t="str">
        <f>IFERROR(__xludf.DUMMYFUNCTION("IFNA(vlookup(D4186,IMPORTRANGE(""https://docs.google.com/spreadsheets/d/1swGwZOEqYlTEUCJLY-eeJM1911Kvaei5oySBIxdgtNo/edit?pli=1#gid=257618397"",""stock untanna!B:C""),2,false),V:V)"),"PENSIL 2B X 001 FANCY")</f>
        <v>PENSIL 2B X 001 FANCY</v>
      </c>
      <c r="F4186" s="49"/>
      <c r="G4186" s="71"/>
      <c r="H4186" s="41"/>
      <c r="I4186" s="42"/>
      <c r="J4186" s="85" t="s">
        <v>3190</v>
      </c>
      <c r="K4186" s="93">
        <v>2.0</v>
      </c>
      <c r="L4186" s="112" t="s">
        <v>131</v>
      </c>
      <c r="M4186" s="113">
        <v>50000.0</v>
      </c>
      <c r="N4186" s="74"/>
      <c r="O4186" s="87">
        <f t="shared" si="11"/>
        <v>100000</v>
      </c>
      <c r="P4186" s="102" t="str">
        <f t="shared" si="2"/>
        <v>Rp50,000-2 GRS-0.00%</v>
      </c>
      <c r="Q4186" s="92">
        <v>45425.0</v>
      </c>
      <c r="R4186" s="76"/>
      <c r="S4186" s="92">
        <v>45432.0</v>
      </c>
      <c r="T4186" s="49"/>
      <c r="V4186" s="21" t="s">
        <v>3713</v>
      </c>
    </row>
    <row r="4187">
      <c r="A4187" s="93">
        <v>189.0</v>
      </c>
      <c r="B4187" s="77" t="s">
        <v>29</v>
      </c>
      <c r="C4187" s="77" t="s">
        <v>625</v>
      </c>
      <c r="D4187" s="91"/>
      <c r="E4187" s="41" t="str">
        <f>IFERROR(__xludf.DUMMYFUNCTION("IFNA(vlookup(D4187,IMPORTRANGE(""https://docs.google.com/spreadsheets/d/1swGwZOEqYlTEUCJLY-eeJM1911Kvaei5oySBIxdgtNo/edit?pli=1#gid=257618397"",""stock untanna!B:C""),2,false),V:V)"),"PENSIL 2B DM 5188")</f>
        <v>PENSIL 2B DM 5188</v>
      </c>
      <c r="F4187" s="49"/>
      <c r="G4187" s="71"/>
      <c r="H4187" s="41"/>
      <c r="I4187" s="42"/>
      <c r="J4187" s="85" t="s">
        <v>3190</v>
      </c>
      <c r="K4187" s="93">
        <v>2.0</v>
      </c>
      <c r="L4187" s="112" t="s">
        <v>131</v>
      </c>
      <c r="M4187" s="113">
        <v>100000.0</v>
      </c>
      <c r="N4187" s="74"/>
      <c r="O4187" s="87">
        <f t="shared" si="11"/>
        <v>200000</v>
      </c>
      <c r="P4187" s="102" t="str">
        <f t="shared" si="2"/>
        <v>Rp100,000-2 GRS-0.00%</v>
      </c>
      <c r="Q4187" s="92">
        <v>45425.0</v>
      </c>
      <c r="R4187" s="76"/>
      <c r="S4187" s="92">
        <v>45432.0</v>
      </c>
      <c r="T4187" s="49"/>
      <c r="V4187" s="21" t="s">
        <v>3714</v>
      </c>
    </row>
    <row r="4188">
      <c r="A4188" s="93">
        <v>189.0</v>
      </c>
      <c r="B4188" s="77" t="s">
        <v>29</v>
      </c>
      <c r="C4188" s="77" t="s">
        <v>625</v>
      </c>
      <c r="D4188" s="91"/>
      <c r="E4188" s="41" t="str">
        <f>IFERROR(__xludf.DUMMYFUNCTION("IFNA(vlookup(D4188,IMPORTRANGE(""https://docs.google.com/spreadsheets/d/1swGwZOEqYlTEUCJLY-eeJM1911Kvaei5oySBIxdgtNo/edit?pli=1#gid=257618397"",""stock untanna!B:C""),2,false),V:V)"),"PENSIL 2B KY 3055")</f>
        <v>PENSIL 2B KY 3055</v>
      </c>
      <c r="F4188" s="49"/>
      <c r="G4188" s="71"/>
      <c r="H4188" s="41"/>
      <c r="I4188" s="42"/>
      <c r="J4188" s="85" t="s">
        <v>3190</v>
      </c>
      <c r="K4188" s="93">
        <v>2.0</v>
      </c>
      <c r="L4188" s="112" t="s">
        <v>131</v>
      </c>
      <c r="M4188" s="113">
        <v>102000.0</v>
      </c>
      <c r="N4188" s="74"/>
      <c r="O4188" s="87">
        <f t="shared" si="11"/>
        <v>204000</v>
      </c>
      <c r="P4188" s="102" t="str">
        <f t="shared" si="2"/>
        <v>Rp102,000-2 GRS-0.00%</v>
      </c>
      <c r="Q4188" s="92">
        <v>45425.0</v>
      </c>
      <c r="R4188" s="76"/>
      <c r="S4188" s="92">
        <v>45432.0</v>
      </c>
      <c r="T4188" s="49"/>
      <c r="V4188" s="21" t="s">
        <v>3715</v>
      </c>
    </row>
    <row r="4189">
      <c r="A4189" s="93">
        <v>189.0</v>
      </c>
      <c r="B4189" s="77" t="s">
        <v>29</v>
      </c>
      <c r="C4189" s="77" t="s">
        <v>625</v>
      </c>
      <c r="D4189" s="77" t="s">
        <v>1656</v>
      </c>
      <c r="E4189" s="41" t="str">
        <f>IFERROR(__xludf.DUMMYFUNCTION("IFNA(vlookup(D4189,IMPORTRANGE(""https://docs.google.com/spreadsheets/d/1swGwZOEqYlTEUCJLY-eeJM1911Kvaei5oySBIxdgtNo/edit?pli=1#gid=257618397"",""stock untanna!B:C""),2,false),V:V)"),"PENSIL 2B KAYAGI 3041")</f>
        <v>PENSIL 2B KAYAGI 3041</v>
      </c>
      <c r="F4189" s="49"/>
      <c r="G4189" s="71"/>
      <c r="H4189" s="41"/>
      <c r="I4189" s="42"/>
      <c r="J4189" s="85" t="s">
        <v>1319</v>
      </c>
      <c r="K4189" s="93">
        <v>2.0</v>
      </c>
      <c r="L4189" s="112" t="s">
        <v>131</v>
      </c>
      <c r="M4189" s="113">
        <v>102000.0</v>
      </c>
      <c r="N4189" s="74"/>
      <c r="O4189" s="87">
        <f t="shared" si="11"/>
        <v>204000</v>
      </c>
      <c r="P4189" s="102" t="str">
        <f t="shared" si="2"/>
        <v>Rp102,000-2 GRS-0.00%</v>
      </c>
      <c r="Q4189" s="92">
        <v>45425.0</v>
      </c>
      <c r="R4189" s="76"/>
      <c r="S4189" s="92">
        <v>45432.0</v>
      </c>
      <c r="T4189" s="49"/>
      <c r="V4189" s="21" t="s">
        <v>1657</v>
      </c>
    </row>
    <row r="4190">
      <c r="A4190" s="93">
        <v>189.0</v>
      </c>
      <c r="B4190" s="77" t="s">
        <v>29</v>
      </c>
      <c r="C4190" s="77" t="s">
        <v>625</v>
      </c>
      <c r="D4190" s="77" t="s">
        <v>734</v>
      </c>
      <c r="E4190" s="41" t="str">
        <f>IFERROR(__xludf.DUMMYFUNCTION("IFNA(vlookup(D4190,IMPORTRANGE(""https://docs.google.com/spreadsheets/d/1swGwZOEqYlTEUCJLY-eeJM1911Kvaei5oySBIxdgtNo/edit?pli=1#gid=257618397"",""stock untanna!B:C""),2,false),V:V)"),"PENSIL 2B KAYAGI 3053")</f>
        <v>PENSIL 2B KAYAGI 3053</v>
      </c>
      <c r="F4190" s="49"/>
      <c r="G4190" s="71"/>
      <c r="H4190" s="41"/>
      <c r="I4190" s="42"/>
      <c r="J4190" s="85" t="s">
        <v>1319</v>
      </c>
      <c r="K4190" s="93">
        <v>2.0</v>
      </c>
      <c r="L4190" s="112" t="s">
        <v>131</v>
      </c>
      <c r="M4190" s="113">
        <v>102000.0</v>
      </c>
      <c r="N4190" s="74"/>
      <c r="O4190" s="87">
        <f t="shared" si="11"/>
        <v>204000</v>
      </c>
      <c r="P4190" s="102" t="str">
        <f t="shared" si="2"/>
        <v>Rp102,000-2 GRS-0.00%</v>
      </c>
      <c r="Q4190" s="92">
        <v>45425.0</v>
      </c>
      <c r="R4190" s="76"/>
      <c r="S4190" s="92">
        <v>45432.0</v>
      </c>
      <c r="T4190" s="49"/>
      <c r="V4190" s="21" t="s">
        <v>735</v>
      </c>
    </row>
    <row r="4191">
      <c r="A4191" s="93">
        <v>189.0</v>
      </c>
      <c r="B4191" s="77" t="s">
        <v>29</v>
      </c>
      <c r="C4191" s="77" t="s">
        <v>625</v>
      </c>
      <c r="D4191" s="77" t="s">
        <v>740</v>
      </c>
      <c r="E4191" s="41" t="str">
        <f>IFERROR(__xludf.DUMMYFUNCTION("IFNA(vlookup(D4191,IMPORTRANGE(""https://docs.google.com/spreadsheets/d/1swGwZOEqYlTEUCJLY-eeJM1911Kvaei5oySBIxdgtNo/edit?pli=1#gid=257618397"",""stock untanna!B:C""),2,false),V:V)"),"PENSIL KAYAGI 3062")</f>
        <v>PENSIL KAYAGI 3062</v>
      </c>
      <c r="F4191" s="49"/>
      <c r="G4191" s="71"/>
      <c r="H4191" s="41"/>
      <c r="I4191" s="42"/>
      <c r="J4191" s="85" t="s">
        <v>1319</v>
      </c>
      <c r="K4191" s="93">
        <v>2.0</v>
      </c>
      <c r="L4191" s="112" t="s">
        <v>131</v>
      </c>
      <c r="M4191" s="113">
        <v>102000.0</v>
      </c>
      <c r="N4191" s="74"/>
      <c r="O4191" s="87">
        <f t="shared" si="11"/>
        <v>204000</v>
      </c>
      <c r="P4191" s="102" t="str">
        <f t="shared" si="2"/>
        <v>Rp102,000-2 GRS-0.00%</v>
      </c>
      <c r="Q4191" s="92">
        <v>45425.0</v>
      </c>
      <c r="R4191" s="76"/>
      <c r="S4191" s="92">
        <v>45432.0</v>
      </c>
      <c r="T4191" s="49"/>
      <c r="V4191" s="21" t="s">
        <v>741</v>
      </c>
    </row>
    <row r="4192">
      <c r="A4192" s="93">
        <v>189.0</v>
      </c>
      <c r="B4192" s="77" t="s">
        <v>29</v>
      </c>
      <c r="C4192" s="77" t="s">
        <v>625</v>
      </c>
      <c r="D4192" s="91"/>
      <c r="E4192" s="41" t="str">
        <f>IFERROR(__xludf.DUMMYFUNCTION("IFNA(vlookup(D4192,IMPORTRANGE(""https://docs.google.com/spreadsheets/d/1swGwZOEqYlTEUCJLY-eeJM1911Kvaei5oySBIxdgtNo/edit?pli=1#gid=257618397"",""stock untanna!B:C""),2,false),V:V)"),"PALETTE 21839-10")</f>
        <v>PALETTE 21839-10</v>
      </c>
      <c r="F4192" s="49"/>
      <c r="G4192" s="71"/>
      <c r="H4192" s="41"/>
      <c r="I4192" s="42"/>
      <c r="J4192" s="85" t="s">
        <v>1319</v>
      </c>
      <c r="K4192" s="93">
        <v>1.0</v>
      </c>
      <c r="L4192" s="112" t="s">
        <v>62</v>
      </c>
      <c r="M4192" s="113">
        <v>175000.0</v>
      </c>
      <c r="N4192" s="74"/>
      <c r="O4192" s="87">
        <f t="shared" si="11"/>
        <v>175000</v>
      </c>
      <c r="P4192" s="102" t="str">
        <f t="shared" si="2"/>
        <v>Rp175,000-1 LSN-0.00%</v>
      </c>
      <c r="Q4192" s="92">
        <v>45425.0</v>
      </c>
      <c r="R4192" s="76"/>
      <c r="S4192" s="92">
        <v>45432.0</v>
      </c>
      <c r="T4192" s="77" t="s">
        <v>280</v>
      </c>
      <c r="V4192" s="21" t="s">
        <v>343</v>
      </c>
    </row>
    <row r="4193">
      <c r="A4193" s="93">
        <v>189.0</v>
      </c>
      <c r="B4193" s="77" t="s">
        <v>29</v>
      </c>
      <c r="C4193" s="77" t="s">
        <v>625</v>
      </c>
      <c r="D4193" s="77" t="s">
        <v>3716</v>
      </c>
      <c r="E4193" s="41" t="str">
        <f>IFERROR(__xludf.DUMMYFUNCTION("IFNA(vlookup(D4193,IMPORTRANGE(""https://docs.google.com/spreadsheets/d/1swGwZOEqYlTEUCJLY-eeJM1911Kvaei5oySBIxdgtNo/edit?pli=1#gid=257618397"",""stock untanna!B:C""),2,false),V:V)"),"GUNTING RAMBUT TG 690")</f>
        <v>GUNTING RAMBUT TG 690</v>
      </c>
      <c r="F4193" s="49"/>
      <c r="G4193" s="71"/>
      <c r="H4193" s="41"/>
      <c r="I4193" s="42"/>
      <c r="J4193" s="85" t="s">
        <v>1319</v>
      </c>
      <c r="K4193" s="93">
        <v>1.0</v>
      </c>
      <c r="L4193" s="112" t="s">
        <v>62</v>
      </c>
      <c r="M4193" s="113">
        <v>50000.0</v>
      </c>
      <c r="N4193" s="74"/>
      <c r="O4193" s="87">
        <f t="shared" si="11"/>
        <v>50000</v>
      </c>
      <c r="P4193" s="102" t="str">
        <f t="shared" si="2"/>
        <v>Rp50,000-1 LSN-0.00%</v>
      </c>
      <c r="Q4193" s="92">
        <v>45425.0</v>
      </c>
      <c r="R4193" s="76"/>
      <c r="S4193" s="92">
        <v>45432.0</v>
      </c>
      <c r="T4193" s="49"/>
      <c r="V4193" s="21" t="s">
        <v>3717</v>
      </c>
    </row>
    <row r="4194">
      <c r="A4194" s="93">
        <v>189.0</v>
      </c>
      <c r="B4194" s="77" t="s">
        <v>29</v>
      </c>
      <c r="C4194" s="77" t="s">
        <v>625</v>
      </c>
      <c r="D4194" s="77" t="s">
        <v>421</v>
      </c>
      <c r="E4194" s="41" t="str">
        <f>IFERROR(__xludf.DUMMYFUNCTION("IFNA(vlookup(D4194,IMPORTRANGE(""https://docs.google.com/spreadsheets/d/1swGwZOEqYlTEUCJLY-eeJM1911Kvaei5oySBIxdgtNo/edit?pli=1#gid=257618397"",""stock untanna!B:C""),2,false),V:V)"),"BP GEL ZUI ZHUA HY-1020 BIRU")</f>
        <v>BP GEL ZUI ZHUA HY-1020 BIRU</v>
      </c>
      <c r="F4194" s="49"/>
      <c r="G4194" s="71"/>
      <c r="H4194" s="41"/>
      <c r="I4194" s="42"/>
      <c r="J4194" s="85" t="s">
        <v>1319</v>
      </c>
      <c r="K4194" s="93">
        <v>36.0</v>
      </c>
      <c r="L4194" s="112" t="s">
        <v>62</v>
      </c>
      <c r="M4194" s="113">
        <v>11500.0</v>
      </c>
      <c r="N4194" s="74"/>
      <c r="O4194" s="87">
        <f t="shared" si="11"/>
        <v>414000</v>
      </c>
      <c r="P4194" s="102" t="str">
        <f t="shared" si="2"/>
        <v>Rp11,500-36 LSN-0.00%</v>
      </c>
      <c r="Q4194" s="92">
        <v>45425.0</v>
      </c>
      <c r="R4194" s="76"/>
      <c r="S4194" s="92">
        <v>45432.0</v>
      </c>
      <c r="T4194" s="49"/>
      <c r="V4194" s="21" t="s">
        <v>422</v>
      </c>
    </row>
    <row r="4195">
      <c r="A4195" s="93">
        <v>189.0</v>
      </c>
      <c r="B4195" s="77" t="s">
        <v>29</v>
      </c>
      <c r="C4195" s="77" t="s">
        <v>625</v>
      </c>
      <c r="D4195" s="77" t="s">
        <v>3718</v>
      </c>
      <c r="E4195" s="41" t="str">
        <f>IFERROR(__xludf.DUMMYFUNCTION("IFNA(vlookup(D4195,IMPORTRANGE(""https://docs.google.com/spreadsheets/d/1swGwZOEqYlTEUCJLY-eeJM1911Kvaei5oySBIxdgtNo/edit?pli=1#gid=257618397"",""stock untanna!B:C""),2,false),V:V)"),"BP TIZO TG501")</f>
        <v>BP TIZO TG501</v>
      </c>
      <c r="F4195" s="49"/>
      <c r="G4195" s="71"/>
      <c r="H4195" s="41"/>
      <c r="I4195" s="42"/>
      <c r="J4195" s="85" t="s">
        <v>1319</v>
      </c>
      <c r="K4195" s="93">
        <v>12.0</v>
      </c>
      <c r="L4195" s="112" t="s">
        <v>62</v>
      </c>
      <c r="M4195" s="113">
        <v>24000.0</v>
      </c>
      <c r="N4195" s="74"/>
      <c r="O4195" s="87">
        <f t="shared" si="11"/>
        <v>288000</v>
      </c>
      <c r="P4195" s="102" t="str">
        <f t="shared" si="2"/>
        <v>Rp24,000-12 LSN-0.00%</v>
      </c>
      <c r="Q4195" s="92">
        <v>45425.0</v>
      </c>
      <c r="R4195" s="76"/>
      <c r="S4195" s="92">
        <v>45432.0</v>
      </c>
      <c r="T4195" s="49"/>
      <c r="V4195" s="21" t="s">
        <v>3719</v>
      </c>
    </row>
    <row r="4196">
      <c r="A4196" s="93">
        <v>189.0</v>
      </c>
      <c r="B4196" s="77" t="s">
        <v>29</v>
      </c>
      <c r="C4196" s="77" t="s">
        <v>625</v>
      </c>
      <c r="D4196" s="77" t="s">
        <v>2270</v>
      </c>
      <c r="E4196" s="41" t="str">
        <f>IFERROR(__xludf.DUMMYFUNCTION("IFNA(vlookup(D4196,IMPORTRANGE(""https://docs.google.com/spreadsheets/d/1swGwZOEqYlTEUCJLY-eeJM1911Kvaei5oySBIxdgtNo/edit?pli=1#gid=257618397"",""stock untanna!B:C""),2,false),V:V)"),"ISI GEL ELSON ES-223")</f>
        <v>ISI GEL ELSON ES-223</v>
      </c>
      <c r="F4196" s="49"/>
      <c r="G4196" s="71"/>
      <c r="H4196" s="41"/>
      <c r="I4196" s="42"/>
      <c r="J4196" s="85" t="s">
        <v>1319</v>
      </c>
      <c r="K4196" s="93">
        <v>12.0</v>
      </c>
      <c r="L4196" s="112" t="s">
        <v>88</v>
      </c>
      <c r="M4196" s="113">
        <v>6750.0</v>
      </c>
      <c r="N4196" s="74"/>
      <c r="O4196" s="87">
        <f t="shared" si="11"/>
        <v>81000</v>
      </c>
      <c r="P4196" s="102" t="str">
        <f t="shared" si="2"/>
        <v>Rp6,750-12 BOX-0.00%</v>
      </c>
      <c r="Q4196" s="92">
        <v>45425.0</v>
      </c>
      <c r="R4196" s="76"/>
      <c r="S4196" s="92">
        <v>45432.0</v>
      </c>
      <c r="T4196" s="49"/>
      <c r="V4196" s="21" t="s">
        <v>2271</v>
      </c>
    </row>
    <row r="4197">
      <c r="A4197" s="93">
        <v>189.0</v>
      </c>
      <c r="B4197" s="77" t="s">
        <v>29</v>
      </c>
      <c r="C4197" s="77" t="s">
        <v>625</v>
      </c>
      <c r="D4197" s="77" t="s">
        <v>2268</v>
      </c>
      <c r="E4197" s="41" t="str">
        <f>IFERROR(__xludf.DUMMYFUNCTION("IFNA(vlookup(D4197,IMPORTRANGE(""https://docs.google.com/spreadsheets/d/1swGwZOEqYlTEUCJLY-eeJM1911Kvaei5oySBIxdgtNo/edit?pli=1#gid=257618397"",""stock untanna!B:C""),2,false),V:V)"),"ISI GEL ELSON ES-222 DORAEMON")</f>
        <v>ISI GEL ELSON ES-222 DORAEMON</v>
      </c>
      <c r="F4197" s="49"/>
      <c r="G4197" s="71"/>
      <c r="H4197" s="41"/>
      <c r="I4197" s="42"/>
      <c r="J4197" s="85" t="s">
        <v>1319</v>
      </c>
      <c r="K4197" s="93">
        <v>12.0</v>
      </c>
      <c r="L4197" s="112" t="s">
        <v>88</v>
      </c>
      <c r="M4197" s="113">
        <v>6750.0</v>
      </c>
      <c r="N4197" s="74"/>
      <c r="O4197" s="87">
        <f t="shared" si="11"/>
        <v>81000</v>
      </c>
      <c r="P4197" s="102" t="str">
        <f t="shared" si="2"/>
        <v>Rp6,750-12 BOX-0.00%</v>
      </c>
      <c r="Q4197" s="92">
        <v>45425.0</v>
      </c>
      <c r="R4197" s="76"/>
      <c r="S4197" s="92">
        <v>45432.0</v>
      </c>
      <c r="T4197" s="49"/>
      <c r="V4197" s="21" t="s">
        <v>2269</v>
      </c>
    </row>
    <row r="4198">
      <c r="A4198" s="93">
        <v>189.0</v>
      </c>
      <c r="B4198" s="77" t="s">
        <v>29</v>
      </c>
      <c r="C4198" s="77" t="s">
        <v>625</v>
      </c>
      <c r="D4198" s="77" t="s">
        <v>2266</v>
      </c>
      <c r="E4198" s="41" t="str">
        <f>IFERROR(__xludf.DUMMYFUNCTION("IFNA(vlookup(D4198,IMPORTRANGE(""https://docs.google.com/spreadsheets/d/1swGwZOEqYlTEUCJLY-eeJM1911Kvaei5oySBIxdgtNo/edit?pli=1#gid=257618397"",""stock untanna!B:C""),2,false),V:V)"),"ISI GEL ELSON ES-220 BTS")</f>
        <v>ISI GEL ELSON ES-220 BTS</v>
      </c>
      <c r="F4198" s="49"/>
      <c r="G4198" s="71"/>
      <c r="H4198" s="41"/>
      <c r="I4198" s="42"/>
      <c r="J4198" s="85" t="s">
        <v>1319</v>
      </c>
      <c r="K4198" s="93">
        <v>12.0</v>
      </c>
      <c r="L4198" s="112" t="s">
        <v>88</v>
      </c>
      <c r="M4198" s="113">
        <v>6750.0</v>
      </c>
      <c r="N4198" s="74"/>
      <c r="O4198" s="87">
        <f t="shared" si="11"/>
        <v>81000</v>
      </c>
      <c r="P4198" s="102" t="str">
        <f t="shared" si="2"/>
        <v>Rp6,750-12 BOX-0.00%</v>
      </c>
      <c r="Q4198" s="92">
        <v>45425.0</v>
      </c>
      <c r="R4198" s="76"/>
      <c r="S4198" s="92">
        <v>45432.0</v>
      </c>
      <c r="T4198" s="49"/>
      <c r="V4198" s="21" t="s">
        <v>2267</v>
      </c>
    </row>
    <row r="4199">
      <c r="A4199" s="93">
        <v>189.0</v>
      </c>
      <c r="B4199" s="77" t="s">
        <v>29</v>
      </c>
      <c r="C4199" s="77" t="s">
        <v>625</v>
      </c>
      <c r="D4199" s="77" t="s">
        <v>1204</v>
      </c>
      <c r="E4199" s="41" t="str">
        <f>IFERROR(__xludf.DUMMYFUNCTION("IFNA(vlookup(D4199,IMPORTRANGE(""https://docs.google.com/spreadsheets/d/1swGwZOEqYlTEUCJLY-eeJM1911Kvaei5oySBIxdgtNo/edit?pli=1#gid=257618397"",""stock untanna!B:C""),2,false),V:V)"),"ISI GEL V-TRO 2020 HIJAB")</f>
        <v>ISI GEL V-TRO 2020 HIJAB</v>
      </c>
      <c r="F4199" s="49"/>
      <c r="G4199" s="71"/>
      <c r="H4199" s="41"/>
      <c r="I4199" s="42"/>
      <c r="J4199" s="43" t="str">
        <f>IF(D4199="","TIDAK ADA","ADA")</f>
        <v>ADA</v>
      </c>
      <c r="K4199" s="93">
        <v>12.0</v>
      </c>
      <c r="L4199" s="112" t="s">
        <v>88</v>
      </c>
      <c r="M4199" s="113">
        <v>6750.0</v>
      </c>
      <c r="N4199" s="74"/>
      <c r="O4199" s="87">
        <f t="shared" si="11"/>
        <v>81000</v>
      </c>
      <c r="P4199" s="102" t="str">
        <f t="shared" si="2"/>
        <v>Rp6,750-12 BOX-0.00%</v>
      </c>
      <c r="Q4199" s="92">
        <v>45425.0</v>
      </c>
      <c r="R4199" s="76"/>
      <c r="S4199" s="92">
        <v>45432.0</v>
      </c>
      <c r="T4199" s="77" t="s">
        <v>280</v>
      </c>
      <c r="V4199" s="21" t="s">
        <v>1205</v>
      </c>
    </row>
    <row r="4200">
      <c r="A4200" s="93">
        <v>189.0</v>
      </c>
      <c r="B4200" s="77" t="s">
        <v>29</v>
      </c>
      <c r="C4200" s="77" t="s">
        <v>625</v>
      </c>
      <c r="D4200" s="77" t="s">
        <v>812</v>
      </c>
      <c r="E4200" s="41" t="str">
        <f>IFERROR(__xludf.DUMMYFUNCTION("IFNA(vlookup(D4200,IMPORTRANGE(""https://docs.google.com/spreadsheets/d/1swGwZOEqYlTEUCJLY-eeJM1911Kvaei5oySBIxdgtNo/edit?pli=1#gid=257618397"",""stock untanna!B:C""),2,false),V:V)"),"SEMPOA 8025")</f>
        <v>SEMPOA 8025</v>
      </c>
      <c r="F4200" s="49"/>
      <c r="G4200" s="71"/>
      <c r="H4200" s="41"/>
      <c r="I4200" s="42"/>
      <c r="J4200" s="85" t="s">
        <v>1319</v>
      </c>
      <c r="K4200" s="93">
        <v>2.0</v>
      </c>
      <c r="L4200" s="112" t="s">
        <v>62</v>
      </c>
      <c r="M4200" s="113">
        <v>95000.0</v>
      </c>
      <c r="N4200" s="74"/>
      <c r="O4200" s="87">
        <f t="shared" si="11"/>
        <v>190000</v>
      </c>
      <c r="P4200" s="102" t="str">
        <f t="shared" si="2"/>
        <v>Rp95,000-2 LSN-0.00%</v>
      </c>
      <c r="Q4200" s="92">
        <v>45425.0</v>
      </c>
      <c r="R4200" s="76"/>
      <c r="S4200" s="92">
        <v>45432.0</v>
      </c>
      <c r="T4200" s="49"/>
      <c r="V4200" s="21" t="s">
        <v>813</v>
      </c>
    </row>
    <row r="4201">
      <c r="A4201" s="93">
        <v>189.0</v>
      </c>
      <c r="B4201" s="77" t="s">
        <v>29</v>
      </c>
      <c r="C4201" s="77" t="s">
        <v>625</v>
      </c>
      <c r="D4201" s="77" t="s">
        <v>816</v>
      </c>
      <c r="E4201" s="41" t="str">
        <f>IFERROR(__xludf.DUMMYFUNCTION("IFNA(vlookup(D4201,IMPORTRANGE(""https://docs.google.com/spreadsheets/d/1swGwZOEqYlTEUCJLY-eeJM1911Kvaei5oySBIxdgtNo/edit?pli=1#gid=257618397"",""stock untanna!B:C""),2,false),V:V)"),"SELANG PIANIKA SP 12 (1) 246")</f>
        <v>SELANG PIANIKA SP 12 (1) 246</v>
      </c>
      <c r="F4201" s="49"/>
      <c r="G4201" s="71"/>
      <c r="H4201" s="41"/>
      <c r="I4201" s="42"/>
      <c r="J4201" s="85" t="s">
        <v>1319</v>
      </c>
      <c r="K4201" s="93">
        <v>144.0</v>
      </c>
      <c r="L4201" s="112" t="s">
        <v>69</v>
      </c>
      <c r="M4201" s="113">
        <v>1041.67</v>
      </c>
      <c r="N4201" s="74"/>
      <c r="O4201" s="87">
        <f t="shared" si="11"/>
        <v>150000.48</v>
      </c>
      <c r="P4201" s="102" t="str">
        <f t="shared" si="2"/>
        <v>Rp1,042-144 PCS-0.00%</v>
      </c>
      <c r="Q4201" s="92">
        <v>45425.0</v>
      </c>
      <c r="R4201" s="76"/>
      <c r="S4201" s="92">
        <v>45432.0</v>
      </c>
      <c r="T4201" s="49"/>
      <c r="V4201" s="21" t="s">
        <v>817</v>
      </c>
    </row>
    <row r="4202">
      <c r="A4202" s="93">
        <v>190.0</v>
      </c>
      <c r="B4202" s="77" t="s">
        <v>29</v>
      </c>
      <c r="C4202" s="77" t="s">
        <v>625</v>
      </c>
      <c r="D4202" s="91"/>
      <c r="E4202" s="41" t="str">
        <f>IFERROR(__xludf.DUMMYFUNCTION("IFNA(vlookup(D4202,IMPORTRANGE(""https://docs.google.com/spreadsheets/d/1swGwZOEqYlTEUCJLY-eeJM1911Kvaei5oySBIxdgtNo/edit?pli=1#gid=257618397"",""stock untanna!B:C""),2,false),V:V)"),"ACRYLIC PLASTIK KOALA 11X2.5")</f>
        <v>ACRYLIC PLASTIK KOALA 11X2.5</v>
      </c>
      <c r="F4202" s="49"/>
      <c r="G4202" s="71"/>
      <c r="H4202" s="41"/>
      <c r="I4202" s="42"/>
      <c r="J4202" s="85" t="s">
        <v>3190</v>
      </c>
      <c r="K4202" s="93">
        <v>24.0</v>
      </c>
      <c r="L4202" s="112" t="s">
        <v>69</v>
      </c>
      <c r="M4202" s="113">
        <v>23000.0</v>
      </c>
      <c r="N4202" s="74"/>
      <c r="O4202" s="87">
        <f t="shared" si="11"/>
        <v>552000</v>
      </c>
      <c r="P4202" s="102" t="str">
        <f t="shared" si="2"/>
        <v>Rp23,000-24 PCS-0.00%</v>
      </c>
      <c r="Q4202" s="92">
        <v>45425.0</v>
      </c>
      <c r="R4202" s="76"/>
      <c r="S4202" s="92">
        <v>45432.0</v>
      </c>
      <c r="T4202" s="49"/>
      <c r="V4202" s="21" t="s">
        <v>3720</v>
      </c>
    </row>
    <row r="4203">
      <c r="A4203" s="93">
        <v>190.0</v>
      </c>
      <c r="B4203" s="77" t="s">
        <v>29</v>
      </c>
      <c r="C4203" s="77" t="s">
        <v>625</v>
      </c>
      <c r="D4203" s="77" t="s">
        <v>3721</v>
      </c>
      <c r="E4203" s="41" t="str">
        <f>IFERROR(__xludf.DUMMYFUNCTION("IFNA(vlookup(D4203,IMPORTRANGE(""https://docs.google.com/spreadsheets/d/1swGwZOEqYlTEUCJLY-eeJM1911Kvaei5oySBIxdgtNo/edit?pli=1#gid=257618397"",""stock untanna!B:C""),2,false),V:V)"),"ACRYLIC PLASTIK KOALA 8X30")</f>
        <v>ACRYLIC PLASTIK KOALA 8X30</v>
      </c>
      <c r="F4203" s="49"/>
      <c r="G4203" s="71"/>
      <c r="H4203" s="41"/>
      <c r="I4203" s="42"/>
      <c r="J4203" s="85" t="s">
        <v>1319</v>
      </c>
      <c r="K4203" s="93">
        <v>24.0</v>
      </c>
      <c r="L4203" s="112" t="s">
        <v>69</v>
      </c>
      <c r="M4203" s="113">
        <v>19000.0</v>
      </c>
      <c r="N4203" s="74"/>
      <c r="O4203" s="87">
        <f t="shared" si="11"/>
        <v>456000</v>
      </c>
      <c r="P4203" s="102" t="str">
        <f t="shared" si="2"/>
        <v>Rp19,000-24 PCS-0.00%</v>
      </c>
      <c r="Q4203" s="92">
        <v>45425.0</v>
      </c>
      <c r="R4203" s="76"/>
      <c r="S4203" s="92">
        <v>45432.0</v>
      </c>
      <c r="T4203" s="49"/>
      <c r="V4203" s="21" t="s">
        <v>3722</v>
      </c>
    </row>
    <row r="4204">
      <c r="A4204" s="93">
        <v>190.0</v>
      </c>
      <c r="B4204" s="77" t="s">
        <v>29</v>
      </c>
      <c r="C4204" s="77" t="s">
        <v>625</v>
      </c>
      <c r="D4204" s="91"/>
      <c r="E4204" s="41" t="str">
        <f>IFERROR(__xludf.DUMMYFUNCTION("IFNA(vlookup(D4204,IMPORTRANGE(""https://docs.google.com/spreadsheets/d/1swGwZOEqYlTEUCJLY-eeJM1911Kvaei5oySBIxdgtNo/edit?pli=1#gid=257618397"",""stock untanna!B:C""),2,false),V:V)"),"ACRYLIC PLASTIK KOALA 7X30")</f>
        <v>ACRYLIC PLASTIK KOALA 7X30</v>
      </c>
      <c r="F4204" s="49"/>
      <c r="G4204" s="71"/>
      <c r="H4204" s="41"/>
      <c r="I4204" s="42"/>
      <c r="J4204" s="85" t="s">
        <v>3190</v>
      </c>
      <c r="K4204" s="93">
        <v>24.0</v>
      </c>
      <c r="L4204" s="112" t="s">
        <v>69</v>
      </c>
      <c r="M4204" s="113">
        <v>18000.0</v>
      </c>
      <c r="N4204" s="74"/>
      <c r="O4204" s="87">
        <f t="shared" si="11"/>
        <v>432000</v>
      </c>
      <c r="P4204" s="102" t="str">
        <f t="shared" si="2"/>
        <v>Rp18,000-24 PCS-0.00%</v>
      </c>
      <c r="Q4204" s="92">
        <v>45425.0</v>
      </c>
      <c r="R4204" s="76"/>
      <c r="S4204" s="92">
        <v>45432.0</v>
      </c>
      <c r="T4204" s="49"/>
      <c r="V4204" s="21" t="s">
        <v>3723</v>
      </c>
    </row>
    <row r="4205">
      <c r="A4205" s="93">
        <v>190.0</v>
      </c>
      <c r="B4205" s="77" t="s">
        <v>29</v>
      </c>
      <c r="C4205" s="77" t="s">
        <v>625</v>
      </c>
      <c r="D4205" s="91"/>
      <c r="E4205" s="41" t="str">
        <f>IFERROR(__xludf.DUMMYFUNCTION("IFNA(vlookup(D4205,IMPORTRANGE(""https://docs.google.com/spreadsheets/d/1swGwZOEqYlTEUCJLY-eeJM1911Kvaei5oySBIxdgtNo/edit?pli=1#gid=257618397"",""stock untanna!B:C""),2,false),V:V)"),"ACRYLIC PLASTIK KOALA 7X25")</f>
        <v>ACRYLIC PLASTIK KOALA 7X25</v>
      </c>
      <c r="F4205" s="49"/>
      <c r="G4205" s="71"/>
      <c r="H4205" s="41"/>
      <c r="I4205" s="42"/>
      <c r="J4205" s="85" t="s">
        <v>3190</v>
      </c>
      <c r="K4205" s="93">
        <v>24.0</v>
      </c>
      <c r="L4205" s="112" t="s">
        <v>69</v>
      </c>
      <c r="M4205" s="113">
        <v>17500.0</v>
      </c>
      <c r="N4205" s="74"/>
      <c r="O4205" s="87">
        <f t="shared" si="11"/>
        <v>420000</v>
      </c>
      <c r="P4205" s="102" t="str">
        <f t="shared" si="2"/>
        <v>Rp17,500-24 PCS-0.00%</v>
      </c>
      <c r="Q4205" s="92">
        <v>45425.0</v>
      </c>
      <c r="R4205" s="76"/>
      <c r="S4205" s="92">
        <v>45432.0</v>
      </c>
      <c r="T4205" s="49"/>
      <c r="V4205" s="21" t="s">
        <v>3724</v>
      </c>
    </row>
    <row r="4206">
      <c r="A4206" s="93">
        <v>190.0</v>
      </c>
      <c r="B4206" s="77" t="s">
        <v>29</v>
      </c>
      <c r="C4206" s="77" t="s">
        <v>625</v>
      </c>
      <c r="D4206" s="91"/>
      <c r="E4206" s="41" t="str">
        <f>IFERROR(__xludf.DUMMYFUNCTION("IFNA(vlookup(D4206,IMPORTRANGE(""https://docs.google.com/spreadsheets/d/1swGwZOEqYlTEUCJLY-eeJM1911Kvaei5oySBIxdgtNo/edit?pli=1#gid=257618397"",""stock untanna!B:C""),2,false),V:V)"),"ACRYLIC PLASTIK KOALA 7X20")</f>
        <v>ACRYLIC PLASTIK KOALA 7X20</v>
      </c>
      <c r="F4206" s="49"/>
      <c r="G4206" s="71"/>
      <c r="H4206" s="41"/>
      <c r="I4206" s="42"/>
      <c r="J4206" s="85" t="s">
        <v>3190</v>
      </c>
      <c r="K4206" s="93">
        <v>24.0</v>
      </c>
      <c r="L4206" s="112" t="s">
        <v>69</v>
      </c>
      <c r="M4206" s="113">
        <v>15500.0</v>
      </c>
      <c r="N4206" s="74"/>
      <c r="O4206" s="87">
        <f t="shared" si="11"/>
        <v>372000</v>
      </c>
      <c r="P4206" s="102" t="str">
        <f t="shared" si="2"/>
        <v>Rp15,500-24 PCS-0.00%</v>
      </c>
      <c r="Q4206" s="92">
        <v>45425.0</v>
      </c>
      <c r="R4206" s="76"/>
      <c r="S4206" s="92">
        <v>45432.0</v>
      </c>
      <c r="T4206" s="49"/>
      <c r="V4206" s="21" t="s">
        <v>3725</v>
      </c>
    </row>
    <row r="4207">
      <c r="A4207" s="93">
        <v>190.0</v>
      </c>
      <c r="B4207" s="77" t="s">
        <v>29</v>
      </c>
      <c r="C4207" s="77" t="s">
        <v>625</v>
      </c>
      <c r="D4207" s="77" t="s">
        <v>2604</v>
      </c>
      <c r="E4207" s="41" t="str">
        <f>IFERROR(__xludf.DUMMYFUNCTION("IFNA(vlookup(D4207,IMPORTRANGE(""https://docs.google.com/spreadsheets/d/1swGwZOEqYlTEUCJLY-eeJM1911Kvaei5oySBIxdgtNo/edit?pli=1#gid=257618397"",""stock untanna!B:C""),2,false),V:V)"),"PENSIL CASE A-6500")</f>
        <v>PENSIL CASE A-6500</v>
      </c>
      <c r="F4207" s="49"/>
      <c r="G4207" s="71"/>
      <c r="H4207" s="41"/>
      <c r="I4207" s="42"/>
      <c r="J4207" s="85" t="s">
        <v>1319</v>
      </c>
      <c r="K4207" s="93">
        <v>12.0</v>
      </c>
      <c r="L4207" s="112" t="s">
        <v>69</v>
      </c>
      <c r="M4207" s="113">
        <v>27083.3</v>
      </c>
      <c r="N4207" s="74"/>
      <c r="O4207" s="87">
        <f t="shared" si="11"/>
        <v>324999.6</v>
      </c>
      <c r="P4207" s="102" t="str">
        <f t="shared" si="2"/>
        <v>Rp27,083-12 PCS-0.00%</v>
      </c>
      <c r="Q4207" s="92">
        <v>45425.0</v>
      </c>
      <c r="R4207" s="76"/>
      <c r="S4207" s="92">
        <v>45432.0</v>
      </c>
      <c r="T4207" s="49"/>
      <c r="V4207" s="21" t="s">
        <v>2605</v>
      </c>
    </row>
    <row r="4208">
      <c r="A4208" s="93">
        <v>190.0</v>
      </c>
      <c r="B4208" s="77" t="s">
        <v>29</v>
      </c>
      <c r="C4208" s="77" t="s">
        <v>625</v>
      </c>
      <c r="D4208" s="77" t="s">
        <v>1166</v>
      </c>
      <c r="E4208" s="41" t="str">
        <f>IFERROR(__xludf.DUMMYFUNCTION("IFNA(vlookup(D4208,IMPORTRANGE(""https://docs.google.com/spreadsheets/d/1swGwZOEqYlTEUCJLY-eeJM1911Kvaei5oySBIxdgtNo/edit?pli=1#gid=257618397"",""stock untanna!B:C""),2,false),V:V)"),"PC MAGNIT A 6682")</f>
        <v>PC MAGNIT A 6682</v>
      </c>
      <c r="F4208" s="49"/>
      <c r="G4208" s="71"/>
      <c r="H4208" s="41"/>
      <c r="I4208" s="42"/>
      <c r="J4208" s="85" t="s">
        <v>1319</v>
      </c>
      <c r="K4208" s="93">
        <v>12.0</v>
      </c>
      <c r="L4208" s="112" t="s">
        <v>69</v>
      </c>
      <c r="M4208" s="113">
        <v>27083.3</v>
      </c>
      <c r="N4208" s="74"/>
      <c r="O4208" s="87">
        <f t="shared" si="11"/>
        <v>324999.6</v>
      </c>
      <c r="P4208" s="102" t="str">
        <f t="shared" si="2"/>
        <v>Rp27,083-12 PCS-0.00%</v>
      </c>
      <c r="Q4208" s="92">
        <v>45425.0</v>
      </c>
      <c r="R4208" s="76"/>
      <c r="S4208" s="92">
        <v>45432.0</v>
      </c>
      <c r="T4208" s="49"/>
      <c r="V4208" s="21" t="s">
        <v>587</v>
      </c>
    </row>
    <row r="4209">
      <c r="A4209" s="93">
        <v>190.0</v>
      </c>
      <c r="B4209" s="77" t="s">
        <v>29</v>
      </c>
      <c r="C4209" s="77" t="s">
        <v>625</v>
      </c>
      <c r="D4209" s="77" t="s">
        <v>1315</v>
      </c>
      <c r="E4209" s="41" t="str">
        <f>IFERROR(__xludf.DUMMYFUNCTION("IFNA(vlookup(D4209,IMPORTRANGE(""https://docs.google.com/spreadsheets/d/1swGwZOEqYlTEUCJLY-eeJM1911Kvaei5oySBIxdgtNo/edit?pli=1#gid=257618397"",""stock untanna!B:C""),2,false),V:V)"),"PENSIL CASE 168-18")</f>
        <v>PENSIL CASE 168-18</v>
      </c>
      <c r="F4209" s="49"/>
      <c r="G4209" s="71"/>
      <c r="H4209" s="41"/>
      <c r="I4209" s="42"/>
      <c r="J4209" s="85" t="s">
        <v>1319</v>
      </c>
      <c r="K4209" s="93">
        <v>12.0</v>
      </c>
      <c r="L4209" s="112" t="s">
        <v>69</v>
      </c>
      <c r="M4209" s="113">
        <v>18750.0</v>
      </c>
      <c r="N4209" s="74"/>
      <c r="O4209" s="87">
        <f t="shared" si="11"/>
        <v>225000</v>
      </c>
      <c r="P4209" s="102" t="str">
        <f t="shared" si="2"/>
        <v>Rp18,750-12 PCS-0.00%</v>
      </c>
      <c r="Q4209" s="92">
        <v>45425.0</v>
      </c>
      <c r="R4209" s="76"/>
      <c r="S4209" s="92">
        <v>45432.0</v>
      </c>
      <c r="T4209" s="49"/>
      <c r="V4209" s="21" t="s">
        <v>1316</v>
      </c>
    </row>
    <row r="4210">
      <c r="A4210" s="93">
        <v>190.0</v>
      </c>
      <c r="B4210" s="77" t="s">
        <v>29</v>
      </c>
      <c r="C4210" s="77" t="s">
        <v>625</v>
      </c>
      <c r="D4210" s="77" t="s">
        <v>2742</v>
      </c>
      <c r="E4210" s="41" t="str">
        <f>IFERROR(__xludf.DUMMYFUNCTION("IFNA(vlookup(D4210,IMPORTRANGE(""https://docs.google.com/spreadsheets/d/1swGwZOEqYlTEUCJLY-eeJM1911Kvaei5oySBIxdgtNo/edit?pli=1#gid=257618397"",""stock untanna!B:C""),2,false),V:V)"),"PENSIL CASE BX-3971")</f>
        <v>PENSIL CASE BX-3971</v>
      </c>
      <c r="F4210" s="49"/>
      <c r="G4210" s="71"/>
      <c r="H4210" s="41"/>
      <c r="I4210" s="42"/>
      <c r="J4210" s="85" t="s">
        <v>1319</v>
      </c>
      <c r="K4210" s="93">
        <v>12.0</v>
      </c>
      <c r="L4210" s="112" t="s">
        <v>69</v>
      </c>
      <c r="M4210" s="113">
        <v>15000.0</v>
      </c>
      <c r="N4210" s="74"/>
      <c r="O4210" s="87">
        <f t="shared" si="11"/>
        <v>180000</v>
      </c>
      <c r="P4210" s="102" t="str">
        <f t="shared" si="2"/>
        <v>Rp15,000-12 PCS-0.00%</v>
      </c>
      <c r="Q4210" s="92">
        <v>45425.0</v>
      </c>
      <c r="R4210" s="76"/>
      <c r="S4210" s="92">
        <v>45432.0</v>
      </c>
      <c r="T4210" s="49"/>
      <c r="V4210" s="21" t="s">
        <v>2743</v>
      </c>
    </row>
    <row r="4211">
      <c r="A4211" s="93">
        <v>190.0</v>
      </c>
      <c r="B4211" s="77" t="s">
        <v>29</v>
      </c>
      <c r="C4211" s="77" t="s">
        <v>625</v>
      </c>
      <c r="D4211" s="77" t="s">
        <v>2075</v>
      </c>
      <c r="E4211" s="41" t="str">
        <f>IFERROR(__xludf.DUMMYFUNCTION("IFNA(vlookup(D4211,IMPORTRANGE(""https://docs.google.com/spreadsheets/d/1swGwZOEqYlTEUCJLY-eeJM1911Kvaei5oySBIxdgtNo/edit?pli=1#gid=257618397"",""stock untanna!B:C""),2,false),V:V)"),"PC MAGNIT JUMBO 3575-19")</f>
        <v>PC MAGNIT JUMBO 3575-19</v>
      </c>
      <c r="F4211" s="49"/>
      <c r="G4211" s="71"/>
      <c r="H4211" s="41"/>
      <c r="I4211" s="42"/>
      <c r="J4211" s="85" t="s">
        <v>1319</v>
      </c>
      <c r="K4211" s="93">
        <v>1.0</v>
      </c>
      <c r="L4211" s="112" t="s">
        <v>62</v>
      </c>
      <c r="M4211" s="113">
        <v>525000.0</v>
      </c>
      <c r="N4211" s="74"/>
      <c r="O4211" s="87">
        <f t="shared" si="11"/>
        <v>525000</v>
      </c>
      <c r="P4211" s="102" t="str">
        <f t="shared" si="2"/>
        <v>Rp525,000-1 LSN-0.00%</v>
      </c>
      <c r="Q4211" s="92">
        <v>45425.0</v>
      </c>
      <c r="R4211" s="76"/>
      <c r="S4211" s="92">
        <v>45432.0</v>
      </c>
      <c r="T4211" s="77" t="s">
        <v>280</v>
      </c>
      <c r="V4211" s="21" t="s">
        <v>2076</v>
      </c>
    </row>
    <row r="4212">
      <c r="A4212" s="93">
        <v>190.0</v>
      </c>
      <c r="B4212" s="77" t="s">
        <v>29</v>
      </c>
      <c r="C4212" s="77" t="s">
        <v>625</v>
      </c>
      <c r="D4212" s="91"/>
      <c r="E4212" s="41" t="str">
        <f>IFERROR(__xludf.DUMMYFUNCTION("IFNA(vlookup(D4212,IMPORTRANGE(""https://docs.google.com/spreadsheets/d/1swGwZOEqYlTEUCJLY-eeJM1911Kvaei5oySBIxdgtNo/edit?pli=1#gid=257618397"",""stock untanna!B:C""),2,false),V:V)"),"P CASE MAGNET XU-805")</f>
        <v>P CASE MAGNET XU-805</v>
      </c>
      <c r="F4212" s="49"/>
      <c r="G4212" s="71"/>
      <c r="H4212" s="41"/>
      <c r="I4212" s="42"/>
      <c r="J4212" s="85" t="s">
        <v>3190</v>
      </c>
      <c r="K4212" s="93">
        <v>1.0</v>
      </c>
      <c r="L4212" s="112" t="s">
        <v>62</v>
      </c>
      <c r="M4212" s="113">
        <v>350000.0</v>
      </c>
      <c r="N4212" s="74"/>
      <c r="O4212" s="87">
        <f t="shared" si="11"/>
        <v>350000</v>
      </c>
      <c r="P4212" s="102" t="str">
        <f t="shared" si="2"/>
        <v>Rp350,000-1 LSN-0.00%</v>
      </c>
      <c r="Q4212" s="92">
        <v>45425.0</v>
      </c>
      <c r="R4212" s="76"/>
      <c r="S4212" s="92">
        <v>45432.0</v>
      </c>
      <c r="T4212" s="49"/>
      <c r="V4212" s="21" t="s">
        <v>3726</v>
      </c>
    </row>
    <row r="4213">
      <c r="A4213" s="93">
        <v>190.0</v>
      </c>
      <c r="B4213" s="77" t="s">
        <v>29</v>
      </c>
      <c r="C4213" s="77" t="s">
        <v>625</v>
      </c>
      <c r="D4213" s="77" t="s">
        <v>101</v>
      </c>
      <c r="E4213" s="41" t="str">
        <f>IFERROR(__xludf.DUMMYFUNCTION("IFNA(vlookup(D4213,IMPORTRANGE(""https://docs.google.com/spreadsheets/d/1swGwZOEqYlTEUCJLY-eeJM1911Kvaei5oySBIxdgtNo/edit?pli=1#gid=257618397"",""stock untanna!B:C""),2,false),V:V)"),"TALI ID CARD PEONY BIRU")</f>
        <v>TALI ID CARD PEONY BIRU</v>
      </c>
      <c r="F4213" s="49"/>
      <c r="G4213" s="71"/>
      <c r="H4213" s="41"/>
      <c r="I4213" s="42"/>
      <c r="J4213" s="85" t="s">
        <v>1319</v>
      </c>
      <c r="K4213" s="93">
        <v>500.0</v>
      </c>
      <c r="L4213" s="112" t="s">
        <v>69</v>
      </c>
      <c r="M4213" s="113">
        <v>425.0</v>
      </c>
      <c r="N4213" s="74"/>
      <c r="O4213" s="87">
        <f t="shared" si="11"/>
        <v>212500</v>
      </c>
      <c r="P4213" s="102" t="str">
        <f t="shared" si="2"/>
        <v>Rp425-500 PCS-0.00%</v>
      </c>
      <c r="Q4213" s="92">
        <v>45425.0</v>
      </c>
      <c r="R4213" s="76"/>
      <c r="S4213" s="92">
        <v>45432.0</v>
      </c>
      <c r="T4213" s="49"/>
      <c r="V4213" s="21" t="s">
        <v>102</v>
      </c>
    </row>
    <row r="4214">
      <c r="A4214" s="93">
        <v>190.0</v>
      </c>
      <c r="B4214" s="77" t="s">
        <v>29</v>
      </c>
      <c r="C4214" s="77" t="s">
        <v>625</v>
      </c>
      <c r="D4214" s="77" t="s">
        <v>98</v>
      </c>
      <c r="E4214" s="41" t="str">
        <f>IFERROR(__xludf.DUMMYFUNCTION("IFNA(vlookup(D4214,IMPORTRANGE(""https://docs.google.com/spreadsheets/d/1swGwZOEqYlTEUCJLY-eeJM1911Kvaei5oySBIxdgtNo/edit?pli=1#gid=257618397"",""stock untanna!B:C""),2,false),V:V)"),"TALI ID CARD PEONY MERAH")</f>
        <v>TALI ID CARD PEONY MERAH</v>
      </c>
      <c r="F4214" s="49"/>
      <c r="G4214" s="71"/>
      <c r="H4214" s="41"/>
      <c r="I4214" s="42"/>
      <c r="J4214" s="85" t="s">
        <v>1319</v>
      </c>
      <c r="K4214" s="93">
        <v>500.0</v>
      </c>
      <c r="L4214" s="112" t="s">
        <v>69</v>
      </c>
      <c r="M4214" s="113">
        <v>425.0</v>
      </c>
      <c r="N4214" s="74"/>
      <c r="O4214" s="87">
        <f t="shared" si="11"/>
        <v>212500</v>
      </c>
      <c r="P4214" s="102" t="str">
        <f t="shared" si="2"/>
        <v>Rp425-500 PCS-0.00%</v>
      </c>
      <c r="Q4214" s="92">
        <v>45425.0</v>
      </c>
      <c r="R4214" s="76"/>
      <c r="S4214" s="92">
        <v>45432.0</v>
      </c>
      <c r="T4214" s="49"/>
      <c r="V4214" s="21" t="s">
        <v>99</v>
      </c>
    </row>
    <row r="4215">
      <c r="A4215" s="93">
        <v>190.0</v>
      </c>
      <c r="B4215" s="77" t="s">
        <v>29</v>
      </c>
      <c r="C4215" s="77" t="s">
        <v>625</v>
      </c>
      <c r="D4215" s="77" t="s">
        <v>3230</v>
      </c>
      <c r="E4215" s="41" t="str">
        <f>IFERROR(__xludf.DUMMYFUNCTION("IFNA(vlookup(D4215,IMPORTRANGE(""https://docs.google.com/spreadsheets/d/1swGwZOEqYlTEUCJLY-eeJM1911Kvaei5oySBIxdgtNo/edit?pli=1#gid=257618397"",""stock untanna!B:C""),2,false),V:V)"),"TALI ID CARD PEONY HIJAU")</f>
        <v>TALI ID CARD PEONY HIJAU</v>
      </c>
      <c r="F4215" s="49"/>
      <c r="G4215" s="71"/>
      <c r="H4215" s="41"/>
      <c r="I4215" s="42"/>
      <c r="J4215" s="85" t="s">
        <v>1319</v>
      </c>
      <c r="K4215" s="93">
        <v>300.0</v>
      </c>
      <c r="L4215" s="112" t="s">
        <v>69</v>
      </c>
      <c r="M4215" s="113">
        <v>425.0</v>
      </c>
      <c r="N4215" s="74"/>
      <c r="O4215" s="87">
        <f t="shared" si="11"/>
        <v>127500</v>
      </c>
      <c r="P4215" s="102" t="str">
        <f t="shared" si="2"/>
        <v>Rp425-300 PCS-0.00%</v>
      </c>
      <c r="Q4215" s="92">
        <v>45425.0</v>
      </c>
      <c r="R4215" s="76"/>
      <c r="S4215" s="92">
        <v>45432.0</v>
      </c>
      <c r="T4215" s="49"/>
      <c r="V4215" s="21" t="s">
        <v>3231</v>
      </c>
    </row>
    <row r="4216">
      <c r="A4216" s="93">
        <v>190.0</v>
      </c>
      <c r="B4216" s="77" t="s">
        <v>29</v>
      </c>
      <c r="C4216" s="77" t="s">
        <v>625</v>
      </c>
      <c r="D4216" s="77" t="s">
        <v>2744</v>
      </c>
      <c r="E4216" s="41" t="str">
        <f>IFERROR(__xludf.DUMMYFUNCTION("IFNA(vlookup(D4216,IMPORTRANGE(""https://docs.google.com/spreadsheets/d/1swGwZOEqYlTEUCJLY-eeJM1911Kvaei5oySBIxdgtNo/edit?pli=1#gid=257618397"",""stock untanna!B:C""),2,false),V:V)"),"PC MAGNIT JUMBO KALKULATOR PB33")</f>
        <v>PC MAGNIT JUMBO KALKULATOR PB33</v>
      </c>
      <c r="F4216" s="49"/>
      <c r="G4216" s="71"/>
      <c r="H4216" s="41"/>
      <c r="I4216" s="42"/>
      <c r="J4216" s="85" t="s">
        <v>1319</v>
      </c>
      <c r="K4216" s="93">
        <v>1.0</v>
      </c>
      <c r="L4216" s="112" t="s">
        <v>62</v>
      </c>
      <c r="M4216" s="113">
        <v>275000.0</v>
      </c>
      <c r="N4216" s="74"/>
      <c r="O4216" s="87">
        <f t="shared" si="11"/>
        <v>275000</v>
      </c>
      <c r="P4216" s="102" t="str">
        <f t="shared" si="2"/>
        <v>Rp275,000-1 LSN-0.00%</v>
      </c>
      <c r="Q4216" s="92">
        <v>45425.0</v>
      </c>
      <c r="R4216" s="76"/>
      <c r="S4216" s="92">
        <v>45432.0</v>
      </c>
      <c r="T4216" s="77" t="s">
        <v>280</v>
      </c>
      <c r="V4216" s="21" t="s">
        <v>2745</v>
      </c>
    </row>
    <row r="4217">
      <c r="A4217" s="93">
        <v>190.0</v>
      </c>
      <c r="B4217" s="77" t="s">
        <v>29</v>
      </c>
      <c r="C4217" s="77" t="s">
        <v>625</v>
      </c>
      <c r="D4217" s="77" t="s">
        <v>419</v>
      </c>
      <c r="E4217" s="41" t="str">
        <f>IFERROR(__xludf.DUMMYFUNCTION("IFNA(vlookup(D4217,IMPORTRANGE(""https://docs.google.com/spreadsheets/d/1swGwZOEqYlTEUCJLY-eeJM1911Kvaei5oySBIxdgtNo/edit?pli=1#gid=257618397"",""stock untanna!B:C""),2,false),V:V)"),"BP GEL ZUI XUA HY-1020 HITAM")</f>
        <v>BP GEL ZUI XUA HY-1020 HITAM</v>
      </c>
      <c r="F4217" s="49"/>
      <c r="G4217" s="71"/>
      <c r="H4217" s="41"/>
      <c r="I4217" s="42"/>
      <c r="J4217" s="85" t="s">
        <v>1319</v>
      </c>
      <c r="K4217" s="93">
        <v>192.0</v>
      </c>
      <c r="L4217" s="112" t="s">
        <v>62</v>
      </c>
      <c r="M4217" s="113">
        <v>11500.0</v>
      </c>
      <c r="N4217" s="74"/>
      <c r="O4217" s="87">
        <f t="shared" si="11"/>
        <v>2208000</v>
      </c>
      <c r="P4217" s="102" t="str">
        <f t="shared" si="2"/>
        <v>Rp11,500-192 LSN-0.00%</v>
      </c>
      <c r="Q4217" s="92">
        <v>45425.0</v>
      </c>
      <c r="R4217" s="76"/>
      <c r="S4217" s="92">
        <v>45432.0</v>
      </c>
      <c r="T4217" s="49"/>
      <c r="V4217" s="21" t="s">
        <v>3281</v>
      </c>
    </row>
    <row r="4218">
      <c r="A4218" s="93">
        <v>344.0</v>
      </c>
      <c r="B4218" s="77" t="s">
        <v>29</v>
      </c>
      <c r="C4218" s="77" t="s">
        <v>3727</v>
      </c>
      <c r="D4218" s="91"/>
      <c r="E4218" s="41" t="str">
        <f>IFERROR(__xludf.DUMMYFUNCTION("IFNA(vlookup(D4218,IMPORTRANGE(""https://docs.google.com/spreadsheets/d/1swGwZOEqYlTEUCJLY-eeJM1911Kvaei5oySBIxdgtNo/edit?pli=1#gid=257618397"",""stock untanna!B:C""),2,false),V:V)"),"O PASTEL TITI 55W")</f>
        <v>O PASTEL TITI 55W</v>
      </c>
      <c r="F4218" s="49"/>
      <c r="G4218" s="71"/>
      <c r="H4218" s="41"/>
      <c r="I4218" s="42"/>
      <c r="J4218" s="85" t="s">
        <v>3190</v>
      </c>
      <c r="K4218" s="93">
        <v>1.0</v>
      </c>
      <c r="L4218" s="112" t="s">
        <v>69</v>
      </c>
      <c r="M4218" s="116"/>
      <c r="N4218" s="74"/>
      <c r="O4218" s="87">
        <f t="shared" si="11"/>
        <v>0</v>
      </c>
      <c r="P4218" s="102" t="str">
        <f t="shared" si="2"/>
        <v>Rp0-1 PCS-0.00%</v>
      </c>
      <c r="Q4218" s="92">
        <v>45425.0</v>
      </c>
      <c r="R4218" s="76"/>
      <c r="S4218" s="92">
        <v>45432.0</v>
      </c>
      <c r="T4218" s="77" t="s">
        <v>3728</v>
      </c>
      <c r="V4218" s="21" t="s">
        <v>3729</v>
      </c>
    </row>
    <row r="4219">
      <c r="A4219" s="93">
        <v>344.0</v>
      </c>
      <c r="B4219" s="77" t="s">
        <v>29</v>
      </c>
      <c r="C4219" s="77" t="s">
        <v>3727</v>
      </c>
      <c r="D4219" s="77" t="s">
        <v>2075</v>
      </c>
      <c r="E4219" s="41" t="str">
        <f>IFERROR(__xludf.DUMMYFUNCTION("IFNA(vlookup(D4219,IMPORTRANGE(""https://docs.google.com/spreadsheets/d/1swGwZOEqYlTEUCJLY-eeJM1911Kvaei5oySBIxdgtNo/edit?pli=1#gid=257618397"",""stock untanna!B:C""),2,false),V:V)"),"PC MAGNIT JUMBO 3575-19")</f>
        <v>PC MAGNIT JUMBO 3575-19</v>
      </c>
      <c r="F4219" s="49"/>
      <c r="G4219" s="71"/>
      <c r="H4219" s="41"/>
      <c r="I4219" s="42"/>
      <c r="J4219" s="85" t="s">
        <v>1319</v>
      </c>
      <c r="K4219" s="93">
        <v>2.0</v>
      </c>
      <c r="L4219" s="112" t="s">
        <v>69</v>
      </c>
      <c r="M4219" s="116"/>
      <c r="N4219" s="74"/>
      <c r="O4219" s="87">
        <f t="shared" si="11"/>
        <v>0</v>
      </c>
      <c r="P4219" s="102" t="str">
        <f t="shared" si="2"/>
        <v>Rp0-2 PCS-0.00%</v>
      </c>
      <c r="Q4219" s="92">
        <v>45425.0</v>
      </c>
      <c r="R4219" s="76"/>
      <c r="S4219" s="92">
        <v>45432.0</v>
      </c>
      <c r="T4219" s="77" t="s">
        <v>3730</v>
      </c>
      <c r="V4219" s="21" t="s">
        <v>2076</v>
      </c>
    </row>
    <row r="4220">
      <c r="A4220" s="93">
        <v>344.0</v>
      </c>
      <c r="B4220" s="77" t="s">
        <v>29</v>
      </c>
      <c r="C4220" s="77" t="s">
        <v>3727</v>
      </c>
      <c r="D4220" s="77" t="s">
        <v>2744</v>
      </c>
      <c r="E4220" s="41" t="str">
        <f>IFERROR(__xludf.DUMMYFUNCTION("IFNA(vlookup(D4220,IMPORTRANGE(""https://docs.google.com/spreadsheets/d/1swGwZOEqYlTEUCJLY-eeJM1911Kvaei5oySBIxdgtNo/edit?pli=1#gid=257618397"",""stock untanna!B:C""),2,false),V:V)"),"PC MAGNIT JUMBO KALKULATOR PB33")</f>
        <v>PC MAGNIT JUMBO KALKULATOR PB33</v>
      </c>
      <c r="F4220" s="49"/>
      <c r="G4220" s="71"/>
      <c r="H4220" s="41"/>
      <c r="I4220" s="42"/>
      <c r="J4220" s="85" t="s">
        <v>1319</v>
      </c>
      <c r="K4220" s="93">
        <v>1.0</v>
      </c>
      <c r="L4220" s="112" t="s">
        <v>69</v>
      </c>
      <c r="M4220" s="116"/>
      <c r="N4220" s="74"/>
      <c r="O4220" s="87">
        <f t="shared" si="11"/>
        <v>0</v>
      </c>
      <c r="P4220" s="102" t="str">
        <f t="shared" si="2"/>
        <v>Rp0-1 PCS-0.00%</v>
      </c>
      <c r="Q4220" s="92">
        <v>45425.0</v>
      </c>
      <c r="R4220" s="76"/>
      <c r="S4220" s="92">
        <v>45432.0</v>
      </c>
      <c r="T4220" s="77" t="s">
        <v>3730</v>
      </c>
      <c r="V4220" s="21" t="s">
        <v>2745</v>
      </c>
    </row>
    <row r="4221">
      <c r="A4221" s="93">
        <v>344.0</v>
      </c>
      <c r="B4221" s="77" t="s">
        <v>29</v>
      </c>
      <c r="C4221" s="77" t="s">
        <v>3727</v>
      </c>
      <c r="D4221" s="77" t="s">
        <v>3731</v>
      </c>
      <c r="E4221" s="41" t="str">
        <f>IFERROR(__xludf.DUMMYFUNCTION("IFNA(vlookup(D4221,IMPORTRANGE(""https://docs.google.com/spreadsheets/d/1swGwZOEqYlTEUCJLY-eeJM1911Kvaei5oySBIxdgtNo/edit?pli=1#gid=257618397"",""stock untanna!B:C""),2,false),V:V)"),"PENSIL CASE BH-227")</f>
        <v>PENSIL CASE BH-227</v>
      </c>
      <c r="F4221" s="49"/>
      <c r="G4221" s="71"/>
      <c r="H4221" s="41"/>
      <c r="I4221" s="42"/>
      <c r="J4221" s="85" t="s">
        <v>1319</v>
      </c>
      <c r="K4221" s="93">
        <v>1.0</v>
      </c>
      <c r="L4221" s="112" t="s">
        <v>69</v>
      </c>
      <c r="M4221" s="116"/>
      <c r="N4221" s="74"/>
      <c r="O4221" s="87">
        <f t="shared" si="11"/>
        <v>0</v>
      </c>
      <c r="P4221" s="102" t="str">
        <f t="shared" si="2"/>
        <v>Rp0-1 PCS-0.00%</v>
      </c>
      <c r="Q4221" s="92">
        <v>45425.0</v>
      </c>
      <c r="R4221" s="76"/>
      <c r="S4221" s="92">
        <v>45432.0</v>
      </c>
      <c r="T4221" s="77" t="s">
        <v>3728</v>
      </c>
      <c r="V4221" s="21" t="s">
        <v>3732</v>
      </c>
    </row>
    <row r="4222">
      <c r="A4222" s="93">
        <v>344.0</v>
      </c>
      <c r="B4222" s="77" t="s">
        <v>29</v>
      </c>
      <c r="C4222" s="77" t="s">
        <v>3727</v>
      </c>
      <c r="D4222" s="77" t="s">
        <v>3733</v>
      </c>
      <c r="E4222" s="41" t="str">
        <f>IFERROR(__xludf.DUMMYFUNCTION("IFNA(vlookup(D4222,IMPORTRANGE(""https://docs.google.com/spreadsheets/d/1swGwZOEqYlTEUCJLY-eeJM1911Kvaei5oySBIxdgtNo/edit?pli=1#gid=257618397"",""stock untanna!B:C""),2,false),V:V)"),"PC MAGNIT + KUNCI KOMBINASI B 35113-20")</f>
        <v>PC MAGNIT + KUNCI KOMBINASI B 35113-20</v>
      </c>
      <c r="F4222" s="49"/>
      <c r="G4222" s="71"/>
      <c r="H4222" s="41"/>
      <c r="I4222" s="42"/>
      <c r="J4222" s="85" t="s">
        <v>1319</v>
      </c>
      <c r="K4222" s="93">
        <v>3.0</v>
      </c>
      <c r="L4222" s="112" t="s">
        <v>69</v>
      </c>
      <c r="M4222" s="116"/>
      <c r="N4222" s="74"/>
      <c r="O4222" s="87">
        <f t="shared" si="11"/>
        <v>0</v>
      </c>
      <c r="P4222" s="102" t="str">
        <f t="shared" si="2"/>
        <v>Rp0-3 PCS-0.00%</v>
      </c>
      <c r="Q4222" s="92">
        <v>45425.0</v>
      </c>
      <c r="R4222" s="76"/>
      <c r="S4222" s="92">
        <v>45432.0</v>
      </c>
      <c r="T4222" s="77" t="s">
        <v>3730</v>
      </c>
      <c r="V4222" s="21" t="s">
        <v>3734</v>
      </c>
    </row>
    <row r="4223">
      <c r="A4223" s="93">
        <v>4383.0</v>
      </c>
      <c r="B4223" s="77" t="s">
        <v>58</v>
      </c>
      <c r="C4223" s="77" t="s">
        <v>2639</v>
      </c>
      <c r="D4223" s="77" t="s">
        <v>2006</v>
      </c>
      <c r="E4223" s="41" t="str">
        <f>IFERROR(__xludf.DUMMYFUNCTION("IFNA(vlookup(D4223,IMPORTRANGE(""https://docs.google.com/spreadsheets/d/1swGwZOEqYlTEUCJLY-eeJM1911Kvaei5oySBIxdgtNo/edit?pli=1#gid=257618397"",""stock untanna!B:C""),2,false),V:V)"),"CRAYON PUTAR FANCY 1012/2012 PANJANG ")</f>
        <v>CRAYON PUTAR FANCY 1012/2012 PANJANG </v>
      </c>
      <c r="F4223" s="49"/>
      <c r="G4223" s="71"/>
      <c r="H4223" s="41"/>
      <c r="I4223" s="42"/>
      <c r="J4223" s="85" t="s">
        <v>1319</v>
      </c>
      <c r="K4223" s="93">
        <v>12.0</v>
      </c>
      <c r="L4223" s="112" t="s">
        <v>62</v>
      </c>
      <c r="M4223" s="113">
        <v>72000.0</v>
      </c>
      <c r="N4223" s="74"/>
      <c r="O4223" s="87">
        <f t="shared" si="11"/>
        <v>864000</v>
      </c>
      <c r="P4223" s="102" t="str">
        <f t="shared" si="2"/>
        <v>Rp72,000-12 LSN-0.00%</v>
      </c>
      <c r="Q4223" s="92">
        <v>45425.0</v>
      </c>
      <c r="R4223" s="76"/>
      <c r="S4223" s="92">
        <v>45432.0</v>
      </c>
      <c r="T4223" s="77" t="s">
        <v>280</v>
      </c>
      <c r="V4223" s="21" t="s">
        <v>3735</v>
      </c>
    </row>
    <row r="4224">
      <c r="A4224" s="93">
        <v>4219.0</v>
      </c>
      <c r="B4224" s="77" t="s">
        <v>29</v>
      </c>
      <c r="C4224" s="77" t="s">
        <v>2134</v>
      </c>
      <c r="D4224" s="77" t="s">
        <v>703</v>
      </c>
      <c r="E4224" s="41" t="str">
        <f>IFERROR(__xludf.DUMMYFUNCTION("IFNA(vlookup(D4224,IMPORTRANGE(""https://docs.google.com/spreadsheets/d/1swGwZOEqYlTEUCJLY-eeJM1911Kvaei5oySBIxdgtNo/edit?pli=1#gid=257618397"",""stock untanna!B:C""),2,false),V:V)"),"MAP L SIKA AC-105 PUTIH")</f>
        <v>MAP L SIKA AC-105 PUTIH</v>
      </c>
      <c r="F4224" s="49"/>
      <c r="G4224" s="71"/>
      <c r="H4224" s="41"/>
      <c r="I4224" s="42"/>
      <c r="J4224" s="85" t="s">
        <v>1319</v>
      </c>
      <c r="K4224" s="93">
        <v>100.0</v>
      </c>
      <c r="L4224" s="112" t="s">
        <v>62</v>
      </c>
      <c r="M4224" s="113">
        <v>14500.0</v>
      </c>
      <c r="N4224" s="74"/>
      <c r="O4224" s="87">
        <f t="shared" si="11"/>
        <v>1450000</v>
      </c>
      <c r="P4224" s="102" t="str">
        <f t="shared" si="2"/>
        <v>Rp14,500-100 LSN-0.00%</v>
      </c>
      <c r="Q4224" s="92">
        <v>45425.0</v>
      </c>
      <c r="R4224" s="76"/>
      <c r="S4224" s="92">
        <v>45432.0</v>
      </c>
      <c r="T4224" s="49"/>
      <c r="V4224" s="21" t="s">
        <v>704</v>
      </c>
    </row>
    <row r="4225">
      <c r="A4225" s="93">
        <v>4219.0</v>
      </c>
      <c r="B4225" s="77" t="s">
        <v>29</v>
      </c>
      <c r="C4225" s="77" t="s">
        <v>2134</v>
      </c>
      <c r="D4225" s="91"/>
      <c r="E4225" s="41" t="str">
        <f>IFERROR(__xludf.DUMMYFUNCTION("IFNA(vlookup(D4225,IMPORTRANGE(""https://docs.google.com/spreadsheets/d/1swGwZOEqYlTEUCJLY-eeJM1911Kvaei5oySBIxdgtNo/edit?pli=1#gid=257618397"",""stock untanna!B:C""),2,false),V:V)"),"LEM TEMBAK B MS PUTIH")</f>
        <v>LEM TEMBAK B MS PUTIH</v>
      </c>
      <c r="F4225" s="49"/>
      <c r="G4225" s="71"/>
      <c r="H4225" s="41"/>
      <c r="I4225" s="42"/>
      <c r="J4225" s="85" t="s">
        <v>1319</v>
      </c>
      <c r="K4225" s="93">
        <v>10.0</v>
      </c>
      <c r="L4225" s="112" t="s">
        <v>69</v>
      </c>
      <c r="M4225" s="113">
        <v>70000.0</v>
      </c>
      <c r="N4225" s="74"/>
      <c r="O4225" s="87">
        <f t="shared" si="11"/>
        <v>700000</v>
      </c>
      <c r="P4225" s="102" t="str">
        <f t="shared" si="2"/>
        <v>Rp70,000-10 PCS-0.00%</v>
      </c>
      <c r="Q4225" s="92">
        <v>45425.0</v>
      </c>
      <c r="R4225" s="76"/>
      <c r="S4225" s="92">
        <v>45432.0</v>
      </c>
      <c r="T4225" s="77" t="s">
        <v>280</v>
      </c>
      <c r="V4225" s="21" t="s">
        <v>3736</v>
      </c>
    </row>
    <row r="4226">
      <c r="A4226" s="93">
        <v>4219.0</v>
      </c>
      <c r="B4226" s="77" t="s">
        <v>29</v>
      </c>
      <c r="C4226" s="77" t="s">
        <v>2134</v>
      </c>
      <c r="D4226" s="91"/>
      <c r="E4226" s="41" t="str">
        <f>IFERROR(__xludf.DUMMYFUNCTION("IFNA(vlookup(D4226,IMPORTRANGE(""https://docs.google.com/spreadsheets/d/1swGwZOEqYlTEUCJLY-eeJM1911Kvaei5oySBIxdgtNo/edit?pli=1#gid=257618397"",""stock untanna!B:C""),2,false),V:V)"),"LEM TEMBAK K PUTIH MS")</f>
        <v>LEM TEMBAK K PUTIH MS</v>
      </c>
      <c r="F4226" s="49"/>
      <c r="G4226" s="71"/>
      <c r="H4226" s="41"/>
      <c r="I4226" s="42"/>
      <c r="J4226" s="85" t="s">
        <v>1319</v>
      </c>
      <c r="K4226" s="93">
        <v>15.0</v>
      </c>
      <c r="L4226" s="112" t="s">
        <v>69</v>
      </c>
      <c r="M4226" s="113">
        <v>70000.0</v>
      </c>
      <c r="N4226" s="74"/>
      <c r="O4226" s="87">
        <f t="shared" si="11"/>
        <v>1050000</v>
      </c>
      <c r="P4226" s="102" t="str">
        <f t="shared" si="2"/>
        <v>Rp70,000-15 PCS-0.00%</v>
      </c>
      <c r="Q4226" s="92">
        <v>45425.0</v>
      </c>
      <c r="R4226" s="76"/>
      <c r="S4226" s="92">
        <v>45432.0</v>
      </c>
      <c r="T4226" s="77" t="s">
        <v>280</v>
      </c>
      <c r="V4226" s="21" t="s">
        <v>2177</v>
      </c>
    </row>
    <row r="4227">
      <c r="A4227" s="93">
        <v>4219.0</v>
      </c>
      <c r="B4227" s="77" t="s">
        <v>29</v>
      </c>
      <c r="C4227" s="77" t="s">
        <v>2134</v>
      </c>
      <c r="D4227" s="91"/>
      <c r="E4227" s="41" t="str">
        <f>IFERROR(__xludf.DUMMYFUNCTION("IFNA(vlookup(D4227,IMPORTRANGE(""https://docs.google.com/spreadsheets/d/1swGwZOEqYlTEUCJLY-eeJM1911Kvaei5oySBIxdgtNo/edit?pli=1#gid=257618397"",""stock untanna!B:C""),2,false),V:V)"),"CUTTER ZRM A 300")</f>
        <v>CUTTER ZRM A 300</v>
      </c>
      <c r="F4227" s="49"/>
      <c r="G4227" s="71"/>
      <c r="H4227" s="41"/>
      <c r="I4227" s="42"/>
      <c r="J4227" s="85" t="s">
        <v>3190</v>
      </c>
      <c r="K4227" s="93">
        <v>6.0</v>
      </c>
      <c r="L4227" s="112" t="s">
        <v>62</v>
      </c>
      <c r="M4227" s="113">
        <v>61000.0</v>
      </c>
      <c r="N4227" s="74"/>
      <c r="O4227" s="87">
        <f t="shared" si="11"/>
        <v>366000</v>
      </c>
      <c r="P4227" s="102" t="str">
        <f t="shared" si="2"/>
        <v>Rp61,000-6 LSN-0.00%</v>
      </c>
      <c r="Q4227" s="92">
        <v>45425.0</v>
      </c>
      <c r="R4227" s="76"/>
      <c r="S4227" s="92">
        <v>45432.0</v>
      </c>
      <c r="T4227" s="49"/>
      <c r="V4227" s="21" t="s">
        <v>3737</v>
      </c>
    </row>
    <row r="4228">
      <c r="A4228" s="93">
        <v>4219.0</v>
      </c>
      <c r="B4228" s="77" t="s">
        <v>29</v>
      </c>
      <c r="C4228" s="77" t="s">
        <v>2134</v>
      </c>
      <c r="D4228" s="77" t="s">
        <v>2619</v>
      </c>
      <c r="E4228" s="41" t="str">
        <f>IFERROR(__xludf.DUMMYFUNCTION("IFNA(vlookup(D4228,IMPORTRANGE(""https://docs.google.com/spreadsheets/d/1swGwZOEqYlTEUCJLY-eeJM1911Kvaei5oySBIxdgtNo/edit?pli=1#gid=257618397"",""stock untanna!B:C""),2,false),V:V)"),"PITA TARIK/KADO 23 LS")</f>
        <v>PITA TARIK/KADO 23 LS</v>
      </c>
      <c r="F4228" s="49"/>
      <c r="G4228" s="71"/>
      <c r="H4228" s="41"/>
      <c r="I4228" s="42"/>
      <c r="J4228" s="85" t="s">
        <v>1319</v>
      </c>
      <c r="K4228" s="93">
        <v>50.0</v>
      </c>
      <c r="L4228" s="112" t="s">
        <v>69</v>
      </c>
      <c r="M4228" s="113">
        <v>2750.0</v>
      </c>
      <c r="N4228" s="74"/>
      <c r="O4228" s="87">
        <f t="shared" si="11"/>
        <v>137500</v>
      </c>
      <c r="P4228" s="102" t="str">
        <f t="shared" si="2"/>
        <v>Rp2,750-50 PCS-0.00%</v>
      </c>
      <c r="Q4228" s="92">
        <v>45425.0</v>
      </c>
      <c r="R4228" s="76"/>
      <c r="S4228" s="92">
        <v>45432.0</v>
      </c>
      <c r="T4228" s="49"/>
      <c r="V4228" s="21" t="s">
        <v>3322</v>
      </c>
    </row>
    <row r="4229">
      <c r="A4229" s="93">
        <v>4219.0</v>
      </c>
      <c r="B4229" s="77" t="s">
        <v>29</v>
      </c>
      <c r="C4229" s="77" t="s">
        <v>2134</v>
      </c>
      <c r="D4229" s="77" t="s">
        <v>3738</v>
      </c>
      <c r="E4229" s="41" t="str">
        <f>IFERROR(__xludf.DUMMYFUNCTION("IFNA(vlookup(D4229,IMPORTRANGE(""https://docs.google.com/spreadsheets/d/1swGwZOEqYlTEUCJLY-eeJM1911Kvaei5oySBIxdgtNo/edit?pli=1#gid=257618397"",""stock untanna!B:C""),2,false),V:V)"),"PITA TARIK/KADO 50 CM BIASA")</f>
        <v>PITA TARIK/KADO 50 CM BIASA</v>
      </c>
      <c r="F4229" s="49"/>
      <c r="G4229" s="71"/>
      <c r="H4229" s="41"/>
      <c r="I4229" s="42"/>
      <c r="J4229" s="85" t="s">
        <v>1319</v>
      </c>
      <c r="K4229" s="93">
        <v>50.0</v>
      </c>
      <c r="L4229" s="112" t="s">
        <v>69</v>
      </c>
      <c r="M4229" s="113">
        <v>9500.0</v>
      </c>
      <c r="N4229" s="74"/>
      <c r="O4229" s="87">
        <f t="shared" si="11"/>
        <v>475000</v>
      </c>
      <c r="P4229" s="102" t="str">
        <f t="shared" si="2"/>
        <v>Rp9,500-50 PCS-0.00%</v>
      </c>
      <c r="Q4229" s="92">
        <v>45425.0</v>
      </c>
      <c r="R4229" s="76"/>
      <c r="S4229" s="92">
        <v>45432.0</v>
      </c>
      <c r="T4229" s="49"/>
      <c r="V4229" s="21" t="s">
        <v>3739</v>
      </c>
    </row>
    <row r="4230">
      <c r="A4230" s="93">
        <v>4219.0</v>
      </c>
      <c r="B4230" s="77" t="s">
        <v>29</v>
      </c>
      <c r="C4230" s="77" t="s">
        <v>2134</v>
      </c>
      <c r="D4230" s="77" t="s">
        <v>3740</v>
      </c>
      <c r="E4230" s="41" t="str">
        <f>IFERROR(__xludf.DUMMYFUNCTION("IFNA(vlookup(D4230,IMPORTRANGE(""https://docs.google.com/spreadsheets/d/1swGwZOEqYlTEUCJLY-eeJM1911Kvaei5oySBIxdgtNo/edit?pli=1#gid=257618397"",""stock untanna!B:C""),2,false),V:V)"),"PITA TARIK/KADO 12 HC")</f>
        <v>PITA TARIK/KADO 12 HC</v>
      </c>
      <c r="F4230" s="49"/>
      <c r="G4230" s="71"/>
      <c r="H4230" s="41"/>
      <c r="I4230" s="42"/>
      <c r="J4230" s="85" t="s">
        <v>1319</v>
      </c>
      <c r="K4230" s="93">
        <v>50.0</v>
      </c>
      <c r="L4230" s="112" t="s">
        <v>69</v>
      </c>
      <c r="M4230" s="113">
        <v>1600.0</v>
      </c>
      <c r="N4230" s="74"/>
      <c r="O4230" s="87">
        <f t="shared" si="11"/>
        <v>80000</v>
      </c>
      <c r="P4230" s="102" t="str">
        <f t="shared" si="2"/>
        <v>Rp1,600-50 PCS-0.00%</v>
      </c>
      <c r="Q4230" s="92">
        <v>45425.0</v>
      </c>
      <c r="R4230" s="76"/>
      <c r="S4230" s="92">
        <v>45432.0</v>
      </c>
      <c r="T4230" s="49"/>
      <c r="V4230" s="21" t="s">
        <v>3741</v>
      </c>
    </row>
    <row r="4231">
      <c r="A4231" s="93">
        <v>4219.0</v>
      </c>
      <c r="B4231" s="77" t="s">
        <v>29</v>
      </c>
      <c r="C4231" s="77" t="s">
        <v>2134</v>
      </c>
      <c r="D4231" s="77" t="s">
        <v>732</v>
      </c>
      <c r="E4231" s="41" t="str">
        <f>IFERROR(__xludf.DUMMYFUNCTION("IFNA(vlookup(D4231,IMPORTRANGE(""https://docs.google.com/spreadsheets/d/1swGwZOEqYlTEUCJLY-eeJM1911Kvaei5oySBIxdgtNo/edit?pli=1#gid=257618397"",""stock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4231" s="49"/>
      <c r="G4231" s="71"/>
      <c r="H4231" s="41"/>
      <c r="I4231" s="42"/>
      <c r="J4231" s="85" t="s">
        <v>1319</v>
      </c>
      <c r="K4231" s="93">
        <v>24.0</v>
      </c>
      <c r="L4231" s="112" t="s">
        <v>69</v>
      </c>
      <c r="M4231" s="113">
        <v>32500.0</v>
      </c>
      <c r="N4231" s="74"/>
      <c r="O4231" s="87">
        <f t="shared" si="11"/>
        <v>780000</v>
      </c>
      <c r="P4231" s="102" t="str">
        <f t="shared" si="2"/>
        <v>Rp32,500-24 PCS-0.00%</v>
      </c>
      <c r="Q4231" s="92">
        <v>45425.0</v>
      </c>
      <c r="R4231" s="76"/>
      <c r="S4231" s="92">
        <v>45432.0</v>
      </c>
      <c r="T4231" s="49"/>
      <c r="V4231" s="21" t="s">
        <v>733</v>
      </c>
    </row>
    <row r="4232">
      <c r="A4232" s="93">
        <v>4219.0</v>
      </c>
      <c r="B4232" s="77" t="s">
        <v>29</v>
      </c>
      <c r="C4232" s="77" t="s">
        <v>2134</v>
      </c>
      <c r="D4232" s="77" t="s">
        <v>3742</v>
      </c>
      <c r="E4232" s="41" t="str">
        <f>IFERROR(__xludf.DUMMYFUNCTION("IFNA(vlookup(D4232,IMPORTRANGE(""https://docs.google.com/spreadsheets/d/1swGwZOEqYlTEUCJLY-eeJM1911Kvaei5oySBIxdgtNo/edit?pli=1#gid=257618397"",""stock untanna!B:C""),2,false),V:V)"),"ISOLASI NATIONAL 20M")</f>
        <v>ISOLASI NATIONAL 20M</v>
      </c>
      <c r="F4232" s="49"/>
      <c r="G4232" s="71"/>
      <c r="H4232" s="41"/>
      <c r="I4232" s="42"/>
      <c r="J4232" s="85" t="s">
        <v>1319</v>
      </c>
      <c r="K4232" s="93">
        <v>50.0</v>
      </c>
      <c r="L4232" s="112" t="s">
        <v>1384</v>
      </c>
      <c r="M4232" s="113">
        <v>5500.0</v>
      </c>
      <c r="N4232" s="74"/>
      <c r="O4232" s="87">
        <f t="shared" si="11"/>
        <v>275000</v>
      </c>
      <c r="P4232" s="102" t="str">
        <f t="shared" si="2"/>
        <v>Rp5,500-50 ROL-0.00%</v>
      </c>
      <c r="Q4232" s="92">
        <v>45425.0</v>
      </c>
      <c r="R4232" s="76"/>
      <c r="S4232" s="92">
        <v>45432.0</v>
      </c>
      <c r="T4232" s="49"/>
      <c r="V4232" s="21" t="s">
        <v>3743</v>
      </c>
    </row>
    <row r="4233">
      <c r="A4233" s="93">
        <v>4219.0</v>
      </c>
      <c r="B4233" s="77" t="s">
        <v>29</v>
      </c>
      <c r="C4233" s="77" t="s">
        <v>2134</v>
      </c>
      <c r="D4233" s="77" t="s">
        <v>419</v>
      </c>
      <c r="E4233" s="41" t="str">
        <f>IFERROR(__xludf.DUMMYFUNCTION("IFNA(vlookup(D4233,IMPORTRANGE(""https://docs.google.com/spreadsheets/d/1swGwZOEqYlTEUCJLY-eeJM1911Kvaei5oySBIxdgtNo/edit?pli=1#gid=257618397"",""stock untanna!B:C""),2,false),V:V)"),"BP GEL ZUI XUA HY-1020 HITAM")</f>
        <v>BP GEL ZUI XUA HY-1020 HITAM</v>
      </c>
      <c r="F4233" s="49"/>
      <c r="G4233" s="71"/>
      <c r="H4233" s="41"/>
      <c r="I4233" s="42"/>
      <c r="J4233" s="85" t="s">
        <v>1319</v>
      </c>
      <c r="K4233" s="93">
        <v>36.0</v>
      </c>
      <c r="L4233" s="112" t="s">
        <v>62</v>
      </c>
      <c r="M4233" s="113">
        <v>13500.0</v>
      </c>
      <c r="N4233" s="74"/>
      <c r="O4233" s="87">
        <f t="shared" si="11"/>
        <v>486000</v>
      </c>
      <c r="P4233" s="102" t="str">
        <f t="shared" si="2"/>
        <v>Rp13,500-36 LSN-0.00%</v>
      </c>
      <c r="Q4233" s="92">
        <v>45425.0</v>
      </c>
      <c r="R4233" s="76"/>
      <c r="S4233" s="92">
        <v>45432.0</v>
      </c>
      <c r="T4233" s="49"/>
      <c r="V4233" s="21" t="s">
        <v>3281</v>
      </c>
    </row>
    <row r="4234">
      <c r="A4234" s="93">
        <v>4219.0</v>
      </c>
      <c r="B4234" s="77" t="s">
        <v>29</v>
      </c>
      <c r="C4234" s="77" t="s">
        <v>2134</v>
      </c>
      <c r="D4234" s="77" t="s">
        <v>953</v>
      </c>
      <c r="E4234" s="41" t="str">
        <f>IFERROR(__xludf.DUMMYFUNCTION("IFNA(vlookup(D4234,IMPORTRANGE(""https://docs.google.com/spreadsheets/d/1swGwZOEqYlTEUCJLY-eeJM1911Kvaei5oySBIxdgtNo/edit?pli=1#gid=257618397"",""stock untanna!B:C""),2,false),V:V)"),"BP GEL DTIAN DT-612")</f>
        <v>BP GEL DTIAN DT-612</v>
      </c>
      <c r="F4234" s="49"/>
      <c r="G4234" s="71"/>
      <c r="H4234" s="41"/>
      <c r="I4234" s="42"/>
      <c r="J4234" s="85" t="s">
        <v>1319</v>
      </c>
      <c r="K4234" s="93">
        <v>24.0</v>
      </c>
      <c r="L4234" s="112" t="s">
        <v>62</v>
      </c>
      <c r="M4234" s="113">
        <v>12500.0</v>
      </c>
      <c r="N4234" s="74"/>
      <c r="O4234" s="87">
        <f t="shared" si="11"/>
        <v>300000</v>
      </c>
      <c r="P4234" s="102" t="str">
        <f t="shared" si="2"/>
        <v>Rp12,500-24 LSN-0.00%</v>
      </c>
      <c r="Q4234" s="92">
        <v>45425.0</v>
      </c>
      <c r="R4234" s="76"/>
      <c r="S4234" s="92">
        <v>45432.0</v>
      </c>
      <c r="T4234" s="49"/>
      <c r="V4234" s="21" t="s">
        <v>954</v>
      </c>
    </row>
    <row r="4235">
      <c r="A4235" s="93">
        <v>4219.0</v>
      </c>
      <c r="B4235" s="77" t="s">
        <v>29</v>
      </c>
      <c r="C4235" s="77" t="s">
        <v>2134</v>
      </c>
      <c r="D4235" s="77" t="s">
        <v>1018</v>
      </c>
      <c r="E4235" s="41" t="str">
        <f>IFERROR(__xludf.DUMMYFUNCTION("IFNA(vlookup(D4235,IMPORTRANGE(""https://docs.google.com/spreadsheets/d/1swGwZOEqYlTEUCJLY-eeJM1911Kvaei5oySBIxdgtNo/edit?pli=1#gid=257618397"",""stock untanna!B:C""),2,false),V:V)"),"BP PELNA ULIR 01 HT")</f>
        <v>BP PELNA ULIR 01 HT</v>
      </c>
      <c r="F4235" s="49"/>
      <c r="G4235" s="71"/>
      <c r="H4235" s="41"/>
      <c r="I4235" s="42"/>
      <c r="J4235" s="85" t="s">
        <v>1319</v>
      </c>
      <c r="K4235" s="93">
        <v>20.0</v>
      </c>
      <c r="L4235" s="112" t="s">
        <v>131</v>
      </c>
      <c r="M4235" s="113">
        <v>65000.0</v>
      </c>
      <c r="N4235" s="74"/>
      <c r="O4235" s="87">
        <f t="shared" si="11"/>
        <v>1300000</v>
      </c>
      <c r="P4235" s="102" t="str">
        <f t="shared" si="2"/>
        <v>Rp65,000-20 GRS-0.00%</v>
      </c>
      <c r="Q4235" s="92">
        <v>45425.0</v>
      </c>
      <c r="R4235" s="76"/>
      <c r="S4235" s="92">
        <v>45432.0</v>
      </c>
      <c r="T4235" s="49"/>
      <c r="V4235" s="21" t="s">
        <v>1019</v>
      </c>
    </row>
    <row r="4236">
      <c r="A4236" s="93">
        <v>4219.0</v>
      </c>
      <c r="B4236" s="77" t="s">
        <v>29</v>
      </c>
      <c r="C4236" s="77" t="s">
        <v>2134</v>
      </c>
      <c r="D4236" s="77" t="s">
        <v>2195</v>
      </c>
      <c r="E4236" s="41" t="str">
        <f>IFERROR(__xludf.DUMMYFUNCTION("IFNA(vlookup(D4236,IMPORTRANGE(""https://docs.google.com/spreadsheets/d/1swGwZOEqYlTEUCJLY-eeJM1911Kvaei5oySBIxdgtNo/edit?pli=1#gid=257618397"",""stock untanna!B:C""),2,false),V:V)"),"DOUBLE TAPE FOAM 24MM")</f>
        <v>DOUBLE TAPE FOAM 24MM</v>
      </c>
      <c r="F4236" s="49"/>
      <c r="G4236" s="71"/>
      <c r="H4236" s="41"/>
      <c r="I4236" s="42"/>
      <c r="J4236" s="85" t="s">
        <v>1319</v>
      </c>
      <c r="K4236" s="93">
        <v>75.0</v>
      </c>
      <c r="L4236" s="112" t="s">
        <v>69</v>
      </c>
      <c r="M4236" s="113">
        <v>11000.0</v>
      </c>
      <c r="N4236" s="74"/>
      <c r="O4236" s="87">
        <f t="shared" si="11"/>
        <v>825000</v>
      </c>
      <c r="P4236" s="102" t="str">
        <f t="shared" si="2"/>
        <v>Rp11,000-75 PCS-0.00%</v>
      </c>
      <c r="Q4236" s="92">
        <v>45425.0</v>
      </c>
      <c r="R4236" s="76"/>
      <c r="S4236" s="92">
        <v>45432.0</v>
      </c>
      <c r="T4236" s="49"/>
      <c r="V4236" s="21" t="s">
        <v>2196</v>
      </c>
    </row>
    <row r="4237">
      <c r="A4237" s="93">
        <v>254.0</v>
      </c>
      <c r="B4237" s="77" t="s">
        <v>29</v>
      </c>
      <c r="C4237" s="77" t="s">
        <v>3744</v>
      </c>
      <c r="D4237" s="91"/>
      <c r="E4237" s="41" t="str">
        <f>IFERROR(__xludf.DUMMYFUNCTION("IFNA(vlookup(D4237,IMPORTRANGE(""https://docs.google.com/spreadsheets/d/1swGwZOEqYlTEUCJLY-eeJM1911Kvaei5oySBIxdgtNo/edit?pli=1#gid=257618397"",""stock untanna!B:C""),2,false),V:V)"),"PENGHAPUS WB CLEAR KCL")</f>
        <v>PENGHAPUS WB CLEAR KCL</v>
      </c>
      <c r="F4237" s="49"/>
      <c r="G4237" s="71"/>
      <c r="H4237" s="41"/>
      <c r="I4237" s="42"/>
      <c r="J4237" s="85" t="s">
        <v>3190</v>
      </c>
      <c r="K4237" s="93">
        <v>15.0</v>
      </c>
      <c r="L4237" s="112" t="s">
        <v>62</v>
      </c>
      <c r="M4237" s="113">
        <v>30000.0</v>
      </c>
      <c r="N4237" s="74"/>
      <c r="O4237" s="87">
        <f t="shared" si="11"/>
        <v>450000</v>
      </c>
      <c r="P4237" s="102" t="str">
        <f t="shared" si="2"/>
        <v>Rp30,000-15 LSN-0.00%</v>
      </c>
      <c r="Q4237" s="92">
        <v>45423.0</v>
      </c>
      <c r="R4237" s="76"/>
      <c r="S4237" s="92">
        <v>45432.0</v>
      </c>
      <c r="T4237" s="49"/>
      <c r="V4237" s="21" t="s">
        <v>3745</v>
      </c>
    </row>
    <row r="4238">
      <c r="A4238" s="93">
        <v>254.0</v>
      </c>
      <c r="B4238" s="77" t="s">
        <v>29</v>
      </c>
      <c r="C4238" s="77" t="s">
        <v>3744</v>
      </c>
      <c r="D4238" s="91"/>
      <c r="E4238" s="41" t="str">
        <f>IFERROR(__xludf.DUMMYFUNCTION("IFNA(vlookup(D4238,IMPORTRANGE(""https://docs.google.com/spreadsheets/d/1swGwZOEqYlTEUCJLY-eeJM1911Kvaei5oySBIxdgtNo/edit?pli=1#gid=257618397"",""stock untanna!B:C""),2,false),V:V)"),"PENGHAPUS WB CLEAR BESAR")</f>
        <v>PENGHAPUS WB CLEAR BESAR</v>
      </c>
      <c r="F4238" s="49"/>
      <c r="G4238" s="71"/>
      <c r="H4238" s="41"/>
      <c r="I4238" s="42"/>
      <c r="J4238" s="85" t="s">
        <v>3190</v>
      </c>
      <c r="K4238" s="93">
        <v>15.0</v>
      </c>
      <c r="L4238" s="112" t="s">
        <v>62</v>
      </c>
      <c r="M4238" s="113">
        <v>42000.0</v>
      </c>
      <c r="N4238" s="74"/>
      <c r="O4238" s="87">
        <f t="shared" si="11"/>
        <v>630000</v>
      </c>
      <c r="P4238" s="102" t="str">
        <f t="shared" si="2"/>
        <v>Rp42,000-15 LSN-0.00%</v>
      </c>
      <c r="Q4238" s="92">
        <v>45423.0</v>
      </c>
      <c r="R4238" s="76"/>
      <c r="S4238" s="92">
        <v>45432.0</v>
      </c>
      <c r="T4238" s="49"/>
      <c r="V4238" s="21" t="s">
        <v>3746</v>
      </c>
    </row>
    <row r="4239">
      <c r="A4239" s="93">
        <v>254.0</v>
      </c>
      <c r="B4239" s="77" t="s">
        <v>29</v>
      </c>
      <c r="C4239" s="77" t="s">
        <v>3744</v>
      </c>
      <c r="D4239" s="77" t="s">
        <v>2716</v>
      </c>
      <c r="E4239" s="41" t="str">
        <f>IFERROR(__xludf.DUMMYFUNCTION("IFNA(vlookup(D4239,IMPORTRANGE(""https://docs.google.com/spreadsheets/d/1swGwZOEqYlTEUCJLY-eeJM1911Kvaei5oySBIxdgtNo/edit?pli=1#gid=257618397"",""stock untanna!B:C""),2,false),V:V)"),"STAPLER (GUN TACKER) 1008F JOSS")</f>
        <v>STAPLER (GUN TACKER) 1008F JOSS</v>
      </c>
      <c r="F4239" s="49"/>
      <c r="G4239" s="71"/>
      <c r="H4239" s="41"/>
      <c r="I4239" s="42"/>
      <c r="J4239" s="85" t="s">
        <v>1319</v>
      </c>
      <c r="K4239" s="93">
        <v>6.0</v>
      </c>
      <c r="L4239" s="112" t="s">
        <v>69</v>
      </c>
      <c r="M4239" s="113">
        <v>65000.0</v>
      </c>
      <c r="N4239" s="74"/>
      <c r="O4239" s="87">
        <f t="shared" si="11"/>
        <v>390000</v>
      </c>
      <c r="P4239" s="102" t="str">
        <f t="shared" si="2"/>
        <v>Rp65,000-6 PCS-0.00%</v>
      </c>
      <c r="Q4239" s="92">
        <v>45423.0</v>
      </c>
      <c r="R4239" s="76"/>
      <c r="S4239" s="92">
        <v>45432.0</v>
      </c>
      <c r="T4239" s="49"/>
      <c r="V4239" s="21" t="s">
        <v>2717</v>
      </c>
    </row>
    <row r="4240">
      <c r="A4240" s="93">
        <v>254.0</v>
      </c>
      <c r="B4240" s="77" t="s">
        <v>29</v>
      </c>
      <c r="C4240" s="77" t="s">
        <v>3744</v>
      </c>
      <c r="D4240" s="77" t="s">
        <v>101</v>
      </c>
      <c r="E4240" s="41" t="str">
        <f>IFERROR(__xludf.DUMMYFUNCTION("IFNA(vlookup(D4240,IMPORTRANGE(""https://docs.google.com/spreadsheets/d/1swGwZOEqYlTEUCJLY-eeJM1911Kvaei5oySBIxdgtNo/edit?pli=1#gid=257618397"",""stock untanna!B:C""),2,false),V:V)"),"TALI ID CARD PEONY BIRU")</f>
        <v>TALI ID CARD PEONY BIRU</v>
      </c>
      <c r="F4240" s="49"/>
      <c r="G4240" s="71"/>
      <c r="H4240" s="41"/>
      <c r="I4240" s="42"/>
      <c r="J4240" s="85" t="s">
        <v>1319</v>
      </c>
      <c r="K4240" s="93">
        <v>500.0</v>
      </c>
      <c r="L4240" s="112" t="s">
        <v>69</v>
      </c>
      <c r="M4240" s="113">
        <v>450.0</v>
      </c>
      <c r="N4240" s="74"/>
      <c r="O4240" s="87">
        <f t="shared" si="11"/>
        <v>225000</v>
      </c>
      <c r="P4240" s="102" t="str">
        <f t="shared" si="2"/>
        <v>Rp450-500 PCS-0.00%</v>
      </c>
      <c r="Q4240" s="92">
        <v>45423.0</v>
      </c>
      <c r="R4240" s="76"/>
      <c r="S4240" s="92">
        <v>45432.0</v>
      </c>
      <c r="T4240" s="49"/>
      <c r="V4240" s="21" t="s">
        <v>102</v>
      </c>
    </row>
    <row r="4241">
      <c r="A4241" s="93">
        <v>260.0</v>
      </c>
      <c r="B4241" s="77" t="s">
        <v>29</v>
      </c>
      <c r="C4241" s="77" t="s">
        <v>3509</v>
      </c>
      <c r="D4241" s="77" t="s">
        <v>3262</v>
      </c>
      <c r="E4241" s="41" t="str">
        <f>IFERROR(__xludf.DUMMYFUNCTION("IFNA(vlookup(D4241,IMPORTRANGE(""https://docs.google.com/spreadsheets/d/1swGwZOEqYlTEUCJLY-eeJM1911Kvaei5oySBIxdgtNo/edit?pli=1#gid=257618397"",""stock untanna!B:C""),2,false),V:V)"),"SAMPUL BOXY FANCY (STOK 26)")</f>
        <v>SAMPUL BOXY FANCY (STOK 26)</v>
      </c>
      <c r="F4241" s="49"/>
      <c r="G4241" s="71"/>
      <c r="H4241" s="41"/>
      <c r="I4241" s="42"/>
      <c r="J4241" s="85" t="s">
        <v>1319</v>
      </c>
      <c r="K4241" s="93">
        <v>200.0</v>
      </c>
      <c r="L4241" s="112" t="s">
        <v>69</v>
      </c>
      <c r="M4241" s="113">
        <v>7750.0</v>
      </c>
      <c r="N4241" s="74"/>
      <c r="O4241" s="87">
        <f t="shared" si="11"/>
        <v>1550000</v>
      </c>
      <c r="P4241" s="102" t="str">
        <f t="shared" si="2"/>
        <v>Rp7,750-200 PCS-0.00%</v>
      </c>
      <c r="Q4241" s="92">
        <v>45425.0</v>
      </c>
      <c r="R4241" s="76"/>
      <c r="S4241" s="92">
        <v>45432.0</v>
      </c>
      <c r="T4241" s="49"/>
      <c r="V4241" s="21" t="s">
        <v>3263</v>
      </c>
    </row>
    <row r="4242">
      <c r="A4242" s="93">
        <v>265.0</v>
      </c>
      <c r="B4242" s="77" t="s">
        <v>29</v>
      </c>
      <c r="C4242" s="77" t="s">
        <v>3052</v>
      </c>
      <c r="D4242" s="77" t="s">
        <v>1444</v>
      </c>
      <c r="E4242" s="41" t="str">
        <f>IFERROR(__xludf.DUMMYFUNCTION("IFNA(vlookup(D4242,IMPORTRANGE(""https://docs.google.com/spreadsheets/d/1swGwZOEqYlTEUCJLY-eeJM1911Kvaei5oySBIxdgtNo/edit?pli=1#gid=257618397"",""stock untanna!B:C""),2,false),V:V)"),"BP GEL TF-1191 BODY WR 0.3MM HIGHTECH")</f>
        <v>BP GEL TF-1191 BODY WR 0.3MM HIGHTECH</v>
      </c>
      <c r="F4242" s="49"/>
      <c r="G4242" s="71"/>
      <c r="H4242" s="41"/>
      <c r="I4242" s="42"/>
      <c r="J4242" s="85" t="s">
        <v>1319</v>
      </c>
      <c r="K4242" s="93">
        <v>3.0</v>
      </c>
      <c r="L4242" s="112" t="s">
        <v>62</v>
      </c>
      <c r="M4242" s="113">
        <v>35000.0</v>
      </c>
      <c r="N4242" s="74"/>
      <c r="O4242" s="87">
        <f t="shared" si="11"/>
        <v>105000</v>
      </c>
      <c r="P4242" s="102" t="str">
        <f t="shared" si="2"/>
        <v>Rp35,000-3 LSN-0.00%</v>
      </c>
      <c r="Q4242" s="92">
        <v>45425.0</v>
      </c>
      <c r="R4242" s="76"/>
      <c r="S4242" s="92">
        <v>45432.0</v>
      </c>
      <c r="T4242" s="49"/>
      <c r="V4242" s="21" t="s">
        <v>1445</v>
      </c>
    </row>
    <row r="4243">
      <c r="A4243" s="93">
        <v>265.0</v>
      </c>
      <c r="B4243" s="77" t="s">
        <v>29</v>
      </c>
      <c r="C4243" s="77" t="s">
        <v>3052</v>
      </c>
      <c r="D4243" s="77" t="s">
        <v>623</v>
      </c>
      <c r="E4243" s="41" t="str">
        <f>IFERROR(__xludf.DUMMYFUNCTION("IFNA(vlookup(D4243,IMPORTRANGE(""https://docs.google.com/spreadsheets/d/1swGwZOEqYlTEUCJLY-eeJM1911Kvaei5oySBIxdgtNo/edit?pli=1#gid=257618397"",""stock untanna!B:C""),2,false),V:V)"),"BP GEL TF-1190 0.3MM HIGHTECH (H)")</f>
        <v>BP GEL TF-1190 0.3MM HIGHTECH (H)</v>
      </c>
      <c r="F4243" s="49"/>
      <c r="G4243" s="71"/>
      <c r="H4243" s="41"/>
      <c r="I4243" s="42"/>
      <c r="J4243" s="85" t="s">
        <v>1319</v>
      </c>
      <c r="K4243" s="93">
        <v>3.0</v>
      </c>
      <c r="L4243" s="112" t="s">
        <v>62</v>
      </c>
      <c r="M4243" s="113">
        <v>35000.0</v>
      </c>
      <c r="N4243" s="74"/>
      <c r="O4243" s="87">
        <f t="shared" si="11"/>
        <v>105000</v>
      </c>
      <c r="P4243" s="102" t="str">
        <f t="shared" si="2"/>
        <v>Rp35,000-3 LSN-0.00%</v>
      </c>
      <c r="Q4243" s="92">
        <v>45425.0</v>
      </c>
      <c r="R4243" s="76"/>
      <c r="S4243" s="92">
        <v>45432.0</v>
      </c>
      <c r="T4243" s="49"/>
      <c r="V4243" s="21" t="s">
        <v>624</v>
      </c>
    </row>
    <row r="4244">
      <c r="A4244" s="93">
        <v>265.0</v>
      </c>
      <c r="B4244" s="77" t="s">
        <v>29</v>
      </c>
      <c r="C4244" s="77" t="s">
        <v>3052</v>
      </c>
      <c r="D4244" s="77" t="s">
        <v>2253</v>
      </c>
      <c r="E4244" s="41" t="str">
        <f>IFERROR(__xludf.DUMMYFUNCTION("IFNA(vlookup(D4244,IMPORTRANGE(""https://docs.google.com/spreadsheets/d/1swGwZOEqYlTEUCJLY-eeJM1911Kvaei5oySBIxdgtNo/edit?pli=1#gid=257618397"",""stock untanna!B:C""),2,false),V:V)"),"BP TIZO TG 31475F FANCY")</f>
        <v>BP TIZO TG 31475F FANCY</v>
      </c>
      <c r="F4244" s="49"/>
      <c r="G4244" s="71"/>
      <c r="H4244" s="41"/>
      <c r="I4244" s="42"/>
      <c r="J4244" s="85" t="s">
        <v>1319</v>
      </c>
      <c r="K4244" s="93">
        <v>3.0</v>
      </c>
      <c r="L4244" s="112" t="s">
        <v>62</v>
      </c>
      <c r="M4244" s="113">
        <v>24000.0</v>
      </c>
      <c r="N4244" s="74"/>
      <c r="O4244" s="87">
        <f t="shared" si="11"/>
        <v>72000</v>
      </c>
      <c r="P4244" s="102" t="str">
        <f t="shared" si="2"/>
        <v>Rp24,000-3 LSN-0.00%</v>
      </c>
      <c r="Q4244" s="92">
        <v>45425.0</v>
      </c>
      <c r="R4244" s="76"/>
      <c r="S4244" s="92">
        <v>45432.0</v>
      </c>
      <c r="T4244" s="49"/>
      <c r="V4244" s="21" t="s">
        <v>2254</v>
      </c>
    </row>
    <row r="4245">
      <c r="A4245" s="93">
        <v>265.0</v>
      </c>
      <c r="B4245" s="77" t="s">
        <v>29</v>
      </c>
      <c r="C4245" s="77" t="s">
        <v>3052</v>
      </c>
      <c r="D4245" s="77" t="s">
        <v>637</v>
      </c>
      <c r="E4245" s="41" t="str">
        <f>IFERROR(__xludf.DUMMYFUNCTION("IFNA(vlookup(D4245,IMPORTRANGE(""https://docs.google.com/spreadsheets/d/1swGwZOEqYlTEUCJLY-eeJM1911Kvaei5oySBIxdgtNo/edit?pli=1#gid=257618397"",""stock untanna!B:C""),2,false),V:V)"),"BP GEL TIZO 31762F FANCY")</f>
        <v>BP GEL TIZO 31762F FANCY</v>
      </c>
      <c r="F4245" s="49"/>
      <c r="G4245" s="71"/>
      <c r="H4245" s="41"/>
      <c r="I4245" s="42"/>
      <c r="J4245" s="85" t="s">
        <v>1319</v>
      </c>
      <c r="K4245" s="93">
        <v>3.0</v>
      </c>
      <c r="L4245" s="112" t="s">
        <v>62</v>
      </c>
      <c r="M4245" s="113">
        <v>24000.0</v>
      </c>
      <c r="N4245" s="74"/>
      <c r="O4245" s="87">
        <f t="shared" si="11"/>
        <v>72000</v>
      </c>
      <c r="P4245" s="102" t="str">
        <f t="shared" si="2"/>
        <v>Rp24,000-3 LSN-0.00%</v>
      </c>
      <c r="Q4245" s="92">
        <v>45425.0</v>
      </c>
      <c r="R4245" s="76"/>
      <c r="S4245" s="92">
        <v>45432.0</v>
      </c>
      <c r="T4245" s="49"/>
      <c r="V4245" s="21" t="s">
        <v>638</v>
      </c>
    </row>
    <row r="4246">
      <c r="A4246" s="93">
        <v>265.0</v>
      </c>
      <c r="B4246" s="77" t="s">
        <v>29</v>
      </c>
      <c r="C4246" s="77" t="s">
        <v>3052</v>
      </c>
      <c r="D4246" s="77" t="s">
        <v>3206</v>
      </c>
      <c r="E4246" s="41" t="str">
        <f>IFERROR(__xludf.DUMMYFUNCTION("IFNA(vlookup(D4246,IMPORTRANGE(""https://docs.google.com/spreadsheets/d/1swGwZOEqYlTEUCJLY-eeJM1911Kvaei5oySBIxdgtNo/edit?pli=1#gid=257618397"",""stock untanna!B:C""),2,false),V:V)"),"LILIN ANGKA SHINTOENG NO. 1")</f>
        <v>LILIN ANGKA SHINTOENG NO. 1</v>
      </c>
      <c r="F4246" s="49"/>
      <c r="G4246" s="71"/>
      <c r="H4246" s="41"/>
      <c r="I4246" s="42"/>
      <c r="J4246" s="85" t="s">
        <v>1319</v>
      </c>
      <c r="K4246" s="93">
        <v>1.0</v>
      </c>
      <c r="L4246" s="112" t="s">
        <v>62</v>
      </c>
      <c r="M4246" s="113">
        <v>17000.0</v>
      </c>
      <c r="N4246" s="74"/>
      <c r="O4246" s="87">
        <f t="shared" si="11"/>
        <v>17000</v>
      </c>
      <c r="P4246" s="102" t="str">
        <f t="shared" si="2"/>
        <v>Rp17,000-1 LSN-0.00%</v>
      </c>
      <c r="Q4246" s="92">
        <v>45425.0</v>
      </c>
      <c r="R4246" s="76"/>
      <c r="S4246" s="92">
        <v>45432.0</v>
      </c>
      <c r="T4246" s="49"/>
      <c r="V4246" s="21" t="s">
        <v>3207</v>
      </c>
    </row>
    <row r="4247">
      <c r="A4247" s="93">
        <v>265.0</v>
      </c>
      <c r="B4247" s="77" t="s">
        <v>29</v>
      </c>
      <c r="C4247" s="77" t="s">
        <v>3052</v>
      </c>
      <c r="D4247" s="77" t="s">
        <v>3208</v>
      </c>
      <c r="E4247" s="41" t="str">
        <f>IFERROR(__xludf.DUMMYFUNCTION("IFNA(vlookup(D4247,IMPORTRANGE(""https://docs.google.com/spreadsheets/d/1swGwZOEqYlTEUCJLY-eeJM1911Kvaei5oySBIxdgtNo/edit?pli=1#gid=257618397"",""stock untanna!B:C""),2,false),V:V)"),"LILIN ANGKA SHINTOENG NO. 2")</f>
        <v>LILIN ANGKA SHINTOENG NO. 2</v>
      </c>
      <c r="F4247" s="49"/>
      <c r="G4247" s="71"/>
      <c r="H4247" s="41"/>
      <c r="I4247" s="42"/>
      <c r="J4247" s="85" t="s">
        <v>1319</v>
      </c>
      <c r="K4247" s="93">
        <v>1.0</v>
      </c>
      <c r="L4247" s="112" t="s">
        <v>62</v>
      </c>
      <c r="M4247" s="113">
        <v>17000.0</v>
      </c>
      <c r="N4247" s="74"/>
      <c r="O4247" s="87">
        <f t="shared" si="11"/>
        <v>17000</v>
      </c>
      <c r="P4247" s="102" t="str">
        <f t="shared" si="2"/>
        <v>Rp17,000-1 LSN-0.00%</v>
      </c>
      <c r="Q4247" s="92">
        <v>45425.0</v>
      </c>
      <c r="R4247" s="76"/>
      <c r="S4247" s="92">
        <v>45432.0</v>
      </c>
      <c r="T4247" s="49"/>
      <c r="V4247" s="21" t="s">
        <v>3209</v>
      </c>
    </row>
    <row r="4248">
      <c r="A4248" s="93">
        <v>265.0</v>
      </c>
      <c r="B4248" s="77" t="s">
        <v>29</v>
      </c>
      <c r="C4248" s="77" t="s">
        <v>3052</v>
      </c>
      <c r="D4248" s="91"/>
      <c r="E4248" s="41" t="str">
        <f>IFERROR(__xludf.DUMMYFUNCTION("IFNA(vlookup(D4248,IMPORTRANGE(""https://docs.google.com/spreadsheets/d/1swGwZOEqYlTEUCJLY-eeJM1911Kvaei5oySBIxdgtNo/edit?pli=1#gid=257618397"",""stock untanna!B:C""),2,false),V:V)"),"LILIN ANGKA SHINTOENG NO. 4")</f>
        <v>LILIN ANGKA SHINTOENG NO. 4</v>
      </c>
      <c r="F4248" s="49"/>
      <c r="G4248" s="71"/>
      <c r="H4248" s="41"/>
      <c r="I4248" s="42"/>
      <c r="J4248" s="85" t="s">
        <v>3190</v>
      </c>
      <c r="K4248" s="93">
        <v>1.0</v>
      </c>
      <c r="L4248" s="112" t="s">
        <v>62</v>
      </c>
      <c r="M4248" s="113">
        <v>17000.0</v>
      </c>
      <c r="N4248" s="74"/>
      <c r="O4248" s="87">
        <f t="shared" si="11"/>
        <v>17000</v>
      </c>
      <c r="P4248" s="102" t="str">
        <f t="shared" si="2"/>
        <v>Rp17,000-1 LSN-0.00%</v>
      </c>
      <c r="Q4248" s="92">
        <v>45425.0</v>
      </c>
      <c r="R4248" s="76"/>
      <c r="S4248" s="92">
        <v>45432.0</v>
      </c>
      <c r="T4248" s="49"/>
      <c r="V4248" s="21" t="s">
        <v>3747</v>
      </c>
    </row>
    <row r="4249">
      <c r="A4249" s="93">
        <v>265.0</v>
      </c>
      <c r="B4249" s="77" t="s">
        <v>29</v>
      </c>
      <c r="C4249" s="77" t="s">
        <v>3052</v>
      </c>
      <c r="D4249" s="91"/>
      <c r="E4249" s="41" t="str">
        <f>IFERROR(__xludf.DUMMYFUNCTION("IFNA(vlookup(D4249,IMPORTRANGE(""https://docs.google.com/spreadsheets/d/1swGwZOEqYlTEUCJLY-eeJM1911Kvaei5oySBIxdgtNo/edit?pli=1#gid=257618397"",""stock untanna!B:C""),2,false),V:V)"),"LILIN ANGKA SHINTOENG NO. 5")</f>
        <v>LILIN ANGKA SHINTOENG NO. 5</v>
      </c>
      <c r="F4249" s="49"/>
      <c r="G4249" s="71"/>
      <c r="H4249" s="41"/>
      <c r="I4249" s="42"/>
      <c r="J4249" s="85" t="s">
        <v>3190</v>
      </c>
      <c r="K4249" s="93">
        <v>1.0</v>
      </c>
      <c r="L4249" s="112" t="s">
        <v>62</v>
      </c>
      <c r="M4249" s="113">
        <v>17000.0</v>
      </c>
      <c r="N4249" s="74"/>
      <c r="O4249" s="87">
        <f t="shared" si="11"/>
        <v>17000</v>
      </c>
      <c r="P4249" s="102" t="str">
        <f t="shared" si="2"/>
        <v>Rp17,000-1 LSN-0.00%</v>
      </c>
      <c r="Q4249" s="92">
        <v>45425.0</v>
      </c>
      <c r="R4249" s="76"/>
      <c r="S4249" s="92">
        <v>45432.0</v>
      </c>
      <c r="T4249" s="49"/>
      <c r="V4249" s="21" t="s">
        <v>3748</v>
      </c>
    </row>
    <row r="4250">
      <c r="A4250" s="93">
        <v>265.0</v>
      </c>
      <c r="B4250" s="77" t="s">
        <v>29</v>
      </c>
      <c r="C4250" s="77" t="s">
        <v>3052</v>
      </c>
      <c r="D4250" s="91"/>
      <c r="E4250" s="41" t="str">
        <f>IFERROR(__xludf.DUMMYFUNCTION("IFNA(vlookup(D4250,IMPORTRANGE(""https://docs.google.com/spreadsheets/d/1swGwZOEqYlTEUCJLY-eeJM1911Kvaei5oySBIxdgtNo/edit?pli=1#gid=257618397"",""stock untanna!B:C""),2,false),V:V)"),"LILIN ANGKA SHINTOENG NO. 6")</f>
        <v>LILIN ANGKA SHINTOENG NO. 6</v>
      </c>
      <c r="F4250" s="49"/>
      <c r="G4250" s="71"/>
      <c r="H4250" s="41"/>
      <c r="I4250" s="42"/>
      <c r="J4250" s="85" t="s">
        <v>3190</v>
      </c>
      <c r="K4250" s="93">
        <v>1.0</v>
      </c>
      <c r="L4250" s="112" t="s">
        <v>62</v>
      </c>
      <c r="M4250" s="113">
        <v>17000.0</v>
      </c>
      <c r="N4250" s="74"/>
      <c r="O4250" s="87">
        <f t="shared" si="11"/>
        <v>17000</v>
      </c>
      <c r="P4250" s="102" t="str">
        <f t="shared" si="2"/>
        <v>Rp17,000-1 LSN-0.00%</v>
      </c>
      <c r="Q4250" s="92">
        <v>45425.0</v>
      </c>
      <c r="R4250" s="76"/>
      <c r="S4250" s="92">
        <v>45432.0</v>
      </c>
      <c r="T4250" s="49"/>
      <c r="V4250" s="21" t="s">
        <v>3749</v>
      </c>
    </row>
    <row r="4251">
      <c r="A4251" s="93">
        <v>265.0</v>
      </c>
      <c r="B4251" s="77" t="s">
        <v>29</v>
      </c>
      <c r="C4251" s="77" t="s">
        <v>3052</v>
      </c>
      <c r="D4251" s="91"/>
      <c r="E4251" s="41" t="str">
        <f>IFERROR(__xludf.DUMMYFUNCTION("IFNA(vlookup(D4251,IMPORTRANGE(""https://docs.google.com/spreadsheets/d/1swGwZOEqYlTEUCJLY-eeJM1911Kvaei5oySBIxdgtNo/edit?pli=1#gid=257618397"",""stock untanna!B:C""),2,false),V:V)"),"LILIN ANGKA SHINTOENG NO. 8")</f>
        <v>LILIN ANGKA SHINTOENG NO. 8</v>
      </c>
      <c r="F4251" s="49"/>
      <c r="G4251" s="71"/>
      <c r="H4251" s="41"/>
      <c r="I4251" s="42"/>
      <c r="J4251" s="85" t="s">
        <v>3190</v>
      </c>
      <c r="K4251" s="93">
        <v>1.0</v>
      </c>
      <c r="L4251" s="112" t="s">
        <v>62</v>
      </c>
      <c r="M4251" s="113">
        <v>17000.0</v>
      </c>
      <c r="N4251" s="74"/>
      <c r="O4251" s="87">
        <f t="shared" si="11"/>
        <v>17000</v>
      </c>
      <c r="P4251" s="102" t="str">
        <f t="shared" si="2"/>
        <v>Rp17,000-1 LSN-0.00%</v>
      </c>
      <c r="Q4251" s="92">
        <v>45425.0</v>
      </c>
      <c r="R4251" s="76"/>
      <c r="S4251" s="92">
        <v>45432.0</v>
      </c>
      <c r="T4251" s="49"/>
      <c r="V4251" s="21" t="s">
        <v>3750</v>
      </c>
    </row>
    <row r="4252">
      <c r="A4252" s="93">
        <v>265.0</v>
      </c>
      <c r="B4252" s="77" t="s">
        <v>29</v>
      </c>
      <c r="C4252" s="77" t="s">
        <v>3052</v>
      </c>
      <c r="D4252" s="91"/>
      <c r="E4252" s="41" t="str">
        <f>IFERROR(__xludf.DUMMYFUNCTION("IFNA(vlookup(D4252,IMPORTRANGE(""https://docs.google.com/spreadsheets/d/1swGwZOEqYlTEUCJLY-eeJM1911Kvaei5oySBIxdgtNo/edit?pli=1#gid=257618397"",""stock untanna!B:C""),2,false),V:V)"),"LILIN ANGKA SHINTOENG NO. 9")</f>
        <v>LILIN ANGKA SHINTOENG NO. 9</v>
      </c>
      <c r="F4252" s="49"/>
      <c r="G4252" s="71"/>
      <c r="H4252" s="41"/>
      <c r="I4252" s="42"/>
      <c r="J4252" s="85" t="s">
        <v>3190</v>
      </c>
      <c r="K4252" s="93">
        <v>1.0</v>
      </c>
      <c r="L4252" s="112" t="s">
        <v>62</v>
      </c>
      <c r="M4252" s="113">
        <v>17000.0</v>
      </c>
      <c r="N4252" s="74"/>
      <c r="O4252" s="87">
        <f t="shared" si="11"/>
        <v>17000</v>
      </c>
      <c r="P4252" s="102" t="str">
        <f t="shared" si="2"/>
        <v>Rp17,000-1 LSN-0.00%</v>
      </c>
      <c r="Q4252" s="92">
        <v>45425.0</v>
      </c>
      <c r="R4252" s="76"/>
      <c r="S4252" s="92">
        <v>45432.0</v>
      </c>
      <c r="T4252" s="49"/>
      <c r="V4252" s="21" t="s">
        <v>3751</v>
      </c>
    </row>
    <row r="4253">
      <c r="A4253" s="93">
        <v>262.0</v>
      </c>
      <c r="B4253" s="77" t="s">
        <v>29</v>
      </c>
      <c r="C4253" s="77" t="s">
        <v>3752</v>
      </c>
      <c r="D4253" s="77" t="s">
        <v>541</v>
      </c>
      <c r="E4253" s="41" t="str">
        <f>IFERROR(__xludf.DUMMYFUNCTION("IFNA(vlookup(D4253,IMPORTRANGE(""https://docs.google.com/spreadsheets/d/1swGwZOEqYlTEUCJLY-eeJM1911Kvaei5oySBIxdgtNo/edit?pli=1#gid=257618397"",""stock untanna!B:C""),2,false),V:V)"),"PALET CAT AIR SAKURA TRANS")</f>
        <v>PALET CAT AIR SAKURA TRANS</v>
      </c>
      <c r="F4253" s="49"/>
      <c r="G4253" s="71"/>
      <c r="H4253" s="41"/>
      <c r="I4253" s="42"/>
      <c r="J4253" s="85" t="s">
        <v>1319</v>
      </c>
      <c r="K4253" s="93">
        <v>84.0</v>
      </c>
      <c r="L4253" s="112" t="s">
        <v>62</v>
      </c>
      <c r="M4253" s="113">
        <v>8000.0</v>
      </c>
      <c r="N4253" s="74"/>
      <c r="O4253" s="87">
        <f t="shared" si="11"/>
        <v>672000</v>
      </c>
      <c r="P4253" s="102" t="str">
        <f t="shared" si="2"/>
        <v>Rp8,000-84 LSN-0.00%</v>
      </c>
      <c r="Q4253" s="92">
        <v>45425.0</v>
      </c>
      <c r="R4253" s="76"/>
      <c r="S4253" s="92">
        <v>45432.0</v>
      </c>
      <c r="T4253" s="49"/>
      <c r="V4253" s="21" t="s">
        <v>542</v>
      </c>
    </row>
    <row r="4254">
      <c r="A4254" s="93">
        <v>262.0</v>
      </c>
      <c r="B4254" s="77" t="s">
        <v>29</v>
      </c>
      <c r="C4254" s="77" t="s">
        <v>3752</v>
      </c>
      <c r="D4254" s="77" t="s">
        <v>3753</v>
      </c>
      <c r="E4254" s="41" t="str">
        <f>IFERROR(__xludf.DUMMYFUNCTION("IFNA(vlookup(D4254,IMPORTRANGE(""https://docs.google.com/spreadsheets/d/1swGwZOEqYlTEUCJLY-eeJM1911Kvaei5oySBIxdgtNo/edit?pli=1#gid=257618397"",""stock untanna!B:C""),2,false),V:V)"),"BP WEIYADA 681 HITAM")</f>
        <v>BP WEIYADA 681 HITAM</v>
      </c>
      <c r="F4254" s="49"/>
      <c r="G4254" s="71"/>
      <c r="H4254" s="41"/>
      <c r="I4254" s="42"/>
      <c r="J4254" s="85" t="s">
        <v>1319</v>
      </c>
      <c r="K4254" s="93">
        <v>24.0</v>
      </c>
      <c r="L4254" s="112" t="s">
        <v>62</v>
      </c>
      <c r="M4254" s="113">
        <v>40000.0</v>
      </c>
      <c r="N4254" s="74"/>
      <c r="O4254" s="87">
        <f t="shared" si="11"/>
        <v>960000</v>
      </c>
      <c r="P4254" s="102" t="str">
        <f t="shared" si="2"/>
        <v>Rp40,000-24 LSN-0.00%</v>
      </c>
      <c r="Q4254" s="92">
        <v>45425.0</v>
      </c>
      <c r="R4254" s="76"/>
      <c r="S4254" s="92">
        <v>45432.0</v>
      </c>
      <c r="T4254" s="49"/>
      <c r="V4254" s="21" t="s">
        <v>3754</v>
      </c>
    </row>
    <row r="4255">
      <c r="A4255" s="93">
        <v>263.0</v>
      </c>
      <c r="B4255" s="77" t="s">
        <v>29</v>
      </c>
      <c r="C4255" s="77" t="s">
        <v>3755</v>
      </c>
      <c r="D4255" s="77" t="s">
        <v>1364</v>
      </c>
      <c r="E4255" s="41" t="str">
        <f>IFERROR(__xludf.DUMMYFUNCTION("IFNA(vlookup(D4255,IMPORTRANGE(""https://docs.google.com/spreadsheets/d/1swGwZOEqYlTEUCJLY-eeJM1911Kvaei5oySBIxdgtNo/edit?pli=1#gid=257618397"",""stock untanna!B:C""),2,false),V:V)"),"BP GEL ZHIXIN G 3164")</f>
        <v>BP GEL ZHIXIN G 3164</v>
      </c>
      <c r="F4255" s="49"/>
      <c r="G4255" s="71"/>
      <c r="H4255" s="41"/>
      <c r="I4255" s="42"/>
      <c r="J4255" s="85" t="s">
        <v>1319</v>
      </c>
      <c r="K4255" s="93">
        <v>24.0</v>
      </c>
      <c r="L4255" s="112" t="s">
        <v>62</v>
      </c>
      <c r="M4255" s="113">
        <v>18250.0</v>
      </c>
      <c r="N4255" s="74"/>
      <c r="O4255" s="87">
        <f t="shared" si="11"/>
        <v>438000</v>
      </c>
      <c r="P4255" s="102" t="str">
        <f t="shared" si="2"/>
        <v>Rp18,250-24 LSN-0.00%</v>
      </c>
      <c r="Q4255" s="92">
        <v>45425.0</v>
      </c>
      <c r="R4255" s="76"/>
      <c r="S4255" s="92">
        <v>45432.0</v>
      </c>
      <c r="T4255" s="49"/>
      <c r="V4255" s="21" t="s">
        <v>1365</v>
      </c>
    </row>
    <row r="4256">
      <c r="A4256" s="93">
        <v>263.0</v>
      </c>
      <c r="B4256" s="77" t="s">
        <v>29</v>
      </c>
      <c r="C4256" s="77" t="s">
        <v>3755</v>
      </c>
      <c r="D4256" s="91"/>
      <c r="E4256" s="41" t="str">
        <f>IFERROR(__xludf.DUMMYFUNCTION("IFNA(vlookup(D4256,IMPORTRANGE(""https://docs.google.com/spreadsheets/d/1swGwZOEqYlTEUCJLY-eeJM1911Kvaei5oySBIxdgtNo/edit?pli=1#gid=257618397"",""stock untanna!B:C""),2,false),V:V)"),"GEL ZHIXIN 3165")</f>
        <v>GEL ZHIXIN 3165</v>
      </c>
      <c r="F4256" s="49"/>
      <c r="G4256" s="71"/>
      <c r="H4256" s="41"/>
      <c r="I4256" s="42"/>
      <c r="J4256" s="85" t="s">
        <v>3190</v>
      </c>
      <c r="K4256" s="93">
        <v>24.0</v>
      </c>
      <c r="L4256" s="112" t="s">
        <v>62</v>
      </c>
      <c r="M4256" s="113">
        <v>18250.0</v>
      </c>
      <c r="N4256" s="74"/>
      <c r="O4256" s="87">
        <f t="shared" si="11"/>
        <v>438000</v>
      </c>
      <c r="P4256" s="102" t="str">
        <f t="shared" si="2"/>
        <v>Rp18,250-24 LSN-0.00%</v>
      </c>
      <c r="Q4256" s="92">
        <v>45425.0</v>
      </c>
      <c r="R4256" s="76"/>
      <c r="S4256" s="92">
        <v>45432.0</v>
      </c>
      <c r="T4256" s="49"/>
      <c r="V4256" s="21" t="s">
        <v>3756</v>
      </c>
    </row>
    <row r="4257">
      <c r="A4257" s="93">
        <v>263.0</v>
      </c>
      <c r="B4257" s="77" t="s">
        <v>29</v>
      </c>
      <c r="C4257" s="77" t="s">
        <v>3755</v>
      </c>
      <c r="D4257" s="77" t="s">
        <v>3674</v>
      </c>
      <c r="E4257" s="41" t="str">
        <f>IFERROR(__xludf.DUMMYFUNCTION("IFNA(vlookup(D4257,IMPORTRANGE(""https://docs.google.com/spreadsheets/d/1swGwZOEqYlTEUCJLY-eeJM1911Kvaei5oySBIxdgtNo/edit?pli=1#gid=257618397"",""stock untanna!B:C""),2,false),V:V)"),"BP GEL ZHIXIN G 3156")</f>
        <v>BP GEL ZHIXIN G 3156</v>
      </c>
      <c r="F4257" s="49"/>
      <c r="G4257" s="71"/>
      <c r="H4257" s="41"/>
      <c r="I4257" s="42"/>
      <c r="J4257" s="85" t="s">
        <v>1319</v>
      </c>
      <c r="K4257" s="93">
        <v>24.0</v>
      </c>
      <c r="L4257" s="112" t="s">
        <v>62</v>
      </c>
      <c r="M4257" s="113">
        <v>18250.0</v>
      </c>
      <c r="N4257" s="74"/>
      <c r="O4257" s="87">
        <f t="shared" si="11"/>
        <v>438000</v>
      </c>
      <c r="P4257" s="102" t="str">
        <f t="shared" si="2"/>
        <v>Rp18,250-24 LSN-0.00%</v>
      </c>
      <c r="Q4257" s="92">
        <v>45425.0</v>
      </c>
      <c r="R4257" s="76"/>
      <c r="S4257" s="92">
        <v>45432.0</v>
      </c>
      <c r="T4257" s="49"/>
      <c r="V4257" s="21" t="s">
        <v>3675</v>
      </c>
    </row>
    <row r="4258">
      <c r="A4258" s="93">
        <v>263.0</v>
      </c>
      <c r="B4258" s="77" t="s">
        <v>29</v>
      </c>
      <c r="C4258" s="77" t="s">
        <v>3755</v>
      </c>
      <c r="D4258" s="91"/>
      <c r="E4258" s="41" t="str">
        <f>IFERROR(__xludf.DUMMYFUNCTION("IFNA(vlookup(D4258,IMPORTRANGE(""https://docs.google.com/spreadsheets/d/1swGwZOEqYlTEUCJLY-eeJM1911Kvaei5oySBIxdgtNo/edit?pli=1#gid=257618397"",""stock untanna!B:C""),2,false),V:V)"),"BP ZHIXIN 3129")</f>
        <v>BP ZHIXIN 3129</v>
      </c>
      <c r="F4258" s="49"/>
      <c r="G4258" s="71"/>
      <c r="H4258" s="41"/>
      <c r="I4258" s="42"/>
      <c r="J4258" s="85" t="s">
        <v>3190</v>
      </c>
      <c r="K4258" s="93">
        <v>24.0</v>
      </c>
      <c r="L4258" s="112" t="s">
        <v>62</v>
      </c>
      <c r="M4258" s="113">
        <v>18250.0</v>
      </c>
      <c r="N4258" s="74"/>
      <c r="O4258" s="87">
        <f t="shared" si="11"/>
        <v>438000</v>
      </c>
      <c r="P4258" s="102" t="str">
        <f t="shared" si="2"/>
        <v>Rp18,250-24 LSN-0.00%</v>
      </c>
      <c r="Q4258" s="92">
        <v>45425.0</v>
      </c>
      <c r="R4258" s="76"/>
      <c r="S4258" s="92">
        <v>45432.0</v>
      </c>
      <c r="T4258" s="49"/>
      <c r="V4258" s="21" t="s">
        <v>3757</v>
      </c>
    </row>
    <row r="4259">
      <c r="A4259" s="93">
        <v>263.0</v>
      </c>
      <c r="B4259" s="77" t="s">
        <v>29</v>
      </c>
      <c r="C4259" s="77" t="s">
        <v>3755</v>
      </c>
      <c r="D4259" s="91"/>
      <c r="E4259" s="41" t="str">
        <f>IFERROR(__xludf.DUMMYFUNCTION("IFNA(vlookup(D4259,IMPORTRANGE(""https://docs.google.com/spreadsheets/d/1swGwZOEqYlTEUCJLY-eeJM1911Kvaei5oySBIxdgtNo/edit?pli=1#gid=257618397"",""stock untanna!B:C""),2,false),V:V)"),"GEL ZHIXIN 5005")</f>
        <v>GEL ZHIXIN 5005</v>
      </c>
      <c r="F4259" s="49"/>
      <c r="G4259" s="71"/>
      <c r="H4259" s="41"/>
      <c r="I4259" s="42"/>
      <c r="J4259" s="85" t="s">
        <v>3190</v>
      </c>
      <c r="K4259" s="93">
        <v>24.0</v>
      </c>
      <c r="L4259" s="112" t="s">
        <v>62</v>
      </c>
      <c r="M4259" s="113">
        <v>18250.0</v>
      </c>
      <c r="N4259" s="74"/>
      <c r="O4259" s="87">
        <f t="shared" si="11"/>
        <v>438000</v>
      </c>
      <c r="P4259" s="102" t="str">
        <f t="shared" si="2"/>
        <v>Rp18,250-24 LSN-0.00%</v>
      </c>
      <c r="Q4259" s="92">
        <v>45425.0</v>
      </c>
      <c r="R4259" s="76"/>
      <c r="S4259" s="92">
        <v>45432.0</v>
      </c>
      <c r="T4259" s="49"/>
      <c r="V4259" s="21" t="s">
        <v>3758</v>
      </c>
    </row>
    <row r="4260">
      <c r="A4260" s="93">
        <v>263.0</v>
      </c>
      <c r="B4260" s="77" t="s">
        <v>29</v>
      </c>
      <c r="C4260" s="77" t="s">
        <v>3755</v>
      </c>
      <c r="D4260" s="91"/>
      <c r="E4260" s="41" t="str">
        <f>IFERROR(__xludf.DUMMYFUNCTION("IFNA(vlookup(D4260,IMPORTRANGE(""https://docs.google.com/spreadsheets/d/1swGwZOEqYlTEUCJLY-eeJM1911Kvaei5oySBIxdgtNo/edit?pli=1#gid=257618397"",""stock untanna!B:C""),2,false),V:V)"),"ISI GEL DOS 20PCS VTRO 2020")</f>
        <v>ISI GEL DOS 20PCS VTRO 2020</v>
      </c>
      <c r="F4260" s="49"/>
      <c r="G4260" s="71"/>
      <c r="H4260" s="41"/>
      <c r="I4260" s="42"/>
      <c r="J4260" s="85" t="s">
        <v>3190</v>
      </c>
      <c r="K4260" s="93">
        <v>12.0</v>
      </c>
      <c r="L4260" s="112" t="s">
        <v>88</v>
      </c>
      <c r="M4260" s="113">
        <v>6750.0</v>
      </c>
      <c r="N4260" s="74"/>
      <c r="O4260" s="87">
        <f t="shared" si="11"/>
        <v>81000</v>
      </c>
      <c r="P4260" s="102" t="str">
        <f t="shared" si="2"/>
        <v>Rp6,750-12 BOX-0.00%</v>
      </c>
      <c r="Q4260" s="92">
        <v>45425.0</v>
      </c>
      <c r="R4260" s="76"/>
      <c r="S4260" s="92">
        <v>45432.0</v>
      </c>
      <c r="T4260" s="49"/>
      <c r="V4260" s="21" t="s">
        <v>3759</v>
      </c>
    </row>
    <row r="4261">
      <c r="A4261" s="93">
        <v>263.0</v>
      </c>
      <c r="B4261" s="77" t="s">
        <v>29</v>
      </c>
      <c r="C4261" s="77" t="s">
        <v>3755</v>
      </c>
      <c r="D4261" s="77" t="s">
        <v>3760</v>
      </c>
      <c r="E4261" s="41" t="str">
        <f>IFERROR(__xludf.DUMMYFUNCTION("IFNA(vlookup(D4261,IMPORTRANGE(""https://docs.google.com/spreadsheets/d/1swGwZOEqYlTEUCJLY-eeJM1911Kvaei5oySBIxdgtNo/edit?pli=1#gid=257618397"",""stock untanna!B:C""),2,false),V:V)"),"ISI GEL 2017 SUPER HERO 20 DOZ")</f>
        <v>ISI GEL 2017 SUPER HERO 20 DOZ</v>
      </c>
      <c r="F4261" s="49"/>
      <c r="G4261" s="71"/>
      <c r="H4261" s="41"/>
      <c r="I4261" s="42"/>
      <c r="J4261" s="85" t="s">
        <v>1319</v>
      </c>
      <c r="K4261" s="93">
        <v>12.0</v>
      </c>
      <c r="L4261" s="112" t="s">
        <v>88</v>
      </c>
      <c r="M4261" s="113">
        <v>6750.0</v>
      </c>
      <c r="N4261" s="74"/>
      <c r="O4261" s="87">
        <f t="shared" si="11"/>
        <v>81000</v>
      </c>
      <c r="P4261" s="102" t="str">
        <f t="shared" si="2"/>
        <v>Rp6,750-12 BOX-0.00%</v>
      </c>
      <c r="Q4261" s="92">
        <v>45425.0</v>
      </c>
      <c r="R4261" s="76"/>
      <c r="S4261" s="92">
        <v>45432.0</v>
      </c>
      <c r="T4261" s="49"/>
      <c r="V4261" s="21" t="s">
        <v>3761</v>
      </c>
    </row>
    <row r="4262">
      <c r="A4262" s="93">
        <v>263.0</v>
      </c>
      <c r="B4262" s="77" t="s">
        <v>29</v>
      </c>
      <c r="C4262" s="77" t="s">
        <v>3755</v>
      </c>
      <c r="D4262" s="77" t="s">
        <v>1202</v>
      </c>
      <c r="E4262" s="41" t="str">
        <f>IFERROR(__xludf.DUMMYFUNCTION("IFNA(vlookup(D4262,IMPORTRANGE(""https://docs.google.com/spreadsheets/d/1swGwZOEqYlTEUCJLY-eeJM1911Kvaei5oySBIxdgtNo/edit?pli=1#gid=257618397"",""stock untanna!B:C""),2,false),V:V)"),"ISI GEL 2022 TRANSFORMER 20 DOZ")</f>
        <v>ISI GEL 2022 TRANSFORMER 20 DOZ</v>
      </c>
      <c r="F4262" s="49"/>
      <c r="G4262" s="71"/>
      <c r="H4262" s="41"/>
      <c r="I4262" s="42"/>
      <c r="J4262" s="85" t="s">
        <v>1319</v>
      </c>
      <c r="K4262" s="93">
        <v>12.0</v>
      </c>
      <c r="L4262" s="112" t="s">
        <v>88</v>
      </c>
      <c r="M4262" s="113">
        <v>6750.0</v>
      </c>
      <c r="N4262" s="74"/>
      <c r="O4262" s="87">
        <f t="shared" si="11"/>
        <v>81000</v>
      </c>
      <c r="P4262" s="102" t="str">
        <f t="shared" si="2"/>
        <v>Rp6,750-12 BOX-0.00%</v>
      </c>
      <c r="Q4262" s="92">
        <v>45425.0</v>
      </c>
      <c r="R4262" s="76"/>
      <c r="S4262" s="92">
        <v>45432.0</v>
      </c>
      <c r="T4262" s="49"/>
      <c r="V4262" s="21" t="s">
        <v>1203</v>
      </c>
    </row>
    <row r="4263">
      <c r="A4263" s="93">
        <v>263.0</v>
      </c>
      <c r="B4263" s="77" t="s">
        <v>29</v>
      </c>
      <c r="C4263" s="77" t="s">
        <v>3755</v>
      </c>
      <c r="D4263" s="91"/>
      <c r="E4263" s="41" t="str">
        <f>IFERROR(__xludf.DUMMYFUNCTION("IFNA(vlookup(D4263,IMPORTRANGE(""https://docs.google.com/spreadsheets/d/1swGwZOEqYlTEUCJLY-eeJM1911Kvaei5oySBIxdgtNo/edit?pli=1#gid=257618397"",""stock untanna!B:C""),2,false),V:V)"),"PENSIL 2B KY 2029")</f>
        <v>PENSIL 2B KY 2029</v>
      </c>
      <c r="F4263" s="49"/>
      <c r="G4263" s="71"/>
      <c r="H4263" s="41"/>
      <c r="I4263" s="42"/>
      <c r="J4263" s="85" t="s">
        <v>3190</v>
      </c>
      <c r="K4263" s="93">
        <v>2.0</v>
      </c>
      <c r="L4263" s="112" t="s">
        <v>131</v>
      </c>
      <c r="M4263" s="113">
        <v>102000.0</v>
      </c>
      <c r="N4263" s="74"/>
      <c r="O4263" s="87">
        <f t="shared" si="11"/>
        <v>204000</v>
      </c>
      <c r="P4263" s="102" t="str">
        <f t="shared" si="2"/>
        <v>Rp102,000-2 GRS-0.00%</v>
      </c>
      <c r="Q4263" s="92">
        <v>45425.0</v>
      </c>
      <c r="R4263" s="76"/>
      <c r="S4263" s="92">
        <v>45432.0</v>
      </c>
      <c r="T4263" s="49"/>
      <c r="V4263" s="21" t="s">
        <v>3380</v>
      </c>
    </row>
    <row r="4264">
      <c r="A4264" s="93">
        <v>263.0</v>
      </c>
      <c r="B4264" s="77" t="s">
        <v>29</v>
      </c>
      <c r="C4264" s="77" t="s">
        <v>3755</v>
      </c>
      <c r="D4264" s="91"/>
      <c r="E4264" s="41" t="str">
        <f>IFERROR(__xludf.DUMMYFUNCTION("IFNA(vlookup(D4264,IMPORTRANGE(""https://docs.google.com/spreadsheets/d/1swGwZOEqYlTEUCJLY-eeJM1911Kvaei5oySBIxdgtNo/edit?pli=1#gid=257618397"",""stock untanna!B:C""),2,false),V:V)"),"PENSIL 2B KY 3057")</f>
        <v>PENSIL 2B KY 3057</v>
      </c>
      <c r="F4264" s="49"/>
      <c r="G4264" s="71"/>
      <c r="H4264" s="41"/>
      <c r="I4264" s="42"/>
      <c r="J4264" s="85" t="s">
        <v>3190</v>
      </c>
      <c r="K4264" s="93">
        <v>2.0</v>
      </c>
      <c r="L4264" s="112" t="s">
        <v>131</v>
      </c>
      <c r="M4264" s="113">
        <v>102000.0</v>
      </c>
      <c r="N4264" s="74"/>
      <c r="O4264" s="87">
        <f t="shared" si="11"/>
        <v>204000</v>
      </c>
      <c r="P4264" s="102" t="str">
        <f t="shared" si="2"/>
        <v>Rp102,000-2 GRS-0.00%</v>
      </c>
      <c r="Q4264" s="92">
        <v>45425.0</v>
      </c>
      <c r="R4264" s="76"/>
      <c r="S4264" s="92">
        <v>45432.0</v>
      </c>
      <c r="T4264" s="49"/>
      <c r="V4264" s="21" t="s">
        <v>3762</v>
      </c>
    </row>
    <row r="4265">
      <c r="A4265" s="93">
        <v>263.0</v>
      </c>
      <c r="B4265" s="77" t="s">
        <v>29</v>
      </c>
      <c r="C4265" s="77" t="s">
        <v>3755</v>
      </c>
      <c r="D4265" s="77" t="s">
        <v>736</v>
      </c>
      <c r="E4265" s="41" t="str">
        <f>IFERROR(__xludf.DUMMYFUNCTION("IFNA(vlookup(D4265,IMPORTRANGE(""https://docs.google.com/spreadsheets/d/1swGwZOEqYlTEUCJLY-eeJM1911Kvaei5oySBIxdgtNo/edit?pli=1#gid=257618397"",""stock untanna!B:C""),2,false),V:V)"),"PENSIL KAYAGI 2B PF3050")</f>
        <v>PENSIL KAYAGI 2B PF3050</v>
      </c>
      <c r="F4265" s="49"/>
      <c r="G4265" s="71"/>
      <c r="H4265" s="41"/>
      <c r="I4265" s="42"/>
      <c r="J4265" s="85" t="s">
        <v>1319</v>
      </c>
      <c r="K4265" s="93">
        <v>2.0</v>
      </c>
      <c r="L4265" s="112" t="s">
        <v>131</v>
      </c>
      <c r="M4265" s="113">
        <v>102000.0</v>
      </c>
      <c r="N4265" s="74"/>
      <c r="O4265" s="87">
        <f t="shared" si="11"/>
        <v>204000</v>
      </c>
      <c r="P4265" s="102" t="str">
        <f t="shared" si="2"/>
        <v>Rp102,000-2 GRS-0.00%</v>
      </c>
      <c r="Q4265" s="92">
        <v>45425.0</v>
      </c>
      <c r="R4265" s="76"/>
      <c r="S4265" s="92">
        <v>45432.0</v>
      </c>
      <c r="T4265" s="49"/>
      <c r="V4265" s="21" t="s">
        <v>737</v>
      </c>
    </row>
    <row r="4266">
      <c r="A4266" s="93">
        <v>263.0</v>
      </c>
      <c r="B4266" s="77" t="s">
        <v>29</v>
      </c>
      <c r="C4266" s="77" t="s">
        <v>3755</v>
      </c>
      <c r="D4266" s="77" t="s">
        <v>1653</v>
      </c>
      <c r="E4266" s="41" t="str">
        <f>IFERROR(__xludf.DUMMYFUNCTION("IFNA(vlookup(D4266,IMPORTRANGE(""https://docs.google.com/spreadsheets/d/1swGwZOEqYlTEUCJLY-eeJM1911Kvaei5oySBIxdgtNo/edit?pli=1#gid=257618397"",""stock untanna!B:C""),2,false),V:V)"),"PW 12W PANJANG KOALA")</f>
        <v>PW 12W PANJANG KOALA</v>
      </c>
      <c r="F4266" s="49"/>
      <c r="G4266" s="71"/>
      <c r="H4266" s="41"/>
      <c r="I4266" s="42"/>
      <c r="J4266" s="85" t="s">
        <v>1319</v>
      </c>
      <c r="K4266" s="93">
        <v>10.0</v>
      </c>
      <c r="L4266" s="112" t="s">
        <v>62</v>
      </c>
      <c r="M4266" s="113">
        <v>75000.0</v>
      </c>
      <c r="N4266" s="74"/>
      <c r="O4266" s="87">
        <f t="shared" si="11"/>
        <v>750000</v>
      </c>
      <c r="P4266" s="102" t="str">
        <f t="shared" si="2"/>
        <v>Rp75,000-10 LSN-0.00%</v>
      </c>
      <c r="Q4266" s="92">
        <v>45425.0</v>
      </c>
      <c r="R4266" s="76"/>
      <c r="S4266" s="92">
        <v>45432.0</v>
      </c>
      <c r="T4266" s="49"/>
      <c r="V4266" s="21" t="s">
        <v>1654</v>
      </c>
    </row>
    <row r="4267">
      <c r="A4267" s="93">
        <v>263.0</v>
      </c>
      <c r="B4267" s="77" t="s">
        <v>29</v>
      </c>
      <c r="C4267" s="77" t="s">
        <v>3755</v>
      </c>
      <c r="D4267" s="77" t="s">
        <v>428</v>
      </c>
      <c r="E4267" s="41" t="str">
        <f>IFERROR(__xludf.DUMMYFUNCTION("IFNA(vlookup(D4267,IMPORTRANGE(""https://docs.google.com/spreadsheets/d/1swGwZOEqYlTEUCJLY-eeJM1911Kvaei5oySBIxdgtNo/edit?pli=1#gid=257618397"",""stock untanna!B:C""),2,false),V:V)"),"CAT ACRYLIC TF 001")</f>
        <v>CAT ACRYLIC TF 001</v>
      </c>
      <c r="F4267" s="49"/>
      <c r="G4267" s="71"/>
      <c r="H4267" s="41"/>
      <c r="I4267" s="42"/>
      <c r="J4267" s="85" t="s">
        <v>1319</v>
      </c>
      <c r="K4267" s="93">
        <v>2.0</v>
      </c>
      <c r="L4267" s="112" t="s">
        <v>62</v>
      </c>
      <c r="M4267" s="113">
        <v>200000.0</v>
      </c>
      <c r="N4267" s="74"/>
      <c r="O4267" s="87">
        <f t="shared" si="11"/>
        <v>400000</v>
      </c>
      <c r="P4267" s="102" t="str">
        <f t="shared" si="2"/>
        <v>Rp200,000-2 LSN-0.00%</v>
      </c>
      <c r="Q4267" s="92">
        <v>45425.0</v>
      </c>
      <c r="R4267" s="76"/>
      <c r="S4267" s="92">
        <v>45432.0</v>
      </c>
      <c r="T4267" s="49"/>
      <c r="V4267" s="21" t="s">
        <v>429</v>
      </c>
    </row>
    <row r="4268">
      <c r="A4268" s="93">
        <v>263.0</v>
      </c>
      <c r="B4268" s="77" t="s">
        <v>29</v>
      </c>
      <c r="C4268" s="77" t="s">
        <v>3755</v>
      </c>
      <c r="D4268" s="77" t="s">
        <v>1460</v>
      </c>
      <c r="E4268" s="41" t="str">
        <f>IFERROR(__xludf.DUMMYFUNCTION("IFNA(vlookup(D4268,IMPORTRANGE(""https://docs.google.com/spreadsheets/d/1swGwZOEqYlTEUCJLY-eeJM1911Kvaei5oySBIxdgtNo/edit?pli=1#gid=257618397"",""stock untanna!B:C""),2,false),V:V)"),"CLIP CANDY NO 1")</f>
        <v>CLIP CANDY NO 1</v>
      </c>
      <c r="F4268" s="49"/>
      <c r="G4268" s="71"/>
      <c r="H4268" s="41"/>
      <c r="I4268" s="42"/>
      <c r="J4268" s="85" t="s">
        <v>1319</v>
      </c>
      <c r="K4268" s="93">
        <v>20.0</v>
      </c>
      <c r="L4268" s="112" t="s">
        <v>69</v>
      </c>
      <c r="M4268" s="113">
        <v>1500.0</v>
      </c>
      <c r="N4268" s="74"/>
      <c r="O4268" s="87">
        <f t="shared" si="11"/>
        <v>30000</v>
      </c>
      <c r="P4268" s="102" t="str">
        <f t="shared" si="2"/>
        <v>Rp1,500-20 PCS-0.00%</v>
      </c>
      <c r="Q4268" s="92">
        <v>45425.0</v>
      </c>
      <c r="R4268" s="76"/>
      <c r="S4268" s="92">
        <v>45432.0</v>
      </c>
      <c r="T4268" s="49"/>
      <c r="V4268" s="21" t="s">
        <v>1461</v>
      </c>
    </row>
    <row r="4269">
      <c r="A4269" s="93">
        <v>24.0</v>
      </c>
      <c r="B4269" s="77" t="s">
        <v>58</v>
      </c>
      <c r="C4269" s="77" t="s">
        <v>643</v>
      </c>
      <c r="D4269" s="77" t="s">
        <v>3254</v>
      </c>
      <c r="E4269" s="41" t="str">
        <f>IFERROR(__xludf.DUMMYFUNCTION("IFNA(vlookup(D4269,IMPORTRANGE(""https://docs.google.com/spreadsheets/d/1swGwZOEqYlTEUCJLY-eeJM1911Kvaei5oySBIxdgtNo/edit?pli=1#gid=257618397"",""stock untanna!B:C""),2,false),V:V)"),"PITA TARIK/KADO 30 CM BIASA")</f>
        <v>PITA TARIK/KADO 30 CM BIASA</v>
      </c>
      <c r="F4269" s="49"/>
      <c r="G4269" s="71"/>
      <c r="H4269" s="41"/>
      <c r="I4269" s="42"/>
      <c r="J4269" s="85" t="s">
        <v>1319</v>
      </c>
      <c r="K4269" s="93">
        <v>200.0</v>
      </c>
      <c r="L4269" s="112" t="s">
        <v>114</v>
      </c>
      <c r="M4269" s="113">
        <v>4000.0</v>
      </c>
      <c r="N4269" s="115">
        <v>0.2</v>
      </c>
      <c r="O4269" s="87">
        <f t="shared" si="11"/>
        <v>640000</v>
      </c>
      <c r="P4269" s="102" t="str">
        <f t="shared" si="2"/>
        <v>Rp4,000-200 PAK-20.00%</v>
      </c>
      <c r="Q4269" s="92">
        <v>45425.0</v>
      </c>
      <c r="R4269" s="76"/>
      <c r="S4269" s="92">
        <v>45432.0</v>
      </c>
      <c r="T4269" s="77" t="s">
        <v>100</v>
      </c>
      <c r="V4269" s="21" t="s">
        <v>3255</v>
      </c>
    </row>
    <row r="4270">
      <c r="A4270" s="93">
        <v>24.0</v>
      </c>
      <c r="B4270" s="77" t="s">
        <v>58</v>
      </c>
      <c r="C4270" s="77" t="s">
        <v>643</v>
      </c>
      <c r="D4270" s="77" t="s">
        <v>3706</v>
      </c>
      <c r="E4270" s="41" t="str">
        <f>IFERROR(__xludf.DUMMYFUNCTION("IFNA(vlookup(D4270,IMPORTRANGE(""https://docs.google.com/spreadsheets/d/1swGwZOEqYlTEUCJLY-eeJM1911Kvaei5oySBIxdgtNo/edit?pli=1#gid=257618397"",""stock untanna!B:C""),2,false),V:V)"),"PITA TARIK/KADO 30-1 RENDA")</f>
        <v>PITA TARIK/KADO 30-1 RENDA</v>
      </c>
      <c r="F4270" s="49"/>
      <c r="G4270" s="71"/>
      <c r="H4270" s="41"/>
      <c r="I4270" s="42"/>
      <c r="J4270" s="85" t="s">
        <v>1319</v>
      </c>
      <c r="K4270" s="93">
        <v>200.0</v>
      </c>
      <c r="L4270" s="112" t="s">
        <v>114</v>
      </c>
      <c r="M4270" s="113">
        <v>4500.0</v>
      </c>
      <c r="N4270" s="115">
        <v>0.2</v>
      </c>
      <c r="O4270" s="87">
        <f t="shared" si="11"/>
        <v>720000</v>
      </c>
      <c r="P4270" s="102" t="str">
        <f t="shared" si="2"/>
        <v>Rp4,500-200 PAK-20.00%</v>
      </c>
      <c r="Q4270" s="92">
        <v>45425.0</v>
      </c>
      <c r="R4270" s="76"/>
      <c r="S4270" s="92">
        <v>45432.0</v>
      </c>
      <c r="T4270" s="77" t="s">
        <v>100</v>
      </c>
      <c r="V4270" s="21" t="s">
        <v>3707</v>
      </c>
    </row>
    <row r="4271">
      <c r="A4271" s="93">
        <v>24.0</v>
      </c>
      <c r="B4271" s="77" t="s">
        <v>58</v>
      </c>
      <c r="C4271" s="77" t="s">
        <v>643</v>
      </c>
      <c r="D4271" s="77" t="s">
        <v>651</v>
      </c>
      <c r="E4271" s="41" t="str">
        <f>IFERROR(__xludf.DUMMYFUNCTION("IFNA(vlookup(D4271,IMPORTRANGE(""https://docs.google.com/spreadsheets/d/1swGwZOEqYlTEUCJLY-eeJM1911Kvaei5oySBIxdgtNo/edit?pli=1#gid=257618397"",""stock untanna!B:C""),2,false),V:V)"),"TAS TALI GG-02 TANGGUNG GILAP")</f>
        <v>TAS TALI GG-02 TANGGUNG GILAP</v>
      </c>
      <c r="F4271" s="49"/>
      <c r="G4271" s="71"/>
      <c r="H4271" s="41"/>
      <c r="I4271" s="42"/>
      <c r="J4271" s="85" t="s">
        <v>1319</v>
      </c>
      <c r="K4271" s="93">
        <v>6.0</v>
      </c>
      <c r="L4271" s="112" t="s">
        <v>62</v>
      </c>
      <c r="M4271" s="113">
        <v>100000.0</v>
      </c>
      <c r="N4271" s="115">
        <v>0.1</v>
      </c>
      <c r="O4271" s="87">
        <f t="shared" si="11"/>
        <v>540000</v>
      </c>
      <c r="P4271" s="102" t="str">
        <f t="shared" si="2"/>
        <v>Rp100,000-6 LSN-10.00%</v>
      </c>
      <c r="Q4271" s="92">
        <v>45425.0</v>
      </c>
      <c r="R4271" s="76"/>
      <c r="S4271" s="92">
        <v>45432.0</v>
      </c>
      <c r="T4271" s="49"/>
      <c r="V4271" s="21" t="s">
        <v>652</v>
      </c>
    </row>
    <row r="4272">
      <c r="A4272" s="93">
        <v>24.0</v>
      </c>
      <c r="B4272" s="77" t="s">
        <v>58</v>
      </c>
      <c r="C4272" s="77" t="s">
        <v>643</v>
      </c>
      <c r="D4272" s="77" t="s">
        <v>653</v>
      </c>
      <c r="E4272" s="41" t="str">
        <f>IFERROR(__xludf.DUMMYFUNCTION("IFNA(vlookup(D4272,IMPORTRANGE(""https://docs.google.com/spreadsheets/d/1swGwZOEqYlTEUCJLY-eeJM1911Kvaei5oySBIxdgtNo/edit?pli=1#gid=257618397"",""stock untanna!B:C""),2,false),V:V)"),"TAS TALI GG-03 BESAR GILAP")</f>
        <v>TAS TALI GG-03 BESAR GILAP</v>
      </c>
      <c r="F4272" s="49"/>
      <c r="G4272" s="71"/>
      <c r="H4272" s="41"/>
      <c r="I4272" s="42"/>
      <c r="J4272" s="85" t="s">
        <v>1319</v>
      </c>
      <c r="K4272" s="93">
        <v>4.0</v>
      </c>
      <c r="L4272" s="112" t="s">
        <v>62</v>
      </c>
      <c r="M4272" s="113">
        <v>120000.0</v>
      </c>
      <c r="N4272" s="115">
        <v>0.1</v>
      </c>
      <c r="O4272" s="87">
        <f t="shared" si="11"/>
        <v>432000</v>
      </c>
      <c r="P4272" s="102" t="str">
        <f t="shared" si="2"/>
        <v>Rp120,000-4 LSN-10.00%</v>
      </c>
      <c r="Q4272" s="92">
        <v>45425.0</v>
      </c>
      <c r="R4272" s="76"/>
      <c r="S4272" s="92">
        <v>45432.0</v>
      </c>
      <c r="T4272" s="49"/>
      <c r="V4272" s="21" t="s">
        <v>654</v>
      </c>
    </row>
    <row r="4273">
      <c r="A4273" s="93">
        <v>4380.0</v>
      </c>
      <c r="B4273" s="77" t="s">
        <v>58</v>
      </c>
      <c r="C4273" s="77" t="s">
        <v>837</v>
      </c>
      <c r="D4273" s="77" t="s">
        <v>723</v>
      </c>
      <c r="E4273" s="41" t="str">
        <f>IFERROR(__xludf.DUMMYFUNCTION("IFNA(vlookup(D4273,IMPORTRANGE(""https://docs.google.com/spreadsheets/d/1swGwZOEqYlTEUCJLY-eeJM1911Kvaei5oySBIxdgtNo/edit?pli=1#gid=257618397"",""stock untanna!B:C""),2,false),V:V)"),"PENSIL TF 788")</f>
        <v>PENSIL TF 788</v>
      </c>
      <c r="F4273" s="49"/>
      <c r="G4273" s="71"/>
      <c r="H4273" s="41"/>
      <c r="I4273" s="42"/>
      <c r="J4273" s="85" t="s">
        <v>1319</v>
      </c>
      <c r="K4273" s="93">
        <v>20.0</v>
      </c>
      <c r="L4273" s="112" t="s">
        <v>131</v>
      </c>
      <c r="M4273" s="113">
        <v>87500.0</v>
      </c>
      <c r="N4273" s="74"/>
      <c r="O4273" s="87">
        <f t="shared" si="11"/>
        <v>1750000</v>
      </c>
      <c r="P4273" s="102" t="str">
        <f t="shared" si="2"/>
        <v>Rp87,500-20 GRS-0.00%</v>
      </c>
      <c r="Q4273" s="92">
        <v>45425.0</v>
      </c>
      <c r="R4273" s="76"/>
      <c r="S4273" s="92">
        <v>45432.0</v>
      </c>
      <c r="T4273" s="49"/>
      <c r="V4273" s="21" t="s">
        <v>724</v>
      </c>
    </row>
    <row r="4274">
      <c r="A4274" s="93">
        <v>4380.0</v>
      </c>
      <c r="B4274" s="77" t="s">
        <v>58</v>
      </c>
      <c r="C4274" s="77" t="s">
        <v>837</v>
      </c>
      <c r="D4274" s="77" t="s">
        <v>2889</v>
      </c>
      <c r="E4274" s="41" t="str">
        <f>IFERROR(__xludf.DUMMYFUNCTION("IFNA(vlookup(D4274,IMPORTRANGE(""https://docs.google.com/spreadsheets/d/1swGwZOEqYlTEUCJLY-eeJM1911Kvaei5oySBIxdgtNo/edit?pli=1#gid=257618397"",""stock untanna!B:C""),2,false),V:V)"),"PENSIL TF 288")</f>
        <v>PENSIL TF 288</v>
      </c>
      <c r="F4274" s="49"/>
      <c r="G4274" s="71"/>
      <c r="H4274" s="41"/>
      <c r="I4274" s="42"/>
      <c r="J4274" s="85" t="s">
        <v>1319</v>
      </c>
      <c r="K4274" s="93">
        <v>20.0</v>
      </c>
      <c r="L4274" s="112" t="s">
        <v>131</v>
      </c>
      <c r="M4274" s="113">
        <v>87500.0</v>
      </c>
      <c r="N4274" s="74"/>
      <c r="O4274" s="87">
        <f t="shared" si="11"/>
        <v>1750000</v>
      </c>
      <c r="P4274" s="102" t="str">
        <f t="shared" si="2"/>
        <v>Rp87,500-20 GRS-0.00%</v>
      </c>
      <c r="Q4274" s="92">
        <v>45425.0</v>
      </c>
      <c r="R4274" s="76"/>
      <c r="S4274" s="92">
        <v>45432.0</v>
      </c>
      <c r="T4274" s="49"/>
      <c r="V4274" s="21" t="s">
        <v>2890</v>
      </c>
    </row>
    <row r="4275">
      <c r="A4275" s="93">
        <v>4380.0</v>
      </c>
      <c r="B4275" s="77" t="s">
        <v>58</v>
      </c>
      <c r="C4275" s="77" t="s">
        <v>837</v>
      </c>
      <c r="D4275" s="91"/>
      <c r="E4275" s="41" t="str">
        <f>IFERROR(__xludf.DUMMYFUNCTION("IFNA(vlookup(D4275,IMPORTRANGE(""https://docs.google.com/spreadsheets/d/1swGwZOEqYlTEUCJLY-eeJM1911Kvaei5oySBIxdgtNo/edit?pli=1#gid=257618397"",""stock untanna!B:C""),2,false),V:V)"),"PENSIL TF 188")</f>
        <v>PENSIL TF 188</v>
      </c>
      <c r="F4275" s="49"/>
      <c r="G4275" s="71"/>
      <c r="H4275" s="41"/>
      <c r="I4275" s="42"/>
      <c r="J4275" s="85" t="s">
        <v>3190</v>
      </c>
      <c r="K4275" s="93">
        <v>20.0</v>
      </c>
      <c r="L4275" s="112" t="s">
        <v>131</v>
      </c>
      <c r="M4275" s="113">
        <v>87500.0</v>
      </c>
      <c r="N4275" s="74"/>
      <c r="O4275" s="87">
        <f t="shared" si="11"/>
        <v>1750000</v>
      </c>
      <c r="P4275" s="102" t="str">
        <f t="shared" si="2"/>
        <v>Rp87,500-20 GRS-0.00%</v>
      </c>
      <c r="Q4275" s="92">
        <v>45425.0</v>
      </c>
      <c r="R4275" s="76"/>
      <c r="S4275" s="92">
        <v>45432.0</v>
      </c>
      <c r="T4275" s="49"/>
      <c r="V4275" s="21" t="s">
        <v>722</v>
      </c>
    </row>
    <row r="4276">
      <c r="A4276" s="93">
        <v>4380.0</v>
      </c>
      <c r="B4276" s="77" t="s">
        <v>58</v>
      </c>
      <c r="C4276" s="77" t="s">
        <v>837</v>
      </c>
      <c r="D4276" s="77" t="s">
        <v>129</v>
      </c>
      <c r="E4276" s="41" t="str">
        <f>IFERROR(__xludf.DUMMYFUNCTION("IFNA(vlookup(D4276,IMPORTRANGE(""https://docs.google.com/spreadsheets/d/1swGwZOEqYlTEUCJLY-eeJM1911Kvaei5oySBIxdgtNo/edit?pli=1#gid=257618397"",""stock untanna!B:C""),2,false),V:V)"),"PENSIL TF 688")</f>
        <v>PENSIL TF 688</v>
      </c>
      <c r="F4276" s="49"/>
      <c r="G4276" s="71"/>
      <c r="H4276" s="41"/>
      <c r="I4276" s="42"/>
      <c r="J4276" s="85" t="s">
        <v>1319</v>
      </c>
      <c r="K4276" s="93">
        <v>20.0</v>
      </c>
      <c r="L4276" s="112" t="s">
        <v>131</v>
      </c>
      <c r="M4276" s="113">
        <v>87500.0</v>
      </c>
      <c r="N4276" s="74"/>
      <c r="O4276" s="87">
        <f t="shared" si="11"/>
        <v>1750000</v>
      </c>
      <c r="P4276" s="102" t="str">
        <f t="shared" si="2"/>
        <v>Rp87,500-20 GRS-0.00%</v>
      </c>
      <c r="Q4276" s="92">
        <v>45425.0</v>
      </c>
      <c r="R4276" s="76"/>
      <c r="S4276" s="92">
        <v>45432.0</v>
      </c>
      <c r="T4276" s="49"/>
      <c r="V4276" s="21" t="s">
        <v>130</v>
      </c>
    </row>
    <row r="4277">
      <c r="A4277" s="93">
        <v>4380.0</v>
      </c>
      <c r="B4277" s="77" t="s">
        <v>58</v>
      </c>
      <c r="C4277" s="77" t="s">
        <v>837</v>
      </c>
      <c r="D4277" s="77" t="s">
        <v>132</v>
      </c>
      <c r="E4277" s="41" t="str">
        <f>IFERROR(__xludf.DUMMYFUNCTION("IFNA(vlookup(D4277,IMPORTRANGE(""https://docs.google.com/spreadsheets/d/1swGwZOEqYlTEUCJLY-eeJM1911Kvaei5oySBIxdgtNo/edit?pli=1#gid=257618397"",""stock untanna!B:C""),2,false),V:V)"),"PENSIL TF 488")</f>
        <v>PENSIL TF 488</v>
      </c>
      <c r="F4277" s="49"/>
      <c r="G4277" s="71"/>
      <c r="H4277" s="41"/>
      <c r="I4277" s="42"/>
      <c r="J4277" s="85" t="s">
        <v>1319</v>
      </c>
      <c r="K4277" s="93">
        <v>20.0</v>
      </c>
      <c r="L4277" s="112" t="s">
        <v>131</v>
      </c>
      <c r="M4277" s="113">
        <v>87500.0</v>
      </c>
      <c r="N4277" s="74"/>
      <c r="O4277" s="87">
        <f t="shared" si="11"/>
        <v>1750000</v>
      </c>
      <c r="P4277" s="102" t="str">
        <f t="shared" si="2"/>
        <v>Rp87,500-20 GRS-0.00%</v>
      </c>
      <c r="Q4277" s="92">
        <v>45425.0</v>
      </c>
      <c r="R4277" s="76"/>
      <c r="S4277" s="92">
        <v>45432.0</v>
      </c>
      <c r="T4277" s="49"/>
      <c r="V4277" s="21" t="s">
        <v>133</v>
      </c>
    </row>
    <row r="4278">
      <c r="A4278" s="93">
        <v>125.0</v>
      </c>
      <c r="B4278" s="77" t="s">
        <v>65</v>
      </c>
      <c r="C4278" s="77" t="s">
        <v>3533</v>
      </c>
      <c r="D4278" s="91"/>
      <c r="E4278" s="41" t="str">
        <f>IFERROR(__xludf.DUMMYFUNCTION("IFNA(vlookup(D4278,IMPORTRANGE(""https://docs.google.com/spreadsheets/d/1swGwZOEqYlTEUCJLY-eeJM1911Kvaei5oySBIxdgtNo/edit?pli=1#gid=257618397"",""stock untanna!B:C""),2,false),V:V)"),"PC MAGNIT + CALL 7806")</f>
        <v>PC MAGNIT + CALL 7806</v>
      </c>
      <c r="F4278" s="49"/>
      <c r="G4278" s="71"/>
      <c r="H4278" s="41"/>
      <c r="I4278" s="42"/>
      <c r="J4278" s="85" t="s">
        <v>3190</v>
      </c>
      <c r="K4278" s="93">
        <v>12.0</v>
      </c>
      <c r="L4278" s="112" t="s">
        <v>62</v>
      </c>
      <c r="M4278" s="113">
        <v>180000.0</v>
      </c>
      <c r="N4278" s="74"/>
      <c r="O4278" s="87">
        <f t="shared" si="11"/>
        <v>2160000</v>
      </c>
      <c r="P4278" s="102" t="str">
        <f t="shared" si="2"/>
        <v>Rp180,000-12 LSN-0.00%</v>
      </c>
      <c r="Q4278" s="92">
        <v>45426.0</v>
      </c>
      <c r="R4278" s="76"/>
      <c r="S4278" s="92">
        <v>45432.0</v>
      </c>
      <c r="T4278" s="49"/>
      <c r="V4278" s="21" t="s">
        <v>3463</v>
      </c>
    </row>
    <row r="4279">
      <c r="A4279" s="93">
        <v>125.0</v>
      </c>
      <c r="B4279" s="77" t="s">
        <v>65</v>
      </c>
      <c r="C4279" s="77" t="s">
        <v>3533</v>
      </c>
      <c r="D4279" s="91"/>
      <c r="E4279" s="41" t="str">
        <f>IFERROR(__xludf.DUMMYFUNCTION("IFNA(vlookup(D4279,IMPORTRANGE(""https://docs.google.com/spreadsheets/d/1swGwZOEqYlTEUCJLY-eeJM1911Kvaei5oySBIxdgtNo/edit?pli=1#gid=257618397"",""stock untanna!B:C""),2,false),V:V)"),"PC KLG B-905 MOBIL")</f>
        <v>PC KLG B-905 MOBIL</v>
      </c>
      <c r="F4279" s="49"/>
      <c r="G4279" s="71"/>
      <c r="H4279" s="41"/>
      <c r="I4279" s="42"/>
      <c r="J4279" s="85" t="s">
        <v>3190</v>
      </c>
      <c r="K4279" s="93">
        <v>10.0</v>
      </c>
      <c r="L4279" s="112" t="s">
        <v>62</v>
      </c>
      <c r="M4279" s="113">
        <v>150000.0</v>
      </c>
      <c r="N4279" s="115">
        <v>0.1</v>
      </c>
      <c r="O4279" s="87">
        <f t="shared" si="11"/>
        <v>1350000</v>
      </c>
      <c r="P4279" s="102" t="str">
        <f t="shared" si="2"/>
        <v>Rp150,000-10 LSN-10.00%</v>
      </c>
      <c r="Q4279" s="92">
        <v>45426.0</v>
      </c>
      <c r="R4279" s="76"/>
      <c r="S4279" s="92">
        <v>45432.0</v>
      </c>
      <c r="T4279" s="49"/>
      <c r="V4279" s="21" t="s">
        <v>602</v>
      </c>
    </row>
    <row r="4280">
      <c r="A4280" s="93">
        <v>125.0</v>
      </c>
      <c r="B4280" s="77" t="s">
        <v>65</v>
      </c>
      <c r="C4280" s="77" t="s">
        <v>3533</v>
      </c>
      <c r="D4280" s="77" t="s">
        <v>953</v>
      </c>
      <c r="E4280" s="41" t="str">
        <f>IFERROR(__xludf.DUMMYFUNCTION("IFNA(vlookup(D4280,IMPORTRANGE(""https://docs.google.com/spreadsheets/d/1swGwZOEqYlTEUCJLY-eeJM1911Kvaei5oySBIxdgtNo/edit?pli=1#gid=257618397"",""stock untanna!B:C""),2,false),V:V)"),"BP GEL DTIAN DT-612")</f>
        <v>BP GEL DTIAN DT-612</v>
      </c>
      <c r="F4280" s="49"/>
      <c r="G4280" s="71"/>
      <c r="H4280" s="41"/>
      <c r="I4280" s="42"/>
      <c r="J4280" s="85" t="s">
        <v>1319</v>
      </c>
      <c r="K4280" s="93">
        <v>192.0</v>
      </c>
      <c r="L4280" s="112" t="s">
        <v>62</v>
      </c>
      <c r="M4280" s="113">
        <v>11000.0</v>
      </c>
      <c r="N4280" s="74"/>
      <c r="O4280" s="87">
        <f t="shared" si="11"/>
        <v>2112000</v>
      </c>
      <c r="P4280" s="102" t="str">
        <f t="shared" si="2"/>
        <v>Rp11,000-192 LSN-0.00%</v>
      </c>
      <c r="Q4280" s="92">
        <v>45426.0</v>
      </c>
      <c r="R4280" s="76"/>
      <c r="S4280" s="92">
        <v>45432.0</v>
      </c>
      <c r="T4280" s="49"/>
      <c r="V4280" s="21" t="s">
        <v>954</v>
      </c>
    </row>
    <row r="4281">
      <c r="A4281" s="93">
        <v>125.0</v>
      </c>
      <c r="B4281" s="77" t="s">
        <v>65</v>
      </c>
      <c r="C4281" s="77" t="s">
        <v>3533</v>
      </c>
      <c r="D4281" s="77" t="s">
        <v>2887</v>
      </c>
      <c r="E4281" s="41" t="str">
        <f>IFERROR(__xludf.DUMMYFUNCTION("IFNA(vlookup(D4281,IMPORTRANGE(""https://docs.google.com/spreadsheets/d/1swGwZOEqYlTEUCJLY-eeJM1911Kvaei5oySBIxdgtNo/edit?pli=1#gid=257618397"",""stock untanna!B:C""),2,false),V:V)"),"JANGKA TOZCHA TZ 8186")</f>
        <v>JANGKA TOZCHA TZ 8186</v>
      </c>
      <c r="F4281" s="49"/>
      <c r="G4281" s="71"/>
      <c r="H4281" s="41"/>
      <c r="I4281" s="42"/>
      <c r="J4281" s="85" t="s">
        <v>1319</v>
      </c>
      <c r="K4281" s="93">
        <v>24.0</v>
      </c>
      <c r="L4281" s="112" t="s">
        <v>62</v>
      </c>
      <c r="M4281" s="113">
        <v>50000.0</v>
      </c>
      <c r="N4281" s="74"/>
      <c r="O4281" s="87">
        <f t="shared" si="11"/>
        <v>1200000</v>
      </c>
      <c r="P4281" s="102" t="str">
        <f t="shared" si="2"/>
        <v>Rp50,000-24 LSN-0.00%</v>
      </c>
      <c r="Q4281" s="92">
        <v>45426.0</v>
      </c>
      <c r="R4281" s="76"/>
      <c r="S4281" s="92">
        <v>45432.0</v>
      </c>
      <c r="T4281" s="49"/>
      <c r="V4281" s="21" t="s">
        <v>2888</v>
      </c>
    </row>
    <row r="4282">
      <c r="A4282" s="93">
        <v>125.0</v>
      </c>
      <c r="B4282" s="77" t="s">
        <v>65</v>
      </c>
      <c r="C4282" s="77" t="s">
        <v>3533</v>
      </c>
      <c r="D4282" s="77" t="s">
        <v>3391</v>
      </c>
      <c r="E4282" s="41" t="str">
        <f>IFERROR(__xludf.DUMMYFUNCTION("IFNA(vlookup(D4282,IMPORTRANGE(""https://docs.google.com/spreadsheets/d/1swGwZOEqYlTEUCJLY-eeJM1911Kvaei5oySBIxdgtNo/edit?pli=1#gid=257618397"",""stock untanna!B:C""),2,false),V:V)"),"PENSIL 1921116-8")</f>
        <v>PENSIL 1921116-8</v>
      </c>
      <c r="F4282" s="49"/>
      <c r="G4282" s="71"/>
      <c r="H4282" s="41"/>
      <c r="I4282" s="42"/>
      <c r="J4282" s="85" t="s">
        <v>1319</v>
      </c>
      <c r="K4282" s="93">
        <v>960.0</v>
      </c>
      <c r="L4282" s="112" t="s">
        <v>69</v>
      </c>
      <c r="M4282" s="113">
        <v>3333.33</v>
      </c>
      <c r="N4282" s="115">
        <v>0.1</v>
      </c>
      <c r="O4282" s="87">
        <f t="shared" si="11"/>
        <v>2879997.12</v>
      </c>
      <c r="P4282" s="102" t="str">
        <f t="shared" si="2"/>
        <v>Rp3,333-960 PCS-10.00%</v>
      </c>
      <c r="Q4282" s="92">
        <v>45426.0</v>
      </c>
      <c r="R4282" s="76"/>
      <c r="S4282" s="92">
        <v>45432.0</v>
      </c>
      <c r="T4282" s="49"/>
      <c r="V4282" s="21" t="s">
        <v>3392</v>
      </c>
    </row>
    <row r="4283">
      <c r="A4283" s="93">
        <v>125.0</v>
      </c>
      <c r="B4283" s="77" t="s">
        <v>65</v>
      </c>
      <c r="C4283" s="77" t="s">
        <v>3533</v>
      </c>
      <c r="D4283" s="77" t="s">
        <v>31</v>
      </c>
      <c r="E4283" s="41" t="str">
        <f>IFERROR(__xludf.DUMMYFUNCTION("IFNA(vlookup(D4283,IMPORTRANGE(""https://docs.google.com/spreadsheets/d/1swGwZOEqYlTEUCJLY-eeJM1911Kvaei5oySBIxdgtNo/edit?pli=1#gid=257618397"",""stock untanna!B:C""),2,false),V:V)"),"ISI STAPLER 13/8 JOSS")</f>
        <v>ISI STAPLER 13/8 JOSS</v>
      </c>
      <c r="F4283" s="49"/>
      <c r="G4283" s="71"/>
      <c r="H4283" s="41"/>
      <c r="I4283" s="42"/>
      <c r="J4283" s="85" t="s">
        <v>1319</v>
      </c>
      <c r="K4283" s="93">
        <v>200.0</v>
      </c>
      <c r="L4283" s="112" t="s">
        <v>114</v>
      </c>
      <c r="M4283" s="113">
        <v>18500.0</v>
      </c>
      <c r="N4283" s="74"/>
      <c r="O4283" s="87">
        <f t="shared" si="11"/>
        <v>3700000</v>
      </c>
      <c r="P4283" s="102" t="str">
        <f t="shared" si="2"/>
        <v>Rp18,500-200 PAK-0.00%</v>
      </c>
      <c r="Q4283" s="92">
        <v>45426.0</v>
      </c>
      <c r="R4283" s="76"/>
      <c r="S4283" s="92">
        <v>45432.0</v>
      </c>
      <c r="T4283" s="49"/>
      <c r="V4283" s="21" t="s">
        <v>113</v>
      </c>
    </row>
    <row r="4284">
      <c r="A4284" s="93">
        <v>125.0</v>
      </c>
      <c r="B4284" s="77" t="s">
        <v>65</v>
      </c>
      <c r="C4284" s="77" t="s">
        <v>3533</v>
      </c>
      <c r="D4284" s="77" t="s">
        <v>2716</v>
      </c>
      <c r="E4284" s="41" t="str">
        <f>IFERROR(__xludf.DUMMYFUNCTION("IFNA(vlookup(D4284,IMPORTRANGE(""https://docs.google.com/spreadsheets/d/1swGwZOEqYlTEUCJLY-eeJM1911Kvaei5oySBIxdgtNo/edit?pli=1#gid=257618397"",""stock untanna!B:C""),2,false),V:V)"),"STAPLER (GUN TACKER) 1008F JOSS")</f>
        <v>STAPLER (GUN TACKER) 1008F JOSS</v>
      </c>
      <c r="F4284" s="49"/>
      <c r="G4284" s="71"/>
      <c r="H4284" s="41"/>
      <c r="I4284" s="42"/>
      <c r="J4284" s="85" t="s">
        <v>1319</v>
      </c>
      <c r="K4284" s="93">
        <v>48.0</v>
      </c>
      <c r="L4284" s="112" t="s">
        <v>69</v>
      </c>
      <c r="M4284" s="113">
        <v>50000.0</v>
      </c>
      <c r="N4284" s="74"/>
      <c r="O4284" s="87">
        <f t="shared" si="11"/>
        <v>2400000</v>
      </c>
      <c r="P4284" s="102" t="str">
        <f t="shared" si="2"/>
        <v>Rp50,000-48 PCS-0.00%</v>
      </c>
      <c r="Q4284" s="92">
        <v>45426.0</v>
      </c>
      <c r="R4284" s="76"/>
      <c r="S4284" s="92">
        <v>45432.0</v>
      </c>
      <c r="T4284" s="49"/>
      <c r="V4284" s="21" t="s">
        <v>2717</v>
      </c>
    </row>
    <row r="4285">
      <c r="A4285" s="93">
        <v>125.0</v>
      </c>
      <c r="B4285" s="77" t="s">
        <v>65</v>
      </c>
      <c r="C4285" s="77" t="s">
        <v>3533</v>
      </c>
      <c r="D4285" s="77" t="s">
        <v>419</v>
      </c>
      <c r="E4285" s="41" t="str">
        <f>IFERROR(__xludf.DUMMYFUNCTION("IFNA(vlookup(D4285,IMPORTRANGE(""https://docs.google.com/spreadsheets/d/1swGwZOEqYlTEUCJLY-eeJM1911Kvaei5oySBIxdgtNo/edit?pli=1#gid=257618397"",""stock untanna!B:C""),2,false),V:V)"),"BP GEL ZUI XUA HY-1020 HITAM")</f>
        <v>BP GEL ZUI XUA HY-1020 HITAM</v>
      </c>
      <c r="F4285" s="49"/>
      <c r="G4285" s="71"/>
      <c r="H4285" s="41"/>
      <c r="I4285" s="42"/>
      <c r="J4285" s="85" t="s">
        <v>1319</v>
      </c>
      <c r="K4285" s="93">
        <v>192.0</v>
      </c>
      <c r="L4285" s="112" t="s">
        <v>62</v>
      </c>
      <c r="M4285" s="113">
        <v>11000.0</v>
      </c>
      <c r="N4285" s="74"/>
      <c r="O4285" s="87">
        <f t="shared" si="11"/>
        <v>2112000</v>
      </c>
      <c r="P4285" s="102" t="str">
        <f t="shared" si="2"/>
        <v>Rp11,000-192 LSN-0.00%</v>
      </c>
      <c r="Q4285" s="92">
        <v>45426.0</v>
      </c>
      <c r="R4285" s="76"/>
      <c r="S4285" s="92">
        <v>45432.0</v>
      </c>
      <c r="T4285" s="49"/>
      <c r="V4285" s="21" t="s">
        <v>3281</v>
      </c>
    </row>
    <row r="4286">
      <c r="A4286" s="93">
        <v>125.0</v>
      </c>
      <c r="B4286" s="77" t="s">
        <v>65</v>
      </c>
      <c r="C4286" s="77" t="s">
        <v>3533</v>
      </c>
      <c r="D4286" s="77" t="s">
        <v>421</v>
      </c>
      <c r="E4286" s="41" t="str">
        <f>IFERROR(__xludf.DUMMYFUNCTION("IFNA(vlookup(D4286,IMPORTRANGE(""https://docs.google.com/spreadsheets/d/1swGwZOEqYlTEUCJLY-eeJM1911Kvaei5oySBIxdgtNo/edit?pli=1#gid=257618397"",""stock untanna!B:C""),2,false),V:V)"),"BP GEL ZUI ZHUA HY-1020 BIRU")</f>
        <v>BP GEL ZUI ZHUA HY-1020 BIRU</v>
      </c>
      <c r="F4286" s="49"/>
      <c r="G4286" s="71"/>
      <c r="H4286" s="41"/>
      <c r="I4286" s="42"/>
      <c r="J4286" s="85" t="s">
        <v>1319</v>
      </c>
      <c r="K4286" s="93">
        <v>192.0</v>
      </c>
      <c r="L4286" s="112" t="s">
        <v>62</v>
      </c>
      <c r="M4286" s="113">
        <v>11000.0</v>
      </c>
      <c r="N4286" s="74"/>
      <c r="O4286" s="87">
        <f t="shared" si="11"/>
        <v>2112000</v>
      </c>
      <c r="P4286" s="102" t="str">
        <f t="shared" si="2"/>
        <v>Rp11,000-192 LSN-0.00%</v>
      </c>
      <c r="Q4286" s="92">
        <v>45426.0</v>
      </c>
      <c r="R4286" s="76"/>
      <c r="S4286" s="92">
        <v>45432.0</v>
      </c>
      <c r="T4286" s="49"/>
      <c r="V4286" s="21" t="s">
        <v>422</v>
      </c>
    </row>
    <row r="4287">
      <c r="A4287" s="93">
        <v>125.0</v>
      </c>
      <c r="B4287" s="77" t="s">
        <v>65</v>
      </c>
      <c r="C4287" s="77" t="s">
        <v>3533</v>
      </c>
      <c r="D4287" s="91"/>
      <c r="E4287" s="41" t="str">
        <f>IFERROR(__xludf.DUMMYFUNCTION("IFNA(vlookup(D4287,IMPORTRANGE(""https://docs.google.com/spreadsheets/d/1swGwZOEqYlTEUCJLY-eeJM1911Kvaei5oySBIxdgtNo/edit?pli=1#gid=257618397"",""stock untanna!B:C""),2,false),V:V)"),"PENSIL BOX ISI 100")</f>
        <v>PENSIL BOX ISI 100</v>
      </c>
      <c r="F4287" s="49"/>
      <c r="G4287" s="71"/>
      <c r="H4287" s="41"/>
      <c r="I4287" s="42"/>
      <c r="J4287" s="85" t="s">
        <v>3190</v>
      </c>
      <c r="K4287" s="93">
        <v>48.0</v>
      </c>
      <c r="L4287" s="112" t="s">
        <v>88</v>
      </c>
      <c r="M4287" s="113">
        <v>30000.0</v>
      </c>
      <c r="N4287" s="74"/>
      <c r="O4287" s="87">
        <f t="shared" si="11"/>
        <v>1440000</v>
      </c>
      <c r="P4287" s="102" t="str">
        <f t="shared" si="2"/>
        <v>Rp30,000-48 BOX-0.00%</v>
      </c>
      <c r="Q4287" s="92">
        <v>45426.0</v>
      </c>
      <c r="R4287" s="76"/>
      <c r="S4287" s="92">
        <v>45432.0</v>
      </c>
      <c r="T4287" s="49"/>
      <c r="V4287" s="21" t="s">
        <v>3763</v>
      </c>
    </row>
    <row r="4288">
      <c r="A4288" s="93">
        <v>125.0</v>
      </c>
      <c r="B4288" s="77" t="s">
        <v>65</v>
      </c>
      <c r="C4288" s="77" t="s">
        <v>3533</v>
      </c>
      <c r="D4288" s="77" t="s">
        <v>3764</v>
      </c>
      <c r="E4288" s="41" t="str">
        <f>IFERROR(__xludf.DUMMYFUNCTION("IFNA(vlookup(D4288,IMPORTRANGE(""https://docs.google.com/spreadsheets/d/1swGwZOEqYlTEUCJLY-eeJM1911Kvaei5oySBIxdgtNo/edit?pli=1#gid=257618397"",""stock untanna!B:C""),2,false),V:V)"),"OIL PASTEL HW 12")</f>
        <v>OIL PASTEL HW 12</v>
      </c>
      <c r="F4288" s="49"/>
      <c r="G4288" s="71"/>
      <c r="H4288" s="41"/>
      <c r="I4288" s="42"/>
      <c r="J4288" s="85" t="s">
        <v>1319</v>
      </c>
      <c r="K4288" s="93">
        <v>24.0</v>
      </c>
      <c r="L4288" s="112" t="s">
        <v>62</v>
      </c>
      <c r="M4288" s="113">
        <v>70000.0</v>
      </c>
      <c r="N4288" s="74"/>
      <c r="O4288" s="87">
        <f t="shared" si="11"/>
        <v>1680000</v>
      </c>
      <c r="P4288" s="102" t="str">
        <f t="shared" si="2"/>
        <v>Rp70,000-24 LSN-0.00%</v>
      </c>
      <c r="Q4288" s="92">
        <v>45426.0</v>
      </c>
      <c r="R4288" s="76"/>
      <c r="S4288" s="92">
        <v>45432.0</v>
      </c>
      <c r="T4288" s="49"/>
      <c r="V4288" s="21" t="s">
        <v>3765</v>
      </c>
    </row>
    <row r="4289">
      <c r="A4289" s="93">
        <v>125.0</v>
      </c>
      <c r="B4289" s="77" t="s">
        <v>65</v>
      </c>
      <c r="C4289" s="77" t="s">
        <v>3533</v>
      </c>
      <c r="D4289" s="77" t="s">
        <v>489</v>
      </c>
      <c r="E4289" s="41" t="str">
        <f>IFERROR(__xludf.DUMMYFUNCTION("IFNA(vlookup(D4289,IMPORTRANGE(""https://docs.google.com/spreadsheets/d/1swGwZOEqYlTEUCJLY-eeJM1911Kvaei5oySBIxdgtNo/edit?pli=1#gid=257618397"",""stock untanna!B:C""),2,false),V:V)"),"BP GEL 837 + STIP")</f>
        <v>BP GEL 837 + STIP</v>
      </c>
      <c r="F4289" s="49"/>
      <c r="G4289" s="71"/>
      <c r="H4289" s="41"/>
      <c r="I4289" s="42"/>
      <c r="J4289" s="85" t="s">
        <v>1319</v>
      </c>
      <c r="K4289" s="93">
        <v>432.0</v>
      </c>
      <c r="L4289" s="112" t="s">
        <v>69</v>
      </c>
      <c r="M4289" s="113">
        <v>1250.0</v>
      </c>
      <c r="N4289" s="74"/>
      <c r="O4289" s="87">
        <f t="shared" si="11"/>
        <v>540000</v>
      </c>
      <c r="P4289" s="102" t="str">
        <f t="shared" si="2"/>
        <v>Rp1,250-432 PCS-0.00%</v>
      </c>
      <c r="Q4289" s="92">
        <v>45426.0</v>
      </c>
      <c r="R4289" s="76"/>
      <c r="S4289" s="92">
        <v>45432.0</v>
      </c>
      <c r="T4289" s="49"/>
      <c r="V4289" s="21" t="s">
        <v>490</v>
      </c>
    </row>
    <row r="4290">
      <c r="A4290" s="93">
        <v>125.0</v>
      </c>
      <c r="B4290" s="77" t="s">
        <v>65</v>
      </c>
      <c r="C4290" s="77" t="s">
        <v>3533</v>
      </c>
      <c r="D4290" s="77" t="s">
        <v>491</v>
      </c>
      <c r="E4290" s="41" t="str">
        <f>IFERROR(__xludf.DUMMYFUNCTION("IFNA(vlookup(D4290,IMPORTRANGE(""https://docs.google.com/spreadsheets/d/1swGwZOEqYlTEUCJLY-eeJM1911Kvaei5oySBIxdgtNo/edit?pli=1#gid=257618397"",""stock untanna!B:C""),2,false),V:V)"),"BP GEL 8801 + STIP")</f>
        <v>BP GEL 8801 + STIP</v>
      </c>
      <c r="F4290" s="49"/>
      <c r="G4290" s="71"/>
      <c r="H4290" s="41"/>
      <c r="I4290" s="42"/>
      <c r="J4290" s="85" t="s">
        <v>1319</v>
      </c>
      <c r="K4290" s="93">
        <v>432.0</v>
      </c>
      <c r="L4290" s="112" t="s">
        <v>69</v>
      </c>
      <c r="M4290" s="113">
        <v>1250.0</v>
      </c>
      <c r="N4290" s="74"/>
      <c r="O4290" s="87">
        <f t="shared" si="11"/>
        <v>540000</v>
      </c>
      <c r="P4290" s="102" t="str">
        <f t="shared" si="2"/>
        <v>Rp1,250-432 PCS-0.00%</v>
      </c>
      <c r="Q4290" s="92">
        <v>45426.0</v>
      </c>
      <c r="R4290" s="76"/>
      <c r="S4290" s="92">
        <v>45432.0</v>
      </c>
      <c r="T4290" s="49"/>
      <c r="V4290" s="21" t="s">
        <v>492</v>
      </c>
    </row>
    <row r="4291">
      <c r="A4291" s="93">
        <v>126.0</v>
      </c>
      <c r="B4291" s="77" t="s">
        <v>65</v>
      </c>
      <c r="C4291" s="77" t="s">
        <v>3533</v>
      </c>
      <c r="D4291" s="77" t="s">
        <v>487</v>
      </c>
      <c r="E4291" s="41" t="str">
        <f>IFERROR(__xludf.DUMMYFUNCTION("IFNA(vlookup(D4291,IMPORTRANGE(""https://docs.google.com/spreadsheets/d/1swGwZOEqYlTEUCJLY-eeJM1911Kvaei5oySBIxdgtNo/edit?pli=1#gid=257618397"",""stock untanna!B:C""),2,false),V:V)"),"BP GEL DTIAN DT-835 + STIP")</f>
        <v>BP GEL DTIAN DT-835 + STIP</v>
      </c>
      <c r="F4291" s="49"/>
      <c r="G4291" s="71"/>
      <c r="H4291" s="41"/>
      <c r="I4291" s="42"/>
      <c r="J4291" s="85" t="s">
        <v>1319</v>
      </c>
      <c r="K4291" s="93">
        <v>24.0</v>
      </c>
      <c r="L4291" s="112" t="s">
        <v>62</v>
      </c>
      <c r="M4291" s="113">
        <v>15000.0</v>
      </c>
      <c r="N4291" s="74"/>
      <c r="O4291" s="87">
        <f t="shared" si="11"/>
        <v>360000</v>
      </c>
      <c r="P4291" s="102" t="str">
        <f t="shared" si="2"/>
        <v>Rp15,000-24 LSN-0.00%</v>
      </c>
      <c r="Q4291" s="92">
        <v>45426.0</v>
      </c>
      <c r="R4291" s="76"/>
      <c r="S4291" s="92">
        <v>45432.0</v>
      </c>
      <c r="T4291" s="49"/>
      <c r="V4291" s="21" t="s">
        <v>488</v>
      </c>
    </row>
    <row r="4292">
      <c r="A4292" s="93">
        <v>126.0</v>
      </c>
      <c r="B4292" s="77" t="s">
        <v>65</v>
      </c>
      <c r="C4292" s="77" t="s">
        <v>3533</v>
      </c>
      <c r="D4292" s="77" t="s">
        <v>493</v>
      </c>
      <c r="E4292" s="41" t="str">
        <f>IFERROR(__xludf.DUMMYFUNCTION("IFNA(vlookup(D4292,IMPORTRANGE(""https://docs.google.com/spreadsheets/d/1swGwZOEqYlTEUCJLY-eeJM1911Kvaei5oySBIxdgtNo/edit?pli=1#gid=257618397"",""stock untanna!B:C""),2,false),V:V)"),"BP GEL 8803 + STIP")</f>
        <v>BP GEL 8803 + STIP</v>
      </c>
      <c r="F4292" s="49"/>
      <c r="G4292" s="71"/>
      <c r="H4292" s="41"/>
      <c r="I4292" s="42"/>
      <c r="J4292" s="85" t="s">
        <v>1319</v>
      </c>
      <c r="K4292" s="93">
        <v>288.0</v>
      </c>
      <c r="L4292" s="112" t="s">
        <v>69</v>
      </c>
      <c r="M4292" s="113">
        <v>1250.0</v>
      </c>
      <c r="N4292" s="74"/>
      <c r="O4292" s="87">
        <f t="shared" si="11"/>
        <v>360000</v>
      </c>
      <c r="P4292" s="102" t="str">
        <f t="shared" si="2"/>
        <v>Rp1,250-288 PCS-0.00%</v>
      </c>
      <c r="Q4292" s="92">
        <v>45426.0</v>
      </c>
      <c r="R4292" s="76"/>
      <c r="S4292" s="92">
        <v>45432.0</v>
      </c>
      <c r="T4292" s="49"/>
      <c r="V4292" s="21" t="s">
        <v>494</v>
      </c>
    </row>
    <row r="4293">
      <c r="A4293" s="93">
        <v>126.0</v>
      </c>
      <c r="B4293" s="77" t="s">
        <v>65</v>
      </c>
      <c r="C4293" s="77" t="s">
        <v>3533</v>
      </c>
      <c r="D4293" s="77" t="s">
        <v>483</v>
      </c>
      <c r="E4293" s="41" t="str">
        <f>IFERROR(__xludf.DUMMYFUNCTION("IFNA(vlookup(D4293,IMPORTRANGE(""https://docs.google.com/spreadsheets/d/1swGwZOEqYlTEUCJLY-eeJM1911Kvaei5oySBIxdgtNo/edit?pli=1#gid=257618397"",""stock untanna!B:C""),2,false),V:V)"),"BP GEL DTIAN DT-830 + STIP")</f>
        <v>BP GEL DTIAN DT-830 + STIP</v>
      </c>
      <c r="F4293" s="49"/>
      <c r="G4293" s="71"/>
      <c r="H4293" s="41"/>
      <c r="I4293" s="42"/>
      <c r="J4293" s="85" t="s">
        <v>1319</v>
      </c>
      <c r="K4293" s="93">
        <v>24.0</v>
      </c>
      <c r="L4293" s="112" t="s">
        <v>62</v>
      </c>
      <c r="M4293" s="113">
        <v>15000.0</v>
      </c>
      <c r="N4293" s="74"/>
      <c r="O4293" s="87">
        <f t="shared" si="11"/>
        <v>360000</v>
      </c>
      <c r="P4293" s="102" t="str">
        <f t="shared" si="2"/>
        <v>Rp15,000-24 LSN-0.00%</v>
      </c>
      <c r="Q4293" s="92">
        <v>45426.0</v>
      </c>
      <c r="R4293" s="76"/>
      <c r="S4293" s="92">
        <v>45432.0</v>
      </c>
      <c r="T4293" s="49"/>
      <c r="V4293" s="21" t="s">
        <v>484</v>
      </c>
    </row>
    <row r="4294">
      <c r="A4294" s="93">
        <v>126.0</v>
      </c>
      <c r="B4294" s="77" t="s">
        <v>65</v>
      </c>
      <c r="C4294" s="77" t="s">
        <v>3533</v>
      </c>
      <c r="D4294" s="77" t="s">
        <v>497</v>
      </c>
      <c r="E4294" s="41" t="str">
        <f>IFERROR(__xludf.DUMMYFUNCTION("IFNA(vlookup(D4294,IMPORTRANGE(""https://docs.google.com/spreadsheets/d/1swGwZOEqYlTEUCJLY-eeJM1911Kvaei5oySBIxdgtNo/edit?pli=1#gid=257618397"",""stock untanna!B:C""),2,false),V:V)"),"BP GEL 8807 + STIP")</f>
        <v>BP GEL 8807 + STIP</v>
      </c>
      <c r="F4294" s="49"/>
      <c r="G4294" s="71"/>
      <c r="H4294" s="41"/>
      <c r="I4294" s="42"/>
      <c r="J4294" s="85" t="s">
        <v>1319</v>
      </c>
      <c r="K4294" s="93">
        <v>24.0</v>
      </c>
      <c r="L4294" s="112" t="s">
        <v>62</v>
      </c>
      <c r="M4294" s="113">
        <v>15000.0</v>
      </c>
      <c r="N4294" s="74"/>
      <c r="O4294" s="87">
        <f t="shared" si="11"/>
        <v>360000</v>
      </c>
      <c r="P4294" s="102" t="str">
        <f t="shared" si="2"/>
        <v>Rp15,000-24 LSN-0.00%</v>
      </c>
      <c r="Q4294" s="92">
        <v>45426.0</v>
      </c>
      <c r="R4294" s="76"/>
      <c r="S4294" s="92">
        <v>45432.0</v>
      </c>
      <c r="T4294" s="49"/>
      <c r="V4294" s="21" t="s">
        <v>498</v>
      </c>
    </row>
    <row r="4295">
      <c r="A4295" s="93">
        <v>126.0</v>
      </c>
      <c r="B4295" s="77" t="s">
        <v>65</v>
      </c>
      <c r="C4295" s="77" t="s">
        <v>3533</v>
      </c>
      <c r="D4295" s="77" t="s">
        <v>495</v>
      </c>
      <c r="E4295" s="41" t="str">
        <f>IFERROR(__xludf.DUMMYFUNCTION("IFNA(vlookup(D4295,IMPORTRANGE(""https://docs.google.com/spreadsheets/d/1swGwZOEqYlTEUCJLY-eeJM1911Kvaei5oySBIxdgtNo/edit?pli=1#gid=257618397"",""stock untanna!B:C""),2,false),V:V)"),"BP GEL 8805 + STIP")</f>
        <v>BP GEL 8805 + STIP</v>
      </c>
      <c r="F4295" s="49"/>
      <c r="G4295" s="71"/>
      <c r="H4295" s="41"/>
      <c r="I4295" s="42"/>
      <c r="J4295" s="85" t="s">
        <v>1319</v>
      </c>
      <c r="K4295" s="93">
        <v>288.0</v>
      </c>
      <c r="L4295" s="112" t="s">
        <v>69</v>
      </c>
      <c r="M4295" s="113">
        <v>1250.0</v>
      </c>
      <c r="N4295" s="74"/>
      <c r="O4295" s="87">
        <f t="shared" si="11"/>
        <v>360000</v>
      </c>
      <c r="P4295" s="102" t="str">
        <f t="shared" si="2"/>
        <v>Rp1,250-288 PCS-0.00%</v>
      </c>
      <c r="Q4295" s="92">
        <v>45426.0</v>
      </c>
      <c r="R4295" s="76"/>
      <c r="S4295" s="92">
        <v>45432.0</v>
      </c>
      <c r="T4295" s="49"/>
      <c r="V4295" s="21" t="s">
        <v>496</v>
      </c>
    </row>
    <row r="4296">
      <c r="A4296" s="93">
        <v>266.0</v>
      </c>
      <c r="B4296" s="77" t="s">
        <v>29</v>
      </c>
      <c r="C4296" s="77" t="s">
        <v>3766</v>
      </c>
      <c r="D4296" s="91"/>
      <c r="E4296" s="41" t="str">
        <f>IFERROR(__xludf.DUMMYFUNCTION("IFNA(vlookup(D4296,IMPORTRANGE(""https://docs.google.com/spreadsheets/d/1swGwZOEqYlTEUCJLY-eeJM1911Kvaei5oySBIxdgtNo/edit?pli=1#gid=257618397"",""stock untanna!B:C""),2,false),V:V)"),"P CASE GUNINDO PC 6")</f>
        <v>P CASE GUNINDO PC 6</v>
      </c>
      <c r="F4296" s="49"/>
      <c r="G4296" s="71"/>
      <c r="H4296" s="41"/>
      <c r="I4296" s="42"/>
      <c r="J4296" s="85" t="s">
        <v>3190</v>
      </c>
      <c r="K4296" s="93">
        <v>11.0</v>
      </c>
      <c r="L4296" s="112" t="s">
        <v>69</v>
      </c>
      <c r="M4296" s="113">
        <v>15000.0</v>
      </c>
      <c r="N4296" s="74"/>
      <c r="O4296" s="87">
        <f t="shared" si="11"/>
        <v>165000</v>
      </c>
      <c r="P4296" s="102" t="str">
        <f t="shared" si="2"/>
        <v>Rp15,000-11 PCS-0.00%</v>
      </c>
      <c r="Q4296" s="92">
        <v>45426.0</v>
      </c>
      <c r="R4296" s="76"/>
      <c r="S4296" s="92">
        <v>45432.0</v>
      </c>
      <c r="T4296" s="49"/>
      <c r="V4296" s="21" t="s">
        <v>3767</v>
      </c>
    </row>
    <row r="4297">
      <c r="A4297" s="93">
        <v>266.0</v>
      </c>
      <c r="B4297" s="77" t="s">
        <v>29</v>
      </c>
      <c r="C4297" s="77" t="s">
        <v>3766</v>
      </c>
      <c r="D4297" s="77" t="s">
        <v>3191</v>
      </c>
      <c r="E4297" s="41" t="str">
        <f>IFERROR(__xludf.DUMMYFUNCTION("IFNA(vlookup(D4297,IMPORTRANGE(""https://docs.google.com/spreadsheets/d/1swGwZOEqYlTEUCJLY-eeJM1911Kvaei5oySBIxdgtNo/edit?pli=1#gid=257618397"",""stock untanna!B:C""),2,false),V:V)"),"PC KLG LPY 99-12")</f>
        <v>PC KLG LPY 99-12</v>
      </c>
      <c r="F4297" s="49"/>
      <c r="G4297" s="71"/>
      <c r="H4297" s="41"/>
      <c r="I4297" s="42"/>
      <c r="J4297" s="85" t="s">
        <v>1319</v>
      </c>
      <c r="K4297" s="93">
        <v>12.0</v>
      </c>
      <c r="L4297" s="112" t="s">
        <v>69</v>
      </c>
      <c r="M4297" s="113">
        <v>25000.0</v>
      </c>
      <c r="N4297" s="74"/>
      <c r="O4297" s="87">
        <f t="shared" si="11"/>
        <v>300000</v>
      </c>
      <c r="P4297" s="102" t="str">
        <f t="shared" si="2"/>
        <v>Rp25,000-12 PCS-0.00%</v>
      </c>
      <c r="Q4297" s="92">
        <v>45426.0</v>
      </c>
      <c r="R4297" s="76"/>
      <c r="S4297" s="92">
        <v>45432.0</v>
      </c>
      <c r="T4297" s="49"/>
      <c r="V4297" s="21" t="s">
        <v>825</v>
      </c>
    </row>
    <row r="4298">
      <c r="A4298" s="93">
        <v>266.0</v>
      </c>
      <c r="B4298" s="77" t="s">
        <v>29</v>
      </c>
      <c r="C4298" s="77" t="s">
        <v>3766</v>
      </c>
      <c r="D4298" s="91"/>
      <c r="E4298" s="41" t="str">
        <f>IFERROR(__xludf.DUMMYFUNCTION("IFNA(vlookup(D4298,IMPORTRANGE(""https://docs.google.com/spreadsheets/d/1swGwZOEqYlTEUCJLY-eeJM1911Kvaei5oySBIxdgtNo/edit?pli=1#gid=257618397"",""stock untanna!B:C""),2,false),V:V)"),"MAP A4 6-J-018")</f>
        <v>MAP A4 6-J-018</v>
      </c>
      <c r="F4298" s="49"/>
      <c r="G4298" s="71"/>
      <c r="H4298" s="41"/>
      <c r="I4298" s="42"/>
      <c r="J4298" s="85" t="s">
        <v>3190</v>
      </c>
      <c r="K4298" s="93">
        <v>0.25</v>
      </c>
      <c r="L4298" s="112" t="s">
        <v>62</v>
      </c>
      <c r="M4298" s="113">
        <v>225000.0</v>
      </c>
      <c r="N4298" s="74"/>
      <c r="O4298" s="87">
        <f t="shared" si="11"/>
        <v>56250</v>
      </c>
      <c r="P4298" s="102" t="str">
        <f t="shared" si="2"/>
        <v>Rp225,000-0.25 LSN-0.00%</v>
      </c>
      <c r="Q4298" s="92">
        <v>45426.0</v>
      </c>
      <c r="R4298" s="76"/>
      <c r="S4298" s="92">
        <v>45432.0</v>
      </c>
      <c r="T4298" s="49"/>
      <c r="V4298" s="21" t="s">
        <v>3768</v>
      </c>
    </row>
    <row r="4299">
      <c r="A4299" s="93">
        <v>266.0</v>
      </c>
      <c r="B4299" s="77" t="s">
        <v>29</v>
      </c>
      <c r="C4299" s="77" t="s">
        <v>3766</v>
      </c>
      <c r="D4299" s="77" t="s">
        <v>3769</v>
      </c>
      <c r="E4299" s="41" t="str">
        <f>IFERROR(__xludf.DUMMYFUNCTION("IFNA(vlookup(D4299,IMPORTRANGE(""https://docs.google.com/spreadsheets/d/1swGwZOEqYlTEUCJLY-eeJM1911Kvaei5oySBIxdgtNo/edit?pli=1#gid=257618397"",""stock untanna!B:C""),2,false),V:V)"),"HAND COUNTER DIGITAL1011")</f>
        <v>HAND COUNTER DIGITAL1011</v>
      </c>
      <c r="F4299" s="49"/>
      <c r="G4299" s="71"/>
      <c r="H4299" s="41"/>
      <c r="I4299" s="42"/>
      <c r="J4299" s="85" t="s">
        <v>1319</v>
      </c>
      <c r="K4299" s="93">
        <v>6.0</v>
      </c>
      <c r="L4299" s="112" t="s">
        <v>69</v>
      </c>
      <c r="M4299" s="113">
        <v>4583.33</v>
      </c>
      <c r="N4299" s="74"/>
      <c r="O4299" s="87">
        <f t="shared" si="11"/>
        <v>27499.98</v>
      </c>
      <c r="P4299" s="102" t="str">
        <f t="shared" si="2"/>
        <v>Rp4,583-6 PCS-0.00%</v>
      </c>
      <c r="Q4299" s="92">
        <v>45426.0</v>
      </c>
      <c r="R4299" s="76"/>
      <c r="S4299" s="92">
        <v>45432.0</v>
      </c>
      <c r="T4299" s="49"/>
      <c r="V4299" s="21" t="s">
        <v>3770</v>
      </c>
    </row>
    <row r="4300">
      <c r="A4300" s="93">
        <v>266.0</v>
      </c>
      <c r="B4300" s="77" t="s">
        <v>29</v>
      </c>
      <c r="C4300" s="77" t="s">
        <v>3766</v>
      </c>
      <c r="D4300" s="91"/>
      <c r="E4300" s="41" t="str">
        <f>IFERROR(__xludf.DUMMYFUNCTION("IFNA(vlookup(D4300,IMPORTRANGE(""https://docs.google.com/spreadsheets/d/1swGwZOEqYlTEUCJLY-eeJM1911Kvaei5oySBIxdgtNo/edit?pli=1#gid=257618397"",""stock untanna!B:C""),2,false),V:V)"),"DESK SET GASTA 8312")</f>
        <v>DESK SET GASTA 8312</v>
      </c>
      <c r="F4300" s="49"/>
      <c r="G4300" s="71"/>
      <c r="H4300" s="41"/>
      <c r="I4300" s="42"/>
      <c r="J4300" s="85" t="s">
        <v>3190</v>
      </c>
      <c r="K4300" s="93">
        <v>0.5</v>
      </c>
      <c r="L4300" s="112" t="s">
        <v>62</v>
      </c>
      <c r="M4300" s="113">
        <v>342000.0</v>
      </c>
      <c r="N4300" s="74"/>
      <c r="O4300" s="87">
        <f t="shared" si="11"/>
        <v>171000</v>
      </c>
      <c r="P4300" s="102" t="str">
        <f t="shared" si="2"/>
        <v>Rp342,000-0.5 LSN-0.00%</v>
      </c>
      <c r="Q4300" s="92">
        <v>45426.0</v>
      </c>
      <c r="R4300" s="76"/>
      <c r="S4300" s="92">
        <v>45432.0</v>
      </c>
      <c r="T4300" s="49"/>
      <c r="V4300" s="21" t="s">
        <v>3771</v>
      </c>
    </row>
    <row r="4301">
      <c r="A4301" s="93">
        <v>266.0</v>
      </c>
      <c r="B4301" s="77" t="s">
        <v>29</v>
      </c>
      <c r="C4301" s="77" t="s">
        <v>3766</v>
      </c>
      <c r="D4301" s="77" t="s">
        <v>2854</v>
      </c>
      <c r="E4301" s="41" t="str">
        <f>IFERROR(__xludf.DUMMYFUNCTION("IFNA(vlookup(D4301,IMPORTRANGE(""https://docs.google.com/spreadsheets/d/1swGwZOEqYlTEUCJLY-eeJM1911Kvaei5oySBIxdgtNo/edit?pli=1#gid=257618397"",""stock untanna!B:C""),2,false),V:V)"),"TAS COKLAT TEBAL TANGGUNG ")</f>
        <v>TAS COKLAT TEBAL TANGGUNG </v>
      </c>
      <c r="F4301" s="49"/>
      <c r="G4301" s="71"/>
      <c r="H4301" s="41"/>
      <c r="I4301" s="42"/>
      <c r="J4301" s="85" t="s">
        <v>1319</v>
      </c>
      <c r="K4301" s="93">
        <v>12.0</v>
      </c>
      <c r="L4301" s="112" t="s">
        <v>62</v>
      </c>
      <c r="M4301" s="113">
        <v>30000.0</v>
      </c>
      <c r="N4301" s="74"/>
      <c r="O4301" s="87">
        <f t="shared" si="11"/>
        <v>360000</v>
      </c>
      <c r="P4301" s="102" t="str">
        <f t="shared" si="2"/>
        <v>Rp30,000-12 LSN-0.00%</v>
      </c>
      <c r="Q4301" s="92">
        <v>45426.0</v>
      </c>
      <c r="R4301" s="76"/>
      <c r="S4301" s="92">
        <v>45432.0</v>
      </c>
      <c r="T4301" s="49"/>
      <c r="V4301" s="21" t="s">
        <v>2855</v>
      </c>
    </row>
    <row r="4302">
      <c r="A4302" s="93">
        <v>267.0</v>
      </c>
      <c r="B4302" s="77" t="s">
        <v>29</v>
      </c>
      <c r="C4302" s="77" t="s">
        <v>3766</v>
      </c>
      <c r="D4302" s="77" t="s">
        <v>2854</v>
      </c>
      <c r="E4302" s="41" t="str">
        <f>IFERROR(__xludf.DUMMYFUNCTION("IFNA(vlookup(D4302,IMPORTRANGE(""https://docs.google.com/spreadsheets/d/1swGwZOEqYlTEUCJLY-eeJM1911Kvaei5oySBIxdgtNo/edit?pli=1#gid=257618397"",""stock untanna!B:C""),2,false),V:V)"),"TAS COKLAT TEBAL TANGGUNG ")</f>
        <v>TAS COKLAT TEBAL TANGGUNG </v>
      </c>
      <c r="F4302" s="49"/>
      <c r="G4302" s="71"/>
      <c r="H4302" s="41"/>
      <c r="I4302" s="42"/>
      <c r="J4302" s="85" t="s">
        <v>1319</v>
      </c>
      <c r="K4302" s="93">
        <v>12.0</v>
      </c>
      <c r="L4302" s="112" t="s">
        <v>62</v>
      </c>
      <c r="M4302" s="113">
        <v>30000.0</v>
      </c>
      <c r="N4302" s="74"/>
      <c r="O4302" s="87">
        <f t="shared" si="11"/>
        <v>360000</v>
      </c>
      <c r="P4302" s="102" t="str">
        <f t="shared" si="2"/>
        <v>Rp30,000-12 LSN-0.00%</v>
      </c>
      <c r="Q4302" s="92">
        <v>45426.0</v>
      </c>
      <c r="R4302" s="76"/>
      <c r="S4302" s="92">
        <v>45432.0</v>
      </c>
      <c r="T4302" s="49"/>
      <c r="V4302" s="21" t="s">
        <v>2855</v>
      </c>
    </row>
    <row r="4303">
      <c r="A4303" s="93">
        <v>267.0</v>
      </c>
      <c r="B4303" s="77" t="s">
        <v>29</v>
      </c>
      <c r="C4303" s="77" t="s">
        <v>3766</v>
      </c>
      <c r="D4303" s="77" t="s">
        <v>3772</v>
      </c>
      <c r="E4303" s="41" t="str">
        <f>IFERROR(__xludf.DUMMYFUNCTION("IFNA(vlookup(D4303,IMPORTRANGE(""https://docs.google.com/spreadsheets/d/1swGwZOEqYlTEUCJLY-eeJM1911Kvaei5oySBIxdgtNo/edit?pli=1#gid=257618397"",""stock untanna!B:C""),2,false),V:V)"),"STAPLER V TECH MOD-10M")</f>
        <v>STAPLER V TECH MOD-10M</v>
      </c>
      <c r="F4303" s="49"/>
      <c r="G4303" s="71"/>
      <c r="H4303" s="41"/>
      <c r="I4303" s="42"/>
      <c r="J4303" s="85" t="s">
        <v>1319</v>
      </c>
      <c r="K4303" s="93">
        <v>12.0</v>
      </c>
      <c r="L4303" s="112" t="s">
        <v>69</v>
      </c>
      <c r="M4303" s="113">
        <v>9500.0</v>
      </c>
      <c r="N4303" s="74"/>
      <c r="O4303" s="87">
        <f t="shared" si="11"/>
        <v>114000</v>
      </c>
      <c r="P4303" s="102" t="str">
        <f t="shared" si="2"/>
        <v>Rp9,500-12 PCS-0.00%</v>
      </c>
      <c r="Q4303" s="92">
        <v>45426.0</v>
      </c>
      <c r="R4303" s="76"/>
      <c r="S4303" s="92">
        <v>45432.0</v>
      </c>
      <c r="T4303" s="49"/>
      <c r="V4303" s="21" t="s">
        <v>3773</v>
      </c>
    </row>
    <row r="4304">
      <c r="A4304" s="93">
        <v>1575.0</v>
      </c>
      <c r="B4304" s="77" t="s">
        <v>29</v>
      </c>
      <c r="C4304" s="77" t="s">
        <v>1447</v>
      </c>
      <c r="D4304" s="91"/>
      <c r="E4304" s="41" t="str">
        <f>IFERROR(__xludf.DUMMYFUNCTION("IFNA(vlookup(D4304,IMPORTRANGE(""https://docs.google.com/spreadsheets/d/1swGwZOEqYlTEUCJLY-eeJM1911Kvaei5oySBIxdgtNo/edit?pli=1#gid=257618397"",""stock untanna!B:C""),2,false),V:V)"),"PENGHAPUS W/B ENTER 823 KECIL LUBANG")</f>
        <v>PENGHAPUS W/B ENTER 823 KECIL LUBANG</v>
      </c>
      <c r="F4304" s="49"/>
      <c r="G4304" s="71"/>
      <c r="H4304" s="41"/>
      <c r="I4304" s="42"/>
      <c r="J4304" s="85" t="s">
        <v>1319</v>
      </c>
      <c r="K4304" s="93">
        <v>60.0</v>
      </c>
      <c r="L4304" s="112" t="s">
        <v>62</v>
      </c>
      <c r="M4304" s="113">
        <v>20000.0</v>
      </c>
      <c r="N4304" s="74"/>
      <c r="O4304" s="87">
        <f t="shared" si="11"/>
        <v>1200000</v>
      </c>
      <c r="P4304" s="102" t="str">
        <f t="shared" si="2"/>
        <v>Rp20,000-60 LSN-0.00%</v>
      </c>
      <c r="Q4304" s="92">
        <v>45426.0</v>
      </c>
      <c r="R4304" s="114">
        <v>45420.0</v>
      </c>
      <c r="S4304" s="92">
        <v>45432.0</v>
      </c>
      <c r="T4304" s="77" t="s">
        <v>280</v>
      </c>
      <c r="V4304" s="21" t="s">
        <v>708</v>
      </c>
    </row>
    <row r="4305">
      <c r="A4305" s="93">
        <v>1575.0</v>
      </c>
      <c r="B4305" s="77" t="s">
        <v>29</v>
      </c>
      <c r="C4305" s="77" t="s">
        <v>1447</v>
      </c>
      <c r="D4305" s="77" t="s">
        <v>369</v>
      </c>
      <c r="E4305" s="41" t="str">
        <f>IFERROR(__xludf.DUMMYFUNCTION("IFNA(vlookup(D4305,IMPORTRANGE(""https://docs.google.com/spreadsheets/d/1swGwZOEqYlTEUCJLY-eeJM1911Kvaei5oySBIxdgtNo/edit?pli=1#gid=257618397"",""stock untanna!B:C""),2,false),V:V)"),"GARISAN 30CM KAYAGI 3121")</f>
        <v>GARISAN 30CM KAYAGI 3121</v>
      </c>
      <c r="F4305" s="49"/>
      <c r="G4305" s="71"/>
      <c r="H4305" s="41"/>
      <c r="I4305" s="42"/>
      <c r="J4305" s="85" t="s">
        <v>1319</v>
      </c>
      <c r="K4305" s="93">
        <v>16.0</v>
      </c>
      <c r="L4305" s="112" t="s">
        <v>62</v>
      </c>
      <c r="M4305" s="113">
        <v>27500.0</v>
      </c>
      <c r="N4305" s="74"/>
      <c r="O4305" s="87">
        <f t="shared" si="11"/>
        <v>440000</v>
      </c>
      <c r="P4305" s="102" t="str">
        <f t="shared" si="2"/>
        <v>Rp27,500-16 LSN-0.00%</v>
      </c>
      <c r="Q4305" s="92">
        <v>45426.0</v>
      </c>
      <c r="R4305" s="114">
        <v>45420.0</v>
      </c>
      <c r="S4305" s="92">
        <v>45432.0</v>
      </c>
      <c r="T4305" s="49"/>
      <c r="V4305" s="21" t="s">
        <v>370</v>
      </c>
    </row>
    <row r="4306">
      <c r="A4306" s="93">
        <v>1575.0</v>
      </c>
      <c r="B4306" s="77" t="s">
        <v>29</v>
      </c>
      <c r="C4306" s="77" t="s">
        <v>1447</v>
      </c>
      <c r="D4306" s="77" t="s">
        <v>363</v>
      </c>
      <c r="E4306" s="41" t="str">
        <f>IFERROR(__xludf.DUMMYFUNCTION("IFNA(vlookup(D4306,IMPORTRANGE(""https://docs.google.com/spreadsheets/d/1swGwZOEqYlTEUCJLY-eeJM1911Kvaei5oySBIxdgtNo/edit?pli=1#gid=257618397"",""stock untanna!B:C""),2,false),V:V)"),"GARISAN 30CM KAYAGI 3122")</f>
        <v>GARISAN 30CM KAYAGI 3122</v>
      </c>
      <c r="F4306" s="49"/>
      <c r="G4306" s="71"/>
      <c r="H4306" s="41"/>
      <c r="I4306" s="42"/>
      <c r="J4306" s="85" t="s">
        <v>1319</v>
      </c>
      <c r="K4306" s="93">
        <v>8.0</v>
      </c>
      <c r="L4306" s="112" t="s">
        <v>62</v>
      </c>
      <c r="M4306" s="113">
        <v>27500.0</v>
      </c>
      <c r="N4306" s="74"/>
      <c r="O4306" s="87">
        <f t="shared" si="11"/>
        <v>220000</v>
      </c>
      <c r="P4306" s="102" t="str">
        <f t="shared" si="2"/>
        <v>Rp27,500-8 LSN-0.00%</v>
      </c>
      <c r="Q4306" s="92">
        <v>45426.0</v>
      </c>
      <c r="R4306" s="114">
        <v>45420.0</v>
      </c>
      <c r="S4306" s="92">
        <v>45432.0</v>
      </c>
      <c r="T4306" s="49"/>
      <c r="V4306" s="21" t="s">
        <v>364</v>
      </c>
    </row>
    <row r="4307">
      <c r="A4307" s="93">
        <v>1575.0</v>
      </c>
      <c r="B4307" s="77" t="s">
        <v>29</v>
      </c>
      <c r="C4307" s="77" t="s">
        <v>1447</v>
      </c>
      <c r="D4307" s="77" t="s">
        <v>366</v>
      </c>
      <c r="E4307" s="41" t="str">
        <f>IFERROR(__xludf.DUMMYFUNCTION("IFNA(vlookup(D4307,IMPORTRANGE(""https://docs.google.com/spreadsheets/d/1swGwZOEqYlTEUCJLY-eeJM1911Kvaei5oySBIxdgtNo/edit?pli=1#gid=257618397"",""stock untanna!B:C""),2,false),V:V)"),"GARISAN 30CM KAYAGI 3123")</f>
        <v>GARISAN 30CM KAYAGI 3123</v>
      </c>
      <c r="F4307" s="49"/>
      <c r="G4307" s="71"/>
      <c r="H4307" s="41"/>
      <c r="I4307" s="42"/>
      <c r="J4307" s="85" t="s">
        <v>1319</v>
      </c>
      <c r="K4307" s="93">
        <v>12.0</v>
      </c>
      <c r="L4307" s="112" t="s">
        <v>62</v>
      </c>
      <c r="M4307" s="113">
        <v>27500.0</v>
      </c>
      <c r="N4307" s="74"/>
      <c r="O4307" s="87">
        <f t="shared" si="11"/>
        <v>330000</v>
      </c>
      <c r="P4307" s="102" t="str">
        <f t="shared" si="2"/>
        <v>Rp27,500-12 LSN-0.00%</v>
      </c>
      <c r="Q4307" s="92">
        <v>45426.0</v>
      </c>
      <c r="R4307" s="114">
        <v>45420.0</v>
      </c>
      <c r="S4307" s="92">
        <v>45432.0</v>
      </c>
      <c r="T4307" s="49"/>
      <c r="V4307" s="21" t="s">
        <v>367</v>
      </c>
    </row>
    <row r="4308">
      <c r="A4308" s="93">
        <v>1575.0</v>
      </c>
      <c r="B4308" s="77" t="s">
        <v>29</v>
      </c>
      <c r="C4308" s="77" t="s">
        <v>1447</v>
      </c>
      <c r="D4308" s="77" t="s">
        <v>1597</v>
      </c>
      <c r="E4308" s="41" t="str">
        <f>IFERROR(__xludf.DUMMYFUNCTION("IFNA(vlookup(D4308,IMPORTRANGE(""https://docs.google.com/spreadsheets/d/1swGwZOEqYlTEUCJLY-eeJM1911Kvaei5oySBIxdgtNo/edit?pli=1#gid=257618397"",""stock untanna!B:C""),2,false),V:V)"),"GARISAN KAYAGI 3124 30CM")</f>
        <v>GARISAN KAYAGI 3124 30CM</v>
      </c>
      <c r="F4308" s="49"/>
      <c r="G4308" s="71"/>
      <c r="H4308" s="41"/>
      <c r="I4308" s="42"/>
      <c r="J4308" s="85" t="s">
        <v>1319</v>
      </c>
      <c r="K4308" s="93">
        <v>12.0</v>
      </c>
      <c r="L4308" s="112" t="s">
        <v>62</v>
      </c>
      <c r="M4308" s="113">
        <v>27500.0</v>
      </c>
      <c r="N4308" s="74"/>
      <c r="O4308" s="87">
        <f t="shared" si="11"/>
        <v>330000</v>
      </c>
      <c r="P4308" s="102" t="str">
        <f t="shared" si="2"/>
        <v>Rp27,500-12 LSN-0.00%</v>
      </c>
      <c r="Q4308" s="92">
        <v>45426.0</v>
      </c>
      <c r="R4308" s="114">
        <v>45414.0</v>
      </c>
      <c r="S4308" s="92">
        <v>45432.0</v>
      </c>
      <c r="T4308" s="49"/>
      <c r="V4308" s="21" t="s">
        <v>1598</v>
      </c>
    </row>
    <row r="4309">
      <c r="A4309" s="93">
        <v>1575.0</v>
      </c>
      <c r="B4309" s="77" t="s">
        <v>29</v>
      </c>
      <c r="C4309" s="77" t="s">
        <v>1447</v>
      </c>
      <c r="D4309" s="77" t="s">
        <v>372</v>
      </c>
      <c r="E4309" s="41" t="str">
        <f>IFERROR(__xludf.DUMMYFUNCTION("IFNA(vlookup(D4309,IMPORTRANGE(""https://docs.google.com/spreadsheets/d/1swGwZOEqYlTEUCJLY-eeJM1911Kvaei5oySBIxdgtNo/edit?pli=1#gid=257618397"",""stock untanna!B:C""),2,false),V:V)"),"GARISAN 30CM KAYAGI 3125")</f>
        <v>GARISAN 30CM KAYAGI 3125</v>
      </c>
      <c r="F4309" s="49"/>
      <c r="G4309" s="71"/>
      <c r="H4309" s="41"/>
      <c r="I4309" s="42"/>
      <c r="J4309" s="85" t="s">
        <v>1319</v>
      </c>
      <c r="K4309" s="93">
        <v>12.0</v>
      </c>
      <c r="L4309" s="112" t="s">
        <v>62</v>
      </c>
      <c r="M4309" s="113">
        <v>27500.0</v>
      </c>
      <c r="N4309" s="74"/>
      <c r="O4309" s="87">
        <f t="shared" si="11"/>
        <v>330000</v>
      </c>
      <c r="P4309" s="102" t="str">
        <f t="shared" si="2"/>
        <v>Rp27,500-12 LSN-0.00%</v>
      </c>
      <c r="Q4309" s="92">
        <v>45426.0</v>
      </c>
      <c r="R4309" s="114">
        <v>45420.0</v>
      </c>
      <c r="S4309" s="92">
        <v>45432.0</v>
      </c>
      <c r="T4309" s="49"/>
      <c r="V4309" s="21" t="s">
        <v>373</v>
      </c>
    </row>
    <row r="4310">
      <c r="A4310" s="93">
        <v>1575.0</v>
      </c>
      <c r="B4310" s="77" t="s">
        <v>29</v>
      </c>
      <c r="C4310" s="77" t="s">
        <v>1447</v>
      </c>
      <c r="D4310" s="77" t="s">
        <v>2044</v>
      </c>
      <c r="E4310" s="41" t="str">
        <f>IFERROR(__xludf.DUMMYFUNCTION("IFNA(vlookup(D4310,IMPORTRANGE(""https://docs.google.com/spreadsheets/d/1swGwZOEqYlTEUCJLY-eeJM1911Kvaei5oySBIxdgtNo/edit?pli=1#gid=257618397"",""stock untanna!B:C""),2,false),V:V)"),"BUSINESS FILE SIKA AC-106 BIRU")</f>
        <v>BUSINESS FILE SIKA AC-106 BIRU</v>
      </c>
      <c r="F4310" s="49"/>
      <c r="G4310" s="71"/>
      <c r="H4310" s="41"/>
      <c r="I4310" s="42"/>
      <c r="J4310" s="85" t="s">
        <v>1319</v>
      </c>
      <c r="K4310" s="93">
        <v>100.0</v>
      </c>
      <c r="L4310" s="112" t="s">
        <v>62</v>
      </c>
      <c r="M4310" s="113">
        <v>17500.0</v>
      </c>
      <c r="N4310" s="74"/>
      <c r="O4310" s="87">
        <f t="shared" si="11"/>
        <v>1750000</v>
      </c>
      <c r="P4310" s="102" t="str">
        <f t="shared" si="2"/>
        <v>Rp17,500-100 LSN-0.00%</v>
      </c>
      <c r="Q4310" s="92">
        <v>45426.0</v>
      </c>
      <c r="R4310" s="114">
        <v>45420.0</v>
      </c>
      <c r="S4310" s="92">
        <v>45432.0</v>
      </c>
      <c r="T4310" s="49"/>
      <c r="V4310" s="21" t="s">
        <v>2045</v>
      </c>
    </row>
    <row r="4311">
      <c r="A4311" s="93">
        <v>1575.0</v>
      </c>
      <c r="B4311" s="77" t="s">
        <v>29</v>
      </c>
      <c r="C4311" s="77" t="s">
        <v>1447</v>
      </c>
      <c r="D4311" s="77" t="s">
        <v>2050</v>
      </c>
      <c r="E4311" s="41" t="str">
        <f>IFERROR(__xludf.DUMMYFUNCTION("IFNA(vlookup(D4311,IMPORTRANGE(""https://docs.google.com/spreadsheets/d/1swGwZOEqYlTEUCJLY-eeJM1911Kvaei5oySBIxdgtNo/edit?pli=1#gid=257618397"",""stock untanna!B:C""),2,false),V:V)"),"BUSINESS FILE SIKA AC-106 HIJAU")</f>
        <v>BUSINESS FILE SIKA AC-106 HIJAU</v>
      </c>
      <c r="F4311" s="49"/>
      <c r="G4311" s="71"/>
      <c r="H4311" s="41"/>
      <c r="I4311" s="42"/>
      <c r="J4311" s="85" t="s">
        <v>1319</v>
      </c>
      <c r="K4311" s="93">
        <v>100.0</v>
      </c>
      <c r="L4311" s="112" t="s">
        <v>62</v>
      </c>
      <c r="M4311" s="113">
        <v>17500.0</v>
      </c>
      <c r="N4311" s="74"/>
      <c r="O4311" s="87">
        <f t="shared" si="11"/>
        <v>1750000</v>
      </c>
      <c r="P4311" s="102" t="str">
        <f t="shared" si="2"/>
        <v>Rp17,500-100 LSN-0.00%</v>
      </c>
      <c r="Q4311" s="92">
        <v>45426.0</v>
      </c>
      <c r="R4311" s="114">
        <v>45420.0</v>
      </c>
      <c r="S4311" s="92">
        <v>45432.0</v>
      </c>
      <c r="T4311" s="49"/>
      <c r="V4311" s="21" t="s">
        <v>2051</v>
      </c>
    </row>
    <row r="4312">
      <c r="A4312" s="93">
        <v>1575.0</v>
      </c>
      <c r="B4312" s="77" t="s">
        <v>29</v>
      </c>
      <c r="C4312" s="77" t="s">
        <v>1447</v>
      </c>
      <c r="D4312" s="77" t="s">
        <v>2585</v>
      </c>
      <c r="E4312" s="41" t="str">
        <f>IFERROR(__xludf.DUMMYFUNCTION("IFNA(vlookup(D4312,IMPORTRANGE(""https://docs.google.com/spreadsheets/d/1swGwZOEqYlTEUCJLY-eeJM1911Kvaei5oySBIxdgtNo/edit?pli=1#gid=257618397"",""stock untanna!B:C""),2,false),V:V)"),"BUSINESS FILE SIKA AC-106 PUTIH")</f>
        <v>BUSINESS FILE SIKA AC-106 PUTIH</v>
      </c>
      <c r="F4312" s="49"/>
      <c r="G4312" s="71"/>
      <c r="H4312" s="41"/>
      <c r="I4312" s="42"/>
      <c r="J4312" s="85" t="s">
        <v>1319</v>
      </c>
      <c r="K4312" s="93">
        <v>100.0</v>
      </c>
      <c r="L4312" s="112" t="s">
        <v>62</v>
      </c>
      <c r="M4312" s="113">
        <v>17500.0</v>
      </c>
      <c r="N4312" s="74"/>
      <c r="O4312" s="87">
        <f t="shared" si="11"/>
        <v>1750000</v>
      </c>
      <c r="P4312" s="102" t="str">
        <f t="shared" si="2"/>
        <v>Rp17,500-100 LSN-0.00%</v>
      </c>
      <c r="Q4312" s="92">
        <v>45426.0</v>
      </c>
      <c r="R4312" s="114">
        <v>45420.0</v>
      </c>
      <c r="S4312" s="92">
        <v>45432.0</v>
      </c>
      <c r="T4312" s="49"/>
      <c r="V4312" s="21" t="s">
        <v>2586</v>
      </c>
    </row>
    <row r="4313">
      <c r="A4313" s="93">
        <v>1575.0</v>
      </c>
      <c r="B4313" s="77" t="s">
        <v>29</v>
      </c>
      <c r="C4313" s="77" t="s">
        <v>1447</v>
      </c>
      <c r="D4313" s="77" t="s">
        <v>2048</v>
      </c>
      <c r="E4313" s="41" t="str">
        <f>IFERROR(__xludf.DUMMYFUNCTION("IFNA(vlookup(D4313,IMPORTRANGE(""https://docs.google.com/spreadsheets/d/1swGwZOEqYlTEUCJLY-eeJM1911Kvaei5oySBIxdgtNo/edit?pli=1#gid=257618397"",""stock untanna!B:C""),2,false),V:V)"),"BUSINESS FILE SIKA AC-106 MERAH")</f>
        <v>BUSINESS FILE SIKA AC-106 MERAH</v>
      </c>
      <c r="F4313" s="49"/>
      <c r="G4313" s="71"/>
      <c r="H4313" s="41"/>
      <c r="I4313" s="42"/>
      <c r="J4313" s="85" t="s">
        <v>1319</v>
      </c>
      <c r="K4313" s="93">
        <v>100.0</v>
      </c>
      <c r="L4313" s="112" t="s">
        <v>62</v>
      </c>
      <c r="M4313" s="113">
        <v>17500.0</v>
      </c>
      <c r="N4313" s="74"/>
      <c r="O4313" s="87">
        <f t="shared" si="11"/>
        <v>1750000</v>
      </c>
      <c r="P4313" s="102" t="str">
        <f t="shared" si="2"/>
        <v>Rp17,500-100 LSN-0.00%</v>
      </c>
      <c r="Q4313" s="92">
        <v>45426.0</v>
      </c>
      <c r="R4313" s="114">
        <v>45420.0</v>
      </c>
      <c r="S4313" s="92">
        <v>45432.0</v>
      </c>
      <c r="T4313" s="49"/>
      <c r="V4313" s="21" t="s">
        <v>2049</v>
      </c>
    </row>
    <row r="4314">
      <c r="A4314" s="93">
        <v>1575.0</v>
      </c>
      <c r="B4314" s="77" t="s">
        <v>29</v>
      </c>
      <c r="C4314" s="77" t="s">
        <v>1447</v>
      </c>
      <c r="D4314" s="77" t="s">
        <v>3055</v>
      </c>
      <c r="E4314" s="41" t="str">
        <f>IFERROR(__xludf.DUMMYFUNCTION("IFNA(vlookup(D4314,IMPORTRANGE(""https://docs.google.com/spreadsheets/d/1swGwZOEqYlTEUCJLY-eeJM1911Kvaei5oySBIxdgtNo/edit?pli=1#gid=257618397"",""stock untanna!B:C""),2,false),V:V)"),"PENSIL CASE A-777 + CAL")</f>
        <v>PENSIL CASE A-777 + CAL</v>
      </c>
      <c r="F4314" s="49"/>
      <c r="G4314" s="71"/>
      <c r="H4314" s="41"/>
      <c r="I4314" s="42"/>
      <c r="J4314" s="85" t="s">
        <v>1319</v>
      </c>
      <c r="K4314" s="93">
        <v>60.0</v>
      </c>
      <c r="L4314" s="112" t="s">
        <v>69</v>
      </c>
      <c r="M4314" s="113">
        <v>14166.7</v>
      </c>
      <c r="N4314" s="74"/>
      <c r="O4314" s="87">
        <f t="shared" si="11"/>
        <v>850002</v>
      </c>
      <c r="P4314" s="102" t="str">
        <f t="shared" si="2"/>
        <v>Rp14,167-60 PCS-0.00%</v>
      </c>
      <c r="Q4314" s="92">
        <v>45426.0</v>
      </c>
      <c r="R4314" s="114">
        <v>45420.0</v>
      </c>
      <c r="S4314" s="92">
        <v>45432.0</v>
      </c>
      <c r="T4314" s="49"/>
      <c r="V4314" s="21" t="s">
        <v>3056</v>
      </c>
    </row>
    <row r="4315">
      <c r="A4315" s="93">
        <v>1575.0</v>
      </c>
      <c r="B4315" s="77" t="s">
        <v>29</v>
      </c>
      <c r="C4315" s="77" t="s">
        <v>1447</v>
      </c>
      <c r="D4315" s="77" t="s">
        <v>592</v>
      </c>
      <c r="E4315" s="41" t="str">
        <f>IFERROR(__xludf.DUMMYFUNCTION("IFNA(vlookup(D4315,IMPORTRANGE(""https://docs.google.com/spreadsheets/d/1swGwZOEqYlTEUCJLY-eeJM1911Kvaei5oySBIxdgtNo/edit?pli=1#gid=257618397"",""stock untanna!B:C""),2,false),V:V)"),"PENSIL CASE A-1037 + CAL")</f>
        <v>PENSIL CASE A-1037 + CAL</v>
      </c>
      <c r="F4315" s="49"/>
      <c r="G4315" s="71"/>
      <c r="H4315" s="41"/>
      <c r="I4315" s="42"/>
      <c r="J4315" s="85" t="s">
        <v>1319</v>
      </c>
      <c r="K4315" s="93">
        <v>60.0</v>
      </c>
      <c r="L4315" s="112" t="s">
        <v>69</v>
      </c>
      <c r="M4315" s="113">
        <v>15000.0</v>
      </c>
      <c r="N4315" s="74"/>
      <c r="O4315" s="87">
        <f t="shared" si="11"/>
        <v>900000</v>
      </c>
      <c r="P4315" s="102" t="str">
        <f t="shared" si="2"/>
        <v>Rp15,000-60 PCS-0.00%</v>
      </c>
      <c r="Q4315" s="92">
        <v>45426.0</v>
      </c>
      <c r="R4315" s="114">
        <v>45420.0</v>
      </c>
      <c r="S4315" s="92">
        <v>45432.0</v>
      </c>
      <c r="T4315" s="49"/>
      <c r="V4315" s="21" t="s">
        <v>593</v>
      </c>
    </row>
    <row r="4316">
      <c r="A4316" s="93">
        <v>1575.0</v>
      </c>
      <c r="B4316" s="77" t="s">
        <v>29</v>
      </c>
      <c r="C4316" s="77" t="s">
        <v>1447</v>
      </c>
      <c r="D4316" s="77" t="s">
        <v>2742</v>
      </c>
      <c r="E4316" s="41" t="str">
        <f>IFERROR(__xludf.DUMMYFUNCTION("IFNA(vlookup(D4316,IMPORTRANGE(""https://docs.google.com/spreadsheets/d/1swGwZOEqYlTEUCJLY-eeJM1911Kvaei5oySBIxdgtNo/edit?pli=1#gid=257618397"",""stock untanna!B:C""),2,false),V:V)"),"PENSIL CASE BX-3971")</f>
        <v>PENSIL CASE BX-3971</v>
      </c>
      <c r="F4316" s="49"/>
      <c r="G4316" s="71"/>
      <c r="H4316" s="41"/>
      <c r="I4316" s="42"/>
      <c r="J4316" s="85" t="s">
        <v>1319</v>
      </c>
      <c r="K4316" s="93">
        <v>60.0</v>
      </c>
      <c r="L4316" s="112" t="s">
        <v>69</v>
      </c>
      <c r="M4316" s="113">
        <v>13750.0</v>
      </c>
      <c r="N4316" s="74"/>
      <c r="O4316" s="87">
        <f t="shared" si="11"/>
        <v>825000</v>
      </c>
      <c r="P4316" s="102" t="str">
        <f t="shared" si="2"/>
        <v>Rp13,750-60 PCS-0.00%</v>
      </c>
      <c r="Q4316" s="92">
        <v>45426.0</v>
      </c>
      <c r="R4316" s="114">
        <v>45420.0</v>
      </c>
      <c r="S4316" s="92">
        <v>45432.0</v>
      </c>
      <c r="T4316" s="49"/>
      <c r="V4316" s="21" t="s">
        <v>2743</v>
      </c>
    </row>
    <row r="4317">
      <c r="A4317" s="93">
        <v>1575.0</v>
      </c>
      <c r="B4317" s="77" t="s">
        <v>29</v>
      </c>
      <c r="C4317" s="77" t="s">
        <v>1447</v>
      </c>
      <c r="D4317" s="77" t="s">
        <v>757</v>
      </c>
      <c r="E4317" s="41" t="str">
        <f>IFERROR(__xludf.DUMMYFUNCTION("IFNA(vlookup(D4317,IMPORTRANGE(""https://docs.google.com/spreadsheets/d/1swGwZOEqYlTEUCJLY-eeJM1911Kvaei5oySBIxdgtNo/edit?pli=1#gid=257618397"",""stock untanna!B:C""),2,false),V:V)"),"TIPEX MICROTOP MT 737")</f>
        <v>TIPEX MICROTOP MT 737</v>
      </c>
      <c r="F4317" s="49"/>
      <c r="G4317" s="71"/>
      <c r="H4317" s="41"/>
      <c r="I4317" s="42"/>
      <c r="J4317" s="85" t="s">
        <v>1319</v>
      </c>
      <c r="K4317" s="93">
        <v>48.0</v>
      </c>
      <c r="L4317" s="112" t="s">
        <v>62</v>
      </c>
      <c r="M4317" s="113">
        <v>87500.0</v>
      </c>
      <c r="N4317" s="74"/>
      <c r="O4317" s="87">
        <f t="shared" si="11"/>
        <v>4200000</v>
      </c>
      <c r="P4317" s="102" t="str">
        <f t="shared" si="2"/>
        <v>Rp87,500-48 LSN-0.00%</v>
      </c>
      <c r="Q4317" s="92">
        <v>45426.0</v>
      </c>
      <c r="R4317" s="114">
        <v>45420.0</v>
      </c>
      <c r="S4317" s="92">
        <v>45432.0</v>
      </c>
      <c r="T4317" s="49"/>
      <c r="V4317" s="21" t="s">
        <v>758</v>
      </c>
    </row>
    <row r="4318">
      <c r="A4318" s="93">
        <v>1576.0</v>
      </c>
      <c r="B4318" s="77" t="s">
        <v>29</v>
      </c>
      <c r="C4318" s="77" t="s">
        <v>1447</v>
      </c>
      <c r="D4318" s="77" t="s">
        <v>95</v>
      </c>
      <c r="E4318" s="41" t="str">
        <f>IFERROR(__xludf.DUMMYFUNCTION("IFNA(vlookup(D4318,IMPORTRANGE(""https://docs.google.com/spreadsheets/d/1swGwZOEqYlTEUCJLY-eeJM1911Kvaei5oySBIxdgtNo/edit?pli=1#gid=257618397"",""stock untanna!B:C""),2,false),V:V)"),"PENCIL CASE MAGNET 8631 + CALL")</f>
        <v>PENCIL CASE MAGNET 8631 + CALL</v>
      </c>
      <c r="F4318" s="49"/>
      <c r="G4318" s="71"/>
      <c r="H4318" s="41"/>
      <c r="I4318" s="42"/>
      <c r="J4318" s="85" t="s">
        <v>1319</v>
      </c>
      <c r="K4318" s="93">
        <v>60.0</v>
      </c>
      <c r="L4318" s="112" t="s">
        <v>69</v>
      </c>
      <c r="M4318" s="113">
        <v>15000.0</v>
      </c>
      <c r="N4318" s="115">
        <v>0.1</v>
      </c>
      <c r="O4318" s="87">
        <f t="shared" si="11"/>
        <v>810000</v>
      </c>
      <c r="P4318" s="102" t="str">
        <f t="shared" si="2"/>
        <v>Rp15,000-60 PCS-10.00%</v>
      </c>
      <c r="Q4318" s="92">
        <v>45426.0</v>
      </c>
      <c r="R4318" s="114">
        <v>45422.0</v>
      </c>
      <c r="S4318" s="92">
        <v>45432.0</v>
      </c>
      <c r="T4318" s="49"/>
      <c r="V4318" s="21" t="s">
        <v>96</v>
      </c>
    </row>
    <row r="4319">
      <c r="A4319" s="93">
        <v>1576.0</v>
      </c>
      <c r="B4319" s="77" t="s">
        <v>29</v>
      </c>
      <c r="C4319" s="77" t="s">
        <v>1447</v>
      </c>
      <c r="D4319" s="77" t="s">
        <v>3063</v>
      </c>
      <c r="E4319" s="41" t="str">
        <f>IFERROR(__xludf.DUMMYFUNCTION("IFNA(vlookup(D4319,IMPORTRANGE(""https://docs.google.com/spreadsheets/d/1swGwZOEqYlTEUCJLY-eeJM1911Kvaei5oySBIxdgtNo/edit?pli=1#gid=257618397"",""stock untanna!B:C""),2,false),V:V)"),"PC MAGNIT CALL MC 7121")</f>
        <v>PC MAGNIT CALL MC 7121</v>
      </c>
      <c r="F4319" s="49"/>
      <c r="G4319" s="71"/>
      <c r="H4319" s="41"/>
      <c r="I4319" s="42"/>
      <c r="J4319" s="85" t="s">
        <v>1319</v>
      </c>
      <c r="K4319" s="93">
        <v>5.0</v>
      </c>
      <c r="L4319" s="112" t="s">
        <v>62</v>
      </c>
      <c r="M4319" s="113">
        <v>225000.0</v>
      </c>
      <c r="N4319" s="115">
        <v>0.1</v>
      </c>
      <c r="O4319" s="87">
        <f t="shared" si="11"/>
        <v>1012500</v>
      </c>
      <c r="P4319" s="102" t="str">
        <f t="shared" si="2"/>
        <v>Rp225,000-5 LSN-10.00%</v>
      </c>
      <c r="Q4319" s="92">
        <v>45426.0</v>
      </c>
      <c r="R4319" s="114">
        <v>45422.0</v>
      </c>
      <c r="S4319" s="92">
        <v>45432.0</v>
      </c>
      <c r="T4319" s="77" t="s">
        <v>280</v>
      </c>
      <c r="V4319" s="21" t="s">
        <v>3064</v>
      </c>
    </row>
    <row r="4320">
      <c r="A4320" s="93">
        <v>1576.0</v>
      </c>
      <c r="B4320" s="77" t="s">
        <v>29</v>
      </c>
      <c r="C4320" s="77" t="s">
        <v>1447</v>
      </c>
      <c r="D4320" s="77" t="s">
        <v>2086</v>
      </c>
      <c r="E4320" s="41" t="str">
        <f>IFERROR(__xludf.DUMMYFUNCTION("IFNA(vlookup(D4320,IMPORTRANGE(""https://docs.google.com/spreadsheets/d/1swGwZOEqYlTEUCJLY-eeJM1911Kvaei5oySBIxdgtNo/edit?pli=1#gid=257618397"",""stock untanna!B:C""),2,false),V:V)"),"PC MAGNIT CC 7806 + CALL")</f>
        <v>PC MAGNIT CC 7806 + CALL</v>
      </c>
      <c r="F4320" s="49"/>
      <c r="G4320" s="71"/>
      <c r="H4320" s="41"/>
      <c r="I4320" s="42"/>
      <c r="J4320" s="85" t="s">
        <v>1319</v>
      </c>
      <c r="K4320" s="93">
        <v>5.0</v>
      </c>
      <c r="L4320" s="112" t="s">
        <v>62</v>
      </c>
      <c r="M4320" s="113">
        <v>180000.0</v>
      </c>
      <c r="N4320" s="115">
        <v>0.1</v>
      </c>
      <c r="O4320" s="87">
        <f t="shared" si="11"/>
        <v>810000</v>
      </c>
      <c r="P4320" s="102" t="str">
        <f t="shared" si="2"/>
        <v>Rp180,000-5 LSN-10.00%</v>
      </c>
      <c r="Q4320" s="92">
        <v>45426.0</v>
      </c>
      <c r="R4320" s="114">
        <v>45422.0</v>
      </c>
      <c r="S4320" s="92">
        <v>45432.0</v>
      </c>
      <c r="T4320" s="77" t="s">
        <v>280</v>
      </c>
      <c r="V4320" s="21" t="s">
        <v>2087</v>
      </c>
    </row>
    <row r="4321">
      <c r="A4321" s="93">
        <v>1576.0</v>
      </c>
      <c r="B4321" s="77" t="s">
        <v>29</v>
      </c>
      <c r="C4321" s="77" t="s">
        <v>1447</v>
      </c>
      <c r="D4321" s="91"/>
      <c r="E4321" s="41" t="str">
        <f>IFERROR(__xludf.DUMMYFUNCTION("IFNA(vlookup(D4321,IMPORTRANGE(""https://docs.google.com/spreadsheets/d/1swGwZOEqYlTEUCJLY-eeJM1911Kvaei5oySBIxdgtNo/edit?pli=1#gid=257618397"",""stock untanna!B:C""),2,false),V:V)"),"BP GEL ZHIXIN 3167")</f>
        <v>BP GEL ZHIXIN 3167</v>
      </c>
      <c r="F4321" s="49"/>
      <c r="G4321" s="71"/>
      <c r="H4321" s="41"/>
      <c r="I4321" s="42"/>
      <c r="J4321" s="85" t="s">
        <v>3190</v>
      </c>
      <c r="K4321" s="93">
        <v>36.0</v>
      </c>
      <c r="L4321" s="112" t="s">
        <v>62</v>
      </c>
      <c r="M4321" s="113">
        <v>18000.0</v>
      </c>
      <c r="N4321" s="74"/>
      <c r="O4321" s="87">
        <f t="shared" si="11"/>
        <v>648000</v>
      </c>
      <c r="P4321" s="102" t="str">
        <f t="shared" si="2"/>
        <v>Rp18,000-36 LSN-0.00%</v>
      </c>
      <c r="Q4321" s="92">
        <v>45426.0</v>
      </c>
      <c r="R4321" s="114">
        <v>45425.0</v>
      </c>
      <c r="S4321" s="92">
        <v>45432.0</v>
      </c>
      <c r="T4321" s="49"/>
      <c r="V4321" s="21" t="s">
        <v>3774</v>
      </c>
    </row>
    <row r="4322">
      <c r="A4322" s="93">
        <v>1576.0</v>
      </c>
      <c r="B4322" s="77" t="s">
        <v>29</v>
      </c>
      <c r="C4322" s="77" t="s">
        <v>1447</v>
      </c>
      <c r="D4322" s="77" t="s">
        <v>3674</v>
      </c>
      <c r="E4322" s="41" t="str">
        <f>IFERROR(__xludf.DUMMYFUNCTION("IFNA(vlookup(D4322,IMPORTRANGE(""https://docs.google.com/spreadsheets/d/1swGwZOEqYlTEUCJLY-eeJM1911Kvaei5oySBIxdgtNo/edit?pli=1#gid=257618397"",""stock untanna!B:C""),2,false),V:V)"),"BP GEL ZHIXIN G 3156")</f>
        <v>BP GEL ZHIXIN G 3156</v>
      </c>
      <c r="F4322" s="49"/>
      <c r="G4322" s="71"/>
      <c r="H4322" s="41"/>
      <c r="I4322" s="42"/>
      <c r="J4322" s="85" t="s">
        <v>1319</v>
      </c>
      <c r="K4322" s="93">
        <v>36.0</v>
      </c>
      <c r="L4322" s="112" t="s">
        <v>62</v>
      </c>
      <c r="M4322" s="113">
        <v>18000.0</v>
      </c>
      <c r="N4322" s="74"/>
      <c r="O4322" s="87">
        <f t="shared" si="11"/>
        <v>648000</v>
      </c>
      <c r="P4322" s="102" t="str">
        <f t="shared" si="2"/>
        <v>Rp18,000-36 LSN-0.00%</v>
      </c>
      <c r="Q4322" s="92">
        <v>45426.0</v>
      </c>
      <c r="R4322" s="114">
        <v>45425.0</v>
      </c>
      <c r="S4322" s="92">
        <v>45432.0</v>
      </c>
      <c r="T4322" s="49"/>
      <c r="V4322" s="21" t="s">
        <v>3675</v>
      </c>
    </row>
    <row r="4323">
      <c r="A4323" s="93">
        <v>1576.0</v>
      </c>
      <c r="B4323" s="77" t="s">
        <v>29</v>
      </c>
      <c r="C4323" s="77" t="s">
        <v>1447</v>
      </c>
      <c r="D4323" s="91"/>
      <c r="E4323" s="41" t="str">
        <f>IFERROR(__xludf.DUMMYFUNCTION("IFNA(vlookup(D4323,IMPORTRANGE(""https://docs.google.com/spreadsheets/d/1swGwZOEqYlTEUCJLY-eeJM1911Kvaei5oySBIxdgtNo/edit?pli=1#gid=257618397"",""stock untanna!B:C""),2,false),V:V)"),"BP GEL ZHIXIN 3162")</f>
        <v>BP GEL ZHIXIN 3162</v>
      </c>
      <c r="F4323" s="49"/>
      <c r="G4323" s="71"/>
      <c r="H4323" s="41"/>
      <c r="I4323" s="42"/>
      <c r="J4323" s="85" t="s">
        <v>3190</v>
      </c>
      <c r="K4323" s="93">
        <v>36.0</v>
      </c>
      <c r="L4323" s="112" t="s">
        <v>62</v>
      </c>
      <c r="M4323" s="113">
        <v>18000.0</v>
      </c>
      <c r="N4323" s="74"/>
      <c r="O4323" s="87">
        <f t="shared" si="11"/>
        <v>648000</v>
      </c>
      <c r="P4323" s="102" t="str">
        <f t="shared" si="2"/>
        <v>Rp18,000-36 LSN-0.00%</v>
      </c>
      <c r="Q4323" s="92">
        <v>45426.0</v>
      </c>
      <c r="R4323" s="114">
        <v>45425.0</v>
      </c>
      <c r="S4323" s="92">
        <v>45432.0</v>
      </c>
      <c r="T4323" s="49"/>
      <c r="V4323" s="21" t="s">
        <v>3775</v>
      </c>
    </row>
    <row r="4324">
      <c r="A4324" s="93">
        <v>1576.0</v>
      </c>
      <c r="B4324" s="77" t="s">
        <v>29</v>
      </c>
      <c r="C4324" s="77" t="s">
        <v>1447</v>
      </c>
      <c r="D4324" s="91"/>
      <c r="E4324" s="41" t="str">
        <f>IFERROR(__xludf.DUMMYFUNCTION("IFNA(vlookup(D4324,IMPORTRANGE(""https://docs.google.com/spreadsheets/d/1swGwZOEqYlTEUCJLY-eeJM1911Kvaei5oySBIxdgtNo/edit?pli=1#gid=257618397"",""stock untanna!B:C""),2,false),V:V)"),"BP GEL ZHIXIN 5005")</f>
        <v>BP GEL ZHIXIN 5005</v>
      </c>
      <c r="F4324" s="49"/>
      <c r="G4324" s="71"/>
      <c r="H4324" s="41"/>
      <c r="I4324" s="42"/>
      <c r="J4324" s="85" t="s">
        <v>3190</v>
      </c>
      <c r="K4324" s="93">
        <v>36.0</v>
      </c>
      <c r="L4324" s="112" t="s">
        <v>62</v>
      </c>
      <c r="M4324" s="113">
        <v>18000.0</v>
      </c>
      <c r="N4324" s="74"/>
      <c r="O4324" s="87">
        <f t="shared" si="11"/>
        <v>648000</v>
      </c>
      <c r="P4324" s="102" t="str">
        <f t="shared" si="2"/>
        <v>Rp18,000-36 LSN-0.00%</v>
      </c>
      <c r="Q4324" s="92">
        <v>45426.0</v>
      </c>
      <c r="R4324" s="114">
        <v>45425.0</v>
      </c>
      <c r="S4324" s="92">
        <v>45432.0</v>
      </c>
      <c r="T4324" s="49"/>
      <c r="V4324" s="21" t="s">
        <v>3776</v>
      </c>
    </row>
    <row r="4325">
      <c r="A4325" s="93">
        <v>1576.0</v>
      </c>
      <c r="B4325" s="77" t="s">
        <v>29</v>
      </c>
      <c r="C4325" s="77" t="s">
        <v>1447</v>
      </c>
      <c r="D4325" s="91"/>
      <c r="E4325" s="41" t="str">
        <f>IFERROR(__xludf.DUMMYFUNCTION("IFNA(vlookup(D4325,IMPORTRANGE(""https://docs.google.com/spreadsheets/d/1swGwZOEqYlTEUCJLY-eeJM1911Kvaei5oySBIxdgtNo/edit?pli=1#gid=257618397"",""stock untanna!B:C""),2,false),V:V)"),"BP GEL ZHIXIN 3119")</f>
        <v>BP GEL ZHIXIN 3119</v>
      </c>
      <c r="F4325" s="49"/>
      <c r="G4325" s="71"/>
      <c r="H4325" s="41"/>
      <c r="I4325" s="42"/>
      <c r="J4325" s="85" t="s">
        <v>3190</v>
      </c>
      <c r="K4325" s="93">
        <v>36.0</v>
      </c>
      <c r="L4325" s="112" t="s">
        <v>62</v>
      </c>
      <c r="M4325" s="113">
        <v>18000.0</v>
      </c>
      <c r="N4325" s="74"/>
      <c r="O4325" s="87">
        <f t="shared" si="11"/>
        <v>648000</v>
      </c>
      <c r="P4325" s="102" t="str">
        <f t="shared" si="2"/>
        <v>Rp18,000-36 LSN-0.00%</v>
      </c>
      <c r="Q4325" s="92">
        <v>45426.0</v>
      </c>
      <c r="R4325" s="114">
        <v>45425.0</v>
      </c>
      <c r="S4325" s="92">
        <v>45432.0</v>
      </c>
      <c r="T4325" s="49"/>
      <c r="V4325" s="21" t="s">
        <v>3777</v>
      </c>
    </row>
    <row r="4326">
      <c r="A4326" s="93">
        <v>1576.0</v>
      </c>
      <c r="B4326" s="77" t="s">
        <v>29</v>
      </c>
      <c r="C4326" s="77" t="s">
        <v>1447</v>
      </c>
      <c r="D4326" s="91"/>
      <c r="E4326" s="41" t="str">
        <f>IFERROR(__xludf.DUMMYFUNCTION("IFNA(vlookup(D4326,IMPORTRANGE(""https://docs.google.com/spreadsheets/d/1swGwZOEqYlTEUCJLY-eeJM1911Kvaei5oySBIxdgtNo/edit?pli=1#gid=257618397"",""stock untanna!B:C""),2,false),V:V)"),"BP GEL ZHIXIN 3125")</f>
        <v>BP GEL ZHIXIN 3125</v>
      </c>
      <c r="F4326" s="49"/>
      <c r="G4326" s="71"/>
      <c r="H4326" s="41"/>
      <c r="I4326" s="42"/>
      <c r="J4326" s="85" t="s">
        <v>3190</v>
      </c>
      <c r="K4326" s="93">
        <v>36.0</v>
      </c>
      <c r="L4326" s="112" t="s">
        <v>62</v>
      </c>
      <c r="M4326" s="113">
        <v>18000.0</v>
      </c>
      <c r="N4326" s="74"/>
      <c r="O4326" s="87">
        <f t="shared" si="11"/>
        <v>648000</v>
      </c>
      <c r="P4326" s="102" t="str">
        <f t="shared" si="2"/>
        <v>Rp18,000-36 LSN-0.00%</v>
      </c>
      <c r="Q4326" s="92">
        <v>45426.0</v>
      </c>
      <c r="R4326" s="114">
        <v>45425.0</v>
      </c>
      <c r="S4326" s="92">
        <v>45432.0</v>
      </c>
      <c r="T4326" s="49"/>
      <c r="V4326" s="21" t="s">
        <v>3778</v>
      </c>
    </row>
    <row r="4327">
      <c r="A4327" s="93">
        <v>1576.0</v>
      </c>
      <c r="B4327" s="77" t="s">
        <v>29</v>
      </c>
      <c r="C4327" s="77" t="s">
        <v>1447</v>
      </c>
      <c r="D4327" s="77" t="s">
        <v>1366</v>
      </c>
      <c r="E4327" s="41" t="str">
        <f>IFERROR(__xludf.DUMMYFUNCTION("IFNA(vlookup(D4327,IMPORTRANGE(""https://docs.google.com/spreadsheets/d/1swGwZOEqYlTEUCJLY-eeJM1911Kvaei5oySBIxdgtNo/edit?pli=1#gid=257618397"",""stock untanna!B:C""),2,false),V:V)"),"BP GEL ZHIXIN G 3122")</f>
        <v>BP GEL ZHIXIN G 3122</v>
      </c>
      <c r="F4327" s="49"/>
      <c r="G4327" s="71"/>
      <c r="H4327" s="41"/>
      <c r="I4327" s="42"/>
      <c r="J4327" s="85" t="s">
        <v>1319</v>
      </c>
      <c r="K4327" s="93">
        <v>36.0</v>
      </c>
      <c r="L4327" s="112" t="s">
        <v>62</v>
      </c>
      <c r="M4327" s="113">
        <v>18000.0</v>
      </c>
      <c r="N4327" s="74"/>
      <c r="O4327" s="87">
        <f t="shared" si="11"/>
        <v>648000</v>
      </c>
      <c r="P4327" s="102" t="str">
        <f t="shared" si="2"/>
        <v>Rp18,000-36 LSN-0.00%</v>
      </c>
      <c r="Q4327" s="92">
        <v>45426.0</v>
      </c>
      <c r="R4327" s="114">
        <v>45425.0</v>
      </c>
      <c r="S4327" s="92">
        <v>45432.0</v>
      </c>
      <c r="T4327" s="49"/>
      <c r="V4327" s="21" t="s">
        <v>1367</v>
      </c>
    </row>
    <row r="4328">
      <c r="A4328" s="93">
        <v>1576.0</v>
      </c>
      <c r="B4328" s="77" t="s">
        <v>29</v>
      </c>
      <c r="C4328" s="77" t="s">
        <v>1447</v>
      </c>
      <c r="D4328" s="77" t="s">
        <v>3779</v>
      </c>
      <c r="E4328" s="41" t="str">
        <f>IFERROR(__xludf.DUMMYFUNCTION("IFNA(vlookup(D4328,IMPORTRANGE(""https://docs.google.com/spreadsheets/d/1swGwZOEqYlTEUCJLY-eeJM1911Kvaei5oySBIxdgtNo/edit?pli=1#gid=257618397"",""stock untanna!B:C""),2,false),V:V)"),"BP GEL ZHIXIN G 3129")</f>
        <v>BP GEL ZHIXIN G 3129</v>
      </c>
      <c r="F4328" s="49"/>
      <c r="G4328" s="71"/>
      <c r="H4328" s="41"/>
      <c r="I4328" s="42"/>
      <c r="J4328" s="85" t="s">
        <v>1319</v>
      </c>
      <c r="K4328" s="93">
        <v>36.0</v>
      </c>
      <c r="L4328" s="112" t="s">
        <v>62</v>
      </c>
      <c r="M4328" s="113">
        <v>18000.0</v>
      </c>
      <c r="N4328" s="74"/>
      <c r="O4328" s="87">
        <f t="shared" si="11"/>
        <v>648000</v>
      </c>
      <c r="P4328" s="102" t="str">
        <f t="shared" si="2"/>
        <v>Rp18,000-36 LSN-0.00%</v>
      </c>
      <c r="Q4328" s="92">
        <v>45426.0</v>
      </c>
      <c r="R4328" s="114">
        <v>45425.0</v>
      </c>
      <c r="S4328" s="92">
        <v>45432.0</v>
      </c>
      <c r="T4328" s="77" t="s">
        <v>280</v>
      </c>
      <c r="V4328" s="21" t="s">
        <v>3757</v>
      </c>
    </row>
    <row r="4329">
      <c r="A4329" s="93">
        <v>1576.0</v>
      </c>
      <c r="B4329" s="77" t="s">
        <v>29</v>
      </c>
      <c r="C4329" s="77" t="s">
        <v>1447</v>
      </c>
      <c r="D4329" s="77" t="s">
        <v>1364</v>
      </c>
      <c r="E4329" s="41" t="str">
        <f>IFERROR(__xludf.DUMMYFUNCTION("IFNA(vlookup(D4329,IMPORTRANGE(""https://docs.google.com/spreadsheets/d/1swGwZOEqYlTEUCJLY-eeJM1911Kvaei5oySBIxdgtNo/edit?pli=1#gid=257618397"",""stock untanna!B:C""),2,false),V:V)"),"BP GEL ZHIXIN G 3164")</f>
        <v>BP GEL ZHIXIN G 3164</v>
      </c>
      <c r="F4329" s="49"/>
      <c r="G4329" s="71"/>
      <c r="H4329" s="41"/>
      <c r="I4329" s="42"/>
      <c r="J4329" s="85" t="s">
        <v>1319</v>
      </c>
      <c r="K4329" s="93">
        <v>36.0</v>
      </c>
      <c r="L4329" s="112" t="s">
        <v>62</v>
      </c>
      <c r="M4329" s="113">
        <v>18000.0</v>
      </c>
      <c r="N4329" s="74"/>
      <c r="O4329" s="87">
        <f t="shared" si="11"/>
        <v>648000</v>
      </c>
      <c r="P4329" s="102" t="str">
        <f t="shared" si="2"/>
        <v>Rp18,000-36 LSN-0.00%</v>
      </c>
      <c r="Q4329" s="92">
        <v>45426.0</v>
      </c>
      <c r="R4329" s="114">
        <v>45425.0</v>
      </c>
      <c r="S4329" s="92">
        <v>45432.0</v>
      </c>
      <c r="T4329" s="49"/>
      <c r="V4329" s="21" t="s">
        <v>1365</v>
      </c>
    </row>
    <row r="4330">
      <c r="A4330" s="93">
        <v>1576.0</v>
      </c>
      <c r="B4330" s="77" t="s">
        <v>29</v>
      </c>
      <c r="C4330" s="77" t="s">
        <v>1447</v>
      </c>
      <c r="D4330" s="91"/>
      <c r="E4330" s="41" t="str">
        <f>IFERROR(__xludf.DUMMYFUNCTION("IFNA(vlookup(D4330,IMPORTRANGE(""https://docs.google.com/spreadsheets/d/1swGwZOEqYlTEUCJLY-eeJM1911Kvaei5oySBIxdgtNo/edit?pli=1#gid=257618397"",""stock untanna!B:C""),2,false),V:V)"),"BP GEL ZJIXIN 3118")</f>
        <v>BP GEL ZJIXIN 3118</v>
      </c>
      <c r="F4330" s="49"/>
      <c r="G4330" s="71"/>
      <c r="H4330" s="41"/>
      <c r="I4330" s="42"/>
      <c r="J4330" s="85" t="s">
        <v>3190</v>
      </c>
      <c r="K4330" s="93">
        <v>36.0</v>
      </c>
      <c r="L4330" s="112" t="s">
        <v>62</v>
      </c>
      <c r="M4330" s="113">
        <v>18000.0</v>
      </c>
      <c r="N4330" s="74"/>
      <c r="O4330" s="87">
        <f t="shared" si="11"/>
        <v>648000</v>
      </c>
      <c r="P4330" s="102" t="str">
        <f t="shared" si="2"/>
        <v>Rp18,000-36 LSN-0.00%</v>
      </c>
      <c r="Q4330" s="92">
        <v>45426.0</v>
      </c>
      <c r="R4330" s="114">
        <v>45425.0</v>
      </c>
      <c r="S4330" s="92">
        <v>45432.0</v>
      </c>
      <c r="T4330" s="49"/>
      <c r="V4330" s="21" t="s">
        <v>3780</v>
      </c>
    </row>
    <row r="4331">
      <c r="A4331" s="93">
        <v>27.0</v>
      </c>
      <c r="B4331" s="77" t="s">
        <v>58</v>
      </c>
      <c r="C4331" s="77" t="s">
        <v>837</v>
      </c>
      <c r="D4331" s="91"/>
      <c r="E4331" s="41" t="str">
        <f>IFERROR(__xludf.DUMMYFUNCTION("IFNA(vlookup(D4331,IMPORTRANGE(""https://docs.google.com/spreadsheets/d/1swGwZOEqYlTEUCJLY-eeJM1911Kvaei5oySBIxdgtNo/edit?pli=1#gid=257618397"",""stock untanna!B:C""),2,false),V:V)"),"PITA KADO 12MM BIASA MIX")</f>
        <v>PITA KADO 12MM BIASA MIX</v>
      </c>
      <c r="F4331" s="49"/>
      <c r="G4331" s="71"/>
      <c r="H4331" s="41"/>
      <c r="I4331" s="42"/>
      <c r="J4331" s="85" t="s">
        <v>3190</v>
      </c>
      <c r="K4331" s="93">
        <v>500.0</v>
      </c>
      <c r="L4331" s="112" t="s">
        <v>114</v>
      </c>
      <c r="M4331" s="113">
        <v>900.0</v>
      </c>
      <c r="N4331" s="74"/>
      <c r="O4331" s="87">
        <f t="shared" si="11"/>
        <v>450000</v>
      </c>
      <c r="P4331" s="102" t="str">
        <f t="shared" si="2"/>
        <v>Rp900-500 PAK-0.00%</v>
      </c>
      <c r="Q4331" s="92">
        <v>45426.0</v>
      </c>
      <c r="R4331" s="76"/>
      <c r="S4331" s="92">
        <v>45432.0</v>
      </c>
      <c r="T4331" s="49"/>
      <c r="V4331" s="21" t="s">
        <v>3781</v>
      </c>
    </row>
    <row r="4332">
      <c r="A4332" s="93">
        <v>27.0</v>
      </c>
      <c r="B4332" s="77" t="s">
        <v>58</v>
      </c>
      <c r="C4332" s="77" t="s">
        <v>837</v>
      </c>
      <c r="D4332" s="77" t="s">
        <v>3706</v>
      </c>
      <c r="E4332" s="41" t="str">
        <f>IFERROR(__xludf.DUMMYFUNCTION("IFNA(vlookup(D4332,IMPORTRANGE(""https://docs.google.com/spreadsheets/d/1swGwZOEqYlTEUCJLY-eeJM1911Kvaei5oySBIxdgtNo/edit?pli=1#gid=257618397"",""stock untanna!B:C""),2,false),V:V)"),"PITA TARIK/KADO 30-1 RENDA")</f>
        <v>PITA TARIK/KADO 30-1 RENDA</v>
      </c>
      <c r="F4332" s="49"/>
      <c r="G4332" s="71"/>
      <c r="H4332" s="41"/>
      <c r="I4332" s="42"/>
      <c r="J4332" s="85" t="s">
        <v>1319</v>
      </c>
      <c r="K4332" s="93">
        <v>300.0</v>
      </c>
      <c r="L4332" s="112" t="s">
        <v>114</v>
      </c>
      <c r="M4332" s="113">
        <v>3000.0</v>
      </c>
      <c r="N4332" s="74"/>
      <c r="O4332" s="87">
        <f t="shared" si="11"/>
        <v>900000</v>
      </c>
      <c r="P4332" s="102" t="str">
        <f t="shared" si="2"/>
        <v>Rp3,000-300 PAK-0.00%</v>
      </c>
      <c r="Q4332" s="92">
        <v>45426.0</v>
      </c>
      <c r="R4332" s="76"/>
      <c r="S4332" s="92">
        <v>45432.0</v>
      </c>
      <c r="T4332" s="77" t="s">
        <v>3558</v>
      </c>
      <c r="V4332" s="21" t="s">
        <v>3707</v>
      </c>
    </row>
    <row r="4333">
      <c r="A4333" s="93">
        <v>27.0</v>
      </c>
      <c r="B4333" s="77" t="s">
        <v>58</v>
      </c>
      <c r="C4333" s="77" t="s">
        <v>837</v>
      </c>
      <c r="D4333" s="91"/>
      <c r="E4333" s="41" t="str">
        <f>IFERROR(__xludf.DUMMYFUNCTION("IFNA(vlookup(D4333,IMPORTRANGE(""https://docs.google.com/spreadsheets/d/1swGwZOEqYlTEUCJLY-eeJM1911Kvaei5oySBIxdgtNo/edit?pli=1#gid=257618397"",""stock untanna!B:C""),2,false),V:V)"),"PULL RIBBON HC-30")</f>
        <v>PULL RIBBON HC-30</v>
      </c>
      <c r="F4333" s="49"/>
      <c r="G4333" s="71"/>
      <c r="H4333" s="41"/>
      <c r="I4333" s="42"/>
      <c r="J4333" s="85" t="s">
        <v>1319</v>
      </c>
      <c r="K4333" s="93">
        <v>300.0</v>
      </c>
      <c r="L4333" s="112" t="s">
        <v>114</v>
      </c>
      <c r="M4333" s="113">
        <v>4000.0</v>
      </c>
      <c r="N4333" s="74"/>
      <c r="O4333" s="87">
        <f t="shared" si="11"/>
        <v>1200000</v>
      </c>
      <c r="P4333" s="102" t="str">
        <f t="shared" si="2"/>
        <v>Rp4,000-300 PAK-0.00%</v>
      </c>
      <c r="Q4333" s="92">
        <v>45426.0</v>
      </c>
      <c r="R4333" s="76"/>
      <c r="S4333" s="92">
        <v>45432.0</v>
      </c>
      <c r="T4333" s="77" t="s">
        <v>280</v>
      </c>
      <c r="V4333" s="21" t="s">
        <v>2622</v>
      </c>
    </row>
    <row r="4334">
      <c r="A4334" s="93">
        <v>27.0</v>
      </c>
      <c r="B4334" s="77" t="s">
        <v>58</v>
      </c>
      <c r="C4334" s="77" t="s">
        <v>837</v>
      </c>
      <c r="D4334" s="77" t="s">
        <v>2615</v>
      </c>
      <c r="E4334" s="41" t="str">
        <f>IFERROR(__xludf.DUMMYFUNCTION("IFNA(vlookup(D4334,IMPORTRANGE(""https://docs.google.com/spreadsheets/d/1swGwZOEqYlTEUCJLY-eeJM1911Kvaei5oySBIxdgtNo/edit?pli=1#gid=257618397"",""stock untanna!B:C""),2,false),V:V)"),"PITA CH-30")</f>
        <v>PITA CH-30</v>
      </c>
      <c r="F4334" s="49"/>
      <c r="G4334" s="71"/>
      <c r="H4334" s="41"/>
      <c r="I4334" s="42"/>
      <c r="J4334" s="85" t="s">
        <v>1319</v>
      </c>
      <c r="K4334" s="93">
        <v>300.0</v>
      </c>
      <c r="L4334" s="112" t="s">
        <v>114</v>
      </c>
      <c r="M4334" s="113">
        <v>7250.0</v>
      </c>
      <c r="N4334" s="74"/>
      <c r="O4334" s="87">
        <f t="shared" si="11"/>
        <v>2175000</v>
      </c>
      <c r="P4334" s="102" t="str">
        <f t="shared" si="2"/>
        <v>Rp7,250-300 PAK-0.00%</v>
      </c>
      <c r="Q4334" s="92">
        <v>45426.0</v>
      </c>
      <c r="R4334" s="76"/>
      <c r="S4334" s="92">
        <v>45432.0</v>
      </c>
      <c r="T4334" s="77" t="s">
        <v>3558</v>
      </c>
      <c r="V4334" s="21" t="s">
        <v>2616</v>
      </c>
    </row>
    <row r="4335">
      <c r="A4335" s="93">
        <v>27.0</v>
      </c>
      <c r="B4335" s="77" t="s">
        <v>58</v>
      </c>
      <c r="C4335" s="77" t="s">
        <v>837</v>
      </c>
      <c r="D4335" s="77" t="s">
        <v>2612</v>
      </c>
      <c r="E4335" s="41" t="str">
        <f>IFERROR(__xludf.DUMMYFUNCTION("IFNA(vlookup(D4335,IMPORTRANGE(""https://docs.google.com/spreadsheets/d/1swGwZOEqYlTEUCJLY-eeJM1911Kvaei5oySBIxdgtNo/edit?pli=1#gid=257618397"",""stock untanna!B:C""),2,false),V:V)"),"PITA CH-30-1")</f>
        <v>PITA CH-30-1</v>
      </c>
      <c r="F4335" s="49"/>
      <c r="G4335" s="71"/>
      <c r="H4335" s="41"/>
      <c r="I4335" s="42"/>
      <c r="J4335" s="85" t="s">
        <v>1319</v>
      </c>
      <c r="K4335" s="93">
        <v>300.0</v>
      </c>
      <c r="L4335" s="112" t="s">
        <v>114</v>
      </c>
      <c r="M4335" s="113">
        <v>8000.0</v>
      </c>
      <c r="N4335" s="74"/>
      <c r="O4335" s="87">
        <f t="shared" si="11"/>
        <v>2400000</v>
      </c>
      <c r="P4335" s="102" t="str">
        <f t="shared" si="2"/>
        <v>Rp8,000-300 PAK-0.00%</v>
      </c>
      <c r="Q4335" s="92">
        <v>45426.0</v>
      </c>
      <c r="R4335" s="76"/>
      <c r="S4335" s="92">
        <v>45432.0</v>
      </c>
      <c r="T4335" s="77" t="s">
        <v>280</v>
      </c>
      <c r="V4335" s="21" t="s">
        <v>2613</v>
      </c>
    </row>
    <row r="4336">
      <c r="A4336" s="93">
        <v>27.0</v>
      </c>
      <c r="B4336" s="77" t="s">
        <v>58</v>
      </c>
      <c r="C4336" s="77" t="s">
        <v>837</v>
      </c>
      <c r="D4336" s="91"/>
      <c r="E4336" s="41" t="str">
        <f>IFERROR(__xludf.DUMMYFUNCTION("IFNA(vlookup(D4336,IMPORTRANGE(""https://docs.google.com/spreadsheets/d/1swGwZOEqYlTEUCJLY-eeJM1911Kvaei5oySBIxdgtNo/edit?pli=1#gid=257618397"",""stock untanna!B:C""),2,false),V:V)"),"PITA KADO 30MM TH 30")</f>
        <v>PITA KADO 30MM TH 30</v>
      </c>
      <c r="F4336" s="49"/>
      <c r="G4336" s="71"/>
      <c r="H4336" s="41"/>
      <c r="I4336" s="42"/>
      <c r="J4336" s="85" t="s">
        <v>3190</v>
      </c>
      <c r="K4336" s="93">
        <v>300.0</v>
      </c>
      <c r="L4336" s="112" t="s">
        <v>114</v>
      </c>
      <c r="M4336" s="113">
        <v>8000.0</v>
      </c>
      <c r="N4336" s="74"/>
      <c r="O4336" s="87">
        <f t="shared" si="11"/>
        <v>2400000</v>
      </c>
      <c r="P4336" s="102" t="str">
        <f t="shared" si="2"/>
        <v>Rp8,000-300 PAK-0.00%</v>
      </c>
      <c r="Q4336" s="92">
        <v>45426.0</v>
      </c>
      <c r="R4336" s="76"/>
      <c r="S4336" s="92">
        <v>45432.0</v>
      </c>
      <c r="T4336" s="49"/>
      <c r="V4336" s="21" t="s">
        <v>3782</v>
      </c>
    </row>
    <row r="4337">
      <c r="A4337" s="93">
        <v>27.0</v>
      </c>
      <c r="B4337" s="77" t="s">
        <v>58</v>
      </c>
      <c r="C4337" s="77" t="s">
        <v>837</v>
      </c>
      <c r="D4337" s="91"/>
      <c r="E4337" s="41" t="str">
        <f>IFERROR(__xludf.DUMMYFUNCTION("IFNA(vlookup(D4337,IMPORTRANGE(""https://docs.google.com/spreadsheets/d/1swGwZOEqYlTEUCJLY-eeJM1911Kvaei5oySBIxdgtNo/edit?pli=1#gid=257618397"",""stock untanna!B:C""),2,false),V:V)"),"PITA KADO 30MM TH 30 1")</f>
        <v>PITA KADO 30MM TH 30 1</v>
      </c>
      <c r="F4337" s="49"/>
      <c r="G4337" s="71"/>
      <c r="H4337" s="41"/>
      <c r="I4337" s="42"/>
      <c r="J4337" s="85" t="s">
        <v>3190</v>
      </c>
      <c r="K4337" s="93">
        <v>300.0</v>
      </c>
      <c r="L4337" s="112" t="s">
        <v>114</v>
      </c>
      <c r="M4337" s="113">
        <v>8000.0</v>
      </c>
      <c r="N4337" s="74"/>
      <c r="O4337" s="87">
        <f t="shared" si="11"/>
        <v>2400000</v>
      </c>
      <c r="P4337" s="102" t="str">
        <f t="shared" si="2"/>
        <v>Rp8,000-300 PAK-0.00%</v>
      </c>
      <c r="Q4337" s="92">
        <v>45426.0</v>
      </c>
      <c r="R4337" s="76"/>
      <c r="S4337" s="92">
        <v>45432.0</v>
      </c>
      <c r="T4337" s="49"/>
      <c r="V4337" s="21" t="s">
        <v>3783</v>
      </c>
    </row>
    <row r="4338">
      <c r="A4338" s="93">
        <v>27.0</v>
      </c>
      <c r="B4338" s="77" t="s">
        <v>58</v>
      </c>
      <c r="C4338" s="77" t="s">
        <v>837</v>
      </c>
      <c r="D4338" s="91"/>
      <c r="E4338" s="41" t="str">
        <f>IFERROR(__xludf.DUMMYFUNCTION("IFNA(vlookup(D4338,IMPORTRANGE(""https://docs.google.com/spreadsheets/d/1swGwZOEqYlTEUCJLY-eeJM1911Kvaei5oySBIxdgtNo/edit?pli=1#gid=257618397"",""stock untanna!B:C""),2,false),V:V)"),"PITA KADO 30MM THT 30")</f>
        <v>PITA KADO 30MM THT 30</v>
      </c>
      <c r="F4338" s="49"/>
      <c r="G4338" s="71"/>
      <c r="H4338" s="41"/>
      <c r="I4338" s="42"/>
      <c r="J4338" s="85" t="s">
        <v>3190</v>
      </c>
      <c r="K4338" s="93">
        <v>300.0</v>
      </c>
      <c r="L4338" s="112" t="s">
        <v>114</v>
      </c>
      <c r="M4338" s="113">
        <v>7250.0</v>
      </c>
      <c r="N4338" s="74"/>
      <c r="O4338" s="87">
        <f t="shared" si="11"/>
        <v>2175000</v>
      </c>
      <c r="P4338" s="102" t="str">
        <f t="shared" si="2"/>
        <v>Rp7,250-300 PAK-0.00%</v>
      </c>
      <c r="Q4338" s="92">
        <v>45426.0</v>
      </c>
      <c r="R4338" s="76"/>
      <c r="S4338" s="92">
        <v>45432.0</v>
      </c>
      <c r="T4338" s="49"/>
      <c r="V4338" s="21" t="s">
        <v>3784</v>
      </c>
    </row>
    <row r="4339">
      <c r="A4339" s="93">
        <v>27.0</v>
      </c>
      <c r="B4339" s="77" t="s">
        <v>58</v>
      </c>
      <c r="C4339" s="77" t="s">
        <v>837</v>
      </c>
      <c r="D4339" s="91"/>
      <c r="E4339" s="41" t="str">
        <f>IFERROR(__xludf.DUMMYFUNCTION("IFNA(vlookup(D4339,IMPORTRANGE(""https://docs.google.com/spreadsheets/d/1swGwZOEqYlTEUCJLY-eeJM1911Kvaei5oySBIxdgtNo/edit?pli=1#gid=257618397"",""stock untanna!B:C""),2,false),V:V)"),"PITA KADO 30MM THT 30 1")</f>
        <v>PITA KADO 30MM THT 30 1</v>
      </c>
      <c r="F4339" s="49"/>
      <c r="G4339" s="71"/>
      <c r="H4339" s="41"/>
      <c r="I4339" s="42"/>
      <c r="J4339" s="85" t="s">
        <v>3190</v>
      </c>
      <c r="K4339" s="93">
        <v>300.0</v>
      </c>
      <c r="L4339" s="112" t="s">
        <v>114</v>
      </c>
      <c r="M4339" s="113">
        <v>8000.0</v>
      </c>
      <c r="N4339" s="74"/>
      <c r="O4339" s="87">
        <f t="shared" si="11"/>
        <v>2400000</v>
      </c>
      <c r="P4339" s="102" t="str">
        <f t="shared" si="2"/>
        <v>Rp8,000-300 PAK-0.00%</v>
      </c>
      <c r="Q4339" s="92">
        <v>45426.0</v>
      </c>
      <c r="R4339" s="76"/>
      <c r="S4339" s="92">
        <v>45432.0</v>
      </c>
      <c r="T4339" s="49"/>
      <c r="V4339" s="21" t="s">
        <v>3785</v>
      </c>
    </row>
    <row r="4340">
      <c r="A4340" s="93">
        <v>27.0</v>
      </c>
      <c r="B4340" s="77" t="s">
        <v>58</v>
      </c>
      <c r="C4340" s="77" t="s">
        <v>837</v>
      </c>
      <c r="D4340" s="91"/>
      <c r="E4340" s="41" t="str">
        <f>IFERROR(__xludf.DUMMYFUNCTION("IFNA(vlookup(D4340,IMPORTRANGE(""https://docs.google.com/spreadsheets/d/1swGwZOEqYlTEUCJLY-eeJM1911Kvaei5oySBIxdgtNo/edit?pli=1#gid=257618397"",""stock untanna!B:C""),2,false),V:V)"),"PITA KADO 30MM JC30")</f>
        <v>PITA KADO 30MM JC30</v>
      </c>
      <c r="F4340" s="49"/>
      <c r="G4340" s="71"/>
      <c r="H4340" s="41"/>
      <c r="I4340" s="42"/>
      <c r="J4340" s="85" t="s">
        <v>3190</v>
      </c>
      <c r="K4340" s="93">
        <v>300.0</v>
      </c>
      <c r="L4340" s="112" t="s">
        <v>114</v>
      </c>
      <c r="M4340" s="113">
        <v>6000.0</v>
      </c>
      <c r="N4340" s="74"/>
      <c r="O4340" s="87">
        <f t="shared" si="11"/>
        <v>1800000</v>
      </c>
      <c r="P4340" s="102" t="str">
        <f t="shared" si="2"/>
        <v>Rp6,000-300 PAK-0.00%</v>
      </c>
      <c r="Q4340" s="92">
        <v>45426.0</v>
      </c>
      <c r="R4340" s="76"/>
      <c r="S4340" s="92">
        <v>45432.0</v>
      </c>
      <c r="T4340" s="49"/>
      <c r="V4340" s="21" t="s">
        <v>3786</v>
      </c>
    </row>
    <row r="4341">
      <c r="A4341" s="93">
        <v>27.0</v>
      </c>
      <c r="B4341" s="77" t="s">
        <v>58</v>
      </c>
      <c r="C4341" s="77" t="s">
        <v>837</v>
      </c>
      <c r="D4341" s="77" t="s">
        <v>3738</v>
      </c>
      <c r="E4341" s="41" t="str">
        <f>IFERROR(__xludf.DUMMYFUNCTION("IFNA(vlookup(D4341,IMPORTRANGE(""https://docs.google.com/spreadsheets/d/1swGwZOEqYlTEUCJLY-eeJM1911Kvaei5oySBIxdgtNo/edit?pli=1#gid=257618397"",""stock untanna!B:C""),2,false),V:V)"),"PITA TARIK/KADO 50 CM BIASA")</f>
        <v>PITA TARIK/KADO 50 CM BIASA</v>
      </c>
      <c r="F4341" s="49"/>
      <c r="G4341" s="71"/>
      <c r="H4341" s="41"/>
      <c r="I4341" s="42"/>
      <c r="J4341" s="85" t="s">
        <v>1319</v>
      </c>
      <c r="K4341" s="93">
        <v>300.0</v>
      </c>
      <c r="L4341" s="112" t="s">
        <v>114</v>
      </c>
      <c r="M4341" s="113">
        <v>6500.0</v>
      </c>
      <c r="N4341" s="74"/>
      <c r="O4341" s="87">
        <f t="shared" si="11"/>
        <v>1950000</v>
      </c>
      <c r="P4341" s="102" t="str">
        <f t="shared" si="2"/>
        <v>Rp6,500-300 PAK-0.00%</v>
      </c>
      <c r="Q4341" s="92">
        <v>45426.0</v>
      </c>
      <c r="R4341" s="76"/>
      <c r="S4341" s="92">
        <v>45432.0</v>
      </c>
      <c r="T4341" s="77" t="s">
        <v>3558</v>
      </c>
      <c r="V4341" s="21" t="s">
        <v>3739</v>
      </c>
    </row>
    <row r="4342">
      <c r="A4342" s="93">
        <v>27.0</v>
      </c>
      <c r="B4342" s="77" t="s">
        <v>58</v>
      </c>
      <c r="C4342" s="77" t="s">
        <v>837</v>
      </c>
      <c r="D4342" s="91"/>
      <c r="E4342" s="41" t="str">
        <f>IFERROR(__xludf.DUMMYFUNCTION("IFNA(vlookup(D4342,IMPORTRANGE(""https://docs.google.com/spreadsheets/d/1swGwZOEqYlTEUCJLY-eeJM1911Kvaei5oySBIxdgtNo/edit?pli=1#gid=257618397"",""stock untanna!B:C""),2,false),V:V)"),"PITA KADO 50MM THT 50 1")</f>
        <v>PITA KADO 50MM THT 50 1</v>
      </c>
      <c r="F4342" s="49"/>
      <c r="G4342" s="71"/>
      <c r="H4342" s="41"/>
      <c r="I4342" s="42"/>
      <c r="J4342" s="85" t="s">
        <v>3190</v>
      </c>
      <c r="K4342" s="93">
        <v>300.0</v>
      </c>
      <c r="L4342" s="112" t="s">
        <v>114</v>
      </c>
      <c r="M4342" s="113">
        <v>14000.0</v>
      </c>
      <c r="N4342" s="74"/>
      <c r="O4342" s="87">
        <f t="shared" si="11"/>
        <v>4200000</v>
      </c>
      <c r="P4342" s="102" t="str">
        <f t="shared" si="2"/>
        <v>Rp14,000-300 PAK-0.00%</v>
      </c>
      <c r="Q4342" s="92">
        <v>45426.0</v>
      </c>
      <c r="R4342" s="76"/>
      <c r="S4342" s="92">
        <v>45432.0</v>
      </c>
      <c r="T4342" s="49"/>
      <c r="V4342" s="21" t="s">
        <v>3787</v>
      </c>
    </row>
    <row r="4343">
      <c r="A4343" s="93">
        <v>27.0</v>
      </c>
      <c r="B4343" s="77" t="s">
        <v>58</v>
      </c>
      <c r="C4343" s="77" t="s">
        <v>837</v>
      </c>
      <c r="D4343" s="77" t="s">
        <v>3254</v>
      </c>
      <c r="E4343" s="41" t="str">
        <f>IFERROR(__xludf.DUMMYFUNCTION("IFNA(vlookup(D4343,IMPORTRANGE(""https://docs.google.com/spreadsheets/d/1swGwZOEqYlTEUCJLY-eeJM1911Kvaei5oySBIxdgtNo/edit?pli=1#gid=257618397"",""stock untanna!B:C""),2,false),V:V)"),"PITA TARIK/KADO 30 CM BIASA")</f>
        <v>PITA TARIK/KADO 30 CM BIASA</v>
      </c>
      <c r="F4343" s="49"/>
      <c r="G4343" s="71"/>
      <c r="H4343" s="41"/>
      <c r="I4343" s="42"/>
      <c r="J4343" s="85" t="s">
        <v>1319</v>
      </c>
      <c r="K4343" s="93">
        <v>300.0</v>
      </c>
      <c r="L4343" s="112" t="s">
        <v>114</v>
      </c>
      <c r="M4343" s="113">
        <v>2250.0</v>
      </c>
      <c r="N4343" s="74"/>
      <c r="O4343" s="87">
        <f t="shared" si="11"/>
        <v>675000</v>
      </c>
      <c r="P4343" s="102" t="str">
        <f t="shared" si="2"/>
        <v>Rp2,250-300 PAK-0.00%</v>
      </c>
      <c r="Q4343" s="92">
        <v>45426.0</v>
      </c>
      <c r="R4343" s="76"/>
      <c r="S4343" s="92">
        <v>45432.0</v>
      </c>
      <c r="T4343" s="77" t="s">
        <v>100</v>
      </c>
      <c r="V4343" s="21" t="s">
        <v>3255</v>
      </c>
    </row>
    <row r="4344">
      <c r="A4344" s="93">
        <v>27.0</v>
      </c>
      <c r="B4344" s="77" t="s">
        <v>58</v>
      </c>
      <c r="C4344" s="77" t="s">
        <v>837</v>
      </c>
      <c r="D4344" s="77" t="s">
        <v>3320</v>
      </c>
      <c r="E4344" s="41" t="str">
        <f>IFERROR(__xludf.DUMMYFUNCTION("IFNA(vlookup(D4344,IMPORTRANGE(""https://docs.google.com/spreadsheets/d/1swGwZOEqYlTEUCJLY-eeJM1911Kvaei5oySBIxdgtNo/edit?pli=1#gid=257618397"",""stock untanna!B:C""),2,false),V:V)"),"PITA TARIK/KADO 30 LIST EMAS (LISMAS)")</f>
        <v>PITA TARIK/KADO 30 LIST EMAS (LISMAS)</v>
      </c>
      <c r="F4344" s="49"/>
      <c r="G4344" s="71"/>
      <c r="H4344" s="41"/>
      <c r="I4344" s="42"/>
      <c r="J4344" s="85" t="s">
        <v>1319</v>
      </c>
      <c r="K4344" s="93">
        <v>300.0</v>
      </c>
      <c r="L4344" s="112" t="s">
        <v>114</v>
      </c>
      <c r="M4344" s="113">
        <v>2250.0</v>
      </c>
      <c r="N4344" s="74"/>
      <c r="O4344" s="87">
        <f t="shared" si="11"/>
        <v>675000</v>
      </c>
      <c r="P4344" s="102" t="str">
        <f t="shared" si="2"/>
        <v>Rp2,250-300 PAK-0.00%</v>
      </c>
      <c r="Q4344" s="92">
        <v>45426.0</v>
      </c>
      <c r="R4344" s="76"/>
      <c r="S4344" s="92">
        <v>45432.0</v>
      </c>
      <c r="T4344" s="77" t="s">
        <v>100</v>
      </c>
      <c r="V4344" s="21" t="s">
        <v>3321</v>
      </c>
    </row>
    <row r="4345">
      <c r="A4345" s="93">
        <v>27.0</v>
      </c>
      <c r="B4345" s="77" t="s">
        <v>58</v>
      </c>
      <c r="C4345" s="77" t="s">
        <v>837</v>
      </c>
      <c r="D4345" s="91"/>
      <c r="E4345" s="41" t="str">
        <f>IFERROR(__xludf.DUMMYFUNCTION("IFNA(vlookup(D4345,IMPORTRANGE(""https://docs.google.com/spreadsheets/d/1swGwZOEqYlTEUCJLY-eeJM1911Kvaei5oySBIxdgtNo/edit?pli=1#gid=257618397"",""stock untanna!B:C""),2,false),V:V)"),"PITA KADO 30MM LS 30")</f>
        <v>PITA KADO 30MM LS 30</v>
      </c>
      <c r="F4345" s="49"/>
      <c r="G4345" s="71"/>
      <c r="H4345" s="41"/>
      <c r="I4345" s="42"/>
      <c r="J4345" s="85" t="s">
        <v>3190</v>
      </c>
      <c r="K4345" s="93">
        <v>300.0</v>
      </c>
      <c r="L4345" s="112" t="s">
        <v>114</v>
      </c>
      <c r="M4345" s="113">
        <v>5250.0</v>
      </c>
      <c r="N4345" s="74"/>
      <c r="O4345" s="87">
        <f t="shared" si="11"/>
        <v>1575000</v>
      </c>
      <c r="P4345" s="102" t="str">
        <f t="shared" si="2"/>
        <v>Rp5,250-300 PAK-0.00%</v>
      </c>
      <c r="Q4345" s="92">
        <v>45426.0</v>
      </c>
      <c r="R4345" s="76"/>
      <c r="S4345" s="92">
        <v>45432.0</v>
      </c>
      <c r="T4345" s="49"/>
      <c r="V4345" s="21" t="s">
        <v>3788</v>
      </c>
    </row>
    <row r="4346">
      <c r="A4346" s="93">
        <v>27.0</v>
      </c>
      <c r="B4346" s="77" t="s">
        <v>58</v>
      </c>
      <c r="C4346" s="77" t="s">
        <v>837</v>
      </c>
      <c r="D4346" s="91"/>
      <c r="E4346" s="41" t="str">
        <f>IFERROR(__xludf.DUMMYFUNCTION("IFNA(vlookup(D4346,IMPORTRANGE(""https://docs.google.com/spreadsheets/d/1swGwZOEqYlTEUCJLY-eeJM1911Kvaei5oySBIxdgtNo/edit?pli=1#gid=257618397"",""stock untanna!B:C""),2,false),V:V)"),"PULL RIBBON LS-30-1")</f>
        <v>PULL RIBBON LS-30-1</v>
      </c>
      <c r="F4346" s="49"/>
      <c r="G4346" s="71"/>
      <c r="H4346" s="41"/>
      <c r="I4346" s="42"/>
      <c r="J4346" s="85" t="s">
        <v>3190</v>
      </c>
      <c r="K4346" s="93">
        <v>300.0</v>
      </c>
      <c r="L4346" s="112" t="s">
        <v>114</v>
      </c>
      <c r="M4346" s="113">
        <v>6800.0</v>
      </c>
      <c r="N4346" s="74"/>
      <c r="O4346" s="87">
        <f t="shared" si="11"/>
        <v>2040000</v>
      </c>
      <c r="P4346" s="102" t="str">
        <f t="shared" si="2"/>
        <v>Rp6,800-300 PAK-0.00%</v>
      </c>
      <c r="Q4346" s="92">
        <v>45426.0</v>
      </c>
      <c r="R4346" s="76"/>
      <c r="S4346" s="92">
        <v>45432.0</v>
      </c>
      <c r="T4346" s="49"/>
      <c r="V4346" s="21" t="s">
        <v>3789</v>
      </c>
    </row>
    <row r="4347">
      <c r="A4347" s="93">
        <v>28.0</v>
      </c>
      <c r="B4347" s="77" t="s">
        <v>58</v>
      </c>
      <c r="C4347" s="77" t="s">
        <v>837</v>
      </c>
      <c r="D4347" s="77" t="s">
        <v>3323</v>
      </c>
      <c r="E4347" s="41" t="str">
        <f>IFERROR(__xludf.DUMMYFUNCTION("IFNA(vlookup(D4347,IMPORTRANGE(""https://docs.google.com/spreadsheets/d/1swGwZOEqYlTEUCJLY-eeJM1911Kvaei5oySBIxdgtNo/edit?pli=1#gid=257618397"",""stock untanna!B:C""),2,false),V:V)"),"PITA TARIK/KADO 50-1 RENDA")</f>
        <v>PITA TARIK/KADO 50-1 RENDA</v>
      </c>
      <c r="F4347" s="49"/>
      <c r="G4347" s="71"/>
      <c r="H4347" s="41"/>
      <c r="I4347" s="42"/>
      <c r="J4347" s="85" t="s">
        <v>1319</v>
      </c>
      <c r="K4347" s="93">
        <v>300.0</v>
      </c>
      <c r="L4347" s="112" t="s">
        <v>114</v>
      </c>
      <c r="M4347" s="113">
        <v>7500.0</v>
      </c>
      <c r="N4347" s="74"/>
      <c r="O4347" s="87">
        <f t="shared" si="11"/>
        <v>2250000</v>
      </c>
      <c r="P4347" s="102" t="str">
        <f t="shared" si="2"/>
        <v>Rp7,500-300 PAK-0.00%</v>
      </c>
      <c r="Q4347" s="92">
        <v>45426.0</v>
      </c>
      <c r="R4347" s="76"/>
      <c r="S4347" s="92">
        <v>45432.0</v>
      </c>
      <c r="T4347" s="77" t="s">
        <v>100</v>
      </c>
      <c r="V4347" s="21" t="s">
        <v>3324</v>
      </c>
    </row>
    <row r="4348">
      <c r="A4348" s="93">
        <v>28.0</v>
      </c>
      <c r="B4348" s="77" t="s">
        <v>58</v>
      </c>
      <c r="C4348" s="77" t="s">
        <v>837</v>
      </c>
      <c r="D4348" s="91"/>
      <c r="E4348" s="41" t="str">
        <f>IFERROR(__xludf.DUMMYFUNCTION("IFNA(vlookup(D4348,IMPORTRANGE(""https://docs.google.com/spreadsheets/d/1swGwZOEqYlTEUCJLY-eeJM1911Kvaei5oySBIxdgtNo/edit?pli=1#gid=257618397"",""stock untanna!B:C""),2,false),V:V)"),"PITA KADO 50MM LS 50")</f>
        <v>PITA KADO 50MM LS 50</v>
      </c>
      <c r="F4348" s="49"/>
      <c r="G4348" s="71"/>
      <c r="H4348" s="41"/>
      <c r="I4348" s="42"/>
      <c r="J4348" s="85" t="s">
        <v>3190</v>
      </c>
      <c r="K4348" s="93">
        <v>300.0</v>
      </c>
      <c r="L4348" s="112" t="s">
        <v>114</v>
      </c>
      <c r="M4348" s="113">
        <v>13500.0</v>
      </c>
      <c r="N4348" s="74"/>
      <c r="O4348" s="87">
        <f t="shared" si="11"/>
        <v>4050000</v>
      </c>
      <c r="P4348" s="102" t="str">
        <f t="shared" si="2"/>
        <v>Rp13,500-300 PAK-0.00%</v>
      </c>
      <c r="Q4348" s="92">
        <v>45426.0</v>
      </c>
      <c r="R4348" s="76"/>
      <c r="S4348" s="92">
        <v>45432.0</v>
      </c>
      <c r="T4348" s="49"/>
      <c r="V4348" s="21" t="s">
        <v>3790</v>
      </c>
    </row>
    <row r="4349">
      <c r="A4349" s="93">
        <v>28.0</v>
      </c>
      <c r="B4349" s="77" t="s">
        <v>58</v>
      </c>
      <c r="C4349" s="77" t="s">
        <v>837</v>
      </c>
      <c r="D4349" s="91"/>
      <c r="E4349" s="41" t="str">
        <f>IFERROR(__xludf.DUMMYFUNCTION("IFNA(vlookup(D4349,IMPORTRANGE(""https://docs.google.com/spreadsheets/d/1swGwZOEqYlTEUCJLY-eeJM1911Kvaei5oySBIxdgtNo/edit?pli=1#gid=257618397"",""stock untanna!B:C""),2,false),V:V)"),"PITA KADO 50MM LS 50-1")</f>
        <v>PITA KADO 50MM LS 50-1</v>
      </c>
      <c r="F4349" s="49"/>
      <c r="G4349" s="71"/>
      <c r="H4349" s="41"/>
      <c r="I4349" s="42"/>
      <c r="J4349" s="85" t="s">
        <v>3190</v>
      </c>
      <c r="K4349" s="93">
        <v>300.0</v>
      </c>
      <c r="L4349" s="112" t="s">
        <v>114</v>
      </c>
      <c r="M4349" s="113">
        <v>14000.0</v>
      </c>
      <c r="N4349" s="74"/>
      <c r="O4349" s="87">
        <f t="shared" si="11"/>
        <v>4200000</v>
      </c>
      <c r="P4349" s="102" t="str">
        <f t="shared" si="2"/>
        <v>Rp14,000-300 PAK-0.00%</v>
      </c>
      <c r="Q4349" s="92">
        <v>45426.0</v>
      </c>
      <c r="R4349" s="76"/>
      <c r="S4349" s="92">
        <v>45432.0</v>
      </c>
      <c r="T4349" s="49"/>
      <c r="V4349" s="21" t="s">
        <v>3791</v>
      </c>
    </row>
    <row r="4350">
      <c r="A4350" s="93">
        <v>28.0</v>
      </c>
      <c r="B4350" s="77" t="s">
        <v>58</v>
      </c>
      <c r="C4350" s="77" t="s">
        <v>837</v>
      </c>
      <c r="D4350" s="91"/>
      <c r="E4350" s="41" t="str">
        <f>IFERROR(__xludf.DUMMYFUNCTION("IFNA(vlookup(D4350,IMPORTRANGE(""https://docs.google.com/spreadsheets/d/1swGwZOEqYlTEUCJLY-eeJM1911Kvaei5oySBIxdgtNo/edit?pli=1#gid=257618397"",""stock untanna!B:C""),2,false),V:V)"),"PITA KADO 50MM TH 50")</f>
        <v>PITA KADO 50MM TH 50</v>
      </c>
      <c r="F4350" s="49"/>
      <c r="G4350" s="71"/>
      <c r="H4350" s="41"/>
      <c r="I4350" s="42"/>
      <c r="J4350" s="85" t="s">
        <v>3190</v>
      </c>
      <c r="K4350" s="93">
        <v>300.0</v>
      </c>
      <c r="L4350" s="112" t="s">
        <v>114</v>
      </c>
      <c r="M4350" s="113">
        <v>12000.0</v>
      </c>
      <c r="N4350" s="74"/>
      <c r="O4350" s="87">
        <f t="shared" si="11"/>
        <v>3600000</v>
      </c>
      <c r="P4350" s="102" t="str">
        <f t="shared" si="2"/>
        <v>Rp12,000-300 PAK-0.00%</v>
      </c>
      <c r="Q4350" s="92">
        <v>45426.0</v>
      </c>
      <c r="R4350" s="76"/>
      <c r="S4350" s="92">
        <v>45432.0</v>
      </c>
      <c r="T4350" s="49"/>
      <c r="V4350" s="21" t="s">
        <v>3792</v>
      </c>
    </row>
    <row r="4351">
      <c r="A4351" s="93">
        <v>28.0</v>
      </c>
      <c r="B4351" s="77" t="s">
        <v>58</v>
      </c>
      <c r="C4351" s="77" t="s">
        <v>837</v>
      </c>
      <c r="D4351" s="77" t="s">
        <v>1991</v>
      </c>
      <c r="E4351" s="41" t="str">
        <f>IFERROR(__xludf.DUMMYFUNCTION("IFNA(vlookup(D4351,IMPORTRANGE(""https://docs.google.com/spreadsheets/d/1swGwZOEqYlTEUCJLY-eeJM1911Kvaei5oySBIxdgtNo/edit?pli=1#gid=257618397"",""stock untanna!B:C""),2,false),V:V)"),"PITA SJ-50")</f>
        <v>PITA SJ-50</v>
      </c>
      <c r="F4351" s="49"/>
      <c r="G4351" s="71"/>
      <c r="H4351" s="41"/>
      <c r="I4351" s="42"/>
      <c r="J4351" s="85" t="s">
        <v>1319</v>
      </c>
      <c r="K4351" s="93">
        <v>300.0</v>
      </c>
      <c r="L4351" s="112" t="s">
        <v>114</v>
      </c>
      <c r="M4351" s="113">
        <v>14000.0</v>
      </c>
      <c r="N4351" s="74"/>
      <c r="O4351" s="87">
        <f t="shared" si="11"/>
        <v>4200000</v>
      </c>
      <c r="P4351" s="102" t="str">
        <f t="shared" si="2"/>
        <v>Rp14,000-300 PAK-0.00%</v>
      </c>
      <c r="Q4351" s="92">
        <v>45426.0</v>
      </c>
      <c r="R4351" s="76"/>
      <c r="S4351" s="92">
        <v>45432.0</v>
      </c>
      <c r="T4351" s="77" t="s">
        <v>280</v>
      </c>
      <c r="V4351" s="21" t="s">
        <v>1992</v>
      </c>
    </row>
    <row r="4352">
      <c r="A4352" s="93">
        <v>312.0</v>
      </c>
      <c r="B4352" s="91"/>
      <c r="C4352" s="77" t="s">
        <v>2603</v>
      </c>
      <c r="D4352" s="77" t="s">
        <v>659</v>
      </c>
      <c r="E4352" s="41" t="str">
        <f>IFERROR(__xludf.DUMMYFUNCTION("IFNA(vlookup(D4352,IMPORTRANGE(""https://docs.google.com/spreadsheets/d/1swGwZOEqYlTEUCJLY-eeJM1911Kvaei5oySBIxdgtNo/edit?pli=1#gid=257618397"",""stock untanna!B:C""),2,false),V:V)"),"CAT ACRYLIC V-TECH")</f>
        <v>CAT ACRYLIC V-TECH</v>
      </c>
      <c r="F4352" s="49"/>
      <c r="G4352" s="71"/>
      <c r="H4352" s="41"/>
      <c r="I4352" s="42"/>
      <c r="J4352" s="85" t="s">
        <v>1319</v>
      </c>
      <c r="K4352" s="93">
        <v>0.25</v>
      </c>
      <c r="L4352" s="112" t="s">
        <v>62</v>
      </c>
      <c r="M4352" s="113">
        <v>190000.0</v>
      </c>
      <c r="N4352" s="74"/>
      <c r="O4352" s="87">
        <f t="shared" si="11"/>
        <v>47500</v>
      </c>
      <c r="P4352" s="102" t="str">
        <f t="shared" si="2"/>
        <v>Rp190,000-0.25 LSN-0.00%</v>
      </c>
      <c r="Q4352" s="92">
        <v>45426.0</v>
      </c>
      <c r="R4352" s="76"/>
      <c r="S4352" s="92">
        <v>45433.0</v>
      </c>
      <c r="T4352" s="49"/>
      <c r="V4352" s="21" t="s">
        <v>660</v>
      </c>
    </row>
    <row r="4353">
      <c r="A4353" s="93">
        <v>210.0</v>
      </c>
      <c r="B4353" s="91"/>
      <c r="C4353" s="77" t="s">
        <v>2476</v>
      </c>
      <c r="D4353" s="77" t="s">
        <v>93</v>
      </c>
      <c r="E4353" s="41" t="str">
        <f>IFERROR(__xludf.DUMMYFUNCTION("IFNA(vlookup(D4353,IMPORTRANGE(""https://docs.google.com/spreadsheets/d/1swGwZOEqYlTEUCJLY-eeJM1911Kvaei5oySBIxdgtNo/edit?pli=1#gid=257618397"",""stock untanna!B:C""),2,false),V:V)"),"CLIPBOARD SQ KAYU KOTAK")</f>
        <v>CLIPBOARD SQ KAYU KOTAK</v>
      </c>
      <c r="F4353" s="49"/>
      <c r="G4353" s="71"/>
      <c r="H4353" s="41"/>
      <c r="I4353" s="42"/>
      <c r="J4353" s="85" t="s">
        <v>1319</v>
      </c>
      <c r="K4353" s="93">
        <v>60.0</v>
      </c>
      <c r="L4353" s="112" t="s">
        <v>62</v>
      </c>
      <c r="M4353" s="113">
        <v>37500.0</v>
      </c>
      <c r="N4353" s="74"/>
      <c r="O4353" s="87">
        <f t="shared" si="11"/>
        <v>2250000</v>
      </c>
      <c r="P4353" s="102" t="str">
        <f t="shared" si="2"/>
        <v>Rp37,500-60 LSN-0.00%</v>
      </c>
      <c r="Q4353" s="92">
        <v>45426.0</v>
      </c>
      <c r="R4353" s="76"/>
      <c r="S4353" s="92">
        <v>45433.0</v>
      </c>
      <c r="T4353" s="49"/>
      <c r="V4353" s="21" t="s">
        <v>94</v>
      </c>
    </row>
    <row r="4354">
      <c r="A4354" s="93">
        <v>210.0</v>
      </c>
      <c r="B4354" s="91"/>
      <c r="C4354" s="77" t="s">
        <v>2476</v>
      </c>
      <c r="D4354" s="77" t="s">
        <v>871</v>
      </c>
      <c r="E4354" s="41" t="str">
        <f>IFERROR(__xludf.DUMMYFUNCTION("IFNA(vlookup(D4354,IMPORTRANGE(""https://docs.google.com/spreadsheets/d/1swGwZOEqYlTEUCJLY-eeJM1911Kvaei5oySBIxdgtNo/edit?pli=1#gid=257618397"",""stock untanna!B:C""),2,false),V:V)"),"CLIPBOARD SQ FANCY HOLO 2 MUKA")</f>
        <v>CLIPBOARD SQ FANCY HOLO 2 MUKA</v>
      </c>
      <c r="F4354" s="49"/>
      <c r="G4354" s="71"/>
      <c r="H4354" s="41"/>
      <c r="I4354" s="42"/>
      <c r="J4354" s="85" t="s">
        <v>1319</v>
      </c>
      <c r="K4354" s="93">
        <v>60.0</v>
      </c>
      <c r="L4354" s="112" t="s">
        <v>62</v>
      </c>
      <c r="M4354" s="113">
        <v>65000.0</v>
      </c>
      <c r="N4354" s="74"/>
      <c r="O4354" s="87">
        <f t="shared" si="11"/>
        <v>3900000</v>
      </c>
      <c r="P4354" s="102" t="str">
        <f t="shared" si="2"/>
        <v>Rp65,000-60 LSN-0.00%</v>
      </c>
      <c r="Q4354" s="92">
        <v>45426.0</v>
      </c>
      <c r="R4354" s="76"/>
      <c r="S4354" s="92">
        <v>45433.0</v>
      </c>
      <c r="T4354" s="49"/>
      <c r="V4354" s="21" t="s">
        <v>872</v>
      </c>
    </row>
    <row r="4355">
      <c r="A4355" s="93">
        <v>191.0</v>
      </c>
      <c r="B4355" s="77" t="s">
        <v>29</v>
      </c>
      <c r="C4355" s="77" t="s">
        <v>3283</v>
      </c>
      <c r="D4355" s="77" t="s">
        <v>1315</v>
      </c>
      <c r="E4355" s="41" t="str">
        <f>IFERROR(__xludf.DUMMYFUNCTION("IFNA(vlookup(D4355,IMPORTRANGE(""https://docs.google.com/spreadsheets/d/1swGwZOEqYlTEUCJLY-eeJM1911Kvaei5oySBIxdgtNo/edit?pli=1#gid=257618397"",""stock untanna!B:C""),2,false),V:V)"),"PENSIL CASE 168-18")</f>
        <v>PENSIL CASE 168-18</v>
      </c>
      <c r="F4355" s="49"/>
      <c r="G4355" s="71"/>
      <c r="H4355" s="41"/>
      <c r="I4355" s="42"/>
      <c r="J4355" s="85" t="s">
        <v>1319</v>
      </c>
      <c r="K4355" s="93">
        <v>72.0</v>
      </c>
      <c r="L4355" s="112" t="s">
        <v>69</v>
      </c>
      <c r="M4355" s="113">
        <v>18750.0</v>
      </c>
      <c r="N4355" s="74"/>
      <c r="O4355" s="87">
        <f t="shared" si="11"/>
        <v>1350000</v>
      </c>
      <c r="P4355" s="102" t="str">
        <f t="shared" si="2"/>
        <v>Rp18,750-72 PCS-0.00%</v>
      </c>
      <c r="Q4355" s="92">
        <v>45426.0</v>
      </c>
      <c r="R4355" s="76"/>
      <c r="S4355" s="92">
        <v>45433.0</v>
      </c>
      <c r="T4355" s="49"/>
      <c r="V4355" s="21" t="s">
        <v>1316</v>
      </c>
    </row>
    <row r="4356">
      <c r="A4356" s="93">
        <v>191.0</v>
      </c>
      <c r="B4356" s="77" t="s">
        <v>29</v>
      </c>
      <c r="C4356" s="77" t="s">
        <v>3283</v>
      </c>
      <c r="D4356" s="77" t="s">
        <v>95</v>
      </c>
      <c r="E4356" s="41" t="str">
        <f>IFERROR(__xludf.DUMMYFUNCTION("IFNA(vlookup(D4356,IMPORTRANGE(""https://docs.google.com/spreadsheets/d/1swGwZOEqYlTEUCJLY-eeJM1911Kvaei5oySBIxdgtNo/edit?pli=1#gid=257618397"",""stock untanna!B:C""),2,false),V:V)"),"PENCIL CASE MAGNET 8631 + CALL")</f>
        <v>PENCIL CASE MAGNET 8631 + CALL</v>
      </c>
      <c r="F4356" s="49"/>
      <c r="G4356" s="71"/>
      <c r="H4356" s="41"/>
      <c r="I4356" s="42"/>
      <c r="J4356" s="85" t="s">
        <v>1319</v>
      </c>
      <c r="K4356" s="93">
        <v>36.0</v>
      </c>
      <c r="L4356" s="112" t="s">
        <v>69</v>
      </c>
      <c r="M4356" s="113">
        <v>13333.3</v>
      </c>
      <c r="N4356" s="74"/>
      <c r="O4356" s="87">
        <f t="shared" si="11"/>
        <v>479998.8</v>
      </c>
      <c r="P4356" s="102" t="str">
        <f t="shared" si="2"/>
        <v>Rp13,333-36 PCS-0.00%</v>
      </c>
      <c r="Q4356" s="92">
        <v>45426.0</v>
      </c>
      <c r="R4356" s="76"/>
      <c r="S4356" s="92">
        <v>45433.0</v>
      </c>
      <c r="T4356" s="49"/>
      <c r="V4356" s="21" t="s">
        <v>96</v>
      </c>
    </row>
    <row r="4357">
      <c r="A4357" s="93">
        <v>191.0</v>
      </c>
      <c r="B4357" s="77" t="s">
        <v>29</v>
      </c>
      <c r="C4357" s="77" t="s">
        <v>3283</v>
      </c>
      <c r="D4357" s="77" t="s">
        <v>3065</v>
      </c>
      <c r="E4357" s="41" t="str">
        <f>IFERROR(__xludf.DUMMYFUNCTION("IFNA(vlookup(D4357,IMPORTRANGE(""https://docs.google.com/spreadsheets/d/1swGwZOEqYlTEUCJLY-eeJM1911Kvaei5oySBIxdgtNo/edit?pli=1#gid=257618397"",""stock untanna!B:C""),2,false),V:V)"),"PC MAGNIT 9340")</f>
        <v>PC MAGNIT 9340</v>
      </c>
      <c r="F4357" s="49"/>
      <c r="G4357" s="71"/>
      <c r="H4357" s="41"/>
      <c r="I4357" s="42"/>
      <c r="J4357" s="85" t="s">
        <v>1319</v>
      </c>
      <c r="K4357" s="93">
        <v>3.0</v>
      </c>
      <c r="L4357" s="112" t="s">
        <v>62</v>
      </c>
      <c r="M4357" s="113">
        <v>160000.0</v>
      </c>
      <c r="N4357" s="74"/>
      <c r="O4357" s="87">
        <f t="shared" si="11"/>
        <v>480000</v>
      </c>
      <c r="P4357" s="102" t="str">
        <f t="shared" si="2"/>
        <v>Rp160,000-3 LSN-0.00%</v>
      </c>
      <c r="Q4357" s="92">
        <v>45426.0</v>
      </c>
      <c r="R4357" s="76"/>
      <c r="S4357" s="92">
        <v>45433.0</v>
      </c>
      <c r="T4357" s="77" t="s">
        <v>280</v>
      </c>
      <c r="V4357" s="21" t="s">
        <v>3066</v>
      </c>
    </row>
    <row r="4358">
      <c r="A4358" s="93">
        <v>191.0</v>
      </c>
      <c r="B4358" s="77" t="s">
        <v>29</v>
      </c>
      <c r="C4358" s="77" t="s">
        <v>3283</v>
      </c>
      <c r="D4358" s="77" t="s">
        <v>2742</v>
      </c>
      <c r="E4358" s="41" t="str">
        <f>IFERROR(__xludf.DUMMYFUNCTION("IFNA(vlookup(D4358,IMPORTRANGE(""https://docs.google.com/spreadsheets/d/1swGwZOEqYlTEUCJLY-eeJM1911Kvaei5oySBIxdgtNo/edit?pli=1#gid=257618397"",""stock untanna!B:C""),2,false),V:V)"),"PENSIL CASE BX-3971")</f>
        <v>PENSIL CASE BX-3971</v>
      </c>
      <c r="F4358" s="49"/>
      <c r="G4358" s="71"/>
      <c r="H4358" s="41"/>
      <c r="I4358" s="42"/>
      <c r="J4358" s="85" t="s">
        <v>1319</v>
      </c>
      <c r="K4358" s="93">
        <v>36.0</v>
      </c>
      <c r="L4358" s="112" t="s">
        <v>69</v>
      </c>
      <c r="M4358" s="113">
        <v>15000.0</v>
      </c>
      <c r="N4358" s="74"/>
      <c r="O4358" s="87">
        <f t="shared" si="11"/>
        <v>540000</v>
      </c>
      <c r="P4358" s="102" t="str">
        <f t="shared" si="2"/>
        <v>Rp15,000-36 PCS-0.00%</v>
      </c>
      <c r="Q4358" s="92">
        <v>45426.0</v>
      </c>
      <c r="R4358" s="76"/>
      <c r="S4358" s="92">
        <v>45433.0</v>
      </c>
      <c r="T4358" s="49"/>
      <c r="V4358" s="21" t="s">
        <v>2743</v>
      </c>
    </row>
    <row r="4359">
      <c r="A4359" s="93">
        <v>191.0</v>
      </c>
      <c r="B4359" s="77" t="s">
        <v>29</v>
      </c>
      <c r="C4359" s="77" t="s">
        <v>3283</v>
      </c>
      <c r="D4359" s="77" t="s">
        <v>2604</v>
      </c>
      <c r="E4359" s="41" t="str">
        <f>IFERROR(__xludf.DUMMYFUNCTION("IFNA(vlookup(D4359,IMPORTRANGE(""https://docs.google.com/spreadsheets/d/1swGwZOEqYlTEUCJLY-eeJM1911Kvaei5oySBIxdgtNo/edit?pli=1#gid=257618397"",""stock untanna!B:C""),2,false),V:V)"),"PENSIL CASE A-6500")</f>
        <v>PENSIL CASE A-6500</v>
      </c>
      <c r="F4359" s="49"/>
      <c r="G4359" s="71"/>
      <c r="H4359" s="41"/>
      <c r="I4359" s="42"/>
      <c r="J4359" s="85" t="s">
        <v>1319</v>
      </c>
      <c r="K4359" s="93">
        <v>36.0</v>
      </c>
      <c r="L4359" s="112" t="s">
        <v>69</v>
      </c>
      <c r="M4359" s="113">
        <v>27083.3</v>
      </c>
      <c r="N4359" s="74"/>
      <c r="O4359" s="87">
        <f t="shared" si="11"/>
        <v>974998.8</v>
      </c>
      <c r="P4359" s="102" t="str">
        <f t="shared" si="2"/>
        <v>Rp27,083-36 PCS-0.00%</v>
      </c>
      <c r="Q4359" s="92">
        <v>45426.0</v>
      </c>
      <c r="R4359" s="76"/>
      <c r="S4359" s="92">
        <v>45433.0</v>
      </c>
      <c r="T4359" s="49"/>
      <c r="V4359" s="21" t="s">
        <v>2605</v>
      </c>
    </row>
    <row r="4360">
      <c r="A4360" s="93">
        <v>191.0</v>
      </c>
      <c r="B4360" s="77" t="s">
        <v>29</v>
      </c>
      <c r="C4360" s="77" t="s">
        <v>3283</v>
      </c>
      <c r="D4360" s="77" t="s">
        <v>2079</v>
      </c>
      <c r="E4360" s="41" t="str">
        <f>IFERROR(__xludf.DUMMYFUNCTION("IFNA(vlookup(D4360,IMPORTRANGE(""https://docs.google.com/spreadsheets/d/1swGwZOEqYlTEUCJLY-eeJM1911Kvaei5oySBIxdgtNo/edit?pli=1#gid=257618397"",""stock untanna!B:C""),2,false),V:V)"),"PC MAGNIT MC 8088 TIMBUL")</f>
        <v>PC MAGNIT MC 8088 TIMBUL</v>
      </c>
      <c r="F4360" s="49"/>
      <c r="G4360" s="71"/>
      <c r="H4360" s="41"/>
      <c r="I4360" s="42"/>
      <c r="J4360" s="85" t="s">
        <v>1319</v>
      </c>
      <c r="K4360" s="93">
        <v>3.0</v>
      </c>
      <c r="L4360" s="112" t="s">
        <v>62</v>
      </c>
      <c r="M4360" s="113">
        <v>150000.0</v>
      </c>
      <c r="N4360" s="74"/>
      <c r="O4360" s="87">
        <f t="shared" si="11"/>
        <v>450000</v>
      </c>
      <c r="P4360" s="102" t="str">
        <f t="shared" si="2"/>
        <v>Rp150,000-3 LSN-0.00%</v>
      </c>
      <c r="Q4360" s="92">
        <v>45426.0</v>
      </c>
      <c r="R4360" s="76"/>
      <c r="S4360" s="92">
        <v>45433.0</v>
      </c>
      <c r="T4360" s="77" t="s">
        <v>280</v>
      </c>
      <c r="V4360" s="21" t="s">
        <v>2080</v>
      </c>
    </row>
    <row r="4361">
      <c r="A4361" s="93">
        <v>191.0</v>
      </c>
      <c r="B4361" s="77" t="s">
        <v>29</v>
      </c>
      <c r="C4361" s="77" t="s">
        <v>3283</v>
      </c>
      <c r="D4361" s="91"/>
      <c r="E4361" s="41" t="str">
        <f>IFERROR(__xludf.DUMMYFUNCTION("IFNA(vlookup(D4361,IMPORTRANGE(""https://docs.google.com/spreadsheets/d/1swGwZOEqYlTEUCJLY-eeJM1911Kvaei5oySBIxdgtNo/edit?pli=1#gid=257618397"",""stock untanna!B:C""),2,false),V:V)"),"PC KLG SET KT 6601 (BLK)")</f>
        <v>PC KLG SET KT 6601 (BLK)</v>
      </c>
      <c r="F4361" s="49"/>
      <c r="G4361" s="71"/>
      <c r="H4361" s="41"/>
      <c r="I4361" s="42"/>
      <c r="J4361" s="85" t="s">
        <v>1319</v>
      </c>
      <c r="K4361" s="93">
        <v>3.0</v>
      </c>
      <c r="L4361" s="112" t="s">
        <v>62</v>
      </c>
      <c r="M4361" s="113">
        <v>150000.0</v>
      </c>
      <c r="N4361" s="74"/>
      <c r="O4361" s="87">
        <f t="shared" si="11"/>
        <v>450000</v>
      </c>
      <c r="P4361" s="102" t="str">
        <f t="shared" si="2"/>
        <v>Rp150,000-3 LSN-0.00%</v>
      </c>
      <c r="Q4361" s="92">
        <v>45426.0</v>
      </c>
      <c r="R4361" s="76"/>
      <c r="S4361" s="92">
        <v>45433.0</v>
      </c>
      <c r="T4361" s="77" t="s">
        <v>280</v>
      </c>
      <c r="V4361" s="21" t="s">
        <v>3076</v>
      </c>
    </row>
    <row r="4362">
      <c r="A4362" s="93">
        <v>191.0</v>
      </c>
      <c r="B4362" s="77" t="s">
        <v>29</v>
      </c>
      <c r="C4362" s="77" t="s">
        <v>3283</v>
      </c>
      <c r="D4362" s="77" t="s">
        <v>1394</v>
      </c>
      <c r="E4362" s="41" t="str">
        <f>IFERROR(__xludf.DUMMYFUNCTION("IFNA(vlookup(D4362,IMPORTRANGE(""https://docs.google.com/spreadsheets/d/1swGwZOEqYlTEUCJLY-eeJM1911Kvaei5oySBIxdgtNo/edit?pli=1#gid=257618397"",""stock untanna!B:C""),2,false),V:V)"),"PENCIL CASE H-9905 KLG")</f>
        <v>PENCIL CASE H-9905 KLG</v>
      </c>
      <c r="F4362" s="49"/>
      <c r="G4362" s="71"/>
      <c r="H4362" s="41"/>
      <c r="I4362" s="42"/>
      <c r="J4362" s="85" t="s">
        <v>1319</v>
      </c>
      <c r="K4362" s="93">
        <v>36.0</v>
      </c>
      <c r="L4362" s="112" t="s">
        <v>69</v>
      </c>
      <c r="M4362" s="113">
        <v>10000.0</v>
      </c>
      <c r="N4362" s="74"/>
      <c r="O4362" s="87">
        <f t="shared" si="11"/>
        <v>360000</v>
      </c>
      <c r="P4362" s="102" t="str">
        <f t="shared" si="2"/>
        <v>Rp10,000-36 PCS-0.00%</v>
      </c>
      <c r="Q4362" s="92">
        <v>45426.0</v>
      </c>
      <c r="R4362" s="76"/>
      <c r="S4362" s="92">
        <v>45433.0</v>
      </c>
      <c r="T4362" s="49"/>
      <c r="V4362" s="21" t="s">
        <v>1395</v>
      </c>
    </row>
    <row r="4363">
      <c r="A4363" s="93">
        <v>191.0</v>
      </c>
      <c r="B4363" s="77" t="s">
        <v>29</v>
      </c>
      <c r="C4363" s="77" t="s">
        <v>3283</v>
      </c>
      <c r="D4363" s="91"/>
      <c r="E4363" s="41" t="str">
        <f>IFERROR(__xludf.DUMMYFUNCTION("IFNA(vlookup(D4363,IMPORTRANGE(""https://docs.google.com/spreadsheets/d/1swGwZOEqYlTEUCJLY-eeJM1911Kvaei5oySBIxdgtNo/edit?pli=1#gid=257618397"",""stock untanna!B:C""),2,false),V:V)"),"PC KLG B-905 MOBIL")</f>
        <v>PC KLG B-905 MOBIL</v>
      </c>
      <c r="F4363" s="49"/>
      <c r="G4363" s="71"/>
      <c r="H4363" s="41"/>
      <c r="I4363" s="42"/>
      <c r="J4363" s="85" t="s">
        <v>1319</v>
      </c>
      <c r="K4363" s="93">
        <v>3.0</v>
      </c>
      <c r="L4363" s="112" t="s">
        <v>62</v>
      </c>
      <c r="M4363" s="113">
        <v>140000.0</v>
      </c>
      <c r="N4363" s="74"/>
      <c r="O4363" s="87">
        <f t="shared" si="11"/>
        <v>420000</v>
      </c>
      <c r="P4363" s="102" t="str">
        <f t="shared" si="2"/>
        <v>Rp140,000-3 LSN-0.00%</v>
      </c>
      <c r="Q4363" s="92">
        <v>45426.0</v>
      </c>
      <c r="R4363" s="76"/>
      <c r="S4363" s="92">
        <v>45433.0</v>
      </c>
      <c r="T4363" s="77" t="s">
        <v>280</v>
      </c>
      <c r="V4363" s="21" t="s">
        <v>602</v>
      </c>
    </row>
    <row r="4364">
      <c r="A4364" s="93">
        <v>191.0</v>
      </c>
      <c r="B4364" s="77" t="s">
        <v>29</v>
      </c>
      <c r="C4364" s="77" t="s">
        <v>3283</v>
      </c>
      <c r="D4364" s="77" t="s">
        <v>823</v>
      </c>
      <c r="E4364" s="41" t="str">
        <f>IFERROR(__xludf.DUMMYFUNCTION("IFNA(vlookup(D4364,IMPORTRANGE(""https://docs.google.com/spreadsheets/d/1swGwZOEqYlTEUCJLY-eeJM1911Kvaei5oySBIxdgtNo/edit?pli=1#gid=257618397"",""stock untanna!B:C""),2,false),V:V)"),"PENCIL CASE K-96")</f>
        <v>PENCIL CASE K-96</v>
      </c>
      <c r="F4364" s="49"/>
      <c r="G4364" s="71"/>
      <c r="H4364" s="41"/>
      <c r="I4364" s="42"/>
      <c r="J4364" s="85" t="s">
        <v>1319</v>
      </c>
      <c r="K4364" s="93">
        <v>36.0</v>
      </c>
      <c r="L4364" s="112" t="s">
        <v>69</v>
      </c>
      <c r="M4364" s="113">
        <v>14583.3</v>
      </c>
      <c r="N4364" s="74"/>
      <c r="O4364" s="87">
        <f t="shared" si="11"/>
        <v>524998.8</v>
      </c>
      <c r="P4364" s="102" t="str">
        <f t="shared" si="2"/>
        <v>Rp14,583-36 PCS-0.00%</v>
      </c>
      <c r="Q4364" s="92">
        <v>45426.0</v>
      </c>
      <c r="R4364" s="76"/>
      <c r="S4364" s="92">
        <v>45433.0</v>
      </c>
      <c r="T4364" s="49"/>
      <c r="V4364" s="21" t="s">
        <v>824</v>
      </c>
    </row>
    <row r="4365">
      <c r="A4365" s="93">
        <v>191.0</v>
      </c>
      <c r="B4365" s="77" t="s">
        <v>29</v>
      </c>
      <c r="C4365" s="77" t="s">
        <v>3283</v>
      </c>
      <c r="D4365" s="91"/>
      <c r="E4365" s="41" t="str">
        <f>IFERROR(__xludf.DUMMYFUNCTION("IFNA(vlookup(D4365,IMPORTRANGE(""https://docs.google.com/spreadsheets/d/1swGwZOEqYlTEUCJLY-eeJM1911Kvaei5oySBIxdgtNo/edit?pli=1#gid=257618397"",""stock untanna!B:C""),2,false),V:V)"),"PC KODE 1 SUSUN BIASA 8003")</f>
        <v>PC KODE 1 SUSUN BIASA 8003</v>
      </c>
      <c r="F4365" s="49"/>
      <c r="G4365" s="71"/>
      <c r="H4365" s="41"/>
      <c r="I4365" s="42"/>
      <c r="J4365" s="85" t="s">
        <v>3190</v>
      </c>
      <c r="K4365" s="93">
        <v>3.0</v>
      </c>
      <c r="L4365" s="112" t="s">
        <v>62</v>
      </c>
      <c r="M4365" s="113">
        <v>125000.0</v>
      </c>
      <c r="N4365" s="74"/>
      <c r="O4365" s="87">
        <f t="shared" si="11"/>
        <v>375000</v>
      </c>
      <c r="P4365" s="102" t="str">
        <f t="shared" si="2"/>
        <v>Rp125,000-3 LSN-0.00%</v>
      </c>
      <c r="Q4365" s="92">
        <v>45426.0</v>
      </c>
      <c r="R4365" s="76"/>
      <c r="S4365" s="92">
        <v>45433.0</v>
      </c>
      <c r="T4365" s="49"/>
      <c r="V4365" s="21" t="s">
        <v>3092</v>
      </c>
    </row>
    <row r="4366">
      <c r="A4366" s="93">
        <v>191.0</v>
      </c>
      <c r="B4366" s="77" t="s">
        <v>29</v>
      </c>
      <c r="C4366" s="77" t="s">
        <v>3283</v>
      </c>
      <c r="D4366" s="77" t="s">
        <v>623</v>
      </c>
      <c r="E4366" s="41" t="str">
        <f>IFERROR(__xludf.DUMMYFUNCTION("IFNA(vlookup(D4366,IMPORTRANGE(""https://docs.google.com/spreadsheets/d/1swGwZOEqYlTEUCJLY-eeJM1911Kvaei5oySBIxdgtNo/edit?pli=1#gid=257618397"",""stock untanna!B:C""),2,false),V:V)"),"BP GEL TF-1190 0.3MM HIGHTECH (H)")</f>
        <v>BP GEL TF-1190 0.3MM HIGHTECH (H)</v>
      </c>
      <c r="F4366" s="49"/>
      <c r="G4366" s="71"/>
      <c r="H4366" s="41"/>
      <c r="I4366" s="42"/>
      <c r="J4366" s="85" t="s">
        <v>1319</v>
      </c>
      <c r="K4366" s="93">
        <v>12.0</v>
      </c>
      <c r="L4366" s="112" t="s">
        <v>62</v>
      </c>
      <c r="M4366" s="113">
        <v>28500.0</v>
      </c>
      <c r="N4366" s="74"/>
      <c r="O4366" s="87">
        <f t="shared" si="11"/>
        <v>342000</v>
      </c>
      <c r="P4366" s="102" t="str">
        <f t="shared" si="2"/>
        <v>Rp28,500-12 LSN-0.00%</v>
      </c>
      <c r="Q4366" s="92">
        <v>45426.0</v>
      </c>
      <c r="R4366" s="76"/>
      <c r="S4366" s="92">
        <v>45433.0</v>
      </c>
      <c r="T4366" s="49"/>
      <c r="V4366" s="21" t="s">
        <v>624</v>
      </c>
    </row>
    <row r="4367">
      <c r="A4367" s="93">
        <v>4384.0</v>
      </c>
      <c r="B4367" s="77" t="s">
        <v>65</v>
      </c>
      <c r="C4367" s="77" t="s">
        <v>3793</v>
      </c>
      <c r="D4367" s="77" t="s">
        <v>2052</v>
      </c>
      <c r="E4367" s="41" t="str">
        <f>IFERROR(__xludf.DUMMYFUNCTION("IFNA(vlookup(D4367,IMPORTRANGE(""https://docs.google.com/spreadsheets/d/1swGwZOEqYlTEUCJLY-eeJM1911Kvaei5oySBIxdgtNo/edit?pli=1#gid=257618397"",""stock untanna!B:C""),2,false),V:V)"),"MAP KANCING SIKA AC-05 KUNING")</f>
        <v>MAP KANCING SIKA AC-05 KUNING</v>
      </c>
      <c r="F4367" s="49"/>
      <c r="G4367" s="71"/>
      <c r="H4367" s="41"/>
      <c r="I4367" s="42"/>
      <c r="J4367" s="85" t="s">
        <v>1319</v>
      </c>
      <c r="K4367" s="93">
        <v>50.0</v>
      </c>
      <c r="L4367" s="112" t="s">
        <v>62</v>
      </c>
      <c r="M4367" s="113">
        <v>18500.0</v>
      </c>
      <c r="N4367" s="74"/>
      <c r="O4367" s="87">
        <f t="shared" si="11"/>
        <v>925000</v>
      </c>
      <c r="P4367" s="102" t="str">
        <f t="shared" si="2"/>
        <v>Rp18,500-50 LSN-0.00%</v>
      </c>
      <c r="Q4367" s="92">
        <v>45426.0</v>
      </c>
      <c r="R4367" s="76"/>
      <c r="S4367" s="92">
        <v>45433.0</v>
      </c>
      <c r="T4367" s="49"/>
      <c r="V4367" s="21" t="s">
        <v>2053</v>
      </c>
    </row>
    <row r="4368">
      <c r="A4368" s="93">
        <v>4384.0</v>
      </c>
      <c r="B4368" s="77" t="s">
        <v>65</v>
      </c>
      <c r="C4368" s="77" t="s">
        <v>3793</v>
      </c>
      <c r="D4368" s="77" t="s">
        <v>801</v>
      </c>
      <c r="E4368" s="41" t="str">
        <f>IFERROR(__xludf.DUMMYFUNCTION("IFNA(vlookup(D4368,IMPORTRANGE(""https://docs.google.com/spreadsheets/d/1swGwZOEqYlTEUCJLY-eeJM1911Kvaei5oySBIxdgtNo/edit?pli=1#gid=257618397"",""stock untanna!B:C""),2,false),V:V)"),"MAP KANCING SIKA AC-05 MERAH")</f>
        <v>MAP KANCING SIKA AC-05 MERAH</v>
      </c>
      <c r="F4368" s="49"/>
      <c r="G4368" s="71"/>
      <c r="H4368" s="41"/>
      <c r="I4368" s="42"/>
      <c r="J4368" s="85" t="s">
        <v>1319</v>
      </c>
      <c r="K4368" s="93">
        <v>50.0</v>
      </c>
      <c r="L4368" s="112" t="s">
        <v>62</v>
      </c>
      <c r="M4368" s="113">
        <v>18500.0</v>
      </c>
      <c r="N4368" s="74"/>
      <c r="O4368" s="87">
        <f t="shared" si="11"/>
        <v>925000</v>
      </c>
      <c r="P4368" s="102" t="str">
        <f t="shared" si="2"/>
        <v>Rp18,500-50 LSN-0.00%</v>
      </c>
      <c r="Q4368" s="92">
        <v>45426.0</v>
      </c>
      <c r="R4368" s="76"/>
      <c r="S4368" s="92">
        <v>45433.0</v>
      </c>
      <c r="T4368" s="49"/>
      <c r="V4368" s="21" t="s">
        <v>802</v>
      </c>
    </row>
    <row r="4369">
      <c r="A4369" s="93">
        <v>4384.0</v>
      </c>
      <c r="B4369" s="77" t="s">
        <v>65</v>
      </c>
      <c r="C4369" s="77" t="s">
        <v>3793</v>
      </c>
      <c r="D4369" s="77" t="s">
        <v>799</v>
      </c>
      <c r="E4369" s="41" t="str">
        <f>IFERROR(__xludf.DUMMYFUNCTION("IFNA(vlookup(D4369,IMPORTRANGE(""https://docs.google.com/spreadsheets/d/1swGwZOEqYlTEUCJLY-eeJM1911Kvaei5oySBIxdgtNo/edit?pli=1#gid=257618397"",""stock untanna!B:C""),2,false),V:V)"),"MAP KANCING SIKA AC-05 HIJAU")</f>
        <v>MAP KANCING SIKA AC-05 HIJAU</v>
      </c>
      <c r="F4369" s="49"/>
      <c r="G4369" s="71"/>
      <c r="H4369" s="41"/>
      <c r="I4369" s="42"/>
      <c r="J4369" s="85" t="s">
        <v>1319</v>
      </c>
      <c r="K4369" s="93">
        <v>50.0</v>
      </c>
      <c r="L4369" s="112" t="s">
        <v>62</v>
      </c>
      <c r="M4369" s="113">
        <v>18500.0</v>
      </c>
      <c r="N4369" s="74"/>
      <c r="O4369" s="87">
        <f t="shared" si="11"/>
        <v>925000</v>
      </c>
      <c r="P4369" s="102" t="str">
        <f t="shared" si="2"/>
        <v>Rp18,500-50 LSN-0.00%</v>
      </c>
      <c r="Q4369" s="92">
        <v>45426.0</v>
      </c>
      <c r="R4369" s="76"/>
      <c r="S4369" s="92">
        <v>45433.0</v>
      </c>
      <c r="T4369" s="49"/>
      <c r="V4369" s="21" t="s">
        <v>800</v>
      </c>
    </row>
    <row r="4370">
      <c r="A4370" s="93">
        <v>4384.0</v>
      </c>
      <c r="B4370" s="77" t="s">
        <v>65</v>
      </c>
      <c r="C4370" s="77" t="s">
        <v>3793</v>
      </c>
      <c r="D4370" s="77" t="s">
        <v>797</v>
      </c>
      <c r="E4370" s="41" t="str">
        <f>IFERROR(__xludf.DUMMYFUNCTION("IFNA(vlookup(D4370,IMPORTRANGE(""https://docs.google.com/spreadsheets/d/1swGwZOEqYlTEUCJLY-eeJM1911Kvaei5oySBIxdgtNo/edit?pli=1#gid=257618397"",""stock untanna!B:C""),2,false),V:V)"),"MAP KANCING SIKA AC-05 BIRU")</f>
        <v>MAP KANCING SIKA AC-05 BIRU</v>
      </c>
      <c r="F4370" s="49"/>
      <c r="G4370" s="71"/>
      <c r="H4370" s="41"/>
      <c r="I4370" s="42"/>
      <c r="J4370" s="85" t="s">
        <v>1319</v>
      </c>
      <c r="K4370" s="93">
        <v>50.0</v>
      </c>
      <c r="L4370" s="112" t="s">
        <v>62</v>
      </c>
      <c r="M4370" s="113">
        <v>18500.0</v>
      </c>
      <c r="N4370" s="74"/>
      <c r="O4370" s="87">
        <f t="shared" si="11"/>
        <v>925000</v>
      </c>
      <c r="P4370" s="102" t="str">
        <f t="shared" si="2"/>
        <v>Rp18,500-50 LSN-0.00%</v>
      </c>
      <c r="Q4370" s="92">
        <v>45426.0</v>
      </c>
      <c r="R4370" s="76"/>
      <c r="S4370" s="92">
        <v>45433.0</v>
      </c>
      <c r="T4370" s="49"/>
      <c r="V4370" s="21" t="s">
        <v>798</v>
      </c>
    </row>
    <row r="4371">
      <c r="A4371" s="93">
        <v>4384.0</v>
      </c>
      <c r="B4371" s="77" t="s">
        <v>65</v>
      </c>
      <c r="C4371" s="77" t="s">
        <v>3793</v>
      </c>
      <c r="D4371" s="77" t="s">
        <v>705</v>
      </c>
      <c r="E4371" s="41" t="str">
        <f>IFERROR(__xludf.DUMMYFUNCTION("IFNA(vlookup(D4371,IMPORTRANGE(""https://docs.google.com/spreadsheets/d/1swGwZOEqYlTEUCJLY-eeJM1911Kvaei5oySBIxdgtNo/edit?pli=1#gid=257618397"",""stock untanna!B:C""),2,false),V:V)"),"MAP KANCING SIKA AC-05 PUTIH")</f>
        <v>MAP KANCING SIKA AC-05 PUTIH</v>
      </c>
      <c r="F4371" s="49"/>
      <c r="G4371" s="71"/>
      <c r="H4371" s="41"/>
      <c r="I4371" s="42"/>
      <c r="J4371" s="85" t="s">
        <v>1319</v>
      </c>
      <c r="K4371" s="93">
        <v>50.0</v>
      </c>
      <c r="L4371" s="112" t="s">
        <v>62</v>
      </c>
      <c r="M4371" s="113">
        <v>18500.0</v>
      </c>
      <c r="N4371" s="74"/>
      <c r="O4371" s="87">
        <f t="shared" si="11"/>
        <v>925000</v>
      </c>
      <c r="P4371" s="102" t="str">
        <f t="shared" si="2"/>
        <v>Rp18,500-50 LSN-0.00%</v>
      </c>
      <c r="Q4371" s="92">
        <v>45426.0</v>
      </c>
      <c r="R4371" s="76"/>
      <c r="S4371" s="92">
        <v>45433.0</v>
      </c>
      <c r="T4371" s="49"/>
      <c r="V4371" s="21" t="s">
        <v>706</v>
      </c>
    </row>
    <row r="4372">
      <c r="A4372" s="93">
        <v>4384.0</v>
      </c>
      <c r="B4372" s="77" t="s">
        <v>65</v>
      </c>
      <c r="C4372" s="77" t="s">
        <v>3793</v>
      </c>
      <c r="D4372" s="77" t="s">
        <v>868</v>
      </c>
      <c r="E4372" s="41" t="str">
        <f>IFERROR(__xludf.DUMMYFUNCTION("IFNA(vlookup(D4372,IMPORTRANGE(""https://docs.google.com/spreadsheets/d/1swGwZOEqYlTEUCJLY-eeJM1911Kvaei5oySBIxdgtNo/edit?pli=1#gid=257618397"",""stock untanna!B:C""),2,false),V:V)"),"CLIP BOARD 6688-TR TRANSP KOALA")</f>
        <v>CLIP BOARD 6688-TR TRANSP KOALA</v>
      </c>
      <c r="F4372" s="49"/>
      <c r="G4372" s="71"/>
      <c r="H4372" s="41"/>
      <c r="I4372" s="42"/>
      <c r="J4372" s="85" t="s">
        <v>1319</v>
      </c>
      <c r="K4372" s="93">
        <v>12.0</v>
      </c>
      <c r="L4372" s="112" t="s">
        <v>62</v>
      </c>
      <c r="M4372" s="113">
        <v>96000.0</v>
      </c>
      <c r="N4372" s="74"/>
      <c r="O4372" s="87">
        <f t="shared" si="11"/>
        <v>1152000</v>
      </c>
      <c r="P4372" s="102" t="str">
        <f t="shared" si="2"/>
        <v>Rp96,000-12 LSN-0.00%</v>
      </c>
      <c r="Q4372" s="92">
        <v>45426.0</v>
      </c>
      <c r="R4372" s="76"/>
      <c r="S4372" s="92">
        <v>45433.0</v>
      </c>
      <c r="T4372" s="49"/>
      <c r="V4372" s="21" t="s">
        <v>870</v>
      </c>
    </row>
    <row r="4373">
      <c r="A4373" s="93">
        <v>4384.0</v>
      </c>
      <c r="B4373" s="77" t="s">
        <v>65</v>
      </c>
      <c r="C4373" s="77" t="s">
        <v>3793</v>
      </c>
      <c r="D4373" s="77" t="s">
        <v>776</v>
      </c>
      <c r="E4373" s="41" t="str">
        <f>IFERROR(__xludf.DUMMYFUNCTION("IFNA(vlookup(D4373,IMPORTRANGE(""https://docs.google.com/spreadsheets/d/1swGwZOEqYlTEUCJLY-eeJM1911Kvaei5oySBIxdgtNo/edit?pli=1#gid=257618397"",""stock untanna!B:C""),2,false),V:V)"),"STABILLO TOZCHA TZ 8001")</f>
        <v>STABILLO TOZCHA TZ 8001</v>
      </c>
      <c r="F4373" s="49"/>
      <c r="G4373" s="71"/>
      <c r="H4373" s="41"/>
      <c r="I4373" s="42"/>
      <c r="J4373" s="85" t="s">
        <v>1319</v>
      </c>
      <c r="K4373" s="93">
        <v>36.0</v>
      </c>
      <c r="L4373" s="112" t="s">
        <v>62</v>
      </c>
      <c r="M4373" s="113">
        <v>25000.0</v>
      </c>
      <c r="N4373" s="74"/>
      <c r="O4373" s="87">
        <f t="shared" si="11"/>
        <v>900000</v>
      </c>
      <c r="P4373" s="102" t="str">
        <f t="shared" si="2"/>
        <v>Rp25,000-36 LSN-0.00%</v>
      </c>
      <c r="Q4373" s="92">
        <v>45426.0</v>
      </c>
      <c r="R4373" s="76"/>
      <c r="S4373" s="92">
        <v>45433.0</v>
      </c>
      <c r="T4373" s="49"/>
      <c r="V4373" s="21" t="s">
        <v>777</v>
      </c>
    </row>
    <row r="4374">
      <c r="A4374" s="93">
        <v>4384.0</v>
      </c>
      <c r="B4374" s="77" t="s">
        <v>65</v>
      </c>
      <c r="C4374" s="77" t="s">
        <v>3793</v>
      </c>
      <c r="D4374" s="77" t="s">
        <v>1868</v>
      </c>
      <c r="E4374" s="41" t="str">
        <f>IFERROR(__xludf.DUMMYFUNCTION("IFNA(vlookup(D4374,IMPORTRANGE(""https://docs.google.com/spreadsheets/d/1swGwZOEqYlTEUCJLY-eeJM1911Kvaei5oySBIxdgtNo/edit?pli=1#gid=257618397"",""stock untanna!B:C""),2,false),V:V)"),"BP 4W TOZCHA 8401")</f>
        <v>BP 4W TOZCHA 8401</v>
      </c>
      <c r="F4374" s="49"/>
      <c r="G4374" s="71"/>
      <c r="H4374" s="41"/>
      <c r="I4374" s="42"/>
      <c r="J4374" s="85" t="s">
        <v>1319</v>
      </c>
      <c r="K4374" s="93">
        <v>24.0</v>
      </c>
      <c r="L4374" s="112" t="s">
        <v>62</v>
      </c>
      <c r="M4374" s="113">
        <v>28500.0</v>
      </c>
      <c r="N4374" s="74"/>
      <c r="O4374" s="87">
        <f t="shared" si="11"/>
        <v>684000</v>
      </c>
      <c r="P4374" s="102" t="str">
        <f t="shared" si="2"/>
        <v>Rp28,500-24 LSN-0.00%</v>
      </c>
      <c r="Q4374" s="92">
        <v>45426.0</v>
      </c>
      <c r="R4374" s="76"/>
      <c r="S4374" s="92">
        <v>45433.0</v>
      </c>
      <c r="T4374" s="49"/>
      <c r="V4374" s="21" t="s">
        <v>1869</v>
      </c>
    </row>
    <row r="4375">
      <c r="A4375" s="93">
        <v>41.0</v>
      </c>
      <c r="B4375" s="77" t="s">
        <v>65</v>
      </c>
      <c r="C4375" s="77" t="s">
        <v>70</v>
      </c>
      <c r="D4375" s="77" t="s">
        <v>3794</v>
      </c>
      <c r="E4375" s="41" t="str">
        <f>IFERROR(__xludf.DUMMYFUNCTION("IFNA(vlookup(D4375,IMPORTRANGE(""https://docs.google.com/spreadsheets/d/1swGwZOEqYlTEUCJLY-eeJM1911Kvaei5oySBIxdgtNo/edit?pli=1#gid=257618397"",""stock untanna!B:C""),2,false),V:V)"),"MAP KANCING TOPLA 3080 HITAM")</f>
        <v>MAP KANCING TOPLA 3080 HITAM</v>
      </c>
      <c r="F4375" s="49"/>
      <c r="G4375" s="71"/>
      <c r="H4375" s="41"/>
      <c r="I4375" s="42"/>
      <c r="J4375" s="85" t="s">
        <v>1319</v>
      </c>
      <c r="K4375" s="93">
        <v>1.0</v>
      </c>
      <c r="L4375" s="112" t="s">
        <v>62</v>
      </c>
      <c r="M4375" s="113">
        <v>195000.0</v>
      </c>
      <c r="N4375" s="74"/>
      <c r="O4375" s="87">
        <f t="shared" si="11"/>
        <v>195000</v>
      </c>
      <c r="P4375" s="102" t="str">
        <f t="shared" si="2"/>
        <v>Rp195,000-1 LSN-0.00%</v>
      </c>
      <c r="Q4375" s="92">
        <v>45426.0</v>
      </c>
      <c r="R4375" s="76"/>
      <c r="S4375" s="92">
        <v>45433.0</v>
      </c>
      <c r="T4375" s="49"/>
      <c r="V4375" s="21" t="s">
        <v>3795</v>
      </c>
    </row>
    <row r="4376">
      <c r="A4376" s="93">
        <v>26.0</v>
      </c>
      <c r="B4376" s="77" t="s">
        <v>58</v>
      </c>
      <c r="C4376" s="77" t="s">
        <v>3047</v>
      </c>
      <c r="D4376" s="77" t="s">
        <v>755</v>
      </c>
      <c r="E4376" s="41" t="str">
        <f>IFERROR(__xludf.DUMMYFUNCTION("IFNA(vlookup(D4376,IMPORTRANGE(""https://docs.google.com/spreadsheets/d/1swGwZOEqYlTEUCJLY-eeJM1911Kvaei5oySBIxdgtNo/edit?pli=1#gid=257618397"",""stock untanna!B:C""),2,false),V:V)"),"GARISAN 30CM ENTER")</f>
        <v>GARISAN 30CM ENTER</v>
      </c>
      <c r="F4376" s="49"/>
      <c r="G4376" s="71"/>
      <c r="H4376" s="41"/>
      <c r="I4376" s="42"/>
      <c r="J4376" s="85" t="s">
        <v>1319</v>
      </c>
      <c r="K4376" s="93">
        <v>292.0</v>
      </c>
      <c r="L4376" s="112" t="s">
        <v>62</v>
      </c>
      <c r="M4376" s="113">
        <v>9000.0</v>
      </c>
      <c r="N4376" s="74"/>
      <c r="O4376" s="87">
        <f t="shared" si="11"/>
        <v>2628000</v>
      </c>
      <c r="P4376" s="102" t="str">
        <f t="shared" si="2"/>
        <v>Rp9,000-292 LSN-0.00%</v>
      </c>
      <c r="Q4376" s="92">
        <v>45426.0</v>
      </c>
      <c r="R4376" s="76"/>
      <c r="S4376" s="92">
        <v>45433.0</v>
      </c>
      <c r="T4376" s="49"/>
      <c r="V4376" s="21" t="s">
        <v>756</v>
      </c>
    </row>
    <row r="4377">
      <c r="A4377" s="93">
        <v>268.0</v>
      </c>
      <c r="B4377" s="77" t="s">
        <v>29</v>
      </c>
      <c r="C4377" s="77" t="s">
        <v>1768</v>
      </c>
      <c r="D4377" s="77" t="s">
        <v>2651</v>
      </c>
      <c r="E4377" s="41" t="str">
        <f>IFERROR(__xludf.DUMMYFUNCTION("IFNA(vlookup(D4377,IMPORTRANGE(""https://docs.google.com/spreadsheets/d/1swGwZOEqYlTEUCJLY-eeJM1911Kvaei5oySBIxdgtNo/edit?pli=1#gid=257618397"",""stock untanna!B:C""),2,false),V:V)"),"EXPANDING FILE V-TECH 4511 B5")</f>
        <v>EXPANDING FILE V-TECH 4511 B5</v>
      </c>
      <c r="F4377" s="49"/>
      <c r="G4377" s="71"/>
      <c r="H4377" s="41"/>
      <c r="I4377" s="42"/>
      <c r="J4377" s="85" t="s">
        <v>1319</v>
      </c>
      <c r="K4377" s="93">
        <v>1.0</v>
      </c>
      <c r="L4377" s="112" t="s">
        <v>62</v>
      </c>
      <c r="M4377" s="113">
        <v>270000.0</v>
      </c>
      <c r="N4377" s="74"/>
      <c r="O4377" s="87">
        <f t="shared" si="11"/>
        <v>270000</v>
      </c>
      <c r="P4377" s="102" t="str">
        <f t="shared" si="2"/>
        <v>Rp270,000-1 LSN-0.00%</v>
      </c>
      <c r="Q4377" s="92">
        <v>45426.0</v>
      </c>
      <c r="R4377" s="76"/>
      <c r="S4377" s="92">
        <v>45433.0</v>
      </c>
      <c r="T4377" s="49"/>
      <c r="V4377" s="21" t="s">
        <v>2652</v>
      </c>
    </row>
    <row r="4378">
      <c r="A4378" s="93">
        <v>268.0</v>
      </c>
      <c r="B4378" s="77" t="s">
        <v>29</v>
      </c>
      <c r="C4378" s="77" t="s">
        <v>1768</v>
      </c>
      <c r="D4378" s="77" t="s">
        <v>3796</v>
      </c>
      <c r="E4378" s="41" t="str">
        <f>IFERROR(__xludf.DUMMYFUNCTION("IFNA(vlookup(D4378,IMPORTRANGE(""https://docs.google.com/spreadsheets/d/1swGwZOEqYlTEUCJLY-eeJM1911Kvaei5oySBIxdgtNo/edit?pli=1#gid=257618397"",""stock untanna!B:C""),2,false),V:V)"),"EXPANDING FILE V-TECH 4512 B5")</f>
        <v>EXPANDING FILE V-TECH 4512 B5</v>
      </c>
      <c r="F4378" s="49"/>
      <c r="G4378" s="71"/>
      <c r="H4378" s="41"/>
      <c r="I4378" s="42"/>
      <c r="J4378" s="85" t="s">
        <v>1319</v>
      </c>
      <c r="K4378" s="93">
        <v>0.5</v>
      </c>
      <c r="L4378" s="112" t="s">
        <v>62</v>
      </c>
      <c r="M4378" s="113">
        <v>270000.0</v>
      </c>
      <c r="N4378" s="74"/>
      <c r="O4378" s="87">
        <f t="shared" si="11"/>
        <v>135000</v>
      </c>
      <c r="P4378" s="102" t="str">
        <f t="shared" si="2"/>
        <v>Rp270,000-0.5 LSN-0.00%</v>
      </c>
      <c r="Q4378" s="92">
        <v>45426.0</v>
      </c>
      <c r="R4378" s="76"/>
      <c r="S4378" s="92">
        <v>45433.0</v>
      </c>
      <c r="T4378" s="49"/>
      <c r="V4378" s="21" t="s">
        <v>3797</v>
      </c>
    </row>
    <row r="4379">
      <c r="A4379" s="93">
        <v>268.0</v>
      </c>
      <c r="B4379" s="77" t="s">
        <v>29</v>
      </c>
      <c r="C4379" s="77" t="s">
        <v>1768</v>
      </c>
      <c r="D4379" s="91"/>
      <c r="E4379" s="41" t="str">
        <f>IFERROR(__xludf.DUMMYFUNCTION("IFNA(vlookup(D4379,IMPORTRANGE(""https://docs.google.com/spreadsheets/d/1swGwZOEqYlTEUCJLY-eeJM1911Kvaei5oySBIxdgtNo/edit?pli=1#gid=257618397"",""stock untanna!B:C""),2,false),V:V)"),"STABILLO HL 520")</f>
        <v>STABILLO HL 520</v>
      </c>
      <c r="F4379" s="49"/>
      <c r="G4379" s="71"/>
      <c r="H4379" s="41"/>
      <c r="I4379" s="42"/>
      <c r="J4379" s="85" t="s">
        <v>3190</v>
      </c>
      <c r="K4379" s="93">
        <v>3.0</v>
      </c>
      <c r="L4379" s="112" t="s">
        <v>62</v>
      </c>
      <c r="M4379" s="113">
        <v>17500.0</v>
      </c>
      <c r="N4379" s="74"/>
      <c r="O4379" s="87">
        <f t="shared" si="11"/>
        <v>52500</v>
      </c>
      <c r="P4379" s="102" t="str">
        <f t="shared" si="2"/>
        <v>Rp17,500-3 LSN-0.00%</v>
      </c>
      <c r="Q4379" s="92">
        <v>45426.0</v>
      </c>
      <c r="R4379" s="76"/>
      <c r="S4379" s="92">
        <v>45433.0</v>
      </c>
      <c r="T4379" s="49"/>
      <c r="V4379" s="21" t="s">
        <v>3798</v>
      </c>
    </row>
    <row r="4380">
      <c r="A4380" s="93">
        <v>268.0</v>
      </c>
      <c r="B4380" s="77" t="s">
        <v>29</v>
      </c>
      <c r="C4380" s="77" t="s">
        <v>1768</v>
      </c>
      <c r="D4380" s="77" t="s">
        <v>3799</v>
      </c>
      <c r="E4380" s="41" t="str">
        <f>IFERROR(__xludf.DUMMYFUNCTION("IFNA(vlookup(D4380,IMPORTRANGE(""https://docs.google.com/spreadsheets/d/1swGwZOEqYlTEUCJLY-eeJM1911Kvaei5oySBIxdgtNo/edit?pli=1#gid=257618397"",""stock untanna!B:C""),2,false),V:V)"),"STABILLO CS 2001 COSH")</f>
        <v>STABILLO CS 2001 COSH</v>
      </c>
      <c r="F4380" s="49"/>
      <c r="G4380" s="71"/>
      <c r="H4380" s="41"/>
      <c r="I4380" s="42"/>
      <c r="J4380" s="85" t="s">
        <v>1319</v>
      </c>
      <c r="K4380" s="93">
        <v>3.0</v>
      </c>
      <c r="L4380" s="112" t="s">
        <v>62</v>
      </c>
      <c r="M4380" s="113">
        <v>32500.0</v>
      </c>
      <c r="N4380" s="74"/>
      <c r="O4380" s="87">
        <f t="shared" si="11"/>
        <v>97500</v>
      </c>
      <c r="P4380" s="102" t="str">
        <f t="shared" si="2"/>
        <v>Rp32,500-3 LSN-0.00%</v>
      </c>
      <c r="Q4380" s="92">
        <v>45426.0</v>
      </c>
      <c r="R4380" s="76"/>
      <c r="S4380" s="92">
        <v>45433.0</v>
      </c>
      <c r="T4380" s="49"/>
      <c r="V4380" s="21" t="s">
        <v>3800</v>
      </c>
    </row>
    <row r="4381">
      <c r="A4381" s="93">
        <v>133.0</v>
      </c>
      <c r="B4381" s="77" t="s">
        <v>65</v>
      </c>
      <c r="C4381" s="77" t="s">
        <v>3801</v>
      </c>
      <c r="D4381" s="77" t="s">
        <v>1630</v>
      </c>
      <c r="E4381" s="41" t="str">
        <f>IFERROR(__xludf.DUMMYFUNCTION("IFNA(vlookup(D4381,IMPORTRANGE(""https://docs.google.com/spreadsheets/d/1swGwZOEqYlTEUCJLY-eeJM1911Kvaei5oySBIxdgtNo/edit?pli=1#gid=257618397"",""stock untanna!B:C""),2,false),V:V)"),"TAS BRANDED KECIL SB 115")</f>
        <v>TAS BRANDED KECIL SB 115</v>
      </c>
      <c r="F4381" s="49"/>
      <c r="G4381" s="71"/>
      <c r="H4381" s="41"/>
      <c r="I4381" s="42"/>
      <c r="J4381" s="85" t="s">
        <v>1319</v>
      </c>
      <c r="K4381" s="93">
        <v>5.0</v>
      </c>
      <c r="L4381" s="112" t="s">
        <v>62</v>
      </c>
      <c r="M4381" s="113">
        <v>25000.0</v>
      </c>
      <c r="N4381" s="74"/>
      <c r="O4381" s="87">
        <f t="shared" si="11"/>
        <v>125000</v>
      </c>
      <c r="P4381" s="102" t="str">
        <f t="shared" si="2"/>
        <v>Rp25,000-5 LSN-0.00%</v>
      </c>
      <c r="Q4381" s="92">
        <v>45427.0</v>
      </c>
      <c r="R4381" s="76"/>
      <c r="S4381" s="92">
        <v>45433.0</v>
      </c>
      <c r="T4381" s="49"/>
      <c r="V4381" s="21" t="s">
        <v>1631</v>
      </c>
    </row>
    <row r="4382">
      <c r="A4382" s="93">
        <v>133.0</v>
      </c>
      <c r="B4382" s="77" t="s">
        <v>65</v>
      </c>
      <c r="C4382" s="77" t="s">
        <v>3801</v>
      </c>
      <c r="D4382" s="77" t="s">
        <v>1530</v>
      </c>
      <c r="E4382" s="41" t="str">
        <f>IFERROR(__xludf.DUMMYFUNCTION("IFNA(vlookup(D4382,IMPORTRANGE(""https://docs.google.com/spreadsheets/d/1swGwZOEqYlTEUCJLY-eeJM1911Kvaei5oySBIxdgtNo/edit?pli=1#gid=257618397"",""stock untanna!B:C""),2,false),V:V)"),"TAS TALI GG-02 TANGGUNG GLITTER")</f>
        <v>TAS TALI GG-02 TANGGUNG GLITTER</v>
      </c>
      <c r="F4382" s="49"/>
      <c r="G4382" s="71"/>
      <c r="H4382" s="41"/>
      <c r="I4382" s="42"/>
      <c r="J4382" s="85" t="s">
        <v>1319</v>
      </c>
      <c r="K4382" s="93">
        <v>2.0</v>
      </c>
      <c r="L4382" s="112" t="s">
        <v>62</v>
      </c>
      <c r="M4382" s="113">
        <v>105000.0</v>
      </c>
      <c r="N4382" s="74"/>
      <c r="O4382" s="87">
        <f t="shared" si="11"/>
        <v>210000</v>
      </c>
      <c r="P4382" s="102" t="str">
        <f t="shared" si="2"/>
        <v>Rp105,000-2 LSN-0.00%</v>
      </c>
      <c r="Q4382" s="92">
        <v>45427.0</v>
      </c>
      <c r="R4382" s="76"/>
      <c r="S4382" s="92">
        <v>45433.0</v>
      </c>
      <c r="T4382" s="49"/>
      <c r="V4382" s="21" t="s">
        <v>1531</v>
      </c>
    </row>
    <row r="4383">
      <c r="A4383" s="93">
        <v>133.0</v>
      </c>
      <c r="B4383" s="77" t="s">
        <v>65</v>
      </c>
      <c r="C4383" s="77" t="s">
        <v>3801</v>
      </c>
      <c r="D4383" s="91"/>
      <c r="E4383" s="41" t="str">
        <f>IFERROR(__xludf.DUMMYFUNCTION("IFNA(vlookup(D4383,IMPORTRANGE(""https://docs.google.com/spreadsheets/d/1swGwZOEqYlTEUCJLY-eeJM1911Kvaei5oySBIxdgtNo/edit?pli=1#gid=257618397"",""stock untanna!B:C""),2,false),V:V)"),"TALI TAMBANG 2808 GLITTER TIMBUL TANGGUNG")</f>
        <v>TALI TAMBANG 2808 GLITTER TIMBUL TANGGUNG</v>
      </c>
      <c r="F4383" s="49"/>
      <c r="G4383" s="71"/>
      <c r="H4383" s="41"/>
      <c r="I4383" s="42"/>
      <c r="J4383" s="85" t="s">
        <v>3190</v>
      </c>
      <c r="K4383" s="93">
        <v>2.0</v>
      </c>
      <c r="L4383" s="112" t="s">
        <v>62</v>
      </c>
      <c r="M4383" s="113">
        <v>105000.0</v>
      </c>
      <c r="N4383" s="74"/>
      <c r="O4383" s="87">
        <f t="shared" si="11"/>
        <v>210000</v>
      </c>
      <c r="P4383" s="102" t="str">
        <f t="shared" si="2"/>
        <v>Rp105,000-2 LSN-0.00%</v>
      </c>
      <c r="Q4383" s="92">
        <v>45427.0</v>
      </c>
      <c r="R4383" s="76"/>
      <c r="S4383" s="92">
        <v>45433.0</v>
      </c>
      <c r="T4383" s="49"/>
      <c r="V4383" s="21" t="s">
        <v>3802</v>
      </c>
    </row>
    <row r="4384">
      <c r="A4384" s="93">
        <v>133.0</v>
      </c>
      <c r="B4384" s="77" t="s">
        <v>65</v>
      </c>
      <c r="C4384" s="77" t="s">
        <v>3801</v>
      </c>
      <c r="D4384" s="77" t="s">
        <v>1530</v>
      </c>
      <c r="E4384" s="41" t="str">
        <f>IFERROR(__xludf.DUMMYFUNCTION("IFNA(vlookup(D4384,IMPORTRANGE(""https://docs.google.com/spreadsheets/d/1swGwZOEqYlTEUCJLY-eeJM1911Kvaei5oySBIxdgtNo/edit?pli=1#gid=257618397"",""stock untanna!B:C""),2,false),V:V)"),"TAS TALI GG-02 TANGGUNG GLITTER")</f>
        <v>TAS TALI GG-02 TANGGUNG GLITTER</v>
      </c>
      <c r="F4384" s="49"/>
      <c r="G4384" s="71"/>
      <c r="H4384" s="41"/>
      <c r="I4384" s="42"/>
      <c r="J4384" s="85" t="s">
        <v>1319</v>
      </c>
      <c r="K4384" s="93">
        <v>2.0</v>
      </c>
      <c r="L4384" s="112" t="s">
        <v>62</v>
      </c>
      <c r="M4384" s="113">
        <v>105000.0</v>
      </c>
      <c r="N4384" s="74"/>
      <c r="O4384" s="87">
        <f t="shared" si="11"/>
        <v>210000</v>
      </c>
      <c r="P4384" s="102" t="str">
        <f t="shared" si="2"/>
        <v>Rp105,000-2 LSN-0.00%</v>
      </c>
      <c r="Q4384" s="92">
        <v>45427.0</v>
      </c>
      <c r="R4384" s="76"/>
      <c r="S4384" s="92">
        <v>45433.0</v>
      </c>
      <c r="T4384" s="49"/>
      <c r="V4384" s="21" t="s">
        <v>1531</v>
      </c>
    </row>
    <row r="4385">
      <c r="A4385" s="93">
        <v>133.0</v>
      </c>
      <c r="B4385" s="77" t="s">
        <v>65</v>
      </c>
      <c r="C4385" s="77" t="s">
        <v>3801</v>
      </c>
      <c r="D4385" s="77" t="s">
        <v>2231</v>
      </c>
      <c r="E4385" s="41" t="str">
        <f>IFERROR(__xludf.DUMMYFUNCTION("IFNA(vlookup(D4385,IMPORTRANGE(""https://docs.google.com/spreadsheets/d/1swGwZOEqYlTEUCJLY-eeJM1911Kvaei5oySBIxdgtNo/edit?pli=1#gid=257618397"",""stock untanna!B:C""),2,false),V:V)"),"PENSIL 950")</f>
        <v>PENSIL 950</v>
      </c>
      <c r="F4385" s="49"/>
      <c r="G4385" s="71"/>
      <c r="H4385" s="41"/>
      <c r="I4385" s="42"/>
      <c r="J4385" s="43" t="str">
        <f t="shared" ref="J4385:J4387" si="16">IF(D4385="","TIDAK ADA","ADA")</f>
        <v>ADA</v>
      </c>
      <c r="K4385" s="93">
        <v>48.0</v>
      </c>
      <c r="L4385" s="112" t="s">
        <v>69</v>
      </c>
      <c r="M4385" s="113">
        <v>2200.0</v>
      </c>
      <c r="N4385" s="74"/>
      <c r="O4385" s="87">
        <f t="shared" si="11"/>
        <v>105600</v>
      </c>
      <c r="P4385" s="102" t="str">
        <f t="shared" si="2"/>
        <v>Rp2,200-48 PCS-0.00%</v>
      </c>
      <c r="Q4385" s="92">
        <v>45427.0</v>
      </c>
      <c r="R4385" s="76"/>
      <c r="S4385" s="92">
        <v>45433.0</v>
      </c>
      <c r="T4385" s="77" t="s">
        <v>280</v>
      </c>
      <c r="V4385" s="21" t="s">
        <v>1955</v>
      </c>
    </row>
    <row r="4386">
      <c r="A4386" s="93">
        <v>133.0</v>
      </c>
      <c r="B4386" s="77" t="s">
        <v>65</v>
      </c>
      <c r="C4386" s="77" t="s">
        <v>3801</v>
      </c>
      <c r="D4386" s="77" t="s">
        <v>2229</v>
      </c>
      <c r="E4386" s="41" t="str">
        <f>IFERROR(__xludf.DUMMYFUNCTION("IFNA(vlookup(D4386,IMPORTRANGE(""https://docs.google.com/spreadsheets/d/1swGwZOEqYlTEUCJLY-eeJM1911Kvaei5oySBIxdgtNo/edit?pli=1#gid=257618397"",""stock untanna!B:C""),2,false),V:V)"),"PENSIL 938")</f>
        <v>PENSIL 938</v>
      </c>
      <c r="F4386" s="49"/>
      <c r="G4386" s="71"/>
      <c r="H4386" s="41"/>
      <c r="I4386" s="42"/>
      <c r="J4386" s="43" t="str">
        <f t="shared" si="16"/>
        <v>ADA</v>
      </c>
      <c r="K4386" s="93">
        <v>48.0</v>
      </c>
      <c r="L4386" s="112" t="s">
        <v>69</v>
      </c>
      <c r="M4386" s="113">
        <v>2200.0</v>
      </c>
      <c r="N4386" s="74"/>
      <c r="O4386" s="87">
        <f t="shared" si="11"/>
        <v>105600</v>
      </c>
      <c r="P4386" s="102" t="str">
        <f t="shared" si="2"/>
        <v>Rp2,200-48 PCS-0.00%</v>
      </c>
      <c r="Q4386" s="92">
        <v>45427.0</v>
      </c>
      <c r="R4386" s="76"/>
      <c r="S4386" s="92">
        <v>45433.0</v>
      </c>
      <c r="T4386" s="77" t="s">
        <v>280</v>
      </c>
      <c r="V4386" s="21" t="s">
        <v>2230</v>
      </c>
    </row>
    <row r="4387">
      <c r="A4387" s="93">
        <v>133.0</v>
      </c>
      <c r="B4387" s="77" t="s">
        <v>65</v>
      </c>
      <c r="C4387" s="77" t="s">
        <v>3801</v>
      </c>
      <c r="D4387" s="77" t="s">
        <v>3803</v>
      </c>
      <c r="E4387" s="41" t="str">
        <f>IFERROR(__xludf.DUMMYFUNCTION("IFNA(vlookup(D4387,IMPORTRANGE(""https://docs.google.com/spreadsheets/d/1swGwZOEqYlTEUCJLY-eeJM1911Kvaei5oySBIxdgtNo/edit?pli=1#gid=257618397"",""stock untanna!B:C""),2,false),V:V)"),"PENSIL 921")</f>
        <v>PENSIL 921</v>
      </c>
      <c r="F4387" s="49"/>
      <c r="G4387" s="71"/>
      <c r="H4387" s="41"/>
      <c r="I4387" s="42"/>
      <c r="J4387" s="43" t="str">
        <f t="shared" si="16"/>
        <v>ADA</v>
      </c>
      <c r="K4387" s="93">
        <v>48.0</v>
      </c>
      <c r="L4387" s="112" t="s">
        <v>69</v>
      </c>
      <c r="M4387" s="113">
        <v>2200.0</v>
      </c>
      <c r="N4387" s="74"/>
      <c r="O4387" s="87">
        <f t="shared" si="11"/>
        <v>105600</v>
      </c>
      <c r="P4387" s="102" t="str">
        <f t="shared" si="2"/>
        <v>Rp2,200-48 PCS-0.00%</v>
      </c>
      <c r="Q4387" s="92">
        <v>45427.0</v>
      </c>
      <c r="R4387" s="76"/>
      <c r="S4387" s="92">
        <v>45433.0</v>
      </c>
      <c r="T4387" s="77" t="s">
        <v>280</v>
      </c>
      <c r="V4387" s="21" t="s">
        <v>3804</v>
      </c>
    </row>
    <row r="4388">
      <c r="A4388" s="93">
        <v>133.0</v>
      </c>
      <c r="B4388" s="77" t="s">
        <v>65</v>
      </c>
      <c r="C4388" s="77" t="s">
        <v>3801</v>
      </c>
      <c r="D4388" s="77" t="s">
        <v>1588</v>
      </c>
      <c r="E4388" s="41" t="str">
        <f>IFERROR(__xludf.DUMMYFUNCTION("IFNA(vlookup(D4388,IMPORTRANGE(""https://docs.google.com/spreadsheets/d/1swGwZOEqYlTEUCJLY-eeJM1911Kvaei5oySBIxdgtNo/edit?pli=1#gid=257618397"",""stock untanna!B:C""),2,false),V:V)"),"ISI BENSIA LANTU LT 1132")</f>
        <v>ISI BENSIA LANTU LT 1132</v>
      </c>
      <c r="F4388" s="49"/>
      <c r="G4388" s="71"/>
      <c r="H4388" s="41"/>
      <c r="I4388" s="42"/>
      <c r="J4388" s="85" t="s">
        <v>1319</v>
      </c>
      <c r="K4388" s="93">
        <v>120.0</v>
      </c>
      <c r="L4388" s="112" t="s">
        <v>69</v>
      </c>
      <c r="M4388" s="113">
        <v>2500.0</v>
      </c>
      <c r="N4388" s="74"/>
      <c r="O4388" s="87">
        <f t="shared" si="11"/>
        <v>300000</v>
      </c>
      <c r="P4388" s="102" t="str">
        <f t="shared" si="2"/>
        <v>Rp2,500-120 PCS-0.00%</v>
      </c>
      <c r="Q4388" s="92">
        <v>45427.0</v>
      </c>
      <c r="R4388" s="76"/>
      <c r="S4388" s="92">
        <v>45433.0</v>
      </c>
      <c r="T4388" s="77" t="s">
        <v>100</v>
      </c>
      <c r="V4388" s="21" t="s">
        <v>1589</v>
      </c>
    </row>
    <row r="4389">
      <c r="A4389" s="93">
        <v>133.0</v>
      </c>
      <c r="B4389" s="77" t="s">
        <v>65</v>
      </c>
      <c r="C4389" s="77" t="s">
        <v>3801</v>
      </c>
      <c r="D4389" s="77" t="s">
        <v>1088</v>
      </c>
      <c r="E4389" s="41" t="str">
        <f>IFERROR(__xludf.DUMMYFUNCTION("IFNA(vlookup(D4389,IMPORTRANGE(""https://docs.google.com/spreadsheets/d/1swGwZOEqYlTEUCJLY-eeJM1911Kvaei5oySBIxdgtNo/edit?pli=1#gid=257618397"",""stock untanna!B:C""),2,false),V:V)"),"ASAHAN TOPLES GOLDEN (24)")</f>
        <v>ASAHAN TOPLES GOLDEN (24)</v>
      </c>
      <c r="F4389" s="49"/>
      <c r="G4389" s="71"/>
      <c r="H4389" s="41"/>
      <c r="I4389" s="42"/>
      <c r="J4389" s="85" t="s">
        <v>1319</v>
      </c>
      <c r="K4389" s="93">
        <v>6.0</v>
      </c>
      <c r="L4389" s="112" t="s">
        <v>88</v>
      </c>
      <c r="M4389" s="113">
        <v>12000.0</v>
      </c>
      <c r="N4389" s="74"/>
      <c r="O4389" s="87">
        <f t="shared" si="11"/>
        <v>72000</v>
      </c>
      <c r="P4389" s="102" t="str">
        <f t="shared" si="2"/>
        <v>Rp12,000-6 BOX-0.00%</v>
      </c>
      <c r="Q4389" s="92">
        <v>45427.0</v>
      </c>
      <c r="R4389" s="76"/>
      <c r="S4389" s="92">
        <v>45433.0</v>
      </c>
      <c r="T4389" s="49"/>
      <c r="V4389" s="21" t="s">
        <v>1089</v>
      </c>
    </row>
    <row r="4390">
      <c r="A4390" s="93">
        <v>133.0</v>
      </c>
      <c r="B4390" s="77" t="s">
        <v>65</v>
      </c>
      <c r="C4390" s="77" t="s">
        <v>3801</v>
      </c>
      <c r="D4390" s="91"/>
      <c r="E4390" s="41" t="str">
        <f>IFERROR(__xludf.DUMMYFUNCTION("IFNA(vlookup(D4390,IMPORTRANGE(""https://docs.google.com/spreadsheets/d/1swGwZOEqYlTEUCJLY-eeJM1911Kvaei5oySBIxdgtNo/edit?pli=1#gid=257618397"",""stock untanna!B:C""),2,false),V:V)"),"KEMOCHENG KOMPUTER")</f>
        <v>KEMOCHENG KOMPUTER</v>
      </c>
      <c r="F4390" s="49"/>
      <c r="G4390" s="71"/>
      <c r="H4390" s="41"/>
      <c r="I4390" s="42"/>
      <c r="J4390" s="85" t="s">
        <v>3190</v>
      </c>
      <c r="K4390" s="93">
        <v>2.0</v>
      </c>
      <c r="L4390" s="112" t="s">
        <v>62</v>
      </c>
      <c r="M4390" s="113">
        <v>57000.0</v>
      </c>
      <c r="N4390" s="74"/>
      <c r="O4390" s="87">
        <f t="shared" si="11"/>
        <v>114000</v>
      </c>
      <c r="P4390" s="102" t="str">
        <f t="shared" si="2"/>
        <v>Rp57,000-2 LSN-0.00%</v>
      </c>
      <c r="Q4390" s="92">
        <v>45427.0</v>
      </c>
      <c r="R4390" s="76"/>
      <c r="S4390" s="92">
        <v>45433.0</v>
      </c>
      <c r="T4390" s="49"/>
      <c r="V4390" s="21" t="s">
        <v>1200</v>
      </c>
    </row>
    <row r="4391">
      <c r="A4391" s="93">
        <v>132.0</v>
      </c>
      <c r="B4391" s="77" t="s">
        <v>65</v>
      </c>
      <c r="C4391" s="77" t="s">
        <v>3536</v>
      </c>
      <c r="D4391" s="77" t="s">
        <v>2854</v>
      </c>
      <c r="E4391" s="41" t="str">
        <f>IFERROR(__xludf.DUMMYFUNCTION("IFNA(vlookup(D4391,IMPORTRANGE(""https://docs.google.com/spreadsheets/d/1swGwZOEqYlTEUCJLY-eeJM1911Kvaei5oySBIxdgtNo/edit?pli=1#gid=257618397"",""stock untanna!B:C""),2,false),V:V)"),"TAS COKLAT TEBAL TANGGUNG ")</f>
        <v>TAS COKLAT TEBAL TANGGUNG </v>
      </c>
      <c r="F4391" s="49"/>
      <c r="G4391" s="71"/>
      <c r="H4391" s="41"/>
      <c r="I4391" s="42"/>
      <c r="J4391" s="85" t="s">
        <v>1319</v>
      </c>
      <c r="K4391" s="93">
        <v>40.0</v>
      </c>
      <c r="L4391" s="112" t="s">
        <v>62</v>
      </c>
      <c r="M4391" s="113">
        <v>24000.0</v>
      </c>
      <c r="N4391" s="74"/>
      <c r="O4391" s="87">
        <f t="shared" si="11"/>
        <v>960000</v>
      </c>
      <c r="P4391" s="102" t="str">
        <f t="shared" si="2"/>
        <v>Rp24,000-40 LSN-0.00%</v>
      </c>
      <c r="Q4391" s="92">
        <v>45427.0</v>
      </c>
      <c r="R4391" s="76"/>
      <c r="S4391" s="92">
        <v>45433.0</v>
      </c>
      <c r="T4391" s="49"/>
      <c r="V4391" s="21" t="s">
        <v>2855</v>
      </c>
    </row>
    <row r="4392">
      <c r="A4392" s="93">
        <v>132.0</v>
      </c>
      <c r="B4392" s="77" t="s">
        <v>65</v>
      </c>
      <c r="C4392" s="77" t="s">
        <v>3536</v>
      </c>
      <c r="D4392" s="77" t="s">
        <v>3584</v>
      </c>
      <c r="E4392" s="41" t="str">
        <f>IFERROR(__xludf.DUMMYFUNCTION("IFNA(vlookup(D4392,IMPORTRANGE(""https://docs.google.com/spreadsheets/d/1swGwZOEqYlTEUCJLY-eeJM1911Kvaei5oySBIxdgtNo/edit?pli=1#gid=257618397"",""stock untanna!B:C""),2,false),V:V)"),"KUAS UTN 661-4")</f>
        <v>KUAS UTN 661-4</v>
      </c>
      <c r="F4392" s="49"/>
      <c r="G4392" s="71"/>
      <c r="H4392" s="41"/>
      <c r="I4392" s="42"/>
      <c r="J4392" s="85" t="s">
        <v>1319</v>
      </c>
      <c r="K4392" s="93">
        <v>24.0</v>
      </c>
      <c r="L4392" s="112" t="s">
        <v>84</v>
      </c>
      <c r="M4392" s="113">
        <v>11000.0</v>
      </c>
      <c r="N4392" s="74"/>
      <c r="O4392" s="87">
        <f t="shared" si="11"/>
        <v>264000</v>
      </c>
      <c r="P4392" s="102" t="str">
        <f t="shared" si="2"/>
        <v>Rp11,000-24 SET-0.00%</v>
      </c>
      <c r="Q4392" s="92">
        <v>45427.0</v>
      </c>
      <c r="R4392" s="76"/>
      <c r="S4392" s="92">
        <v>45433.0</v>
      </c>
      <c r="T4392" s="49"/>
      <c r="V4392" s="21" t="s">
        <v>3585</v>
      </c>
    </row>
    <row r="4393">
      <c r="A4393" s="93">
        <v>132.0</v>
      </c>
      <c r="B4393" s="77" t="s">
        <v>65</v>
      </c>
      <c r="C4393" s="77" t="s">
        <v>3536</v>
      </c>
      <c r="D4393" s="77" t="s">
        <v>3586</v>
      </c>
      <c r="E4393" s="41" t="str">
        <f>IFERROR(__xludf.DUMMYFUNCTION("IFNA(vlookup(D4393,IMPORTRANGE(""https://docs.google.com/spreadsheets/d/1swGwZOEqYlTEUCJLY-eeJM1911Kvaei5oySBIxdgtNo/edit?pli=1#gid=257618397"",""stock untanna!B:C""),2,false),V:V)"),"KUAS UTN 661-5")</f>
        <v>KUAS UTN 661-5</v>
      </c>
      <c r="F4393" s="49"/>
      <c r="G4393" s="71"/>
      <c r="H4393" s="41"/>
      <c r="I4393" s="42"/>
      <c r="J4393" s="85" t="s">
        <v>1319</v>
      </c>
      <c r="K4393" s="93">
        <v>24.0</v>
      </c>
      <c r="L4393" s="112" t="s">
        <v>84</v>
      </c>
      <c r="M4393" s="113">
        <v>12500.0</v>
      </c>
      <c r="N4393" s="74"/>
      <c r="O4393" s="87">
        <f t="shared" si="11"/>
        <v>300000</v>
      </c>
      <c r="P4393" s="102" t="str">
        <f t="shared" si="2"/>
        <v>Rp12,500-24 SET-0.00%</v>
      </c>
      <c r="Q4393" s="92">
        <v>45427.0</v>
      </c>
      <c r="R4393" s="76"/>
      <c r="S4393" s="92">
        <v>45433.0</v>
      </c>
      <c r="T4393" s="49"/>
      <c r="V4393" s="21" t="s">
        <v>3587</v>
      </c>
    </row>
    <row r="4394">
      <c r="A4394" s="93">
        <v>132.0</v>
      </c>
      <c r="B4394" s="77" t="s">
        <v>65</v>
      </c>
      <c r="C4394" s="77" t="s">
        <v>3536</v>
      </c>
      <c r="D4394" s="77" t="s">
        <v>3588</v>
      </c>
      <c r="E4394" s="41" t="str">
        <f>IFERROR(__xludf.DUMMYFUNCTION("IFNA(vlookup(D4394,IMPORTRANGE(""https://docs.google.com/spreadsheets/d/1swGwZOEqYlTEUCJLY-eeJM1911Kvaei5oySBIxdgtNo/edit?pli=1#gid=257618397"",""stock untanna!B:C""),2,false),V:V)"),"KUAS UTN 661-6")</f>
        <v>KUAS UTN 661-6</v>
      </c>
      <c r="F4394" s="49"/>
      <c r="G4394" s="71"/>
      <c r="H4394" s="41"/>
      <c r="I4394" s="42"/>
      <c r="J4394" s="85" t="s">
        <v>1319</v>
      </c>
      <c r="K4394" s="93">
        <v>24.0</v>
      </c>
      <c r="L4394" s="112" t="s">
        <v>84</v>
      </c>
      <c r="M4394" s="113">
        <v>14500.0</v>
      </c>
      <c r="N4394" s="74"/>
      <c r="O4394" s="87">
        <f t="shared" si="11"/>
        <v>348000</v>
      </c>
      <c r="P4394" s="102" t="str">
        <f t="shared" si="2"/>
        <v>Rp14,500-24 SET-0.00%</v>
      </c>
      <c r="Q4394" s="92">
        <v>45427.0</v>
      </c>
      <c r="R4394" s="76"/>
      <c r="S4394" s="92">
        <v>45433.0</v>
      </c>
      <c r="T4394" s="49"/>
      <c r="V4394" s="21" t="s">
        <v>3589</v>
      </c>
    </row>
    <row r="4395">
      <c r="A4395" s="93">
        <v>132.0</v>
      </c>
      <c r="B4395" s="77" t="s">
        <v>65</v>
      </c>
      <c r="C4395" s="77" t="s">
        <v>3536</v>
      </c>
      <c r="D4395" s="77" t="s">
        <v>3038</v>
      </c>
      <c r="E4395" s="41" t="str">
        <f>IFERROR(__xludf.DUMMYFUNCTION("IFNA(vlookup(D4395,IMPORTRANGE(""https://docs.google.com/spreadsheets/d/1swGwZOEqYlTEUCJLY-eeJM1911Kvaei5oySBIxdgtNo/edit?pli=1#gid=257618397"",""stock untanna!B:C""),2,false),V:V)"),"ISI GEL ELSON ES-230 DINO")</f>
        <v>ISI GEL ELSON ES-230 DINO</v>
      </c>
      <c r="F4395" s="49"/>
      <c r="G4395" s="71"/>
      <c r="H4395" s="41"/>
      <c r="I4395" s="42"/>
      <c r="J4395" s="85" t="s">
        <v>1319</v>
      </c>
      <c r="K4395" s="93">
        <v>120.0</v>
      </c>
      <c r="L4395" s="112" t="s">
        <v>88</v>
      </c>
      <c r="M4395" s="113">
        <v>6000.0</v>
      </c>
      <c r="N4395" s="74"/>
      <c r="O4395" s="87">
        <f t="shared" si="11"/>
        <v>720000</v>
      </c>
      <c r="P4395" s="102" t="str">
        <f t="shared" si="2"/>
        <v>Rp6,000-120 BOX-0.00%</v>
      </c>
      <c r="Q4395" s="92">
        <v>45427.0</v>
      </c>
      <c r="R4395" s="76"/>
      <c r="S4395" s="92">
        <v>45433.0</v>
      </c>
      <c r="T4395" s="49"/>
      <c r="V4395" s="21" t="s">
        <v>3039</v>
      </c>
    </row>
    <row r="4396">
      <c r="A4396" s="93">
        <v>132.0</v>
      </c>
      <c r="B4396" s="77" t="s">
        <v>65</v>
      </c>
      <c r="C4396" s="77" t="s">
        <v>3536</v>
      </c>
      <c r="D4396" s="77" t="s">
        <v>3805</v>
      </c>
      <c r="E4396" s="41" t="str">
        <f>IFERROR(__xludf.DUMMYFUNCTION("IFNA(vlookup(D4396,IMPORTRANGE(""https://docs.google.com/spreadsheets/d/1swGwZOEqYlTEUCJLY-eeJM1911Kvaei5oySBIxdgtNo/edit?pli=1#gid=257618397"",""stock untanna!B:C""),2,false),V:V)"),"ISI GEL ELSON ES-225 UNICORN")</f>
        <v>ISI GEL ELSON ES-225 UNICORN</v>
      </c>
      <c r="F4396" s="49"/>
      <c r="G4396" s="71"/>
      <c r="H4396" s="41"/>
      <c r="I4396" s="42"/>
      <c r="J4396" s="85" t="s">
        <v>1319</v>
      </c>
      <c r="K4396" s="93">
        <v>24.0</v>
      </c>
      <c r="L4396" s="112" t="s">
        <v>88</v>
      </c>
      <c r="M4396" s="113">
        <v>6000.0</v>
      </c>
      <c r="N4396" s="74"/>
      <c r="O4396" s="87">
        <f t="shared" si="11"/>
        <v>144000</v>
      </c>
      <c r="P4396" s="102" t="str">
        <f t="shared" si="2"/>
        <v>Rp6,000-24 BOX-0.00%</v>
      </c>
      <c r="Q4396" s="92">
        <v>45427.0</v>
      </c>
      <c r="R4396" s="76"/>
      <c r="S4396" s="92">
        <v>45433.0</v>
      </c>
      <c r="T4396" s="49"/>
      <c r="V4396" s="21" t="s">
        <v>3806</v>
      </c>
    </row>
    <row r="4397">
      <c r="A4397" s="93">
        <v>132.0</v>
      </c>
      <c r="B4397" s="77" t="s">
        <v>65</v>
      </c>
      <c r="C4397" s="77" t="s">
        <v>3536</v>
      </c>
      <c r="D4397" s="77" t="s">
        <v>1621</v>
      </c>
      <c r="E4397" s="41" t="str">
        <f>IFERROR(__xludf.DUMMYFUNCTION("IFNA(vlookup(D4397,IMPORTRANGE(""https://docs.google.com/spreadsheets/d/1swGwZOEqYlTEUCJLY-eeJM1911Kvaei5oySBIxdgtNo/edit?pli=1#gid=257618397"",""stock untanna!B:C""),2,false),V:V)"),"ISI GEL ELSON ES-226 SANRIO")</f>
        <v>ISI GEL ELSON ES-226 SANRIO</v>
      </c>
      <c r="F4397" s="49"/>
      <c r="G4397" s="71"/>
      <c r="H4397" s="41"/>
      <c r="I4397" s="42"/>
      <c r="J4397" s="85" t="s">
        <v>1319</v>
      </c>
      <c r="K4397" s="93">
        <v>72.0</v>
      </c>
      <c r="L4397" s="112" t="s">
        <v>88</v>
      </c>
      <c r="M4397" s="113">
        <v>6000.0</v>
      </c>
      <c r="N4397" s="74"/>
      <c r="O4397" s="87">
        <f t="shared" si="11"/>
        <v>432000</v>
      </c>
      <c r="P4397" s="102" t="str">
        <f t="shared" si="2"/>
        <v>Rp6,000-72 BOX-0.00%</v>
      </c>
      <c r="Q4397" s="92">
        <v>45427.0</v>
      </c>
      <c r="R4397" s="76"/>
      <c r="S4397" s="92">
        <v>45433.0</v>
      </c>
      <c r="T4397" s="49"/>
      <c r="V4397" s="21" t="s">
        <v>1622</v>
      </c>
    </row>
    <row r="4398">
      <c r="A4398" s="93">
        <v>132.0</v>
      </c>
      <c r="B4398" s="77" t="s">
        <v>65</v>
      </c>
      <c r="C4398" s="77" t="s">
        <v>3536</v>
      </c>
      <c r="D4398" s="77" t="s">
        <v>1204</v>
      </c>
      <c r="E4398" s="41" t="str">
        <f>IFERROR(__xludf.DUMMYFUNCTION("IFNA(vlookup(D4398,IMPORTRANGE(""https://docs.google.com/spreadsheets/d/1swGwZOEqYlTEUCJLY-eeJM1911Kvaei5oySBIxdgtNo/edit?pli=1#gid=257618397"",""stock untanna!B:C""),2,false),V:V)"),"ISI GEL V-TRO 2020 HIJAB")</f>
        <v>ISI GEL V-TRO 2020 HIJAB</v>
      </c>
      <c r="F4398" s="49"/>
      <c r="G4398" s="71"/>
      <c r="H4398" s="41"/>
      <c r="I4398" s="42"/>
      <c r="J4398" s="43" t="str">
        <f>IF(D4398="","TIDAK ADA","ADA")</f>
        <v>ADA</v>
      </c>
      <c r="K4398" s="93">
        <v>24.0</v>
      </c>
      <c r="L4398" s="112" t="s">
        <v>88</v>
      </c>
      <c r="M4398" s="113">
        <v>6000.0</v>
      </c>
      <c r="N4398" s="74"/>
      <c r="O4398" s="87">
        <f t="shared" si="11"/>
        <v>144000</v>
      </c>
      <c r="P4398" s="102" t="str">
        <f t="shared" si="2"/>
        <v>Rp6,000-24 BOX-0.00%</v>
      </c>
      <c r="Q4398" s="92">
        <v>45427.0</v>
      </c>
      <c r="R4398" s="76"/>
      <c r="S4398" s="92">
        <v>45433.0</v>
      </c>
      <c r="T4398" s="77" t="s">
        <v>280</v>
      </c>
      <c r="V4398" s="21" t="s">
        <v>3807</v>
      </c>
    </row>
    <row r="4399">
      <c r="A4399" s="93">
        <v>29.0</v>
      </c>
      <c r="B4399" s="77" t="s">
        <v>58</v>
      </c>
      <c r="C4399" s="77" t="s">
        <v>3808</v>
      </c>
      <c r="D4399" s="77" t="s">
        <v>2315</v>
      </c>
      <c r="E4399" s="41" t="str">
        <f>IFERROR(__xludf.DUMMYFUNCTION("IFNA(vlookup(D4399,IMPORTRANGE(""https://docs.google.com/spreadsheets/d/1swGwZOEqYlTEUCJLY-eeJM1911Kvaei5oySBIxdgtNo/edit?pli=1#gid=257618397"",""stock untanna!B:C""),2,false),V:V)"),"PC MAGNIT B 120 S 8065")</f>
        <v>PC MAGNIT B 120 S 8065</v>
      </c>
      <c r="F4399" s="49"/>
      <c r="G4399" s="71"/>
      <c r="H4399" s="41"/>
      <c r="I4399" s="42"/>
      <c r="J4399" s="85" t="s">
        <v>1319</v>
      </c>
      <c r="K4399" s="93">
        <v>36.0</v>
      </c>
      <c r="L4399" s="112" t="s">
        <v>62</v>
      </c>
      <c r="M4399" s="113">
        <v>150000.0</v>
      </c>
      <c r="N4399" s="115">
        <v>0.15</v>
      </c>
      <c r="O4399" s="87">
        <f t="shared" si="11"/>
        <v>4590000</v>
      </c>
      <c r="P4399" s="102" t="str">
        <f t="shared" si="2"/>
        <v>Rp150,000-36 LSN-15.00%</v>
      </c>
      <c r="Q4399" s="92">
        <v>45427.0</v>
      </c>
      <c r="R4399" s="76"/>
      <c r="S4399" s="92">
        <v>45433.0</v>
      </c>
      <c r="T4399" s="77" t="s">
        <v>280</v>
      </c>
      <c r="V4399" s="21" t="s">
        <v>2316</v>
      </c>
    </row>
    <row r="4400">
      <c r="A4400" s="93">
        <v>29.0</v>
      </c>
      <c r="B4400" s="77" t="s">
        <v>58</v>
      </c>
      <c r="C4400" s="77" t="s">
        <v>3808</v>
      </c>
      <c r="D4400" s="77" t="s">
        <v>1400</v>
      </c>
      <c r="E4400" s="41" t="str">
        <f>IFERROR(__xludf.DUMMYFUNCTION("IFNA(vlookup(D4400,IMPORTRANGE(""https://docs.google.com/spreadsheets/d/1swGwZOEqYlTEUCJLY-eeJM1911Kvaei5oySBIxdgtNo/edit?pli=1#gid=257618397"",""stock untanna!B:C""),2,false),V:V)"),"PENSIL CASE A-207")</f>
        <v>PENSIL CASE A-207</v>
      </c>
      <c r="F4400" s="49"/>
      <c r="G4400" s="71"/>
      <c r="H4400" s="41"/>
      <c r="I4400" s="42"/>
      <c r="J4400" s="85" t="s">
        <v>1319</v>
      </c>
      <c r="K4400" s="93">
        <v>432.0</v>
      </c>
      <c r="L4400" s="112" t="s">
        <v>69</v>
      </c>
      <c r="M4400" s="113">
        <v>12500.0</v>
      </c>
      <c r="N4400" s="115">
        <v>0.13</v>
      </c>
      <c r="O4400" s="87">
        <f t="shared" si="11"/>
        <v>4698000</v>
      </c>
      <c r="P4400" s="102" t="str">
        <f t="shared" si="2"/>
        <v>Rp12,500-432 PCS-13.00%</v>
      </c>
      <c r="Q4400" s="92">
        <v>45427.0</v>
      </c>
      <c r="R4400" s="76"/>
      <c r="S4400" s="92">
        <v>45433.0</v>
      </c>
      <c r="T4400" s="49"/>
      <c r="V4400" s="21" t="s">
        <v>1401</v>
      </c>
    </row>
    <row r="4401">
      <c r="A4401" s="93">
        <v>29.0</v>
      </c>
      <c r="B4401" s="77" t="s">
        <v>58</v>
      </c>
      <c r="C4401" s="77" t="s">
        <v>3808</v>
      </c>
      <c r="D4401" s="77" t="s">
        <v>590</v>
      </c>
      <c r="E4401" s="41" t="str">
        <f>IFERROR(__xludf.DUMMYFUNCTION("IFNA(vlookup(D4401,IMPORTRANGE(""https://docs.google.com/spreadsheets/d/1swGwZOEqYlTEUCJLY-eeJM1911Kvaei5oySBIxdgtNo/edit?pli=1#gid=257618397"",""stock untanna!B:C""),2,false),V:V)"),"PENSIL CASE A-870")</f>
        <v>PENSIL CASE A-870</v>
      </c>
      <c r="F4401" s="49"/>
      <c r="G4401" s="71"/>
      <c r="H4401" s="41"/>
      <c r="I4401" s="42"/>
      <c r="J4401" s="85" t="s">
        <v>1319</v>
      </c>
      <c r="K4401" s="93">
        <v>432.0</v>
      </c>
      <c r="L4401" s="112" t="s">
        <v>69</v>
      </c>
      <c r="M4401" s="113">
        <v>12500.0</v>
      </c>
      <c r="N4401" s="115">
        <v>0.13</v>
      </c>
      <c r="O4401" s="87">
        <f t="shared" si="11"/>
        <v>4698000</v>
      </c>
      <c r="P4401" s="102" t="str">
        <f t="shared" si="2"/>
        <v>Rp12,500-432 PCS-13.00%</v>
      </c>
      <c r="Q4401" s="92">
        <v>45427.0</v>
      </c>
      <c r="R4401" s="76"/>
      <c r="S4401" s="92">
        <v>45433.0</v>
      </c>
      <c r="T4401" s="49"/>
      <c r="V4401" s="21" t="s">
        <v>591</v>
      </c>
    </row>
    <row r="4402">
      <c r="A4402" s="93">
        <v>29.0</v>
      </c>
      <c r="B4402" s="77" t="s">
        <v>58</v>
      </c>
      <c r="C4402" s="77" t="s">
        <v>3808</v>
      </c>
      <c r="D4402" s="77" t="s">
        <v>3084</v>
      </c>
      <c r="E4402" s="41" t="str">
        <f>IFERROR(__xludf.DUMMYFUNCTION("IFNA(vlookup(D4402,IMPORTRANGE(""https://docs.google.com/spreadsheets/d/1swGwZOEqYlTEUCJLY-eeJM1911Kvaei5oySBIxdgtNo/edit?pli=1#gid=257618397"",""stock untanna!B:C""),2,false),V:V)"),"PENSIL CASE S-300")</f>
        <v>PENSIL CASE S-300</v>
      </c>
      <c r="F4402" s="49"/>
      <c r="G4402" s="71"/>
      <c r="H4402" s="41"/>
      <c r="I4402" s="42"/>
      <c r="J4402" s="85" t="s">
        <v>1319</v>
      </c>
      <c r="K4402" s="93">
        <v>432.0</v>
      </c>
      <c r="L4402" s="112" t="s">
        <v>69</v>
      </c>
      <c r="M4402" s="113">
        <v>12500.0</v>
      </c>
      <c r="N4402" s="115">
        <v>0.13</v>
      </c>
      <c r="O4402" s="87">
        <f t="shared" si="11"/>
        <v>4698000</v>
      </c>
      <c r="P4402" s="102" t="str">
        <f t="shared" si="2"/>
        <v>Rp12,500-432 PCS-13.00%</v>
      </c>
      <c r="Q4402" s="92">
        <v>45427.0</v>
      </c>
      <c r="R4402" s="76"/>
      <c r="S4402" s="92">
        <v>45433.0</v>
      </c>
      <c r="T4402" s="49"/>
      <c r="V4402" s="21" t="s">
        <v>3085</v>
      </c>
    </row>
    <row r="4403">
      <c r="A4403" s="93">
        <v>29.0</v>
      </c>
      <c r="B4403" s="77" t="s">
        <v>58</v>
      </c>
      <c r="C4403" s="77" t="s">
        <v>3808</v>
      </c>
      <c r="D4403" s="77" t="s">
        <v>582</v>
      </c>
      <c r="E4403" s="41" t="str">
        <f>IFERROR(__xludf.DUMMYFUNCTION("IFNA(vlookup(D4403,IMPORTRANGE(""https://docs.google.com/spreadsheets/d/1swGwZOEqYlTEUCJLY-eeJM1911Kvaei5oySBIxdgtNo/edit?pli=1#gid=257618397"",""stock untanna!B:C""),2,false),V:V)"),"PENCIL CASE DZ-0065 MAGNET")</f>
        <v>PENCIL CASE DZ-0065 MAGNET</v>
      </c>
      <c r="F4403" s="49"/>
      <c r="G4403" s="71"/>
      <c r="H4403" s="41"/>
      <c r="I4403" s="42"/>
      <c r="J4403" s="85" t="s">
        <v>1319</v>
      </c>
      <c r="K4403" s="93">
        <v>432.0</v>
      </c>
      <c r="L4403" s="112" t="s">
        <v>69</v>
      </c>
      <c r="M4403" s="113">
        <v>12500.0</v>
      </c>
      <c r="N4403" s="115">
        <v>0.13</v>
      </c>
      <c r="O4403" s="87">
        <f t="shared" si="11"/>
        <v>4698000</v>
      </c>
      <c r="P4403" s="102" t="str">
        <f t="shared" si="2"/>
        <v>Rp12,500-432 PCS-13.00%</v>
      </c>
      <c r="Q4403" s="92">
        <v>45427.0</v>
      </c>
      <c r="R4403" s="76"/>
      <c r="S4403" s="92">
        <v>45433.0</v>
      </c>
      <c r="T4403" s="49"/>
      <c r="V4403" s="21" t="s">
        <v>583</v>
      </c>
    </row>
    <row r="4404">
      <c r="A4404" s="93">
        <v>29.0</v>
      </c>
      <c r="B4404" s="77" t="s">
        <v>58</v>
      </c>
      <c r="C4404" s="77" t="s">
        <v>3808</v>
      </c>
      <c r="D4404" s="77" t="s">
        <v>1052</v>
      </c>
      <c r="E4404" s="41" t="str">
        <f>IFERROR(__xludf.DUMMYFUNCTION("IFNA(vlookup(D4404,IMPORTRANGE(""https://docs.google.com/spreadsheets/d/1swGwZOEqYlTEUCJLY-eeJM1911Kvaei5oySBIxdgtNo/edit?pli=1#gid=257618397"",""stock untanna!B:C""),2,false),V:V)"),"PENSIL CASE SH-8604")</f>
        <v>PENSIL CASE SH-8604</v>
      </c>
      <c r="F4404" s="49"/>
      <c r="G4404" s="71"/>
      <c r="H4404" s="41"/>
      <c r="I4404" s="42"/>
      <c r="J4404" s="85" t="s">
        <v>1319</v>
      </c>
      <c r="K4404" s="93">
        <v>180.0</v>
      </c>
      <c r="L4404" s="112" t="s">
        <v>69</v>
      </c>
      <c r="M4404" s="113">
        <v>29166.7</v>
      </c>
      <c r="N4404" s="115">
        <v>0.15</v>
      </c>
      <c r="O4404" s="87">
        <f t="shared" si="11"/>
        <v>4462505.1</v>
      </c>
      <c r="P4404" s="102" t="str">
        <f t="shared" si="2"/>
        <v>Rp29,167-180 PCS-15.00%</v>
      </c>
      <c r="Q4404" s="92">
        <v>45427.0</v>
      </c>
      <c r="R4404" s="76"/>
      <c r="S4404" s="92">
        <v>45433.0</v>
      </c>
      <c r="T4404" s="49"/>
      <c r="V4404" s="21" t="s">
        <v>1053</v>
      </c>
    </row>
    <row r="4405">
      <c r="A4405" s="93">
        <v>29.0</v>
      </c>
      <c r="B4405" s="77" t="s">
        <v>58</v>
      </c>
      <c r="C4405" s="77" t="s">
        <v>3808</v>
      </c>
      <c r="D4405" s="77" t="s">
        <v>1054</v>
      </c>
      <c r="E4405" s="41" t="str">
        <f>IFERROR(__xludf.DUMMYFUNCTION("IFNA(vlookup(D4405,IMPORTRANGE(""https://docs.google.com/spreadsheets/d/1swGwZOEqYlTEUCJLY-eeJM1911Kvaei5oySBIxdgtNo/edit?pli=1#gid=257618397"",""stock untanna!B:C""),2,false),V:V)"),"PENSIL CASE SH-8603")</f>
        <v>PENSIL CASE SH-8603</v>
      </c>
      <c r="F4405" s="49"/>
      <c r="G4405" s="71"/>
      <c r="H4405" s="41"/>
      <c r="I4405" s="42"/>
      <c r="J4405" s="85" t="s">
        <v>1319</v>
      </c>
      <c r="K4405" s="93">
        <v>180.0</v>
      </c>
      <c r="L4405" s="112" t="s">
        <v>69</v>
      </c>
      <c r="M4405" s="113">
        <v>29166.7</v>
      </c>
      <c r="N4405" s="115">
        <v>0.15</v>
      </c>
      <c r="O4405" s="87">
        <f t="shared" si="11"/>
        <v>4462505.1</v>
      </c>
      <c r="P4405" s="102" t="str">
        <f t="shared" si="2"/>
        <v>Rp29,167-180 PCS-15.00%</v>
      </c>
      <c r="Q4405" s="92">
        <v>45427.0</v>
      </c>
      <c r="R4405" s="76"/>
      <c r="S4405" s="92">
        <v>45433.0</v>
      </c>
      <c r="T4405" s="49"/>
      <c r="V4405" s="21" t="s">
        <v>1055</v>
      </c>
    </row>
    <row r="4406">
      <c r="A4406" s="93">
        <v>29.0</v>
      </c>
      <c r="B4406" s="77" t="s">
        <v>58</v>
      </c>
      <c r="C4406" s="77" t="s">
        <v>3808</v>
      </c>
      <c r="D4406" s="77" t="s">
        <v>1153</v>
      </c>
      <c r="E4406" s="41" t="str">
        <f>IFERROR(__xludf.DUMMYFUNCTION("IFNA(vlookup(D4406,IMPORTRANGE(""https://docs.google.com/spreadsheets/d/1swGwZOEqYlTEUCJLY-eeJM1911Kvaei5oySBIxdgtNo/edit?pli=1#gid=257618397"",""stock untanna!B:C""),2,false),V:V)"),"PENSIL CASE SH-8601")</f>
        <v>PENSIL CASE SH-8601</v>
      </c>
      <c r="F4406" s="49"/>
      <c r="G4406" s="71"/>
      <c r="H4406" s="41"/>
      <c r="I4406" s="42"/>
      <c r="J4406" s="85" t="s">
        <v>1319</v>
      </c>
      <c r="K4406" s="93">
        <v>180.0</v>
      </c>
      <c r="L4406" s="112" t="s">
        <v>69</v>
      </c>
      <c r="M4406" s="113">
        <v>29166.7</v>
      </c>
      <c r="N4406" s="115">
        <v>0.15</v>
      </c>
      <c r="O4406" s="87">
        <f t="shared" si="11"/>
        <v>4462505.1</v>
      </c>
      <c r="P4406" s="102" t="str">
        <f t="shared" si="2"/>
        <v>Rp29,167-180 PCS-15.00%</v>
      </c>
      <c r="Q4406" s="92">
        <v>45427.0</v>
      </c>
      <c r="R4406" s="76"/>
      <c r="S4406" s="92">
        <v>45433.0</v>
      </c>
      <c r="T4406" s="49"/>
      <c r="V4406" s="21" t="s">
        <v>1154</v>
      </c>
    </row>
    <row r="4407">
      <c r="A4407" s="93">
        <v>29.0</v>
      </c>
      <c r="B4407" s="77" t="s">
        <v>58</v>
      </c>
      <c r="C4407" s="77" t="s">
        <v>3808</v>
      </c>
      <c r="D4407" s="77" t="s">
        <v>1050</v>
      </c>
      <c r="E4407" s="41" t="str">
        <f>IFERROR(__xludf.DUMMYFUNCTION("IFNA(vlookup(D4407,IMPORTRANGE(""https://docs.google.com/spreadsheets/d/1swGwZOEqYlTEUCJLY-eeJM1911Kvaei5oySBIxdgtNo/edit?pli=1#gid=257618397"",""stock untanna!B:C""),2,false),V:V)"),"PENSIL CASE SH-8602")</f>
        <v>PENSIL CASE SH-8602</v>
      </c>
      <c r="F4407" s="49"/>
      <c r="G4407" s="71"/>
      <c r="H4407" s="41"/>
      <c r="I4407" s="42"/>
      <c r="J4407" s="85" t="s">
        <v>1319</v>
      </c>
      <c r="K4407" s="93">
        <v>180.0</v>
      </c>
      <c r="L4407" s="112" t="s">
        <v>69</v>
      </c>
      <c r="M4407" s="113">
        <v>29166.7</v>
      </c>
      <c r="N4407" s="115">
        <v>0.15</v>
      </c>
      <c r="O4407" s="87">
        <f t="shared" si="11"/>
        <v>4462505.1</v>
      </c>
      <c r="P4407" s="102" t="str">
        <f t="shared" si="2"/>
        <v>Rp29,167-180 PCS-15.00%</v>
      </c>
      <c r="Q4407" s="92">
        <v>45427.0</v>
      </c>
      <c r="R4407" s="76"/>
      <c r="S4407" s="92">
        <v>45433.0</v>
      </c>
      <c r="T4407" s="49"/>
      <c r="V4407" s="21" t="s">
        <v>1051</v>
      </c>
    </row>
    <row r="4408">
      <c r="A4408" s="93">
        <v>29.0</v>
      </c>
      <c r="B4408" s="77" t="s">
        <v>58</v>
      </c>
      <c r="C4408" s="77" t="s">
        <v>3808</v>
      </c>
      <c r="D4408" s="77" t="s">
        <v>3809</v>
      </c>
      <c r="E4408" s="41" t="str">
        <f>IFERROR(__xludf.DUMMYFUNCTION("IFNA(vlookup(D4408,IMPORTRANGE(""https://docs.google.com/spreadsheets/d/1swGwZOEqYlTEUCJLY-eeJM1911Kvaei5oySBIxdgtNo/edit?pli=1#gid=257618397"",""stock untanna!B:C""),2,false),V:V)"),"PC MAGNIT DKK 9910")</f>
        <v>PC MAGNIT DKK 9910</v>
      </c>
      <c r="F4408" s="49"/>
      <c r="G4408" s="71"/>
      <c r="H4408" s="41"/>
      <c r="I4408" s="42"/>
      <c r="J4408" s="85" t="s">
        <v>1319</v>
      </c>
      <c r="K4408" s="93">
        <v>480.0</v>
      </c>
      <c r="L4408" s="112" t="s">
        <v>69</v>
      </c>
      <c r="M4408" s="113">
        <v>12500.0</v>
      </c>
      <c r="N4408" s="115">
        <v>0.1</v>
      </c>
      <c r="O4408" s="87">
        <f t="shared" si="11"/>
        <v>5400000</v>
      </c>
      <c r="P4408" s="102" t="str">
        <f t="shared" si="2"/>
        <v>Rp12,500-480 PCS-10.00%</v>
      </c>
      <c r="Q4408" s="92">
        <v>45427.0</v>
      </c>
      <c r="R4408" s="76"/>
      <c r="S4408" s="92">
        <v>45433.0</v>
      </c>
      <c r="T4408" s="77" t="s">
        <v>280</v>
      </c>
      <c r="V4408" s="21" t="s">
        <v>3810</v>
      </c>
    </row>
    <row r="4409">
      <c r="A4409" s="93">
        <v>29.0</v>
      </c>
      <c r="B4409" s="77" t="s">
        <v>58</v>
      </c>
      <c r="C4409" s="77" t="s">
        <v>3808</v>
      </c>
      <c r="D4409" s="77" t="s">
        <v>1394</v>
      </c>
      <c r="E4409" s="41" t="str">
        <f>IFERROR(__xludf.DUMMYFUNCTION("IFNA(vlookup(D4409,IMPORTRANGE(""https://docs.google.com/spreadsheets/d/1swGwZOEqYlTEUCJLY-eeJM1911Kvaei5oySBIxdgtNo/edit?pli=1#gid=257618397"",""stock untanna!B:C""),2,false),V:V)"),"PENCIL CASE H-9905 KLG")</f>
        <v>PENCIL CASE H-9905 KLG</v>
      </c>
      <c r="F4409" s="49"/>
      <c r="G4409" s="71"/>
      <c r="H4409" s="41"/>
      <c r="I4409" s="42"/>
      <c r="J4409" s="85" t="s">
        <v>1319</v>
      </c>
      <c r="K4409" s="93">
        <v>600.0</v>
      </c>
      <c r="L4409" s="112" t="s">
        <v>69</v>
      </c>
      <c r="M4409" s="113">
        <v>10500.0</v>
      </c>
      <c r="N4409" s="115">
        <v>0.15</v>
      </c>
      <c r="O4409" s="87">
        <f t="shared" si="11"/>
        <v>5355000</v>
      </c>
      <c r="P4409" s="102" t="str">
        <f t="shared" si="2"/>
        <v>Rp10,500-600 PCS-15.00%</v>
      </c>
      <c r="Q4409" s="92">
        <v>45427.0</v>
      </c>
      <c r="R4409" s="76"/>
      <c r="S4409" s="92">
        <v>45433.0</v>
      </c>
      <c r="T4409" s="49"/>
      <c r="V4409" s="21" t="s">
        <v>1395</v>
      </c>
    </row>
    <row r="4410">
      <c r="A4410" s="93">
        <v>30.0</v>
      </c>
      <c r="B4410" s="77" t="s">
        <v>58</v>
      </c>
      <c r="C4410" s="77" t="s">
        <v>3808</v>
      </c>
      <c r="D4410" s="77" t="s">
        <v>104</v>
      </c>
      <c r="E4410" s="41" t="str">
        <f>IFERROR(__xludf.DUMMYFUNCTION("IFNA(vlookup(D4410,IMPORTRANGE(""https://docs.google.com/spreadsheets/d/1swGwZOEqYlTEUCJLY-eeJM1911Kvaei5oySBIxdgtNo/edit?pli=1#gid=257618397"",""stock untanna!B:C""),2,false),V:V)"),"PENCIL CASE 588-157 MAGNET")</f>
        <v>PENCIL CASE 588-157 MAGNET</v>
      </c>
      <c r="F4410" s="49"/>
      <c r="G4410" s="71"/>
      <c r="H4410" s="41"/>
      <c r="I4410" s="42"/>
      <c r="J4410" s="85" t="s">
        <v>1319</v>
      </c>
      <c r="K4410" s="93">
        <v>360.0</v>
      </c>
      <c r="L4410" s="112" t="s">
        <v>69</v>
      </c>
      <c r="M4410" s="113">
        <v>16666.7</v>
      </c>
      <c r="N4410" s="115">
        <v>0.13</v>
      </c>
      <c r="O4410" s="87">
        <f t="shared" si="11"/>
        <v>5220010.44</v>
      </c>
      <c r="P4410" s="102" t="str">
        <f t="shared" si="2"/>
        <v>Rp16,667-360 PCS-13.00%</v>
      </c>
      <c r="Q4410" s="92">
        <v>45427.0</v>
      </c>
      <c r="R4410" s="76"/>
      <c r="S4410" s="92">
        <v>45433.0</v>
      </c>
      <c r="T4410" s="49"/>
      <c r="V4410" s="21" t="s">
        <v>105</v>
      </c>
    </row>
    <row r="4411">
      <c r="A4411" s="93">
        <v>30.0</v>
      </c>
      <c r="B4411" s="77" t="s">
        <v>58</v>
      </c>
      <c r="C4411" s="77" t="s">
        <v>3808</v>
      </c>
      <c r="D4411" s="77" t="s">
        <v>3811</v>
      </c>
      <c r="E4411" s="41" t="str">
        <f>IFERROR(__xludf.DUMMYFUNCTION("IFNA(vlookup(D4411,IMPORTRANGE(""https://docs.google.com/spreadsheets/d/1swGwZOEqYlTEUCJLY-eeJM1911Kvaei5oySBIxdgtNo/edit?pli=1#gid=257618397"",""stock untanna!B:C""),2,false),V:V)"),"PENCIL CASE 588-181-1 MAGNET")</f>
        <v>PENCIL CASE 588-181-1 MAGNET</v>
      </c>
      <c r="F4411" s="49"/>
      <c r="G4411" s="71"/>
      <c r="H4411" s="41"/>
      <c r="I4411" s="42"/>
      <c r="J4411" s="85" t="s">
        <v>1319</v>
      </c>
      <c r="K4411" s="93">
        <v>360.0</v>
      </c>
      <c r="L4411" s="112" t="s">
        <v>69</v>
      </c>
      <c r="M4411" s="113">
        <v>18750.0</v>
      </c>
      <c r="N4411" s="115">
        <v>0.13</v>
      </c>
      <c r="O4411" s="87">
        <f t="shared" si="11"/>
        <v>5872500</v>
      </c>
      <c r="P4411" s="102" t="str">
        <f t="shared" si="2"/>
        <v>Rp18,750-360 PCS-13.00%</v>
      </c>
      <c r="Q4411" s="92">
        <v>45427.0</v>
      </c>
      <c r="R4411" s="76"/>
      <c r="S4411" s="92">
        <v>45433.0</v>
      </c>
      <c r="T4411" s="49"/>
      <c r="V4411" s="21" t="s">
        <v>3812</v>
      </c>
    </row>
    <row r="4412">
      <c r="A4412" s="93">
        <v>211.0</v>
      </c>
      <c r="B4412" s="77" t="s">
        <v>29</v>
      </c>
      <c r="C4412" s="77" t="s">
        <v>3032</v>
      </c>
      <c r="D4412" s="77" t="s">
        <v>77</v>
      </c>
      <c r="E4412" s="41" t="str">
        <f>IFERROR(__xludf.DUMMYFUNCTION("IFNA(vlookup(D4412,IMPORTRANGE(""https://docs.google.com/spreadsheets/d/1swGwZOEqYlTEUCJLY-eeJM1911Kvaei5oySBIxdgtNo/edit?pli=1#gid=257618397"",""stock untanna!B:C""),2,false),V:V)"),"ID CARD B4 IMPORT")</f>
        <v>ID CARD B4 IMPORT</v>
      </c>
      <c r="F4412" s="49"/>
      <c r="G4412" s="71"/>
      <c r="H4412" s="41"/>
      <c r="I4412" s="42"/>
      <c r="J4412" s="85" t="s">
        <v>1319</v>
      </c>
      <c r="K4412" s="93">
        <v>1000.0</v>
      </c>
      <c r="L4412" s="112" t="s">
        <v>69</v>
      </c>
      <c r="M4412" s="113">
        <v>675.0</v>
      </c>
      <c r="N4412" s="74"/>
      <c r="O4412" s="87">
        <f t="shared" si="11"/>
        <v>675000</v>
      </c>
      <c r="P4412" s="102" t="str">
        <f t="shared" si="2"/>
        <v>Rp675-1000 PCS-0.00%</v>
      </c>
      <c r="Q4412" s="92">
        <v>45427.0</v>
      </c>
      <c r="R4412" s="76"/>
      <c r="S4412" s="92">
        <v>45433.0</v>
      </c>
      <c r="T4412" s="49"/>
      <c r="V4412" s="21" t="s">
        <v>78</v>
      </c>
    </row>
    <row r="4413">
      <c r="A4413" s="93">
        <v>211.0</v>
      </c>
      <c r="B4413" s="77" t="s">
        <v>29</v>
      </c>
      <c r="C4413" s="77" t="s">
        <v>3032</v>
      </c>
      <c r="D4413" s="77" t="s">
        <v>2170</v>
      </c>
      <c r="E4413" s="41" t="str">
        <f>IFERROR(__xludf.DUMMYFUNCTION("IFNA(vlookup(D4413,IMPORTRANGE(""https://docs.google.com/spreadsheets/d/1swGwZOEqYlTEUCJLY-eeJM1911Kvaei5oySBIxdgtNo/edit?pli=1#gid=257618397"",""stock untanna!B:C""),2,false),V:V)"),"ID CARD B2 IMPORT")</f>
        <v>ID CARD B2 IMPORT</v>
      </c>
      <c r="F4413" s="49"/>
      <c r="G4413" s="71"/>
      <c r="H4413" s="41"/>
      <c r="I4413" s="42"/>
      <c r="J4413" s="85" t="s">
        <v>1319</v>
      </c>
      <c r="K4413" s="93">
        <v>1000.0</v>
      </c>
      <c r="L4413" s="112" t="s">
        <v>69</v>
      </c>
      <c r="M4413" s="113">
        <v>475.0</v>
      </c>
      <c r="N4413" s="74"/>
      <c r="O4413" s="87">
        <f t="shared" si="11"/>
        <v>475000</v>
      </c>
      <c r="P4413" s="102" t="str">
        <f t="shared" si="2"/>
        <v>Rp475-1000 PCS-0.00%</v>
      </c>
      <c r="Q4413" s="92">
        <v>45427.0</v>
      </c>
      <c r="R4413" s="76"/>
      <c r="S4413" s="92">
        <v>45433.0</v>
      </c>
      <c r="T4413" s="49"/>
      <c r="V4413" s="21" t="s">
        <v>2171</v>
      </c>
    </row>
    <row r="4414">
      <c r="A4414" s="93">
        <v>211.0</v>
      </c>
      <c r="B4414" s="77" t="s">
        <v>29</v>
      </c>
      <c r="C4414" s="77" t="s">
        <v>3032</v>
      </c>
      <c r="D4414" s="77" t="s">
        <v>2172</v>
      </c>
      <c r="E4414" s="41" t="str">
        <f>IFERROR(__xludf.DUMMYFUNCTION("IFNA(vlookup(D4414,IMPORTRANGE(""https://docs.google.com/spreadsheets/d/1swGwZOEqYlTEUCJLY-eeJM1911Kvaei5oySBIxdgtNo/edit?pli=1#gid=257618397"",""stock untanna!B:C""),2,false),V:V)"),"TALI ID CARD PEONY KUNING")</f>
        <v>TALI ID CARD PEONY KUNING</v>
      </c>
      <c r="F4414" s="49"/>
      <c r="G4414" s="71"/>
      <c r="H4414" s="41"/>
      <c r="I4414" s="42"/>
      <c r="J4414" s="85" t="s">
        <v>1319</v>
      </c>
      <c r="K4414" s="93">
        <v>1000.0</v>
      </c>
      <c r="L4414" s="112" t="s">
        <v>69</v>
      </c>
      <c r="M4414" s="113">
        <v>475.0</v>
      </c>
      <c r="N4414" s="74"/>
      <c r="O4414" s="87">
        <f t="shared" si="11"/>
        <v>475000</v>
      </c>
      <c r="P4414" s="102" t="str">
        <f t="shared" si="2"/>
        <v>Rp475-1000 PCS-0.00%</v>
      </c>
      <c r="Q4414" s="92">
        <v>45427.0</v>
      </c>
      <c r="R4414" s="76"/>
      <c r="S4414" s="92">
        <v>45433.0</v>
      </c>
      <c r="T4414" s="49"/>
      <c r="V4414" s="21" t="s">
        <v>2173</v>
      </c>
    </row>
    <row r="4415">
      <c r="A4415" s="93">
        <v>211.0</v>
      </c>
      <c r="B4415" s="77" t="s">
        <v>29</v>
      </c>
      <c r="C4415" s="77" t="s">
        <v>3032</v>
      </c>
      <c r="D4415" s="77" t="s">
        <v>3230</v>
      </c>
      <c r="E4415" s="41" t="str">
        <f>IFERROR(__xludf.DUMMYFUNCTION("IFNA(vlookup(D4415,IMPORTRANGE(""https://docs.google.com/spreadsheets/d/1swGwZOEqYlTEUCJLY-eeJM1911Kvaei5oySBIxdgtNo/edit?pli=1#gid=257618397"",""stock untanna!B:C""),2,false),V:V)"),"TALI ID CARD PEONY HIJAU")</f>
        <v>TALI ID CARD PEONY HIJAU</v>
      </c>
      <c r="F4415" s="49"/>
      <c r="G4415" s="71"/>
      <c r="H4415" s="41"/>
      <c r="I4415" s="42"/>
      <c r="J4415" s="85" t="s">
        <v>1319</v>
      </c>
      <c r="K4415" s="93">
        <v>1000.0</v>
      </c>
      <c r="L4415" s="112" t="s">
        <v>69</v>
      </c>
      <c r="M4415" s="113">
        <v>475.0</v>
      </c>
      <c r="N4415" s="74"/>
      <c r="O4415" s="87">
        <f t="shared" si="11"/>
        <v>475000</v>
      </c>
      <c r="P4415" s="102" t="str">
        <f t="shared" si="2"/>
        <v>Rp475-1000 PCS-0.00%</v>
      </c>
      <c r="Q4415" s="92">
        <v>45427.0</v>
      </c>
      <c r="R4415" s="76"/>
      <c r="S4415" s="92">
        <v>45433.0</v>
      </c>
      <c r="T4415" s="49"/>
      <c r="V4415" s="21" t="s">
        <v>3231</v>
      </c>
    </row>
    <row r="4416">
      <c r="A4416" s="93">
        <v>211.0</v>
      </c>
      <c r="B4416" s="77" t="s">
        <v>29</v>
      </c>
      <c r="C4416" s="77" t="s">
        <v>3032</v>
      </c>
      <c r="D4416" s="77" t="s">
        <v>101</v>
      </c>
      <c r="E4416" s="41" t="str">
        <f>IFERROR(__xludf.DUMMYFUNCTION("IFNA(vlookup(D4416,IMPORTRANGE(""https://docs.google.com/spreadsheets/d/1swGwZOEqYlTEUCJLY-eeJM1911Kvaei5oySBIxdgtNo/edit?pli=1#gid=257618397"",""stock untanna!B:C""),2,false),V:V)"),"TALI ID CARD PEONY BIRU")</f>
        <v>TALI ID CARD PEONY BIRU</v>
      </c>
      <c r="F4416" s="49"/>
      <c r="G4416" s="71"/>
      <c r="H4416" s="41"/>
      <c r="I4416" s="42"/>
      <c r="J4416" s="85" t="s">
        <v>1319</v>
      </c>
      <c r="K4416" s="93">
        <v>1000.0</v>
      </c>
      <c r="L4416" s="112" t="s">
        <v>69</v>
      </c>
      <c r="M4416" s="113">
        <v>475.0</v>
      </c>
      <c r="N4416" s="74"/>
      <c r="O4416" s="87">
        <f t="shared" si="11"/>
        <v>475000</v>
      </c>
      <c r="P4416" s="102" t="str">
        <f t="shared" si="2"/>
        <v>Rp475-1000 PCS-0.00%</v>
      </c>
      <c r="Q4416" s="92">
        <v>45427.0</v>
      </c>
      <c r="R4416" s="76"/>
      <c r="S4416" s="92">
        <v>45433.0</v>
      </c>
      <c r="T4416" s="49"/>
      <c r="V4416" s="21" t="s">
        <v>102</v>
      </c>
    </row>
    <row r="4417">
      <c r="A4417" s="93">
        <v>211.0</v>
      </c>
      <c r="B4417" s="77" t="s">
        <v>29</v>
      </c>
      <c r="C4417" s="77" t="s">
        <v>3032</v>
      </c>
      <c r="D4417" s="77" t="s">
        <v>3742</v>
      </c>
      <c r="E4417" s="41" t="str">
        <f>IFERROR(__xludf.DUMMYFUNCTION("IFNA(vlookup(D4417,IMPORTRANGE(""https://docs.google.com/spreadsheets/d/1swGwZOEqYlTEUCJLY-eeJM1911Kvaei5oySBIxdgtNo/edit?pli=1#gid=257618397"",""stock untanna!B:C""),2,false),V:V)"),"ISOLASI NATIONAL 20M")</f>
        <v>ISOLASI NATIONAL 20M</v>
      </c>
      <c r="F4417" s="49"/>
      <c r="G4417" s="71"/>
      <c r="H4417" s="41"/>
      <c r="I4417" s="42"/>
      <c r="J4417" s="85" t="s">
        <v>1319</v>
      </c>
      <c r="K4417" s="93">
        <v>120.0</v>
      </c>
      <c r="L4417" s="112" t="s">
        <v>1384</v>
      </c>
      <c r="M4417" s="113">
        <v>5250.0</v>
      </c>
      <c r="N4417" s="74"/>
      <c r="O4417" s="87">
        <f t="shared" si="11"/>
        <v>630000</v>
      </c>
      <c r="P4417" s="102" t="str">
        <f t="shared" si="2"/>
        <v>Rp5,250-120 ROL-0.00%</v>
      </c>
      <c r="Q4417" s="92">
        <v>45427.0</v>
      </c>
      <c r="R4417" s="76"/>
      <c r="S4417" s="92">
        <v>45433.0</v>
      </c>
      <c r="T4417" s="49"/>
      <c r="V4417" s="21" t="s">
        <v>3743</v>
      </c>
    </row>
    <row r="4418">
      <c r="A4418" s="93">
        <v>211.0</v>
      </c>
      <c r="B4418" s="77" t="s">
        <v>29</v>
      </c>
      <c r="C4418" s="77" t="s">
        <v>3032</v>
      </c>
      <c r="D4418" s="77" t="s">
        <v>868</v>
      </c>
      <c r="E4418" s="41" t="str">
        <f>IFERROR(__xludf.DUMMYFUNCTION("IFNA(vlookup(D4418,IMPORTRANGE(""https://docs.google.com/spreadsheets/d/1swGwZOEqYlTEUCJLY-eeJM1911Kvaei5oySBIxdgtNo/edit?pli=1#gid=257618397"",""stock untanna!B:C""),2,false),V:V)"),"CLIP BOARD 6688-TR TRANSP KOALA")</f>
        <v>CLIP BOARD 6688-TR TRANSP KOALA</v>
      </c>
      <c r="F4418" s="49"/>
      <c r="G4418" s="71"/>
      <c r="H4418" s="41"/>
      <c r="I4418" s="42"/>
      <c r="J4418" s="85" t="s">
        <v>1319</v>
      </c>
      <c r="K4418" s="93">
        <v>24.0</v>
      </c>
      <c r="L4418" s="112" t="s">
        <v>62</v>
      </c>
      <c r="M4418" s="113">
        <v>95000.0</v>
      </c>
      <c r="N4418" s="74"/>
      <c r="O4418" s="87">
        <f t="shared" si="11"/>
        <v>2280000</v>
      </c>
      <c r="P4418" s="102" t="str">
        <f t="shared" si="2"/>
        <v>Rp95,000-24 LSN-0.00%</v>
      </c>
      <c r="Q4418" s="92">
        <v>45427.0</v>
      </c>
      <c r="R4418" s="76"/>
      <c r="S4418" s="92">
        <v>45433.0</v>
      </c>
      <c r="T4418" s="49"/>
      <c r="V4418" s="21" t="s">
        <v>870</v>
      </c>
    </row>
    <row r="4419">
      <c r="A4419" s="93">
        <v>192.0</v>
      </c>
      <c r="B4419" s="77" t="s">
        <v>29</v>
      </c>
      <c r="C4419" s="77" t="s">
        <v>3557</v>
      </c>
      <c r="D4419" s="77" t="s">
        <v>163</v>
      </c>
      <c r="E4419" s="41" t="str">
        <f>IFERROR(__xludf.DUMMYFUNCTION("IFNA(vlookup(D4419,IMPORTRANGE(""https://docs.google.com/spreadsheets/d/1swGwZOEqYlTEUCJLY-eeJM1911Kvaei5oySBIxdgtNo/edit?pli=1#gid=257618397"",""stock untanna!B:C""),2,false),V:V)"),"KARTU ABSENSI KOJIKO DUS MERAH")</f>
        <v>KARTU ABSENSI KOJIKO DUS MERAH</v>
      </c>
      <c r="F4419" s="49"/>
      <c r="G4419" s="71"/>
      <c r="H4419" s="41"/>
      <c r="I4419" s="42"/>
      <c r="J4419" s="85" t="s">
        <v>1319</v>
      </c>
      <c r="K4419" s="93">
        <v>10.0</v>
      </c>
      <c r="L4419" s="112" t="s">
        <v>114</v>
      </c>
      <c r="M4419" s="113">
        <v>20000.0</v>
      </c>
      <c r="N4419" s="74"/>
      <c r="O4419" s="87">
        <f t="shared" si="11"/>
        <v>200000</v>
      </c>
      <c r="P4419" s="102" t="str">
        <f t="shared" si="2"/>
        <v>Rp20,000-10 PAK-0.00%</v>
      </c>
      <c r="Q4419" s="92">
        <v>45427.0</v>
      </c>
      <c r="R4419" s="76"/>
      <c r="S4419" s="92">
        <v>45433.0</v>
      </c>
      <c r="T4419" s="49"/>
      <c r="V4419" s="21" t="s">
        <v>164</v>
      </c>
    </row>
    <row r="4420">
      <c r="A4420" s="93">
        <v>192.0</v>
      </c>
      <c r="B4420" s="77" t="s">
        <v>29</v>
      </c>
      <c r="C4420" s="77" t="s">
        <v>3557</v>
      </c>
      <c r="D4420" s="77" t="s">
        <v>3813</v>
      </c>
      <c r="E4420" s="41" t="str">
        <f>IFERROR(__xludf.DUMMYFUNCTION("IFNA(vlookup(D4420,IMPORTRANGE(""https://docs.google.com/spreadsheets/d/1swGwZOEqYlTEUCJLY-eeJM1911Kvaei5oySBIxdgtNo/edit?pli=1#gid=257618397"",""stock untanna!B:C""),2,false),V:V)"),"GARISAN BESI TF 30CM")</f>
        <v>GARISAN BESI TF 30CM</v>
      </c>
      <c r="F4420" s="49"/>
      <c r="G4420" s="71"/>
      <c r="H4420" s="41"/>
      <c r="I4420" s="42"/>
      <c r="J4420" s="85" t="s">
        <v>1319</v>
      </c>
      <c r="K4420" s="93">
        <v>12.0</v>
      </c>
      <c r="L4420" s="112" t="s">
        <v>62</v>
      </c>
      <c r="M4420" s="113">
        <v>50000.0</v>
      </c>
      <c r="N4420" s="74"/>
      <c r="O4420" s="87">
        <f t="shared" si="11"/>
        <v>600000</v>
      </c>
      <c r="P4420" s="102" t="str">
        <f t="shared" si="2"/>
        <v>Rp50,000-12 LSN-0.00%</v>
      </c>
      <c r="Q4420" s="92">
        <v>45427.0</v>
      </c>
      <c r="R4420" s="76"/>
      <c r="S4420" s="92">
        <v>45433.0</v>
      </c>
      <c r="T4420" s="49"/>
      <c r="V4420" s="21" t="s">
        <v>3814</v>
      </c>
    </row>
    <row r="4421">
      <c r="A4421" s="93">
        <v>212.0</v>
      </c>
      <c r="B4421" s="77" t="s">
        <v>29</v>
      </c>
      <c r="C4421" s="77" t="s">
        <v>3815</v>
      </c>
      <c r="D4421" s="77" t="s">
        <v>31</v>
      </c>
      <c r="E4421" s="41" t="str">
        <f>IFERROR(__xludf.DUMMYFUNCTION("IFNA(vlookup(D4421,IMPORTRANGE(""https://docs.google.com/spreadsheets/d/1swGwZOEqYlTEUCJLY-eeJM1911Kvaei5oySBIxdgtNo/edit?pli=1#gid=257618397"",""stock untanna!B:C""),2,false),V:V)"),"ISI STAPLER 13/8 JOSS")</f>
        <v>ISI STAPLER 13/8 JOSS</v>
      </c>
      <c r="F4421" s="49"/>
      <c r="G4421" s="71"/>
      <c r="H4421" s="41"/>
      <c r="I4421" s="42"/>
      <c r="J4421" s="85" t="s">
        <v>1319</v>
      </c>
      <c r="K4421" s="93">
        <v>100.0</v>
      </c>
      <c r="L4421" s="112" t="s">
        <v>114</v>
      </c>
      <c r="M4421" s="113">
        <v>18500.0</v>
      </c>
      <c r="N4421" s="74"/>
      <c r="O4421" s="87">
        <f t="shared" si="11"/>
        <v>1850000</v>
      </c>
      <c r="P4421" s="102" t="str">
        <f t="shared" si="2"/>
        <v>Rp18,500-100 PAK-0.00%</v>
      </c>
      <c r="Q4421" s="92">
        <v>45427.0</v>
      </c>
      <c r="R4421" s="76"/>
      <c r="S4421" s="92">
        <v>45433.0</v>
      </c>
      <c r="T4421" s="49"/>
      <c r="V4421" s="21" t="s">
        <v>113</v>
      </c>
    </row>
    <row r="4422">
      <c r="A4422" s="93">
        <v>4218.0</v>
      </c>
      <c r="B4422" s="77" t="s">
        <v>29</v>
      </c>
      <c r="C4422" s="77" t="s">
        <v>2355</v>
      </c>
      <c r="D4422" s="77" t="s">
        <v>835</v>
      </c>
      <c r="E4422" s="41" t="str">
        <f>IFERROR(__xludf.DUMMYFUNCTION("IFNA(vlookup(D4422,IMPORTRANGE(""https://docs.google.com/spreadsheets/d/1swGwZOEqYlTEUCJLY-eeJM1911Kvaei5oySBIxdgtNo/edit?pli=1#gid=257618397"",""stock untanna!B:C""),2,false),V:V)"),"MEKANIK PENSIL 2.0 TIZO TM01800")</f>
        <v>MEKANIK PENSIL 2.0 TIZO TM01800</v>
      </c>
      <c r="F4422" s="49"/>
      <c r="G4422" s="71"/>
      <c r="H4422" s="41"/>
      <c r="I4422" s="42"/>
      <c r="J4422" s="85" t="s">
        <v>1319</v>
      </c>
      <c r="K4422" s="93">
        <v>96.0</v>
      </c>
      <c r="L4422" s="112" t="s">
        <v>62</v>
      </c>
      <c r="M4422" s="113">
        <v>31000.0</v>
      </c>
      <c r="N4422" s="74"/>
      <c r="O4422" s="87">
        <f t="shared" si="11"/>
        <v>2976000</v>
      </c>
      <c r="P4422" s="102" t="str">
        <f t="shared" si="2"/>
        <v>Rp31,000-96 LSN-0.00%</v>
      </c>
      <c r="Q4422" s="92">
        <v>45427.0</v>
      </c>
      <c r="R4422" s="114">
        <v>45425.0</v>
      </c>
      <c r="S4422" s="92">
        <v>45433.0</v>
      </c>
      <c r="T4422" s="49"/>
      <c r="V4422" s="21" t="s">
        <v>836</v>
      </c>
    </row>
    <row r="4423">
      <c r="A4423" s="93">
        <v>4218.0</v>
      </c>
      <c r="B4423" s="77" t="s">
        <v>29</v>
      </c>
      <c r="C4423" s="77" t="s">
        <v>2355</v>
      </c>
      <c r="D4423" s="91"/>
      <c r="E4423" s="41" t="str">
        <f>IFERROR(__xludf.DUMMYFUNCTION("IFNA(vlookup(D4423,IMPORTRANGE(""https://docs.google.com/spreadsheets/d/1swGwZOEqYlTEUCJLY-eeJM1911Kvaei5oySBIxdgtNo/edit?pli=1#gid=257618397"",""stock untanna!B:C""),2,false),V:V)"),"PENSIL 2.0 FANCY 0300")</f>
        <v>PENSIL 2.0 FANCY 0300</v>
      </c>
      <c r="F4423" s="49"/>
      <c r="G4423" s="71"/>
      <c r="H4423" s="41"/>
      <c r="I4423" s="42"/>
      <c r="J4423" s="85" t="s">
        <v>3190</v>
      </c>
      <c r="K4423" s="93">
        <v>96.0</v>
      </c>
      <c r="L4423" s="112" t="s">
        <v>62</v>
      </c>
      <c r="M4423" s="113">
        <v>31000.0</v>
      </c>
      <c r="N4423" s="74"/>
      <c r="O4423" s="87">
        <f t="shared" si="11"/>
        <v>2976000</v>
      </c>
      <c r="P4423" s="102" t="str">
        <f t="shared" si="2"/>
        <v>Rp31,000-96 LSN-0.00%</v>
      </c>
      <c r="Q4423" s="92">
        <v>45427.0</v>
      </c>
      <c r="R4423" s="114">
        <v>45425.0</v>
      </c>
      <c r="S4423" s="92">
        <v>45433.0</v>
      </c>
      <c r="T4423" s="49"/>
      <c r="V4423" s="21" t="s">
        <v>3816</v>
      </c>
    </row>
    <row r="4424">
      <c r="A4424" s="93">
        <v>269.0</v>
      </c>
      <c r="B4424" s="77" t="s">
        <v>29</v>
      </c>
      <c r="C4424" s="77" t="s">
        <v>2413</v>
      </c>
      <c r="D4424" s="77" t="s">
        <v>1441</v>
      </c>
      <c r="E4424" s="41" t="str">
        <f>IFERROR(__xludf.DUMMYFUNCTION("IFNA(vlookup(D4424,IMPORTRANGE(""https://docs.google.com/spreadsheets/d/1swGwZOEqYlTEUCJLY-eeJM1911Kvaei5oySBIxdgtNo/edit?pli=1#gid=257618397"",""stock untanna!B:C""),2,false),V:V)"),"PELNA LAPTOP TABLE")</f>
        <v>PELNA LAPTOP TABLE</v>
      </c>
      <c r="F4424" s="49"/>
      <c r="G4424" s="71"/>
      <c r="H4424" s="41"/>
      <c r="I4424" s="42"/>
      <c r="J4424" s="85" t="s">
        <v>1319</v>
      </c>
      <c r="K4424" s="93">
        <v>20.0</v>
      </c>
      <c r="L4424" s="112" t="s">
        <v>69</v>
      </c>
      <c r="M4424" s="113">
        <v>65000.0</v>
      </c>
      <c r="N4424" s="74"/>
      <c r="O4424" s="87">
        <f t="shared" si="11"/>
        <v>1300000</v>
      </c>
      <c r="P4424" s="102" t="str">
        <f t="shared" si="2"/>
        <v>Rp65,000-20 PCS-0.00%</v>
      </c>
      <c r="Q4424" s="92">
        <v>45427.0</v>
      </c>
      <c r="R4424" s="76"/>
      <c r="S4424" s="92">
        <v>45433.0</v>
      </c>
      <c r="T4424" s="49"/>
      <c r="V4424" s="21" t="s">
        <v>1442</v>
      </c>
    </row>
    <row r="4425">
      <c r="A4425" s="93">
        <v>31.0</v>
      </c>
      <c r="B4425" s="77" t="s">
        <v>58</v>
      </c>
      <c r="C4425" s="77" t="s">
        <v>3817</v>
      </c>
      <c r="D4425" s="77" t="s">
        <v>31</v>
      </c>
      <c r="E4425" s="41" t="str">
        <f>IFERROR(__xludf.DUMMYFUNCTION("IFNA(vlookup(D4425,IMPORTRANGE(""https://docs.google.com/spreadsheets/d/1swGwZOEqYlTEUCJLY-eeJM1911Kvaei5oySBIxdgtNo/edit?pli=1#gid=257618397"",""stock untanna!B:C""),2,false),V:V)"),"ISI STAPLER 13/8 JOSS")</f>
        <v>ISI STAPLER 13/8 JOSS</v>
      </c>
      <c r="F4425" s="49"/>
      <c r="G4425" s="71"/>
      <c r="H4425" s="41"/>
      <c r="I4425" s="42"/>
      <c r="J4425" s="85" t="s">
        <v>1319</v>
      </c>
      <c r="K4425" s="93">
        <v>400.0</v>
      </c>
      <c r="L4425" s="112" t="s">
        <v>114</v>
      </c>
      <c r="M4425" s="113">
        <v>18000.0</v>
      </c>
      <c r="N4425" s="74"/>
      <c r="O4425" s="87">
        <f t="shared" si="11"/>
        <v>7200000</v>
      </c>
      <c r="P4425" s="102" t="str">
        <f t="shared" si="2"/>
        <v>Rp18,000-400 PAK-0.00%</v>
      </c>
      <c r="Q4425" s="92">
        <v>45427.0</v>
      </c>
      <c r="R4425" s="76"/>
      <c r="S4425" s="92">
        <v>45433.0</v>
      </c>
      <c r="T4425" s="49"/>
      <c r="V4425" s="21" t="s">
        <v>113</v>
      </c>
    </row>
    <row r="4426">
      <c r="A4426" s="93">
        <v>4387.0</v>
      </c>
      <c r="B4426" s="77" t="s">
        <v>58</v>
      </c>
      <c r="C4426" s="77" t="s">
        <v>3818</v>
      </c>
      <c r="D4426" s="77" t="s">
        <v>2323</v>
      </c>
      <c r="E4426" s="41" t="str">
        <f>IFERROR(__xludf.DUMMYFUNCTION("IFNA(vlookup(D4426,IMPORTRANGE(""https://docs.google.com/spreadsheets/d/1swGwZOEqYlTEUCJLY-eeJM1911Kvaei5oySBIxdgtNo/edit?pli=1#gid=257618397"",""stock untanna!B:C""),2,false),V:V)"),"PENSIL CASE KD-50J")</f>
        <v>PENSIL CASE KD-50J</v>
      </c>
      <c r="F4426" s="49"/>
      <c r="G4426" s="71"/>
      <c r="H4426" s="41"/>
      <c r="I4426" s="42"/>
      <c r="J4426" s="85" t="s">
        <v>1319</v>
      </c>
      <c r="K4426" s="93">
        <v>36.0</v>
      </c>
      <c r="L4426" s="112" t="s">
        <v>69</v>
      </c>
      <c r="M4426" s="113">
        <v>12500.0</v>
      </c>
      <c r="N4426" s="74"/>
      <c r="O4426" s="87">
        <f t="shared" si="11"/>
        <v>450000</v>
      </c>
      <c r="P4426" s="102" t="str">
        <f t="shared" si="2"/>
        <v>Rp12,500-36 PCS-0.00%</v>
      </c>
      <c r="Q4426" s="92">
        <v>45427.0</v>
      </c>
      <c r="R4426" s="76"/>
      <c r="S4426" s="92">
        <v>45433.0</v>
      </c>
      <c r="T4426" s="49"/>
      <c r="V4426" s="21" t="s">
        <v>2324</v>
      </c>
    </row>
    <row r="4427">
      <c r="A4427" s="93">
        <v>4387.0</v>
      </c>
      <c r="B4427" s="77" t="s">
        <v>58</v>
      </c>
      <c r="C4427" s="77" t="s">
        <v>3818</v>
      </c>
      <c r="D4427" s="77" t="s">
        <v>3819</v>
      </c>
      <c r="E4427" s="41" t="str">
        <f>IFERROR(__xludf.DUMMYFUNCTION("IFNA(vlookup(D4427,IMPORTRANGE(""https://docs.google.com/spreadsheets/d/1swGwZOEqYlTEUCJLY-eeJM1911Kvaei5oySBIxdgtNo/edit?pli=1#gid=257618397"",""stock untanna!B:C""),2,false),V:V)"),"PENSIL CASE QC-771")</f>
        <v>PENSIL CASE QC-771</v>
      </c>
      <c r="F4427" s="49"/>
      <c r="G4427" s="71"/>
      <c r="H4427" s="41"/>
      <c r="I4427" s="42"/>
      <c r="J4427" s="85" t="s">
        <v>1319</v>
      </c>
      <c r="K4427" s="93">
        <v>36.0</v>
      </c>
      <c r="L4427" s="112" t="s">
        <v>69</v>
      </c>
      <c r="M4427" s="113">
        <v>9500.0</v>
      </c>
      <c r="N4427" s="74"/>
      <c r="O4427" s="87">
        <f t="shared" si="11"/>
        <v>342000</v>
      </c>
      <c r="P4427" s="102" t="str">
        <f t="shared" si="2"/>
        <v>Rp9,500-36 PCS-0.00%</v>
      </c>
      <c r="Q4427" s="92">
        <v>45427.0</v>
      </c>
      <c r="R4427" s="76"/>
      <c r="S4427" s="92">
        <v>45433.0</v>
      </c>
      <c r="T4427" s="49"/>
      <c r="V4427" s="21" t="s">
        <v>3820</v>
      </c>
    </row>
    <row r="4428">
      <c r="A4428" s="93">
        <v>4387.0</v>
      </c>
      <c r="B4428" s="77" t="s">
        <v>58</v>
      </c>
      <c r="C4428" s="77" t="s">
        <v>3818</v>
      </c>
      <c r="D4428" s="77" t="s">
        <v>2092</v>
      </c>
      <c r="E4428" s="41" t="str">
        <f>IFERROR(__xludf.DUMMYFUNCTION("IFNA(vlookup(D4428,IMPORTRANGE(""https://docs.google.com/spreadsheets/d/1swGwZOEqYlTEUCJLY-eeJM1911Kvaei5oySBIxdgtNo/edit?pli=1#gid=257618397"",""stock untanna!B:C""),2,false),V:V)"),"PENSIL CASE 168-26")</f>
        <v>PENSIL CASE 168-26</v>
      </c>
      <c r="F4428" s="49"/>
      <c r="G4428" s="71"/>
      <c r="H4428" s="41"/>
      <c r="I4428" s="42"/>
      <c r="J4428" s="85" t="s">
        <v>1319</v>
      </c>
      <c r="K4428" s="93">
        <v>24.0</v>
      </c>
      <c r="L4428" s="112" t="s">
        <v>69</v>
      </c>
      <c r="M4428" s="113">
        <v>18750.0</v>
      </c>
      <c r="N4428" s="74"/>
      <c r="O4428" s="87">
        <f t="shared" si="11"/>
        <v>450000</v>
      </c>
      <c r="P4428" s="102" t="str">
        <f t="shared" si="2"/>
        <v>Rp18,750-24 PCS-0.00%</v>
      </c>
      <c r="Q4428" s="92">
        <v>45427.0</v>
      </c>
      <c r="R4428" s="76"/>
      <c r="S4428" s="92">
        <v>45433.0</v>
      </c>
      <c r="T4428" s="49"/>
      <c r="V4428" s="21" t="s">
        <v>2093</v>
      </c>
    </row>
    <row r="4429">
      <c r="A4429" s="93">
        <v>4387.0</v>
      </c>
      <c r="B4429" s="77" t="s">
        <v>58</v>
      </c>
      <c r="C4429" s="77" t="s">
        <v>3818</v>
      </c>
      <c r="D4429" s="77" t="s">
        <v>2094</v>
      </c>
      <c r="E4429" s="41" t="str">
        <f>IFERROR(__xludf.DUMMYFUNCTION("IFNA(vlookup(D4429,IMPORTRANGE(""https://docs.google.com/spreadsheets/d/1swGwZOEqYlTEUCJLY-eeJM1911Kvaei5oySBIxdgtNo/edit?pli=1#gid=257618397"",""stock untanna!B:C""),2,false),V:V)"),"PENSIL CASE 168-25")</f>
        <v>PENSIL CASE 168-25</v>
      </c>
      <c r="F4429" s="49"/>
      <c r="G4429" s="71"/>
      <c r="H4429" s="41"/>
      <c r="I4429" s="42"/>
      <c r="J4429" s="85" t="s">
        <v>1319</v>
      </c>
      <c r="K4429" s="93">
        <v>24.0</v>
      </c>
      <c r="L4429" s="112" t="s">
        <v>69</v>
      </c>
      <c r="M4429" s="113">
        <v>18750.0</v>
      </c>
      <c r="N4429" s="74"/>
      <c r="O4429" s="87">
        <f t="shared" si="11"/>
        <v>450000</v>
      </c>
      <c r="P4429" s="102" t="str">
        <f t="shared" si="2"/>
        <v>Rp18,750-24 PCS-0.00%</v>
      </c>
      <c r="Q4429" s="92">
        <v>45427.0</v>
      </c>
      <c r="R4429" s="76"/>
      <c r="S4429" s="92">
        <v>45433.0</v>
      </c>
      <c r="T4429" s="49"/>
      <c r="V4429" s="21" t="s">
        <v>2095</v>
      </c>
    </row>
    <row r="4430">
      <c r="A4430" s="93">
        <v>4387.0</v>
      </c>
      <c r="B4430" s="77" t="s">
        <v>58</v>
      </c>
      <c r="C4430" s="77" t="s">
        <v>3818</v>
      </c>
      <c r="D4430" s="77" t="s">
        <v>590</v>
      </c>
      <c r="E4430" s="41" t="str">
        <f>IFERROR(__xludf.DUMMYFUNCTION("IFNA(vlookup(D4430,IMPORTRANGE(""https://docs.google.com/spreadsheets/d/1swGwZOEqYlTEUCJLY-eeJM1911Kvaei5oySBIxdgtNo/edit?pli=1#gid=257618397"",""stock untanna!B:C""),2,false),V:V)"),"PENSIL CASE A-870")</f>
        <v>PENSIL CASE A-870</v>
      </c>
      <c r="F4430" s="49"/>
      <c r="G4430" s="71"/>
      <c r="H4430" s="41"/>
      <c r="I4430" s="42"/>
      <c r="J4430" s="85" t="s">
        <v>1319</v>
      </c>
      <c r="K4430" s="93">
        <v>36.0</v>
      </c>
      <c r="L4430" s="112" t="s">
        <v>69</v>
      </c>
      <c r="M4430" s="113">
        <v>12500.0</v>
      </c>
      <c r="N4430" s="74"/>
      <c r="O4430" s="87">
        <f t="shared" si="11"/>
        <v>450000</v>
      </c>
      <c r="P4430" s="102" t="str">
        <f t="shared" si="2"/>
        <v>Rp12,500-36 PCS-0.00%</v>
      </c>
      <c r="Q4430" s="92">
        <v>45427.0</v>
      </c>
      <c r="R4430" s="76"/>
      <c r="S4430" s="92">
        <v>45433.0</v>
      </c>
      <c r="T4430" s="49"/>
      <c r="V4430" s="21" t="s">
        <v>591</v>
      </c>
    </row>
    <row r="4431">
      <c r="A4431" s="93">
        <v>4387.0</v>
      </c>
      <c r="B4431" s="77" t="s">
        <v>58</v>
      </c>
      <c r="C4431" s="77" t="s">
        <v>3818</v>
      </c>
      <c r="D4431" s="77" t="s">
        <v>3084</v>
      </c>
      <c r="E4431" s="41" t="str">
        <f>IFERROR(__xludf.DUMMYFUNCTION("IFNA(vlookup(D4431,IMPORTRANGE(""https://docs.google.com/spreadsheets/d/1swGwZOEqYlTEUCJLY-eeJM1911Kvaei5oySBIxdgtNo/edit?pli=1#gid=257618397"",""stock untanna!B:C""),2,false),V:V)"),"PENSIL CASE S-300")</f>
        <v>PENSIL CASE S-300</v>
      </c>
      <c r="F4431" s="49"/>
      <c r="G4431" s="71"/>
      <c r="H4431" s="41"/>
      <c r="I4431" s="42"/>
      <c r="J4431" s="85" t="s">
        <v>1319</v>
      </c>
      <c r="K4431" s="93">
        <v>36.0</v>
      </c>
      <c r="L4431" s="112" t="s">
        <v>69</v>
      </c>
      <c r="M4431" s="113">
        <v>12500.0</v>
      </c>
      <c r="N4431" s="74"/>
      <c r="O4431" s="87">
        <f t="shared" si="11"/>
        <v>450000</v>
      </c>
      <c r="P4431" s="102" t="str">
        <f t="shared" si="2"/>
        <v>Rp12,500-36 PCS-0.00%</v>
      </c>
      <c r="Q4431" s="92">
        <v>45427.0</v>
      </c>
      <c r="R4431" s="76"/>
      <c r="S4431" s="92">
        <v>45433.0</v>
      </c>
      <c r="T4431" s="49"/>
      <c r="V4431" s="21" t="s">
        <v>3085</v>
      </c>
    </row>
    <row r="4432">
      <c r="A4432" s="93">
        <v>4387.0</v>
      </c>
      <c r="B4432" s="77" t="s">
        <v>58</v>
      </c>
      <c r="C4432" s="77" t="s">
        <v>3818</v>
      </c>
      <c r="D4432" s="77" t="s">
        <v>592</v>
      </c>
      <c r="E4432" s="41" t="str">
        <f>IFERROR(__xludf.DUMMYFUNCTION("IFNA(vlookup(D4432,IMPORTRANGE(""https://docs.google.com/spreadsheets/d/1swGwZOEqYlTEUCJLY-eeJM1911Kvaei5oySBIxdgtNo/edit?pli=1#gid=257618397"",""stock untanna!B:C""),2,false),V:V)"),"PENSIL CASE A-1037 + CAL")</f>
        <v>PENSIL CASE A-1037 + CAL</v>
      </c>
      <c r="F4432" s="49"/>
      <c r="G4432" s="71"/>
      <c r="H4432" s="41"/>
      <c r="I4432" s="42"/>
      <c r="J4432" s="85" t="s">
        <v>1319</v>
      </c>
      <c r="K4432" s="93">
        <v>36.0</v>
      </c>
      <c r="L4432" s="112" t="s">
        <v>69</v>
      </c>
      <c r="M4432" s="113">
        <v>15000.0</v>
      </c>
      <c r="N4432" s="74"/>
      <c r="O4432" s="87">
        <f t="shared" si="11"/>
        <v>540000</v>
      </c>
      <c r="P4432" s="102" t="str">
        <f t="shared" si="2"/>
        <v>Rp15,000-36 PCS-0.00%</v>
      </c>
      <c r="Q4432" s="92">
        <v>45427.0</v>
      </c>
      <c r="R4432" s="76"/>
      <c r="S4432" s="92">
        <v>45433.0</v>
      </c>
      <c r="T4432" s="49"/>
      <c r="V4432" s="21" t="s">
        <v>593</v>
      </c>
    </row>
    <row r="4433">
      <c r="A4433" s="93">
        <v>4386.0</v>
      </c>
      <c r="B4433" s="77" t="s">
        <v>58</v>
      </c>
      <c r="C4433" s="77" t="s">
        <v>3821</v>
      </c>
      <c r="D4433" s="77" t="s">
        <v>705</v>
      </c>
      <c r="E4433" s="41" t="str">
        <f>IFERROR(__xludf.DUMMYFUNCTION("IFNA(vlookup(D4433,IMPORTRANGE(""https://docs.google.com/spreadsheets/d/1swGwZOEqYlTEUCJLY-eeJM1911Kvaei5oySBIxdgtNo/edit?pli=1#gid=257618397"",""stock untanna!B:C""),2,false),V:V)"),"MAP KANCING SIKA AC-05 PUTIH")</f>
        <v>MAP KANCING SIKA AC-05 PUTIH</v>
      </c>
      <c r="F4433" s="49"/>
      <c r="G4433" s="71"/>
      <c r="H4433" s="41"/>
      <c r="I4433" s="42"/>
      <c r="J4433" s="85" t="s">
        <v>1319</v>
      </c>
      <c r="K4433" s="93">
        <v>50.0</v>
      </c>
      <c r="L4433" s="112" t="s">
        <v>62</v>
      </c>
      <c r="M4433" s="113">
        <v>19000.0</v>
      </c>
      <c r="N4433" s="74"/>
      <c r="O4433" s="87">
        <f t="shared" si="11"/>
        <v>950000</v>
      </c>
      <c r="P4433" s="102" t="str">
        <f t="shared" si="2"/>
        <v>Rp19,000-50 LSN-0.00%</v>
      </c>
      <c r="Q4433" s="92">
        <v>45427.0</v>
      </c>
      <c r="R4433" s="76"/>
      <c r="S4433" s="92">
        <v>45433.0</v>
      </c>
      <c r="T4433" s="49"/>
      <c r="V4433" s="21" t="s">
        <v>706</v>
      </c>
    </row>
    <row r="4434">
      <c r="A4434" s="93">
        <v>4386.0</v>
      </c>
      <c r="B4434" s="77" t="s">
        <v>58</v>
      </c>
      <c r="C4434" s="77" t="s">
        <v>3821</v>
      </c>
      <c r="D4434" s="77" t="s">
        <v>801</v>
      </c>
      <c r="E4434" s="41" t="str">
        <f>IFERROR(__xludf.DUMMYFUNCTION("IFNA(vlookup(D4434,IMPORTRANGE(""https://docs.google.com/spreadsheets/d/1swGwZOEqYlTEUCJLY-eeJM1911Kvaei5oySBIxdgtNo/edit?pli=1#gid=257618397"",""stock untanna!B:C""),2,false),V:V)"),"MAP KANCING SIKA AC-05 MERAH")</f>
        <v>MAP KANCING SIKA AC-05 MERAH</v>
      </c>
      <c r="F4434" s="49"/>
      <c r="G4434" s="71"/>
      <c r="H4434" s="41"/>
      <c r="I4434" s="42"/>
      <c r="J4434" s="85" t="s">
        <v>1319</v>
      </c>
      <c r="K4434" s="93">
        <v>50.0</v>
      </c>
      <c r="L4434" s="112" t="s">
        <v>62</v>
      </c>
      <c r="M4434" s="113">
        <v>19000.0</v>
      </c>
      <c r="N4434" s="74"/>
      <c r="O4434" s="87">
        <f t="shared" si="11"/>
        <v>950000</v>
      </c>
      <c r="P4434" s="102" t="str">
        <f t="shared" si="2"/>
        <v>Rp19,000-50 LSN-0.00%</v>
      </c>
      <c r="Q4434" s="92">
        <v>45427.0</v>
      </c>
      <c r="R4434" s="76"/>
      <c r="S4434" s="92">
        <v>45433.0</v>
      </c>
      <c r="T4434" s="49"/>
      <c r="V4434" s="21" t="s">
        <v>802</v>
      </c>
    </row>
    <row r="4435">
      <c r="A4435" s="93">
        <v>4220.0</v>
      </c>
      <c r="B4435" s="77" t="s">
        <v>29</v>
      </c>
      <c r="C4435" s="77" t="s">
        <v>3822</v>
      </c>
      <c r="D4435" s="77" t="s">
        <v>3823</v>
      </c>
      <c r="E4435" s="41" t="str">
        <f>IFERROR(__xludf.DUMMYFUNCTION("IFNA(vlookup(D4435,IMPORTRANGE(""https://docs.google.com/spreadsheets/d/1swGwZOEqYlTEUCJLY-eeJM1911Kvaei5oySBIxdgtNo/edit?pli=1#gid=257618397"",""stock untanna!B:C""),2,false),V:V)"),"BP VULLPEN TF 801")</f>
        <v>BP VULLPEN TF 801</v>
      </c>
      <c r="F4435" s="49"/>
      <c r="G4435" s="71"/>
      <c r="H4435" s="41"/>
      <c r="I4435" s="42"/>
      <c r="J4435" s="85" t="s">
        <v>1319</v>
      </c>
      <c r="K4435" s="93">
        <v>5.0</v>
      </c>
      <c r="L4435" s="112" t="s">
        <v>62</v>
      </c>
      <c r="M4435" s="113">
        <v>90000.0</v>
      </c>
      <c r="N4435" s="74"/>
      <c r="O4435" s="87">
        <f t="shared" si="11"/>
        <v>450000</v>
      </c>
      <c r="P4435" s="102" t="str">
        <f t="shared" si="2"/>
        <v>Rp90,000-5 LSN-0.00%</v>
      </c>
      <c r="Q4435" s="92">
        <v>45427.0</v>
      </c>
      <c r="R4435" s="76"/>
      <c r="S4435" s="92">
        <v>45433.0</v>
      </c>
      <c r="T4435" s="49"/>
      <c r="V4435" s="21" t="s">
        <v>3824</v>
      </c>
    </row>
    <row r="4436">
      <c r="A4436" s="93">
        <v>4220.0</v>
      </c>
      <c r="B4436" s="77" t="s">
        <v>29</v>
      </c>
      <c r="C4436" s="77" t="s">
        <v>3822</v>
      </c>
      <c r="D4436" s="77" t="s">
        <v>3825</v>
      </c>
      <c r="E4436" s="41" t="str">
        <f>IFERROR(__xludf.DUMMYFUNCTION("IFNA(vlookup(D4436,IMPORTRANGE(""https://docs.google.com/spreadsheets/d/1swGwZOEqYlTEUCJLY-eeJM1911Kvaei5oySBIxdgtNo/edit?pli=1#gid=257618397"",""stock untanna!B:C""),2,false),V:V)"),"BP VULLPEN TF 802")</f>
        <v>BP VULLPEN TF 802</v>
      </c>
      <c r="F4436" s="49"/>
      <c r="G4436" s="71"/>
      <c r="H4436" s="41"/>
      <c r="I4436" s="42"/>
      <c r="J4436" s="85" t="s">
        <v>1319</v>
      </c>
      <c r="K4436" s="93">
        <v>5.0</v>
      </c>
      <c r="L4436" s="112" t="s">
        <v>62</v>
      </c>
      <c r="M4436" s="113">
        <v>90000.0</v>
      </c>
      <c r="N4436" s="74"/>
      <c r="O4436" s="87">
        <f t="shared" si="11"/>
        <v>450000</v>
      </c>
      <c r="P4436" s="102" t="str">
        <f t="shared" si="2"/>
        <v>Rp90,000-5 LSN-0.00%</v>
      </c>
      <c r="Q4436" s="92">
        <v>45427.0</v>
      </c>
      <c r="R4436" s="76"/>
      <c r="S4436" s="92">
        <v>45433.0</v>
      </c>
      <c r="T4436" s="49"/>
      <c r="V4436" s="21" t="s">
        <v>3826</v>
      </c>
    </row>
    <row r="4437">
      <c r="A4437" s="93">
        <v>4220.0</v>
      </c>
      <c r="B4437" s="77" t="s">
        <v>29</v>
      </c>
      <c r="C4437" s="77" t="s">
        <v>3822</v>
      </c>
      <c r="D4437" s="91"/>
      <c r="E4437" s="41" t="str">
        <f>IFERROR(__xludf.DUMMYFUNCTION("IFNA(vlookup(D4437,IMPORTRANGE(""https://docs.google.com/spreadsheets/d/1swGwZOEqYlTEUCJLY-eeJM1911Kvaei5oySBIxdgtNo/edit?pli=1#gid=257618397"",""stock untanna!B:C""),2,false),V:V)"),"FULPEN HERO")</f>
        <v>FULPEN HERO</v>
      </c>
      <c r="F4437" s="49"/>
      <c r="G4437" s="71"/>
      <c r="H4437" s="41"/>
      <c r="I4437" s="42"/>
      <c r="J4437" s="85" t="s">
        <v>3190</v>
      </c>
      <c r="K4437" s="93">
        <v>30.0</v>
      </c>
      <c r="L4437" s="112" t="s">
        <v>62</v>
      </c>
      <c r="M4437" s="113">
        <v>90000.0</v>
      </c>
      <c r="N4437" s="74"/>
      <c r="O4437" s="87">
        <f t="shared" si="11"/>
        <v>2700000</v>
      </c>
      <c r="P4437" s="102" t="str">
        <f t="shared" si="2"/>
        <v>Rp90,000-30 LSN-0.00%</v>
      </c>
      <c r="Q4437" s="92">
        <v>45427.0</v>
      </c>
      <c r="R4437" s="76"/>
      <c r="S4437" s="92">
        <v>45433.0</v>
      </c>
      <c r="T4437" s="49"/>
      <c r="V4437" s="21" t="s">
        <v>3827</v>
      </c>
    </row>
    <row r="4438">
      <c r="A4438" s="93">
        <v>32.0</v>
      </c>
      <c r="B4438" s="77" t="s">
        <v>58</v>
      </c>
      <c r="C4438" s="77" t="s">
        <v>110</v>
      </c>
      <c r="D4438" s="91"/>
      <c r="E4438" s="41" t="str">
        <f>IFERROR(__xludf.DUMMYFUNCTION("IFNA(vlookup(D4438,IMPORTRANGE(""https://docs.google.com/spreadsheets/d/1swGwZOEqYlTEUCJLY-eeJM1911Kvaei5oySBIxdgtNo/edit?pli=1#gid=257618397"",""stock untanna!B:C""),2,false),V:V)"),"GARISAN SET 15CM 7505")</f>
        <v>GARISAN SET 15CM 7505</v>
      </c>
      <c r="F4438" s="49"/>
      <c r="G4438" s="71"/>
      <c r="H4438" s="41"/>
      <c r="I4438" s="42"/>
      <c r="J4438" s="85" t="s">
        <v>3190</v>
      </c>
      <c r="K4438" s="93">
        <v>640.0</v>
      </c>
      <c r="L4438" s="112" t="s">
        <v>69</v>
      </c>
      <c r="M4438" s="113">
        <v>3300.0</v>
      </c>
      <c r="N4438" s="74"/>
      <c r="O4438" s="87">
        <f t="shared" si="11"/>
        <v>2112000</v>
      </c>
      <c r="P4438" s="102" t="str">
        <f t="shared" si="2"/>
        <v>Rp3,300-640 PCS-0.00%</v>
      </c>
      <c r="Q4438" s="92">
        <v>45427.0</v>
      </c>
      <c r="R4438" s="76"/>
      <c r="S4438" s="92">
        <v>45433.0</v>
      </c>
      <c r="T4438" s="49"/>
      <c r="V4438" s="21" t="s">
        <v>3828</v>
      </c>
    </row>
    <row r="4439">
      <c r="A4439" s="93">
        <v>264.0</v>
      </c>
      <c r="B4439" s="77" t="s">
        <v>29</v>
      </c>
      <c r="C4439" s="77" t="s">
        <v>2413</v>
      </c>
      <c r="D4439" s="91"/>
      <c r="E4439" s="41" t="str">
        <f>IFERROR(__xludf.DUMMYFUNCTION("IFNA(vlookup(D4439,IMPORTRANGE(""https://docs.google.com/spreadsheets/d/1swGwZOEqYlTEUCJLY-eeJM1911Kvaei5oySBIxdgtNo/edit?pli=1#gid=257618397"",""stock untanna!B:C""),2,false),V:V)"),"MEJA BELAJAR FANCY")</f>
        <v>MEJA BELAJAR FANCY</v>
      </c>
      <c r="F4439" s="49"/>
      <c r="G4439" s="71"/>
      <c r="H4439" s="41"/>
      <c r="I4439" s="42"/>
      <c r="J4439" s="85" t="s">
        <v>3190</v>
      </c>
      <c r="K4439" s="93">
        <v>20.0</v>
      </c>
      <c r="L4439" s="112" t="s">
        <v>69</v>
      </c>
      <c r="M4439" s="113">
        <v>65000.0</v>
      </c>
      <c r="N4439" s="74"/>
      <c r="O4439" s="87">
        <f t="shared" si="11"/>
        <v>1300000</v>
      </c>
      <c r="P4439" s="102" t="str">
        <f t="shared" si="2"/>
        <v>Rp65,000-20 PCS-0.00%</v>
      </c>
      <c r="Q4439" s="92">
        <v>45427.0</v>
      </c>
      <c r="R4439" s="114">
        <v>45425.0</v>
      </c>
      <c r="S4439" s="92">
        <v>45433.0</v>
      </c>
      <c r="T4439" s="49"/>
      <c r="V4439" s="21" t="s">
        <v>2407</v>
      </c>
    </row>
    <row r="4440">
      <c r="A4440" s="93">
        <v>264.0</v>
      </c>
      <c r="B4440" s="77" t="s">
        <v>29</v>
      </c>
      <c r="C4440" s="77" t="s">
        <v>2413</v>
      </c>
      <c r="D4440" s="77" t="s">
        <v>1441</v>
      </c>
      <c r="E4440" s="41" t="str">
        <f>IFERROR(__xludf.DUMMYFUNCTION("IFNA(vlookup(D4440,IMPORTRANGE(""https://docs.google.com/spreadsheets/d/1swGwZOEqYlTEUCJLY-eeJM1911Kvaei5oySBIxdgtNo/edit?pli=1#gid=257618397"",""stock untanna!B:C""),2,false),V:V)"),"PELNA LAPTOP TABLE")</f>
        <v>PELNA LAPTOP TABLE</v>
      </c>
      <c r="F4440" s="49"/>
      <c r="G4440" s="71"/>
      <c r="H4440" s="41"/>
      <c r="I4440" s="42"/>
      <c r="J4440" s="85" t="s">
        <v>1319</v>
      </c>
      <c r="K4440" s="93">
        <v>13.0</v>
      </c>
      <c r="L4440" s="112" t="s">
        <v>69</v>
      </c>
      <c r="M4440" s="113">
        <v>65000.0</v>
      </c>
      <c r="N4440" s="74"/>
      <c r="O4440" s="87">
        <f t="shared" si="11"/>
        <v>845000</v>
      </c>
      <c r="P4440" s="102" t="str">
        <f t="shared" si="2"/>
        <v>Rp65,000-13 PCS-0.00%</v>
      </c>
      <c r="Q4440" s="92">
        <v>45427.0</v>
      </c>
      <c r="R4440" s="114">
        <v>45425.0</v>
      </c>
      <c r="S4440" s="92">
        <v>45433.0</v>
      </c>
      <c r="T4440" s="49"/>
      <c r="V4440" s="21" t="s">
        <v>1442</v>
      </c>
    </row>
    <row r="4441">
      <c r="A4441" s="93">
        <v>264.0</v>
      </c>
      <c r="B4441" s="77" t="s">
        <v>29</v>
      </c>
      <c r="C4441" s="77" t="s">
        <v>2413</v>
      </c>
      <c r="D4441" s="77" t="s">
        <v>2716</v>
      </c>
      <c r="E4441" s="41" t="str">
        <f>IFERROR(__xludf.DUMMYFUNCTION("IFNA(vlookup(D4441,IMPORTRANGE(""https://docs.google.com/spreadsheets/d/1swGwZOEqYlTEUCJLY-eeJM1911Kvaei5oySBIxdgtNo/edit?pli=1#gid=257618397"",""stock untanna!B:C""),2,false),V:V)"),"STAPLER (GUN TACKER) 1008F JOSS")</f>
        <v>STAPLER (GUN TACKER) 1008F JOSS</v>
      </c>
      <c r="F4441" s="49"/>
      <c r="G4441" s="71"/>
      <c r="H4441" s="41"/>
      <c r="I4441" s="42"/>
      <c r="J4441" s="85" t="s">
        <v>1319</v>
      </c>
      <c r="K4441" s="93">
        <v>6.0</v>
      </c>
      <c r="L4441" s="112" t="s">
        <v>69</v>
      </c>
      <c r="M4441" s="113">
        <v>65000.0</v>
      </c>
      <c r="N4441" s="74"/>
      <c r="O4441" s="87">
        <f t="shared" si="11"/>
        <v>390000</v>
      </c>
      <c r="P4441" s="102" t="str">
        <f t="shared" si="2"/>
        <v>Rp65,000-6 PCS-0.00%</v>
      </c>
      <c r="Q4441" s="92">
        <v>45427.0</v>
      </c>
      <c r="R4441" s="114">
        <v>45425.0</v>
      </c>
      <c r="S4441" s="92">
        <v>45433.0</v>
      </c>
      <c r="T4441" s="49"/>
      <c r="V4441" s="21" t="s">
        <v>2717</v>
      </c>
    </row>
    <row r="4442">
      <c r="A4442" s="93">
        <v>264.0</v>
      </c>
      <c r="B4442" s="77" t="s">
        <v>29</v>
      </c>
      <c r="C4442" s="77" t="s">
        <v>2413</v>
      </c>
      <c r="D4442" s="77" t="s">
        <v>2251</v>
      </c>
      <c r="E4442" s="41" t="str">
        <f>IFERROR(__xludf.DUMMYFUNCTION("IFNA(vlookup(D4442,IMPORTRANGE(""https://docs.google.com/spreadsheets/d/1swGwZOEqYlTEUCJLY-eeJM1911Kvaei5oySBIxdgtNo/edit?pli=1#gid=257618397"",""stock untanna!B:C""),2,false),V:V)"),"BP TIZO TG 30802F S3 FANCY")</f>
        <v>BP TIZO TG 30802F S3 FANCY</v>
      </c>
      <c r="F4442" s="49"/>
      <c r="G4442" s="71"/>
      <c r="H4442" s="41"/>
      <c r="I4442" s="42"/>
      <c r="J4442" s="85" t="s">
        <v>1319</v>
      </c>
      <c r="K4442" s="93">
        <v>12.0</v>
      </c>
      <c r="L4442" s="112" t="s">
        <v>62</v>
      </c>
      <c r="M4442" s="113">
        <v>18500.0</v>
      </c>
      <c r="N4442" s="74"/>
      <c r="O4442" s="87">
        <f t="shared" si="11"/>
        <v>222000</v>
      </c>
      <c r="P4442" s="102" t="str">
        <f t="shared" si="2"/>
        <v>Rp18,500-12 LSN-0.00%</v>
      </c>
      <c r="Q4442" s="92">
        <v>45427.0</v>
      </c>
      <c r="R4442" s="114">
        <v>45425.0</v>
      </c>
      <c r="S4442" s="92">
        <v>45433.0</v>
      </c>
      <c r="T4442" s="49"/>
      <c r="V4442" s="21" t="s">
        <v>2252</v>
      </c>
    </row>
    <row r="4443">
      <c r="A4443" s="93">
        <v>4385.0</v>
      </c>
      <c r="B4443" s="77" t="s">
        <v>58</v>
      </c>
      <c r="C4443" s="77" t="s">
        <v>3829</v>
      </c>
      <c r="D4443" s="77" t="s">
        <v>86</v>
      </c>
      <c r="E4443" s="41" t="str">
        <f>IFERROR(__xludf.DUMMYFUNCTION("IFNA(vlookup(D4443,IMPORTRANGE(""https://docs.google.com/spreadsheets/d/1swGwZOEqYlTEUCJLY-eeJM1911Kvaei5oySBIxdgtNo/edit?pli=1#gid=257618397"",""stock untanna!B:C""),2,false),V:V)"),"ISI GEL PEN DTIAN GR-088 (ISI 6 PCS TABUNG)")</f>
        <v>ISI GEL PEN DTIAN GR-088 (ISI 6 PCS TABUNG)</v>
      </c>
      <c r="F4443" s="49"/>
      <c r="G4443" s="71"/>
      <c r="H4443" s="41"/>
      <c r="I4443" s="42"/>
      <c r="J4443" s="85" t="s">
        <v>1319</v>
      </c>
      <c r="K4443" s="93">
        <v>24.0</v>
      </c>
      <c r="L4443" s="112" t="s">
        <v>88</v>
      </c>
      <c r="M4443" s="113">
        <v>96000.0</v>
      </c>
      <c r="N4443" s="74"/>
      <c r="O4443" s="87">
        <f t="shared" si="11"/>
        <v>2304000</v>
      </c>
      <c r="P4443" s="102" t="str">
        <f t="shared" si="2"/>
        <v>Rp96,000-24 BOX-0.00%</v>
      </c>
      <c r="Q4443" s="92">
        <v>45427.0</v>
      </c>
      <c r="R4443" s="76"/>
      <c r="S4443" s="92">
        <v>45433.0</v>
      </c>
      <c r="T4443" s="49"/>
      <c r="V4443" s="21" t="s">
        <v>87</v>
      </c>
    </row>
    <row r="4444">
      <c r="A4444" s="93">
        <v>4385.0</v>
      </c>
      <c r="B4444" s="77" t="s">
        <v>58</v>
      </c>
      <c r="C4444" s="77" t="s">
        <v>3829</v>
      </c>
      <c r="D4444" s="77" t="s">
        <v>1193</v>
      </c>
      <c r="E4444" s="41" t="str">
        <f>IFERROR(__xludf.DUMMYFUNCTION("IFNA(vlookup(D4444,IMPORTRANGE(""https://docs.google.com/spreadsheets/d/1swGwZOEqYlTEUCJLY-eeJM1911Kvaei5oySBIxdgtNo/edit?pli=1#gid=257618397"",""stock untanna!B:C""),2,false),V:V)"),"ISI GEL GR 090 (20PCS TABUNG)")</f>
        <v>ISI GEL GR 090 (20PCS TABUNG)</v>
      </c>
      <c r="F4444" s="49"/>
      <c r="G4444" s="71"/>
      <c r="H4444" s="41"/>
      <c r="I4444" s="42"/>
      <c r="J4444" s="85" t="s">
        <v>1319</v>
      </c>
      <c r="K4444" s="93">
        <v>24.0</v>
      </c>
      <c r="L4444" s="112" t="s">
        <v>88</v>
      </c>
      <c r="M4444" s="113">
        <v>216000.0</v>
      </c>
      <c r="N4444" s="74"/>
      <c r="O4444" s="87">
        <f t="shared" si="11"/>
        <v>5184000</v>
      </c>
      <c r="P4444" s="102" t="str">
        <f t="shared" si="2"/>
        <v>Rp216,000-24 BOX-0.00%</v>
      </c>
      <c r="Q4444" s="92">
        <v>45427.0</v>
      </c>
      <c r="R4444" s="76"/>
      <c r="S4444" s="92">
        <v>45433.0</v>
      </c>
      <c r="T4444" s="49"/>
      <c r="V4444" s="21" t="s">
        <v>1194</v>
      </c>
    </row>
    <row r="4445">
      <c r="A4445" s="93">
        <v>4385.0</v>
      </c>
      <c r="B4445" s="77" t="s">
        <v>58</v>
      </c>
      <c r="C4445" s="77" t="s">
        <v>3829</v>
      </c>
      <c r="D4445" s="77" t="s">
        <v>203</v>
      </c>
      <c r="E4445" s="41" t="str">
        <f>IFERROR(__xludf.DUMMYFUNCTION("IFNA(vlookup(D4445,IMPORTRANGE(""https://docs.google.com/spreadsheets/d/1swGwZOEqYlTEUCJLY-eeJM1911Kvaei5oySBIxdgtNo/edit?pli=1#gid=257618397"",""stock untanna!B:C""),2,false),V:V)"),"BP HITECH JOSS GP-168 0.28MM")</f>
        <v>BP HITECH JOSS GP-168 0.28MM</v>
      </c>
      <c r="F4445" s="49"/>
      <c r="G4445" s="71"/>
      <c r="H4445" s="41"/>
      <c r="I4445" s="42"/>
      <c r="J4445" s="85" t="s">
        <v>1319</v>
      </c>
      <c r="K4445" s="93">
        <v>288.0</v>
      </c>
      <c r="L4445" s="112" t="s">
        <v>62</v>
      </c>
      <c r="M4445" s="113">
        <v>22500.0</v>
      </c>
      <c r="N4445" s="74"/>
      <c r="O4445" s="87">
        <f t="shared" si="11"/>
        <v>6480000</v>
      </c>
      <c r="P4445" s="102" t="str">
        <f t="shared" si="2"/>
        <v>Rp22,500-288 LSN-0.00%</v>
      </c>
      <c r="Q4445" s="92">
        <v>45427.0</v>
      </c>
      <c r="R4445" s="76"/>
      <c r="S4445" s="92">
        <v>45433.0</v>
      </c>
      <c r="T4445" s="49"/>
      <c r="V4445" s="21" t="s">
        <v>204</v>
      </c>
    </row>
    <row r="4446">
      <c r="A4446" s="93">
        <v>4385.0</v>
      </c>
      <c r="B4446" s="77" t="s">
        <v>58</v>
      </c>
      <c r="C4446" s="77" t="s">
        <v>3829</v>
      </c>
      <c r="D4446" s="77" t="s">
        <v>776</v>
      </c>
      <c r="E4446" s="41" t="str">
        <f>IFERROR(__xludf.DUMMYFUNCTION("IFNA(vlookup(D4446,IMPORTRANGE(""https://docs.google.com/spreadsheets/d/1swGwZOEqYlTEUCJLY-eeJM1911Kvaei5oySBIxdgtNo/edit?pli=1#gid=257618397"",""stock untanna!B:C""),2,false),V:V)"),"STABILLO TOZCHA TZ 8001")</f>
        <v>STABILLO TOZCHA TZ 8001</v>
      </c>
      <c r="F4446" s="49"/>
      <c r="G4446" s="71"/>
      <c r="H4446" s="41"/>
      <c r="I4446" s="42"/>
      <c r="J4446" s="85" t="s">
        <v>1319</v>
      </c>
      <c r="K4446" s="93">
        <v>24.0</v>
      </c>
      <c r="L4446" s="112" t="s">
        <v>62</v>
      </c>
      <c r="M4446" s="113">
        <v>26500.0</v>
      </c>
      <c r="N4446" s="74"/>
      <c r="O4446" s="87">
        <f t="shared" si="11"/>
        <v>636000</v>
      </c>
      <c r="P4446" s="102" t="str">
        <f t="shared" si="2"/>
        <v>Rp26,500-24 LSN-0.00%</v>
      </c>
      <c r="Q4446" s="92">
        <v>45427.0</v>
      </c>
      <c r="R4446" s="76"/>
      <c r="S4446" s="92">
        <v>45433.0</v>
      </c>
      <c r="T4446" s="49"/>
      <c r="V4446" s="21" t="s">
        <v>777</v>
      </c>
    </row>
    <row r="4447">
      <c r="A4447" s="93">
        <v>4385.0</v>
      </c>
      <c r="B4447" s="77" t="s">
        <v>58</v>
      </c>
      <c r="C4447" s="77" t="s">
        <v>3829</v>
      </c>
      <c r="D4447" s="77" t="s">
        <v>2165</v>
      </c>
      <c r="E4447" s="41" t="str">
        <f>IFERROR(__xludf.DUMMYFUNCTION("IFNA(vlookup(D4447,IMPORTRANGE(""https://docs.google.com/spreadsheets/d/1swGwZOEqYlTEUCJLY-eeJM1911Kvaei5oySBIxdgtNo/edit?pli=1#gid=257618397"",""stock untanna!B:C""),2,false),V:V)"),"CAT AIR OPINI 110")</f>
        <v>CAT AIR OPINI 110</v>
      </c>
      <c r="F4447" s="49"/>
      <c r="G4447" s="71"/>
      <c r="H4447" s="41"/>
      <c r="I4447" s="42"/>
      <c r="J4447" s="85" t="s">
        <v>1319</v>
      </c>
      <c r="K4447" s="93">
        <v>14.0</v>
      </c>
      <c r="L4447" s="112" t="s">
        <v>62</v>
      </c>
      <c r="M4447" s="113">
        <v>100000.0</v>
      </c>
      <c r="N4447" s="74"/>
      <c r="O4447" s="87">
        <f t="shared" si="11"/>
        <v>1400000</v>
      </c>
      <c r="P4447" s="102" t="str">
        <f t="shared" si="2"/>
        <v>Rp100,000-14 LSN-0.00%</v>
      </c>
      <c r="Q4447" s="92">
        <v>45427.0</v>
      </c>
      <c r="R4447" s="76"/>
      <c r="S4447" s="92">
        <v>45433.0</v>
      </c>
      <c r="T4447" s="49"/>
      <c r="V4447" s="21" t="s">
        <v>2166</v>
      </c>
    </row>
    <row r="4448">
      <c r="A4448" s="93">
        <v>4279.0</v>
      </c>
      <c r="B4448" s="77" t="s">
        <v>65</v>
      </c>
      <c r="C4448" s="77" t="s">
        <v>3793</v>
      </c>
      <c r="D4448" s="77" t="s">
        <v>1126</v>
      </c>
      <c r="E4448" s="41" t="str">
        <f>IFERROR(__xludf.DUMMYFUNCTION("IFNA(vlookup(D4448,IMPORTRANGE(""https://docs.google.com/spreadsheets/d/1swGwZOEqYlTEUCJLY-eeJM1911Kvaei5oySBIxdgtNo/edit?pli=1#gid=257618397"",""stock untanna!B:C""),2,false),V:V)"),"ASAHAN BOX 166 BEBEK")</f>
        <v>ASAHAN BOX 166 BEBEK</v>
      </c>
      <c r="F4448" s="49"/>
      <c r="G4448" s="71"/>
      <c r="H4448" s="41"/>
      <c r="I4448" s="42"/>
      <c r="J4448" s="85" t="s">
        <v>1319</v>
      </c>
      <c r="K4448" s="93">
        <v>5.0</v>
      </c>
      <c r="L4448" s="112" t="s">
        <v>88</v>
      </c>
      <c r="M4448" s="113">
        <v>87500.0</v>
      </c>
      <c r="N4448" s="74"/>
      <c r="O4448" s="87">
        <f t="shared" si="11"/>
        <v>437500</v>
      </c>
      <c r="P4448" s="102" t="str">
        <f t="shared" si="2"/>
        <v>Rp87,500-5 BOX-0.00%</v>
      </c>
      <c r="Q4448" s="92">
        <v>45427.0</v>
      </c>
      <c r="R4448" s="76"/>
      <c r="S4448" s="92">
        <v>45433.0</v>
      </c>
      <c r="T4448" s="49"/>
      <c r="V4448" s="21" t="s">
        <v>1127</v>
      </c>
    </row>
    <row r="4449">
      <c r="A4449" s="93">
        <v>4279.0</v>
      </c>
      <c r="B4449" s="77" t="s">
        <v>65</v>
      </c>
      <c r="C4449" s="77" t="s">
        <v>3793</v>
      </c>
      <c r="D4449" s="77" t="s">
        <v>533</v>
      </c>
      <c r="E4449" s="41" t="str">
        <f>IFERROR(__xludf.DUMMYFUNCTION("IFNA(vlookup(D4449,IMPORTRANGE(""https://docs.google.com/spreadsheets/d/1swGwZOEqYlTEUCJLY-eeJM1911Kvaei5oySBIxdgtNo/edit?pli=1#gid=257618397"",""stock untanna!B:C""),2,false),V:V)"),"ASAHAN 8809")</f>
        <v>ASAHAN 8809</v>
      </c>
      <c r="F4449" s="49"/>
      <c r="G4449" s="71"/>
      <c r="H4449" s="41"/>
      <c r="I4449" s="42"/>
      <c r="J4449" s="85" t="s">
        <v>1319</v>
      </c>
      <c r="K4449" s="93">
        <v>300.0</v>
      </c>
      <c r="L4449" s="112" t="s">
        <v>69</v>
      </c>
      <c r="M4449" s="113">
        <v>1750.0</v>
      </c>
      <c r="N4449" s="74"/>
      <c r="O4449" s="87">
        <f t="shared" si="11"/>
        <v>525000</v>
      </c>
      <c r="P4449" s="102" t="str">
        <f t="shared" si="2"/>
        <v>Rp1,750-300 PCS-0.00%</v>
      </c>
      <c r="Q4449" s="92">
        <v>45427.0</v>
      </c>
      <c r="R4449" s="76"/>
      <c r="S4449" s="92">
        <v>45433.0</v>
      </c>
      <c r="T4449" s="49"/>
      <c r="V4449" s="21" t="s">
        <v>534</v>
      </c>
    </row>
    <row r="4450">
      <c r="A4450" s="93">
        <v>4279.0</v>
      </c>
      <c r="B4450" s="77" t="s">
        <v>65</v>
      </c>
      <c r="C4450" s="77" t="s">
        <v>3793</v>
      </c>
      <c r="D4450" s="91"/>
      <c r="E4450" s="41" t="str">
        <f>IFERROR(__xludf.DUMMYFUNCTION("IFNA(vlookup(D4450,IMPORTRANGE(""https://docs.google.com/spreadsheets/d/1swGwZOEqYlTEUCJLY-eeJM1911Kvaei5oySBIxdgtNo/edit?pli=1#gid=257618397"",""stock untanna!B:C""),2,false),V:V)"),"ASAHAN CL 082")</f>
        <v>ASAHAN CL 082</v>
      </c>
      <c r="F4450" s="49"/>
      <c r="G4450" s="71"/>
      <c r="H4450" s="41"/>
      <c r="I4450" s="42"/>
      <c r="J4450" s="85" t="s">
        <v>3190</v>
      </c>
      <c r="K4450" s="93">
        <v>5.0</v>
      </c>
      <c r="L4450" s="112" t="s">
        <v>88</v>
      </c>
      <c r="M4450" s="113">
        <v>126000.0</v>
      </c>
      <c r="N4450" s="74"/>
      <c r="O4450" s="87">
        <f t="shared" si="11"/>
        <v>630000</v>
      </c>
      <c r="P4450" s="102" t="str">
        <f t="shared" si="2"/>
        <v>Rp126,000-5 BOX-0.00%</v>
      </c>
      <c r="Q4450" s="92">
        <v>45427.0</v>
      </c>
      <c r="R4450" s="76"/>
      <c r="S4450" s="92">
        <v>45433.0</v>
      </c>
      <c r="T4450" s="49"/>
      <c r="V4450" s="21" t="s">
        <v>3830</v>
      </c>
    </row>
    <row r="4451">
      <c r="A4451" s="93">
        <v>4279.0</v>
      </c>
      <c r="B4451" s="77" t="s">
        <v>65</v>
      </c>
      <c r="C4451" s="77" t="s">
        <v>3793</v>
      </c>
      <c r="D4451" s="77" t="s">
        <v>537</v>
      </c>
      <c r="E4451" s="41" t="str">
        <f>IFERROR(__xludf.DUMMYFUNCTION("IFNA(vlookup(D4451,IMPORTRANGE(""https://docs.google.com/spreadsheets/d/1swGwZOEqYlTEUCJLY-eeJM1911Kvaei5oySBIxdgtNo/edit?pli=1#gid=257618397"",""stock untanna!B:C""),2,false),V:V)"),"ASAHAN NO.8807")</f>
        <v>ASAHAN NO.8807</v>
      </c>
      <c r="F4451" s="49"/>
      <c r="G4451" s="71"/>
      <c r="H4451" s="41"/>
      <c r="I4451" s="42"/>
      <c r="J4451" s="85" t="s">
        <v>1319</v>
      </c>
      <c r="K4451" s="93">
        <v>360.0</v>
      </c>
      <c r="L4451" s="112" t="s">
        <v>69</v>
      </c>
      <c r="M4451" s="113">
        <v>1458.33</v>
      </c>
      <c r="N4451" s="74"/>
      <c r="O4451" s="87">
        <f t="shared" si="11"/>
        <v>524998.8</v>
      </c>
      <c r="P4451" s="102" t="str">
        <f t="shared" si="2"/>
        <v>Rp1,458-360 PCS-0.00%</v>
      </c>
      <c r="Q4451" s="92">
        <v>45427.0</v>
      </c>
      <c r="R4451" s="76"/>
      <c r="S4451" s="92">
        <v>45433.0</v>
      </c>
      <c r="T4451" s="49"/>
      <c r="V4451" s="21" t="s">
        <v>538</v>
      </c>
    </row>
    <row r="4452">
      <c r="A4452" s="93">
        <v>4279.0</v>
      </c>
      <c r="B4452" s="77" t="s">
        <v>65</v>
      </c>
      <c r="C4452" s="77" t="s">
        <v>3793</v>
      </c>
      <c r="D4452" s="77" t="s">
        <v>3831</v>
      </c>
      <c r="E4452" s="41" t="str">
        <f>IFERROR(__xludf.DUMMYFUNCTION("IFNA(vlookup(D4452,IMPORTRANGE(""https://docs.google.com/spreadsheets/d/1swGwZOEqYlTEUCJLY-eeJM1911Kvaei5oySBIxdgtNo/edit?pli=1#gid=257618397"",""stock untanna!B:C""),2,false),V:V)"),"ASAHAN 3006 PESAWAT (45)")</f>
        <v>ASAHAN 3006 PESAWAT (45)</v>
      </c>
      <c r="F4452" s="49"/>
      <c r="G4452" s="71"/>
      <c r="H4452" s="41"/>
      <c r="I4452" s="42"/>
      <c r="J4452" s="85" t="s">
        <v>1319</v>
      </c>
      <c r="K4452" s="93">
        <v>5.0</v>
      </c>
      <c r="L4452" s="112" t="s">
        <v>3832</v>
      </c>
      <c r="M4452" s="113">
        <v>98000.0</v>
      </c>
      <c r="N4452" s="74"/>
      <c r="O4452" s="87">
        <f t="shared" si="11"/>
        <v>490000</v>
      </c>
      <c r="P4452" s="102" t="str">
        <f t="shared" si="2"/>
        <v>Rp98,000-5 POT-0.00%</v>
      </c>
      <c r="Q4452" s="92">
        <v>45427.0</v>
      </c>
      <c r="R4452" s="76"/>
      <c r="S4452" s="92">
        <v>45433.0</v>
      </c>
      <c r="T4452" s="49"/>
      <c r="V4452" s="21" t="s">
        <v>3833</v>
      </c>
    </row>
    <row r="4453">
      <c r="A4453" s="93">
        <v>4279.0</v>
      </c>
      <c r="B4453" s="77" t="s">
        <v>65</v>
      </c>
      <c r="C4453" s="77" t="s">
        <v>3793</v>
      </c>
      <c r="D4453" s="77" t="s">
        <v>1747</v>
      </c>
      <c r="E4453" s="41" t="str">
        <f>IFERROR(__xludf.DUMMYFUNCTION("IFNA(vlookup(D4453,IMPORTRANGE(""https://docs.google.com/spreadsheets/d/1swGwZOEqYlTEUCJLY-eeJM1911Kvaei5oySBIxdgtNo/edit?pli=1#gid=257618397"",""stock untanna!B:C""),2,false),V:V)"),"ASAHAN TY808")</f>
        <v>ASAHAN TY808</v>
      </c>
      <c r="F4453" s="49"/>
      <c r="G4453" s="71"/>
      <c r="H4453" s="41"/>
      <c r="I4453" s="42"/>
      <c r="J4453" s="85" t="s">
        <v>1319</v>
      </c>
      <c r="K4453" s="93">
        <v>360.0</v>
      </c>
      <c r="L4453" s="112" t="s">
        <v>69</v>
      </c>
      <c r="M4453" s="113">
        <v>1750.0</v>
      </c>
      <c r="N4453" s="74"/>
      <c r="O4453" s="87">
        <f t="shared" si="11"/>
        <v>630000</v>
      </c>
      <c r="P4453" s="102" t="str">
        <f t="shared" si="2"/>
        <v>Rp1,750-360 PCS-0.00%</v>
      </c>
      <c r="Q4453" s="92">
        <v>45427.0</v>
      </c>
      <c r="R4453" s="76"/>
      <c r="S4453" s="92">
        <v>45433.0</v>
      </c>
      <c r="T4453" s="49"/>
      <c r="V4453" s="21" t="s">
        <v>1748</v>
      </c>
    </row>
    <row r="4454">
      <c r="A4454" s="93">
        <v>4279.0</v>
      </c>
      <c r="B4454" s="77" t="s">
        <v>65</v>
      </c>
      <c r="C4454" s="77" t="s">
        <v>3793</v>
      </c>
      <c r="D4454" s="77" t="s">
        <v>3834</v>
      </c>
      <c r="E4454" s="41" t="str">
        <f>IFERROR(__xludf.DUMMYFUNCTION("IFNA(vlookup(D4454,IMPORTRANGE(""https://docs.google.com/spreadsheets/d/1swGwZOEqYlTEUCJLY-eeJM1911Kvaei5oySBIxdgtNo/edit?pli=1#gid=257618397"",""stock untanna!B:C""),2,false),V:V)"),"ASAHAN 8096")</f>
        <v>ASAHAN 8096</v>
      </c>
      <c r="F4454" s="49"/>
      <c r="G4454" s="71"/>
      <c r="H4454" s="41"/>
      <c r="I4454" s="42"/>
      <c r="J4454" s="85" t="s">
        <v>1319</v>
      </c>
      <c r="K4454" s="93">
        <v>360.0</v>
      </c>
      <c r="L4454" s="112" t="s">
        <v>69</v>
      </c>
      <c r="M4454" s="113">
        <v>1750.0</v>
      </c>
      <c r="N4454" s="74"/>
      <c r="O4454" s="87">
        <f t="shared" si="11"/>
        <v>630000</v>
      </c>
      <c r="P4454" s="102" t="str">
        <f t="shared" si="2"/>
        <v>Rp1,750-360 PCS-0.00%</v>
      </c>
      <c r="Q4454" s="92">
        <v>45427.0</v>
      </c>
      <c r="R4454" s="76"/>
      <c r="S4454" s="92">
        <v>45433.0</v>
      </c>
      <c r="T4454" s="49"/>
      <c r="V4454" s="21" t="s">
        <v>3835</v>
      </c>
    </row>
    <row r="4455">
      <c r="A4455" s="93">
        <v>4279.0</v>
      </c>
      <c r="B4455" s="77" t="s">
        <v>65</v>
      </c>
      <c r="C4455" s="77" t="s">
        <v>3793</v>
      </c>
      <c r="D4455" s="77" t="s">
        <v>1745</v>
      </c>
      <c r="E4455" s="41" t="str">
        <f>IFERROR(__xludf.DUMMYFUNCTION("IFNA(vlookup(D4455,IMPORTRANGE(""https://docs.google.com/spreadsheets/d/1swGwZOEqYlTEUCJLY-eeJM1911Kvaei5oySBIxdgtNo/edit?pli=1#gid=257618397"",""stock untanna!B:C""),2,false),V:V)"),"ASAHAN XXY-1868")</f>
        <v>ASAHAN XXY-1868</v>
      </c>
      <c r="F4455" s="49"/>
      <c r="G4455" s="71"/>
      <c r="H4455" s="41"/>
      <c r="I4455" s="42"/>
      <c r="J4455" s="85" t="s">
        <v>1319</v>
      </c>
      <c r="K4455" s="93">
        <v>210.0</v>
      </c>
      <c r="L4455" s="112" t="s">
        <v>69</v>
      </c>
      <c r="M4455" s="113">
        <v>1750.0</v>
      </c>
      <c r="N4455" s="74"/>
      <c r="O4455" s="87">
        <f t="shared" si="11"/>
        <v>367500</v>
      </c>
      <c r="P4455" s="102" t="str">
        <f t="shared" si="2"/>
        <v>Rp1,750-210 PCS-0.00%</v>
      </c>
      <c r="Q4455" s="92">
        <v>45427.0</v>
      </c>
      <c r="R4455" s="76"/>
      <c r="S4455" s="92">
        <v>45433.0</v>
      </c>
      <c r="T4455" s="49"/>
      <c r="V4455" s="21" t="s">
        <v>1746</v>
      </c>
    </row>
    <row r="4456">
      <c r="A4456" s="93">
        <v>4279.0</v>
      </c>
      <c r="B4456" s="77" t="s">
        <v>65</v>
      </c>
      <c r="C4456" s="77" t="s">
        <v>3793</v>
      </c>
      <c r="D4456" s="77" t="s">
        <v>1984</v>
      </c>
      <c r="E4456" s="41" t="str">
        <f>IFERROR(__xludf.DUMMYFUNCTION("IFNA(vlookup(D4456,IMPORTRANGE(""https://docs.google.com/spreadsheets/d/1swGwZOEqYlTEUCJLY-eeJM1911Kvaei5oySBIxdgtNo/edit?pli=1#gid=257618397"",""stock untanna!B:C""),2,false),V:V)"),"ASAHAN 8811")</f>
        <v>ASAHAN 8811</v>
      </c>
      <c r="F4456" s="49"/>
      <c r="G4456" s="71"/>
      <c r="H4456" s="41"/>
      <c r="I4456" s="42"/>
      <c r="J4456" s="85" t="s">
        <v>1319</v>
      </c>
      <c r="K4456" s="93">
        <v>360.0</v>
      </c>
      <c r="L4456" s="112" t="s">
        <v>69</v>
      </c>
      <c r="M4456" s="113">
        <v>1750.0</v>
      </c>
      <c r="N4456" s="74"/>
      <c r="O4456" s="87">
        <f t="shared" si="11"/>
        <v>630000</v>
      </c>
      <c r="P4456" s="102" t="str">
        <f t="shared" si="2"/>
        <v>Rp1,750-360 PCS-0.00%</v>
      </c>
      <c r="Q4456" s="92">
        <v>45427.0</v>
      </c>
      <c r="R4456" s="76"/>
      <c r="S4456" s="92">
        <v>45433.0</v>
      </c>
      <c r="T4456" s="49"/>
      <c r="V4456" s="21" t="s">
        <v>1985</v>
      </c>
    </row>
    <row r="4457">
      <c r="A4457" s="93">
        <v>4279.0</v>
      </c>
      <c r="B4457" s="77" t="s">
        <v>65</v>
      </c>
      <c r="C4457" s="77" t="s">
        <v>3793</v>
      </c>
      <c r="D4457" s="77" t="s">
        <v>3311</v>
      </c>
      <c r="E4457" s="41" t="str">
        <f>IFERROR(__xludf.DUMMYFUNCTION("IFNA(vlookup(D4457,IMPORTRANGE(""https://docs.google.com/spreadsheets/d/1swGwZOEqYlTEUCJLY-eeJM1911Kvaei5oySBIxdgtNo/edit?pli=1#gid=257618397"",""stock untanna!B:C""),2,false),V:V)"),"ASAHAN UC-128A")</f>
        <v>ASAHAN UC-128A</v>
      </c>
      <c r="F4457" s="49"/>
      <c r="G4457" s="71"/>
      <c r="H4457" s="41"/>
      <c r="I4457" s="42"/>
      <c r="J4457" s="85" t="s">
        <v>1319</v>
      </c>
      <c r="K4457" s="93">
        <v>290.0</v>
      </c>
      <c r="L4457" s="112" t="s">
        <v>69</v>
      </c>
      <c r="M4457" s="113">
        <v>1750.0</v>
      </c>
      <c r="N4457" s="74"/>
      <c r="O4457" s="87">
        <f t="shared" si="11"/>
        <v>507500</v>
      </c>
      <c r="P4457" s="102" t="str">
        <f t="shared" si="2"/>
        <v>Rp1,750-290 PCS-0.00%</v>
      </c>
      <c r="Q4457" s="92">
        <v>45427.0</v>
      </c>
      <c r="R4457" s="76"/>
      <c r="S4457" s="92">
        <v>45433.0</v>
      </c>
      <c r="T4457" s="49"/>
      <c r="V4457" s="21" t="s">
        <v>3312</v>
      </c>
    </row>
    <row r="4458">
      <c r="A4458" s="93">
        <v>4279.0</v>
      </c>
      <c r="B4458" s="77" t="s">
        <v>65</v>
      </c>
      <c r="C4458" s="77" t="s">
        <v>3793</v>
      </c>
      <c r="D4458" s="77" t="s">
        <v>1128</v>
      </c>
      <c r="E4458" s="41" t="str">
        <f>IFERROR(__xludf.DUMMYFUNCTION("IFNA(vlookup(D4458,IMPORTRANGE(""https://docs.google.com/spreadsheets/d/1swGwZOEqYlTEUCJLY-eeJM1911Kvaei5oySBIxdgtNo/edit?pli=1#gid=257618397"",""stock untanna!B:C""),2,false),V:V)"),"ASAHAN DY-347")</f>
        <v>ASAHAN DY-347</v>
      </c>
      <c r="F4458" s="49"/>
      <c r="G4458" s="71"/>
      <c r="H4458" s="41"/>
      <c r="I4458" s="42"/>
      <c r="J4458" s="85" t="s">
        <v>1319</v>
      </c>
      <c r="K4458" s="93">
        <v>400.0</v>
      </c>
      <c r="L4458" s="112" t="s">
        <v>69</v>
      </c>
      <c r="M4458" s="113">
        <v>1750.0</v>
      </c>
      <c r="N4458" s="74"/>
      <c r="O4458" s="87">
        <f t="shared" si="11"/>
        <v>700000</v>
      </c>
      <c r="P4458" s="102" t="str">
        <f t="shared" si="2"/>
        <v>Rp1,750-400 PCS-0.00%</v>
      </c>
      <c r="Q4458" s="92">
        <v>45427.0</v>
      </c>
      <c r="R4458" s="76"/>
      <c r="S4458" s="92">
        <v>45433.0</v>
      </c>
      <c r="T4458" s="49"/>
      <c r="V4458" s="21" t="s">
        <v>1129</v>
      </c>
    </row>
    <row r="4459">
      <c r="A4459" s="93">
        <v>4279.0</v>
      </c>
      <c r="B4459" s="77" t="s">
        <v>65</v>
      </c>
      <c r="C4459" s="77" t="s">
        <v>3793</v>
      </c>
      <c r="D4459" s="77" t="s">
        <v>535</v>
      </c>
      <c r="E4459" s="41" t="str">
        <f>IFERROR(__xludf.DUMMYFUNCTION("IFNA(vlookup(D4459,IMPORTRANGE(""https://docs.google.com/spreadsheets/d/1swGwZOEqYlTEUCJLY-eeJM1911Kvaei5oySBIxdgtNo/edit?pli=1#gid=257618397"",""stock untanna!B:C""),2,false),V:V)"),"ASAHAN TOPLES SP 8865 IKAN")</f>
        <v>ASAHAN TOPLES SP 8865 IKAN</v>
      </c>
      <c r="F4459" s="49"/>
      <c r="G4459" s="71"/>
      <c r="H4459" s="41"/>
      <c r="I4459" s="42"/>
      <c r="J4459" s="85" t="s">
        <v>1319</v>
      </c>
      <c r="K4459" s="93">
        <v>5.0</v>
      </c>
      <c r="L4459" s="112" t="s">
        <v>88</v>
      </c>
      <c r="M4459" s="113">
        <v>84000.0</v>
      </c>
      <c r="N4459" s="74"/>
      <c r="O4459" s="87">
        <f t="shared" si="11"/>
        <v>420000</v>
      </c>
      <c r="P4459" s="102" t="str">
        <f t="shared" si="2"/>
        <v>Rp84,000-5 BOX-0.00%</v>
      </c>
      <c r="Q4459" s="92">
        <v>45427.0</v>
      </c>
      <c r="R4459" s="76"/>
      <c r="S4459" s="92">
        <v>45433.0</v>
      </c>
      <c r="T4459" s="49"/>
      <c r="V4459" s="21" t="s">
        <v>536</v>
      </c>
    </row>
    <row r="4460">
      <c r="A4460" s="93">
        <v>4279.0</v>
      </c>
      <c r="B4460" s="77" t="s">
        <v>65</v>
      </c>
      <c r="C4460" s="77" t="s">
        <v>3793</v>
      </c>
      <c r="D4460" s="77" t="s">
        <v>3836</v>
      </c>
      <c r="E4460" s="41" t="str">
        <f>IFERROR(__xludf.DUMMYFUNCTION("IFNA(vlookup(D4460,IMPORTRANGE(""https://docs.google.com/spreadsheets/d/1swGwZOEqYlTEUCJLY-eeJM1911Kvaei5oySBIxdgtNo/edit?pli=1#gid=257618397"",""stock untanna!B:C""),2,false),V:V)"),"ASAHAN XH8077")</f>
        <v>ASAHAN XH8077</v>
      </c>
      <c r="F4460" s="49"/>
      <c r="G4460" s="71"/>
      <c r="H4460" s="41"/>
      <c r="I4460" s="42"/>
      <c r="J4460" s="85" t="s">
        <v>1319</v>
      </c>
      <c r="K4460" s="93">
        <v>240.0</v>
      </c>
      <c r="L4460" s="112" t="s">
        <v>69</v>
      </c>
      <c r="M4460" s="113">
        <v>1750.0</v>
      </c>
      <c r="N4460" s="74"/>
      <c r="O4460" s="87">
        <f t="shared" si="11"/>
        <v>420000</v>
      </c>
      <c r="P4460" s="102" t="str">
        <f t="shared" si="2"/>
        <v>Rp1,750-240 PCS-0.00%</v>
      </c>
      <c r="Q4460" s="92">
        <v>45427.0</v>
      </c>
      <c r="R4460" s="76"/>
      <c r="S4460" s="92">
        <v>45433.0</v>
      </c>
      <c r="T4460" s="49"/>
      <c r="V4460" s="21" t="s">
        <v>3837</v>
      </c>
    </row>
    <row r="4461">
      <c r="A4461" s="93">
        <v>4279.0</v>
      </c>
      <c r="B4461" s="77" t="s">
        <v>65</v>
      </c>
      <c r="C4461" s="77" t="s">
        <v>3793</v>
      </c>
      <c r="D4461" s="77" t="s">
        <v>1122</v>
      </c>
      <c r="E4461" s="41" t="str">
        <f>IFERROR(__xludf.DUMMYFUNCTION("IFNA(vlookup(D4461,IMPORTRANGE(""https://docs.google.com/spreadsheets/d/1swGwZOEqYlTEUCJLY-eeJM1911Kvaei5oySBIxdgtNo/edit?pli=1#gid=257618397"",""stock untanna!B:C""),2,false),V:V)"),"ASAHAN 8810")</f>
        <v>ASAHAN 8810</v>
      </c>
      <c r="F4461" s="49"/>
      <c r="G4461" s="71"/>
      <c r="H4461" s="41"/>
      <c r="I4461" s="42"/>
      <c r="J4461" s="85" t="s">
        <v>1319</v>
      </c>
      <c r="K4461" s="93">
        <v>360.0</v>
      </c>
      <c r="L4461" s="112" t="s">
        <v>69</v>
      </c>
      <c r="M4461" s="113">
        <v>1750.0</v>
      </c>
      <c r="N4461" s="74"/>
      <c r="O4461" s="87">
        <f t="shared" si="11"/>
        <v>630000</v>
      </c>
      <c r="P4461" s="102" t="str">
        <f t="shared" si="2"/>
        <v>Rp1,750-360 PCS-0.00%</v>
      </c>
      <c r="Q4461" s="92">
        <v>45427.0</v>
      </c>
      <c r="R4461" s="76"/>
      <c r="S4461" s="92">
        <v>45433.0</v>
      </c>
      <c r="T4461" s="49"/>
      <c r="V4461" s="21" t="s">
        <v>1123</v>
      </c>
    </row>
    <row r="4462">
      <c r="A4462" s="93">
        <v>135.0</v>
      </c>
      <c r="B4462" s="77" t="s">
        <v>65</v>
      </c>
      <c r="C4462" s="77" t="s">
        <v>3838</v>
      </c>
      <c r="D4462" s="77" t="s">
        <v>911</v>
      </c>
      <c r="E4462" s="41" t="str">
        <f>IFERROR(__xludf.DUMMYFUNCTION("IFNA(vlookup(D4462,IMPORTRANGE(""https://docs.google.com/spreadsheets/d/1swGwZOEqYlTEUCJLY-eeJM1911Kvaei5oySBIxdgtNo/edit?pli=1#gid=257618397"",""stock untanna!B:C""),2,false),V:V)"),"NOTEBOOK SPIRAL 25100-67")</f>
        <v>NOTEBOOK SPIRAL 25100-67</v>
      </c>
      <c r="F4462" s="49"/>
      <c r="G4462" s="71"/>
      <c r="H4462" s="41"/>
      <c r="I4462" s="42"/>
      <c r="J4462" s="85" t="s">
        <v>1319</v>
      </c>
      <c r="K4462" s="93">
        <v>12.0</v>
      </c>
      <c r="L4462" s="112" t="s">
        <v>69</v>
      </c>
      <c r="M4462" s="113">
        <v>12000.0</v>
      </c>
      <c r="N4462" s="74"/>
      <c r="O4462" s="87">
        <f t="shared" si="11"/>
        <v>144000</v>
      </c>
      <c r="P4462" s="102" t="str">
        <f t="shared" si="2"/>
        <v>Rp12,000-12 PCS-0.00%</v>
      </c>
      <c r="Q4462" s="92">
        <v>45428.0</v>
      </c>
      <c r="R4462" s="76"/>
      <c r="S4462" s="92">
        <v>45433.0</v>
      </c>
      <c r="T4462" s="49"/>
      <c r="V4462" s="21" t="s">
        <v>912</v>
      </c>
    </row>
    <row r="4463">
      <c r="A4463" s="93">
        <v>135.0</v>
      </c>
      <c r="B4463" s="77" t="s">
        <v>65</v>
      </c>
      <c r="C4463" s="77" t="s">
        <v>3838</v>
      </c>
      <c r="D4463" s="77" t="s">
        <v>3138</v>
      </c>
      <c r="E4463" s="41" t="str">
        <f>IFERROR(__xludf.DUMMYFUNCTION("IFNA(vlookup(D4463,IMPORTRANGE(""https://docs.google.com/spreadsheets/d/1swGwZOEqYlTEUCJLY-eeJM1911Kvaei5oySBIxdgtNo/edit?pli=1#gid=257618397"",""stock untanna!B:C""),2,false),V:V)"),"BK/ NB A 326K(4)")</f>
        <v>BK/ NB A 326K(4)</v>
      </c>
      <c r="F4463" s="49"/>
      <c r="G4463" s="71"/>
      <c r="H4463" s="41"/>
      <c r="I4463" s="42"/>
      <c r="J4463" s="85" t="s">
        <v>1319</v>
      </c>
      <c r="K4463" s="93">
        <v>12.0</v>
      </c>
      <c r="L4463" s="112" t="s">
        <v>69</v>
      </c>
      <c r="M4463" s="113">
        <v>6666.67</v>
      </c>
      <c r="N4463" s="74"/>
      <c r="O4463" s="87">
        <f t="shared" si="11"/>
        <v>80000.04</v>
      </c>
      <c r="P4463" s="102" t="str">
        <f t="shared" si="2"/>
        <v>Rp6,667-12 PCS-0.00%</v>
      </c>
      <c r="Q4463" s="92">
        <v>45428.0</v>
      </c>
      <c r="R4463" s="76"/>
      <c r="S4463" s="92">
        <v>45433.0</v>
      </c>
      <c r="T4463" s="49"/>
      <c r="V4463" s="21" t="s">
        <v>3139</v>
      </c>
    </row>
    <row r="4464">
      <c r="A4464" s="93">
        <v>135.0</v>
      </c>
      <c r="B4464" s="77" t="s">
        <v>65</v>
      </c>
      <c r="C4464" s="77" t="s">
        <v>3838</v>
      </c>
      <c r="D4464" s="91"/>
      <c r="E4464" s="41" t="str">
        <f>IFERROR(__xludf.DUMMYFUNCTION("IFNA(vlookup(D4464,IMPORTRANGE(""https://docs.google.com/spreadsheets/d/1swGwZOEqYlTEUCJLY-eeJM1911Kvaei5oySBIxdgtNo/edit?pli=1#gid=257618397"",""stock untanna!B:C""),2,false),V:V)"),"N BOOK SPIRAL PL-090 (A)")</f>
        <v>N BOOK SPIRAL PL-090 (A)</v>
      </c>
      <c r="F4464" s="49"/>
      <c r="G4464" s="71"/>
      <c r="H4464" s="41"/>
      <c r="I4464" s="42"/>
      <c r="J4464" s="85" t="s">
        <v>3190</v>
      </c>
      <c r="K4464" s="93">
        <v>0.333333333</v>
      </c>
      <c r="L4464" s="112" t="s">
        <v>62</v>
      </c>
      <c r="M4464" s="113">
        <v>252000.0</v>
      </c>
      <c r="N4464" s="74"/>
      <c r="O4464" s="87">
        <f t="shared" si="11"/>
        <v>83999.99992</v>
      </c>
      <c r="P4464" s="102" t="str">
        <f t="shared" si="2"/>
        <v>Rp252,000-0.333333333 LSN-0.00%</v>
      </c>
      <c r="Q4464" s="92">
        <v>45428.0</v>
      </c>
      <c r="R4464" s="76"/>
      <c r="S4464" s="92">
        <v>45433.0</v>
      </c>
      <c r="T4464" s="49"/>
      <c r="V4464" s="21" t="s">
        <v>3839</v>
      </c>
    </row>
    <row r="4465">
      <c r="A4465" s="93">
        <v>135.0</v>
      </c>
      <c r="B4465" s="77" t="s">
        <v>65</v>
      </c>
      <c r="C4465" s="77" t="s">
        <v>3838</v>
      </c>
      <c r="D4465" s="77" t="s">
        <v>906</v>
      </c>
      <c r="E4465" s="41" t="str">
        <f>IFERROR(__xludf.DUMMYFUNCTION("IFNA(vlookup(D4465,IMPORTRANGE(""https://docs.google.com/spreadsheets/d/1swGwZOEqYlTEUCJLY-eeJM1911Kvaei5oySBIxdgtNo/edit?pli=1#gid=257618397"",""stock untanna!B:C""),2,false),V:V)"),"NOTEBOOK 18100-36")</f>
        <v>NOTEBOOK 18100-36</v>
      </c>
      <c r="F4465" s="49"/>
      <c r="G4465" s="71"/>
      <c r="H4465" s="41"/>
      <c r="I4465" s="42"/>
      <c r="J4465" s="85" t="s">
        <v>1319</v>
      </c>
      <c r="K4465" s="93">
        <v>1.0</v>
      </c>
      <c r="L4465" s="112" t="s">
        <v>62</v>
      </c>
      <c r="M4465" s="113">
        <v>225000.0</v>
      </c>
      <c r="N4465" s="74"/>
      <c r="O4465" s="87">
        <f t="shared" si="11"/>
        <v>225000</v>
      </c>
      <c r="P4465" s="102" t="str">
        <f t="shared" si="2"/>
        <v>Rp225,000-1 LSN-0.00%</v>
      </c>
      <c r="Q4465" s="92">
        <v>45428.0</v>
      </c>
      <c r="R4465" s="76"/>
      <c r="S4465" s="92">
        <v>45433.0</v>
      </c>
      <c r="T4465" s="49"/>
      <c r="V4465" s="21" t="s">
        <v>907</v>
      </c>
    </row>
    <row r="4466">
      <c r="A4466" s="93">
        <v>135.0</v>
      </c>
      <c r="B4466" s="77" t="s">
        <v>65</v>
      </c>
      <c r="C4466" s="77" t="s">
        <v>3838</v>
      </c>
      <c r="D4466" s="77" t="s">
        <v>1376</v>
      </c>
      <c r="E4466" s="41" t="str">
        <f>IFERROR(__xludf.DUMMYFUNCTION("IFNA(vlookup(D4466,IMPORTRANGE(""https://docs.google.com/spreadsheets/d/1swGwZOEqYlTEUCJLY-eeJM1911Kvaei5oySBIxdgtNo/edit?pli=1#gid=257618397"",""stock untanna!B:C""),2,false),V:V)"),"NOTEBOOK  707-44")</f>
        <v>NOTEBOOK  707-44</v>
      </c>
      <c r="F4466" s="49"/>
      <c r="G4466" s="71"/>
      <c r="H4466" s="41"/>
      <c r="I4466" s="42"/>
      <c r="J4466" s="85" t="s">
        <v>1319</v>
      </c>
      <c r="K4466" s="93">
        <v>1.0</v>
      </c>
      <c r="L4466" s="112" t="s">
        <v>62</v>
      </c>
      <c r="M4466" s="113">
        <v>210000.0</v>
      </c>
      <c r="N4466" s="74"/>
      <c r="O4466" s="87">
        <f t="shared" si="11"/>
        <v>210000</v>
      </c>
      <c r="P4466" s="102" t="str">
        <f t="shared" si="2"/>
        <v>Rp210,000-1 LSN-0.00%</v>
      </c>
      <c r="Q4466" s="92">
        <v>45428.0</v>
      </c>
      <c r="R4466" s="76"/>
      <c r="S4466" s="92">
        <v>45433.0</v>
      </c>
      <c r="T4466" s="49"/>
      <c r="V4466" s="21" t="s">
        <v>1377</v>
      </c>
    </row>
    <row r="4467">
      <c r="A4467" s="93">
        <v>135.0</v>
      </c>
      <c r="B4467" s="77" t="s">
        <v>65</v>
      </c>
      <c r="C4467" s="77" t="s">
        <v>3838</v>
      </c>
      <c r="D4467" s="77" t="s">
        <v>1792</v>
      </c>
      <c r="E4467" s="41" t="str">
        <f>IFERROR(__xludf.DUMMYFUNCTION("IFNA(vlookup(D4467,IMPORTRANGE(""https://docs.google.com/spreadsheets/d/1swGwZOEqYlTEUCJLY-eeJM1911Kvaei5oySBIxdgtNo/edit?pli=1#gid=257618397"",""stock untanna!B:C""),2,false),V:V)"),"NOTEBOOK  A5-105")</f>
        <v>NOTEBOOK  A5-105</v>
      </c>
      <c r="F4467" s="49"/>
      <c r="G4467" s="71"/>
      <c r="H4467" s="41"/>
      <c r="I4467" s="42"/>
      <c r="J4467" s="85" t="s">
        <v>1319</v>
      </c>
      <c r="K4467" s="93">
        <v>1.0</v>
      </c>
      <c r="L4467" s="112" t="s">
        <v>62</v>
      </c>
      <c r="M4467" s="113">
        <v>210000.0</v>
      </c>
      <c r="N4467" s="74"/>
      <c r="O4467" s="87">
        <f t="shared" si="11"/>
        <v>210000</v>
      </c>
      <c r="P4467" s="102" t="str">
        <f t="shared" si="2"/>
        <v>Rp210,000-1 LSN-0.00%</v>
      </c>
      <c r="Q4467" s="92">
        <v>45428.0</v>
      </c>
      <c r="R4467" s="76"/>
      <c r="S4467" s="92">
        <v>45433.0</v>
      </c>
      <c r="T4467" s="49"/>
      <c r="V4467" s="21" t="s">
        <v>1793</v>
      </c>
    </row>
    <row r="4468">
      <c r="A4468" s="93">
        <v>135.0</v>
      </c>
      <c r="B4468" s="77" t="s">
        <v>65</v>
      </c>
      <c r="C4468" s="77" t="s">
        <v>3838</v>
      </c>
      <c r="D4468" s="77" t="s">
        <v>1370</v>
      </c>
      <c r="E4468" s="41" t="str">
        <f>IFERROR(__xludf.DUMMYFUNCTION("IFNA(vlookup(D4468,IMPORTRANGE(""https://docs.google.com/spreadsheets/d/1swGwZOEqYlTEUCJLY-eeJM1911Kvaei5oySBIxdgtNo/edit?pli=1#gid=257618397"",""stock untanna!B:C""),2,false),V:V)"),"NOTEBOOK  A5-UN")</f>
        <v>NOTEBOOK  A5-UN</v>
      </c>
      <c r="F4468" s="49"/>
      <c r="G4468" s="71"/>
      <c r="H4468" s="41"/>
      <c r="I4468" s="42"/>
      <c r="J4468" s="85" t="s">
        <v>1319</v>
      </c>
      <c r="K4468" s="93">
        <v>1.0</v>
      </c>
      <c r="L4468" s="112" t="s">
        <v>62</v>
      </c>
      <c r="M4468" s="113">
        <v>210000.0</v>
      </c>
      <c r="N4468" s="74"/>
      <c r="O4468" s="87">
        <f t="shared" si="11"/>
        <v>210000</v>
      </c>
      <c r="P4468" s="102" t="str">
        <f t="shared" si="2"/>
        <v>Rp210,000-1 LSN-0.00%</v>
      </c>
      <c r="Q4468" s="92">
        <v>45428.0</v>
      </c>
      <c r="R4468" s="76"/>
      <c r="S4468" s="92">
        <v>45433.0</v>
      </c>
      <c r="T4468" s="49"/>
      <c r="V4468" s="21" t="s">
        <v>1371</v>
      </c>
    </row>
    <row r="4469">
      <c r="A4469" s="93">
        <v>135.0</v>
      </c>
      <c r="B4469" s="77" t="s">
        <v>65</v>
      </c>
      <c r="C4469" s="77" t="s">
        <v>3838</v>
      </c>
      <c r="D4469" s="91"/>
      <c r="E4469" s="41" t="str">
        <f>IFERROR(__xludf.DUMMYFUNCTION("IFNA(vlookup(D4469,IMPORTRANGE(""https://docs.google.com/spreadsheets/d/1swGwZOEqYlTEUCJLY-eeJM1911Kvaei5oySBIxdgtNo/edit?pli=1#gid=257618397"",""stock untanna!B:C""),2,false),V:V)"),"AGENDA 25K-35-25")</f>
        <v>AGENDA 25K-35-25</v>
      </c>
      <c r="F4469" s="49"/>
      <c r="G4469" s="71"/>
      <c r="H4469" s="41"/>
      <c r="I4469" s="42"/>
      <c r="J4469" s="85" t="s">
        <v>3190</v>
      </c>
      <c r="K4469" s="93">
        <v>12.0</v>
      </c>
      <c r="L4469" s="112" t="s">
        <v>69</v>
      </c>
      <c r="M4469" s="113">
        <v>22500.0</v>
      </c>
      <c r="N4469" s="74"/>
      <c r="O4469" s="87">
        <f t="shared" si="11"/>
        <v>270000</v>
      </c>
      <c r="P4469" s="102" t="str">
        <f t="shared" si="2"/>
        <v>Rp22,500-12 PCS-0.00%</v>
      </c>
      <c r="Q4469" s="92">
        <v>45428.0</v>
      </c>
      <c r="R4469" s="76"/>
      <c r="S4469" s="92">
        <v>45433.0</v>
      </c>
      <c r="T4469" s="49"/>
      <c r="V4469" s="21" t="s">
        <v>3840</v>
      </c>
    </row>
    <row r="4470">
      <c r="A4470" s="93">
        <v>135.0</v>
      </c>
      <c r="B4470" s="77" t="s">
        <v>65</v>
      </c>
      <c r="C4470" s="77" t="s">
        <v>3838</v>
      </c>
      <c r="D4470" s="77" t="s">
        <v>249</v>
      </c>
      <c r="E4470" s="41" t="str">
        <f>IFERROR(__xludf.DUMMYFUNCTION("IFNA(vlookup(D4470,IMPORTRANGE(""https://docs.google.com/spreadsheets/d/1swGwZOEqYlTEUCJLY-eeJM1911Kvaei5oySBIxdgtNo/edit?pli=1#gid=257618397"",""stock untanna!B:C""),2,false),V:V)"),"TAS TUTUP PITA KADO FG-101 KECIL")</f>
        <v>TAS TUTUP PITA KADO FG-101 KECIL</v>
      </c>
      <c r="F4470" s="49"/>
      <c r="G4470" s="71"/>
      <c r="H4470" s="41"/>
      <c r="I4470" s="42"/>
      <c r="J4470" s="85" t="s">
        <v>1319</v>
      </c>
      <c r="K4470" s="93">
        <v>6.0</v>
      </c>
      <c r="L4470" s="112" t="s">
        <v>62</v>
      </c>
      <c r="M4470" s="113">
        <v>57500.0</v>
      </c>
      <c r="N4470" s="74"/>
      <c r="O4470" s="87">
        <f t="shared" si="11"/>
        <v>345000</v>
      </c>
      <c r="P4470" s="102" t="str">
        <f t="shared" si="2"/>
        <v>Rp57,500-6 LSN-0.00%</v>
      </c>
      <c r="Q4470" s="92">
        <v>45428.0</v>
      </c>
      <c r="R4470" s="76"/>
      <c r="S4470" s="92">
        <v>45433.0</v>
      </c>
      <c r="T4470" s="49"/>
      <c r="V4470" s="21" t="s">
        <v>250</v>
      </c>
    </row>
    <row r="4471">
      <c r="A4471" s="93">
        <v>135.0</v>
      </c>
      <c r="B4471" s="77" t="s">
        <v>65</v>
      </c>
      <c r="C4471" s="77" t="s">
        <v>3838</v>
      </c>
      <c r="D4471" s="77" t="s">
        <v>247</v>
      </c>
      <c r="E4471" s="41" t="str">
        <f>IFERROR(__xludf.DUMMYFUNCTION("IFNA(vlookup(D4471,IMPORTRANGE(""https://docs.google.com/spreadsheets/d/1swGwZOEqYlTEUCJLY-eeJM1911Kvaei5oySBIxdgtNo/edit?pli=1#gid=257618397"",""stock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4471" s="49"/>
      <c r="G4471" s="71"/>
      <c r="H4471" s="41"/>
      <c r="I4471" s="42"/>
      <c r="J4471" s="85" t="s">
        <v>1319</v>
      </c>
      <c r="K4471" s="93">
        <v>6.0</v>
      </c>
      <c r="L4471" s="112" t="s">
        <v>62</v>
      </c>
      <c r="M4471" s="113">
        <v>95000.0</v>
      </c>
      <c r="N4471" s="74"/>
      <c r="O4471" s="87">
        <f t="shared" si="11"/>
        <v>570000</v>
      </c>
      <c r="P4471" s="102" t="str">
        <f t="shared" si="2"/>
        <v>Rp95,000-6 LSN-0.00%</v>
      </c>
      <c r="Q4471" s="92">
        <v>45428.0</v>
      </c>
      <c r="R4471" s="76"/>
      <c r="S4471" s="92">
        <v>45433.0</v>
      </c>
      <c r="T4471" s="49"/>
      <c r="V4471" s="21" t="s">
        <v>248</v>
      </c>
    </row>
    <row r="4472">
      <c r="A4472" s="93">
        <v>135.0</v>
      </c>
      <c r="B4472" s="77" t="s">
        <v>65</v>
      </c>
      <c r="C4472" s="77" t="s">
        <v>3838</v>
      </c>
      <c r="D4472" s="91"/>
      <c r="E4472" s="41" t="str">
        <f>IFERROR(__xludf.DUMMYFUNCTION("IFNA(vlookup(D4472,IMPORTRANGE(""https://docs.google.com/spreadsheets/d/1swGwZOEqYlTEUCJLY-eeJM1911Kvaei5oySBIxdgtNo/edit?pli=1#gid=257618397"",""stock untanna!B:C""),2,false),V:V)"),"TAS TUTUP PITA MINI")</f>
        <v>TAS TUTUP PITA MINI</v>
      </c>
      <c r="F4472" s="49"/>
      <c r="G4472" s="71"/>
      <c r="H4472" s="41"/>
      <c r="I4472" s="42"/>
      <c r="J4472" s="85" t="s">
        <v>3190</v>
      </c>
      <c r="K4472" s="93">
        <v>2.0</v>
      </c>
      <c r="L4472" s="112" t="s">
        <v>62</v>
      </c>
      <c r="M4472" s="113">
        <v>18000.0</v>
      </c>
      <c r="N4472" s="74"/>
      <c r="O4472" s="87">
        <f t="shared" si="11"/>
        <v>36000</v>
      </c>
      <c r="P4472" s="102" t="str">
        <f t="shared" si="2"/>
        <v>Rp18,000-2 LSN-0.00%</v>
      </c>
      <c r="Q4472" s="92">
        <v>45428.0</v>
      </c>
      <c r="R4472" s="76"/>
      <c r="S4472" s="92">
        <v>45433.0</v>
      </c>
      <c r="T4472" s="49"/>
      <c r="V4472" s="21" t="s">
        <v>3841</v>
      </c>
    </row>
    <row r="4473">
      <c r="A4473" s="93">
        <v>135.0</v>
      </c>
      <c r="B4473" s="77" t="s">
        <v>65</v>
      </c>
      <c r="C4473" s="77" t="s">
        <v>3838</v>
      </c>
      <c r="D4473" s="77" t="s">
        <v>251</v>
      </c>
      <c r="E4473" s="41" t="str">
        <f>IFERROR(__xludf.DUMMYFUNCTION("IFNA(vlookup(D4473,IMPORTRANGE(""https://docs.google.com/spreadsheets/d/1swGwZOEqYlTEUCJLY-eeJM1911Kvaei5oySBIxdgtNo/edit?pli=1#gid=257618397"",""stock untanna!B:C""),2,false),V:V)"),"TAS TUTUP PITA KADO FG-401 JUMBO")</f>
        <v>TAS TUTUP PITA KADO FG-401 JUMBO</v>
      </c>
      <c r="F4473" s="49"/>
      <c r="G4473" s="71"/>
      <c r="H4473" s="41"/>
      <c r="I4473" s="42"/>
      <c r="J4473" s="85" t="s">
        <v>1319</v>
      </c>
      <c r="K4473" s="93">
        <v>3.0</v>
      </c>
      <c r="L4473" s="112" t="s">
        <v>62</v>
      </c>
      <c r="M4473" s="113">
        <v>150000.0</v>
      </c>
      <c r="N4473" s="74"/>
      <c r="O4473" s="87">
        <f t="shared" si="11"/>
        <v>450000</v>
      </c>
      <c r="P4473" s="102" t="str">
        <f t="shared" si="2"/>
        <v>Rp150,000-3 LSN-0.00%</v>
      </c>
      <c r="Q4473" s="92">
        <v>45428.0</v>
      </c>
      <c r="R4473" s="76"/>
      <c r="S4473" s="92">
        <v>45433.0</v>
      </c>
      <c r="T4473" s="49"/>
      <c r="V4473" s="21" t="s">
        <v>252</v>
      </c>
    </row>
    <row r="4474">
      <c r="A4474" s="93">
        <v>135.0</v>
      </c>
      <c r="B4474" s="77" t="s">
        <v>65</v>
      </c>
      <c r="C4474" s="77" t="s">
        <v>3838</v>
      </c>
      <c r="D4474" s="77" t="s">
        <v>3234</v>
      </c>
      <c r="E4474" s="41" t="str">
        <f>IFERROR(__xludf.DUMMYFUNCTION("IFNA(vlookup(D4474,IMPORTRANGE(""https://docs.google.com/spreadsheets/d/1swGwZOEqYlTEUCJLY-eeJM1911Kvaei5oySBIxdgtNo/edit?pli=1#gid=257618397"",""stock untanna!B:C""),2,false),V:V)"),"TIPEX (706) 001")</f>
        <v>TIPEX (706) 001</v>
      </c>
      <c r="F4474" s="49"/>
      <c r="G4474" s="71"/>
      <c r="H4474" s="41"/>
      <c r="I4474" s="42"/>
      <c r="J4474" s="85" t="s">
        <v>1319</v>
      </c>
      <c r="K4474" s="93">
        <v>0.5</v>
      </c>
      <c r="L4474" s="112" t="s">
        <v>62</v>
      </c>
      <c r="M4474" s="113">
        <v>420000.0</v>
      </c>
      <c r="N4474" s="74"/>
      <c r="O4474" s="87">
        <f t="shared" si="11"/>
        <v>210000</v>
      </c>
      <c r="P4474" s="102" t="str">
        <f t="shared" si="2"/>
        <v>Rp420,000-0.5 LSN-0.00%</v>
      </c>
      <c r="Q4474" s="92">
        <v>45428.0</v>
      </c>
      <c r="R4474" s="76"/>
      <c r="S4474" s="92">
        <v>45433.0</v>
      </c>
      <c r="T4474" s="49"/>
      <c r="V4474" s="21" t="s">
        <v>3235</v>
      </c>
    </row>
    <row r="4475">
      <c r="A4475" s="93">
        <v>135.0</v>
      </c>
      <c r="B4475" s="77" t="s">
        <v>65</v>
      </c>
      <c r="C4475" s="77" t="s">
        <v>3838</v>
      </c>
      <c r="D4475" s="77" t="s">
        <v>3643</v>
      </c>
      <c r="E4475" s="41" t="str">
        <f>IFERROR(__xludf.DUMMYFUNCTION("IFNA(vlookup(D4475,IMPORTRANGE(""https://docs.google.com/spreadsheets/d/1swGwZOEqYlTEUCJLY-eeJM1911Kvaei5oySBIxdgtNo/edit?pli=1#gid=257618397"",""stock untanna!B:C""),2,false),V:V)"),"GARISAN 20CM 2011(10)/ 2010(2)")</f>
        <v>GARISAN 20CM 2011(10)/ 2010(2)</v>
      </c>
      <c r="F4475" s="49"/>
      <c r="G4475" s="71"/>
      <c r="H4475" s="41"/>
      <c r="I4475" s="42"/>
      <c r="J4475" s="85" t="s">
        <v>1319</v>
      </c>
      <c r="K4475" s="93">
        <v>100.0</v>
      </c>
      <c r="L4475" s="112" t="s">
        <v>69</v>
      </c>
      <c r="M4475" s="113">
        <v>1000.0</v>
      </c>
      <c r="N4475" s="74"/>
      <c r="O4475" s="87">
        <f t="shared" si="11"/>
        <v>100000</v>
      </c>
      <c r="P4475" s="102" t="str">
        <f t="shared" si="2"/>
        <v>Rp1,000-100 PCS-0.00%</v>
      </c>
      <c r="Q4475" s="92">
        <v>45428.0</v>
      </c>
      <c r="R4475" s="76"/>
      <c r="S4475" s="92">
        <v>45433.0</v>
      </c>
      <c r="T4475" s="77" t="s">
        <v>100</v>
      </c>
      <c r="V4475" s="21" t="s">
        <v>3644</v>
      </c>
    </row>
    <row r="4476">
      <c r="A4476" s="93">
        <v>135.0</v>
      </c>
      <c r="B4476" s="77" t="s">
        <v>65</v>
      </c>
      <c r="C4476" s="77" t="s">
        <v>3838</v>
      </c>
      <c r="D4476" s="91"/>
      <c r="E4476" s="41" t="str">
        <f>IFERROR(__xludf.DUMMYFUNCTION("IFNA(vlookup(D4476,IMPORTRANGE(""https://docs.google.com/spreadsheets/d/1swGwZOEqYlTEUCJLY-eeJM1911Kvaei5oySBIxdgtNo/edit?pli=1#gid=257618397"",""stock untanna!B:C""),2,false),V:V)"),"ISI PENSIL COLLEN GOLD")</f>
        <v>ISI PENSIL COLLEN GOLD</v>
      </c>
      <c r="F4476" s="49"/>
      <c r="G4476" s="71"/>
      <c r="H4476" s="41"/>
      <c r="I4476" s="42"/>
      <c r="J4476" s="85" t="s">
        <v>3190</v>
      </c>
      <c r="K4476" s="93">
        <v>2.0</v>
      </c>
      <c r="L4476" s="112" t="s">
        <v>114</v>
      </c>
      <c r="M4476" s="113">
        <v>50000.0</v>
      </c>
      <c r="N4476" s="74"/>
      <c r="O4476" s="87">
        <f t="shared" si="11"/>
        <v>100000</v>
      </c>
      <c r="P4476" s="102" t="str">
        <f t="shared" si="2"/>
        <v>Rp50,000-2 PAK-0.00%</v>
      </c>
      <c r="Q4476" s="92">
        <v>45428.0</v>
      </c>
      <c r="R4476" s="76"/>
      <c r="S4476" s="92">
        <v>45433.0</v>
      </c>
      <c r="T4476" s="49"/>
      <c r="V4476" s="21" t="s">
        <v>3842</v>
      </c>
    </row>
    <row r="4477">
      <c r="A4477" s="93">
        <v>135.0</v>
      </c>
      <c r="B4477" s="77" t="s">
        <v>65</v>
      </c>
      <c r="C4477" s="77" t="s">
        <v>3838</v>
      </c>
      <c r="D4477" s="91"/>
      <c r="E4477" s="41" t="str">
        <f>IFERROR(__xludf.DUMMYFUNCTION("IFNA(vlookup(D4477,IMPORTRANGE(""https://docs.google.com/spreadsheets/d/1swGwZOEqYlTEUCJLY-eeJM1911Kvaei5oySBIxdgtNo/edit?pli=1#gid=257618397"",""stock untanna!B:C""),2,false),V:V)"),"STANDART BK V TECH NO 7")</f>
        <v>STANDART BK V TECH NO 7</v>
      </c>
      <c r="F4477" s="49"/>
      <c r="G4477" s="71"/>
      <c r="H4477" s="41"/>
      <c r="I4477" s="42"/>
      <c r="J4477" s="85" t="s">
        <v>1319</v>
      </c>
      <c r="K4477" s="93">
        <v>1.0</v>
      </c>
      <c r="L4477" s="112" t="s">
        <v>62</v>
      </c>
      <c r="M4477" s="113">
        <v>180000.0</v>
      </c>
      <c r="N4477" s="74"/>
      <c r="O4477" s="87">
        <f t="shared" si="11"/>
        <v>180000</v>
      </c>
      <c r="P4477" s="102" t="str">
        <f t="shared" si="2"/>
        <v>Rp180,000-1 LSN-0.00%</v>
      </c>
      <c r="Q4477" s="92">
        <v>45428.0</v>
      </c>
      <c r="R4477" s="76"/>
      <c r="S4477" s="92">
        <v>45433.0</v>
      </c>
      <c r="T4477" s="77" t="s">
        <v>280</v>
      </c>
      <c r="V4477" s="21" t="s">
        <v>663</v>
      </c>
    </row>
    <row r="4478">
      <c r="A4478" s="93">
        <v>136.0</v>
      </c>
      <c r="B4478" s="77" t="s">
        <v>65</v>
      </c>
      <c r="C4478" s="77" t="s">
        <v>3838</v>
      </c>
      <c r="D4478" s="91"/>
      <c r="E4478" s="41" t="str">
        <f>IFERROR(__xludf.DUMMYFUNCTION("IFNA(vlookup(D4478,IMPORTRANGE(""https://docs.google.com/spreadsheets/d/1swGwZOEqYlTEUCJLY-eeJM1911Kvaei5oySBIxdgtNo/edit?pli=1#gid=257618397"",""stock untanna!B:C""),2,false),V:V)"),"BENSIA 915")</f>
        <v>BENSIA 915</v>
      </c>
      <c r="F4478" s="49"/>
      <c r="G4478" s="71"/>
      <c r="H4478" s="41"/>
      <c r="I4478" s="42"/>
      <c r="J4478" s="85" t="s">
        <v>3190</v>
      </c>
      <c r="K4478" s="93">
        <v>48.0</v>
      </c>
      <c r="L4478" s="112" t="s">
        <v>69</v>
      </c>
      <c r="M4478" s="113">
        <v>2000.0</v>
      </c>
      <c r="N4478" s="74"/>
      <c r="O4478" s="87">
        <f t="shared" si="11"/>
        <v>96000</v>
      </c>
      <c r="P4478" s="102" t="str">
        <f t="shared" si="2"/>
        <v>Rp2,000-48 PCS-0.00%</v>
      </c>
      <c r="Q4478" s="92">
        <v>45428.0</v>
      </c>
      <c r="R4478" s="76"/>
      <c r="S4478" s="92">
        <v>45433.0</v>
      </c>
      <c r="T4478" s="49"/>
      <c r="V4478" s="21" t="s">
        <v>3843</v>
      </c>
    </row>
    <row r="4479">
      <c r="A4479" s="93">
        <v>136.0</v>
      </c>
      <c r="B4479" s="77" t="s">
        <v>65</v>
      </c>
      <c r="C4479" s="77" t="s">
        <v>3838</v>
      </c>
      <c r="D4479" s="91"/>
      <c r="E4479" s="41" t="str">
        <f>IFERROR(__xludf.DUMMYFUNCTION("IFNA(vlookup(D4479,IMPORTRANGE(""https://docs.google.com/spreadsheets/d/1swGwZOEqYlTEUCJLY-eeJM1911Kvaei5oySBIxdgtNo/edit?pli=1#gid=257618397"",""stock untanna!B:C""),2,false),V:V)"),"BENSIA 917")</f>
        <v>BENSIA 917</v>
      </c>
      <c r="F4479" s="49"/>
      <c r="G4479" s="71"/>
      <c r="H4479" s="41"/>
      <c r="I4479" s="42"/>
      <c r="J4479" s="85" t="s">
        <v>3190</v>
      </c>
      <c r="K4479" s="93">
        <v>48.0</v>
      </c>
      <c r="L4479" s="112" t="s">
        <v>69</v>
      </c>
      <c r="M4479" s="113">
        <v>2000.0</v>
      </c>
      <c r="N4479" s="74"/>
      <c r="O4479" s="87">
        <f t="shared" si="11"/>
        <v>96000</v>
      </c>
      <c r="P4479" s="102" t="str">
        <f t="shared" si="2"/>
        <v>Rp2,000-48 PCS-0.00%</v>
      </c>
      <c r="Q4479" s="92">
        <v>45428.0</v>
      </c>
      <c r="R4479" s="76"/>
      <c r="S4479" s="92">
        <v>45433.0</v>
      </c>
      <c r="T4479" s="49"/>
      <c r="V4479" s="21" t="s">
        <v>445</v>
      </c>
    </row>
    <row r="4480">
      <c r="A4480" s="93">
        <v>136.0</v>
      </c>
      <c r="B4480" s="77" t="s">
        <v>65</v>
      </c>
      <c r="C4480" s="77" t="s">
        <v>3838</v>
      </c>
      <c r="D4480" s="91"/>
      <c r="E4480" s="41" t="str">
        <f>IFERROR(__xludf.DUMMYFUNCTION("IFNA(vlookup(D4480,IMPORTRANGE(""https://docs.google.com/spreadsheets/d/1swGwZOEqYlTEUCJLY-eeJM1911Kvaei5oySBIxdgtNo/edit?pli=1#gid=257618397"",""stock untanna!B:C""),2,false),V:V)"),"BENSIA 921")</f>
        <v>BENSIA 921</v>
      </c>
      <c r="F4480" s="49"/>
      <c r="G4480" s="71"/>
      <c r="H4480" s="41"/>
      <c r="I4480" s="42"/>
      <c r="J4480" s="85" t="s">
        <v>3190</v>
      </c>
      <c r="K4480" s="93">
        <v>48.0</v>
      </c>
      <c r="L4480" s="112" t="s">
        <v>69</v>
      </c>
      <c r="M4480" s="113">
        <v>2000.0</v>
      </c>
      <c r="N4480" s="74"/>
      <c r="O4480" s="87">
        <f t="shared" si="11"/>
        <v>96000</v>
      </c>
      <c r="P4480" s="102" t="str">
        <f t="shared" si="2"/>
        <v>Rp2,000-48 PCS-0.00%</v>
      </c>
      <c r="Q4480" s="92">
        <v>45428.0</v>
      </c>
      <c r="R4480" s="76"/>
      <c r="S4480" s="92">
        <v>45433.0</v>
      </c>
      <c r="T4480" s="49"/>
      <c r="V4480" s="21" t="s">
        <v>1617</v>
      </c>
    </row>
    <row r="4481">
      <c r="A4481" s="93">
        <v>136.0</v>
      </c>
      <c r="B4481" s="77" t="s">
        <v>65</v>
      </c>
      <c r="C4481" s="77" t="s">
        <v>3838</v>
      </c>
      <c r="D4481" s="91"/>
      <c r="E4481" s="41" t="str">
        <f>IFERROR(__xludf.DUMMYFUNCTION("IFNA(vlookup(D4481,IMPORTRANGE(""https://docs.google.com/spreadsheets/d/1swGwZOEqYlTEUCJLY-eeJM1911Kvaei5oySBIxdgtNo/edit?pli=1#gid=257618397"",""stock untanna!B:C""),2,false),V:V)"),"BENSIA 923")</f>
        <v>BENSIA 923</v>
      </c>
      <c r="F4481" s="49"/>
      <c r="G4481" s="71"/>
      <c r="H4481" s="41"/>
      <c r="I4481" s="42"/>
      <c r="J4481" s="85" t="s">
        <v>3190</v>
      </c>
      <c r="K4481" s="93">
        <v>48.0</v>
      </c>
      <c r="L4481" s="112" t="s">
        <v>69</v>
      </c>
      <c r="M4481" s="113">
        <v>2000.0</v>
      </c>
      <c r="N4481" s="74"/>
      <c r="O4481" s="87">
        <f t="shared" si="11"/>
        <v>96000</v>
      </c>
      <c r="P4481" s="102" t="str">
        <f t="shared" si="2"/>
        <v>Rp2,000-48 PCS-0.00%</v>
      </c>
      <c r="Q4481" s="92">
        <v>45428.0</v>
      </c>
      <c r="R4481" s="76"/>
      <c r="S4481" s="92">
        <v>45433.0</v>
      </c>
      <c r="T4481" s="49"/>
      <c r="V4481" s="21" t="s">
        <v>3119</v>
      </c>
    </row>
    <row r="4482">
      <c r="A4482" s="93">
        <v>136.0</v>
      </c>
      <c r="B4482" s="77" t="s">
        <v>65</v>
      </c>
      <c r="C4482" s="77" t="s">
        <v>3838</v>
      </c>
      <c r="D4482" s="91"/>
      <c r="E4482" s="41" t="str">
        <f>IFERROR(__xludf.DUMMYFUNCTION("IFNA(vlookup(D4482,IMPORTRANGE(""https://docs.google.com/spreadsheets/d/1swGwZOEqYlTEUCJLY-eeJM1911Kvaei5oySBIxdgtNo/edit?pli=1#gid=257618397"",""stock untanna!B:C""),2,false),V:V)"),"BENSIA 711")</f>
        <v>BENSIA 711</v>
      </c>
      <c r="F4482" s="49"/>
      <c r="G4482" s="71"/>
      <c r="H4482" s="41"/>
      <c r="I4482" s="42"/>
      <c r="J4482" s="85" t="s">
        <v>3190</v>
      </c>
      <c r="K4482" s="93">
        <v>48.0</v>
      </c>
      <c r="L4482" s="112" t="s">
        <v>69</v>
      </c>
      <c r="M4482" s="113">
        <v>2000.0</v>
      </c>
      <c r="N4482" s="74"/>
      <c r="O4482" s="87">
        <f t="shared" si="11"/>
        <v>96000</v>
      </c>
      <c r="P4482" s="102" t="str">
        <f t="shared" si="2"/>
        <v>Rp2,000-48 PCS-0.00%</v>
      </c>
      <c r="Q4482" s="92">
        <v>45428.0</v>
      </c>
      <c r="R4482" s="76"/>
      <c r="S4482" s="92">
        <v>45433.0</v>
      </c>
      <c r="T4482" s="49"/>
      <c r="V4482" s="21" t="s">
        <v>439</v>
      </c>
    </row>
    <row r="4483">
      <c r="A4483" s="93">
        <v>136.0</v>
      </c>
      <c r="B4483" s="77" t="s">
        <v>65</v>
      </c>
      <c r="C4483" s="77" t="s">
        <v>3838</v>
      </c>
      <c r="D4483" s="77" t="s">
        <v>2392</v>
      </c>
      <c r="E4483" s="41" t="str">
        <f>IFERROR(__xludf.DUMMYFUNCTION("IFNA(vlookup(D4483,IMPORTRANGE(""https://docs.google.com/spreadsheets/d/1swGwZOEqYlTEUCJLY-eeJM1911Kvaei5oySBIxdgtNo/edit?pli=1#gid=257618397"",""stock untanna!B:C""),2,false),V:V)"),"NOTEBOOK 70100-2")</f>
        <v>NOTEBOOK 70100-2</v>
      </c>
      <c r="F4483" s="49"/>
      <c r="G4483" s="71"/>
      <c r="H4483" s="41"/>
      <c r="I4483" s="42"/>
      <c r="J4483" s="85" t="s">
        <v>1319</v>
      </c>
      <c r="K4483" s="93">
        <v>1.0</v>
      </c>
      <c r="L4483" s="112" t="s">
        <v>62</v>
      </c>
      <c r="M4483" s="113">
        <v>57500.0</v>
      </c>
      <c r="N4483" s="74"/>
      <c r="O4483" s="87">
        <f t="shared" si="11"/>
        <v>57500</v>
      </c>
      <c r="P4483" s="102" t="str">
        <f t="shared" si="2"/>
        <v>Rp57,500-1 LSN-0.00%</v>
      </c>
      <c r="Q4483" s="92">
        <v>45428.0</v>
      </c>
      <c r="R4483" s="76"/>
      <c r="S4483" s="92">
        <v>45433.0</v>
      </c>
      <c r="T4483" s="49"/>
      <c r="V4483" s="21" t="s">
        <v>2393</v>
      </c>
    </row>
    <row r="4484">
      <c r="A4484" s="93">
        <v>136.0</v>
      </c>
      <c r="B4484" s="77" t="s">
        <v>65</v>
      </c>
      <c r="C4484" s="77" t="s">
        <v>3838</v>
      </c>
      <c r="D4484" s="77" t="s">
        <v>1804</v>
      </c>
      <c r="E4484" s="41" t="str">
        <f>IFERROR(__xludf.DUMMYFUNCTION("IFNA(vlookup(D4484,IMPORTRANGE(""https://docs.google.com/spreadsheets/d/1swGwZOEqYlTEUCJLY-eeJM1911Kvaei5oySBIxdgtNo/edit?pli=1#gid=257618397"",""stock untanna!B:C""),2,false),V:V)"),"NOTEBOOK 7050-20")</f>
        <v>NOTEBOOK 7050-20</v>
      </c>
      <c r="F4484" s="49"/>
      <c r="G4484" s="71"/>
      <c r="H4484" s="41"/>
      <c r="I4484" s="42"/>
      <c r="J4484" s="85" t="s">
        <v>1319</v>
      </c>
      <c r="K4484" s="93">
        <v>12.0</v>
      </c>
      <c r="L4484" s="112" t="s">
        <v>69</v>
      </c>
      <c r="M4484" s="113">
        <v>7500.0</v>
      </c>
      <c r="N4484" s="74"/>
      <c r="O4484" s="87">
        <f t="shared" si="11"/>
        <v>90000</v>
      </c>
      <c r="P4484" s="102" t="str">
        <f t="shared" si="2"/>
        <v>Rp7,500-12 PCS-0.00%</v>
      </c>
      <c r="Q4484" s="92">
        <v>45428.0</v>
      </c>
      <c r="R4484" s="76"/>
      <c r="S4484" s="92">
        <v>45433.0</v>
      </c>
      <c r="T4484" s="49"/>
      <c r="V4484" s="21" t="s">
        <v>1805</v>
      </c>
    </row>
    <row r="4485">
      <c r="A4485" s="93">
        <v>136.0</v>
      </c>
      <c r="B4485" s="77" t="s">
        <v>65</v>
      </c>
      <c r="C4485" s="77" t="s">
        <v>3838</v>
      </c>
      <c r="D4485" s="77" t="s">
        <v>187</v>
      </c>
      <c r="E4485" s="41" t="str">
        <f>IFERROR(__xludf.DUMMYFUNCTION("IFNA(vlookup(D4485,IMPORTRANGE(""https://docs.google.com/spreadsheets/d/1swGwZOEqYlTEUCJLY-eeJM1911Kvaei5oySBIxdgtNo/edit?pli=1#gid=257618397"",""stock untanna!B:C""),2,false),V:V)"),"NOTEBOOK SPIRAL 28850-61")</f>
        <v>NOTEBOOK SPIRAL 28850-61</v>
      </c>
      <c r="F4485" s="49"/>
      <c r="G4485" s="71"/>
      <c r="H4485" s="41"/>
      <c r="I4485" s="42"/>
      <c r="J4485" s="85" t="s">
        <v>1319</v>
      </c>
      <c r="K4485" s="93">
        <v>1.0</v>
      </c>
      <c r="L4485" s="112" t="s">
        <v>62</v>
      </c>
      <c r="M4485" s="113">
        <v>85000.0</v>
      </c>
      <c r="N4485" s="74"/>
      <c r="O4485" s="87">
        <f t="shared" si="11"/>
        <v>85000</v>
      </c>
      <c r="P4485" s="102" t="str">
        <f t="shared" si="2"/>
        <v>Rp85,000-1 LSN-0.00%</v>
      </c>
      <c r="Q4485" s="92">
        <v>45428.0</v>
      </c>
      <c r="R4485" s="76"/>
      <c r="S4485" s="92">
        <v>45433.0</v>
      </c>
      <c r="T4485" s="49"/>
      <c r="V4485" s="21" t="s">
        <v>188</v>
      </c>
    </row>
    <row r="4486">
      <c r="A4486" s="93">
        <v>136.0</v>
      </c>
      <c r="B4486" s="77" t="s">
        <v>65</v>
      </c>
      <c r="C4486" s="77" t="s">
        <v>3838</v>
      </c>
      <c r="D4486" s="77" t="s">
        <v>3844</v>
      </c>
      <c r="E4486" s="41" t="str">
        <f>IFERROR(__xludf.DUMMYFUNCTION("IFNA(vlookup(D4486,IMPORTRANGE(""https://docs.google.com/spreadsheets/d/1swGwZOEqYlTEUCJLY-eeJM1911Kvaei5oySBIxdgtNo/edit?pli=1#gid=257618397"",""stock untanna!B:C""),2,false),V:V)"),"NOTEBOOK 50100-67")</f>
        <v>NOTEBOOK 50100-67</v>
      </c>
      <c r="F4486" s="49"/>
      <c r="G4486" s="71"/>
      <c r="H4486" s="41"/>
      <c r="I4486" s="42"/>
      <c r="J4486" s="85" t="s">
        <v>1319</v>
      </c>
      <c r="K4486" s="93">
        <v>1.0</v>
      </c>
      <c r="L4486" s="112" t="s">
        <v>62</v>
      </c>
      <c r="M4486" s="113">
        <v>85000.0</v>
      </c>
      <c r="N4486" s="74"/>
      <c r="O4486" s="87">
        <f t="shared" si="11"/>
        <v>85000</v>
      </c>
      <c r="P4486" s="102" t="str">
        <f t="shared" si="2"/>
        <v>Rp85,000-1 LSN-0.00%</v>
      </c>
      <c r="Q4486" s="92">
        <v>45428.0</v>
      </c>
      <c r="R4486" s="76"/>
      <c r="S4486" s="92">
        <v>45433.0</v>
      </c>
      <c r="T4486" s="49"/>
      <c r="V4486" s="21" t="s">
        <v>3845</v>
      </c>
    </row>
    <row r="4487">
      <c r="A4487" s="93">
        <v>136.0</v>
      </c>
      <c r="B4487" s="77" t="s">
        <v>65</v>
      </c>
      <c r="C4487" s="77" t="s">
        <v>3838</v>
      </c>
      <c r="D4487" s="77" t="s">
        <v>908</v>
      </c>
      <c r="E4487" s="41" t="str">
        <f>IFERROR(__xludf.DUMMYFUNCTION("IFNA(vlookup(D4487,IMPORTRANGE(""https://docs.google.com/spreadsheets/d/1swGwZOEqYlTEUCJLY-eeJM1911Kvaei5oySBIxdgtNo/edit?pli=1#gid=257618397"",""stock untanna!B:C""),2,false),V:V)"),"NOTEBOOK SPIRAL 28850-67")</f>
        <v>NOTEBOOK SPIRAL 28850-67</v>
      </c>
      <c r="F4487" s="49"/>
      <c r="G4487" s="71"/>
      <c r="H4487" s="41"/>
      <c r="I4487" s="42"/>
      <c r="J4487" s="85" t="s">
        <v>1319</v>
      </c>
      <c r="K4487" s="93">
        <v>1.0</v>
      </c>
      <c r="L4487" s="112" t="s">
        <v>62</v>
      </c>
      <c r="M4487" s="113">
        <v>85000.0</v>
      </c>
      <c r="N4487" s="74"/>
      <c r="O4487" s="87">
        <f t="shared" si="11"/>
        <v>85000</v>
      </c>
      <c r="P4487" s="102" t="str">
        <f t="shared" si="2"/>
        <v>Rp85,000-1 LSN-0.00%</v>
      </c>
      <c r="Q4487" s="92">
        <v>45428.0</v>
      </c>
      <c r="R4487" s="76"/>
      <c r="S4487" s="92">
        <v>45433.0</v>
      </c>
      <c r="T4487" s="49"/>
      <c r="V4487" s="21" t="s">
        <v>909</v>
      </c>
    </row>
    <row r="4488">
      <c r="A4488" s="93">
        <v>4469.0</v>
      </c>
      <c r="B4488" s="77" t="s">
        <v>58</v>
      </c>
      <c r="C4488" s="77" t="s">
        <v>2001</v>
      </c>
      <c r="D4488" s="91"/>
      <c r="E4488" s="41" t="str">
        <f>IFERROR(__xludf.DUMMYFUNCTION("IFNA(vlookup(D4488,IMPORTRANGE(""https://docs.google.com/spreadsheets/d/1swGwZOEqYlTEUCJLY-eeJM1911Kvaei5oySBIxdgtNo/edit?pli=1#gid=257618397"",""stock untanna!B:C""),2,false),V:V)"),"P CASE REST SH 08")</f>
        <v>P CASE REST SH 08</v>
      </c>
      <c r="F4488" s="49"/>
      <c r="G4488" s="71"/>
      <c r="H4488" s="41"/>
      <c r="I4488" s="42"/>
      <c r="J4488" s="85" t="s">
        <v>3190</v>
      </c>
      <c r="K4488" s="93">
        <v>1.0</v>
      </c>
      <c r="L4488" s="112" t="s">
        <v>62</v>
      </c>
      <c r="M4488" s="113">
        <v>162000.0</v>
      </c>
      <c r="N4488" s="74"/>
      <c r="O4488" s="87">
        <f t="shared" si="11"/>
        <v>162000</v>
      </c>
      <c r="P4488" s="102" t="str">
        <f t="shared" si="2"/>
        <v>Rp162,000-1 LSN-0.00%</v>
      </c>
      <c r="Q4488" s="92">
        <v>45428.0</v>
      </c>
      <c r="R4488" s="76"/>
      <c r="S4488" s="92">
        <v>45433.0</v>
      </c>
      <c r="T4488" s="49"/>
      <c r="V4488" s="21" t="s">
        <v>3846</v>
      </c>
    </row>
    <row r="4489">
      <c r="A4489" s="93">
        <v>4469.0</v>
      </c>
      <c r="B4489" s="77" t="s">
        <v>58</v>
      </c>
      <c r="C4489" s="77" t="s">
        <v>2001</v>
      </c>
      <c r="D4489" s="77" t="s">
        <v>1052</v>
      </c>
      <c r="E4489" s="41" t="str">
        <f>IFERROR(__xludf.DUMMYFUNCTION("IFNA(vlookup(D4489,IMPORTRANGE(""https://docs.google.com/spreadsheets/d/1swGwZOEqYlTEUCJLY-eeJM1911Kvaei5oySBIxdgtNo/edit?pli=1#gid=257618397"",""stock untanna!B:C""),2,false),V:V)"),"PENSIL CASE SH-8604")</f>
        <v>PENSIL CASE SH-8604</v>
      </c>
      <c r="F4489" s="49"/>
      <c r="G4489" s="71"/>
      <c r="H4489" s="41"/>
      <c r="I4489" s="42"/>
      <c r="J4489" s="85" t="s">
        <v>1319</v>
      </c>
      <c r="K4489" s="93">
        <v>6.0</v>
      </c>
      <c r="L4489" s="112" t="s">
        <v>69</v>
      </c>
      <c r="M4489" s="113">
        <v>29166.7</v>
      </c>
      <c r="N4489" s="74"/>
      <c r="O4489" s="87">
        <f t="shared" si="11"/>
        <v>175000.2</v>
      </c>
      <c r="P4489" s="102" t="str">
        <f t="shared" si="2"/>
        <v>Rp29,167-6 PCS-0.00%</v>
      </c>
      <c r="Q4489" s="92">
        <v>45428.0</v>
      </c>
      <c r="R4489" s="76"/>
      <c r="S4489" s="92">
        <v>45433.0</v>
      </c>
      <c r="T4489" s="49"/>
      <c r="V4489" s="21" t="s">
        <v>1053</v>
      </c>
    </row>
    <row r="4490">
      <c r="A4490" s="93">
        <v>4469.0</v>
      </c>
      <c r="B4490" s="77" t="s">
        <v>58</v>
      </c>
      <c r="C4490" s="77" t="s">
        <v>2001</v>
      </c>
      <c r="D4490" s="91"/>
      <c r="E4490" s="41" t="str">
        <f>IFERROR(__xludf.DUMMYFUNCTION("IFNA(vlookup(D4490,IMPORTRANGE(""https://docs.google.com/spreadsheets/d/1swGwZOEqYlTEUCJLY-eeJM1911Kvaei5oySBIxdgtNo/edit?pli=1#gid=257618397"",""stock untanna!B:C""),2,false),V:V)"),"P WARNA KAYAGI 12W 1210")</f>
        <v>P WARNA KAYAGI 12W 1210</v>
      </c>
      <c r="F4490" s="49"/>
      <c r="G4490" s="71"/>
      <c r="H4490" s="41"/>
      <c r="I4490" s="42"/>
      <c r="J4490" s="85" t="s">
        <v>3190</v>
      </c>
      <c r="K4490" s="93">
        <v>0.5</v>
      </c>
      <c r="L4490" s="112" t="s">
        <v>62</v>
      </c>
      <c r="M4490" s="113">
        <v>121500.0</v>
      </c>
      <c r="N4490" s="74"/>
      <c r="O4490" s="87">
        <f t="shared" si="11"/>
        <v>60750</v>
      </c>
      <c r="P4490" s="102" t="str">
        <f t="shared" si="2"/>
        <v>Rp121,500-0.5 LSN-0.00%</v>
      </c>
      <c r="Q4490" s="92">
        <v>45428.0</v>
      </c>
      <c r="R4490" s="76"/>
      <c r="S4490" s="92">
        <v>45433.0</v>
      </c>
      <c r="T4490" s="49"/>
      <c r="V4490" s="21" t="s">
        <v>3847</v>
      </c>
    </row>
    <row r="4491">
      <c r="A4491" s="93">
        <v>4284.0</v>
      </c>
      <c r="B4491" s="77" t="s">
        <v>65</v>
      </c>
      <c r="C4491" s="77" t="s">
        <v>3848</v>
      </c>
      <c r="D4491" s="77" t="s">
        <v>3844</v>
      </c>
      <c r="E4491" s="41" t="str">
        <f>IFERROR(__xludf.DUMMYFUNCTION("IFNA(vlookup(D4491,IMPORTRANGE(""https://docs.google.com/spreadsheets/d/1swGwZOEqYlTEUCJLY-eeJM1911Kvaei5oySBIxdgtNo/edit?pli=1#gid=257618397"",""stock untanna!B:C""),2,false),V:V)"),"NOTEBOOK 50100-67")</f>
        <v>NOTEBOOK 50100-67</v>
      </c>
      <c r="F4491" s="49"/>
      <c r="G4491" s="71"/>
      <c r="H4491" s="41"/>
      <c r="I4491" s="42"/>
      <c r="J4491" s="85" t="s">
        <v>1319</v>
      </c>
      <c r="K4491" s="93">
        <v>1.0</v>
      </c>
      <c r="L4491" s="112" t="s">
        <v>62</v>
      </c>
      <c r="M4491" s="113">
        <v>85000.0</v>
      </c>
      <c r="N4491" s="74"/>
      <c r="O4491" s="87">
        <f t="shared" si="11"/>
        <v>85000</v>
      </c>
      <c r="P4491" s="102" t="str">
        <f t="shared" si="2"/>
        <v>Rp85,000-1 LSN-0.00%</v>
      </c>
      <c r="Q4491" s="92">
        <v>45428.0</v>
      </c>
      <c r="R4491" s="76"/>
      <c r="S4491" s="92">
        <v>45433.0</v>
      </c>
      <c r="T4491" s="49"/>
      <c r="V4491" s="21" t="s">
        <v>3845</v>
      </c>
    </row>
    <row r="4492">
      <c r="A4492" s="93">
        <v>4284.0</v>
      </c>
      <c r="B4492" s="77" t="s">
        <v>65</v>
      </c>
      <c r="C4492" s="77" t="s">
        <v>3848</v>
      </c>
      <c r="D4492" s="77" t="s">
        <v>1899</v>
      </c>
      <c r="E4492" s="41" t="str">
        <f>IFERROR(__xludf.DUMMYFUNCTION("IFNA(vlookup(D4492,IMPORTRANGE(""https://docs.google.com/spreadsheets/d/1swGwZOEqYlTEUCJLY-eeJM1911Kvaei5oySBIxdgtNo/edit?pli=1#gid=257618397"",""stock untanna!B:C""),2,false),V:V)"),"NOTEBOOK 28850-62")</f>
        <v>NOTEBOOK 28850-62</v>
      </c>
      <c r="F4492" s="49"/>
      <c r="G4492" s="71"/>
      <c r="H4492" s="41"/>
      <c r="I4492" s="42"/>
      <c r="J4492" s="85" t="s">
        <v>1319</v>
      </c>
      <c r="K4492" s="93">
        <v>1.0</v>
      </c>
      <c r="L4492" s="112" t="s">
        <v>62</v>
      </c>
      <c r="M4492" s="113">
        <v>85000.0</v>
      </c>
      <c r="N4492" s="74"/>
      <c r="O4492" s="87">
        <f t="shared" si="11"/>
        <v>85000</v>
      </c>
      <c r="P4492" s="102" t="str">
        <f t="shared" si="2"/>
        <v>Rp85,000-1 LSN-0.00%</v>
      </c>
      <c r="Q4492" s="92">
        <v>45428.0</v>
      </c>
      <c r="R4492" s="76"/>
      <c r="S4492" s="92">
        <v>45433.0</v>
      </c>
      <c r="T4492" s="49"/>
      <c r="V4492" s="21" t="s">
        <v>1900</v>
      </c>
    </row>
    <row r="4493">
      <c r="A4493" s="93">
        <v>4284.0</v>
      </c>
      <c r="B4493" s="77" t="s">
        <v>65</v>
      </c>
      <c r="C4493" s="77" t="s">
        <v>3848</v>
      </c>
      <c r="D4493" s="77" t="s">
        <v>187</v>
      </c>
      <c r="E4493" s="41" t="str">
        <f>IFERROR(__xludf.DUMMYFUNCTION("IFNA(vlookup(D4493,IMPORTRANGE(""https://docs.google.com/spreadsheets/d/1swGwZOEqYlTEUCJLY-eeJM1911Kvaei5oySBIxdgtNo/edit?pli=1#gid=257618397"",""stock untanna!B:C""),2,false),V:V)"),"NOTEBOOK SPIRAL 28850-61")</f>
        <v>NOTEBOOK SPIRAL 28850-61</v>
      </c>
      <c r="F4493" s="49"/>
      <c r="G4493" s="71"/>
      <c r="H4493" s="41"/>
      <c r="I4493" s="42"/>
      <c r="J4493" s="85" t="s">
        <v>1319</v>
      </c>
      <c r="K4493" s="93">
        <v>2.0</v>
      </c>
      <c r="L4493" s="112" t="s">
        <v>62</v>
      </c>
      <c r="M4493" s="113">
        <v>85000.0</v>
      </c>
      <c r="N4493" s="74"/>
      <c r="O4493" s="87">
        <f t="shared" si="11"/>
        <v>170000</v>
      </c>
      <c r="P4493" s="102" t="str">
        <f t="shared" si="2"/>
        <v>Rp85,000-2 LSN-0.00%</v>
      </c>
      <c r="Q4493" s="92">
        <v>45428.0</v>
      </c>
      <c r="R4493" s="76"/>
      <c r="S4493" s="92">
        <v>45433.0</v>
      </c>
      <c r="T4493" s="49"/>
      <c r="V4493" s="21" t="s">
        <v>188</v>
      </c>
    </row>
    <row r="4494">
      <c r="A4494" s="93">
        <v>4284.0</v>
      </c>
      <c r="B4494" s="77" t="s">
        <v>65</v>
      </c>
      <c r="C4494" s="77" t="s">
        <v>3848</v>
      </c>
      <c r="D4494" s="77" t="s">
        <v>1368</v>
      </c>
      <c r="E4494" s="41" t="str">
        <f>IFERROR(__xludf.DUMMYFUNCTION("IFNA(vlookup(D4494,IMPORTRANGE(""https://docs.google.com/spreadsheets/d/1swGwZOEqYlTEUCJLY-eeJM1911Kvaei5oySBIxdgtNo/edit?pli=1#gid=257618397"",""stock untanna!B:C""),2,false),V:V)"),"NOTEBOOK SPIRAL 28850-68")</f>
        <v>NOTEBOOK SPIRAL 28850-68</v>
      </c>
      <c r="F4494" s="49"/>
      <c r="G4494" s="71"/>
      <c r="H4494" s="41"/>
      <c r="I4494" s="42"/>
      <c r="J4494" s="85" t="s">
        <v>1319</v>
      </c>
      <c r="K4494" s="93">
        <v>2.0</v>
      </c>
      <c r="L4494" s="112" t="s">
        <v>62</v>
      </c>
      <c r="M4494" s="113">
        <v>85000.0</v>
      </c>
      <c r="N4494" s="74"/>
      <c r="O4494" s="87">
        <f t="shared" si="11"/>
        <v>170000</v>
      </c>
      <c r="P4494" s="102" t="str">
        <f t="shared" si="2"/>
        <v>Rp85,000-2 LSN-0.00%</v>
      </c>
      <c r="Q4494" s="92">
        <v>45428.0</v>
      </c>
      <c r="R4494" s="76"/>
      <c r="S4494" s="92">
        <v>45433.0</v>
      </c>
      <c r="T4494" s="49"/>
      <c r="V4494" s="21" t="s">
        <v>1369</v>
      </c>
    </row>
    <row r="4495">
      <c r="A4495" s="93">
        <v>4284.0</v>
      </c>
      <c r="B4495" s="77" t="s">
        <v>65</v>
      </c>
      <c r="C4495" s="77" t="s">
        <v>3848</v>
      </c>
      <c r="D4495" s="91"/>
      <c r="E4495" s="41" t="str">
        <f>IFERROR(__xludf.DUMMYFUNCTION("IFNA(vlookup(D4495,IMPORTRANGE(""https://docs.google.com/spreadsheets/d/1swGwZOEqYlTEUCJLY-eeJM1911Kvaei5oySBIxdgtNo/edit?pli=1#gid=257618397"",""stock untanna!B:C""),2,false),V:V)"),"NOTEBOOK 25100-64")</f>
        <v>NOTEBOOK 25100-64</v>
      </c>
      <c r="F4495" s="49"/>
      <c r="G4495" s="71"/>
      <c r="H4495" s="41"/>
      <c r="I4495" s="42"/>
      <c r="J4495" s="85" t="s">
        <v>1319</v>
      </c>
      <c r="K4495" s="93">
        <v>0.5</v>
      </c>
      <c r="L4495" s="112" t="s">
        <v>62</v>
      </c>
      <c r="M4495" s="113">
        <v>144000.0</v>
      </c>
      <c r="N4495" s="74"/>
      <c r="O4495" s="87">
        <f t="shared" si="11"/>
        <v>72000</v>
      </c>
      <c r="P4495" s="102" t="str">
        <f t="shared" si="2"/>
        <v>Rp144,000-0.5 LSN-0.00%</v>
      </c>
      <c r="Q4495" s="92">
        <v>45428.0</v>
      </c>
      <c r="R4495" s="76"/>
      <c r="S4495" s="92">
        <v>45433.0</v>
      </c>
      <c r="T4495" s="77" t="s">
        <v>280</v>
      </c>
      <c r="V4495" s="21" t="s">
        <v>2792</v>
      </c>
    </row>
    <row r="4496">
      <c r="A4496" s="93">
        <v>4284.0</v>
      </c>
      <c r="B4496" s="77" t="s">
        <v>65</v>
      </c>
      <c r="C4496" s="77" t="s">
        <v>3848</v>
      </c>
      <c r="D4496" s="91"/>
      <c r="E4496" s="41" t="str">
        <f>IFERROR(__xludf.DUMMYFUNCTION("IFNA(vlookup(D4496,IMPORTRANGE(""https://docs.google.com/spreadsheets/d/1swGwZOEqYlTEUCJLY-eeJM1911Kvaei5oySBIxdgtNo/edit?pli=1#gid=257618397"",""stock untanna!B:C""),2,false),V:V)"),"NOTEBOOK 25100-60")</f>
        <v>NOTEBOOK 25100-60</v>
      </c>
      <c r="F4496" s="49"/>
      <c r="G4496" s="71"/>
      <c r="H4496" s="41"/>
      <c r="I4496" s="42"/>
      <c r="J4496" s="85" t="s">
        <v>1319</v>
      </c>
      <c r="K4496" s="93">
        <v>0.5</v>
      </c>
      <c r="L4496" s="112" t="s">
        <v>62</v>
      </c>
      <c r="M4496" s="113">
        <v>144000.0</v>
      </c>
      <c r="N4496" s="74"/>
      <c r="O4496" s="87">
        <f t="shared" si="11"/>
        <v>72000</v>
      </c>
      <c r="P4496" s="102" t="str">
        <f t="shared" si="2"/>
        <v>Rp144,000-0.5 LSN-0.00%</v>
      </c>
      <c r="Q4496" s="92">
        <v>45428.0</v>
      </c>
      <c r="R4496" s="76"/>
      <c r="S4496" s="92">
        <v>45433.0</v>
      </c>
      <c r="T4496" s="77" t="s">
        <v>280</v>
      </c>
      <c r="V4496" s="21" t="s">
        <v>3849</v>
      </c>
    </row>
    <row r="4497">
      <c r="A4497" s="93">
        <v>4284.0</v>
      </c>
      <c r="B4497" s="77" t="s">
        <v>65</v>
      </c>
      <c r="C4497" s="77" t="s">
        <v>3848</v>
      </c>
      <c r="D4497" s="77" t="s">
        <v>3850</v>
      </c>
      <c r="E4497" s="41" t="str">
        <f>IFERROR(__xludf.DUMMYFUNCTION("IFNA(vlookup(D4497,IMPORTRANGE(""https://docs.google.com/spreadsheets/d/1swGwZOEqYlTEUCJLY-eeJM1911Kvaei5oySBIxdgtNo/edit?pli=1#gid=257618397"",""stock untanna!B:C""),2,false),V:V)"),"NOTEBOOK SPIRAL 28825-67")</f>
        <v>NOTEBOOK SPIRAL 28825-67</v>
      </c>
      <c r="F4497" s="49"/>
      <c r="G4497" s="71"/>
      <c r="H4497" s="41"/>
      <c r="I4497" s="42"/>
      <c r="J4497" s="85" t="s">
        <v>1319</v>
      </c>
      <c r="K4497" s="93">
        <v>6.0</v>
      </c>
      <c r="L4497" s="112" t="s">
        <v>69</v>
      </c>
      <c r="M4497" s="113">
        <v>12000.0</v>
      </c>
      <c r="N4497" s="74"/>
      <c r="O4497" s="87">
        <f t="shared" si="11"/>
        <v>72000</v>
      </c>
      <c r="P4497" s="102" t="str">
        <f t="shared" si="2"/>
        <v>Rp12,000-6 PCS-0.00%</v>
      </c>
      <c r="Q4497" s="92">
        <v>45428.0</v>
      </c>
      <c r="R4497" s="76"/>
      <c r="S4497" s="92">
        <v>45433.0</v>
      </c>
      <c r="T4497" s="49"/>
      <c r="V4497" s="21" t="s">
        <v>3851</v>
      </c>
    </row>
    <row r="4498">
      <c r="A4498" s="93">
        <v>4284.0</v>
      </c>
      <c r="B4498" s="77" t="s">
        <v>65</v>
      </c>
      <c r="C4498" s="77" t="s">
        <v>3848</v>
      </c>
      <c r="D4498" s="77" t="s">
        <v>913</v>
      </c>
      <c r="E4498" s="41" t="str">
        <f>IFERROR(__xludf.DUMMYFUNCTION("IFNA(vlookup(D4498,IMPORTRANGE(""https://docs.google.com/spreadsheets/d/1swGwZOEqYlTEUCJLY-eeJM1911Kvaei5oySBIxdgtNo/edit?pli=1#gid=257618397"",""stock untanna!B:C""),2,false),V:V)"),"NOTEBOOK 28825-62")</f>
        <v>NOTEBOOK 28825-62</v>
      </c>
      <c r="F4498" s="49"/>
      <c r="G4498" s="71"/>
      <c r="H4498" s="41"/>
      <c r="I4498" s="42"/>
      <c r="J4498" s="85" t="s">
        <v>1319</v>
      </c>
      <c r="K4498" s="93">
        <v>6.0</v>
      </c>
      <c r="L4498" s="112" t="s">
        <v>69</v>
      </c>
      <c r="M4498" s="113">
        <v>12000.0</v>
      </c>
      <c r="N4498" s="74"/>
      <c r="O4498" s="87">
        <f t="shared" si="11"/>
        <v>72000</v>
      </c>
      <c r="P4498" s="102" t="str">
        <f t="shared" si="2"/>
        <v>Rp12,000-6 PCS-0.00%</v>
      </c>
      <c r="Q4498" s="92">
        <v>45428.0</v>
      </c>
      <c r="R4498" s="76"/>
      <c r="S4498" s="92">
        <v>45433.0</v>
      </c>
      <c r="T4498" s="49"/>
      <c r="V4498" s="21" t="s">
        <v>914</v>
      </c>
    </row>
    <row r="4499">
      <c r="A4499" s="93">
        <v>4284.0</v>
      </c>
      <c r="B4499" s="77" t="s">
        <v>65</v>
      </c>
      <c r="C4499" s="77" t="s">
        <v>3848</v>
      </c>
      <c r="D4499" s="77" t="s">
        <v>913</v>
      </c>
      <c r="E4499" s="41" t="str">
        <f>IFERROR(__xludf.DUMMYFUNCTION("IFNA(vlookup(D4499,IMPORTRANGE(""https://docs.google.com/spreadsheets/d/1swGwZOEqYlTEUCJLY-eeJM1911Kvaei5oySBIxdgtNo/edit?pli=1#gid=257618397"",""stock untanna!B:C""),2,false),V:V)"),"NOTEBOOK 28825-62")</f>
        <v>NOTEBOOK 28825-62</v>
      </c>
      <c r="F4499" s="49"/>
      <c r="G4499" s="71"/>
      <c r="H4499" s="41"/>
      <c r="I4499" s="42"/>
      <c r="J4499" s="85" t="s">
        <v>1319</v>
      </c>
      <c r="K4499" s="93">
        <v>6.0</v>
      </c>
      <c r="L4499" s="112" t="s">
        <v>69</v>
      </c>
      <c r="M4499" s="113">
        <v>12000.0</v>
      </c>
      <c r="N4499" s="74"/>
      <c r="O4499" s="87">
        <f t="shared" si="11"/>
        <v>72000</v>
      </c>
      <c r="P4499" s="102" t="str">
        <f t="shared" si="2"/>
        <v>Rp12,000-6 PCS-0.00%</v>
      </c>
      <c r="Q4499" s="92">
        <v>45428.0</v>
      </c>
      <c r="R4499" s="76"/>
      <c r="S4499" s="92">
        <v>45433.0</v>
      </c>
      <c r="T4499" s="49"/>
      <c r="V4499" s="21" t="s">
        <v>914</v>
      </c>
    </row>
    <row r="4500">
      <c r="A4500" s="93">
        <v>4284.0</v>
      </c>
      <c r="B4500" s="77" t="s">
        <v>65</v>
      </c>
      <c r="C4500" s="77" t="s">
        <v>3848</v>
      </c>
      <c r="D4500" s="77" t="s">
        <v>911</v>
      </c>
      <c r="E4500" s="41" t="str">
        <f>IFERROR(__xludf.DUMMYFUNCTION("IFNA(vlookup(D4500,IMPORTRANGE(""https://docs.google.com/spreadsheets/d/1swGwZOEqYlTEUCJLY-eeJM1911Kvaei5oySBIxdgtNo/edit?pli=1#gid=257618397"",""stock untanna!B:C""),2,false),V:V)"),"NOTEBOOK SPIRAL 25100-67")</f>
        <v>NOTEBOOK SPIRAL 25100-67</v>
      </c>
      <c r="F4500" s="49"/>
      <c r="G4500" s="71"/>
      <c r="H4500" s="41"/>
      <c r="I4500" s="42"/>
      <c r="J4500" s="85" t="s">
        <v>1319</v>
      </c>
      <c r="K4500" s="93">
        <v>6.0</v>
      </c>
      <c r="L4500" s="112" t="s">
        <v>69</v>
      </c>
      <c r="M4500" s="113">
        <v>12000.0</v>
      </c>
      <c r="N4500" s="74"/>
      <c r="O4500" s="87">
        <f t="shared" si="11"/>
        <v>72000</v>
      </c>
      <c r="P4500" s="102" t="str">
        <f t="shared" si="2"/>
        <v>Rp12,000-6 PCS-0.00%</v>
      </c>
      <c r="Q4500" s="92">
        <v>45428.0</v>
      </c>
      <c r="R4500" s="76"/>
      <c r="S4500" s="92">
        <v>45433.0</v>
      </c>
      <c r="T4500" s="49"/>
      <c r="V4500" s="21" t="s">
        <v>912</v>
      </c>
    </row>
    <row r="4501">
      <c r="A4501" s="93">
        <v>4284.0</v>
      </c>
      <c r="B4501" s="77" t="s">
        <v>65</v>
      </c>
      <c r="C4501" s="77" t="s">
        <v>3848</v>
      </c>
      <c r="D4501" s="77" t="s">
        <v>2788</v>
      </c>
      <c r="E4501" s="41" t="str">
        <f>IFERROR(__xludf.DUMMYFUNCTION("IFNA(vlookup(D4501,IMPORTRANGE(""https://docs.google.com/spreadsheets/d/1swGwZOEqYlTEUCJLY-eeJM1911Kvaei5oySBIxdgtNo/edit?pli=1#gid=257618397"",""stock untanna!B:C""),2,false),V:V)"),"NOTEBOOK 25100-62")</f>
        <v>NOTEBOOK 25100-62</v>
      </c>
      <c r="F4501" s="49"/>
      <c r="G4501" s="71"/>
      <c r="H4501" s="41"/>
      <c r="I4501" s="42"/>
      <c r="J4501" s="85" t="s">
        <v>1319</v>
      </c>
      <c r="K4501" s="93">
        <v>6.0</v>
      </c>
      <c r="L4501" s="112" t="s">
        <v>69</v>
      </c>
      <c r="M4501" s="113">
        <v>12000.0</v>
      </c>
      <c r="N4501" s="74"/>
      <c r="O4501" s="87">
        <f t="shared" si="11"/>
        <v>72000</v>
      </c>
      <c r="P4501" s="102" t="str">
        <f t="shared" si="2"/>
        <v>Rp12,000-6 PCS-0.00%</v>
      </c>
      <c r="Q4501" s="92">
        <v>45428.0</v>
      </c>
      <c r="R4501" s="76"/>
      <c r="S4501" s="92">
        <v>45433.0</v>
      </c>
      <c r="T4501" s="49"/>
      <c r="V4501" s="21" t="s">
        <v>2789</v>
      </c>
    </row>
    <row r="4502">
      <c r="A4502" s="93">
        <v>4284.0</v>
      </c>
      <c r="B4502" s="77" t="s">
        <v>65</v>
      </c>
      <c r="C4502" s="77" t="s">
        <v>3848</v>
      </c>
      <c r="D4502" s="77" t="s">
        <v>1512</v>
      </c>
      <c r="E4502" s="41" t="str">
        <f>IFERROR(__xludf.DUMMYFUNCTION("IFNA(vlookup(D4502,IMPORTRANGE(""https://docs.google.com/spreadsheets/d/1swGwZOEqYlTEUCJLY-eeJM1911Kvaei5oySBIxdgtNo/edit?pli=1#gid=257618397"",""stock untanna!B:C""),2,false),V:V)"),"NOTEBOOK 25100-71")</f>
        <v>NOTEBOOK 25100-71</v>
      </c>
      <c r="F4502" s="49"/>
      <c r="G4502" s="71"/>
      <c r="H4502" s="41"/>
      <c r="I4502" s="42"/>
      <c r="J4502" s="85" t="s">
        <v>1319</v>
      </c>
      <c r="K4502" s="93">
        <v>6.0</v>
      </c>
      <c r="L4502" s="112" t="s">
        <v>69</v>
      </c>
      <c r="M4502" s="113">
        <v>12000.0</v>
      </c>
      <c r="N4502" s="74"/>
      <c r="O4502" s="87">
        <f t="shared" si="11"/>
        <v>72000</v>
      </c>
      <c r="P4502" s="102" t="str">
        <f t="shared" si="2"/>
        <v>Rp12,000-6 PCS-0.00%</v>
      </c>
      <c r="Q4502" s="92">
        <v>45428.0</v>
      </c>
      <c r="R4502" s="76"/>
      <c r="S4502" s="92">
        <v>45433.0</v>
      </c>
      <c r="T4502" s="49"/>
      <c r="V4502" s="21" t="s">
        <v>1513</v>
      </c>
    </row>
    <row r="4503">
      <c r="A4503" s="93">
        <v>4284.0</v>
      </c>
      <c r="B4503" s="77" t="s">
        <v>65</v>
      </c>
      <c r="C4503" s="77" t="s">
        <v>3848</v>
      </c>
      <c r="D4503" s="91"/>
      <c r="E4503" s="41" t="str">
        <f>IFERROR(__xludf.DUMMYFUNCTION("IFNA(vlookup(D4503,IMPORTRANGE(""https://docs.google.com/spreadsheets/d/1swGwZOEqYlTEUCJLY-eeJM1911Kvaei5oySBIxdgtNo/edit?pli=1#gid=257618397"",""stock untanna!B:C""),2,false),V:V)"),"NOTEBOOK 25100-68")</f>
        <v>NOTEBOOK 25100-68</v>
      </c>
      <c r="F4503" s="49"/>
      <c r="G4503" s="71"/>
      <c r="H4503" s="41"/>
      <c r="I4503" s="42"/>
      <c r="J4503" s="85" t="s">
        <v>1319</v>
      </c>
      <c r="K4503" s="93">
        <v>0.5</v>
      </c>
      <c r="L4503" s="112" t="s">
        <v>62</v>
      </c>
      <c r="M4503" s="113">
        <v>144000.0</v>
      </c>
      <c r="N4503" s="74"/>
      <c r="O4503" s="87">
        <f t="shared" si="11"/>
        <v>72000</v>
      </c>
      <c r="P4503" s="102" t="str">
        <f t="shared" si="2"/>
        <v>Rp144,000-0.5 LSN-0.00%</v>
      </c>
      <c r="Q4503" s="92">
        <v>45428.0</v>
      </c>
      <c r="R4503" s="76"/>
      <c r="S4503" s="92">
        <v>45433.0</v>
      </c>
      <c r="T4503" s="77" t="s">
        <v>280</v>
      </c>
      <c r="V4503" s="21" t="s">
        <v>3852</v>
      </c>
    </row>
    <row r="4504">
      <c r="A4504" s="93">
        <v>4284.0</v>
      </c>
      <c r="B4504" s="77" t="s">
        <v>65</v>
      </c>
      <c r="C4504" s="77" t="s">
        <v>3848</v>
      </c>
      <c r="D4504" s="77" t="s">
        <v>2790</v>
      </c>
      <c r="E4504" s="41" t="str">
        <f>IFERROR(__xludf.DUMMYFUNCTION("IFNA(vlookup(D4504,IMPORTRANGE(""https://docs.google.com/spreadsheets/d/1swGwZOEqYlTEUCJLY-eeJM1911Kvaei5oySBIxdgtNo/edit?pli=1#gid=257618397"",""stock untanna!B:C""),2,false),V:V)"),"NOTEBOOK 28825-63")</f>
        <v>NOTEBOOK 28825-63</v>
      </c>
      <c r="F4504" s="49"/>
      <c r="G4504" s="71"/>
      <c r="H4504" s="41"/>
      <c r="I4504" s="42"/>
      <c r="J4504" s="85" t="s">
        <v>1319</v>
      </c>
      <c r="K4504" s="93">
        <v>6.0</v>
      </c>
      <c r="L4504" s="112" t="s">
        <v>69</v>
      </c>
      <c r="M4504" s="113">
        <v>12000.0</v>
      </c>
      <c r="N4504" s="74"/>
      <c r="O4504" s="87">
        <f t="shared" si="11"/>
        <v>72000</v>
      </c>
      <c r="P4504" s="102" t="str">
        <f t="shared" si="2"/>
        <v>Rp12,000-6 PCS-0.00%</v>
      </c>
      <c r="Q4504" s="92">
        <v>45428.0</v>
      </c>
      <c r="R4504" s="76"/>
      <c r="S4504" s="92">
        <v>45433.0</v>
      </c>
      <c r="T4504" s="49"/>
      <c r="V4504" s="21" t="s">
        <v>2791</v>
      </c>
    </row>
    <row r="4505">
      <c r="A4505" s="93">
        <v>4284.0</v>
      </c>
      <c r="B4505" s="77" t="s">
        <v>65</v>
      </c>
      <c r="C4505" s="77" t="s">
        <v>3848</v>
      </c>
      <c r="D4505" s="77" t="s">
        <v>1502</v>
      </c>
      <c r="E4505" s="41" t="str">
        <f>IFERROR(__xludf.DUMMYFUNCTION("IFNA(vlookup(D4505,IMPORTRANGE(""https://docs.google.com/spreadsheets/d/1swGwZOEqYlTEUCJLY-eeJM1911Kvaei5oySBIxdgtNo/edit?pli=1#gid=257618397"",""stock untanna!B:C""),2,false),V:V)"),"NOTEBOOK SPIRAL 28825-61 A5")</f>
        <v>NOTEBOOK SPIRAL 28825-61 A5</v>
      </c>
      <c r="F4505" s="49"/>
      <c r="G4505" s="71"/>
      <c r="H4505" s="41"/>
      <c r="I4505" s="42"/>
      <c r="J4505" s="85" t="s">
        <v>1319</v>
      </c>
      <c r="K4505" s="93">
        <v>12.0</v>
      </c>
      <c r="L4505" s="112" t="s">
        <v>69</v>
      </c>
      <c r="M4505" s="113">
        <v>12000.0</v>
      </c>
      <c r="N4505" s="74"/>
      <c r="O4505" s="87">
        <f t="shared" si="11"/>
        <v>144000</v>
      </c>
      <c r="P4505" s="102" t="str">
        <f t="shared" si="2"/>
        <v>Rp12,000-12 PCS-0.00%</v>
      </c>
      <c r="Q4505" s="92">
        <v>45428.0</v>
      </c>
      <c r="R4505" s="76"/>
      <c r="S4505" s="92">
        <v>45433.0</v>
      </c>
      <c r="T4505" s="49"/>
      <c r="V4505" s="21" t="s">
        <v>1503</v>
      </c>
    </row>
    <row r="4506">
      <c r="A4506" s="93">
        <v>4284.0</v>
      </c>
      <c r="B4506" s="77" t="s">
        <v>65</v>
      </c>
      <c r="C4506" s="77" t="s">
        <v>3848</v>
      </c>
      <c r="D4506" s="91"/>
      <c r="E4506" s="41" t="str">
        <f>IFERROR(__xludf.DUMMYFUNCTION("IFNA(vlookup(D4506,IMPORTRANGE(""https://docs.google.com/spreadsheets/d/1swGwZOEqYlTEUCJLY-eeJM1911Kvaei5oySBIxdgtNo/edit?pli=1#gid=257618397"",""stock untanna!B:C""),2,false),V:V)"),"N BOOK A5 60 404")</f>
        <v>N BOOK A5 60 404</v>
      </c>
      <c r="F4506" s="49"/>
      <c r="G4506" s="71"/>
      <c r="H4506" s="41"/>
      <c r="I4506" s="42"/>
      <c r="J4506" s="85" t="s">
        <v>3190</v>
      </c>
      <c r="K4506" s="93">
        <v>1.0</v>
      </c>
      <c r="L4506" s="112" t="s">
        <v>62</v>
      </c>
      <c r="M4506" s="113">
        <v>90000.0</v>
      </c>
      <c r="N4506" s="74"/>
      <c r="O4506" s="87">
        <f t="shared" si="11"/>
        <v>90000</v>
      </c>
      <c r="P4506" s="102" t="str">
        <f t="shared" si="2"/>
        <v>Rp90,000-1 LSN-0.00%</v>
      </c>
      <c r="Q4506" s="92">
        <v>45428.0</v>
      </c>
      <c r="R4506" s="76"/>
      <c r="S4506" s="92">
        <v>45433.0</v>
      </c>
      <c r="T4506" s="49"/>
      <c r="V4506" s="21" t="s">
        <v>3853</v>
      </c>
    </row>
    <row r="4507">
      <c r="A4507" s="93">
        <v>4285.0</v>
      </c>
      <c r="B4507" s="77" t="s">
        <v>65</v>
      </c>
      <c r="C4507" s="77" t="s">
        <v>3848</v>
      </c>
      <c r="D4507" s="77" t="s">
        <v>925</v>
      </c>
      <c r="E4507" s="41" t="str">
        <f>IFERROR(__xludf.DUMMYFUNCTION("IFNA(vlookup(D4507,IMPORTRANGE(""https://docs.google.com/spreadsheets/d/1swGwZOEqYlTEUCJLY-eeJM1911Kvaei5oySBIxdgtNo/edit?pli=1#gid=257618397"",""stock untanna!B:C""),2,false),V:V)"),"NOTEBOOK 18100-61")</f>
        <v>NOTEBOOK 18100-61</v>
      </c>
      <c r="F4507" s="49"/>
      <c r="G4507" s="71"/>
      <c r="H4507" s="41"/>
      <c r="I4507" s="42"/>
      <c r="J4507" s="85" t="s">
        <v>1319</v>
      </c>
      <c r="K4507" s="93">
        <v>0.5</v>
      </c>
      <c r="L4507" s="112" t="s">
        <v>62</v>
      </c>
      <c r="M4507" s="113">
        <v>198000.0</v>
      </c>
      <c r="N4507" s="74"/>
      <c r="O4507" s="87">
        <f t="shared" si="11"/>
        <v>99000</v>
      </c>
      <c r="P4507" s="102" t="str">
        <f t="shared" si="2"/>
        <v>Rp198,000-0.5 LSN-0.00%</v>
      </c>
      <c r="Q4507" s="92">
        <v>45428.0</v>
      </c>
      <c r="R4507" s="76"/>
      <c r="S4507" s="92">
        <v>45433.0</v>
      </c>
      <c r="T4507" s="49"/>
      <c r="V4507" s="21" t="s">
        <v>926</v>
      </c>
    </row>
    <row r="4508">
      <c r="A4508" s="93">
        <v>4285.0</v>
      </c>
      <c r="B4508" s="77" t="s">
        <v>65</v>
      </c>
      <c r="C4508" s="77" t="s">
        <v>3848</v>
      </c>
      <c r="D4508" s="91"/>
      <c r="E4508" s="41" t="str">
        <f>IFERROR(__xludf.DUMMYFUNCTION("IFNA(vlookup(D4508,IMPORTRANGE(""https://docs.google.com/spreadsheets/d/1swGwZOEqYlTEUCJLY-eeJM1911Kvaei5oySBIxdgtNo/edit?pli=1#gid=257618397"",""stock untanna!B:C""),2,false),V:V)"),"NOTEBOOK 18100-59")</f>
        <v>NOTEBOOK 18100-59</v>
      </c>
      <c r="F4508" s="49"/>
      <c r="G4508" s="71"/>
      <c r="H4508" s="41"/>
      <c r="I4508" s="42"/>
      <c r="J4508" s="85" t="s">
        <v>1319</v>
      </c>
      <c r="K4508" s="93">
        <v>0.5</v>
      </c>
      <c r="L4508" s="112" t="s">
        <v>62</v>
      </c>
      <c r="M4508" s="113">
        <v>198000.0</v>
      </c>
      <c r="N4508" s="74"/>
      <c r="O4508" s="87">
        <f t="shared" si="11"/>
        <v>99000</v>
      </c>
      <c r="P4508" s="102" t="str">
        <f t="shared" si="2"/>
        <v>Rp198,000-0.5 LSN-0.00%</v>
      </c>
      <c r="Q4508" s="92">
        <v>45428.0</v>
      </c>
      <c r="R4508" s="76"/>
      <c r="S4508" s="92">
        <v>45433.0</v>
      </c>
      <c r="T4508" s="77" t="s">
        <v>280</v>
      </c>
      <c r="V4508" s="21" t="s">
        <v>3854</v>
      </c>
    </row>
    <row r="4509">
      <c r="A4509" s="93">
        <v>4285.0</v>
      </c>
      <c r="B4509" s="77" t="s">
        <v>65</v>
      </c>
      <c r="C4509" s="77" t="s">
        <v>3848</v>
      </c>
      <c r="D4509" s="91"/>
      <c r="E4509" s="41" t="str">
        <f>IFERROR(__xludf.DUMMYFUNCTION("IFNA(vlookup(D4509,IMPORTRANGE(""https://docs.google.com/spreadsheets/d/1swGwZOEqYlTEUCJLY-eeJM1911Kvaei5oySBIxdgtNo/edit?pli=1#gid=257618397"",""stock untanna!B:C""),2,false),V:V)"),"NOTEBOOK 18100-52")</f>
        <v>NOTEBOOK 18100-52</v>
      </c>
      <c r="F4509" s="49"/>
      <c r="G4509" s="71"/>
      <c r="H4509" s="41"/>
      <c r="I4509" s="42"/>
      <c r="J4509" s="85" t="s">
        <v>1319</v>
      </c>
      <c r="K4509" s="93">
        <v>0.5</v>
      </c>
      <c r="L4509" s="112" t="s">
        <v>62</v>
      </c>
      <c r="M4509" s="113">
        <v>198000.0</v>
      </c>
      <c r="N4509" s="74"/>
      <c r="O4509" s="87">
        <f t="shared" si="11"/>
        <v>99000</v>
      </c>
      <c r="P4509" s="102" t="str">
        <f t="shared" si="2"/>
        <v>Rp198,000-0.5 LSN-0.00%</v>
      </c>
      <c r="Q4509" s="92">
        <v>45428.0</v>
      </c>
      <c r="R4509" s="76"/>
      <c r="S4509" s="92">
        <v>45433.0</v>
      </c>
      <c r="T4509" s="77" t="s">
        <v>280</v>
      </c>
      <c r="V4509" s="21" t="s">
        <v>2799</v>
      </c>
    </row>
    <row r="4510">
      <c r="A4510" s="93">
        <v>4285.0</v>
      </c>
      <c r="B4510" s="77" t="s">
        <v>65</v>
      </c>
      <c r="C4510" s="77" t="s">
        <v>3848</v>
      </c>
      <c r="D4510" s="91"/>
      <c r="E4510" s="41" t="str">
        <f>IFERROR(__xludf.DUMMYFUNCTION("IFNA(vlookup(D4510,IMPORTRANGE(""https://docs.google.com/spreadsheets/d/1swGwZOEqYlTEUCJLY-eeJM1911Kvaei5oySBIxdgtNo/edit?pli=1#gid=257618397"",""stock untanna!B:C""),2,false),V:V)"),"NOTEBOOK 18100-68")</f>
        <v>NOTEBOOK 18100-68</v>
      </c>
      <c r="F4510" s="49"/>
      <c r="G4510" s="71"/>
      <c r="H4510" s="41"/>
      <c r="I4510" s="42"/>
      <c r="J4510" s="85" t="s">
        <v>1319</v>
      </c>
      <c r="K4510" s="93">
        <v>0.5</v>
      </c>
      <c r="L4510" s="112" t="s">
        <v>62</v>
      </c>
      <c r="M4510" s="113">
        <v>198000.0</v>
      </c>
      <c r="N4510" s="74"/>
      <c r="O4510" s="87">
        <f t="shared" si="11"/>
        <v>99000</v>
      </c>
      <c r="P4510" s="102" t="str">
        <f t="shared" si="2"/>
        <v>Rp198,000-0.5 LSN-0.00%</v>
      </c>
      <c r="Q4510" s="92">
        <v>45428.0</v>
      </c>
      <c r="R4510" s="76"/>
      <c r="S4510" s="92">
        <v>45433.0</v>
      </c>
      <c r="T4510" s="77" t="s">
        <v>280</v>
      </c>
      <c r="V4510" s="21" t="s">
        <v>3855</v>
      </c>
    </row>
    <row r="4511">
      <c r="A4511" s="93">
        <v>4285.0</v>
      </c>
      <c r="B4511" s="77" t="s">
        <v>65</v>
      </c>
      <c r="C4511" s="77" t="s">
        <v>3848</v>
      </c>
      <c r="D4511" s="77" t="s">
        <v>1897</v>
      </c>
      <c r="E4511" s="41" t="str">
        <f>IFERROR(__xludf.DUMMYFUNCTION("IFNA(vlookup(D4511,IMPORTRANGE(""https://docs.google.com/spreadsheets/d/1swGwZOEqYlTEUCJLY-eeJM1911Kvaei5oySBIxdgtNo/edit?pli=1#gid=257618397"",""stock untanna!B:C""),2,false),V:V)"),"NOTEBOOK 18100-67")</f>
        <v>NOTEBOOK 18100-67</v>
      </c>
      <c r="F4511" s="49"/>
      <c r="G4511" s="71"/>
      <c r="H4511" s="41"/>
      <c r="I4511" s="42"/>
      <c r="J4511" s="85" t="s">
        <v>1319</v>
      </c>
      <c r="K4511" s="93">
        <v>6.0</v>
      </c>
      <c r="L4511" s="112" t="s">
        <v>69</v>
      </c>
      <c r="M4511" s="113">
        <v>16500.0</v>
      </c>
      <c r="N4511" s="74"/>
      <c r="O4511" s="87">
        <f t="shared" si="11"/>
        <v>99000</v>
      </c>
      <c r="P4511" s="102" t="str">
        <f t="shared" si="2"/>
        <v>Rp16,500-6 PCS-0.00%</v>
      </c>
      <c r="Q4511" s="92">
        <v>45428.0</v>
      </c>
      <c r="R4511" s="76"/>
      <c r="S4511" s="92">
        <v>45433.0</v>
      </c>
      <c r="T4511" s="49"/>
      <c r="V4511" s="21" t="s">
        <v>1898</v>
      </c>
    </row>
    <row r="4512">
      <c r="A4512" s="93">
        <v>4285.0</v>
      </c>
      <c r="B4512" s="77" t="s">
        <v>65</v>
      </c>
      <c r="C4512" s="77" t="s">
        <v>3848</v>
      </c>
      <c r="D4512" s="77" t="s">
        <v>181</v>
      </c>
      <c r="E4512" s="41" t="str">
        <f>IFERROR(__xludf.DUMMYFUNCTION("IFNA(vlookup(D4512,IMPORTRANGE(""https://docs.google.com/spreadsheets/d/1swGwZOEqYlTEUCJLY-eeJM1911Kvaei5oySBIxdgtNo/edit?pli=1#gid=257618397"",""stock untanna!B:C""),2,false),V:V)"),"NOTEBOOK 18100-62")</f>
        <v>NOTEBOOK 18100-62</v>
      </c>
      <c r="F4512" s="49"/>
      <c r="G4512" s="71"/>
      <c r="H4512" s="41"/>
      <c r="I4512" s="42"/>
      <c r="J4512" s="85" t="s">
        <v>1319</v>
      </c>
      <c r="K4512" s="93">
        <v>0.5</v>
      </c>
      <c r="L4512" s="112" t="s">
        <v>62</v>
      </c>
      <c r="M4512" s="113">
        <v>198000.0</v>
      </c>
      <c r="N4512" s="74"/>
      <c r="O4512" s="87">
        <f t="shared" si="11"/>
        <v>99000</v>
      </c>
      <c r="P4512" s="102" t="str">
        <f t="shared" si="2"/>
        <v>Rp198,000-0.5 LSN-0.00%</v>
      </c>
      <c r="Q4512" s="92">
        <v>45428.0</v>
      </c>
      <c r="R4512" s="76"/>
      <c r="S4512" s="92">
        <v>45433.0</v>
      </c>
      <c r="T4512" s="49"/>
      <c r="V4512" s="21" t="s">
        <v>182</v>
      </c>
    </row>
    <row r="4513">
      <c r="A4513" s="93">
        <v>4285.0</v>
      </c>
      <c r="B4513" s="77" t="s">
        <v>65</v>
      </c>
      <c r="C4513" s="77" t="s">
        <v>3848</v>
      </c>
      <c r="D4513" s="91"/>
      <c r="E4513" s="41" t="str">
        <f>IFERROR(__xludf.DUMMYFUNCTION("IFNA(vlookup(D4513,IMPORTRANGE(""https://docs.google.com/spreadsheets/d/1swGwZOEqYlTEUCJLY-eeJM1911Kvaei5oySBIxdgtNo/edit?pli=1#gid=257618397"",""stock untanna!B:C""),2,false),V:V)"),"NOTEBOOK 18100-72")</f>
        <v>NOTEBOOK 18100-72</v>
      </c>
      <c r="F4513" s="49"/>
      <c r="G4513" s="71"/>
      <c r="H4513" s="41"/>
      <c r="I4513" s="42"/>
      <c r="J4513" s="85" t="s">
        <v>1319</v>
      </c>
      <c r="K4513" s="93">
        <v>0.5</v>
      </c>
      <c r="L4513" s="112" t="s">
        <v>62</v>
      </c>
      <c r="M4513" s="113">
        <v>198000.0</v>
      </c>
      <c r="N4513" s="74"/>
      <c r="O4513" s="87">
        <f t="shared" si="11"/>
        <v>99000</v>
      </c>
      <c r="P4513" s="102" t="str">
        <f t="shared" si="2"/>
        <v>Rp198,000-0.5 LSN-0.00%</v>
      </c>
      <c r="Q4513" s="92">
        <v>45428.0</v>
      </c>
      <c r="R4513" s="76"/>
      <c r="S4513" s="92">
        <v>45433.0</v>
      </c>
      <c r="T4513" s="77" t="s">
        <v>280</v>
      </c>
      <c r="V4513" s="21" t="s">
        <v>3856</v>
      </c>
    </row>
    <row r="4514">
      <c r="A4514" s="93">
        <v>4285.0</v>
      </c>
      <c r="B4514" s="77" t="s">
        <v>65</v>
      </c>
      <c r="C4514" s="77" t="s">
        <v>3848</v>
      </c>
      <c r="D4514" s="77" t="s">
        <v>1804</v>
      </c>
      <c r="E4514" s="41" t="str">
        <f>IFERROR(__xludf.DUMMYFUNCTION("IFNA(vlookup(D4514,IMPORTRANGE(""https://docs.google.com/spreadsheets/d/1swGwZOEqYlTEUCJLY-eeJM1911Kvaei5oySBIxdgtNo/edit?pli=1#gid=257618397"",""stock untanna!B:C""),2,false),V:V)"),"NOTEBOOK 7050-20")</f>
        <v>NOTEBOOK 7050-20</v>
      </c>
      <c r="F4514" s="49"/>
      <c r="G4514" s="71"/>
      <c r="H4514" s="41"/>
      <c r="I4514" s="42"/>
      <c r="J4514" s="85" t="s">
        <v>1319</v>
      </c>
      <c r="K4514" s="93">
        <v>12.0</v>
      </c>
      <c r="L4514" s="112" t="s">
        <v>69</v>
      </c>
      <c r="M4514" s="113">
        <v>7500.0</v>
      </c>
      <c r="N4514" s="74"/>
      <c r="O4514" s="87">
        <f t="shared" si="11"/>
        <v>90000</v>
      </c>
      <c r="P4514" s="102" t="str">
        <f t="shared" si="2"/>
        <v>Rp7,500-12 PCS-0.00%</v>
      </c>
      <c r="Q4514" s="92">
        <v>45428.0</v>
      </c>
      <c r="R4514" s="76"/>
      <c r="S4514" s="92">
        <v>45433.0</v>
      </c>
      <c r="T4514" s="49"/>
      <c r="V4514" s="21" t="s">
        <v>1805</v>
      </c>
    </row>
    <row r="4515">
      <c r="A4515" s="93">
        <v>4285.0</v>
      </c>
      <c r="B4515" s="77" t="s">
        <v>65</v>
      </c>
      <c r="C4515" s="77" t="s">
        <v>3848</v>
      </c>
      <c r="D4515" s="77" t="s">
        <v>1780</v>
      </c>
      <c r="E4515" s="41" t="str">
        <f>IFERROR(__xludf.DUMMYFUNCTION("IFNA(vlookup(D4515,IMPORTRANGE(""https://docs.google.com/spreadsheets/d/1swGwZOEqYlTEUCJLY-eeJM1911Kvaei5oySBIxdgtNo/edit?pli=1#gid=257618397"",""stock untanna!B:C""),2,false),V:V)"),"NOTEBOOK 7025-18")</f>
        <v>NOTEBOOK 7025-18</v>
      </c>
      <c r="F4515" s="49"/>
      <c r="G4515" s="71"/>
      <c r="H4515" s="41"/>
      <c r="I4515" s="42"/>
      <c r="J4515" s="85" t="s">
        <v>1319</v>
      </c>
      <c r="K4515" s="93">
        <v>0.5</v>
      </c>
      <c r="L4515" s="112" t="s">
        <v>62</v>
      </c>
      <c r="M4515" s="113">
        <v>195000.0</v>
      </c>
      <c r="N4515" s="74"/>
      <c r="O4515" s="87">
        <f t="shared" si="11"/>
        <v>97500</v>
      </c>
      <c r="P4515" s="102" t="str">
        <f t="shared" si="2"/>
        <v>Rp195,000-0.5 LSN-0.00%</v>
      </c>
      <c r="Q4515" s="92">
        <v>45428.0</v>
      </c>
      <c r="R4515" s="76"/>
      <c r="S4515" s="92">
        <v>45433.0</v>
      </c>
      <c r="T4515" s="49"/>
      <c r="V4515" s="21" t="s">
        <v>1781</v>
      </c>
    </row>
    <row r="4516">
      <c r="A4516" s="93">
        <v>4285.0</v>
      </c>
      <c r="B4516" s="77" t="s">
        <v>65</v>
      </c>
      <c r="C4516" s="77" t="s">
        <v>3848</v>
      </c>
      <c r="D4516" s="77" t="s">
        <v>1887</v>
      </c>
      <c r="E4516" s="41" t="str">
        <f>IFERROR(__xludf.DUMMYFUNCTION("IFNA(vlookup(D4516,IMPORTRANGE(""https://docs.google.com/spreadsheets/d/1swGwZOEqYlTEUCJLY-eeJM1911Kvaei5oySBIxdgtNo/edit?pli=1#gid=257618397"",""stock untanna!B:C""),2,false),V:V)"),"NOTEBOOK  707-45")</f>
        <v>NOTEBOOK  707-45</v>
      </c>
      <c r="F4516" s="49"/>
      <c r="G4516" s="71"/>
      <c r="H4516" s="41"/>
      <c r="I4516" s="42"/>
      <c r="J4516" s="85" t="s">
        <v>1319</v>
      </c>
      <c r="K4516" s="93">
        <v>0.5</v>
      </c>
      <c r="L4516" s="112" t="s">
        <v>62</v>
      </c>
      <c r="M4516" s="113">
        <v>210000.0</v>
      </c>
      <c r="N4516" s="74"/>
      <c r="O4516" s="87">
        <f t="shared" si="11"/>
        <v>105000</v>
      </c>
      <c r="P4516" s="102" t="str">
        <f t="shared" si="2"/>
        <v>Rp210,000-0.5 LSN-0.00%</v>
      </c>
      <c r="Q4516" s="92">
        <v>45428.0</v>
      </c>
      <c r="R4516" s="76"/>
      <c r="S4516" s="92">
        <v>45433.0</v>
      </c>
      <c r="T4516" s="49"/>
      <c r="V4516" s="21" t="s">
        <v>1888</v>
      </c>
    </row>
    <row r="4517">
      <c r="A4517" s="93">
        <v>4285.0</v>
      </c>
      <c r="B4517" s="77" t="s">
        <v>65</v>
      </c>
      <c r="C4517" s="77" t="s">
        <v>3848</v>
      </c>
      <c r="D4517" s="77" t="s">
        <v>1374</v>
      </c>
      <c r="E4517" s="41" t="str">
        <f>IFERROR(__xludf.DUMMYFUNCTION("IFNA(vlookup(D4517,IMPORTRANGE(""https://docs.google.com/spreadsheets/d/1swGwZOEqYlTEUCJLY-eeJM1911Kvaei5oySBIxdgtNo/edit?pli=1#gid=257618397"",""stock untanna!B:C""),2,false),V:V)"),"NOTEBOOK  A5-106")</f>
        <v>NOTEBOOK  A5-106</v>
      </c>
      <c r="F4517" s="49"/>
      <c r="G4517" s="71"/>
      <c r="H4517" s="41"/>
      <c r="I4517" s="42"/>
      <c r="J4517" s="85" t="s">
        <v>1319</v>
      </c>
      <c r="K4517" s="93">
        <v>6.0</v>
      </c>
      <c r="L4517" s="112" t="s">
        <v>69</v>
      </c>
      <c r="M4517" s="113">
        <v>17500.0</v>
      </c>
      <c r="N4517" s="74"/>
      <c r="O4517" s="87">
        <f t="shared" si="11"/>
        <v>105000</v>
      </c>
      <c r="P4517" s="102" t="str">
        <f t="shared" si="2"/>
        <v>Rp17,500-6 PCS-0.00%</v>
      </c>
      <c r="Q4517" s="92">
        <v>45428.0</v>
      </c>
      <c r="R4517" s="76"/>
      <c r="S4517" s="92">
        <v>45433.0</v>
      </c>
      <c r="T4517" s="49"/>
      <c r="V4517" s="21" t="s">
        <v>1375</v>
      </c>
    </row>
    <row r="4518">
      <c r="A4518" s="93">
        <v>4285.0</v>
      </c>
      <c r="B4518" s="77" t="s">
        <v>65</v>
      </c>
      <c r="C4518" s="77" t="s">
        <v>3848</v>
      </c>
      <c r="D4518" s="91"/>
      <c r="E4518" s="41" t="str">
        <f>IFERROR(__xludf.DUMMYFUNCTION("IFNA(vlookup(D4518,IMPORTRANGE(""https://docs.google.com/spreadsheets/d/1swGwZOEqYlTEUCJLY-eeJM1911Kvaei5oySBIxdgtNo/edit?pli=1#gid=257618397"",""stock untanna!B:C""),2,false),V:V)"),"AGENDA 25K 35 25")</f>
        <v>AGENDA 25K 35 25</v>
      </c>
      <c r="F4518" s="49"/>
      <c r="G4518" s="71"/>
      <c r="H4518" s="41"/>
      <c r="I4518" s="42"/>
      <c r="J4518" s="85" t="s">
        <v>3190</v>
      </c>
      <c r="K4518" s="93">
        <v>6.0</v>
      </c>
      <c r="L4518" s="112" t="s">
        <v>69</v>
      </c>
      <c r="M4518" s="113">
        <v>22500.0</v>
      </c>
      <c r="N4518" s="74"/>
      <c r="O4518" s="87">
        <f t="shared" si="11"/>
        <v>135000</v>
      </c>
      <c r="P4518" s="102" t="str">
        <f t="shared" si="2"/>
        <v>Rp22,500-6 PCS-0.00%</v>
      </c>
      <c r="Q4518" s="92">
        <v>45428.0</v>
      </c>
      <c r="R4518" s="76"/>
      <c r="S4518" s="92">
        <v>45433.0</v>
      </c>
      <c r="T4518" s="49"/>
      <c r="V4518" s="21" t="s">
        <v>3857</v>
      </c>
    </row>
    <row r="4519">
      <c r="A4519" s="93">
        <v>4285.0</v>
      </c>
      <c r="B4519" s="77" t="s">
        <v>65</v>
      </c>
      <c r="C4519" s="77" t="s">
        <v>3848</v>
      </c>
      <c r="D4519" s="91"/>
      <c r="E4519" s="41" t="str">
        <f>IFERROR(__xludf.DUMMYFUNCTION("IFNA(vlookup(D4519,IMPORTRANGE(""https://docs.google.com/spreadsheets/d/1swGwZOEqYlTEUCJLY-eeJM1911Kvaei5oySBIxdgtNo/edit?pli=1#gid=257618397"",""stock untanna!B:C""),2,false),V:V)"),"AGENDA 50K 35 50")</f>
        <v>AGENDA 50K 35 50</v>
      </c>
      <c r="F4519" s="49"/>
      <c r="G4519" s="71"/>
      <c r="H4519" s="41"/>
      <c r="I4519" s="42"/>
      <c r="J4519" s="85" t="s">
        <v>3190</v>
      </c>
      <c r="K4519" s="93">
        <v>12.0</v>
      </c>
      <c r="L4519" s="112" t="s">
        <v>69</v>
      </c>
      <c r="M4519" s="113">
        <v>12500.0</v>
      </c>
      <c r="N4519" s="74"/>
      <c r="O4519" s="87">
        <f t="shared" si="11"/>
        <v>150000</v>
      </c>
      <c r="P4519" s="102" t="str">
        <f t="shared" si="2"/>
        <v>Rp12,500-12 PCS-0.00%</v>
      </c>
      <c r="Q4519" s="92">
        <v>45428.0</v>
      </c>
      <c r="R4519" s="76"/>
      <c r="S4519" s="92">
        <v>45433.0</v>
      </c>
      <c r="T4519" s="49"/>
      <c r="V4519" s="21" t="s">
        <v>3858</v>
      </c>
    </row>
    <row r="4520">
      <c r="A4520" s="93">
        <v>4285.0</v>
      </c>
      <c r="B4520" s="77" t="s">
        <v>65</v>
      </c>
      <c r="C4520" s="77" t="s">
        <v>3848</v>
      </c>
      <c r="D4520" s="77" t="s">
        <v>2806</v>
      </c>
      <c r="E4520" s="41" t="str">
        <f>IFERROR(__xludf.DUMMYFUNCTION("IFNA(vlookup(D4520,IMPORTRANGE(""https://docs.google.com/spreadsheets/d/1swGwZOEqYlTEUCJLY-eeJM1911Kvaei5oySBIxdgtNo/edit?pli=1#gid=257618397"",""stock untanna!B:C""),2,false),V:V)"),"GARISAN ELASTIS 15CM GR-2301 (WALITO)")</f>
        <v>GARISAN ELASTIS 15CM GR-2301 (WALITO)</v>
      </c>
      <c r="F4520" s="49"/>
      <c r="G4520" s="71"/>
      <c r="H4520" s="41"/>
      <c r="I4520" s="42"/>
      <c r="J4520" s="85" t="s">
        <v>1319</v>
      </c>
      <c r="K4520" s="93">
        <v>1.0</v>
      </c>
      <c r="L4520" s="112" t="s">
        <v>62</v>
      </c>
      <c r="M4520" s="113">
        <v>56400.0</v>
      </c>
      <c r="N4520" s="74"/>
      <c r="O4520" s="87">
        <f t="shared" si="11"/>
        <v>56400</v>
      </c>
      <c r="P4520" s="102" t="str">
        <f t="shared" si="2"/>
        <v>Rp56,400-1 LSN-0.00%</v>
      </c>
      <c r="Q4520" s="92">
        <v>45428.0</v>
      </c>
      <c r="R4520" s="76"/>
      <c r="S4520" s="92">
        <v>45433.0</v>
      </c>
      <c r="T4520" s="49"/>
      <c r="V4520" s="21" t="s">
        <v>2807</v>
      </c>
    </row>
    <row r="4521">
      <c r="A4521" s="93">
        <v>4285.0</v>
      </c>
      <c r="B4521" s="77" t="s">
        <v>65</v>
      </c>
      <c r="C4521" s="77" t="s">
        <v>3848</v>
      </c>
      <c r="D4521" s="91"/>
      <c r="E4521" s="41" t="str">
        <f>IFERROR(__xludf.DUMMYFUNCTION("IFNA(vlookup(D4521,IMPORTRANGE(""https://docs.google.com/spreadsheets/d/1swGwZOEqYlTEUCJLY-eeJM1911Kvaei5oySBIxdgtNo/edit?pli=1#gid=257618397"",""stock untanna!B:C""),2,false),V:V)"),"GARISAN GR 2302")</f>
        <v>GARISAN GR 2302</v>
      </c>
      <c r="F4521" s="49"/>
      <c r="G4521" s="71"/>
      <c r="H4521" s="41"/>
      <c r="I4521" s="42"/>
      <c r="J4521" s="85" t="s">
        <v>3190</v>
      </c>
      <c r="K4521" s="93">
        <v>1.0</v>
      </c>
      <c r="L4521" s="112" t="s">
        <v>62</v>
      </c>
      <c r="M4521" s="113">
        <v>66000.0</v>
      </c>
      <c r="N4521" s="74"/>
      <c r="O4521" s="87">
        <f t="shared" si="11"/>
        <v>66000</v>
      </c>
      <c r="P4521" s="102" t="str">
        <f t="shared" si="2"/>
        <v>Rp66,000-1 LSN-0.00%</v>
      </c>
      <c r="Q4521" s="92">
        <v>45428.0</v>
      </c>
      <c r="R4521" s="76"/>
      <c r="S4521" s="92">
        <v>45433.0</v>
      </c>
      <c r="T4521" s="49"/>
      <c r="V4521" s="21" t="s">
        <v>3642</v>
      </c>
    </row>
    <row r="4522">
      <c r="A4522" s="93">
        <v>4285.0</v>
      </c>
      <c r="B4522" s="77" t="s">
        <v>65</v>
      </c>
      <c r="C4522" s="77" t="s">
        <v>3848</v>
      </c>
      <c r="D4522" s="77" t="s">
        <v>2808</v>
      </c>
      <c r="E4522" s="41" t="str">
        <f>IFERROR(__xludf.DUMMYFUNCTION("IFNA(vlookup(D4522,IMPORTRANGE(""https://docs.google.com/spreadsheets/d/1swGwZOEqYlTEUCJLY-eeJM1911Kvaei5oySBIxdgtNo/edit?pli=1#gid=257618397"",""stock untanna!B:C""),2,false),V:V)"),"GARISAN ELASTIS 30CM GR-2303 (WALITO)")</f>
        <v>GARISAN ELASTIS 30CM GR-2303 (WALITO)</v>
      </c>
      <c r="F4522" s="49"/>
      <c r="G4522" s="71"/>
      <c r="H4522" s="41"/>
      <c r="I4522" s="42"/>
      <c r="J4522" s="85" t="s">
        <v>1319</v>
      </c>
      <c r="K4522" s="93">
        <v>1.0</v>
      </c>
      <c r="L4522" s="112" t="s">
        <v>62</v>
      </c>
      <c r="M4522" s="113">
        <v>81600.0</v>
      </c>
      <c r="N4522" s="74"/>
      <c r="O4522" s="87">
        <f t="shared" si="11"/>
        <v>81600</v>
      </c>
      <c r="P4522" s="102" t="str">
        <f t="shared" si="2"/>
        <v>Rp81,600-1 LSN-0.00%</v>
      </c>
      <c r="Q4522" s="92">
        <v>45428.0</v>
      </c>
      <c r="R4522" s="76"/>
      <c r="S4522" s="92">
        <v>45433.0</v>
      </c>
      <c r="T4522" s="49"/>
      <c r="V4522" s="21" t="s">
        <v>2809</v>
      </c>
    </row>
    <row r="4523">
      <c r="A4523" s="93">
        <v>4286.0</v>
      </c>
      <c r="B4523" s="77" t="s">
        <v>65</v>
      </c>
      <c r="C4523" s="77" t="s">
        <v>3848</v>
      </c>
      <c r="D4523" s="77" t="s">
        <v>757</v>
      </c>
      <c r="E4523" s="41" t="str">
        <f>IFERROR(__xludf.DUMMYFUNCTION("IFNA(vlookup(D4523,IMPORTRANGE(""https://docs.google.com/spreadsheets/d/1swGwZOEqYlTEUCJLY-eeJM1911Kvaei5oySBIxdgtNo/edit?pli=1#gid=257618397"",""stock untanna!B:C""),2,false),V:V)"),"TIPEX MICROTOP MT 737")</f>
        <v>TIPEX MICROTOP MT 737</v>
      </c>
      <c r="F4523" s="49"/>
      <c r="G4523" s="71"/>
      <c r="H4523" s="41"/>
      <c r="I4523" s="42"/>
      <c r="J4523" s="85" t="s">
        <v>1319</v>
      </c>
      <c r="K4523" s="93">
        <v>3.0</v>
      </c>
      <c r="L4523" s="112" t="s">
        <v>62</v>
      </c>
      <c r="M4523" s="113">
        <v>90000.0</v>
      </c>
      <c r="N4523" s="74"/>
      <c r="O4523" s="87">
        <f t="shared" si="11"/>
        <v>270000</v>
      </c>
      <c r="P4523" s="102" t="str">
        <f t="shared" si="2"/>
        <v>Rp90,000-3 LSN-0.00%</v>
      </c>
      <c r="Q4523" s="92">
        <v>45428.0</v>
      </c>
      <c r="R4523" s="76"/>
      <c r="S4523" s="92">
        <v>45433.0</v>
      </c>
      <c r="T4523" s="49"/>
      <c r="V4523" s="21" t="s">
        <v>758</v>
      </c>
    </row>
    <row r="4524">
      <c r="A4524" s="93">
        <v>4286.0</v>
      </c>
      <c r="B4524" s="77" t="s">
        <v>65</v>
      </c>
      <c r="C4524" s="77" t="s">
        <v>3848</v>
      </c>
      <c r="D4524" s="77" t="s">
        <v>1029</v>
      </c>
      <c r="E4524" s="41" t="str">
        <f>IFERROR(__xludf.DUMMYFUNCTION("IFNA(vlookup(D4524,IMPORTRANGE(""https://docs.google.com/spreadsheets/d/1swGwZOEqYlTEUCJLY-eeJM1911Kvaei5oySBIxdgtNo/edit?pli=1#gid=257618397"",""stock untanna!B:C""),2,false),V:V)"),"TIPEX KERTAS NO.5026")</f>
        <v>TIPEX KERTAS NO.5026</v>
      </c>
      <c r="F4524" s="49"/>
      <c r="G4524" s="71"/>
      <c r="H4524" s="41"/>
      <c r="I4524" s="42"/>
      <c r="J4524" s="85" t="s">
        <v>1319</v>
      </c>
      <c r="K4524" s="93">
        <v>1.0</v>
      </c>
      <c r="L4524" s="112" t="s">
        <v>62</v>
      </c>
      <c r="M4524" s="113">
        <v>57500.0</v>
      </c>
      <c r="N4524" s="74"/>
      <c r="O4524" s="87">
        <f t="shared" si="11"/>
        <v>57500</v>
      </c>
      <c r="P4524" s="102" t="str">
        <f t="shared" si="2"/>
        <v>Rp57,500-1 LSN-0.00%</v>
      </c>
      <c r="Q4524" s="92">
        <v>45428.0</v>
      </c>
      <c r="R4524" s="76"/>
      <c r="S4524" s="92">
        <v>45433.0</v>
      </c>
      <c r="T4524" s="49"/>
      <c r="V4524" s="21" t="s">
        <v>1030</v>
      </c>
    </row>
    <row r="4525">
      <c r="A4525" s="93">
        <v>4286.0</v>
      </c>
      <c r="B4525" s="77" t="s">
        <v>65</v>
      </c>
      <c r="C4525" s="77" t="s">
        <v>3848</v>
      </c>
      <c r="D4525" s="77" t="s">
        <v>1043</v>
      </c>
      <c r="E4525" s="41" t="str">
        <f>IFERROR(__xludf.DUMMYFUNCTION("IFNA(vlookup(D4525,IMPORTRANGE(""https://docs.google.com/spreadsheets/d/1swGwZOEqYlTEUCJLY-eeJM1911Kvaei5oySBIxdgtNo/edit?pli=1#gid=257618397"",""stock untanna!B:C""),2,false),V:V)"),"TIPEX KERTAS NO.6080")</f>
        <v>TIPEX KERTAS NO.6080</v>
      </c>
      <c r="F4525" s="49"/>
      <c r="G4525" s="71"/>
      <c r="H4525" s="41"/>
      <c r="I4525" s="42"/>
      <c r="J4525" s="85" t="s">
        <v>1319</v>
      </c>
      <c r="K4525" s="93">
        <v>1.0</v>
      </c>
      <c r="L4525" s="112" t="s">
        <v>62</v>
      </c>
      <c r="M4525" s="113">
        <v>57500.0</v>
      </c>
      <c r="N4525" s="74"/>
      <c r="O4525" s="87">
        <f t="shared" si="11"/>
        <v>57500</v>
      </c>
      <c r="P4525" s="102" t="str">
        <f t="shared" si="2"/>
        <v>Rp57,500-1 LSN-0.00%</v>
      </c>
      <c r="Q4525" s="92">
        <v>45428.0</v>
      </c>
      <c r="R4525" s="76"/>
      <c r="S4525" s="92">
        <v>45433.0</v>
      </c>
      <c r="T4525" s="49"/>
      <c r="V4525" s="21" t="s">
        <v>1044</v>
      </c>
    </row>
    <row r="4526">
      <c r="A4526" s="93">
        <v>4286.0</v>
      </c>
      <c r="B4526" s="77" t="s">
        <v>65</v>
      </c>
      <c r="C4526" s="77" t="s">
        <v>3848</v>
      </c>
      <c r="D4526" s="77" t="s">
        <v>1033</v>
      </c>
      <c r="E4526" s="41" t="str">
        <f>IFERROR(__xludf.DUMMYFUNCTION("IFNA(vlookup(D4526,IMPORTRANGE(""https://docs.google.com/spreadsheets/d/1swGwZOEqYlTEUCJLY-eeJM1911Kvaei5oySBIxdgtNo/edit?pli=1#gid=257618397"",""stock untanna!B:C""),2,false),V:V)"),"TIPEX KERTAS DY-8242")</f>
        <v>TIPEX KERTAS DY-8242</v>
      </c>
      <c r="F4526" s="49"/>
      <c r="G4526" s="71"/>
      <c r="H4526" s="41"/>
      <c r="I4526" s="42"/>
      <c r="J4526" s="85" t="s">
        <v>1319</v>
      </c>
      <c r="K4526" s="93">
        <v>1.0</v>
      </c>
      <c r="L4526" s="112" t="s">
        <v>62</v>
      </c>
      <c r="M4526" s="113">
        <v>60000.0</v>
      </c>
      <c r="N4526" s="74"/>
      <c r="O4526" s="87">
        <f t="shared" si="11"/>
        <v>60000</v>
      </c>
      <c r="P4526" s="102" t="str">
        <f t="shared" si="2"/>
        <v>Rp60,000-1 LSN-0.00%</v>
      </c>
      <c r="Q4526" s="92">
        <v>45428.0</v>
      </c>
      <c r="R4526" s="76"/>
      <c r="S4526" s="92">
        <v>45433.0</v>
      </c>
      <c r="T4526" s="77"/>
      <c r="V4526" s="21" t="s">
        <v>3859</v>
      </c>
    </row>
    <row r="4527">
      <c r="A4527" s="93">
        <v>4286.0</v>
      </c>
      <c r="B4527" s="77" t="s">
        <v>65</v>
      </c>
      <c r="C4527" s="77" t="s">
        <v>3848</v>
      </c>
      <c r="D4527" s="77" t="s">
        <v>2161</v>
      </c>
      <c r="E4527" s="41" t="str">
        <f>IFERROR(__xludf.DUMMYFUNCTION("IFNA(vlookup(D4527,IMPORTRANGE(""https://docs.google.com/spreadsheets/d/1swGwZOEqYlTEUCJLY-eeJM1911Kvaei5oySBIxdgtNo/edit?pli=1#gid=257618397"",""stock untanna!B:C""),2,false),V:V)"),"TIPEX KERTAS DP-902")</f>
        <v>TIPEX KERTAS DP-902</v>
      </c>
      <c r="F4527" s="49"/>
      <c r="G4527" s="71"/>
      <c r="H4527" s="41"/>
      <c r="I4527" s="42"/>
      <c r="J4527" s="85" t="s">
        <v>1319</v>
      </c>
      <c r="K4527" s="93">
        <v>1.0</v>
      </c>
      <c r="L4527" s="112" t="s">
        <v>62</v>
      </c>
      <c r="M4527" s="113">
        <v>60000.0</v>
      </c>
      <c r="N4527" s="74"/>
      <c r="O4527" s="87">
        <f t="shared" si="11"/>
        <v>60000</v>
      </c>
      <c r="P4527" s="102" t="str">
        <f t="shared" si="2"/>
        <v>Rp60,000-1 LSN-0.00%</v>
      </c>
      <c r="Q4527" s="92">
        <v>45428.0</v>
      </c>
      <c r="R4527" s="76"/>
      <c r="S4527" s="92">
        <v>45433.0</v>
      </c>
      <c r="T4527" s="49"/>
      <c r="V4527" s="21" t="s">
        <v>2162</v>
      </c>
    </row>
    <row r="4528">
      <c r="A4528" s="93">
        <v>4286.0</v>
      </c>
      <c r="B4528" s="77" t="s">
        <v>65</v>
      </c>
      <c r="C4528" s="77" t="s">
        <v>3848</v>
      </c>
      <c r="D4528" s="91"/>
      <c r="E4528" s="41" t="str">
        <f>IFERROR(__xludf.DUMMYFUNCTION("IFNA(vlookup(D4528,IMPORTRANGE(""https://docs.google.com/spreadsheets/d/1swGwZOEqYlTEUCJLY-eeJM1911Kvaei5oySBIxdgtNo/edit?pli=1#gid=257618397"",""stock untanna!B:C""),2,false),V:V)"),"TIPEX KERTAS NO.726")</f>
        <v>TIPEX KERTAS NO.726</v>
      </c>
      <c r="F4528" s="49"/>
      <c r="G4528" s="71"/>
      <c r="H4528" s="41"/>
      <c r="I4528" s="42"/>
      <c r="J4528" s="85" t="s">
        <v>3190</v>
      </c>
      <c r="K4528" s="93">
        <v>1.0</v>
      </c>
      <c r="L4528" s="112" t="s">
        <v>62</v>
      </c>
      <c r="M4528" s="113">
        <v>57500.0</v>
      </c>
      <c r="N4528" s="74"/>
      <c r="O4528" s="87">
        <f t="shared" si="11"/>
        <v>57500</v>
      </c>
      <c r="P4528" s="102" t="str">
        <f t="shared" si="2"/>
        <v>Rp57,500-1 LSN-0.00%</v>
      </c>
      <c r="Q4528" s="92">
        <v>45428.0</v>
      </c>
      <c r="R4528" s="76"/>
      <c r="S4528" s="92">
        <v>45433.0</v>
      </c>
      <c r="T4528" s="49"/>
      <c r="V4528" s="21" t="s">
        <v>3860</v>
      </c>
    </row>
    <row r="4529">
      <c r="A4529" s="93">
        <v>4286.0</v>
      </c>
      <c r="B4529" s="77" t="s">
        <v>65</v>
      </c>
      <c r="C4529" s="77" t="s">
        <v>3848</v>
      </c>
      <c r="D4529" s="77" t="s">
        <v>3636</v>
      </c>
      <c r="E4529" s="41" t="str">
        <f>IFERROR(__xludf.DUMMYFUNCTION("IFNA(vlookup(D4529,IMPORTRANGE(""https://docs.google.com/spreadsheets/d/1swGwZOEqYlTEUCJLY-eeJM1911Kvaei5oySBIxdgtNo/edit?pli=1#gid=257618397"",""stock untanna!B:C""),2,false),V:V)"),"WATER COLOUR TFWC-010 (12X6ML)")</f>
        <v>WATER COLOUR TFWC-010 (12X6ML)</v>
      </c>
      <c r="F4529" s="49"/>
      <c r="G4529" s="71"/>
      <c r="H4529" s="41"/>
      <c r="I4529" s="42"/>
      <c r="J4529" s="85" t="s">
        <v>1319</v>
      </c>
      <c r="K4529" s="93">
        <v>6.0</v>
      </c>
      <c r="L4529" s="112" t="s">
        <v>84</v>
      </c>
      <c r="M4529" s="113">
        <v>15000.0</v>
      </c>
      <c r="N4529" s="74"/>
      <c r="O4529" s="87">
        <f t="shared" si="11"/>
        <v>90000</v>
      </c>
      <c r="P4529" s="102" t="str">
        <f t="shared" si="2"/>
        <v>Rp15,000-6 SET-0.00%</v>
      </c>
      <c r="Q4529" s="92">
        <v>45428.0</v>
      </c>
      <c r="R4529" s="76"/>
      <c r="S4529" s="92">
        <v>45433.0</v>
      </c>
      <c r="T4529" s="49"/>
      <c r="V4529" s="21" t="s">
        <v>3637</v>
      </c>
    </row>
    <row r="4530">
      <c r="A4530" s="93">
        <v>4286.0</v>
      </c>
      <c r="B4530" s="77" t="s">
        <v>65</v>
      </c>
      <c r="C4530" s="77" t="s">
        <v>3848</v>
      </c>
      <c r="D4530" s="77" t="s">
        <v>207</v>
      </c>
      <c r="E4530" s="41" t="str">
        <f>IFERROR(__xludf.DUMMYFUNCTION("IFNA(vlookup(D4530,IMPORTRANGE(""https://docs.google.com/spreadsheets/d/1swGwZOEqYlTEUCJLY-eeJM1911Kvaei5oySBIxdgtNo/edit?pli=1#gid=257618397"",""stock untanna!B:C""),2,false),V:V)"),"BP GEL KOALA GP-168")</f>
        <v>BP GEL KOALA GP-168</v>
      </c>
      <c r="F4530" s="49"/>
      <c r="G4530" s="71"/>
      <c r="H4530" s="41"/>
      <c r="I4530" s="42"/>
      <c r="J4530" s="85" t="s">
        <v>1319</v>
      </c>
      <c r="K4530" s="93">
        <v>12.0</v>
      </c>
      <c r="L4530" s="112" t="s">
        <v>62</v>
      </c>
      <c r="M4530" s="113">
        <v>22500.0</v>
      </c>
      <c r="N4530" s="74"/>
      <c r="O4530" s="87">
        <f t="shared" si="11"/>
        <v>270000</v>
      </c>
      <c r="P4530" s="102" t="str">
        <f t="shared" si="2"/>
        <v>Rp22,500-12 LSN-0.00%</v>
      </c>
      <c r="Q4530" s="92">
        <v>45428.0</v>
      </c>
      <c r="R4530" s="76"/>
      <c r="S4530" s="92">
        <v>45433.0</v>
      </c>
      <c r="T4530" s="49"/>
      <c r="V4530" s="21" t="s">
        <v>208</v>
      </c>
    </row>
    <row r="4531">
      <c r="A4531" s="93">
        <v>4286.0</v>
      </c>
      <c r="B4531" s="77" t="s">
        <v>65</v>
      </c>
      <c r="C4531" s="77" t="s">
        <v>3848</v>
      </c>
      <c r="D4531" s="77" t="s">
        <v>2167</v>
      </c>
      <c r="E4531" s="41" t="str">
        <f>IFERROR(__xludf.DUMMYFUNCTION("IFNA(vlookup(D4531,IMPORTRANGE(""https://docs.google.com/spreadsheets/d/1swGwZOEqYlTEUCJLY-eeJM1911Kvaei5oySBIxdgtNo/edit?pli=1#gid=257618397"",""stock untanna!B:C""),2,false),V:V)"),"CAT AIR OPINI 120")</f>
        <v>CAT AIR OPINI 120</v>
      </c>
      <c r="F4531" s="49"/>
      <c r="G4531" s="71"/>
      <c r="H4531" s="41"/>
      <c r="I4531" s="42"/>
      <c r="J4531" s="85" t="s">
        <v>1319</v>
      </c>
      <c r="K4531" s="93">
        <v>1.0</v>
      </c>
      <c r="L4531" s="112" t="s">
        <v>62</v>
      </c>
      <c r="M4531" s="113">
        <v>105000.0</v>
      </c>
      <c r="N4531" s="74"/>
      <c r="O4531" s="87">
        <f t="shared" si="11"/>
        <v>105000</v>
      </c>
      <c r="P4531" s="102" t="str">
        <f t="shared" si="2"/>
        <v>Rp105,000-1 LSN-0.00%</v>
      </c>
      <c r="Q4531" s="92">
        <v>45428.0</v>
      </c>
      <c r="R4531" s="76"/>
      <c r="S4531" s="92">
        <v>45433.0</v>
      </c>
      <c r="T4531" s="49"/>
      <c r="V4531" s="21" t="s">
        <v>2168</v>
      </c>
    </row>
    <row r="4532">
      <c r="A4532" s="93">
        <v>4286.0</v>
      </c>
      <c r="B4532" s="77" t="s">
        <v>65</v>
      </c>
      <c r="C4532" s="77" t="s">
        <v>3848</v>
      </c>
      <c r="D4532" s="77" t="s">
        <v>199</v>
      </c>
      <c r="E4532" s="41" t="str">
        <f>IFERROR(__xludf.DUMMYFUNCTION("IFNA(vlookup(D4532,IMPORTRANGE(""https://docs.google.com/spreadsheets/d/1swGwZOEqYlTEUCJLY-eeJM1911Kvaei5oySBIxdgtNo/edit?pli=1#gid=257618397"",""stock untanna!B:C""),2,false),V:V)"),"BP TF 1022")</f>
        <v>BP TF 1022</v>
      </c>
      <c r="F4532" s="49"/>
      <c r="G4532" s="71"/>
      <c r="H4532" s="41"/>
      <c r="I4532" s="42"/>
      <c r="J4532" s="85" t="s">
        <v>1319</v>
      </c>
      <c r="K4532" s="93">
        <v>12.0</v>
      </c>
      <c r="L4532" s="112" t="s">
        <v>62</v>
      </c>
      <c r="M4532" s="113">
        <v>15000.0</v>
      </c>
      <c r="N4532" s="74"/>
      <c r="O4532" s="87">
        <f t="shared" si="11"/>
        <v>180000</v>
      </c>
      <c r="P4532" s="102" t="str">
        <f t="shared" si="2"/>
        <v>Rp15,000-12 LSN-0.00%</v>
      </c>
      <c r="Q4532" s="92">
        <v>45428.0</v>
      </c>
      <c r="R4532" s="76"/>
      <c r="S4532" s="92">
        <v>45433.0</v>
      </c>
      <c r="T4532" s="49"/>
      <c r="V4532" s="21" t="s">
        <v>200</v>
      </c>
    </row>
    <row r="4533">
      <c r="A4533" s="93">
        <v>4286.0</v>
      </c>
      <c r="B4533" s="77" t="s">
        <v>65</v>
      </c>
      <c r="C4533" s="77" t="s">
        <v>3848</v>
      </c>
      <c r="D4533" s="77" t="s">
        <v>953</v>
      </c>
      <c r="E4533" s="41" t="str">
        <f>IFERROR(__xludf.DUMMYFUNCTION("IFNA(vlookup(D4533,IMPORTRANGE(""https://docs.google.com/spreadsheets/d/1swGwZOEqYlTEUCJLY-eeJM1911Kvaei5oySBIxdgtNo/edit?pli=1#gid=257618397"",""stock untanna!B:C""),2,false),V:V)"),"BP GEL DTIAN DT-612")</f>
        <v>BP GEL DTIAN DT-612</v>
      </c>
      <c r="F4533" s="49"/>
      <c r="G4533" s="71"/>
      <c r="H4533" s="41"/>
      <c r="I4533" s="42"/>
      <c r="J4533" s="85" t="s">
        <v>1319</v>
      </c>
      <c r="K4533" s="93">
        <v>12.0</v>
      </c>
      <c r="L4533" s="112" t="s">
        <v>62</v>
      </c>
      <c r="M4533" s="113">
        <v>12000.0</v>
      </c>
      <c r="N4533" s="74"/>
      <c r="O4533" s="87">
        <f t="shared" si="11"/>
        <v>144000</v>
      </c>
      <c r="P4533" s="102" t="str">
        <f t="shared" si="2"/>
        <v>Rp12,000-12 LSN-0.00%</v>
      </c>
      <c r="Q4533" s="92">
        <v>45428.0</v>
      </c>
      <c r="R4533" s="76"/>
      <c r="S4533" s="92">
        <v>45433.0</v>
      </c>
      <c r="T4533" s="49"/>
      <c r="V4533" s="21" t="s">
        <v>954</v>
      </c>
    </row>
    <row r="4534">
      <c r="A4534" s="93">
        <v>4286.0</v>
      </c>
      <c r="B4534" s="77" t="s">
        <v>65</v>
      </c>
      <c r="C4534" s="77" t="s">
        <v>3848</v>
      </c>
      <c r="D4534" s="77" t="s">
        <v>479</v>
      </c>
      <c r="E4534" s="41" t="str">
        <f>IFERROR(__xludf.DUMMYFUNCTION("IFNA(vlookup(D4534,IMPORTRANGE(""https://docs.google.com/spreadsheets/d/1swGwZOEqYlTEUCJLY-eeJM1911Kvaei5oySBIxdgtNo/edit?pli=1#gid=257618397"",""stock untanna!B:C""),2,false),V:V)"),"BP GEL DTIAN A 93")</f>
        <v>BP GEL DTIAN A 93</v>
      </c>
      <c r="F4534" s="49"/>
      <c r="G4534" s="71"/>
      <c r="H4534" s="41"/>
      <c r="I4534" s="42"/>
      <c r="J4534" s="85" t="s">
        <v>1319</v>
      </c>
      <c r="K4534" s="93">
        <v>12.0</v>
      </c>
      <c r="L4534" s="112" t="s">
        <v>62</v>
      </c>
      <c r="M4534" s="113">
        <v>11000.0</v>
      </c>
      <c r="N4534" s="74"/>
      <c r="O4534" s="87">
        <f t="shared" si="11"/>
        <v>132000</v>
      </c>
      <c r="P4534" s="102" t="str">
        <f t="shared" si="2"/>
        <v>Rp11,000-12 LSN-0.00%</v>
      </c>
      <c r="Q4534" s="92">
        <v>45428.0</v>
      </c>
      <c r="R4534" s="76"/>
      <c r="S4534" s="92">
        <v>45433.0</v>
      </c>
      <c r="T4534" s="49"/>
      <c r="V4534" s="21" t="s">
        <v>480</v>
      </c>
    </row>
    <row r="4535">
      <c r="A4535" s="93">
        <v>4286.0</v>
      </c>
      <c r="B4535" s="77" t="s">
        <v>65</v>
      </c>
      <c r="C4535" s="77" t="s">
        <v>3848</v>
      </c>
      <c r="D4535" s="77" t="s">
        <v>3861</v>
      </c>
      <c r="E4535" s="41" t="str">
        <f>IFERROR(__xludf.DUMMYFUNCTION("IFNA(vlookup(D4535,IMPORTRANGE(""https://docs.google.com/spreadsheets/d/1swGwZOEqYlTEUCJLY-eeJM1911Kvaei5oySBIxdgtNo/edit?pli=1#gid=257618397"",""stock untanna!B:C""),2,false),V:V)"),"GARISAN 030-3")</f>
        <v>GARISAN 030-3</v>
      </c>
      <c r="F4535" s="49"/>
      <c r="G4535" s="71"/>
      <c r="H4535" s="41"/>
      <c r="I4535" s="42"/>
      <c r="J4535" s="85" t="s">
        <v>1319</v>
      </c>
      <c r="K4535" s="93">
        <v>24.0</v>
      </c>
      <c r="L4535" s="112" t="s">
        <v>69</v>
      </c>
      <c r="M4535" s="113">
        <v>14583.3</v>
      </c>
      <c r="N4535" s="74"/>
      <c r="O4535" s="87">
        <f t="shared" si="11"/>
        <v>349999.2</v>
      </c>
      <c r="P4535" s="102" t="str">
        <f t="shared" si="2"/>
        <v>Rp14,583-24 PCS-0.00%</v>
      </c>
      <c r="Q4535" s="92">
        <v>45428.0</v>
      </c>
      <c r="R4535" s="76"/>
      <c r="S4535" s="92">
        <v>45433.0</v>
      </c>
      <c r="T4535" s="49"/>
      <c r="V4535" s="21" t="s">
        <v>3862</v>
      </c>
    </row>
    <row r="4536">
      <c r="A4536" s="93">
        <v>4286.0</v>
      </c>
      <c r="B4536" s="77" t="s">
        <v>65</v>
      </c>
      <c r="C4536" s="77" t="s">
        <v>3848</v>
      </c>
      <c r="D4536" s="77" t="s">
        <v>3863</v>
      </c>
      <c r="E4536" s="41" t="str">
        <f>IFERROR(__xludf.DUMMYFUNCTION("IFNA(vlookup(D4536,IMPORTRANGE(""https://docs.google.com/spreadsheets/d/1swGwZOEqYlTEUCJLY-eeJM1911Kvaei5oySBIxdgtNo/edit?pli=1#gid=257618397"",""stock untanna!B:C""),2,false),V:V)"),"NOTEBOOK 18100-71")</f>
        <v>NOTEBOOK 18100-71</v>
      </c>
      <c r="F4536" s="49"/>
      <c r="G4536" s="71"/>
      <c r="H4536" s="41"/>
      <c r="I4536" s="42"/>
      <c r="J4536" s="85" t="s">
        <v>1319</v>
      </c>
      <c r="K4536" s="93">
        <v>0.583333333</v>
      </c>
      <c r="L4536" s="112" t="s">
        <v>62</v>
      </c>
      <c r="M4536" s="113">
        <v>198000.0</v>
      </c>
      <c r="N4536" s="74"/>
      <c r="O4536" s="87">
        <f t="shared" si="11"/>
        <v>115499.9999</v>
      </c>
      <c r="P4536" s="102" t="str">
        <f t="shared" si="2"/>
        <v>Rp198,000-0.583333333 LSN-0.00%</v>
      </c>
      <c r="Q4536" s="92">
        <v>45428.0</v>
      </c>
      <c r="R4536" s="76"/>
      <c r="S4536" s="92">
        <v>45433.0</v>
      </c>
      <c r="T4536" s="49"/>
      <c r="V4536" s="21" t="s">
        <v>3864</v>
      </c>
    </row>
    <row r="4537">
      <c r="A4537" s="93">
        <v>4286.0</v>
      </c>
      <c r="B4537" s="77" t="s">
        <v>65</v>
      </c>
      <c r="C4537" s="77" t="s">
        <v>3848</v>
      </c>
      <c r="D4537" s="77" t="s">
        <v>2402</v>
      </c>
      <c r="E4537" s="41" t="str">
        <f>IFERROR(__xludf.DUMMYFUNCTION("IFNA(vlookup(D4537,IMPORTRANGE(""https://docs.google.com/spreadsheets/d/1swGwZOEqYlTEUCJLY-eeJM1911Kvaei5oySBIxdgtNo/edit?pli=1#gid=257618397"",""stock untanna!B:C""),2,false),V:V)"),"NOTEBOOK  A5-521")</f>
        <v>NOTEBOOK  A5-521</v>
      </c>
      <c r="F4537" s="49"/>
      <c r="G4537" s="71"/>
      <c r="H4537" s="41"/>
      <c r="I4537" s="42"/>
      <c r="J4537" s="85" t="s">
        <v>1319</v>
      </c>
      <c r="K4537" s="93">
        <v>0.5</v>
      </c>
      <c r="L4537" s="112" t="s">
        <v>62</v>
      </c>
      <c r="M4537" s="113">
        <v>210000.0</v>
      </c>
      <c r="N4537" s="74"/>
      <c r="O4537" s="87">
        <f t="shared" si="11"/>
        <v>105000</v>
      </c>
      <c r="P4537" s="102" t="str">
        <f t="shared" si="2"/>
        <v>Rp210,000-0.5 LSN-0.00%</v>
      </c>
      <c r="Q4537" s="92">
        <v>45428.0</v>
      </c>
      <c r="R4537" s="76"/>
      <c r="S4537" s="92">
        <v>45433.0</v>
      </c>
      <c r="T4537" s="49"/>
      <c r="V4537" s="21" t="s">
        <v>2403</v>
      </c>
    </row>
    <row r="4538">
      <c r="A4538" s="93">
        <v>4391.0</v>
      </c>
      <c r="B4538" s="77" t="s">
        <v>58</v>
      </c>
      <c r="C4538" s="77" t="s">
        <v>3133</v>
      </c>
      <c r="D4538" s="77" t="s">
        <v>3345</v>
      </c>
      <c r="E4538" s="41" t="str">
        <f>IFERROR(__xludf.DUMMYFUNCTION("IFNA(vlookup(D4538,IMPORTRANGE(""https://docs.google.com/spreadsheets/d/1swGwZOEqYlTEUCJLY-eeJM1911Kvaei5oySBIxdgtNo/edit?pli=1#gid=257618397"",""stock untanna!B:C""),2,false),V:V)"),"TAS 24X20")</f>
        <v>TAS 24X20</v>
      </c>
      <c r="F4538" s="49"/>
      <c r="G4538" s="71"/>
      <c r="H4538" s="41"/>
      <c r="I4538" s="42"/>
      <c r="J4538" s="85" t="s">
        <v>1319</v>
      </c>
      <c r="K4538" s="93">
        <v>12.0</v>
      </c>
      <c r="L4538" s="112" t="s">
        <v>69</v>
      </c>
      <c r="M4538" s="113">
        <v>6666.67</v>
      </c>
      <c r="N4538" s="74"/>
      <c r="O4538" s="87">
        <f t="shared" si="11"/>
        <v>80000.04</v>
      </c>
      <c r="P4538" s="102" t="str">
        <f t="shared" si="2"/>
        <v>Rp6,667-12 PCS-0.00%</v>
      </c>
      <c r="Q4538" s="92">
        <v>45429.0</v>
      </c>
      <c r="R4538" s="76"/>
      <c r="S4538" s="92">
        <v>45433.0</v>
      </c>
      <c r="T4538" s="49"/>
      <c r="V4538" s="21" t="s">
        <v>3346</v>
      </c>
    </row>
    <row r="4539">
      <c r="A4539" s="93">
        <v>4391.0</v>
      </c>
      <c r="B4539" s="77" t="s">
        <v>58</v>
      </c>
      <c r="C4539" s="77" t="s">
        <v>3133</v>
      </c>
      <c r="D4539" s="77" t="s">
        <v>3347</v>
      </c>
      <c r="E4539" s="41" t="str">
        <f>IFERROR(__xludf.DUMMYFUNCTION("IFNA(vlookup(D4539,IMPORTRANGE(""https://docs.google.com/spreadsheets/d/1swGwZOEqYlTEUCJLY-eeJM1911Kvaei5oySBIxdgtNo/edit?pli=1#gid=257618397"",""stock untanna!B:C""),2,false),V:V)"),"TAS 30X20")</f>
        <v>TAS 30X20</v>
      </c>
      <c r="F4539" s="49"/>
      <c r="G4539" s="71"/>
      <c r="H4539" s="41"/>
      <c r="I4539" s="42"/>
      <c r="J4539" s="85" t="s">
        <v>1319</v>
      </c>
      <c r="K4539" s="93">
        <v>12.0</v>
      </c>
      <c r="L4539" s="112" t="s">
        <v>69</v>
      </c>
      <c r="M4539" s="113">
        <v>7083.33</v>
      </c>
      <c r="N4539" s="74"/>
      <c r="O4539" s="87">
        <f t="shared" si="11"/>
        <v>84999.96</v>
      </c>
      <c r="P4539" s="102" t="str">
        <f t="shared" si="2"/>
        <v>Rp7,083-12 PCS-0.00%</v>
      </c>
      <c r="Q4539" s="92">
        <v>45429.0</v>
      </c>
      <c r="R4539" s="76"/>
      <c r="S4539" s="92">
        <v>45433.0</v>
      </c>
      <c r="T4539" s="49"/>
      <c r="V4539" s="21" t="s">
        <v>3348</v>
      </c>
    </row>
    <row r="4540">
      <c r="A4540" s="93">
        <v>4391.0</v>
      </c>
      <c r="B4540" s="77" t="s">
        <v>58</v>
      </c>
      <c r="C4540" s="77" t="s">
        <v>3133</v>
      </c>
      <c r="D4540" s="77" t="s">
        <v>2830</v>
      </c>
      <c r="E4540" s="41" t="str">
        <f>IFERROR(__xludf.DUMMYFUNCTION("IFNA(vlookup(D4540,IMPORTRANGE(""https://docs.google.com/spreadsheets/d/1swGwZOEqYlTEUCJLY-eeJM1911Kvaei5oySBIxdgtNo/edit?pli=1#gid=257618397"",""stock untanna!B:C""),2,false),V:V)"),"TAS 30X23")</f>
        <v>TAS 30X23</v>
      </c>
      <c r="F4540" s="49"/>
      <c r="G4540" s="71"/>
      <c r="H4540" s="41"/>
      <c r="I4540" s="42"/>
      <c r="J4540" s="85" t="s">
        <v>1319</v>
      </c>
      <c r="K4540" s="93">
        <v>1.0</v>
      </c>
      <c r="L4540" s="112" t="s">
        <v>62</v>
      </c>
      <c r="M4540" s="113">
        <v>90000.0</v>
      </c>
      <c r="N4540" s="74"/>
      <c r="O4540" s="87">
        <f t="shared" si="11"/>
        <v>90000</v>
      </c>
      <c r="P4540" s="102" t="str">
        <f t="shared" si="2"/>
        <v>Rp90,000-1 LSN-0.00%</v>
      </c>
      <c r="Q4540" s="92">
        <v>45429.0</v>
      </c>
      <c r="R4540" s="76"/>
      <c r="S4540" s="92">
        <v>45433.0</v>
      </c>
      <c r="T4540" s="49"/>
      <c r="V4540" s="21" t="s">
        <v>2831</v>
      </c>
    </row>
    <row r="4541">
      <c r="A4541" s="93">
        <v>4391.0</v>
      </c>
      <c r="B4541" s="77" t="s">
        <v>58</v>
      </c>
      <c r="C4541" s="77" t="s">
        <v>3133</v>
      </c>
      <c r="D4541" s="77" t="s">
        <v>3865</v>
      </c>
      <c r="E4541" s="41" t="str">
        <f>IFERROR(__xludf.DUMMYFUNCTION("IFNA(vlookup(D4541,IMPORTRANGE(""https://docs.google.com/spreadsheets/d/1swGwZOEqYlTEUCJLY-eeJM1911Kvaei5oySBIxdgtNo/edit?pli=1#gid=257618397"",""stock untanna!B:C""),2,false),V:V)"),"TAS 33X27 L TIDUR")</f>
        <v>TAS 33X27 L TIDUR</v>
      </c>
      <c r="F4541" s="49"/>
      <c r="G4541" s="71"/>
      <c r="H4541" s="41"/>
      <c r="I4541" s="42"/>
      <c r="J4541" s="85" t="s">
        <v>1319</v>
      </c>
      <c r="K4541" s="93">
        <v>12.0</v>
      </c>
      <c r="L4541" s="112" t="s">
        <v>69</v>
      </c>
      <c r="M4541" s="113">
        <v>10000.0</v>
      </c>
      <c r="N4541" s="74"/>
      <c r="O4541" s="87">
        <f t="shared" si="11"/>
        <v>120000</v>
      </c>
      <c r="P4541" s="102" t="str">
        <f t="shared" si="2"/>
        <v>Rp10,000-12 PCS-0.00%</v>
      </c>
      <c r="Q4541" s="92">
        <v>45429.0</v>
      </c>
      <c r="R4541" s="76"/>
      <c r="S4541" s="92">
        <v>45433.0</v>
      </c>
      <c r="T4541" s="49"/>
      <c r="V4541" s="21" t="s">
        <v>3866</v>
      </c>
    </row>
    <row r="4542">
      <c r="A4542" s="93">
        <v>4391.0</v>
      </c>
      <c r="B4542" s="77" t="s">
        <v>58</v>
      </c>
      <c r="C4542" s="77" t="s">
        <v>3133</v>
      </c>
      <c r="D4542" s="77" t="s">
        <v>1256</v>
      </c>
      <c r="E4542" s="41" t="str">
        <f>IFERROR(__xludf.DUMMYFUNCTION("IFNA(vlookup(D4542,IMPORTRANGE(""https://docs.google.com/spreadsheets/d/1swGwZOEqYlTEUCJLY-eeJM1911Kvaei5oySBIxdgtNo/edit?pli=1#gid=257618397"",""stock untanna!B:C""),2,false),V:V)"),"TAS KARUNG TIDUR 40X30")</f>
        <v>TAS KARUNG TIDUR 40X30</v>
      </c>
      <c r="F4542" s="49"/>
      <c r="G4542" s="71"/>
      <c r="H4542" s="41"/>
      <c r="I4542" s="42"/>
      <c r="J4542" s="85" t="s">
        <v>1319</v>
      </c>
      <c r="K4542" s="93">
        <v>1.0</v>
      </c>
      <c r="L4542" s="112" t="s">
        <v>62</v>
      </c>
      <c r="M4542" s="113">
        <v>135000.0</v>
      </c>
      <c r="N4542" s="74"/>
      <c r="O4542" s="87">
        <f t="shared" si="11"/>
        <v>135000</v>
      </c>
      <c r="P4542" s="102" t="str">
        <f t="shared" si="2"/>
        <v>Rp135,000-1 LSN-0.00%</v>
      </c>
      <c r="Q4542" s="92">
        <v>45429.0</v>
      </c>
      <c r="R4542" s="76"/>
      <c r="S4542" s="92">
        <v>45433.0</v>
      </c>
      <c r="T4542" s="49"/>
      <c r="V4542" s="21" t="s">
        <v>1257</v>
      </c>
    </row>
    <row r="4543">
      <c r="A4543" s="93">
        <v>4391.0</v>
      </c>
      <c r="B4543" s="77" t="s">
        <v>58</v>
      </c>
      <c r="C4543" s="77" t="s">
        <v>3133</v>
      </c>
      <c r="D4543" s="77" t="s">
        <v>1264</v>
      </c>
      <c r="E4543" s="41" t="str">
        <f>IFERROR(__xludf.DUMMYFUNCTION("IFNA(vlookup(D4543,IMPORTRANGE(""https://docs.google.com/spreadsheets/d/1swGwZOEqYlTEUCJLY-eeJM1911Kvaei5oySBIxdgtNo/edit?pli=1#gid=257618397"",""stock untanna!B:C""),2,false),V:V)"),"TAS KARUNG 45X33")</f>
        <v>TAS KARUNG 45X33</v>
      </c>
      <c r="F4543" s="49"/>
      <c r="G4543" s="71"/>
      <c r="H4543" s="41"/>
      <c r="I4543" s="42"/>
      <c r="J4543" s="85" t="s">
        <v>1319</v>
      </c>
      <c r="K4543" s="93">
        <v>1.0</v>
      </c>
      <c r="L4543" s="112" t="s">
        <v>62</v>
      </c>
      <c r="M4543" s="113">
        <v>142000.0</v>
      </c>
      <c r="N4543" s="74"/>
      <c r="O4543" s="87">
        <f t="shared" si="11"/>
        <v>142000</v>
      </c>
      <c r="P4543" s="102" t="str">
        <f t="shared" si="2"/>
        <v>Rp142,000-1 LSN-0.00%</v>
      </c>
      <c r="Q4543" s="92">
        <v>45429.0</v>
      </c>
      <c r="R4543" s="76"/>
      <c r="S4543" s="92">
        <v>45433.0</v>
      </c>
      <c r="T4543" s="49"/>
      <c r="V4543" s="21" t="s">
        <v>1265</v>
      </c>
    </row>
    <row r="4544">
      <c r="A4544" s="93">
        <v>4391.0</v>
      </c>
      <c r="B4544" s="77" t="s">
        <v>58</v>
      </c>
      <c r="C4544" s="77" t="s">
        <v>3133</v>
      </c>
      <c r="D4544" s="77" t="s">
        <v>3867</v>
      </c>
      <c r="E4544" s="41" t="str">
        <f>IFERROR(__xludf.DUMMYFUNCTION("IFNA(vlookup(D4544,IMPORTRANGE(""https://docs.google.com/spreadsheets/d/1swGwZOEqYlTEUCJLY-eeJM1911Kvaei5oySBIxdgtNo/edit?pli=1#gid=257618397"",""stock untanna!B:C""),2,false),V:V)"),"TAS 33X27 B")</f>
        <v>TAS 33X27 B</v>
      </c>
      <c r="F4544" s="49"/>
      <c r="G4544" s="71"/>
      <c r="H4544" s="41"/>
      <c r="I4544" s="42"/>
      <c r="J4544" s="85" t="s">
        <v>1319</v>
      </c>
      <c r="K4544" s="93">
        <v>12.0</v>
      </c>
      <c r="L4544" s="112" t="s">
        <v>69</v>
      </c>
      <c r="M4544" s="113">
        <v>10000.0</v>
      </c>
      <c r="N4544" s="74"/>
      <c r="O4544" s="87">
        <f t="shared" si="11"/>
        <v>120000</v>
      </c>
      <c r="P4544" s="102" t="str">
        <f t="shared" si="2"/>
        <v>Rp10,000-12 PCS-0.00%</v>
      </c>
      <c r="Q4544" s="92">
        <v>45429.0</v>
      </c>
      <c r="R4544" s="76"/>
      <c r="S4544" s="92">
        <v>45433.0</v>
      </c>
      <c r="T4544" s="49"/>
      <c r="V4544" s="21" t="s">
        <v>3868</v>
      </c>
    </row>
    <row r="4545">
      <c r="A4545" s="93">
        <v>4391.0</v>
      </c>
      <c r="B4545" s="77" t="s">
        <v>58</v>
      </c>
      <c r="C4545" s="77" t="s">
        <v>3133</v>
      </c>
      <c r="D4545" s="77" t="s">
        <v>1260</v>
      </c>
      <c r="E4545" s="41" t="str">
        <f>IFERROR(__xludf.DUMMYFUNCTION("IFNA(vlookup(D4545,IMPORTRANGE(""https://docs.google.com/spreadsheets/d/1swGwZOEqYlTEUCJLY-eeJM1911Kvaei5oySBIxdgtNo/edit?pli=1#gid=257618397"",""stock untanna!B:C""),2,false),V:V)"),"TAS KARUNG 40X45 ")</f>
        <v>TAS KARUNG 40X45 </v>
      </c>
      <c r="F4545" s="49"/>
      <c r="G4545" s="71"/>
      <c r="H4545" s="41"/>
      <c r="I4545" s="42"/>
      <c r="J4545" s="85" t="s">
        <v>1319</v>
      </c>
      <c r="K4545" s="93">
        <v>1.0</v>
      </c>
      <c r="L4545" s="112" t="s">
        <v>62</v>
      </c>
      <c r="M4545" s="113">
        <v>157000.0</v>
      </c>
      <c r="N4545" s="74"/>
      <c r="O4545" s="87">
        <f t="shared" si="11"/>
        <v>157000</v>
      </c>
      <c r="P4545" s="102" t="str">
        <f t="shared" si="2"/>
        <v>Rp157,000-1 LSN-0.00%</v>
      </c>
      <c r="Q4545" s="92">
        <v>45429.0</v>
      </c>
      <c r="R4545" s="76"/>
      <c r="S4545" s="92">
        <v>45433.0</v>
      </c>
      <c r="T4545" s="49"/>
      <c r="V4545" s="21" t="s">
        <v>1261</v>
      </c>
    </row>
    <row r="4546">
      <c r="A4546" s="93">
        <v>4391.0</v>
      </c>
      <c r="B4546" s="77" t="s">
        <v>58</v>
      </c>
      <c r="C4546" s="77" t="s">
        <v>3133</v>
      </c>
      <c r="D4546" s="77" t="s">
        <v>1258</v>
      </c>
      <c r="E4546" s="41" t="str">
        <f>IFERROR(__xludf.DUMMYFUNCTION("IFNA(vlookup(D4546,IMPORTRANGE(""https://docs.google.com/spreadsheets/d/1swGwZOEqYlTEUCJLY-eeJM1911Kvaei5oySBIxdgtNo/edit?pli=1#gid=257618397"",""stock untanna!B:C""),2,false),V:V)"),"TAS KARUNG 45X50")</f>
        <v>TAS KARUNG 45X50</v>
      </c>
      <c r="F4546" s="49"/>
      <c r="G4546" s="71"/>
      <c r="H4546" s="41"/>
      <c r="I4546" s="42"/>
      <c r="J4546" s="85" t="s">
        <v>1319</v>
      </c>
      <c r="K4546" s="93">
        <v>1.0</v>
      </c>
      <c r="L4546" s="112" t="s">
        <v>62</v>
      </c>
      <c r="M4546" s="113">
        <v>177000.0</v>
      </c>
      <c r="N4546" s="74"/>
      <c r="O4546" s="87">
        <f t="shared" si="11"/>
        <v>177000</v>
      </c>
      <c r="P4546" s="102" t="str">
        <f t="shared" si="2"/>
        <v>Rp177,000-1 LSN-0.00%</v>
      </c>
      <c r="Q4546" s="92">
        <v>45429.0</v>
      </c>
      <c r="R4546" s="76"/>
      <c r="S4546" s="92">
        <v>45433.0</v>
      </c>
      <c r="T4546" s="49"/>
      <c r="V4546" s="21" t="s">
        <v>1259</v>
      </c>
    </row>
    <row r="4547">
      <c r="A4547" s="93">
        <v>4391.0</v>
      </c>
      <c r="B4547" s="77" t="s">
        <v>58</v>
      </c>
      <c r="C4547" s="77" t="s">
        <v>3133</v>
      </c>
      <c r="D4547" s="77" t="s">
        <v>1262</v>
      </c>
      <c r="E4547" s="41" t="str">
        <f>IFERROR(__xludf.DUMMYFUNCTION("IFNA(vlookup(D4547,IMPORTRANGE(""https://docs.google.com/spreadsheets/d/1swGwZOEqYlTEUCJLY-eeJM1911Kvaei5oySBIxdgtNo/edit?pli=1#gid=257618397"",""stock untanna!B:C""),2,false),V:V)"),"TAS KARUNG 50X55")</f>
        <v>TAS KARUNG 50X55</v>
      </c>
      <c r="F4547" s="49"/>
      <c r="G4547" s="71"/>
      <c r="H4547" s="41"/>
      <c r="I4547" s="42"/>
      <c r="J4547" s="85" t="s">
        <v>1319</v>
      </c>
      <c r="K4547" s="93">
        <v>1.0</v>
      </c>
      <c r="L4547" s="112" t="s">
        <v>62</v>
      </c>
      <c r="M4547" s="113">
        <v>210000.0</v>
      </c>
      <c r="N4547" s="74"/>
      <c r="O4547" s="87">
        <f t="shared" si="11"/>
        <v>210000</v>
      </c>
      <c r="P4547" s="102" t="str">
        <f t="shared" si="2"/>
        <v>Rp210,000-1 LSN-0.00%</v>
      </c>
      <c r="Q4547" s="92">
        <v>45429.0</v>
      </c>
      <c r="R4547" s="76"/>
      <c r="S4547" s="92">
        <v>45433.0</v>
      </c>
      <c r="T4547" s="49"/>
      <c r="V4547" s="21" t="s">
        <v>1263</v>
      </c>
    </row>
    <row r="4548">
      <c r="A4548" s="93">
        <v>4391.0</v>
      </c>
      <c r="B4548" s="77" t="s">
        <v>58</v>
      </c>
      <c r="C4548" s="77" t="s">
        <v>3133</v>
      </c>
      <c r="D4548" s="77" t="s">
        <v>2422</v>
      </c>
      <c r="E4548" s="41" t="str">
        <f>IFERROR(__xludf.DUMMYFUNCTION("IFNA(vlookup(D4548,IMPORTRANGE(""https://docs.google.com/spreadsheets/d/1swGwZOEqYlTEUCJLY-eeJM1911Kvaei5oySBIxdgtNo/edit?pli=1#gid=257618397"",""stock untanna!B:C""),2,false),V:V)"),"TAS KARUNG 60X70")</f>
        <v>TAS KARUNG 60X70</v>
      </c>
      <c r="F4548" s="49"/>
      <c r="G4548" s="71"/>
      <c r="H4548" s="41"/>
      <c r="I4548" s="42"/>
      <c r="J4548" s="85" t="s">
        <v>1319</v>
      </c>
      <c r="K4548" s="93">
        <v>1.0</v>
      </c>
      <c r="L4548" s="112" t="s">
        <v>62</v>
      </c>
      <c r="M4548" s="113">
        <v>290000.0</v>
      </c>
      <c r="N4548" s="74"/>
      <c r="O4548" s="87">
        <f t="shared" si="11"/>
        <v>290000</v>
      </c>
      <c r="P4548" s="102" t="str">
        <f t="shared" si="2"/>
        <v>Rp290,000-1 LSN-0.00%</v>
      </c>
      <c r="Q4548" s="92">
        <v>45429.0</v>
      </c>
      <c r="R4548" s="76"/>
      <c r="S4548" s="92">
        <v>45433.0</v>
      </c>
      <c r="T4548" s="49"/>
      <c r="V4548" s="21" t="s">
        <v>2424</v>
      </c>
    </row>
    <row r="4549">
      <c r="A4549" s="93">
        <v>4391.0</v>
      </c>
      <c r="B4549" s="77" t="s">
        <v>58</v>
      </c>
      <c r="C4549" s="77" t="s">
        <v>3133</v>
      </c>
      <c r="D4549" s="77" t="s">
        <v>1254</v>
      </c>
      <c r="E4549" s="41" t="str">
        <f>IFERROR(__xludf.DUMMYFUNCTION("IFNA(vlookup(D4549,IMPORTRANGE(""https://docs.google.com/spreadsheets/d/1swGwZOEqYlTEUCJLY-eeJM1911Kvaei5oySBIxdgtNo/edit?pli=1#gid=257618397"",""stock untanna!B:C""),2,false),V:V)"),"TAS KARUNG 70X70")</f>
        <v>TAS KARUNG 70X70</v>
      </c>
      <c r="F4549" s="49"/>
      <c r="G4549" s="71"/>
      <c r="H4549" s="41"/>
      <c r="I4549" s="42"/>
      <c r="J4549" s="85" t="s">
        <v>1319</v>
      </c>
      <c r="K4549" s="93">
        <v>1.0</v>
      </c>
      <c r="L4549" s="112" t="s">
        <v>62</v>
      </c>
      <c r="M4549" s="113">
        <v>315000.0</v>
      </c>
      <c r="N4549" s="74"/>
      <c r="O4549" s="87">
        <f t="shared" si="11"/>
        <v>315000</v>
      </c>
      <c r="P4549" s="102" t="str">
        <f t="shared" si="2"/>
        <v>Rp315,000-1 LSN-0.00%</v>
      </c>
      <c r="Q4549" s="92">
        <v>45429.0</v>
      </c>
      <c r="R4549" s="76"/>
      <c r="S4549" s="92">
        <v>45433.0</v>
      </c>
      <c r="T4549" s="49"/>
      <c r="V4549" s="21" t="s">
        <v>1255</v>
      </c>
    </row>
    <row r="4550">
      <c r="A4550" s="93">
        <v>4391.0</v>
      </c>
      <c r="B4550" s="77" t="s">
        <v>58</v>
      </c>
      <c r="C4550" s="77" t="s">
        <v>3133</v>
      </c>
      <c r="D4550" s="77" t="s">
        <v>158</v>
      </c>
      <c r="E4550" s="41" t="str">
        <f>IFERROR(__xludf.DUMMYFUNCTION("IFNA(vlookup(D4550,IMPORTRANGE(""https://docs.google.com/spreadsheets/d/1swGwZOEqYlTEUCJLY-eeJM1911Kvaei5oySBIxdgtNo/edit?pli=1#gid=257618397"",""stock untanna!B:C""),2,false),V:V)"),"TAS KARUNG 55X65")</f>
        <v>TAS KARUNG 55X65</v>
      </c>
      <c r="F4550" s="49"/>
      <c r="G4550" s="71"/>
      <c r="H4550" s="41"/>
      <c r="I4550" s="42"/>
      <c r="J4550" s="85" t="s">
        <v>1319</v>
      </c>
      <c r="K4550" s="93">
        <v>12.0</v>
      </c>
      <c r="L4550" s="112" t="s">
        <v>69</v>
      </c>
      <c r="M4550" s="113">
        <v>20500.0</v>
      </c>
      <c r="N4550" s="74"/>
      <c r="O4550" s="87">
        <f t="shared" si="11"/>
        <v>246000</v>
      </c>
      <c r="P4550" s="102" t="str">
        <f t="shared" si="2"/>
        <v>Rp20,500-12 PCS-0.00%</v>
      </c>
      <c r="Q4550" s="92">
        <v>45429.0</v>
      </c>
      <c r="R4550" s="76"/>
      <c r="S4550" s="92">
        <v>45433.0</v>
      </c>
      <c r="T4550" s="49"/>
      <c r="V4550" s="21" t="s">
        <v>160</v>
      </c>
    </row>
    <row r="4551">
      <c r="A4551" s="93">
        <v>4391.0</v>
      </c>
      <c r="B4551" s="77" t="s">
        <v>58</v>
      </c>
      <c r="C4551" s="77" t="s">
        <v>3133</v>
      </c>
      <c r="D4551" s="77" t="s">
        <v>3869</v>
      </c>
      <c r="E4551" s="41" t="str">
        <f>IFERROR(__xludf.DUMMYFUNCTION("IFNA(vlookup(D4551,IMPORTRANGE(""https://docs.google.com/spreadsheets/d/1swGwZOEqYlTEUCJLY-eeJM1911Kvaei5oySBIxdgtNo/edit?pli=1#gid=257618397"",""stock untanna!B:C""),2,false),V:V)"),"TAS J 1706")</f>
        <v>TAS J 1706</v>
      </c>
      <c r="F4551" s="49"/>
      <c r="G4551" s="71"/>
      <c r="H4551" s="41"/>
      <c r="I4551" s="42"/>
      <c r="J4551" s="85" t="s">
        <v>1319</v>
      </c>
      <c r="K4551" s="93">
        <v>1.0</v>
      </c>
      <c r="L4551" s="112" t="s">
        <v>62</v>
      </c>
      <c r="M4551" s="113">
        <v>100000.0</v>
      </c>
      <c r="N4551" s="74"/>
      <c r="O4551" s="87">
        <f t="shared" si="11"/>
        <v>100000</v>
      </c>
      <c r="P4551" s="102" t="str">
        <f t="shared" si="2"/>
        <v>Rp100,000-1 LSN-0.00%</v>
      </c>
      <c r="Q4551" s="92">
        <v>45429.0</v>
      </c>
      <c r="R4551" s="76"/>
      <c r="S4551" s="92">
        <v>45433.0</v>
      </c>
      <c r="T4551" s="49"/>
      <c r="V4551" s="21" t="s">
        <v>3870</v>
      </c>
    </row>
    <row r="4552">
      <c r="A4552" s="93">
        <v>4391.0</v>
      </c>
      <c r="B4552" s="77" t="s">
        <v>58</v>
      </c>
      <c r="C4552" s="77" t="s">
        <v>3133</v>
      </c>
      <c r="D4552" s="77" t="s">
        <v>3871</v>
      </c>
      <c r="E4552" s="41" t="str">
        <f>IFERROR(__xludf.DUMMYFUNCTION("IFNA(vlookup(D4552,IMPORTRANGE(""https://docs.google.com/spreadsheets/d/1swGwZOEqYlTEUCJLY-eeJM1911Kvaei5oySBIxdgtNo/edit?pli=1#gid=257618397"",""stock untanna!B:C""),2,false),V:V)"),"TAS SEP 194")</f>
        <v>TAS SEP 194</v>
      </c>
      <c r="F4552" s="49"/>
      <c r="G4552" s="71"/>
      <c r="H4552" s="41"/>
      <c r="I4552" s="42"/>
      <c r="J4552" s="85" t="s">
        <v>1319</v>
      </c>
      <c r="K4552" s="93">
        <v>1.0</v>
      </c>
      <c r="L4552" s="112" t="s">
        <v>62</v>
      </c>
      <c r="M4552" s="113">
        <v>127000.0</v>
      </c>
      <c r="N4552" s="74"/>
      <c r="O4552" s="87">
        <f t="shared" si="11"/>
        <v>127000</v>
      </c>
      <c r="P4552" s="102" t="str">
        <f t="shared" si="2"/>
        <v>Rp127,000-1 LSN-0.00%</v>
      </c>
      <c r="Q4552" s="92">
        <v>45429.0</v>
      </c>
      <c r="R4552" s="76"/>
      <c r="S4552" s="92">
        <v>45433.0</v>
      </c>
      <c r="T4552" s="49"/>
      <c r="V4552" s="21" t="s">
        <v>3872</v>
      </c>
    </row>
    <row r="4553">
      <c r="A4553" s="93">
        <v>4391.0</v>
      </c>
      <c r="B4553" s="77" t="s">
        <v>58</v>
      </c>
      <c r="C4553" s="77" t="s">
        <v>3133</v>
      </c>
      <c r="D4553" s="77" t="s">
        <v>3873</v>
      </c>
      <c r="E4553" s="41" t="str">
        <f>IFERROR(__xludf.DUMMYFUNCTION("IFNA(vlookup(D4553,IMPORTRANGE(""https://docs.google.com/spreadsheets/d/1swGwZOEqYlTEUCJLY-eeJM1911Kvaei5oySBIxdgtNo/edit?pli=1#gid=257618397"",""stock untanna!B:C""),2,false),V:V)"),"TAS J 2729")</f>
        <v>TAS J 2729</v>
      </c>
      <c r="F4553" s="49"/>
      <c r="G4553" s="71"/>
      <c r="H4553" s="41"/>
      <c r="I4553" s="42"/>
      <c r="J4553" s="85" t="s">
        <v>1319</v>
      </c>
      <c r="K4553" s="93">
        <v>1.0</v>
      </c>
      <c r="L4553" s="112" t="s">
        <v>62</v>
      </c>
      <c r="M4553" s="113">
        <v>146500.0</v>
      </c>
      <c r="N4553" s="74"/>
      <c r="O4553" s="87">
        <f t="shared" si="11"/>
        <v>146500</v>
      </c>
      <c r="P4553" s="102" t="str">
        <f t="shared" si="2"/>
        <v>Rp146,500-1 LSN-0.00%</v>
      </c>
      <c r="Q4553" s="92">
        <v>45429.0</v>
      </c>
      <c r="R4553" s="76"/>
      <c r="S4553" s="92">
        <v>45433.0</v>
      </c>
      <c r="T4553" s="49"/>
      <c r="V4553" s="21" t="s">
        <v>3874</v>
      </c>
    </row>
    <row r="4554">
      <c r="A4554" s="93">
        <v>137.0</v>
      </c>
      <c r="B4554" s="77" t="s">
        <v>65</v>
      </c>
      <c r="C4554" s="77" t="s">
        <v>3875</v>
      </c>
      <c r="D4554" s="77" t="s">
        <v>631</v>
      </c>
      <c r="E4554" s="41" t="str">
        <f>IFERROR(__xludf.DUMMYFUNCTION("IFNA(vlookup(D4554,IMPORTRANGE(""https://docs.google.com/spreadsheets/d/1swGwZOEqYlTEUCJLY-eeJM1911Kvaei5oySBIxdgtNo/edit?pli=1#gid=257618397"",""stock untanna!B:C""),2,false),V:V)"),"BP TIZO 31810F FANCY")</f>
        <v>BP TIZO 31810F FANCY</v>
      </c>
      <c r="F4554" s="49"/>
      <c r="G4554" s="71"/>
      <c r="H4554" s="41"/>
      <c r="I4554" s="42"/>
      <c r="J4554" s="85" t="s">
        <v>1319</v>
      </c>
      <c r="K4554" s="93">
        <v>12.0</v>
      </c>
      <c r="L4554" s="112" t="s">
        <v>62</v>
      </c>
      <c r="M4554" s="113">
        <v>18000.0</v>
      </c>
      <c r="N4554" s="74"/>
      <c r="O4554" s="87">
        <f t="shared" si="11"/>
        <v>216000</v>
      </c>
      <c r="P4554" s="102" t="str">
        <f t="shared" si="2"/>
        <v>Rp18,000-12 LSN-0.00%</v>
      </c>
      <c r="Q4554" s="92">
        <v>45429.0</v>
      </c>
      <c r="R4554" s="76"/>
      <c r="S4554" s="92">
        <v>45433.0</v>
      </c>
      <c r="T4554" s="49"/>
      <c r="V4554" s="21" t="s">
        <v>632</v>
      </c>
    </row>
    <row r="4555">
      <c r="A4555" s="93">
        <v>137.0</v>
      </c>
      <c r="B4555" s="77" t="s">
        <v>65</v>
      </c>
      <c r="C4555" s="77" t="s">
        <v>3875</v>
      </c>
      <c r="D4555" s="91"/>
      <c r="E4555" s="41" t="str">
        <f>IFERROR(__xludf.DUMMYFUNCTION("IFNA(vlookup(D4555,IMPORTRANGE(""https://docs.google.com/spreadsheets/d/1swGwZOEqYlTEUCJLY-eeJM1911Kvaei5oySBIxdgtNo/edit?pli=1#gid=257618397"",""stock untanna!B:C""),2,false),V:V)"),"BALLPEN TF 31780 F")</f>
        <v>BALLPEN TF 31780 F</v>
      </c>
      <c r="F4555" s="49"/>
      <c r="G4555" s="71"/>
      <c r="H4555" s="41"/>
      <c r="I4555" s="42"/>
      <c r="J4555" s="85" t="s">
        <v>3190</v>
      </c>
      <c r="K4555" s="93">
        <v>12.0</v>
      </c>
      <c r="L4555" s="112" t="s">
        <v>62</v>
      </c>
      <c r="M4555" s="113">
        <v>18000.0</v>
      </c>
      <c r="N4555" s="74"/>
      <c r="O4555" s="87">
        <f t="shared" si="11"/>
        <v>216000</v>
      </c>
      <c r="P4555" s="102" t="str">
        <f t="shared" si="2"/>
        <v>Rp18,000-12 LSN-0.00%</v>
      </c>
      <c r="Q4555" s="92">
        <v>45429.0</v>
      </c>
      <c r="R4555" s="76"/>
      <c r="S4555" s="92">
        <v>45433.0</v>
      </c>
      <c r="T4555" s="49"/>
      <c r="V4555" s="21" t="s">
        <v>3876</v>
      </c>
    </row>
    <row r="4556">
      <c r="A4556" s="93">
        <v>137.0</v>
      </c>
      <c r="B4556" s="77" t="s">
        <v>65</v>
      </c>
      <c r="C4556" s="77" t="s">
        <v>3875</v>
      </c>
      <c r="D4556" s="77" t="s">
        <v>641</v>
      </c>
      <c r="E4556" s="41" t="str">
        <f>IFERROR(__xludf.DUMMYFUNCTION("IFNA(vlookup(D4556,IMPORTRANGE(""https://docs.google.com/spreadsheets/d/1swGwZOEqYlTEUCJLY-eeJM1911Kvaei5oySBIxdgtNo/edit?pli=1#gid=257618397"",""stock untanna!B:C""),2,false),V:V)"),"BP GEL TIZO TG 348F FANCY")</f>
        <v>BP GEL TIZO TG 348F FANCY</v>
      </c>
      <c r="F4556" s="49"/>
      <c r="G4556" s="71"/>
      <c r="H4556" s="41"/>
      <c r="I4556" s="42"/>
      <c r="J4556" s="85" t="s">
        <v>1319</v>
      </c>
      <c r="K4556" s="93">
        <v>12.0</v>
      </c>
      <c r="L4556" s="112" t="s">
        <v>62</v>
      </c>
      <c r="M4556" s="113">
        <v>18000.0</v>
      </c>
      <c r="N4556" s="74"/>
      <c r="O4556" s="87">
        <f t="shared" si="11"/>
        <v>216000</v>
      </c>
      <c r="P4556" s="102" t="str">
        <f t="shared" si="2"/>
        <v>Rp18,000-12 LSN-0.00%</v>
      </c>
      <c r="Q4556" s="92">
        <v>45429.0</v>
      </c>
      <c r="R4556" s="76"/>
      <c r="S4556" s="92">
        <v>45433.0</v>
      </c>
      <c r="T4556" s="49"/>
      <c r="V4556" s="21" t="s">
        <v>2255</v>
      </c>
    </row>
    <row r="4557">
      <c r="A4557" s="93">
        <v>137.0</v>
      </c>
      <c r="B4557" s="77" t="s">
        <v>65</v>
      </c>
      <c r="C4557" s="77" t="s">
        <v>3875</v>
      </c>
      <c r="D4557" s="77" t="s">
        <v>635</v>
      </c>
      <c r="E4557" s="41" t="str">
        <f>IFERROR(__xludf.DUMMYFUNCTION("IFNA(vlookup(D4557,IMPORTRANGE(""https://docs.google.com/spreadsheets/d/1swGwZOEqYlTEUCJLY-eeJM1911Kvaei5oySBIxdgtNo/edit?pli=1#gid=257618397"",""stock untanna!B:C""),2,false),V:V)"),"BP GEL TIZO 31763F FANCY")</f>
        <v>BP GEL TIZO 31763F FANCY</v>
      </c>
      <c r="F4557" s="49"/>
      <c r="G4557" s="71"/>
      <c r="H4557" s="41"/>
      <c r="I4557" s="42"/>
      <c r="J4557" s="85" t="s">
        <v>1319</v>
      </c>
      <c r="K4557" s="93">
        <v>12.0</v>
      </c>
      <c r="L4557" s="112" t="s">
        <v>62</v>
      </c>
      <c r="M4557" s="113">
        <v>18000.0</v>
      </c>
      <c r="N4557" s="74"/>
      <c r="O4557" s="87">
        <f t="shared" si="11"/>
        <v>216000</v>
      </c>
      <c r="P4557" s="102" t="str">
        <f t="shared" si="2"/>
        <v>Rp18,000-12 LSN-0.00%</v>
      </c>
      <c r="Q4557" s="92">
        <v>45429.0</v>
      </c>
      <c r="R4557" s="76"/>
      <c r="S4557" s="92">
        <v>45433.0</v>
      </c>
      <c r="T4557" s="49"/>
      <c r="V4557" s="21" t="s">
        <v>636</v>
      </c>
    </row>
    <row r="4558">
      <c r="A4558" s="93">
        <v>137.0</v>
      </c>
      <c r="B4558" s="77" t="s">
        <v>65</v>
      </c>
      <c r="C4558" s="77" t="s">
        <v>3875</v>
      </c>
      <c r="D4558" s="77" t="s">
        <v>2253</v>
      </c>
      <c r="E4558" s="41" t="str">
        <f>IFERROR(__xludf.DUMMYFUNCTION("IFNA(vlookup(D4558,IMPORTRANGE(""https://docs.google.com/spreadsheets/d/1swGwZOEqYlTEUCJLY-eeJM1911Kvaei5oySBIxdgtNo/edit?pli=1#gid=257618397"",""stock untanna!B:C""),2,false),V:V)"),"BP TIZO TG 31475F FANCY")</f>
        <v>BP TIZO TG 31475F FANCY</v>
      </c>
      <c r="F4558" s="49"/>
      <c r="G4558" s="71"/>
      <c r="H4558" s="41"/>
      <c r="I4558" s="42"/>
      <c r="J4558" s="85" t="s">
        <v>1319</v>
      </c>
      <c r="K4558" s="93">
        <v>12.0</v>
      </c>
      <c r="L4558" s="112" t="s">
        <v>62</v>
      </c>
      <c r="M4558" s="113">
        <v>18000.0</v>
      </c>
      <c r="N4558" s="74"/>
      <c r="O4558" s="87">
        <f t="shared" si="11"/>
        <v>216000</v>
      </c>
      <c r="P4558" s="102" t="str">
        <f t="shared" si="2"/>
        <v>Rp18,000-12 LSN-0.00%</v>
      </c>
      <c r="Q4558" s="92">
        <v>45429.0</v>
      </c>
      <c r="R4558" s="76"/>
      <c r="S4558" s="92">
        <v>45433.0</v>
      </c>
      <c r="T4558" s="49"/>
      <c r="V4558" s="21" t="s">
        <v>2254</v>
      </c>
    </row>
    <row r="4559">
      <c r="A4559" s="93">
        <v>137.0</v>
      </c>
      <c r="B4559" s="77" t="s">
        <v>65</v>
      </c>
      <c r="C4559" s="77" t="s">
        <v>3875</v>
      </c>
      <c r="D4559" s="77" t="s">
        <v>637</v>
      </c>
      <c r="E4559" s="41" t="str">
        <f>IFERROR(__xludf.DUMMYFUNCTION("IFNA(vlookup(D4559,IMPORTRANGE(""https://docs.google.com/spreadsheets/d/1swGwZOEqYlTEUCJLY-eeJM1911Kvaei5oySBIxdgtNo/edit?pli=1#gid=257618397"",""stock untanna!B:C""),2,false),V:V)"),"BP GEL TIZO 31762F FANCY")</f>
        <v>BP GEL TIZO 31762F FANCY</v>
      </c>
      <c r="F4559" s="49"/>
      <c r="G4559" s="71"/>
      <c r="H4559" s="41"/>
      <c r="I4559" s="42"/>
      <c r="J4559" s="85" t="s">
        <v>1319</v>
      </c>
      <c r="K4559" s="93">
        <v>12.0</v>
      </c>
      <c r="L4559" s="112" t="s">
        <v>62</v>
      </c>
      <c r="M4559" s="113">
        <v>18000.0</v>
      </c>
      <c r="N4559" s="74"/>
      <c r="O4559" s="87">
        <f t="shared" si="11"/>
        <v>216000</v>
      </c>
      <c r="P4559" s="102" t="str">
        <f t="shared" si="2"/>
        <v>Rp18,000-12 LSN-0.00%</v>
      </c>
      <c r="Q4559" s="92">
        <v>45429.0</v>
      </c>
      <c r="R4559" s="76"/>
      <c r="S4559" s="92">
        <v>45433.0</v>
      </c>
      <c r="T4559" s="49"/>
      <c r="V4559" s="21" t="s">
        <v>638</v>
      </c>
    </row>
    <row r="4560">
      <c r="A4560" s="93">
        <v>137.0</v>
      </c>
      <c r="B4560" s="77" t="s">
        <v>65</v>
      </c>
      <c r="C4560" s="77" t="s">
        <v>3875</v>
      </c>
      <c r="D4560" s="77" t="s">
        <v>3674</v>
      </c>
      <c r="E4560" s="41" t="str">
        <f>IFERROR(__xludf.DUMMYFUNCTION("IFNA(vlookup(D4560,IMPORTRANGE(""https://docs.google.com/spreadsheets/d/1swGwZOEqYlTEUCJLY-eeJM1911Kvaei5oySBIxdgtNo/edit?pli=1#gid=257618397"",""stock untanna!B:C""),2,false),V:V)"),"BP GEL ZHIXIN G 3156")</f>
        <v>BP GEL ZHIXIN G 3156</v>
      </c>
      <c r="F4560" s="49"/>
      <c r="G4560" s="71"/>
      <c r="H4560" s="41"/>
      <c r="I4560" s="42"/>
      <c r="J4560" s="85" t="s">
        <v>1319</v>
      </c>
      <c r="K4560" s="93">
        <v>10.0</v>
      </c>
      <c r="L4560" s="112" t="s">
        <v>62</v>
      </c>
      <c r="M4560" s="113">
        <v>18000.0</v>
      </c>
      <c r="N4560" s="74"/>
      <c r="O4560" s="87">
        <f t="shared" si="11"/>
        <v>180000</v>
      </c>
      <c r="P4560" s="102" t="str">
        <f t="shared" si="2"/>
        <v>Rp18,000-10 LSN-0.00%</v>
      </c>
      <c r="Q4560" s="92">
        <v>45429.0</v>
      </c>
      <c r="R4560" s="76"/>
      <c r="S4560" s="92">
        <v>45433.0</v>
      </c>
      <c r="T4560" s="49"/>
      <c r="V4560" s="21" t="s">
        <v>3675</v>
      </c>
    </row>
    <row r="4561">
      <c r="A4561" s="93">
        <v>137.0</v>
      </c>
      <c r="B4561" s="77" t="s">
        <v>65</v>
      </c>
      <c r="C4561" s="77" t="s">
        <v>3875</v>
      </c>
      <c r="D4561" s="91"/>
      <c r="E4561" s="41" t="str">
        <f>IFERROR(__xludf.DUMMYFUNCTION("IFNA(vlookup(D4561,IMPORTRANGE(""https://docs.google.com/spreadsheets/d/1swGwZOEqYlTEUCJLY-eeJM1911Kvaei5oySBIxdgtNo/edit?pli=1#gid=257618397"",""stock untanna!B:C""),2,false),V:V)"),"BALLPEN G 3167")</f>
        <v>BALLPEN G 3167</v>
      </c>
      <c r="F4561" s="49"/>
      <c r="G4561" s="71"/>
      <c r="H4561" s="41"/>
      <c r="I4561" s="42"/>
      <c r="J4561" s="85" t="s">
        <v>3190</v>
      </c>
      <c r="K4561" s="93">
        <v>10.0</v>
      </c>
      <c r="L4561" s="112" t="s">
        <v>62</v>
      </c>
      <c r="M4561" s="113">
        <v>18000.0</v>
      </c>
      <c r="N4561" s="74"/>
      <c r="O4561" s="87">
        <f t="shared" si="11"/>
        <v>180000</v>
      </c>
      <c r="P4561" s="102" t="str">
        <f t="shared" si="2"/>
        <v>Rp18,000-10 LSN-0.00%</v>
      </c>
      <c r="Q4561" s="92">
        <v>45429.0</v>
      </c>
      <c r="R4561" s="76"/>
      <c r="S4561" s="92">
        <v>45433.0</v>
      </c>
      <c r="T4561" s="49"/>
      <c r="V4561" s="21" t="s">
        <v>3877</v>
      </c>
    </row>
    <row r="4562">
      <c r="A4562" s="93">
        <v>137.0</v>
      </c>
      <c r="B4562" s="77" t="s">
        <v>65</v>
      </c>
      <c r="C4562" s="77" t="s">
        <v>3875</v>
      </c>
      <c r="D4562" s="91"/>
      <c r="E4562" s="41" t="str">
        <f>IFERROR(__xludf.DUMMYFUNCTION("IFNA(vlookup(D4562,IMPORTRANGE(""https://docs.google.com/spreadsheets/d/1swGwZOEqYlTEUCJLY-eeJM1911Kvaei5oySBIxdgtNo/edit?pli=1#gid=257618397"",""stock untanna!B:C""),2,false),V:V)"),"BALLPEN G 3125")</f>
        <v>BALLPEN G 3125</v>
      </c>
      <c r="F4562" s="49"/>
      <c r="G4562" s="71"/>
      <c r="H4562" s="41"/>
      <c r="I4562" s="42"/>
      <c r="J4562" s="85" t="s">
        <v>3190</v>
      </c>
      <c r="K4562" s="93">
        <v>10.0</v>
      </c>
      <c r="L4562" s="112" t="s">
        <v>62</v>
      </c>
      <c r="M4562" s="113">
        <v>18000.0</v>
      </c>
      <c r="N4562" s="74"/>
      <c r="O4562" s="87">
        <f t="shared" si="11"/>
        <v>180000</v>
      </c>
      <c r="P4562" s="102" t="str">
        <f t="shared" si="2"/>
        <v>Rp18,000-10 LSN-0.00%</v>
      </c>
      <c r="Q4562" s="92">
        <v>45429.0</v>
      </c>
      <c r="R4562" s="76"/>
      <c r="S4562" s="92">
        <v>45433.0</v>
      </c>
      <c r="T4562" s="49"/>
      <c r="V4562" s="21" t="s">
        <v>3878</v>
      </c>
    </row>
    <row r="4563">
      <c r="A4563" s="93">
        <v>137.0</v>
      </c>
      <c r="B4563" s="77" t="s">
        <v>65</v>
      </c>
      <c r="C4563" s="77" t="s">
        <v>3875</v>
      </c>
      <c r="D4563" s="91"/>
      <c r="E4563" s="41" t="str">
        <f>IFERROR(__xludf.DUMMYFUNCTION("IFNA(vlookup(D4563,IMPORTRANGE(""https://docs.google.com/spreadsheets/d/1swGwZOEqYlTEUCJLY-eeJM1911Kvaei5oySBIxdgtNo/edit?pli=1#gid=257618397"",""stock untanna!B:C""),2,false),V:V)"),"BALLPEN G 3128")</f>
        <v>BALLPEN G 3128</v>
      </c>
      <c r="F4563" s="49"/>
      <c r="G4563" s="71"/>
      <c r="H4563" s="41"/>
      <c r="I4563" s="42"/>
      <c r="J4563" s="85" t="s">
        <v>3190</v>
      </c>
      <c r="K4563" s="93">
        <v>10.0</v>
      </c>
      <c r="L4563" s="112" t="s">
        <v>62</v>
      </c>
      <c r="M4563" s="113">
        <v>18000.0</v>
      </c>
      <c r="N4563" s="74"/>
      <c r="O4563" s="87">
        <f t="shared" si="11"/>
        <v>180000</v>
      </c>
      <c r="P4563" s="102" t="str">
        <f t="shared" si="2"/>
        <v>Rp18,000-10 LSN-0.00%</v>
      </c>
      <c r="Q4563" s="92">
        <v>45429.0</v>
      </c>
      <c r="R4563" s="76"/>
      <c r="S4563" s="92">
        <v>45433.0</v>
      </c>
      <c r="T4563" s="49"/>
      <c r="V4563" s="21" t="s">
        <v>3879</v>
      </c>
    </row>
    <row r="4564">
      <c r="A4564" s="93">
        <v>137.0</v>
      </c>
      <c r="B4564" s="77" t="s">
        <v>65</v>
      </c>
      <c r="C4564" s="77" t="s">
        <v>3875</v>
      </c>
      <c r="D4564" s="77" t="s">
        <v>1366</v>
      </c>
      <c r="E4564" s="41" t="str">
        <f>IFERROR(__xludf.DUMMYFUNCTION("IFNA(vlookup(D4564,IMPORTRANGE(""https://docs.google.com/spreadsheets/d/1swGwZOEqYlTEUCJLY-eeJM1911Kvaei5oySBIxdgtNo/edit?pli=1#gid=257618397"",""stock untanna!B:C""),2,false),V:V)"),"BP GEL ZHIXIN G 3122")</f>
        <v>BP GEL ZHIXIN G 3122</v>
      </c>
      <c r="F4564" s="49"/>
      <c r="G4564" s="71"/>
      <c r="H4564" s="41"/>
      <c r="I4564" s="42"/>
      <c r="J4564" s="85" t="s">
        <v>1319</v>
      </c>
      <c r="K4564" s="93">
        <v>10.0</v>
      </c>
      <c r="L4564" s="112" t="s">
        <v>62</v>
      </c>
      <c r="M4564" s="113">
        <v>18000.0</v>
      </c>
      <c r="N4564" s="74"/>
      <c r="O4564" s="87">
        <f t="shared" si="11"/>
        <v>180000</v>
      </c>
      <c r="P4564" s="102" t="str">
        <f t="shared" si="2"/>
        <v>Rp18,000-10 LSN-0.00%</v>
      </c>
      <c r="Q4564" s="92">
        <v>45429.0</v>
      </c>
      <c r="R4564" s="76"/>
      <c r="S4564" s="92">
        <v>45433.0</v>
      </c>
      <c r="T4564" s="49"/>
      <c r="V4564" s="21" t="s">
        <v>1367</v>
      </c>
    </row>
    <row r="4565">
      <c r="A4565" s="93">
        <v>137.0</v>
      </c>
      <c r="B4565" s="77" t="s">
        <v>65</v>
      </c>
      <c r="C4565" s="77" t="s">
        <v>3875</v>
      </c>
      <c r="D4565" s="77" t="s">
        <v>3692</v>
      </c>
      <c r="E4565" s="41" t="str">
        <f>IFERROR(__xludf.DUMMYFUNCTION("IFNA(vlookup(D4565,IMPORTRANGE(""https://docs.google.com/spreadsheets/d/1swGwZOEqYlTEUCJLY-eeJM1911Kvaei5oySBIxdgtNo/edit?pli=1#gid=257618397"",""stock untanna!B:C""),2,false),V:V)"),"BP TIZO TG 31590F FANCY")</f>
        <v>BP TIZO TG 31590F FANCY</v>
      </c>
      <c r="F4565" s="49"/>
      <c r="G4565" s="71"/>
      <c r="H4565" s="41"/>
      <c r="I4565" s="42"/>
      <c r="J4565" s="85" t="s">
        <v>1319</v>
      </c>
      <c r="K4565" s="93">
        <v>12.0</v>
      </c>
      <c r="L4565" s="112" t="s">
        <v>62</v>
      </c>
      <c r="M4565" s="113">
        <v>18000.0</v>
      </c>
      <c r="N4565" s="74"/>
      <c r="O4565" s="87">
        <f t="shared" si="11"/>
        <v>216000</v>
      </c>
      <c r="P4565" s="102" t="str">
        <f t="shared" si="2"/>
        <v>Rp18,000-12 LSN-0.00%</v>
      </c>
      <c r="Q4565" s="92">
        <v>45429.0</v>
      </c>
      <c r="R4565" s="76"/>
      <c r="S4565" s="92">
        <v>45433.0</v>
      </c>
      <c r="T4565" s="49"/>
      <c r="V4565" s="21" t="s">
        <v>3693</v>
      </c>
    </row>
    <row r="4566">
      <c r="A4566" s="93">
        <v>137.0</v>
      </c>
      <c r="B4566" s="77" t="s">
        <v>65</v>
      </c>
      <c r="C4566" s="77" t="s">
        <v>3875</v>
      </c>
      <c r="D4566" s="91"/>
      <c r="E4566" s="41" t="str">
        <f>IFERROR(__xludf.DUMMYFUNCTION("IFNA(vlookup(D4566,IMPORTRANGE(""https://docs.google.com/spreadsheets/d/1swGwZOEqYlTEUCJLY-eeJM1911Kvaei5oySBIxdgtNo/edit?pli=1#gid=257618397"",""stock untanna!B:C""),2,false),V:V)"),"BALLPEN G 3162")</f>
        <v>BALLPEN G 3162</v>
      </c>
      <c r="F4566" s="49"/>
      <c r="G4566" s="71"/>
      <c r="H4566" s="41"/>
      <c r="I4566" s="42"/>
      <c r="J4566" s="85" t="s">
        <v>3190</v>
      </c>
      <c r="K4566" s="93">
        <v>10.0</v>
      </c>
      <c r="L4566" s="112" t="s">
        <v>62</v>
      </c>
      <c r="M4566" s="113">
        <v>18000.0</v>
      </c>
      <c r="N4566" s="74"/>
      <c r="O4566" s="87">
        <f t="shared" si="11"/>
        <v>180000</v>
      </c>
      <c r="P4566" s="102" t="str">
        <f t="shared" si="2"/>
        <v>Rp18,000-10 LSN-0.00%</v>
      </c>
      <c r="Q4566" s="92">
        <v>45429.0</v>
      </c>
      <c r="R4566" s="76"/>
      <c r="S4566" s="92">
        <v>45433.0</v>
      </c>
      <c r="T4566" s="49"/>
      <c r="V4566" s="21" t="s">
        <v>3880</v>
      </c>
    </row>
    <row r="4567">
      <c r="A4567" s="93">
        <v>137.0</v>
      </c>
      <c r="B4567" s="77" t="s">
        <v>65</v>
      </c>
      <c r="C4567" s="77" t="s">
        <v>3875</v>
      </c>
      <c r="D4567" s="91"/>
      <c r="E4567" s="41" t="str">
        <f>IFERROR(__xludf.DUMMYFUNCTION("IFNA(vlookup(D4567,IMPORTRANGE(""https://docs.google.com/spreadsheets/d/1swGwZOEqYlTEUCJLY-eeJM1911Kvaei5oySBIxdgtNo/edit?pli=1#gid=257618397"",""stock untanna!B:C""),2,false),V:V)"),"BALLPEN G 3165")</f>
        <v>BALLPEN G 3165</v>
      </c>
      <c r="F4567" s="49"/>
      <c r="G4567" s="71"/>
      <c r="H4567" s="41"/>
      <c r="I4567" s="42"/>
      <c r="J4567" s="85" t="s">
        <v>3190</v>
      </c>
      <c r="K4567" s="93">
        <v>10.0</v>
      </c>
      <c r="L4567" s="112" t="s">
        <v>62</v>
      </c>
      <c r="M4567" s="113">
        <v>18000.0</v>
      </c>
      <c r="N4567" s="74"/>
      <c r="O4567" s="87">
        <f t="shared" si="11"/>
        <v>180000</v>
      </c>
      <c r="P4567" s="102" t="str">
        <f t="shared" si="2"/>
        <v>Rp18,000-10 LSN-0.00%</v>
      </c>
      <c r="Q4567" s="92">
        <v>45429.0</v>
      </c>
      <c r="R4567" s="76"/>
      <c r="S4567" s="92">
        <v>45433.0</v>
      </c>
      <c r="T4567" s="49"/>
      <c r="V4567" s="21" t="s">
        <v>3881</v>
      </c>
    </row>
    <row r="4568">
      <c r="A4568" s="93">
        <v>137.0</v>
      </c>
      <c r="B4568" s="77" t="s">
        <v>65</v>
      </c>
      <c r="C4568" s="77" t="s">
        <v>3875</v>
      </c>
      <c r="D4568" s="77" t="s">
        <v>3636</v>
      </c>
      <c r="E4568" s="41" t="str">
        <f>IFERROR(__xludf.DUMMYFUNCTION("IFNA(vlookup(D4568,IMPORTRANGE(""https://docs.google.com/spreadsheets/d/1swGwZOEqYlTEUCJLY-eeJM1911Kvaei5oySBIxdgtNo/edit?pli=1#gid=257618397"",""stock untanna!B:C""),2,false),V:V)"),"WATER COLOUR TFWC-010 (12X6ML)")</f>
        <v>WATER COLOUR TFWC-010 (12X6ML)</v>
      </c>
      <c r="F4568" s="49"/>
      <c r="G4568" s="71"/>
      <c r="H4568" s="41"/>
      <c r="I4568" s="42"/>
      <c r="J4568" s="85" t="s">
        <v>1319</v>
      </c>
      <c r="K4568" s="93">
        <v>24.0</v>
      </c>
      <c r="L4568" s="112" t="s">
        <v>84</v>
      </c>
      <c r="M4568" s="113">
        <v>15000.0</v>
      </c>
      <c r="N4568" s="74"/>
      <c r="O4568" s="87">
        <f t="shared" si="11"/>
        <v>360000</v>
      </c>
      <c r="P4568" s="102" t="str">
        <f t="shared" si="2"/>
        <v>Rp15,000-24 SET-0.00%</v>
      </c>
      <c r="Q4568" s="92">
        <v>45429.0</v>
      </c>
      <c r="R4568" s="76"/>
      <c r="S4568" s="92">
        <v>45433.0</v>
      </c>
      <c r="T4568" s="49"/>
      <c r="V4568" s="21" t="s">
        <v>3637</v>
      </c>
    </row>
    <row r="4569">
      <c r="A4569" s="93">
        <v>137.0</v>
      </c>
      <c r="B4569" s="77" t="s">
        <v>65</v>
      </c>
      <c r="C4569" s="77" t="s">
        <v>3875</v>
      </c>
      <c r="D4569" s="77" t="s">
        <v>428</v>
      </c>
      <c r="E4569" s="41" t="str">
        <f>IFERROR(__xludf.DUMMYFUNCTION("IFNA(vlookup(D4569,IMPORTRANGE(""https://docs.google.com/spreadsheets/d/1swGwZOEqYlTEUCJLY-eeJM1911Kvaei5oySBIxdgtNo/edit?pli=1#gid=257618397"",""stock untanna!B:C""),2,false),V:V)"),"CAT ACRYLIC TF 001")</f>
        <v>CAT ACRYLIC TF 001</v>
      </c>
      <c r="F4569" s="49"/>
      <c r="G4569" s="71"/>
      <c r="H4569" s="41"/>
      <c r="I4569" s="42"/>
      <c r="J4569" s="85" t="s">
        <v>1319</v>
      </c>
      <c r="K4569" s="93">
        <v>5.0</v>
      </c>
      <c r="L4569" s="112" t="s">
        <v>62</v>
      </c>
      <c r="M4569" s="113">
        <v>198000.0</v>
      </c>
      <c r="N4569" s="74"/>
      <c r="O4569" s="87">
        <f t="shared" si="11"/>
        <v>990000</v>
      </c>
      <c r="P4569" s="102" t="str">
        <f t="shared" si="2"/>
        <v>Rp198,000-5 LSN-0.00%</v>
      </c>
      <c r="Q4569" s="92">
        <v>45429.0</v>
      </c>
      <c r="R4569" s="76"/>
      <c r="S4569" s="92">
        <v>45433.0</v>
      </c>
      <c r="T4569" s="49"/>
      <c r="V4569" s="21" t="s">
        <v>429</v>
      </c>
    </row>
    <row r="4570">
      <c r="A4570" s="93">
        <v>138.0</v>
      </c>
      <c r="B4570" s="77" t="s">
        <v>65</v>
      </c>
      <c r="C4570" s="77" t="s">
        <v>3875</v>
      </c>
      <c r="D4570" s="77" t="s">
        <v>1577</v>
      </c>
      <c r="E4570" s="41" t="str">
        <f>IFERROR(__xludf.DUMMYFUNCTION("IFNA(vlookup(D4570,IMPORTRANGE(""https://docs.google.com/spreadsheets/d/1swGwZOEqYlTEUCJLY-eeJM1911Kvaei5oySBIxdgtNo/edit?pli=1#gid=257618397"",""stock untanna!B:C""),2,false),V:V)"),"STABILLO TIZO TF610")</f>
        <v>STABILLO TIZO TF610</v>
      </c>
      <c r="F4570" s="49"/>
      <c r="G4570" s="71"/>
      <c r="H4570" s="41"/>
      <c r="I4570" s="42"/>
      <c r="J4570" s="85" t="s">
        <v>1319</v>
      </c>
      <c r="K4570" s="93">
        <v>3.0</v>
      </c>
      <c r="L4570" s="112" t="s">
        <v>88</v>
      </c>
      <c r="M4570" s="113">
        <v>120000.0</v>
      </c>
      <c r="N4570" s="74"/>
      <c r="O4570" s="87">
        <f t="shared" si="11"/>
        <v>360000</v>
      </c>
      <c r="P4570" s="102" t="str">
        <f t="shared" si="2"/>
        <v>Rp120,000-3 BOX-0.00%</v>
      </c>
      <c r="Q4570" s="92">
        <v>45429.0</v>
      </c>
      <c r="R4570" s="76"/>
      <c r="S4570" s="92">
        <v>45433.0</v>
      </c>
      <c r="T4570" s="49"/>
      <c r="V4570" s="21" t="s">
        <v>1578</v>
      </c>
    </row>
    <row r="4571">
      <c r="A4571" s="93">
        <v>138.0</v>
      </c>
      <c r="B4571" s="77" t="s">
        <v>65</v>
      </c>
      <c r="C4571" s="77" t="s">
        <v>3875</v>
      </c>
      <c r="D4571" s="77" t="s">
        <v>3527</v>
      </c>
      <c r="E4571" s="41" t="str">
        <f>IFERROR(__xludf.DUMMYFUNCTION("IFNA(vlookup(D4571,IMPORTRANGE(""https://docs.google.com/spreadsheets/d/1swGwZOEqYlTEUCJLY-eeJM1911Kvaei5oySBIxdgtNo/edit?pli=1#gid=257618397"",""stock untanna!B:C""),2,false),V:V)"),"TIPEX KERTAS 0821")</f>
        <v>TIPEX KERTAS 0821</v>
      </c>
      <c r="F4571" s="49"/>
      <c r="G4571" s="71"/>
      <c r="H4571" s="41"/>
      <c r="I4571" s="42"/>
      <c r="J4571" s="85" t="s">
        <v>1319</v>
      </c>
      <c r="K4571" s="93">
        <v>4.0</v>
      </c>
      <c r="L4571" s="112" t="s">
        <v>62</v>
      </c>
      <c r="M4571" s="113">
        <v>26500.0</v>
      </c>
      <c r="N4571" s="74"/>
      <c r="O4571" s="87">
        <f t="shared" si="11"/>
        <v>106000</v>
      </c>
      <c r="P4571" s="102" t="str">
        <f t="shared" si="2"/>
        <v>Rp26,500-4 LSN-0.00%</v>
      </c>
      <c r="Q4571" s="92">
        <v>45429.0</v>
      </c>
      <c r="R4571" s="76"/>
      <c r="S4571" s="92">
        <v>45433.0</v>
      </c>
      <c r="T4571" s="49"/>
      <c r="V4571" s="21" t="s">
        <v>3528</v>
      </c>
    </row>
    <row r="4572">
      <c r="A4572" s="93">
        <v>138.0</v>
      </c>
      <c r="B4572" s="77" t="s">
        <v>65</v>
      </c>
      <c r="C4572" s="77" t="s">
        <v>3875</v>
      </c>
      <c r="D4572" s="91"/>
      <c r="E4572" s="41" t="str">
        <f>IFERROR(__xludf.DUMMYFUNCTION("IFNA(vlookup(D4572,IMPORTRANGE(""https://docs.google.com/spreadsheets/d/1swGwZOEqYlTEUCJLY-eeJM1911Kvaei5oySBIxdgtNo/edit?pli=1#gid=257618397"",""stock untanna!B:C""),2,false),V:V)"),"TIPEX 0847")</f>
        <v>TIPEX 0847</v>
      </c>
      <c r="F4572" s="49"/>
      <c r="G4572" s="71"/>
      <c r="H4572" s="41"/>
      <c r="I4572" s="42"/>
      <c r="J4572" s="85" t="s">
        <v>3190</v>
      </c>
      <c r="K4572" s="93">
        <v>4.0</v>
      </c>
      <c r="L4572" s="112" t="s">
        <v>62</v>
      </c>
      <c r="M4572" s="113">
        <v>26500.0</v>
      </c>
      <c r="N4572" s="74"/>
      <c r="O4572" s="87">
        <f t="shared" si="11"/>
        <v>106000</v>
      </c>
      <c r="P4572" s="102" t="str">
        <f t="shared" si="2"/>
        <v>Rp26,500-4 LSN-0.00%</v>
      </c>
      <c r="Q4572" s="92">
        <v>45429.0</v>
      </c>
      <c r="R4572" s="76"/>
      <c r="S4572" s="92">
        <v>45433.0</v>
      </c>
      <c r="T4572" s="49"/>
      <c r="V4572" s="21" t="s">
        <v>3882</v>
      </c>
    </row>
    <row r="4573">
      <c r="A4573" s="93">
        <v>138.0</v>
      </c>
      <c r="B4573" s="77" t="s">
        <v>65</v>
      </c>
      <c r="C4573" s="77" t="s">
        <v>3875</v>
      </c>
      <c r="D4573" s="91"/>
      <c r="E4573" s="41" t="str">
        <f>IFERROR(__xludf.DUMMYFUNCTION("IFNA(vlookup(D4573,IMPORTRANGE(""https://docs.google.com/spreadsheets/d/1swGwZOEqYlTEUCJLY-eeJM1911Kvaei5oySBIxdgtNo/edit?pli=1#gid=257618397"",""stock untanna!B:C""),2,false),V:V)"),"TIPEX 0857")</f>
        <v>TIPEX 0857</v>
      </c>
      <c r="F4573" s="49"/>
      <c r="G4573" s="71"/>
      <c r="H4573" s="41"/>
      <c r="I4573" s="42"/>
      <c r="J4573" s="85" t="s">
        <v>3190</v>
      </c>
      <c r="K4573" s="93">
        <v>4.0</v>
      </c>
      <c r="L4573" s="112" t="s">
        <v>62</v>
      </c>
      <c r="M4573" s="113">
        <v>26500.0</v>
      </c>
      <c r="N4573" s="74"/>
      <c r="O4573" s="87">
        <f t="shared" si="11"/>
        <v>106000</v>
      </c>
      <c r="P4573" s="102" t="str">
        <f t="shared" si="2"/>
        <v>Rp26,500-4 LSN-0.00%</v>
      </c>
      <c r="Q4573" s="92">
        <v>45429.0</v>
      </c>
      <c r="R4573" s="76"/>
      <c r="S4573" s="92">
        <v>45433.0</v>
      </c>
      <c r="T4573" s="49"/>
      <c r="V4573" s="21" t="s">
        <v>3883</v>
      </c>
    </row>
    <row r="4574">
      <c r="A4574" s="93">
        <v>138.0</v>
      </c>
      <c r="B4574" s="77" t="s">
        <v>65</v>
      </c>
      <c r="C4574" s="77" t="s">
        <v>3875</v>
      </c>
      <c r="D4574" s="91"/>
      <c r="E4574" s="41" t="str">
        <f>IFERROR(__xludf.DUMMYFUNCTION("IFNA(vlookup(D4574,IMPORTRANGE(""https://docs.google.com/spreadsheets/d/1swGwZOEqYlTEUCJLY-eeJM1911Kvaei5oySBIxdgtNo/edit?pli=1#gid=257618397"",""stock untanna!B:C""),2,false),V:V)"),"TIPEX 0888HIJAU")</f>
        <v>TIPEX 0888HIJAU</v>
      </c>
      <c r="F4574" s="49"/>
      <c r="G4574" s="71"/>
      <c r="H4574" s="41"/>
      <c r="I4574" s="42"/>
      <c r="J4574" s="85" t="s">
        <v>3190</v>
      </c>
      <c r="K4574" s="93">
        <v>4.0</v>
      </c>
      <c r="L4574" s="112" t="s">
        <v>62</v>
      </c>
      <c r="M4574" s="113">
        <v>26500.0</v>
      </c>
      <c r="N4574" s="74"/>
      <c r="O4574" s="87">
        <f t="shared" si="11"/>
        <v>106000</v>
      </c>
      <c r="P4574" s="102" t="str">
        <f t="shared" si="2"/>
        <v>Rp26,500-4 LSN-0.00%</v>
      </c>
      <c r="Q4574" s="92">
        <v>45429.0</v>
      </c>
      <c r="R4574" s="76"/>
      <c r="S4574" s="92">
        <v>45433.0</v>
      </c>
      <c r="T4574" s="49"/>
      <c r="V4574" s="21" t="s">
        <v>3884</v>
      </c>
    </row>
    <row r="4575">
      <c r="A4575" s="93">
        <v>138.0</v>
      </c>
      <c r="B4575" s="77" t="s">
        <v>65</v>
      </c>
      <c r="C4575" s="77" t="s">
        <v>3875</v>
      </c>
      <c r="D4575" s="77" t="s">
        <v>3530</v>
      </c>
      <c r="E4575" s="41" t="str">
        <f>IFERROR(__xludf.DUMMYFUNCTION("IFNA(vlookup(D4575,IMPORTRANGE(""https://docs.google.com/spreadsheets/d/1swGwZOEqYlTEUCJLY-eeJM1911Kvaei5oySBIxdgtNo/edit?pli=1#gid=257618397"",""stock untanna!B:C""),2,false),V:V)"),"TIPEX KERTAS 0831 DISNEY")</f>
        <v>TIPEX KERTAS 0831 DISNEY</v>
      </c>
      <c r="F4575" s="49"/>
      <c r="G4575" s="71"/>
      <c r="H4575" s="41"/>
      <c r="I4575" s="42"/>
      <c r="J4575" s="85" t="s">
        <v>1319</v>
      </c>
      <c r="K4575" s="93">
        <v>48.0</v>
      </c>
      <c r="L4575" s="112" t="s">
        <v>69</v>
      </c>
      <c r="M4575" s="113">
        <v>2208.33</v>
      </c>
      <c r="N4575" s="74"/>
      <c r="O4575" s="87">
        <f t="shared" si="11"/>
        <v>105999.84</v>
      </c>
      <c r="P4575" s="102" t="str">
        <f t="shared" si="2"/>
        <v>Rp2,208-48 PCS-0.00%</v>
      </c>
      <c r="Q4575" s="92">
        <v>45429.0</v>
      </c>
      <c r="R4575" s="76"/>
      <c r="S4575" s="92">
        <v>45433.0</v>
      </c>
      <c r="T4575" s="49"/>
      <c r="V4575" s="21" t="s">
        <v>3531</v>
      </c>
    </row>
    <row r="4576">
      <c r="A4576" s="93">
        <v>138.0</v>
      </c>
      <c r="B4576" s="77" t="s">
        <v>65</v>
      </c>
      <c r="C4576" s="77" t="s">
        <v>3875</v>
      </c>
      <c r="D4576" s="77" t="s">
        <v>82</v>
      </c>
      <c r="E4576" s="41" t="str">
        <f>IFERROR(__xludf.DUMMYFUNCTION("IFNA(vlookup(D4576,IMPORTRANGE(""https://docs.google.com/spreadsheets/d/1swGwZOEqYlTEUCJLY-eeJM1911Kvaei5oySBIxdgtNo/edit?pli=1#gid=257618397"",""stock untanna!B:C""),2,false),V:V)"),"STABILLO BRUSH MARKER PEN WB TF-1050 12W")</f>
        <v>STABILLO BRUSH MARKER PEN WB TF-1050 12W</v>
      </c>
      <c r="F4576" s="49"/>
      <c r="G4576" s="71"/>
      <c r="H4576" s="41"/>
      <c r="I4576" s="42"/>
      <c r="J4576" s="85" t="s">
        <v>1319</v>
      </c>
      <c r="K4576" s="93">
        <v>12.0</v>
      </c>
      <c r="L4576" s="112" t="s">
        <v>84</v>
      </c>
      <c r="M4576" s="113">
        <v>16000.0</v>
      </c>
      <c r="N4576" s="74"/>
      <c r="O4576" s="87">
        <f t="shared" si="11"/>
        <v>192000</v>
      </c>
      <c r="P4576" s="102" t="str">
        <f t="shared" si="2"/>
        <v>Rp16,000-12 SET-0.00%</v>
      </c>
      <c r="Q4576" s="92">
        <v>45429.0</v>
      </c>
      <c r="R4576" s="76"/>
      <c r="S4576" s="92">
        <v>45433.0</v>
      </c>
      <c r="T4576" s="49"/>
      <c r="V4576" s="21" t="s">
        <v>83</v>
      </c>
    </row>
    <row r="4577">
      <c r="A4577" s="93">
        <v>138.0</v>
      </c>
      <c r="B4577" s="77" t="s">
        <v>65</v>
      </c>
      <c r="C4577" s="77" t="s">
        <v>3875</v>
      </c>
      <c r="D4577" s="77" t="s">
        <v>3211</v>
      </c>
      <c r="E4577" s="41" t="str">
        <f>IFERROR(__xludf.DUMMYFUNCTION("IFNA(vlookup(D4577,IMPORTRANGE(""https://docs.google.com/spreadsheets/d/1swGwZOEqYlTEUCJLY-eeJM1911Kvaei5oySBIxdgtNo/edit?pli=1#gid=257618397"",""stock untanna!B:C""),2,false),V:V)"),"SAMPUL METALIK KWARTO WORRY (2)")</f>
        <v>SAMPUL METALIK KWARTO WORRY (2)</v>
      </c>
      <c r="F4577" s="49"/>
      <c r="G4577" s="71"/>
      <c r="H4577" s="41"/>
      <c r="I4577" s="42"/>
      <c r="J4577" s="85" t="s">
        <v>1319</v>
      </c>
      <c r="K4577" s="93">
        <v>50.0</v>
      </c>
      <c r="L4577" s="112" t="s">
        <v>114</v>
      </c>
      <c r="M4577" s="113">
        <v>15000.0</v>
      </c>
      <c r="N4577" s="74"/>
      <c r="O4577" s="87">
        <f t="shared" si="11"/>
        <v>750000</v>
      </c>
      <c r="P4577" s="102" t="str">
        <f t="shared" si="2"/>
        <v>Rp15,000-50 PAK-0.00%</v>
      </c>
      <c r="Q4577" s="92">
        <v>45429.0</v>
      </c>
      <c r="R4577" s="76"/>
      <c r="S4577" s="92">
        <v>45433.0</v>
      </c>
      <c r="T4577" s="49"/>
      <c r="V4577" s="21" t="s">
        <v>3212</v>
      </c>
    </row>
    <row r="4578">
      <c r="A4578" s="93">
        <v>138.0</v>
      </c>
      <c r="B4578" s="77" t="s">
        <v>65</v>
      </c>
      <c r="C4578" s="77" t="s">
        <v>3875</v>
      </c>
      <c r="D4578" s="77" t="s">
        <v>3885</v>
      </c>
      <c r="E4578" s="41" t="str">
        <f>IFERROR(__xludf.DUMMYFUNCTION("IFNA(vlookup(D4578,IMPORTRANGE(""https://docs.google.com/spreadsheets/d/1swGwZOEqYlTEUCJLY-eeJM1911Kvaei5oySBIxdgtNo/edit?pli=1#gid=257618397"",""stock untanna!B:C""),2,false),V:V)"),"PENSIL CASE 168-28")</f>
        <v>PENSIL CASE 168-28</v>
      </c>
      <c r="F4578" s="49"/>
      <c r="G4578" s="71"/>
      <c r="H4578" s="41"/>
      <c r="I4578" s="42"/>
      <c r="J4578" s="85" t="s">
        <v>1319</v>
      </c>
      <c r="K4578" s="93">
        <v>12.0</v>
      </c>
      <c r="L4578" s="112" t="s">
        <v>69</v>
      </c>
      <c r="M4578" s="113">
        <v>20833.3</v>
      </c>
      <c r="N4578" s="74"/>
      <c r="O4578" s="87">
        <f t="shared" si="11"/>
        <v>249999.6</v>
      </c>
      <c r="P4578" s="102" t="str">
        <f t="shared" si="2"/>
        <v>Rp20,833-12 PCS-0.00%</v>
      </c>
      <c r="Q4578" s="92">
        <v>45429.0</v>
      </c>
      <c r="R4578" s="76"/>
      <c r="S4578" s="92">
        <v>45433.0</v>
      </c>
      <c r="T4578" s="49"/>
      <c r="V4578" s="21" t="s">
        <v>3886</v>
      </c>
    </row>
    <row r="4579">
      <c r="A4579" s="93">
        <v>138.0</v>
      </c>
      <c r="B4579" s="77" t="s">
        <v>65</v>
      </c>
      <c r="C4579" s="77" t="s">
        <v>3875</v>
      </c>
      <c r="D4579" s="77" t="s">
        <v>582</v>
      </c>
      <c r="E4579" s="41" t="str">
        <f>IFERROR(__xludf.DUMMYFUNCTION("IFNA(vlookup(D4579,IMPORTRANGE(""https://docs.google.com/spreadsheets/d/1swGwZOEqYlTEUCJLY-eeJM1911Kvaei5oySBIxdgtNo/edit?pli=1#gid=257618397"",""stock untanna!B:C""),2,false),V:V)"),"PENCIL CASE DZ-0065 MAGNET")</f>
        <v>PENCIL CASE DZ-0065 MAGNET</v>
      </c>
      <c r="F4579" s="49"/>
      <c r="G4579" s="71"/>
      <c r="H4579" s="41"/>
      <c r="I4579" s="42"/>
      <c r="J4579" s="85" t="s">
        <v>1319</v>
      </c>
      <c r="K4579" s="93">
        <v>12.0</v>
      </c>
      <c r="L4579" s="112" t="s">
        <v>69</v>
      </c>
      <c r="M4579" s="113">
        <v>12500.0</v>
      </c>
      <c r="N4579" s="74"/>
      <c r="O4579" s="87">
        <f t="shared" si="11"/>
        <v>150000</v>
      </c>
      <c r="P4579" s="102" t="str">
        <f t="shared" si="2"/>
        <v>Rp12,500-12 PCS-0.00%</v>
      </c>
      <c r="Q4579" s="92">
        <v>45429.0</v>
      </c>
      <c r="R4579" s="76"/>
      <c r="S4579" s="92">
        <v>45433.0</v>
      </c>
      <c r="T4579" s="49"/>
      <c r="V4579" s="21" t="s">
        <v>583</v>
      </c>
    </row>
    <row r="4580">
      <c r="A4580" s="93">
        <v>138.0</v>
      </c>
      <c r="B4580" s="77" t="s">
        <v>65</v>
      </c>
      <c r="C4580" s="77" t="s">
        <v>3875</v>
      </c>
      <c r="D4580" s="77" t="s">
        <v>2096</v>
      </c>
      <c r="E4580" s="41" t="str">
        <f>IFERROR(__xludf.DUMMYFUNCTION("IFNA(vlookup(D4580,IMPORTRANGE(""https://docs.google.com/spreadsheets/d/1swGwZOEqYlTEUCJLY-eeJM1911Kvaei5oySBIxdgtNo/edit?pli=1#gid=257618397"",""stock untanna!B:C""),2,false),V:V)"),"PENSIL CASE AC-2860-3")</f>
        <v>PENSIL CASE AC-2860-3</v>
      </c>
      <c r="F4580" s="49"/>
      <c r="G4580" s="71"/>
      <c r="H4580" s="41"/>
      <c r="I4580" s="42"/>
      <c r="J4580" s="85" t="s">
        <v>1319</v>
      </c>
      <c r="K4580" s="93">
        <v>12.0</v>
      </c>
      <c r="L4580" s="112" t="s">
        <v>69</v>
      </c>
      <c r="M4580" s="113">
        <v>14500.0</v>
      </c>
      <c r="N4580" s="74"/>
      <c r="O4580" s="87">
        <f t="shared" si="11"/>
        <v>174000</v>
      </c>
      <c r="P4580" s="102" t="str">
        <f t="shared" si="2"/>
        <v>Rp14,500-12 PCS-0.00%</v>
      </c>
      <c r="Q4580" s="92">
        <v>45429.0</v>
      </c>
      <c r="R4580" s="76"/>
      <c r="S4580" s="92">
        <v>45433.0</v>
      </c>
      <c r="T4580" s="49"/>
      <c r="V4580" s="21" t="s">
        <v>2097</v>
      </c>
    </row>
    <row r="4581">
      <c r="A4581" s="93">
        <v>138.0</v>
      </c>
      <c r="B4581" s="77" t="s">
        <v>65</v>
      </c>
      <c r="C4581" s="77" t="s">
        <v>3875</v>
      </c>
      <c r="D4581" s="77" t="s">
        <v>419</v>
      </c>
      <c r="E4581" s="41" t="str">
        <f>IFERROR(__xludf.DUMMYFUNCTION("IFNA(vlookup(D4581,IMPORTRANGE(""https://docs.google.com/spreadsheets/d/1swGwZOEqYlTEUCJLY-eeJM1911Kvaei5oySBIxdgtNo/edit?pli=1#gid=257618397"",""stock untanna!B:C""),2,false),V:V)"),"BP GEL ZUI XUA HY-1020 HITAM")</f>
        <v>BP GEL ZUI XUA HY-1020 HITAM</v>
      </c>
      <c r="F4581" s="49"/>
      <c r="G4581" s="71"/>
      <c r="H4581" s="41"/>
      <c r="I4581" s="42"/>
      <c r="J4581" s="85" t="s">
        <v>1319</v>
      </c>
      <c r="K4581" s="93">
        <v>384.0</v>
      </c>
      <c r="L4581" s="112" t="s">
        <v>62</v>
      </c>
      <c r="M4581" s="113">
        <v>10500.0</v>
      </c>
      <c r="N4581" s="74"/>
      <c r="O4581" s="87">
        <f t="shared" si="11"/>
        <v>4032000</v>
      </c>
      <c r="P4581" s="102" t="str">
        <f t="shared" si="2"/>
        <v>Rp10,500-384 LSN-0.00%</v>
      </c>
      <c r="Q4581" s="92">
        <v>45429.0</v>
      </c>
      <c r="R4581" s="76"/>
      <c r="S4581" s="92">
        <v>45433.0</v>
      </c>
      <c r="T4581" s="49"/>
      <c r="V4581" s="21" t="s">
        <v>3281</v>
      </c>
    </row>
    <row r="4582">
      <c r="A4582" s="93">
        <v>139.0</v>
      </c>
      <c r="B4582" s="77" t="s">
        <v>65</v>
      </c>
      <c r="C4582" s="77" t="s">
        <v>2469</v>
      </c>
      <c r="D4582" s="91"/>
      <c r="E4582" s="41" t="str">
        <f>IFERROR(__xludf.DUMMYFUNCTION("IFNA(vlookup(D4582,IMPORTRANGE(""https://docs.google.com/spreadsheets/d/1swGwZOEqYlTEUCJLY-eeJM1911Kvaei5oySBIxdgtNo/edit?pli=1#gid=257618397"",""stock untanna!B:C""),2,false),V:V)"),"TALI ID CARD SET 168 HIJAU")</f>
        <v>TALI ID CARD SET 168 HIJAU</v>
      </c>
      <c r="F4582" s="49"/>
      <c r="G4582" s="71"/>
      <c r="H4582" s="41"/>
      <c r="I4582" s="42"/>
      <c r="J4582" s="85" t="s">
        <v>3190</v>
      </c>
      <c r="K4582" s="93">
        <v>100.0</v>
      </c>
      <c r="L4582" s="112" t="s">
        <v>69</v>
      </c>
      <c r="M4582" s="113">
        <v>3000.0</v>
      </c>
      <c r="N4582" s="115">
        <v>0.1</v>
      </c>
      <c r="O4582" s="87">
        <f t="shared" si="11"/>
        <v>270000</v>
      </c>
      <c r="P4582" s="102" t="str">
        <f t="shared" si="2"/>
        <v>Rp3,000-100 PCS-10.00%</v>
      </c>
      <c r="Q4582" s="92">
        <v>45429.0</v>
      </c>
      <c r="R4582" s="76"/>
      <c r="S4582" s="92">
        <v>45433.0</v>
      </c>
      <c r="T4582" s="49"/>
      <c r="V4582" s="21" t="s">
        <v>3887</v>
      </c>
    </row>
    <row r="4583">
      <c r="A4583" s="93">
        <v>139.0</v>
      </c>
      <c r="B4583" s="77" t="s">
        <v>65</v>
      </c>
      <c r="C4583" s="77" t="s">
        <v>2469</v>
      </c>
      <c r="D4583" s="91"/>
      <c r="E4583" s="41" t="str">
        <f>IFERROR(__xludf.DUMMYFUNCTION("IFNA(vlookup(D4583,IMPORTRANGE(""https://docs.google.com/spreadsheets/d/1swGwZOEqYlTEUCJLY-eeJM1911Kvaei5oySBIxdgtNo/edit?pli=1#gid=257618397"",""stock untanna!B:C""),2,false),V:V)"),"TALI ID CARD SET 168 BR MUDA")</f>
        <v>TALI ID CARD SET 168 BR MUDA</v>
      </c>
      <c r="F4583" s="49"/>
      <c r="G4583" s="71"/>
      <c r="H4583" s="41"/>
      <c r="I4583" s="42"/>
      <c r="J4583" s="85" t="s">
        <v>3190</v>
      </c>
      <c r="K4583" s="93">
        <v>100.0</v>
      </c>
      <c r="L4583" s="112" t="s">
        <v>69</v>
      </c>
      <c r="M4583" s="113">
        <v>3000.0</v>
      </c>
      <c r="N4583" s="115">
        <v>0.1</v>
      </c>
      <c r="O4583" s="87">
        <f t="shared" si="11"/>
        <v>270000</v>
      </c>
      <c r="P4583" s="102" t="str">
        <f t="shared" si="2"/>
        <v>Rp3,000-100 PCS-10.00%</v>
      </c>
      <c r="Q4583" s="92">
        <v>45429.0</v>
      </c>
      <c r="R4583" s="76"/>
      <c r="S4583" s="92">
        <v>45433.0</v>
      </c>
      <c r="T4583" s="49"/>
      <c r="V4583" s="21" t="s">
        <v>3888</v>
      </c>
    </row>
    <row r="4584">
      <c r="A4584" s="93">
        <v>139.0</v>
      </c>
      <c r="B4584" s="77" t="s">
        <v>65</v>
      </c>
      <c r="C4584" s="77" t="s">
        <v>2469</v>
      </c>
      <c r="D4584" s="91"/>
      <c r="E4584" s="41" t="str">
        <f>IFERROR(__xludf.DUMMYFUNCTION("IFNA(vlookup(D4584,IMPORTRANGE(""https://docs.google.com/spreadsheets/d/1swGwZOEqYlTEUCJLY-eeJM1911Kvaei5oySBIxdgtNo/edit?pli=1#gid=257618397"",""stock untanna!B:C""),2,false),V:V)"),"TALI ID CARD SET 168 BR TUA")</f>
        <v>TALI ID CARD SET 168 BR TUA</v>
      </c>
      <c r="F4584" s="49"/>
      <c r="G4584" s="71"/>
      <c r="H4584" s="41"/>
      <c r="I4584" s="42"/>
      <c r="J4584" s="85" t="s">
        <v>3190</v>
      </c>
      <c r="K4584" s="93">
        <v>100.0</v>
      </c>
      <c r="L4584" s="112" t="s">
        <v>69</v>
      </c>
      <c r="M4584" s="113">
        <v>3000.0</v>
      </c>
      <c r="N4584" s="115">
        <v>0.1</v>
      </c>
      <c r="O4584" s="87">
        <f t="shared" si="11"/>
        <v>270000</v>
      </c>
      <c r="P4584" s="102" t="str">
        <f t="shared" si="2"/>
        <v>Rp3,000-100 PCS-10.00%</v>
      </c>
      <c r="Q4584" s="92">
        <v>45429.0</v>
      </c>
      <c r="R4584" s="76"/>
      <c r="S4584" s="92">
        <v>45433.0</v>
      </c>
      <c r="T4584" s="49"/>
      <c r="V4584" s="21" t="s">
        <v>3889</v>
      </c>
    </row>
    <row r="4585">
      <c r="A4585" s="93">
        <v>139.0</v>
      </c>
      <c r="B4585" s="77" t="s">
        <v>65</v>
      </c>
      <c r="C4585" s="77" t="s">
        <v>2469</v>
      </c>
      <c r="D4585" s="91"/>
      <c r="E4585" s="41" t="str">
        <f>IFERROR(__xludf.DUMMYFUNCTION("IFNA(vlookup(D4585,IMPORTRANGE(""https://docs.google.com/spreadsheets/d/1swGwZOEqYlTEUCJLY-eeJM1911Kvaei5oySBIxdgtNo/edit?pli=1#gid=257618397"",""stock untanna!B:C""),2,false),V:V)"),"TALI ID CARD SET 168 MERAH")</f>
        <v>TALI ID CARD SET 168 MERAH</v>
      </c>
      <c r="F4585" s="49"/>
      <c r="G4585" s="71"/>
      <c r="H4585" s="41"/>
      <c r="I4585" s="42"/>
      <c r="J4585" s="85" t="s">
        <v>3190</v>
      </c>
      <c r="K4585" s="93">
        <v>100.0</v>
      </c>
      <c r="L4585" s="112" t="s">
        <v>69</v>
      </c>
      <c r="M4585" s="113">
        <v>3000.0</v>
      </c>
      <c r="N4585" s="115">
        <v>0.1</v>
      </c>
      <c r="O4585" s="87">
        <f t="shared" si="11"/>
        <v>270000</v>
      </c>
      <c r="P4585" s="102" t="str">
        <f t="shared" si="2"/>
        <v>Rp3,000-100 PCS-10.00%</v>
      </c>
      <c r="Q4585" s="92">
        <v>45429.0</v>
      </c>
      <c r="R4585" s="76"/>
      <c r="S4585" s="92">
        <v>45433.0</v>
      </c>
      <c r="T4585" s="49"/>
      <c r="V4585" s="21" t="s">
        <v>3890</v>
      </c>
    </row>
    <row r="4586">
      <c r="A4586" s="93">
        <v>139.0</v>
      </c>
      <c r="B4586" s="77" t="s">
        <v>65</v>
      </c>
      <c r="C4586" s="77" t="s">
        <v>2469</v>
      </c>
      <c r="D4586" s="91"/>
      <c r="E4586" s="41" t="str">
        <f>IFERROR(__xludf.DUMMYFUNCTION("IFNA(vlookup(D4586,IMPORTRANGE(""https://docs.google.com/spreadsheets/d/1swGwZOEqYlTEUCJLY-eeJM1911Kvaei5oySBIxdgtNo/edit?pli=1#gid=257618397"",""stock untanna!B:C""),2,false),V:V)"),"TALI ID CARD SET 168 PUTIH")</f>
        <v>TALI ID CARD SET 168 PUTIH</v>
      </c>
      <c r="F4586" s="49"/>
      <c r="G4586" s="71"/>
      <c r="H4586" s="41"/>
      <c r="I4586" s="42"/>
      <c r="J4586" s="85" t="s">
        <v>3190</v>
      </c>
      <c r="K4586" s="93">
        <v>50.0</v>
      </c>
      <c r="L4586" s="112" t="s">
        <v>69</v>
      </c>
      <c r="M4586" s="113">
        <v>3000.0</v>
      </c>
      <c r="N4586" s="115">
        <v>0.1</v>
      </c>
      <c r="O4586" s="87">
        <f t="shared" si="11"/>
        <v>135000</v>
      </c>
      <c r="P4586" s="102" t="str">
        <f t="shared" si="2"/>
        <v>Rp3,000-50 PCS-10.00%</v>
      </c>
      <c r="Q4586" s="92">
        <v>45429.0</v>
      </c>
      <c r="R4586" s="76"/>
      <c r="S4586" s="92">
        <v>45433.0</v>
      </c>
      <c r="T4586" s="49"/>
      <c r="V4586" s="21" t="s">
        <v>3891</v>
      </c>
    </row>
    <row r="4587">
      <c r="A4587" s="93">
        <v>139.0</v>
      </c>
      <c r="B4587" s="77" t="s">
        <v>65</v>
      </c>
      <c r="C4587" s="77" t="s">
        <v>2469</v>
      </c>
      <c r="D4587" s="91"/>
      <c r="E4587" s="41" t="str">
        <f>IFERROR(__xludf.DUMMYFUNCTION("IFNA(vlookup(D4587,IMPORTRANGE(""https://docs.google.com/spreadsheets/d/1swGwZOEqYlTEUCJLY-eeJM1911Kvaei5oySBIxdgtNo/edit?pli=1#gid=257618397"",""stock untanna!B:C""),2,false),V:V)"),"TALI ID CARD SET 168 ABU ABU")</f>
        <v>TALI ID CARD SET 168 ABU ABU</v>
      </c>
      <c r="F4587" s="49"/>
      <c r="G4587" s="71"/>
      <c r="H4587" s="41"/>
      <c r="I4587" s="42"/>
      <c r="J4587" s="85" t="s">
        <v>3190</v>
      </c>
      <c r="K4587" s="93">
        <v>50.0</v>
      </c>
      <c r="L4587" s="112" t="s">
        <v>69</v>
      </c>
      <c r="M4587" s="113">
        <v>3000.0</v>
      </c>
      <c r="N4587" s="115">
        <v>0.1</v>
      </c>
      <c r="O4587" s="87">
        <f t="shared" si="11"/>
        <v>135000</v>
      </c>
      <c r="P4587" s="102" t="str">
        <f t="shared" si="2"/>
        <v>Rp3,000-50 PCS-10.00%</v>
      </c>
      <c r="Q4587" s="92">
        <v>45429.0</v>
      </c>
      <c r="R4587" s="76"/>
      <c r="S4587" s="92">
        <v>45433.0</v>
      </c>
      <c r="T4587" s="49"/>
      <c r="V4587" s="21" t="s">
        <v>3892</v>
      </c>
    </row>
    <row r="4588">
      <c r="A4588" s="93">
        <v>315.0</v>
      </c>
      <c r="B4588" s="91"/>
      <c r="C4588" s="77" t="s">
        <v>2603</v>
      </c>
      <c r="D4588" s="77" t="s">
        <v>1198</v>
      </c>
      <c r="E4588" s="41" t="str">
        <f>IFERROR(__xludf.DUMMYFUNCTION("IFNA(vlookup(D4588,IMPORTRANGE(""https://docs.google.com/spreadsheets/d/1swGwZOEqYlTEUCJLY-eeJM1911Kvaei5oySBIxdgtNo/edit?pli=1#gid=257618397"",""stock untanna!B:C""),2,false),V:V)"),"MAGNET 8011-6")</f>
        <v>MAGNET 8011-6</v>
      </c>
      <c r="F4588" s="49"/>
      <c r="G4588" s="71"/>
      <c r="H4588" s="41"/>
      <c r="I4588" s="42"/>
      <c r="J4588" s="85" t="s">
        <v>1319</v>
      </c>
      <c r="K4588" s="93">
        <v>0.5</v>
      </c>
      <c r="L4588" s="112" t="s">
        <v>62</v>
      </c>
      <c r="M4588" s="113">
        <v>175000.0</v>
      </c>
      <c r="N4588" s="115">
        <v>0.2</v>
      </c>
      <c r="O4588" s="87">
        <f t="shared" si="11"/>
        <v>70000</v>
      </c>
      <c r="P4588" s="102" t="str">
        <f t="shared" si="2"/>
        <v>Rp175,000-0.5 LSN-20.00%</v>
      </c>
      <c r="Q4588" s="92">
        <v>45429.0</v>
      </c>
      <c r="R4588" s="76"/>
      <c r="S4588" s="92">
        <v>45433.0</v>
      </c>
      <c r="T4588" s="49"/>
      <c r="V4588" s="21" t="s">
        <v>1199</v>
      </c>
    </row>
    <row r="4589">
      <c r="A4589" s="93">
        <v>398.0</v>
      </c>
      <c r="B4589" s="77" t="s">
        <v>58</v>
      </c>
      <c r="C4589" s="77" t="s">
        <v>3893</v>
      </c>
      <c r="D4589" s="91"/>
      <c r="E4589" s="41" t="str">
        <f>IFERROR(__xludf.DUMMYFUNCTION("IFNA(vlookup(D4589,IMPORTRANGE(""https://docs.google.com/spreadsheets/d/1swGwZOEqYlTEUCJLY-eeJM1911Kvaei5oySBIxdgtNo/edit?pli=1#gid=257618397"",""stock untanna!B:C""),2,false),V:V)"),"CUTTER KENKO L-500")</f>
        <v>CUTTER KENKO L-500</v>
      </c>
      <c r="F4589" s="49"/>
      <c r="G4589" s="71"/>
      <c r="H4589" s="41"/>
      <c r="I4589" s="42"/>
      <c r="J4589" s="85" t="s">
        <v>3190</v>
      </c>
      <c r="K4589" s="93">
        <v>20.0</v>
      </c>
      <c r="L4589" s="112" t="s">
        <v>62</v>
      </c>
      <c r="M4589" s="113">
        <v>147600.0</v>
      </c>
      <c r="N4589" s="115">
        <v>0.13</v>
      </c>
      <c r="O4589" s="87">
        <f t="shared" si="11"/>
        <v>2568240</v>
      </c>
      <c r="P4589" s="102" t="str">
        <f t="shared" si="2"/>
        <v>Rp147,600-20 LSN-13.00%</v>
      </c>
      <c r="Q4589" s="92">
        <v>45429.0</v>
      </c>
      <c r="R4589" s="76"/>
      <c r="S4589" s="92">
        <v>45433.0</v>
      </c>
      <c r="T4589" s="77" t="s">
        <v>3894</v>
      </c>
      <c r="V4589" s="21" t="s">
        <v>3895</v>
      </c>
    </row>
    <row r="4590">
      <c r="A4590" s="93">
        <v>214.0</v>
      </c>
      <c r="B4590" s="77" t="s">
        <v>29</v>
      </c>
      <c r="C4590" s="77" t="s">
        <v>845</v>
      </c>
      <c r="D4590" s="91"/>
      <c r="E4590" s="41" t="str">
        <f>IFERROR(__xludf.DUMMYFUNCTION("IFNA(vlookup(D4590,IMPORTRANGE(""https://docs.google.com/spreadsheets/d/1swGwZOEqYlTEUCJLY-eeJM1911Kvaei5oySBIxdgtNo/edit?pli=1#gid=257618397"",""stock untanna!B:C""),2,false),V:V)"),"SAMPUL JERSY KWARTO")</f>
        <v>SAMPUL JERSY KWARTO</v>
      </c>
      <c r="F4590" s="49"/>
      <c r="G4590" s="71"/>
      <c r="H4590" s="41"/>
      <c r="I4590" s="42"/>
      <c r="J4590" s="85" t="s">
        <v>3190</v>
      </c>
      <c r="K4590" s="93">
        <v>178.0</v>
      </c>
      <c r="L4590" s="112" t="s">
        <v>114</v>
      </c>
      <c r="M4590" s="113">
        <v>14000.0</v>
      </c>
      <c r="N4590" s="115">
        <v>0.15</v>
      </c>
      <c r="O4590" s="87">
        <f t="shared" si="11"/>
        <v>2118200</v>
      </c>
      <c r="P4590" s="102" t="str">
        <f t="shared" si="2"/>
        <v>Rp14,000-178 PAK-15.00%</v>
      </c>
      <c r="Q4590" s="92">
        <v>45429.0</v>
      </c>
      <c r="R4590" s="76"/>
      <c r="S4590" s="92">
        <v>45433.0</v>
      </c>
      <c r="T4590" s="49"/>
      <c r="V4590" s="21" t="s">
        <v>3896</v>
      </c>
    </row>
    <row r="4591">
      <c r="A4591" s="93">
        <v>4390.0</v>
      </c>
      <c r="B4591" s="77" t="s">
        <v>58</v>
      </c>
      <c r="C4591" s="77" t="s">
        <v>837</v>
      </c>
      <c r="D4591" s="77" t="s">
        <v>203</v>
      </c>
      <c r="E4591" s="41" t="str">
        <f>IFERROR(__xludf.DUMMYFUNCTION("IFNA(vlookup(D4591,IMPORTRANGE(""https://docs.google.com/spreadsheets/d/1swGwZOEqYlTEUCJLY-eeJM1911Kvaei5oySBIxdgtNo/edit?pli=1#gid=257618397"",""stock untanna!B:C""),2,false),V:V)"),"BP HITECH JOSS GP-168 0.28MM")</f>
        <v>BP HITECH JOSS GP-168 0.28MM</v>
      </c>
      <c r="F4591" s="49"/>
      <c r="G4591" s="71"/>
      <c r="H4591" s="41"/>
      <c r="I4591" s="42"/>
      <c r="J4591" s="85" t="s">
        <v>1319</v>
      </c>
      <c r="K4591" s="93">
        <v>288.0</v>
      </c>
      <c r="L4591" s="112" t="s">
        <v>62</v>
      </c>
      <c r="M4591" s="113">
        <v>21000.0</v>
      </c>
      <c r="N4591" s="74"/>
      <c r="O4591" s="87">
        <f t="shared" si="11"/>
        <v>6048000</v>
      </c>
      <c r="P4591" s="102" t="str">
        <f t="shared" si="2"/>
        <v>Rp21,000-288 LSN-0.00%</v>
      </c>
      <c r="Q4591" s="92">
        <v>45429.0</v>
      </c>
      <c r="R4591" s="76"/>
      <c r="S4591" s="92">
        <v>45433.0</v>
      </c>
      <c r="T4591" s="49"/>
      <c r="V4591" s="21" t="s">
        <v>204</v>
      </c>
    </row>
    <row r="4592">
      <c r="A4592" s="93">
        <v>4390.0</v>
      </c>
      <c r="B4592" s="77" t="s">
        <v>58</v>
      </c>
      <c r="C4592" s="77" t="s">
        <v>837</v>
      </c>
      <c r="D4592" s="77" t="s">
        <v>197</v>
      </c>
      <c r="E4592" s="41" t="str">
        <f>IFERROR(__xludf.DUMMYFUNCTION("IFNA(vlookup(D4592,IMPORTRANGE(""https://docs.google.com/spreadsheets/d/1swGwZOEqYlTEUCJLY-eeJM1911Kvaei5oySBIxdgtNo/edit?pli=1#gid=257618397"",""stock untanna!B:C""),2,false),V:V)"),"BP TF G-3114 0.3MM HIGHTECH KNOCK")</f>
        <v>BP TF G-3114 0.3MM HIGHTECH KNOCK</v>
      </c>
      <c r="F4592" s="49"/>
      <c r="G4592" s="71"/>
      <c r="H4592" s="41"/>
      <c r="I4592" s="42"/>
      <c r="J4592" s="85" t="s">
        <v>1319</v>
      </c>
      <c r="K4592" s="93">
        <v>224.0</v>
      </c>
      <c r="L4592" s="112" t="s">
        <v>62</v>
      </c>
      <c r="M4592" s="113">
        <v>34500.0</v>
      </c>
      <c r="N4592" s="74"/>
      <c r="O4592" s="87">
        <f t="shared" si="11"/>
        <v>7728000</v>
      </c>
      <c r="P4592" s="102" t="str">
        <f t="shared" si="2"/>
        <v>Rp34,500-224 LSN-0.00%</v>
      </c>
      <c r="Q4592" s="92">
        <v>45429.0</v>
      </c>
      <c r="R4592" s="76"/>
      <c r="S4592" s="92">
        <v>45433.0</v>
      </c>
      <c r="T4592" s="49"/>
      <c r="V4592" s="21" t="s">
        <v>198</v>
      </c>
    </row>
    <row r="4593">
      <c r="A4593" s="93">
        <v>34.0</v>
      </c>
      <c r="B4593" s="77" t="s">
        <v>58</v>
      </c>
      <c r="C4593" s="77" t="s">
        <v>643</v>
      </c>
      <c r="D4593" s="77" t="s">
        <v>428</v>
      </c>
      <c r="E4593" s="41" t="str">
        <f>IFERROR(__xludf.DUMMYFUNCTION("IFNA(vlookup(D4593,IMPORTRANGE(""https://docs.google.com/spreadsheets/d/1swGwZOEqYlTEUCJLY-eeJM1911Kvaei5oySBIxdgtNo/edit?pli=1#gid=257618397"",""stock untanna!B:C""),2,false),V:V)"),"CAT ACRYLIC TF 001")</f>
        <v>CAT ACRYLIC TF 001</v>
      </c>
      <c r="F4593" s="49"/>
      <c r="G4593" s="71"/>
      <c r="H4593" s="41"/>
      <c r="I4593" s="42"/>
      <c r="J4593" s="85" t="s">
        <v>1319</v>
      </c>
      <c r="K4593" s="93">
        <v>6.0</v>
      </c>
      <c r="L4593" s="112" t="s">
        <v>62</v>
      </c>
      <c r="M4593" s="113">
        <v>198000.0</v>
      </c>
      <c r="N4593" s="74"/>
      <c r="O4593" s="87">
        <f t="shared" si="11"/>
        <v>1188000</v>
      </c>
      <c r="P4593" s="102" t="str">
        <f t="shared" si="2"/>
        <v>Rp198,000-6 LSN-0.00%</v>
      </c>
      <c r="Q4593" s="92">
        <v>45429.0</v>
      </c>
      <c r="R4593" s="76"/>
      <c r="S4593" s="92">
        <v>45433.0</v>
      </c>
      <c r="T4593" s="49"/>
      <c r="V4593" s="21" t="s">
        <v>429</v>
      </c>
    </row>
    <row r="4594">
      <c r="A4594" s="93">
        <v>35.0</v>
      </c>
      <c r="B4594" s="77" t="s">
        <v>58</v>
      </c>
      <c r="C4594" s="77" t="s">
        <v>3897</v>
      </c>
      <c r="D4594" s="77" t="s">
        <v>2422</v>
      </c>
      <c r="E4594" s="41" t="str">
        <f>IFERROR(__xludf.DUMMYFUNCTION("IFNA(vlookup(D4594,IMPORTRANGE(""https://docs.google.com/spreadsheets/d/1swGwZOEqYlTEUCJLY-eeJM1911Kvaei5oySBIxdgtNo/edit?pli=1#gid=257618397"",""stock untanna!B:C""),2,false),V:V)"),"TAS KARUNG 60X70")</f>
        <v>TAS KARUNG 60X70</v>
      </c>
      <c r="F4594" s="49"/>
      <c r="G4594" s="71"/>
      <c r="H4594" s="41"/>
      <c r="I4594" s="42"/>
      <c r="J4594" s="85" t="s">
        <v>1319</v>
      </c>
      <c r="K4594" s="93">
        <v>1.0</v>
      </c>
      <c r="L4594" s="112" t="s">
        <v>62</v>
      </c>
      <c r="M4594" s="113">
        <v>290000.0</v>
      </c>
      <c r="N4594" s="74"/>
      <c r="O4594" s="87">
        <f t="shared" si="11"/>
        <v>290000</v>
      </c>
      <c r="P4594" s="102" t="str">
        <f t="shared" si="2"/>
        <v>Rp290,000-1 LSN-0.00%</v>
      </c>
      <c r="Q4594" s="92">
        <v>45429.0</v>
      </c>
      <c r="R4594" s="76"/>
      <c r="S4594" s="92">
        <v>45433.0</v>
      </c>
      <c r="T4594" s="49"/>
      <c r="V4594" s="21" t="s">
        <v>2424</v>
      </c>
    </row>
    <row r="4595">
      <c r="A4595" s="93">
        <v>35.0</v>
      </c>
      <c r="B4595" s="77" t="s">
        <v>58</v>
      </c>
      <c r="C4595" s="77" t="s">
        <v>3897</v>
      </c>
      <c r="D4595" s="77" t="s">
        <v>1254</v>
      </c>
      <c r="E4595" s="41" t="str">
        <f>IFERROR(__xludf.DUMMYFUNCTION("IFNA(vlookup(D4595,IMPORTRANGE(""https://docs.google.com/spreadsheets/d/1swGwZOEqYlTEUCJLY-eeJM1911Kvaei5oySBIxdgtNo/edit?pli=1#gid=257618397"",""stock untanna!B:C""),2,false),V:V)"),"TAS KARUNG 70X70")</f>
        <v>TAS KARUNG 70X70</v>
      </c>
      <c r="F4595" s="49"/>
      <c r="G4595" s="71"/>
      <c r="H4595" s="41"/>
      <c r="I4595" s="42"/>
      <c r="J4595" s="85" t="s">
        <v>1319</v>
      </c>
      <c r="K4595" s="93">
        <v>1.0</v>
      </c>
      <c r="L4595" s="112" t="s">
        <v>62</v>
      </c>
      <c r="M4595" s="113">
        <v>315000.0</v>
      </c>
      <c r="N4595" s="74"/>
      <c r="O4595" s="87">
        <f t="shared" si="11"/>
        <v>315000</v>
      </c>
      <c r="P4595" s="102" t="str">
        <f t="shared" si="2"/>
        <v>Rp315,000-1 LSN-0.00%</v>
      </c>
      <c r="Q4595" s="92">
        <v>45429.0</v>
      </c>
      <c r="R4595" s="76"/>
      <c r="S4595" s="92">
        <v>45433.0</v>
      </c>
      <c r="T4595" s="49"/>
      <c r="V4595" s="21" t="s">
        <v>1255</v>
      </c>
    </row>
    <row r="4596">
      <c r="A4596" s="93">
        <v>35.0</v>
      </c>
      <c r="B4596" s="77" t="s">
        <v>58</v>
      </c>
      <c r="C4596" s="77" t="s">
        <v>3897</v>
      </c>
      <c r="D4596" s="77" t="s">
        <v>1333</v>
      </c>
      <c r="E4596" s="41" t="str">
        <f>IFERROR(__xludf.DUMMYFUNCTION("IFNA(vlookup(D4596,IMPORTRANGE(""https://docs.google.com/spreadsheets/d/1swGwZOEqYlTEUCJLY-eeJM1911Kvaei5oySBIxdgtNo/edit?pli=1#gid=257618397"",""stock untanna!B:C""),2,false),V:V)"),"PIANIKA LOVELY BIRU")</f>
        <v>PIANIKA LOVELY BIRU</v>
      </c>
      <c r="F4596" s="49"/>
      <c r="G4596" s="71"/>
      <c r="H4596" s="41"/>
      <c r="I4596" s="42"/>
      <c r="J4596" s="85" t="s">
        <v>1319</v>
      </c>
      <c r="K4596" s="93">
        <v>12.0</v>
      </c>
      <c r="L4596" s="112" t="s">
        <v>69</v>
      </c>
      <c r="M4596" s="113">
        <v>100000.0</v>
      </c>
      <c r="N4596" s="74"/>
      <c r="O4596" s="87">
        <f t="shared" si="11"/>
        <v>1200000</v>
      </c>
      <c r="P4596" s="102" t="str">
        <f t="shared" si="2"/>
        <v>Rp100,000-12 PCS-0.00%</v>
      </c>
      <c r="Q4596" s="92">
        <v>45429.0</v>
      </c>
      <c r="R4596" s="76"/>
      <c r="S4596" s="92">
        <v>45433.0</v>
      </c>
      <c r="T4596" s="49"/>
      <c r="V4596" s="21" t="s">
        <v>1334</v>
      </c>
    </row>
    <row r="4597">
      <c r="A4597" s="93">
        <v>213.0</v>
      </c>
      <c r="B4597" s="77" t="s">
        <v>29</v>
      </c>
      <c r="C4597" s="77" t="s">
        <v>1773</v>
      </c>
      <c r="D4597" s="77" t="s">
        <v>2446</v>
      </c>
      <c r="E4597" s="41" t="str">
        <f>IFERROR(__xludf.DUMMYFUNCTION("IFNA(vlookup(D4597,IMPORTRANGE(""https://docs.google.com/spreadsheets/d/1swGwZOEqYlTEUCJLY-eeJM1911Kvaei5oySBIxdgtNo/edit?pli=1#gid=257618397"",""stock untanna!B:C""),2,false),V:V)"),"BP GEL TIZO TG31220")</f>
        <v>BP GEL TIZO TG31220</v>
      </c>
      <c r="F4597" s="49"/>
      <c r="G4597" s="71"/>
      <c r="H4597" s="41"/>
      <c r="I4597" s="42"/>
      <c r="J4597" s="85" t="s">
        <v>1319</v>
      </c>
      <c r="K4597" s="93">
        <v>144.0</v>
      </c>
      <c r="L4597" s="112" t="s">
        <v>62</v>
      </c>
      <c r="M4597" s="113">
        <v>22000.0</v>
      </c>
      <c r="N4597" s="74"/>
      <c r="O4597" s="87">
        <f t="shared" si="11"/>
        <v>3168000</v>
      </c>
      <c r="P4597" s="102" t="str">
        <f t="shared" si="2"/>
        <v>Rp22,000-144 LSN-0.00%</v>
      </c>
      <c r="Q4597" s="92">
        <v>45429.0</v>
      </c>
      <c r="R4597" s="76"/>
      <c r="S4597" s="92">
        <v>45433.0</v>
      </c>
      <c r="T4597" s="49"/>
      <c r="V4597" s="21" t="s">
        <v>2447</v>
      </c>
    </row>
    <row r="4598">
      <c r="A4598" s="93">
        <v>215.0</v>
      </c>
      <c r="B4598" s="77" t="s">
        <v>29</v>
      </c>
      <c r="C4598" s="77" t="s">
        <v>3898</v>
      </c>
      <c r="D4598" s="91"/>
      <c r="E4598" s="41" t="str">
        <f>IFERROR(__xludf.DUMMYFUNCTION("IFNA(vlookup(D4598,IMPORTRANGE(""https://docs.google.com/spreadsheets/d/1swGwZOEqYlTEUCJLY-eeJM1911Kvaei5oySBIxdgtNo/edit?pli=1#gid=257618397"",""stock untanna!B:C""),2,false),V:V)"),"TINTA ROLL 20MM")</f>
        <v>TINTA ROLL 20MM</v>
      </c>
      <c r="F4598" s="49"/>
      <c r="G4598" s="71"/>
      <c r="H4598" s="41"/>
      <c r="I4598" s="42"/>
      <c r="J4598" s="85" t="s">
        <v>1319</v>
      </c>
      <c r="K4598" s="93">
        <v>50.0</v>
      </c>
      <c r="L4598" s="112" t="s">
        <v>69</v>
      </c>
      <c r="M4598" s="113">
        <v>5000.0</v>
      </c>
      <c r="N4598" s="115">
        <v>0.1</v>
      </c>
      <c r="O4598" s="87">
        <f t="shared" si="11"/>
        <v>225000</v>
      </c>
      <c r="P4598" s="102" t="str">
        <f t="shared" si="2"/>
        <v>Rp5,000-50 PCS-10.00%</v>
      </c>
      <c r="Q4598" s="92">
        <v>45430.0</v>
      </c>
      <c r="R4598" s="76"/>
      <c r="S4598" s="92">
        <v>45433.0</v>
      </c>
      <c r="T4598" s="77" t="s">
        <v>280</v>
      </c>
      <c r="V4598" s="21" t="s">
        <v>2443</v>
      </c>
    </row>
    <row r="4599">
      <c r="A4599" s="93">
        <v>215.0</v>
      </c>
      <c r="B4599" s="77" t="s">
        <v>29</v>
      </c>
      <c r="C4599" s="77" t="s">
        <v>3898</v>
      </c>
      <c r="D4599" s="77" t="s">
        <v>2716</v>
      </c>
      <c r="E4599" s="41" t="str">
        <f>IFERROR(__xludf.DUMMYFUNCTION("IFNA(vlookup(D4599,IMPORTRANGE(""https://docs.google.com/spreadsheets/d/1swGwZOEqYlTEUCJLY-eeJM1911Kvaei5oySBIxdgtNo/edit?pli=1#gid=257618397"",""stock untanna!B:C""),2,false),V:V)"),"STAPLER (GUN TACKER) 1008F JOSS")</f>
        <v>STAPLER (GUN TACKER) 1008F JOSS</v>
      </c>
      <c r="F4599" s="49"/>
      <c r="G4599" s="71"/>
      <c r="H4599" s="41"/>
      <c r="I4599" s="42"/>
      <c r="J4599" s="85" t="s">
        <v>1319</v>
      </c>
      <c r="K4599" s="93">
        <v>6.0</v>
      </c>
      <c r="L4599" s="112" t="s">
        <v>69</v>
      </c>
      <c r="M4599" s="113">
        <v>70000.0</v>
      </c>
      <c r="N4599" s="74"/>
      <c r="O4599" s="87">
        <f t="shared" si="11"/>
        <v>420000</v>
      </c>
      <c r="P4599" s="102" t="str">
        <f t="shared" si="2"/>
        <v>Rp70,000-6 PCS-0.00%</v>
      </c>
      <c r="Q4599" s="92">
        <v>45430.0</v>
      </c>
      <c r="R4599" s="76"/>
      <c r="S4599" s="92">
        <v>45433.0</v>
      </c>
      <c r="T4599" s="49"/>
      <c r="V4599" s="21" t="s">
        <v>2717</v>
      </c>
    </row>
    <row r="4600">
      <c r="A4600" s="93">
        <v>215.0</v>
      </c>
      <c r="B4600" s="77" t="s">
        <v>29</v>
      </c>
      <c r="C4600" s="77" t="s">
        <v>3898</v>
      </c>
      <c r="D4600" s="77" t="s">
        <v>2854</v>
      </c>
      <c r="E4600" s="41" t="str">
        <f>IFERROR(__xludf.DUMMYFUNCTION("IFNA(vlookup(D4600,IMPORTRANGE(""https://docs.google.com/spreadsheets/d/1swGwZOEqYlTEUCJLY-eeJM1911Kvaei5oySBIxdgtNo/edit?pli=1#gid=257618397"",""stock untanna!B:C""),2,false),V:V)"),"TAS COKLAT TEBAL TANGGUNG ")</f>
        <v>TAS COKLAT TEBAL TANGGUNG </v>
      </c>
      <c r="F4600" s="49"/>
      <c r="G4600" s="71"/>
      <c r="H4600" s="41"/>
      <c r="I4600" s="42"/>
      <c r="J4600" s="85" t="s">
        <v>1319</v>
      </c>
      <c r="K4600" s="93">
        <v>2.0</v>
      </c>
      <c r="L4600" s="112" t="s">
        <v>62</v>
      </c>
      <c r="M4600" s="113">
        <v>27500.0</v>
      </c>
      <c r="N4600" s="74"/>
      <c r="O4600" s="87">
        <f t="shared" si="11"/>
        <v>55000</v>
      </c>
      <c r="P4600" s="102" t="str">
        <f t="shared" si="2"/>
        <v>Rp27,500-2 LSN-0.00%</v>
      </c>
      <c r="Q4600" s="92">
        <v>45430.0</v>
      </c>
      <c r="R4600" s="76"/>
      <c r="S4600" s="92">
        <v>45433.0</v>
      </c>
      <c r="T4600" s="49"/>
      <c r="V4600" s="21" t="s">
        <v>2855</v>
      </c>
    </row>
    <row r="4601">
      <c r="A4601" s="93">
        <v>215.0</v>
      </c>
      <c r="B4601" s="77" t="s">
        <v>29</v>
      </c>
      <c r="C4601" s="77" t="s">
        <v>3898</v>
      </c>
      <c r="D4601" s="77" t="s">
        <v>3899</v>
      </c>
      <c r="E4601" s="41" t="str">
        <f>IFERROR(__xludf.DUMMYFUNCTION("IFNA(vlookup(D4601,IMPORTRANGE(""https://docs.google.com/spreadsheets/d/1swGwZOEqYlTEUCJLY-eeJM1911Kvaei5oySBIxdgtNo/edit?pli=1#gid=257618397"",""stock untanna!B:C""),2,false),V:V)"),"ASAHAN TOPLES 25PCS XLG R-5861")</f>
        <v>ASAHAN TOPLES 25PCS XLG R-5861</v>
      </c>
      <c r="F4601" s="49"/>
      <c r="G4601" s="71"/>
      <c r="H4601" s="41"/>
      <c r="I4601" s="42"/>
      <c r="J4601" s="85" t="s">
        <v>1319</v>
      </c>
      <c r="K4601" s="93">
        <v>2.0</v>
      </c>
      <c r="L4601" s="112" t="s">
        <v>1380</v>
      </c>
      <c r="M4601" s="113">
        <v>125000.0</v>
      </c>
      <c r="N4601" s="74"/>
      <c r="O4601" s="87">
        <f t="shared" si="11"/>
        <v>250000</v>
      </c>
      <c r="P4601" s="102" t="str">
        <f t="shared" si="2"/>
        <v>Rp125,000-2 TOP-0.00%</v>
      </c>
      <c r="Q4601" s="92">
        <v>45430.0</v>
      </c>
      <c r="R4601" s="76"/>
      <c r="S4601" s="92">
        <v>45433.0</v>
      </c>
      <c r="T4601" s="49"/>
      <c r="V4601" s="21" t="s">
        <v>3900</v>
      </c>
    </row>
    <row r="4602">
      <c r="A4602" s="93">
        <v>4222.0</v>
      </c>
      <c r="B4602" s="77" t="s">
        <v>29</v>
      </c>
      <c r="C4602" s="77" t="s">
        <v>2355</v>
      </c>
      <c r="D4602" s="77" t="s">
        <v>419</v>
      </c>
      <c r="E4602" s="41" t="str">
        <f>IFERROR(__xludf.DUMMYFUNCTION("IFNA(vlookup(D4602,IMPORTRANGE(""https://docs.google.com/spreadsheets/d/1swGwZOEqYlTEUCJLY-eeJM1911Kvaei5oySBIxdgtNo/edit?pli=1#gid=257618397"",""stock untanna!B:C""),2,false),V:V)"),"BP GEL ZUI XUA HY-1020 HITAM")</f>
        <v>BP GEL ZUI XUA HY-1020 HITAM</v>
      </c>
      <c r="F4602" s="49"/>
      <c r="G4602" s="71"/>
      <c r="H4602" s="41"/>
      <c r="I4602" s="42"/>
      <c r="J4602" s="85" t="s">
        <v>1319</v>
      </c>
      <c r="K4602" s="93">
        <v>576.0</v>
      </c>
      <c r="L4602" s="112" t="s">
        <v>62</v>
      </c>
      <c r="M4602" s="113">
        <v>10750.0</v>
      </c>
      <c r="N4602" s="74"/>
      <c r="O4602" s="87">
        <f t="shared" si="11"/>
        <v>6192000</v>
      </c>
      <c r="P4602" s="102" t="str">
        <f t="shared" si="2"/>
        <v>Rp10,750-576 LSN-0.00%</v>
      </c>
      <c r="Q4602" s="92">
        <v>45430.0</v>
      </c>
      <c r="R4602" s="76"/>
      <c r="S4602" s="92">
        <v>45433.0</v>
      </c>
      <c r="T4602" s="49"/>
      <c r="V4602" s="21" t="s">
        <v>3281</v>
      </c>
    </row>
    <row r="4603">
      <c r="A4603" s="93">
        <v>319.0</v>
      </c>
      <c r="B4603" s="91"/>
      <c r="C4603" s="77" t="s">
        <v>2603</v>
      </c>
      <c r="D4603" s="77" t="s">
        <v>2122</v>
      </c>
      <c r="E4603" s="41" t="str">
        <f>IFERROR(__xludf.DUMMYFUNCTION("IFNA(vlookup(D4603,IMPORTRANGE(""https://docs.google.com/spreadsheets/d/1swGwZOEqYlTEUCJLY-eeJM1911Kvaei5oySBIxdgtNo/edit?pli=1#gid=257618397"",""stock untanna!B:C""),2,false),V:V)"),"GUNTING LIPAT HT KECIL")</f>
        <v>GUNTING LIPAT HT KECIL</v>
      </c>
      <c r="F4603" s="49"/>
      <c r="G4603" s="71"/>
      <c r="H4603" s="41"/>
      <c r="I4603" s="42"/>
      <c r="J4603" s="85" t="s">
        <v>1319</v>
      </c>
      <c r="K4603" s="93">
        <v>10.0</v>
      </c>
      <c r="L4603" s="112" t="s">
        <v>62</v>
      </c>
      <c r="M4603" s="113">
        <v>25000.0</v>
      </c>
      <c r="N4603" s="74"/>
      <c r="O4603" s="87">
        <f t="shared" si="11"/>
        <v>250000</v>
      </c>
      <c r="P4603" s="102" t="str">
        <f t="shared" si="2"/>
        <v>Rp25,000-10 LSN-0.00%</v>
      </c>
      <c r="Q4603" s="92">
        <v>45430.0</v>
      </c>
      <c r="R4603" s="76"/>
      <c r="S4603" s="92">
        <v>45433.0</v>
      </c>
      <c r="T4603" s="49"/>
      <c r="V4603" s="21" t="s">
        <v>2123</v>
      </c>
    </row>
    <row r="4604">
      <c r="A4604" s="93">
        <v>271.0</v>
      </c>
      <c r="B4604" s="77" t="s">
        <v>29</v>
      </c>
      <c r="C4604" s="77" t="s">
        <v>1773</v>
      </c>
      <c r="D4604" s="77" t="s">
        <v>1718</v>
      </c>
      <c r="E4604" s="41" t="str">
        <f>IFERROR(__xludf.DUMMYFUNCTION("IFNA(vlookup(D4604,IMPORTRANGE(""https://docs.google.com/spreadsheets/d/1swGwZOEqYlTEUCJLY-eeJM1911Kvaei5oySBIxdgtNo/edit?pli=1#gid=257618397"",""stock untanna!B:C""),2,false),V:V)"),"DISPENSER KEONG V-TECH 216")</f>
        <v>DISPENSER KEONG V-TECH 216</v>
      </c>
      <c r="F4604" s="49"/>
      <c r="G4604" s="71"/>
      <c r="H4604" s="41"/>
      <c r="I4604" s="42"/>
      <c r="J4604" s="85" t="s">
        <v>1319</v>
      </c>
      <c r="K4604" s="93">
        <v>30.0</v>
      </c>
      <c r="L4604" s="112" t="s">
        <v>69</v>
      </c>
      <c r="M4604" s="113">
        <v>17500.0</v>
      </c>
      <c r="N4604" s="74"/>
      <c r="O4604" s="87">
        <f t="shared" si="11"/>
        <v>525000</v>
      </c>
      <c r="P4604" s="102" t="str">
        <f t="shared" si="2"/>
        <v>Rp17,500-30 PCS-0.00%</v>
      </c>
      <c r="Q4604" s="92">
        <v>45430.0</v>
      </c>
      <c r="R4604" s="76"/>
      <c r="S4604" s="92">
        <v>45433.0</v>
      </c>
      <c r="T4604" s="49"/>
      <c r="V4604" s="21" t="s">
        <v>1719</v>
      </c>
    </row>
    <row r="4605">
      <c r="A4605" s="93">
        <v>199.0</v>
      </c>
      <c r="B4605" s="77" t="s">
        <v>29</v>
      </c>
      <c r="C4605" s="77" t="s">
        <v>3901</v>
      </c>
      <c r="D4605" s="91"/>
      <c r="E4605" s="41" t="str">
        <f>IFERROR(__xludf.DUMMYFUNCTION("IFNA(vlookup(D4605,IMPORTRANGE(""https://docs.google.com/spreadsheets/d/1swGwZOEqYlTEUCJLY-eeJM1911Kvaei5oySBIxdgtNo/edit?pli=1#gid=257618397"",""stock untanna!B:C""),2,false),V:V)"),"PIANIKA MARVEL BOX KAIN KOPER")</f>
        <v>PIANIKA MARVEL BOX KAIN KOPER</v>
      </c>
      <c r="F4605" s="49"/>
      <c r="G4605" s="71"/>
      <c r="H4605" s="41"/>
      <c r="I4605" s="42"/>
      <c r="J4605" s="85" t="s">
        <v>3190</v>
      </c>
      <c r="K4605" s="93">
        <v>12.0</v>
      </c>
      <c r="L4605" s="112" t="s">
        <v>69</v>
      </c>
      <c r="M4605" s="113">
        <v>210000.0</v>
      </c>
      <c r="N4605" s="74"/>
      <c r="O4605" s="87">
        <f t="shared" si="11"/>
        <v>2520000</v>
      </c>
      <c r="P4605" s="102" t="str">
        <f t="shared" si="2"/>
        <v>Rp210,000-12 PCS-0.00%</v>
      </c>
      <c r="Q4605" s="92">
        <v>45430.0</v>
      </c>
      <c r="R4605" s="76"/>
      <c r="S4605" s="92">
        <v>45433.0</v>
      </c>
      <c r="T4605" s="49"/>
      <c r="V4605" s="21" t="s">
        <v>3902</v>
      </c>
    </row>
    <row r="4606">
      <c r="A4606" s="93">
        <v>2488.0</v>
      </c>
      <c r="B4606" s="77" t="s">
        <v>65</v>
      </c>
      <c r="C4606" s="77" t="s">
        <v>3903</v>
      </c>
      <c r="D4606" s="77" t="s">
        <v>672</v>
      </c>
      <c r="E4606" s="41" t="str">
        <f>IFERROR(__xludf.DUMMYFUNCTION("IFNA(vlookup(D4606,IMPORTRANGE(""https://docs.google.com/spreadsheets/d/1swGwZOEqYlTEUCJLY-eeJM1911Kvaei5oySBIxdgtNo/edit?pli=1#gid=257618397"",""stock untanna!B:C""),2,false),V:V)"),"BP GEL DT 9906")</f>
        <v>BP GEL DT 9906</v>
      </c>
      <c r="F4606" s="49"/>
      <c r="G4606" s="71"/>
      <c r="H4606" s="41"/>
      <c r="I4606" s="42"/>
      <c r="J4606" s="85" t="s">
        <v>1319</v>
      </c>
      <c r="K4606" s="93">
        <v>6.0</v>
      </c>
      <c r="L4606" s="112" t="s">
        <v>62</v>
      </c>
      <c r="M4606" s="113">
        <v>20000.0</v>
      </c>
      <c r="N4606" s="74"/>
      <c r="O4606" s="87">
        <f t="shared" si="11"/>
        <v>120000</v>
      </c>
      <c r="P4606" s="102" t="str">
        <f t="shared" si="2"/>
        <v>Rp20,000-6 LSN-0.00%</v>
      </c>
      <c r="Q4606" s="92">
        <v>45432.0</v>
      </c>
      <c r="R4606" s="76"/>
      <c r="S4606" s="92">
        <v>45433.0</v>
      </c>
      <c r="T4606" s="49"/>
      <c r="V4606" s="21" t="s">
        <v>673</v>
      </c>
    </row>
    <row r="4607">
      <c r="A4607" s="93">
        <v>2488.0</v>
      </c>
      <c r="B4607" s="77" t="s">
        <v>65</v>
      </c>
      <c r="C4607" s="77" t="s">
        <v>3903</v>
      </c>
      <c r="D4607" s="77" t="s">
        <v>149</v>
      </c>
      <c r="E4607" s="41" t="str">
        <f>IFERROR(__xludf.DUMMYFUNCTION("IFNA(vlookup(D4607,IMPORTRANGE(""https://docs.google.com/spreadsheets/d/1swGwZOEqYlTEUCJLY-eeJM1911Kvaei5oySBIxdgtNo/edit?pli=1#gid=257618397"",""stock untanna!B:C""),2,false),V:V)"),"BP GEL 8805")</f>
        <v>BP GEL 8805</v>
      </c>
      <c r="F4607" s="49"/>
      <c r="G4607" s="71"/>
      <c r="H4607" s="41"/>
      <c r="I4607" s="42"/>
      <c r="J4607" s="85" t="s">
        <v>1319</v>
      </c>
      <c r="K4607" s="93">
        <v>72.0</v>
      </c>
      <c r="L4607" s="112" t="s">
        <v>69</v>
      </c>
      <c r="M4607" s="113">
        <v>1666.67</v>
      </c>
      <c r="N4607" s="74"/>
      <c r="O4607" s="87">
        <f t="shared" si="11"/>
        <v>120000.24</v>
      </c>
      <c r="P4607" s="102" t="str">
        <f t="shared" si="2"/>
        <v>Rp1,667-72 PCS-0.00%</v>
      </c>
      <c r="Q4607" s="92">
        <v>45432.0</v>
      </c>
      <c r="R4607" s="76"/>
      <c r="S4607" s="92">
        <v>45433.0</v>
      </c>
      <c r="T4607" s="49"/>
      <c r="V4607" s="21" t="s">
        <v>150</v>
      </c>
    </row>
    <row r="4608">
      <c r="A4608" s="93">
        <v>2488.0</v>
      </c>
      <c r="B4608" s="77" t="s">
        <v>65</v>
      </c>
      <c r="C4608" s="77" t="s">
        <v>3903</v>
      </c>
      <c r="D4608" s="77" t="s">
        <v>684</v>
      </c>
      <c r="E4608" s="41" t="str">
        <f>IFERROR(__xludf.DUMMYFUNCTION("IFNA(vlookup(D4608,IMPORTRANGE(""https://docs.google.com/spreadsheets/d/1swGwZOEqYlTEUCJLY-eeJM1911Kvaei5oySBIxdgtNo/edit?pli=1#gid=257618397"",""stock untanna!B:C""),2,false),V:V)"),"BP GEL 925")</f>
        <v>BP GEL 925</v>
      </c>
      <c r="F4608" s="49"/>
      <c r="G4608" s="71"/>
      <c r="H4608" s="41"/>
      <c r="I4608" s="42"/>
      <c r="J4608" s="85" t="s">
        <v>1319</v>
      </c>
      <c r="K4608" s="93">
        <v>72.0</v>
      </c>
      <c r="L4608" s="112" t="s">
        <v>69</v>
      </c>
      <c r="M4608" s="113">
        <v>1666.67</v>
      </c>
      <c r="N4608" s="74"/>
      <c r="O4608" s="87">
        <f t="shared" si="11"/>
        <v>120000.24</v>
      </c>
      <c r="P4608" s="102" t="str">
        <f t="shared" si="2"/>
        <v>Rp1,667-72 PCS-0.00%</v>
      </c>
      <c r="Q4608" s="92">
        <v>45432.0</v>
      </c>
      <c r="R4608" s="76"/>
      <c r="S4608" s="92">
        <v>45433.0</v>
      </c>
      <c r="T4608" s="49"/>
      <c r="V4608" s="21" t="s">
        <v>685</v>
      </c>
    </row>
    <row r="4609">
      <c r="A4609" s="93">
        <v>2488.0</v>
      </c>
      <c r="B4609" s="77" t="s">
        <v>65</v>
      </c>
      <c r="C4609" s="77" t="s">
        <v>3903</v>
      </c>
      <c r="D4609" s="77" t="s">
        <v>670</v>
      </c>
      <c r="E4609" s="41" t="str">
        <f>IFERROR(__xludf.DUMMYFUNCTION("IFNA(vlookup(D4609,IMPORTRANGE(""https://docs.google.com/spreadsheets/d/1swGwZOEqYlTEUCJLY-eeJM1911Kvaei5oySBIxdgtNo/edit?pli=1#gid=257618397"",""stock untanna!B:C""),2,false),V:V)"),"BP GEL 936")</f>
        <v>BP GEL 936</v>
      </c>
      <c r="F4609" s="49"/>
      <c r="G4609" s="71"/>
      <c r="H4609" s="41"/>
      <c r="I4609" s="42"/>
      <c r="J4609" s="85" t="s">
        <v>1319</v>
      </c>
      <c r="K4609" s="93">
        <v>72.0</v>
      </c>
      <c r="L4609" s="112" t="s">
        <v>69</v>
      </c>
      <c r="M4609" s="113">
        <v>1666.67</v>
      </c>
      <c r="N4609" s="74"/>
      <c r="O4609" s="87">
        <f t="shared" si="11"/>
        <v>120000.24</v>
      </c>
      <c r="P4609" s="102" t="str">
        <f t="shared" si="2"/>
        <v>Rp1,667-72 PCS-0.00%</v>
      </c>
      <c r="Q4609" s="92">
        <v>45432.0</v>
      </c>
      <c r="R4609" s="76"/>
      <c r="S4609" s="92">
        <v>45433.0</v>
      </c>
      <c r="T4609" s="49"/>
      <c r="V4609" s="21" t="s">
        <v>671</v>
      </c>
    </row>
    <row r="4610">
      <c r="A4610" s="93">
        <v>2488.0</v>
      </c>
      <c r="B4610" s="77" t="s">
        <v>65</v>
      </c>
      <c r="C4610" s="77" t="s">
        <v>3903</v>
      </c>
      <c r="D4610" s="77" t="s">
        <v>434</v>
      </c>
      <c r="E4610" s="41" t="str">
        <f>IFERROR(__xludf.DUMMYFUNCTION("IFNA(vlookup(D4610,IMPORTRANGE(""https://docs.google.com/spreadsheets/d/1swGwZOEqYlTEUCJLY-eeJM1911Kvaei5oySBIxdgtNo/edit?pli=1#gid=257618397"",""stock untanna!B:C""),2,false),V:V)"),"BP GEL DTIAN 8801")</f>
        <v>BP GEL DTIAN 8801</v>
      </c>
      <c r="F4610" s="49"/>
      <c r="G4610" s="71"/>
      <c r="H4610" s="41"/>
      <c r="I4610" s="42"/>
      <c r="J4610" s="85" t="s">
        <v>1319</v>
      </c>
      <c r="K4610" s="93">
        <v>6.0</v>
      </c>
      <c r="L4610" s="112" t="s">
        <v>62</v>
      </c>
      <c r="M4610" s="113">
        <v>20000.0</v>
      </c>
      <c r="N4610" s="74"/>
      <c r="O4610" s="87">
        <f t="shared" si="11"/>
        <v>120000</v>
      </c>
      <c r="P4610" s="102" t="str">
        <f t="shared" si="2"/>
        <v>Rp20,000-6 LSN-0.00%</v>
      </c>
      <c r="Q4610" s="92">
        <v>45432.0</v>
      </c>
      <c r="R4610" s="76"/>
      <c r="S4610" s="92">
        <v>45433.0</v>
      </c>
      <c r="T4610" s="49"/>
      <c r="V4610" s="21" t="s">
        <v>435</v>
      </c>
    </row>
    <row r="4611">
      <c r="A4611" s="93">
        <v>2488.0</v>
      </c>
      <c r="B4611" s="77" t="s">
        <v>65</v>
      </c>
      <c r="C4611" s="77" t="s">
        <v>3903</v>
      </c>
      <c r="D4611" s="91"/>
      <c r="E4611" s="41" t="str">
        <f>IFERROR(__xludf.DUMMYFUNCTION("IFNA(vlookup(D4611,IMPORTRANGE(""https://docs.google.com/spreadsheets/d/1swGwZOEqYlTEUCJLY-eeJM1911Kvaei5oySBIxdgtNo/edit?pli=1#gid=257618397"",""stock untanna!B:C""),2,false),V:V)"),"BALLPEN DTIAN 812")</f>
        <v>BALLPEN DTIAN 812</v>
      </c>
      <c r="F4611" s="49"/>
      <c r="G4611" s="71"/>
      <c r="H4611" s="41"/>
      <c r="I4611" s="42"/>
      <c r="J4611" s="85" t="s">
        <v>3190</v>
      </c>
      <c r="K4611" s="93">
        <v>6.0</v>
      </c>
      <c r="L4611" s="112" t="s">
        <v>62</v>
      </c>
      <c r="M4611" s="113">
        <v>20000.0</v>
      </c>
      <c r="N4611" s="74"/>
      <c r="O4611" s="87">
        <f t="shared" si="11"/>
        <v>120000</v>
      </c>
      <c r="P4611" s="102" t="str">
        <f t="shared" si="2"/>
        <v>Rp20,000-6 LSN-0.00%</v>
      </c>
      <c r="Q4611" s="92">
        <v>45432.0</v>
      </c>
      <c r="R4611" s="76"/>
      <c r="S4611" s="92">
        <v>45433.0</v>
      </c>
      <c r="T4611" s="49"/>
      <c r="V4611" s="21" t="s">
        <v>3904</v>
      </c>
    </row>
    <row r="4612">
      <c r="A4612" s="93">
        <v>2488.0</v>
      </c>
      <c r="B4612" s="77" t="s">
        <v>65</v>
      </c>
      <c r="C4612" s="77" t="s">
        <v>3903</v>
      </c>
      <c r="D4612" s="77" t="s">
        <v>678</v>
      </c>
      <c r="E4612" s="41" t="str">
        <f>IFERROR(__xludf.DUMMYFUNCTION("IFNA(vlookup(D4612,IMPORTRANGE(""https://docs.google.com/spreadsheets/d/1swGwZOEqYlTEUCJLY-eeJM1911Kvaei5oySBIxdgtNo/edit?pli=1#gid=257618397"",""stock untanna!B:C""),2,false),V:V)"),"BP GEL 8803")</f>
        <v>BP GEL 8803</v>
      </c>
      <c r="F4612" s="49"/>
      <c r="G4612" s="71"/>
      <c r="H4612" s="41"/>
      <c r="I4612" s="42"/>
      <c r="J4612" s="85" t="s">
        <v>1319</v>
      </c>
      <c r="K4612" s="93">
        <v>72.0</v>
      </c>
      <c r="L4612" s="112" t="s">
        <v>69</v>
      </c>
      <c r="M4612" s="113">
        <v>1666.67</v>
      </c>
      <c r="N4612" s="74"/>
      <c r="O4612" s="87">
        <f t="shared" si="11"/>
        <v>120000.24</v>
      </c>
      <c r="P4612" s="102" t="str">
        <f t="shared" si="2"/>
        <v>Rp1,667-72 PCS-0.00%</v>
      </c>
      <c r="Q4612" s="92">
        <v>45432.0</v>
      </c>
      <c r="R4612" s="76"/>
      <c r="S4612" s="92">
        <v>45433.0</v>
      </c>
      <c r="T4612" s="49"/>
      <c r="V4612" s="21" t="s">
        <v>679</v>
      </c>
    </row>
    <row r="4613">
      <c r="A4613" s="93">
        <v>2488.0</v>
      </c>
      <c r="B4613" s="77" t="s">
        <v>65</v>
      </c>
      <c r="C4613" s="77" t="s">
        <v>3903</v>
      </c>
      <c r="D4613" s="77" t="s">
        <v>145</v>
      </c>
      <c r="E4613" s="41" t="str">
        <f>IFERROR(__xludf.DUMMYFUNCTION("IFNA(vlookup(D4613,IMPORTRANGE(""https://docs.google.com/spreadsheets/d/1swGwZOEqYlTEUCJLY-eeJM1911Kvaei5oySBIxdgtNo/edit?pli=1#gid=257618397"",""stock untanna!B:C""),2,false),V:V)"),"BP GEL DTIAN BIASA 6605")</f>
        <v>BP GEL DTIAN BIASA 6605</v>
      </c>
      <c r="F4613" s="49"/>
      <c r="G4613" s="71"/>
      <c r="H4613" s="41"/>
      <c r="I4613" s="42"/>
      <c r="J4613" s="85" t="s">
        <v>1319</v>
      </c>
      <c r="K4613" s="93">
        <v>6.0</v>
      </c>
      <c r="L4613" s="112" t="s">
        <v>62</v>
      </c>
      <c r="M4613" s="113">
        <v>20000.0</v>
      </c>
      <c r="N4613" s="74"/>
      <c r="O4613" s="87">
        <f t="shared" si="11"/>
        <v>120000</v>
      </c>
      <c r="P4613" s="102" t="str">
        <f t="shared" si="2"/>
        <v>Rp20,000-6 LSN-0.00%</v>
      </c>
      <c r="Q4613" s="92">
        <v>45432.0</v>
      </c>
      <c r="R4613" s="76"/>
      <c r="S4613" s="92">
        <v>45433.0</v>
      </c>
      <c r="T4613" s="49"/>
      <c r="V4613" s="21" t="s">
        <v>146</v>
      </c>
    </row>
    <row r="4614">
      <c r="A4614" s="93">
        <v>2488.0</v>
      </c>
      <c r="B4614" s="77" t="s">
        <v>65</v>
      </c>
      <c r="C4614" s="77" t="s">
        <v>3903</v>
      </c>
      <c r="D4614" s="77" t="s">
        <v>680</v>
      </c>
      <c r="E4614" s="41" t="str">
        <f>IFERROR(__xludf.DUMMYFUNCTION("IFNA(vlookup(D4614,IMPORTRANGE(""https://docs.google.com/spreadsheets/d/1swGwZOEqYlTEUCJLY-eeJM1911Kvaei5oySBIxdgtNo/edit?pli=1#gid=257618397"",""stock untanna!B:C""),2,false),V:V)"),"BP GEL 6608")</f>
        <v>BP GEL 6608</v>
      </c>
      <c r="F4614" s="49"/>
      <c r="G4614" s="71"/>
      <c r="H4614" s="41"/>
      <c r="I4614" s="42"/>
      <c r="J4614" s="85" t="s">
        <v>1319</v>
      </c>
      <c r="K4614" s="93">
        <v>72.0</v>
      </c>
      <c r="L4614" s="112" t="s">
        <v>69</v>
      </c>
      <c r="M4614" s="113">
        <v>1666.67</v>
      </c>
      <c r="N4614" s="74"/>
      <c r="O4614" s="87">
        <f t="shared" si="11"/>
        <v>120000.24</v>
      </c>
      <c r="P4614" s="102" t="str">
        <f t="shared" si="2"/>
        <v>Rp1,667-72 PCS-0.00%</v>
      </c>
      <c r="Q4614" s="92">
        <v>45432.0</v>
      </c>
      <c r="R4614" s="76"/>
      <c r="S4614" s="92">
        <v>45433.0</v>
      </c>
      <c r="T4614" s="49"/>
      <c r="V4614" s="21" t="s">
        <v>681</v>
      </c>
    </row>
    <row r="4615">
      <c r="A4615" s="93">
        <v>2488.0</v>
      </c>
      <c r="B4615" s="77" t="s">
        <v>65</v>
      </c>
      <c r="C4615" s="77" t="s">
        <v>3903</v>
      </c>
      <c r="D4615" s="77" t="s">
        <v>3905</v>
      </c>
      <c r="E4615" s="41" t="str">
        <f>IFERROR(__xludf.DUMMYFUNCTION("IFNA(vlookup(D4615,IMPORTRANGE(""https://docs.google.com/spreadsheets/d/1swGwZOEqYlTEUCJLY-eeJM1911Kvaei5oySBIxdgtNo/edit?pli=1#gid=257618397"",""stock untanna!B:C""),2,false),V:V)"),"BP GEL 955")</f>
        <v>BP GEL 955</v>
      </c>
      <c r="F4615" s="49"/>
      <c r="G4615" s="71"/>
      <c r="H4615" s="41"/>
      <c r="I4615" s="42"/>
      <c r="J4615" s="85" t="s">
        <v>1319</v>
      </c>
      <c r="K4615" s="93">
        <v>72.0</v>
      </c>
      <c r="L4615" s="112" t="s">
        <v>69</v>
      </c>
      <c r="M4615" s="113">
        <v>1666.67</v>
      </c>
      <c r="N4615" s="74"/>
      <c r="O4615" s="87">
        <f t="shared" si="11"/>
        <v>120000.24</v>
      </c>
      <c r="P4615" s="102" t="str">
        <f t="shared" si="2"/>
        <v>Rp1,667-72 PCS-0.00%</v>
      </c>
      <c r="Q4615" s="92">
        <v>45432.0</v>
      </c>
      <c r="R4615" s="76"/>
      <c r="S4615" s="92">
        <v>45433.0</v>
      </c>
      <c r="T4615" s="49"/>
      <c r="V4615" s="21" t="s">
        <v>3906</v>
      </c>
    </row>
    <row r="4616">
      <c r="A4616" s="93">
        <v>2488.0</v>
      </c>
      <c r="B4616" s="77" t="s">
        <v>65</v>
      </c>
      <c r="C4616" s="77" t="s">
        <v>3903</v>
      </c>
      <c r="D4616" s="77" t="s">
        <v>664</v>
      </c>
      <c r="E4616" s="41" t="str">
        <f>IFERROR(__xludf.DUMMYFUNCTION("IFNA(vlookup(D4616,IMPORTRANGE(""https://docs.google.com/spreadsheets/d/1swGwZOEqYlTEUCJLY-eeJM1911Kvaei5oySBIxdgtNo/edit?pli=1#gid=257618397"",""stock untanna!B:C""),2,false),V:V)"),"BP GEL 6603")</f>
        <v>BP GEL 6603</v>
      </c>
      <c r="F4616" s="49"/>
      <c r="G4616" s="71"/>
      <c r="H4616" s="41"/>
      <c r="I4616" s="42"/>
      <c r="J4616" s="85" t="s">
        <v>1319</v>
      </c>
      <c r="K4616" s="93">
        <v>72.0</v>
      </c>
      <c r="L4616" s="112" t="s">
        <v>69</v>
      </c>
      <c r="M4616" s="113">
        <v>1666.67</v>
      </c>
      <c r="N4616" s="74"/>
      <c r="O4616" s="87">
        <f t="shared" si="11"/>
        <v>120000.24</v>
      </c>
      <c r="P4616" s="102" t="str">
        <f t="shared" si="2"/>
        <v>Rp1,667-72 PCS-0.00%</v>
      </c>
      <c r="Q4616" s="92">
        <v>45432.0</v>
      </c>
      <c r="R4616" s="76"/>
      <c r="S4616" s="92">
        <v>45433.0</v>
      </c>
      <c r="T4616" s="49"/>
      <c r="V4616" s="21" t="s">
        <v>665</v>
      </c>
    </row>
    <row r="4617">
      <c r="A4617" s="93">
        <v>2488.0</v>
      </c>
      <c r="B4617" s="77" t="s">
        <v>65</v>
      </c>
      <c r="C4617" s="77" t="s">
        <v>3903</v>
      </c>
      <c r="D4617" s="77" t="s">
        <v>151</v>
      </c>
      <c r="E4617" s="41" t="str">
        <f>IFERROR(__xludf.DUMMYFUNCTION("IFNA(vlookup(D4617,IMPORTRANGE(""https://docs.google.com/spreadsheets/d/1swGwZOEqYlTEUCJLY-eeJM1911Kvaei5oySBIxdgtNo/edit?pli=1#gid=257618397"",""stock untanna!B:C""),2,false),V:V)"),"BP GEL DTIAN 837 ")</f>
        <v>BP GEL DTIAN 837 </v>
      </c>
      <c r="F4617" s="49"/>
      <c r="G4617" s="71"/>
      <c r="H4617" s="41"/>
      <c r="I4617" s="42"/>
      <c r="J4617" s="85" t="s">
        <v>1319</v>
      </c>
      <c r="K4617" s="93">
        <v>6.0</v>
      </c>
      <c r="L4617" s="112" t="s">
        <v>62</v>
      </c>
      <c r="M4617" s="113">
        <v>20000.0</v>
      </c>
      <c r="N4617" s="74"/>
      <c r="O4617" s="87">
        <f t="shared" si="11"/>
        <v>120000</v>
      </c>
      <c r="P4617" s="102" t="str">
        <f t="shared" si="2"/>
        <v>Rp20,000-6 LSN-0.00%</v>
      </c>
      <c r="Q4617" s="92">
        <v>45432.0</v>
      </c>
      <c r="R4617" s="76"/>
      <c r="S4617" s="92">
        <v>45433.0</v>
      </c>
      <c r="T4617" s="49"/>
      <c r="V4617" s="21" t="s">
        <v>152</v>
      </c>
    </row>
    <row r="4618">
      <c r="A4618" s="93">
        <v>2488.0</v>
      </c>
      <c r="B4618" s="77" t="s">
        <v>65</v>
      </c>
      <c r="C4618" s="77" t="s">
        <v>3903</v>
      </c>
      <c r="D4618" s="77" t="s">
        <v>3907</v>
      </c>
      <c r="E4618" s="41" t="str">
        <f>IFERROR(__xludf.DUMMYFUNCTION("IFNA(vlookup(D4618,IMPORTRANGE(""https://docs.google.com/spreadsheets/d/1swGwZOEqYlTEUCJLY-eeJM1911Kvaei5oySBIxdgtNo/edit?pli=1#gid=257618397"",""stock untanna!B:C""),2,false),V:V)"),"BP STAND PEN B 9212")</f>
        <v>BP STAND PEN B 9212</v>
      </c>
      <c r="F4618" s="49"/>
      <c r="G4618" s="71"/>
      <c r="H4618" s="41"/>
      <c r="I4618" s="42"/>
      <c r="J4618" s="85" t="s">
        <v>1319</v>
      </c>
      <c r="K4618" s="93">
        <v>1.0</v>
      </c>
      <c r="L4618" s="112" t="s">
        <v>62</v>
      </c>
      <c r="M4618" s="113">
        <v>115000.0</v>
      </c>
      <c r="N4618" s="74"/>
      <c r="O4618" s="87">
        <f t="shared" si="11"/>
        <v>115000</v>
      </c>
      <c r="P4618" s="102" t="str">
        <f t="shared" si="2"/>
        <v>Rp115,000-1 LSN-0.00%</v>
      </c>
      <c r="Q4618" s="92">
        <v>45432.0</v>
      </c>
      <c r="R4618" s="76"/>
      <c r="S4618" s="92">
        <v>45433.0</v>
      </c>
      <c r="T4618" s="77" t="s">
        <v>280</v>
      </c>
      <c r="V4618" s="21" t="s">
        <v>3908</v>
      </c>
    </row>
    <row r="4619">
      <c r="A4619" s="93">
        <v>2488.0</v>
      </c>
      <c r="B4619" s="77" t="s">
        <v>65</v>
      </c>
      <c r="C4619" s="77" t="s">
        <v>3903</v>
      </c>
      <c r="D4619" s="77" t="s">
        <v>3909</v>
      </c>
      <c r="E4619" s="41" t="str">
        <f>IFERROR(__xludf.DUMMYFUNCTION("IFNA(vlookup(D4619,IMPORTRANGE(""https://docs.google.com/spreadsheets/d/1swGwZOEqYlTEUCJLY-eeJM1911Kvaei5oySBIxdgtNo/edit?pli=1#gid=257618397"",""stock untanna!B:C""),2,false),V:V)"),"BP MEJA BPS 202 FOOT")</f>
        <v>BP MEJA BPS 202 FOOT</v>
      </c>
      <c r="F4619" s="49"/>
      <c r="G4619" s="71"/>
      <c r="H4619" s="41"/>
      <c r="I4619" s="42"/>
      <c r="J4619" s="85" t="s">
        <v>1319</v>
      </c>
      <c r="K4619" s="93">
        <v>12.0</v>
      </c>
      <c r="L4619" s="112" t="s">
        <v>69</v>
      </c>
      <c r="M4619" s="113">
        <v>5000.0</v>
      </c>
      <c r="N4619" s="74"/>
      <c r="O4619" s="87">
        <f t="shared" si="11"/>
        <v>60000</v>
      </c>
      <c r="P4619" s="102" t="str">
        <f t="shared" si="2"/>
        <v>Rp5,000-12 PCS-0.00%</v>
      </c>
      <c r="Q4619" s="92">
        <v>45432.0</v>
      </c>
      <c r="R4619" s="76"/>
      <c r="S4619" s="92">
        <v>45433.0</v>
      </c>
      <c r="T4619" s="49"/>
      <c r="V4619" s="21" t="s">
        <v>3910</v>
      </c>
    </row>
    <row r="4620">
      <c r="A4620" s="93">
        <v>2488.0</v>
      </c>
      <c r="B4620" s="77" t="s">
        <v>65</v>
      </c>
      <c r="C4620" s="77" t="s">
        <v>3903</v>
      </c>
      <c r="D4620" s="91"/>
      <c r="E4620" s="41" t="str">
        <f>IFERROR(__xludf.DUMMYFUNCTION("IFNA(vlookup(D4620,IMPORTRANGE(""https://docs.google.com/spreadsheets/d/1swGwZOEqYlTEUCJLY-eeJM1911Kvaei5oySBIxdgtNo/edit?pli=1#gid=257618397"",""stock untanna!B:C""),2,false),V:V)"),"BALLPEN MEJA 851")</f>
        <v>BALLPEN MEJA 851</v>
      </c>
      <c r="F4620" s="49"/>
      <c r="G4620" s="71"/>
      <c r="H4620" s="41"/>
      <c r="I4620" s="42"/>
      <c r="J4620" s="85" t="s">
        <v>3190</v>
      </c>
      <c r="K4620" s="93">
        <v>1.0</v>
      </c>
      <c r="L4620" s="112" t="s">
        <v>62</v>
      </c>
      <c r="M4620" s="113">
        <v>75000.0</v>
      </c>
      <c r="N4620" s="74"/>
      <c r="O4620" s="87">
        <f t="shared" si="11"/>
        <v>75000</v>
      </c>
      <c r="P4620" s="102" t="str">
        <f t="shared" si="2"/>
        <v>Rp75,000-1 LSN-0.00%</v>
      </c>
      <c r="Q4620" s="92">
        <v>45432.0</v>
      </c>
      <c r="R4620" s="76"/>
      <c r="S4620" s="92">
        <v>45433.0</v>
      </c>
      <c r="T4620" s="49"/>
      <c r="V4620" s="21" t="s">
        <v>3911</v>
      </c>
    </row>
    <row r="4621">
      <c r="A4621" s="93">
        <v>2488.0</v>
      </c>
      <c r="B4621" s="77" t="s">
        <v>65</v>
      </c>
      <c r="C4621" s="77" t="s">
        <v>3903</v>
      </c>
      <c r="D4621" s="91"/>
      <c r="E4621" s="41" t="str">
        <f>IFERROR(__xludf.DUMMYFUNCTION("IFNA(vlookup(D4621,IMPORTRANGE(""https://docs.google.com/spreadsheets/d/1swGwZOEqYlTEUCJLY-eeJM1911Kvaei5oySBIxdgtNo/edit?pli=1#gid=257618397"",""stock untanna!B:C""),2,false),V:V)"),"BALLPEN MEJA 860")</f>
        <v>BALLPEN MEJA 860</v>
      </c>
      <c r="F4621" s="49"/>
      <c r="G4621" s="71"/>
      <c r="H4621" s="41"/>
      <c r="I4621" s="42"/>
      <c r="J4621" s="85" t="s">
        <v>3190</v>
      </c>
      <c r="K4621" s="93">
        <v>1.0</v>
      </c>
      <c r="L4621" s="112" t="s">
        <v>62</v>
      </c>
      <c r="M4621" s="113">
        <v>75000.0</v>
      </c>
      <c r="N4621" s="74"/>
      <c r="O4621" s="87">
        <f t="shared" si="11"/>
        <v>75000</v>
      </c>
      <c r="P4621" s="102" t="str">
        <f t="shared" si="2"/>
        <v>Rp75,000-1 LSN-0.00%</v>
      </c>
      <c r="Q4621" s="92">
        <v>45432.0</v>
      </c>
      <c r="R4621" s="76"/>
      <c r="S4621" s="92">
        <v>45433.0</v>
      </c>
      <c r="T4621" s="49"/>
      <c r="V4621" s="21" t="s">
        <v>3912</v>
      </c>
    </row>
    <row r="4622">
      <c r="A4622" s="93">
        <v>2489.0</v>
      </c>
      <c r="B4622" s="77" t="s">
        <v>65</v>
      </c>
      <c r="C4622" s="77" t="s">
        <v>3903</v>
      </c>
      <c r="D4622" s="77" t="s">
        <v>318</v>
      </c>
      <c r="E4622" s="41" t="str">
        <f>IFERROR(__xludf.DUMMYFUNCTION("IFNA(vlookup(D4622,IMPORTRANGE(""https://docs.google.com/spreadsheets/d/1swGwZOEqYlTEUCJLY-eeJM1911Kvaei5oySBIxdgtNo/edit?pli=1#gid=257618397"",""stock untanna!B:C""),2,false),V:V)"),"BP V-TRO 222")</f>
        <v>BP V-TRO 222</v>
      </c>
      <c r="F4622" s="49"/>
      <c r="G4622" s="71"/>
      <c r="H4622" s="41"/>
      <c r="I4622" s="42"/>
      <c r="J4622" s="85" t="s">
        <v>1319</v>
      </c>
      <c r="K4622" s="93">
        <v>6.0</v>
      </c>
      <c r="L4622" s="112" t="s">
        <v>62</v>
      </c>
      <c r="M4622" s="113">
        <v>17500.0</v>
      </c>
      <c r="N4622" s="74"/>
      <c r="O4622" s="87">
        <f t="shared" si="11"/>
        <v>105000</v>
      </c>
      <c r="P4622" s="102" t="str">
        <f t="shared" si="2"/>
        <v>Rp17,500-6 LSN-0.00%</v>
      </c>
      <c r="Q4622" s="92">
        <v>45432.0</v>
      </c>
      <c r="R4622" s="76"/>
      <c r="S4622" s="92">
        <v>45433.0</v>
      </c>
      <c r="T4622" s="49"/>
      <c r="V4622" s="21" t="s">
        <v>319</v>
      </c>
    </row>
    <row r="4623">
      <c r="A4623" s="93">
        <v>2489.0</v>
      </c>
      <c r="B4623" s="77" t="s">
        <v>65</v>
      </c>
      <c r="C4623" s="77" t="s">
        <v>3903</v>
      </c>
      <c r="D4623" s="77" t="s">
        <v>2274</v>
      </c>
      <c r="E4623" s="41" t="str">
        <f>IFERROR(__xludf.DUMMYFUNCTION("IFNA(vlookup(D4623,IMPORTRANGE(""https://docs.google.com/spreadsheets/d/1swGwZOEqYlTEUCJLY-eeJM1911Kvaei5oySBIxdgtNo/edit?pli=1#gid=257618397"",""stock untanna!B:C""),2,false),V:V)"),"BP V-TRO 238")</f>
        <v>BP V-TRO 238</v>
      </c>
      <c r="F4623" s="49"/>
      <c r="G4623" s="71"/>
      <c r="H4623" s="41"/>
      <c r="I4623" s="42"/>
      <c r="J4623" s="85" t="s">
        <v>1319</v>
      </c>
      <c r="K4623" s="93">
        <v>6.0</v>
      </c>
      <c r="L4623" s="112" t="s">
        <v>62</v>
      </c>
      <c r="M4623" s="113">
        <v>17500.0</v>
      </c>
      <c r="N4623" s="74"/>
      <c r="O4623" s="87">
        <f t="shared" si="11"/>
        <v>105000</v>
      </c>
      <c r="P4623" s="102" t="str">
        <f t="shared" si="2"/>
        <v>Rp17,500-6 LSN-0.00%</v>
      </c>
      <c r="Q4623" s="92">
        <v>45432.0</v>
      </c>
      <c r="R4623" s="76"/>
      <c r="S4623" s="92">
        <v>45433.0</v>
      </c>
      <c r="T4623" s="49"/>
      <c r="V4623" s="21" t="s">
        <v>2275</v>
      </c>
    </row>
    <row r="4624">
      <c r="A4624" s="93">
        <v>2489.0</v>
      </c>
      <c r="B4624" s="77" t="s">
        <v>65</v>
      </c>
      <c r="C4624" s="77" t="s">
        <v>3903</v>
      </c>
      <c r="D4624" s="77" t="s">
        <v>2278</v>
      </c>
      <c r="E4624" s="41" t="str">
        <f>IFERROR(__xludf.DUMMYFUNCTION("IFNA(vlookup(D4624,IMPORTRANGE(""https://docs.google.com/spreadsheets/d/1swGwZOEqYlTEUCJLY-eeJM1911Kvaei5oySBIxdgtNo/edit?pli=1#gid=257618397"",""stock untanna!B:C""),2,false),V:V)"),"BP V-TRO 237")</f>
        <v>BP V-TRO 237</v>
      </c>
      <c r="F4624" s="49"/>
      <c r="G4624" s="71"/>
      <c r="H4624" s="41"/>
      <c r="I4624" s="42"/>
      <c r="J4624" s="85" t="s">
        <v>1319</v>
      </c>
      <c r="K4624" s="93">
        <v>6.0</v>
      </c>
      <c r="L4624" s="112" t="s">
        <v>62</v>
      </c>
      <c r="M4624" s="113">
        <v>17500.0</v>
      </c>
      <c r="N4624" s="74"/>
      <c r="O4624" s="87">
        <f t="shared" si="11"/>
        <v>105000</v>
      </c>
      <c r="P4624" s="102" t="str">
        <f t="shared" si="2"/>
        <v>Rp17,500-6 LSN-0.00%</v>
      </c>
      <c r="Q4624" s="92">
        <v>45432.0</v>
      </c>
      <c r="R4624" s="76"/>
      <c r="S4624" s="92">
        <v>45433.0</v>
      </c>
      <c r="T4624" s="49"/>
      <c r="V4624" s="21" t="s">
        <v>2279</v>
      </c>
    </row>
    <row r="4625">
      <c r="A4625" s="93">
        <v>2489.0</v>
      </c>
      <c r="B4625" s="77" t="s">
        <v>65</v>
      </c>
      <c r="C4625" s="77" t="s">
        <v>3903</v>
      </c>
      <c r="D4625" s="77" t="s">
        <v>1360</v>
      </c>
      <c r="E4625" s="41" t="str">
        <f>IFERROR(__xludf.DUMMYFUNCTION("IFNA(vlookup(D4625,IMPORTRANGE(""https://docs.google.com/spreadsheets/d/1swGwZOEqYlTEUCJLY-eeJM1911Kvaei5oySBIxdgtNo/edit?pli=1#gid=257618397"",""stock untanna!B:C""),2,false),V:V)"),"BP V-TRO 231")</f>
        <v>BP V-TRO 231</v>
      </c>
      <c r="F4625" s="49"/>
      <c r="G4625" s="71"/>
      <c r="H4625" s="41"/>
      <c r="I4625" s="42"/>
      <c r="J4625" s="85" t="s">
        <v>1319</v>
      </c>
      <c r="K4625" s="93">
        <v>6.0</v>
      </c>
      <c r="L4625" s="112" t="s">
        <v>62</v>
      </c>
      <c r="M4625" s="113">
        <v>17500.0</v>
      </c>
      <c r="N4625" s="74"/>
      <c r="O4625" s="87">
        <f t="shared" si="11"/>
        <v>105000</v>
      </c>
      <c r="P4625" s="102" t="str">
        <f t="shared" si="2"/>
        <v>Rp17,500-6 LSN-0.00%</v>
      </c>
      <c r="Q4625" s="92">
        <v>45432.0</v>
      </c>
      <c r="R4625" s="76"/>
      <c r="S4625" s="92">
        <v>45433.0</v>
      </c>
      <c r="T4625" s="49"/>
      <c r="V4625" s="21" t="s">
        <v>1361</v>
      </c>
    </row>
    <row r="4626">
      <c r="A4626" s="93">
        <v>2489.0</v>
      </c>
      <c r="B4626" s="77" t="s">
        <v>65</v>
      </c>
      <c r="C4626" s="77" t="s">
        <v>3903</v>
      </c>
      <c r="D4626" s="77" t="s">
        <v>308</v>
      </c>
      <c r="E4626" s="41" t="str">
        <f>IFERROR(__xludf.DUMMYFUNCTION("IFNA(vlookup(D4626,IMPORTRANGE(""https://docs.google.com/spreadsheets/d/1swGwZOEqYlTEUCJLY-eeJM1911Kvaei5oySBIxdgtNo/edit?pli=1#gid=257618397"",""stock untanna!B:C""),2,false),V:V)"),"BP V-TRO 217")</f>
        <v>BP V-TRO 217</v>
      </c>
      <c r="F4626" s="49"/>
      <c r="G4626" s="71"/>
      <c r="H4626" s="41"/>
      <c r="I4626" s="42"/>
      <c r="J4626" s="85" t="s">
        <v>1319</v>
      </c>
      <c r="K4626" s="93">
        <v>6.0</v>
      </c>
      <c r="L4626" s="112" t="s">
        <v>62</v>
      </c>
      <c r="M4626" s="113">
        <v>17500.0</v>
      </c>
      <c r="N4626" s="74"/>
      <c r="O4626" s="87">
        <f t="shared" si="11"/>
        <v>105000</v>
      </c>
      <c r="P4626" s="102" t="str">
        <f t="shared" si="2"/>
        <v>Rp17,500-6 LSN-0.00%</v>
      </c>
      <c r="Q4626" s="92">
        <v>45432.0</v>
      </c>
      <c r="R4626" s="76"/>
      <c r="S4626" s="92">
        <v>45433.0</v>
      </c>
      <c r="T4626" s="49"/>
      <c r="V4626" s="21" t="s">
        <v>309</v>
      </c>
    </row>
    <row r="4627">
      <c r="A4627" s="93">
        <v>2489.0</v>
      </c>
      <c r="B4627" s="77" t="s">
        <v>65</v>
      </c>
      <c r="C4627" s="77" t="s">
        <v>3903</v>
      </c>
      <c r="D4627" s="77" t="s">
        <v>1362</v>
      </c>
      <c r="E4627" s="41" t="str">
        <f>IFERROR(__xludf.DUMMYFUNCTION("IFNA(vlookup(D4627,IMPORTRANGE(""https://docs.google.com/spreadsheets/d/1swGwZOEqYlTEUCJLY-eeJM1911Kvaei5oySBIxdgtNo/edit?pli=1#gid=257618397"",""stock untanna!B:C""),2,false),V:V)"),"BP V-TRO 225")</f>
        <v>BP V-TRO 225</v>
      </c>
      <c r="F4627" s="49"/>
      <c r="G4627" s="71"/>
      <c r="H4627" s="41"/>
      <c r="I4627" s="42"/>
      <c r="J4627" s="85" t="s">
        <v>1319</v>
      </c>
      <c r="K4627" s="93">
        <v>6.0</v>
      </c>
      <c r="L4627" s="112" t="s">
        <v>62</v>
      </c>
      <c r="M4627" s="113">
        <v>17500.0</v>
      </c>
      <c r="N4627" s="74"/>
      <c r="O4627" s="87">
        <f t="shared" si="11"/>
        <v>105000</v>
      </c>
      <c r="P4627" s="102" t="str">
        <f t="shared" si="2"/>
        <v>Rp17,500-6 LSN-0.00%</v>
      </c>
      <c r="Q4627" s="92">
        <v>45432.0</v>
      </c>
      <c r="R4627" s="76"/>
      <c r="S4627" s="92">
        <v>45433.0</v>
      </c>
      <c r="T4627" s="49"/>
      <c r="V4627" s="21" t="s">
        <v>1363</v>
      </c>
    </row>
    <row r="4628">
      <c r="A4628" s="93">
        <v>2489.0</v>
      </c>
      <c r="B4628" s="77" t="s">
        <v>65</v>
      </c>
      <c r="C4628" s="77" t="s">
        <v>3903</v>
      </c>
      <c r="D4628" s="77" t="s">
        <v>3534</v>
      </c>
      <c r="E4628" s="41" t="str">
        <f>IFERROR(__xludf.DUMMYFUNCTION("IFNA(vlookup(D4628,IMPORTRANGE(""https://docs.google.com/spreadsheets/d/1swGwZOEqYlTEUCJLY-eeJM1911Kvaei5oySBIxdgtNo/edit?pli=1#gid=257618397"",""stock untanna!B:C""),2,false),V:V)"),"BP V-TRO 236")</f>
        <v>BP V-TRO 236</v>
      </c>
      <c r="F4628" s="49"/>
      <c r="G4628" s="71"/>
      <c r="H4628" s="41"/>
      <c r="I4628" s="42"/>
      <c r="J4628" s="85" t="s">
        <v>1319</v>
      </c>
      <c r="K4628" s="93">
        <v>6.0</v>
      </c>
      <c r="L4628" s="112" t="s">
        <v>62</v>
      </c>
      <c r="M4628" s="113">
        <v>17500.0</v>
      </c>
      <c r="N4628" s="74"/>
      <c r="O4628" s="87">
        <f t="shared" si="11"/>
        <v>105000</v>
      </c>
      <c r="P4628" s="102" t="str">
        <f t="shared" si="2"/>
        <v>Rp17,500-6 LSN-0.00%</v>
      </c>
      <c r="Q4628" s="92">
        <v>45432.0</v>
      </c>
      <c r="R4628" s="76"/>
      <c r="S4628" s="92">
        <v>45433.0</v>
      </c>
      <c r="T4628" s="49"/>
      <c r="V4628" s="21" t="s">
        <v>3535</v>
      </c>
    </row>
    <row r="4629">
      <c r="A4629" s="93">
        <v>2489.0</v>
      </c>
      <c r="B4629" s="77" t="s">
        <v>65</v>
      </c>
      <c r="C4629" s="77" t="s">
        <v>3903</v>
      </c>
      <c r="D4629" s="77" t="s">
        <v>316</v>
      </c>
      <c r="E4629" s="41" t="str">
        <f>IFERROR(__xludf.DUMMYFUNCTION("IFNA(vlookup(D4629,IMPORTRANGE(""https://docs.google.com/spreadsheets/d/1swGwZOEqYlTEUCJLY-eeJM1911Kvaei5oySBIxdgtNo/edit?pli=1#gid=257618397"",""stock untanna!B:C""),2,false),V:V)"),"BP V-TRO 216")</f>
        <v>BP V-TRO 216</v>
      </c>
      <c r="F4629" s="49"/>
      <c r="G4629" s="71"/>
      <c r="H4629" s="41"/>
      <c r="I4629" s="42"/>
      <c r="J4629" s="85" t="s">
        <v>1319</v>
      </c>
      <c r="K4629" s="93">
        <v>6.0</v>
      </c>
      <c r="L4629" s="112" t="s">
        <v>62</v>
      </c>
      <c r="M4629" s="113">
        <v>17500.0</v>
      </c>
      <c r="N4629" s="74"/>
      <c r="O4629" s="87">
        <f t="shared" si="11"/>
        <v>105000</v>
      </c>
      <c r="P4629" s="102" t="str">
        <f t="shared" si="2"/>
        <v>Rp17,500-6 LSN-0.00%</v>
      </c>
      <c r="Q4629" s="92">
        <v>45432.0</v>
      </c>
      <c r="R4629" s="76"/>
      <c r="S4629" s="92">
        <v>45433.0</v>
      </c>
      <c r="T4629" s="49"/>
      <c r="V4629" s="21" t="s">
        <v>317</v>
      </c>
    </row>
    <row r="4630">
      <c r="A4630" s="93">
        <v>2489.0</v>
      </c>
      <c r="B4630" s="77" t="s">
        <v>65</v>
      </c>
      <c r="C4630" s="77" t="s">
        <v>3903</v>
      </c>
      <c r="D4630" s="77" t="s">
        <v>2113</v>
      </c>
      <c r="E4630" s="41" t="str">
        <f>IFERROR(__xludf.DUMMYFUNCTION("IFNA(vlookup(D4630,IMPORTRANGE(""https://docs.google.com/spreadsheets/d/1swGwZOEqYlTEUCJLY-eeJM1911Kvaei5oySBIxdgtNo/edit?pli=1#gid=257618397"",""stock untanna!B:C""),2,false),V:V)"),"BP V-TRO 235")</f>
        <v>BP V-TRO 235</v>
      </c>
      <c r="F4630" s="49"/>
      <c r="G4630" s="71"/>
      <c r="H4630" s="41"/>
      <c r="I4630" s="42"/>
      <c r="J4630" s="85" t="s">
        <v>1319</v>
      </c>
      <c r="K4630" s="93">
        <v>6.0</v>
      </c>
      <c r="L4630" s="112" t="s">
        <v>62</v>
      </c>
      <c r="M4630" s="113">
        <v>17500.0</v>
      </c>
      <c r="N4630" s="74"/>
      <c r="O4630" s="87">
        <f t="shared" si="11"/>
        <v>105000</v>
      </c>
      <c r="P4630" s="102" t="str">
        <f t="shared" si="2"/>
        <v>Rp17,500-6 LSN-0.00%</v>
      </c>
      <c r="Q4630" s="92">
        <v>45432.0</v>
      </c>
      <c r="R4630" s="76"/>
      <c r="S4630" s="92">
        <v>45433.0</v>
      </c>
      <c r="T4630" s="49"/>
      <c r="V4630" s="21" t="s">
        <v>2114</v>
      </c>
    </row>
    <row r="4631">
      <c r="A4631" s="93">
        <v>2489.0</v>
      </c>
      <c r="B4631" s="77" t="s">
        <v>65</v>
      </c>
      <c r="C4631" s="77" t="s">
        <v>3903</v>
      </c>
      <c r="D4631" s="77" t="s">
        <v>310</v>
      </c>
      <c r="E4631" s="41" t="str">
        <f>IFERROR(__xludf.DUMMYFUNCTION("IFNA(vlookup(D4631,IMPORTRANGE(""https://docs.google.com/spreadsheets/d/1swGwZOEqYlTEUCJLY-eeJM1911Kvaei5oySBIxdgtNo/edit?pli=1#gid=257618397"",""stock untanna!B:C""),2,false),V:V)"),"BP V-TRO 239")</f>
        <v>BP V-TRO 239</v>
      </c>
      <c r="F4631" s="49"/>
      <c r="G4631" s="71"/>
      <c r="H4631" s="41"/>
      <c r="I4631" s="42"/>
      <c r="J4631" s="85" t="s">
        <v>1319</v>
      </c>
      <c r="K4631" s="93">
        <v>6.0</v>
      </c>
      <c r="L4631" s="112" t="s">
        <v>62</v>
      </c>
      <c r="M4631" s="113">
        <v>17500.0</v>
      </c>
      <c r="N4631" s="74"/>
      <c r="O4631" s="87">
        <f t="shared" si="11"/>
        <v>105000</v>
      </c>
      <c r="P4631" s="102" t="str">
        <f t="shared" si="2"/>
        <v>Rp17,500-6 LSN-0.00%</v>
      </c>
      <c r="Q4631" s="92">
        <v>45432.0</v>
      </c>
      <c r="R4631" s="76"/>
      <c r="S4631" s="92">
        <v>45433.0</v>
      </c>
      <c r="T4631" s="49"/>
      <c r="V4631" s="21" t="s">
        <v>311</v>
      </c>
    </row>
    <row r="4632">
      <c r="A4632" s="93">
        <v>2489.0</v>
      </c>
      <c r="B4632" s="77" t="s">
        <v>65</v>
      </c>
      <c r="C4632" s="77" t="s">
        <v>3903</v>
      </c>
      <c r="D4632" s="77" t="s">
        <v>203</v>
      </c>
      <c r="E4632" s="41" t="str">
        <f>IFERROR(__xludf.DUMMYFUNCTION("IFNA(vlookup(D4632,IMPORTRANGE(""https://docs.google.com/spreadsheets/d/1swGwZOEqYlTEUCJLY-eeJM1911Kvaei5oySBIxdgtNo/edit?pli=1#gid=257618397"",""stock untanna!B:C""),2,false),V:V)"),"BP HITECH JOSS GP-168 0.28MM")</f>
        <v>BP HITECH JOSS GP-168 0.28MM</v>
      </c>
      <c r="F4632" s="49"/>
      <c r="G4632" s="71"/>
      <c r="H4632" s="41"/>
      <c r="I4632" s="42"/>
      <c r="J4632" s="85" t="s">
        <v>1319</v>
      </c>
      <c r="K4632" s="93">
        <v>12.0</v>
      </c>
      <c r="L4632" s="112" t="s">
        <v>62</v>
      </c>
      <c r="M4632" s="113">
        <v>30000.0</v>
      </c>
      <c r="N4632" s="74"/>
      <c r="O4632" s="87">
        <f t="shared" si="11"/>
        <v>360000</v>
      </c>
      <c r="P4632" s="102" t="str">
        <f t="shared" si="2"/>
        <v>Rp30,000-12 LSN-0.00%</v>
      </c>
      <c r="Q4632" s="92">
        <v>45432.0</v>
      </c>
      <c r="R4632" s="76"/>
      <c r="S4632" s="92">
        <v>45433.0</v>
      </c>
      <c r="T4632" s="49"/>
      <c r="V4632" s="21" t="s">
        <v>204</v>
      </c>
    </row>
    <row r="4633">
      <c r="A4633" s="93">
        <v>2489.0</v>
      </c>
      <c r="B4633" s="77" t="s">
        <v>65</v>
      </c>
      <c r="C4633" s="77" t="s">
        <v>3903</v>
      </c>
      <c r="D4633" s="77" t="s">
        <v>207</v>
      </c>
      <c r="E4633" s="41" t="str">
        <f>IFERROR(__xludf.DUMMYFUNCTION("IFNA(vlookup(D4633,IMPORTRANGE(""https://docs.google.com/spreadsheets/d/1swGwZOEqYlTEUCJLY-eeJM1911Kvaei5oySBIxdgtNo/edit?pli=1#gid=257618397"",""stock untanna!B:C""),2,false),V:V)"),"BP GEL KOALA GP-168")</f>
        <v>BP GEL KOALA GP-168</v>
      </c>
      <c r="F4633" s="49"/>
      <c r="G4633" s="71"/>
      <c r="H4633" s="41"/>
      <c r="I4633" s="42"/>
      <c r="J4633" s="85" t="s">
        <v>1319</v>
      </c>
      <c r="K4633" s="93">
        <v>12.0</v>
      </c>
      <c r="L4633" s="112" t="s">
        <v>62</v>
      </c>
      <c r="M4633" s="113">
        <v>30000.0</v>
      </c>
      <c r="N4633" s="74"/>
      <c r="O4633" s="87">
        <f t="shared" si="11"/>
        <v>360000</v>
      </c>
      <c r="P4633" s="102" t="str">
        <f t="shared" si="2"/>
        <v>Rp30,000-12 LSN-0.00%</v>
      </c>
      <c r="Q4633" s="92">
        <v>45432.0</v>
      </c>
      <c r="R4633" s="76"/>
      <c r="S4633" s="92">
        <v>45433.0</v>
      </c>
      <c r="T4633" s="49"/>
      <c r="V4633" s="21" t="s">
        <v>208</v>
      </c>
    </row>
    <row r="4634">
      <c r="A4634" s="93">
        <v>2489.0</v>
      </c>
      <c r="B4634" s="77" t="s">
        <v>65</v>
      </c>
      <c r="C4634" s="77" t="s">
        <v>3903</v>
      </c>
      <c r="D4634" s="77" t="s">
        <v>419</v>
      </c>
      <c r="E4634" s="41" t="str">
        <f>IFERROR(__xludf.DUMMYFUNCTION("IFNA(vlookup(D4634,IMPORTRANGE(""https://docs.google.com/spreadsheets/d/1swGwZOEqYlTEUCJLY-eeJM1911Kvaei5oySBIxdgtNo/edit?pli=1#gid=257618397"",""stock untanna!B:C""),2,false),V:V)"),"BP GEL ZUI XUA HY-1020 HITAM")</f>
        <v>BP GEL ZUI XUA HY-1020 HITAM</v>
      </c>
      <c r="F4634" s="49"/>
      <c r="G4634" s="71"/>
      <c r="H4634" s="41"/>
      <c r="I4634" s="42"/>
      <c r="J4634" s="85" t="s">
        <v>1319</v>
      </c>
      <c r="K4634" s="93">
        <v>12.0</v>
      </c>
      <c r="L4634" s="112" t="s">
        <v>62</v>
      </c>
      <c r="M4634" s="113">
        <v>18500.0</v>
      </c>
      <c r="N4634" s="74"/>
      <c r="O4634" s="87">
        <f t="shared" si="11"/>
        <v>222000</v>
      </c>
      <c r="P4634" s="102" t="str">
        <f t="shared" si="2"/>
        <v>Rp18,500-12 LSN-0.00%</v>
      </c>
      <c r="Q4634" s="92">
        <v>45432.0</v>
      </c>
      <c r="R4634" s="76"/>
      <c r="S4634" s="92">
        <v>45433.0</v>
      </c>
      <c r="T4634" s="49"/>
      <c r="V4634" s="21" t="s">
        <v>3281</v>
      </c>
    </row>
    <row r="4635">
      <c r="A4635" s="93">
        <v>2489.0</v>
      </c>
      <c r="B4635" s="77" t="s">
        <v>65</v>
      </c>
      <c r="C4635" s="77" t="s">
        <v>3903</v>
      </c>
      <c r="D4635" s="77" t="s">
        <v>1588</v>
      </c>
      <c r="E4635" s="41" t="str">
        <f>IFERROR(__xludf.DUMMYFUNCTION("IFNA(vlookup(D4635,IMPORTRANGE(""https://docs.google.com/spreadsheets/d/1swGwZOEqYlTEUCJLY-eeJM1911Kvaei5oySBIxdgtNo/edit?pli=1#gid=257618397"",""stock untanna!B:C""),2,false),V:V)"),"ISI BENSIA LANTU LT 1132")</f>
        <v>ISI BENSIA LANTU LT 1132</v>
      </c>
      <c r="F4635" s="49"/>
      <c r="G4635" s="71"/>
      <c r="H4635" s="41"/>
      <c r="I4635" s="42"/>
      <c r="J4635" s="85" t="s">
        <v>1319</v>
      </c>
      <c r="K4635" s="93">
        <v>3.0</v>
      </c>
      <c r="L4635" s="112" t="s">
        <v>114</v>
      </c>
      <c r="M4635" s="113">
        <v>110000.0</v>
      </c>
      <c r="N4635" s="74"/>
      <c r="O4635" s="87">
        <f t="shared" si="11"/>
        <v>330000</v>
      </c>
      <c r="P4635" s="102" t="str">
        <f t="shared" si="2"/>
        <v>Rp110,000-3 PAK-0.00%</v>
      </c>
      <c r="Q4635" s="92">
        <v>45432.0</v>
      </c>
      <c r="R4635" s="76"/>
      <c r="S4635" s="92">
        <v>45433.0</v>
      </c>
      <c r="T4635" s="49"/>
      <c r="V4635" s="21" t="s">
        <v>1589</v>
      </c>
    </row>
    <row r="4636">
      <c r="A4636" s="93">
        <v>2489.0</v>
      </c>
      <c r="B4636" s="77" t="s">
        <v>65</v>
      </c>
      <c r="C4636" s="77" t="s">
        <v>3903</v>
      </c>
      <c r="D4636" s="77" t="s">
        <v>1573</v>
      </c>
      <c r="E4636" s="41" t="str">
        <f>IFERROR(__xludf.DUMMYFUNCTION("IFNA(vlookup(D4636,IMPORTRANGE(""https://docs.google.com/spreadsheets/d/1swGwZOEqYlTEUCJLY-eeJM1911Kvaei5oySBIxdgtNo/edit?pli=1#gid=257618397"",""stock untanna!B:C""),2,false),V:V)"),"SPIDOL GOLDEN 838 12W")</f>
        <v>SPIDOL GOLDEN 838 12W</v>
      </c>
      <c r="F4636" s="49"/>
      <c r="G4636" s="71"/>
      <c r="H4636" s="41"/>
      <c r="I4636" s="42"/>
      <c r="J4636" s="85" t="s">
        <v>1319</v>
      </c>
      <c r="K4636" s="93">
        <v>1.0</v>
      </c>
      <c r="L4636" s="112" t="s">
        <v>62</v>
      </c>
      <c r="M4636" s="113">
        <v>52500.0</v>
      </c>
      <c r="N4636" s="74"/>
      <c r="O4636" s="87">
        <f t="shared" si="11"/>
        <v>52500</v>
      </c>
      <c r="P4636" s="102" t="str">
        <f t="shared" si="2"/>
        <v>Rp52,500-1 LSN-0.00%</v>
      </c>
      <c r="Q4636" s="92">
        <v>45432.0</v>
      </c>
      <c r="R4636" s="76"/>
      <c r="S4636" s="92">
        <v>45433.0</v>
      </c>
      <c r="T4636" s="49"/>
      <c r="V4636" s="21" t="s">
        <v>1574</v>
      </c>
    </row>
    <row r="4637">
      <c r="A4637" s="93">
        <v>2489.0</v>
      </c>
      <c r="B4637" s="77" t="s">
        <v>65</v>
      </c>
      <c r="C4637" s="77" t="s">
        <v>3903</v>
      </c>
      <c r="D4637" s="77" t="s">
        <v>3639</v>
      </c>
      <c r="E4637" s="41" t="str">
        <f>IFERROR(__xludf.DUMMYFUNCTION("IFNA(vlookup(D4637,IMPORTRANGE(""https://docs.google.com/spreadsheets/d/1swGwZOEqYlTEUCJLY-eeJM1911Kvaei5oySBIxdgtNo/edit?pli=1#gid=257618397"",""stock untanna!B:C""),2,false),V:V)"),"PW INFICO 12W PDK 1235")</f>
        <v>PW INFICO 12W PDK 1235</v>
      </c>
      <c r="F4637" s="49"/>
      <c r="G4637" s="71"/>
      <c r="H4637" s="41"/>
      <c r="I4637" s="42"/>
      <c r="J4637" s="85" t="s">
        <v>1319</v>
      </c>
      <c r="K4637" s="93">
        <v>2.0</v>
      </c>
      <c r="L4637" s="112" t="s">
        <v>62</v>
      </c>
      <c r="M4637" s="113">
        <v>60000.0</v>
      </c>
      <c r="N4637" s="74"/>
      <c r="O4637" s="87">
        <f t="shared" si="11"/>
        <v>120000</v>
      </c>
      <c r="P4637" s="102" t="str">
        <f t="shared" si="2"/>
        <v>Rp60,000-2 LSN-0.00%</v>
      </c>
      <c r="Q4637" s="92">
        <v>45432.0</v>
      </c>
      <c r="R4637" s="76"/>
      <c r="S4637" s="92">
        <v>45433.0</v>
      </c>
      <c r="T4637" s="49"/>
      <c r="V4637" s="21" t="s">
        <v>3640</v>
      </c>
    </row>
    <row r="4638">
      <c r="A4638" s="93">
        <v>2490.0</v>
      </c>
      <c r="B4638" s="77" t="s">
        <v>65</v>
      </c>
      <c r="C4638" s="77" t="s">
        <v>3903</v>
      </c>
      <c r="D4638" s="77" t="s">
        <v>1771</v>
      </c>
      <c r="E4638" s="41" t="str">
        <f>IFERROR(__xludf.DUMMYFUNCTION("IFNA(vlookup(D4638,IMPORTRANGE(""https://docs.google.com/spreadsheets/d/1swGwZOEqYlTEUCJLY-eeJM1911Kvaei5oySBIxdgtNo/edit?pli=1#gid=257618397"",""stock untanna!B:C""),2,false),V:V)"),"PENSIL KAYAGI 2B PF3093")</f>
        <v>PENSIL KAYAGI 2B PF3093</v>
      </c>
      <c r="F4638" s="49"/>
      <c r="G4638" s="71"/>
      <c r="H4638" s="41"/>
      <c r="I4638" s="42"/>
      <c r="J4638" s="85" t="s">
        <v>1319</v>
      </c>
      <c r="K4638" s="93">
        <v>1.0</v>
      </c>
      <c r="L4638" s="112" t="s">
        <v>131</v>
      </c>
      <c r="M4638" s="113">
        <v>138000.0</v>
      </c>
      <c r="N4638" s="74"/>
      <c r="O4638" s="87">
        <f t="shared" si="11"/>
        <v>138000</v>
      </c>
      <c r="P4638" s="102" t="str">
        <f t="shared" si="2"/>
        <v>Rp138,000-1 GRS-0.00%</v>
      </c>
      <c r="Q4638" s="92">
        <v>45432.0</v>
      </c>
      <c r="R4638" s="76"/>
      <c r="S4638" s="92">
        <v>45433.0</v>
      </c>
      <c r="T4638" s="49"/>
      <c r="V4638" s="21" t="s">
        <v>1772</v>
      </c>
    </row>
    <row r="4639">
      <c r="A4639" s="93">
        <v>2490.0</v>
      </c>
      <c r="B4639" s="77" t="s">
        <v>65</v>
      </c>
      <c r="C4639" s="77" t="s">
        <v>3903</v>
      </c>
      <c r="D4639" s="77" t="s">
        <v>738</v>
      </c>
      <c r="E4639" s="41" t="str">
        <f>IFERROR(__xludf.DUMMYFUNCTION("IFNA(vlookup(D4639,IMPORTRANGE(""https://docs.google.com/spreadsheets/d/1swGwZOEqYlTEUCJLY-eeJM1911Kvaei5oySBIxdgtNo/edit?pli=1#gid=257618397"",""stock untanna!B:C""),2,false),V:V)"),"PENSIL 2B KAYAGI 3060")</f>
        <v>PENSIL 2B KAYAGI 3060</v>
      </c>
      <c r="F4639" s="49"/>
      <c r="G4639" s="71"/>
      <c r="H4639" s="41"/>
      <c r="I4639" s="42"/>
      <c r="J4639" s="85" t="s">
        <v>1319</v>
      </c>
      <c r="K4639" s="93">
        <v>1.0</v>
      </c>
      <c r="L4639" s="112" t="s">
        <v>131</v>
      </c>
      <c r="M4639" s="113">
        <v>138000.0</v>
      </c>
      <c r="N4639" s="74"/>
      <c r="O4639" s="87">
        <f t="shared" si="11"/>
        <v>138000</v>
      </c>
      <c r="P4639" s="102" t="str">
        <f t="shared" si="2"/>
        <v>Rp138,000-1 GRS-0.00%</v>
      </c>
      <c r="Q4639" s="92">
        <v>45432.0</v>
      </c>
      <c r="R4639" s="76"/>
      <c r="S4639" s="92">
        <v>45433.0</v>
      </c>
      <c r="T4639" s="49"/>
      <c r="V4639" s="21" t="s">
        <v>739</v>
      </c>
    </row>
    <row r="4640">
      <c r="A4640" s="93">
        <v>2490.0</v>
      </c>
      <c r="B4640" s="77" t="s">
        <v>65</v>
      </c>
      <c r="C4640" s="77" t="s">
        <v>3903</v>
      </c>
      <c r="D4640" s="91"/>
      <c r="E4640" s="41" t="str">
        <f>IFERROR(__xludf.DUMMYFUNCTION("IFNA(vlookup(D4640,IMPORTRANGE(""https://docs.google.com/spreadsheets/d/1swGwZOEqYlTEUCJLY-eeJM1911Kvaei5oySBIxdgtNo/edit?pli=1#gid=257618397"",""stock untanna!B:C""),2,false),V:V)"),"PENSIL KAYAGI 3055")</f>
        <v>PENSIL KAYAGI 3055</v>
      </c>
      <c r="F4640" s="49"/>
      <c r="G4640" s="71"/>
      <c r="H4640" s="41"/>
      <c r="I4640" s="42"/>
      <c r="J4640" s="85" t="s">
        <v>3190</v>
      </c>
      <c r="K4640" s="93">
        <v>1.0</v>
      </c>
      <c r="L4640" s="112" t="s">
        <v>131</v>
      </c>
      <c r="M4640" s="113">
        <v>138000.0</v>
      </c>
      <c r="N4640" s="74"/>
      <c r="O4640" s="87">
        <f t="shared" si="11"/>
        <v>138000</v>
      </c>
      <c r="P4640" s="102" t="str">
        <f t="shared" si="2"/>
        <v>Rp138,000-1 GRS-0.00%</v>
      </c>
      <c r="Q4640" s="92">
        <v>45432.0</v>
      </c>
      <c r="R4640" s="76"/>
      <c r="S4640" s="92">
        <v>45433.0</v>
      </c>
      <c r="T4640" s="49"/>
      <c r="V4640" s="21" t="s">
        <v>990</v>
      </c>
    </row>
    <row r="4641">
      <c r="A4641" s="93">
        <v>2490.0</v>
      </c>
      <c r="B4641" s="77" t="s">
        <v>65</v>
      </c>
      <c r="C4641" s="77" t="s">
        <v>3903</v>
      </c>
      <c r="D4641" s="91"/>
      <c r="E4641" s="41" t="str">
        <f>IFERROR(__xludf.DUMMYFUNCTION("IFNA(vlookup(D4641,IMPORTRANGE(""https://docs.google.com/spreadsheets/d/1swGwZOEqYlTEUCJLY-eeJM1911Kvaei5oySBIxdgtNo/edit?pli=1#gid=257618397"",""stock untanna!B:C""),2,false),V:V)"),"PENSIL KAYAGI 2029")</f>
        <v>PENSIL KAYAGI 2029</v>
      </c>
      <c r="F4641" s="49"/>
      <c r="G4641" s="71"/>
      <c r="H4641" s="41"/>
      <c r="I4641" s="42"/>
      <c r="J4641" s="85" t="s">
        <v>3190</v>
      </c>
      <c r="K4641" s="93">
        <v>1.0</v>
      </c>
      <c r="L4641" s="112" t="s">
        <v>131</v>
      </c>
      <c r="M4641" s="113">
        <v>138000.0</v>
      </c>
      <c r="N4641" s="74"/>
      <c r="O4641" s="87">
        <f t="shared" si="11"/>
        <v>138000</v>
      </c>
      <c r="P4641" s="102" t="str">
        <f t="shared" si="2"/>
        <v>Rp138,000-1 GRS-0.00%</v>
      </c>
      <c r="Q4641" s="92">
        <v>45432.0</v>
      </c>
      <c r="R4641" s="76"/>
      <c r="S4641" s="92">
        <v>45433.0</v>
      </c>
      <c r="T4641" s="49"/>
      <c r="V4641" s="21" t="s">
        <v>3913</v>
      </c>
    </row>
    <row r="4642">
      <c r="A4642" s="93">
        <v>2490.0</v>
      </c>
      <c r="B4642" s="77" t="s">
        <v>65</v>
      </c>
      <c r="C4642" s="77" t="s">
        <v>3903</v>
      </c>
      <c r="D4642" s="77" t="s">
        <v>1656</v>
      </c>
      <c r="E4642" s="41" t="str">
        <f>IFERROR(__xludf.DUMMYFUNCTION("IFNA(vlookup(D4642,IMPORTRANGE(""https://docs.google.com/spreadsheets/d/1swGwZOEqYlTEUCJLY-eeJM1911Kvaei5oySBIxdgtNo/edit?pli=1#gid=257618397"",""stock untanna!B:C""),2,false),V:V)"),"PENSIL 2B KAYAGI 3041")</f>
        <v>PENSIL 2B KAYAGI 3041</v>
      </c>
      <c r="F4642" s="49"/>
      <c r="G4642" s="71"/>
      <c r="H4642" s="41"/>
      <c r="I4642" s="42"/>
      <c r="J4642" s="85" t="s">
        <v>1319</v>
      </c>
      <c r="K4642" s="93">
        <v>1.0</v>
      </c>
      <c r="L4642" s="112" t="s">
        <v>131</v>
      </c>
      <c r="M4642" s="113">
        <v>138000.0</v>
      </c>
      <c r="N4642" s="74"/>
      <c r="O4642" s="87">
        <f t="shared" si="11"/>
        <v>138000</v>
      </c>
      <c r="P4642" s="102" t="str">
        <f t="shared" si="2"/>
        <v>Rp138,000-1 GRS-0.00%</v>
      </c>
      <c r="Q4642" s="92">
        <v>45432.0</v>
      </c>
      <c r="R4642" s="76"/>
      <c r="S4642" s="92">
        <v>45433.0</v>
      </c>
      <c r="T4642" s="49"/>
      <c r="V4642" s="21" t="s">
        <v>1657</v>
      </c>
    </row>
    <row r="4643">
      <c r="A4643" s="93">
        <v>2490.0</v>
      </c>
      <c r="B4643" s="77" t="s">
        <v>65</v>
      </c>
      <c r="C4643" s="77" t="s">
        <v>3903</v>
      </c>
      <c r="D4643" s="91"/>
      <c r="E4643" s="41" t="str">
        <f>IFERROR(__xludf.DUMMYFUNCTION("IFNA(vlookup(D4643,IMPORTRANGE(""https://docs.google.com/spreadsheets/d/1swGwZOEqYlTEUCJLY-eeJM1911Kvaei5oySBIxdgtNo/edit?pli=1#gid=257618397"",""stock untanna!B:C""),2,false),V:V)"),"PENSIL KAYAGI 3057")</f>
        <v>PENSIL KAYAGI 3057</v>
      </c>
      <c r="F4643" s="49"/>
      <c r="G4643" s="71"/>
      <c r="H4643" s="41"/>
      <c r="I4643" s="42"/>
      <c r="J4643" s="85" t="s">
        <v>3190</v>
      </c>
      <c r="K4643" s="93">
        <v>1.0</v>
      </c>
      <c r="L4643" s="112" t="s">
        <v>131</v>
      </c>
      <c r="M4643" s="113">
        <v>138000.0</v>
      </c>
      <c r="N4643" s="74"/>
      <c r="O4643" s="87">
        <f t="shared" si="11"/>
        <v>138000</v>
      </c>
      <c r="P4643" s="102" t="str">
        <f t="shared" si="2"/>
        <v>Rp138,000-1 GRS-0.00%</v>
      </c>
      <c r="Q4643" s="92">
        <v>45432.0</v>
      </c>
      <c r="R4643" s="76"/>
      <c r="S4643" s="92">
        <v>45433.0</v>
      </c>
      <c r="T4643" s="49"/>
      <c r="V4643" s="21" t="s">
        <v>3914</v>
      </c>
    </row>
    <row r="4644">
      <c r="A4644" s="93">
        <v>2490.0</v>
      </c>
      <c r="B4644" s="77" t="s">
        <v>65</v>
      </c>
      <c r="C4644" s="77" t="s">
        <v>3903</v>
      </c>
      <c r="D4644" s="77" t="s">
        <v>740</v>
      </c>
      <c r="E4644" s="41" t="str">
        <f>IFERROR(__xludf.DUMMYFUNCTION("IFNA(vlookup(D4644,IMPORTRANGE(""https://docs.google.com/spreadsheets/d/1swGwZOEqYlTEUCJLY-eeJM1911Kvaei5oySBIxdgtNo/edit?pli=1#gid=257618397"",""stock untanna!B:C""),2,false),V:V)"),"PENSIL KAYAGI 3062")</f>
        <v>PENSIL KAYAGI 3062</v>
      </c>
      <c r="F4644" s="49"/>
      <c r="G4644" s="71"/>
      <c r="H4644" s="41"/>
      <c r="I4644" s="42"/>
      <c r="J4644" s="85" t="s">
        <v>1319</v>
      </c>
      <c r="K4644" s="93">
        <v>1.0</v>
      </c>
      <c r="L4644" s="112" t="s">
        <v>131</v>
      </c>
      <c r="M4644" s="113">
        <v>138000.0</v>
      </c>
      <c r="N4644" s="74"/>
      <c r="O4644" s="87">
        <f t="shared" si="11"/>
        <v>138000</v>
      </c>
      <c r="P4644" s="102" t="str">
        <f t="shared" si="2"/>
        <v>Rp138,000-1 GRS-0.00%</v>
      </c>
      <c r="Q4644" s="92">
        <v>45432.0</v>
      </c>
      <c r="R4644" s="76"/>
      <c r="S4644" s="92">
        <v>45433.0</v>
      </c>
      <c r="T4644" s="49"/>
      <c r="V4644" s="21" t="s">
        <v>741</v>
      </c>
    </row>
    <row r="4645">
      <c r="A4645" s="93">
        <v>2490.0</v>
      </c>
      <c r="B4645" s="77" t="s">
        <v>65</v>
      </c>
      <c r="C4645" s="77" t="s">
        <v>3903</v>
      </c>
      <c r="D4645" s="77" t="s">
        <v>957</v>
      </c>
      <c r="E4645" s="41" t="str">
        <f>IFERROR(__xludf.DUMMYFUNCTION("IFNA(vlookup(D4645,IMPORTRANGE(""https://docs.google.com/spreadsheets/d/1swGwZOEqYlTEUCJLY-eeJM1911Kvaei5oySBIxdgtNo/edit?pli=1#gid=257618397"",""stock untanna!B:C""),2,false),V:V)"),"PENSIL 2B KAYAGI 3056")</f>
        <v>PENSIL 2B KAYAGI 3056</v>
      </c>
      <c r="F4645" s="49"/>
      <c r="G4645" s="71"/>
      <c r="H4645" s="41"/>
      <c r="I4645" s="42"/>
      <c r="J4645" s="85" t="s">
        <v>1319</v>
      </c>
      <c r="K4645" s="93">
        <v>1.0</v>
      </c>
      <c r="L4645" s="112" t="s">
        <v>131</v>
      </c>
      <c r="M4645" s="113">
        <v>138000.0</v>
      </c>
      <c r="N4645" s="74"/>
      <c r="O4645" s="87">
        <f t="shared" si="11"/>
        <v>138000</v>
      </c>
      <c r="P4645" s="102" t="str">
        <f t="shared" si="2"/>
        <v>Rp138,000-1 GRS-0.00%</v>
      </c>
      <c r="Q4645" s="92">
        <v>45432.0</v>
      </c>
      <c r="R4645" s="76"/>
      <c r="S4645" s="92">
        <v>45433.0</v>
      </c>
      <c r="T4645" s="49"/>
      <c r="V4645" s="21" t="s">
        <v>958</v>
      </c>
    </row>
    <row r="4646">
      <c r="A4646" s="93">
        <v>2490.0</v>
      </c>
      <c r="B4646" s="77" t="s">
        <v>65</v>
      </c>
      <c r="C4646" s="77" t="s">
        <v>3903</v>
      </c>
      <c r="D4646" s="77" t="s">
        <v>734</v>
      </c>
      <c r="E4646" s="41" t="str">
        <f>IFERROR(__xludf.DUMMYFUNCTION("IFNA(vlookup(D4646,IMPORTRANGE(""https://docs.google.com/spreadsheets/d/1swGwZOEqYlTEUCJLY-eeJM1911Kvaei5oySBIxdgtNo/edit?pli=1#gid=257618397"",""stock untanna!B:C""),2,false),V:V)"),"PENSIL 2B KAYAGI 3053")</f>
        <v>PENSIL 2B KAYAGI 3053</v>
      </c>
      <c r="F4646" s="49"/>
      <c r="G4646" s="71"/>
      <c r="H4646" s="41"/>
      <c r="I4646" s="42"/>
      <c r="J4646" s="85" t="s">
        <v>1319</v>
      </c>
      <c r="K4646" s="93">
        <v>1.0</v>
      </c>
      <c r="L4646" s="112" t="s">
        <v>131</v>
      </c>
      <c r="M4646" s="113">
        <v>138000.0</v>
      </c>
      <c r="N4646" s="74"/>
      <c r="O4646" s="87">
        <f t="shared" si="11"/>
        <v>138000</v>
      </c>
      <c r="P4646" s="102" t="str">
        <f t="shared" si="2"/>
        <v>Rp138,000-1 GRS-0.00%</v>
      </c>
      <c r="Q4646" s="92">
        <v>45432.0</v>
      </c>
      <c r="R4646" s="76"/>
      <c r="S4646" s="92">
        <v>45433.0</v>
      </c>
      <c r="T4646" s="49"/>
      <c r="V4646" s="21" t="s">
        <v>735</v>
      </c>
    </row>
    <row r="4647">
      <c r="A4647" s="93">
        <v>2490.0</v>
      </c>
      <c r="B4647" s="77" t="s">
        <v>65</v>
      </c>
      <c r="C4647" s="77" t="s">
        <v>3903</v>
      </c>
      <c r="D4647" s="77" t="s">
        <v>129</v>
      </c>
      <c r="E4647" s="41" t="str">
        <f>IFERROR(__xludf.DUMMYFUNCTION("IFNA(vlookup(D4647,IMPORTRANGE(""https://docs.google.com/spreadsheets/d/1swGwZOEqYlTEUCJLY-eeJM1911Kvaei5oySBIxdgtNo/edit?pli=1#gid=257618397"",""stock untanna!B:C""),2,false),V:V)"),"PENSIL TF 688")</f>
        <v>PENSIL TF 688</v>
      </c>
      <c r="F4647" s="49"/>
      <c r="G4647" s="71"/>
      <c r="H4647" s="41"/>
      <c r="I4647" s="42"/>
      <c r="J4647" s="85" t="s">
        <v>1319</v>
      </c>
      <c r="K4647" s="93">
        <v>1.0</v>
      </c>
      <c r="L4647" s="112" t="s">
        <v>131</v>
      </c>
      <c r="M4647" s="113">
        <v>135000.0</v>
      </c>
      <c r="N4647" s="74"/>
      <c r="O4647" s="87">
        <f t="shared" si="11"/>
        <v>135000</v>
      </c>
      <c r="P4647" s="102" t="str">
        <f t="shared" si="2"/>
        <v>Rp135,000-1 GRS-0.00%</v>
      </c>
      <c r="Q4647" s="92">
        <v>45432.0</v>
      </c>
      <c r="R4647" s="76"/>
      <c r="S4647" s="92">
        <v>45433.0</v>
      </c>
      <c r="T4647" s="49"/>
      <c r="V4647" s="21" t="s">
        <v>130</v>
      </c>
    </row>
    <row r="4648">
      <c r="A4648" s="93">
        <v>2490.0</v>
      </c>
      <c r="B4648" s="77" t="s">
        <v>65</v>
      </c>
      <c r="C4648" s="77" t="s">
        <v>3903</v>
      </c>
      <c r="D4648" s="77" t="s">
        <v>2889</v>
      </c>
      <c r="E4648" s="41" t="str">
        <f>IFERROR(__xludf.DUMMYFUNCTION("IFNA(vlookup(D4648,IMPORTRANGE(""https://docs.google.com/spreadsheets/d/1swGwZOEqYlTEUCJLY-eeJM1911Kvaei5oySBIxdgtNo/edit?pli=1#gid=257618397"",""stock untanna!B:C""),2,false),V:V)"),"PENSIL TF 288")</f>
        <v>PENSIL TF 288</v>
      </c>
      <c r="F4648" s="49"/>
      <c r="G4648" s="71"/>
      <c r="H4648" s="41"/>
      <c r="I4648" s="42"/>
      <c r="J4648" s="85" t="s">
        <v>1319</v>
      </c>
      <c r="K4648" s="93">
        <v>1.0</v>
      </c>
      <c r="L4648" s="112" t="s">
        <v>131</v>
      </c>
      <c r="M4648" s="113">
        <v>135000.0</v>
      </c>
      <c r="N4648" s="74"/>
      <c r="O4648" s="87">
        <f t="shared" si="11"/>
        <v>135000</v>
      </c>
      <c r="P4648" s="102" t="str">
        <f t="shared" si="2"/>
        <v>Rp135,000-1 GRS-0.00%</v>
      </c>
      <c r="Q4648" s="92">
        <v>45432.0</v>
      </c>
      <c r="R4648" s="76"/>
      <c r="S4648" s="92">
        <v>45433.0</v>
      </c>
      <c r="T4648" s="49"/>
      <c r="V4648" s="21" t="s">
        <v>2890</v>
      </c>
    </row>
    <row r="4649">
      <c r="A4649" s="93">
        <v>2490.0</v>
      </c>
      <c r="B4649" s="77" t="s">
        <v>65</v>
      </c>
      <c r="C4649" s="77" t="s">
        <v>3903</v>
      </c>
      <c r="D4649" s="77" t="s">
        <v>132</v>
      </c>
      <c r="E4649" s="41" t="str">
        <f>IFERROR(__xludf.DUMMYFUNCTION("IFNA(vlookup(D4649,IMPORTRANGE(""https://docs.google.com/spreadsheets/d/1swGwZOEqYlTEUCJLY-eeJM1911Kvaei5oySBIxdgtNo/edit?pli=1#gid=257618397"",""stock untanna!B:C""),2,false),V:V)"),"PENSIL TF 488")</f>
        <v>PENSIL TF 488</v>
      </c>
      <c r="F4649" s="49"/>
      <c r="G4649" s="71"/>
      <c r="H4649" s="41"/>
      <c r="I4649" s="42"/>
      <c r="J4649" s="85" t="s">
        <v>1319</v>
      </c>
      <c r="K4649" s="93">
        <v>1.0</v>
      </c>
      <c r="L4649" s="112" t="s">
        <v>131</v>
      </c>
      <c r="M4649" s="113">
        <v>135000.0</v>
      </c>
      <c r="N4649" s="74"/>
      <c r="O4649" s="87">
        <f t="shared" si="11"/>
        <v>135000</v>
      </c>
      <c r="P4649" s="102" t="str">
        <f t="shared" si="2"/>
        <v>Rp135,000-1 GRS-0.00%</v>
      </c>
      <c r="Q4649" s="92">
        <v>45432.0</v>
      </c>
      <c r="R4649" s="76"/>
      <c r="S4649" s="92">
        <v>45433.0</v>
      </c>
      <c r="T4649" s="49"/>
      <c r="V4649" s="21" t="s">
        <v>133</v>
      </c>
    </row>
    <row r="4650">
      <c r="A4650" s="93">
        <v>2490.0</v>
      </c>
      <c r="B4650" s="77" t="s">
        <v>65</v>
      </c>
      <c r="C4650" s="77" t="s">
        <v>3903</v>
      </c>
      <c r="D4650" s="77" t="s">
        <v>136</v>
      </c>
      <c r="E4650" s="41" t="str">
        <f>IFERROR(__xludf.DUMMYFUNCTION("IFNA(vlookup(D4650,IMPORTRANGE(""https://docs.google.com/spreadsheets/d/1swGwZOEqYlTEUCJLY-eeJM1911Kvaei5oySBIxdgtNo/edit?pli=1#gid=257618397"",""stock untanna!B:C""),2,false),V:V)"),"PENSIL TF 168")</f>
        <v>PENSIL TF 168</v>
      </c>
      <c r="F4650" s="49"/>
      <c r="G4650" s="71"/>
      <c r="H4650" s="41"/>
      <c r="I4650" s="42"/>
      <c r="J4650" s="43" t="str">
        <f t="shared" ref="J4650:J4651" si="17">IF(D4650="","TIDAK ADA","ADA")</f>
        <v>ADA</v>
      </c>
      <c r="K4650" s="93">
        <v>1.0</v>
      </c>
      <c r="L4650" s="112" t="s">
        <v>131</v>
      </c>
      <c r="M4650" s="113">
        <v>135000.0</v>
      </c>
      <c r="N4650" s="74"/>
      <c r="O4650" s="87">
        <f t="shared" si="11"/>
        <v>135000</v>
      </c>
      <c r="P4650" s="102" t="str">
        <f t="shared" si="2"/>
        <v>Rp135,000-1 GRS-0.00%</v>
      </c>
      <c r="Q4650" s="92">
        <v>45432.0</v>
      </c>
      <c r="R4650" s="76"/>
      <c r="S4650" s="92">
        <v>45433.0</v>
      </c>
      <c r="T4650" s="77" t="s">
        <v>280</v>
      </c>
      <c r="V4650" s="21" t="s">
        <v>137</v>
      </c>
    </row>
    <row r="4651">
      <c r="A4651" s="93">
        <v>2490.0</v>
      </c>
      <c r="B4651" s="77" t="s">
        <v>65</v>
      </c>
      <c r="C4651" s="77" t="s">
        <v>3903</v>
      </c>
      <c r="D4651" s="77" t="s">
        <v>2200</v>
      </c>
      <c r="E4651" s="41" t="str">
        <f>IFERROR(__xludf.DUMMYFUNCTION("IFNA(vlookup(D4651,IMPORTRANGE(""https://docs.google.com/spreadsheets/d/1swGwZOEqYlTEUCJLY-eeJM1911Kvaei5oySBIxdgtNo/edit?pli=1#gid=257618397"",""stock untanna!B:C""),2,false),V:V)"),"PENSIL TF 99 S")</f>
        <v>PENSIL TF 99 S</v>
      </c>
      <c r="F4651" s="49"/>
      <c r="G4651" s="71"/>
      <c r="H4651" s="41"/>
      <c r="I4651" s="42"/>
      <c r="J4651" s="43" t="str">
        <f t="shared" si="17"/>
        <v>ADA</v>
      </c>
      <c r="K4651" s="93">
        <v>1.0</v>
      </c>
      <c r="L4651" s="112" t="s">
        <v>131</v>
      </c>
      <c r="M4651" s="113">
        <v>135000.0</v>
      </c>
      <c r="N4651" s="74"/>
      <c r="O4651" s="87">
        <f t="shared" si="11"/>
        <v>135000</v>
      </c>
      <c r="P4651" s="102" t="str">
        <f t="shared" si="2"/>
        <v>Rp135,000-1 GRS-0.00%</v>
      </c>
      <c r="Q4651" s="92">
        <v>45432.0</v>
      </c>
      <c r="R4651" s="76"/>
      <c r="S4651" s="92">
        <v>45433.0</v>
      </c>
      <c r="T4651" s="77" t="s">
        <v>280</v>
      </c>
      <c r="V4651" s="21" t="s">
        <v>2201</v>
      </c>
    </row>
    <row r="4652">
      <c r="A4652" s="93">
        <v>2490.0</v>
      </c>
      <c r="B4652" s="77" t="s">
        <v>65</v>
      </c>
      <c r="C4652" s="77" t="s">
        <v>3903</v>
      </c>
      <c r="D4652" s="91"/>
      <c r="E4652" s="41" t="str">
        <f>IFERROR(__xludf.DUMMYFUNCTION("IFNA(vlookup(D4652,IMPORTRANGE(""https://docs.google.com/spreadsheets/d/1swGwZOEqYlTEUCJLY-eeJM1911Kvaei5oySBIxdgtNo/edit?pli=1#gid=257618397"",""stock untanna!B:C""),2,false),V:V)"),"PENSIL TF 88 BATIK")</f>
        <v>PENSIL TF 88 BATIK</v>
      </c>
      <c r="F4652" s="49"/>
      <c r="G4652" s="71"/>
      <c r="H4652" s="41"/>
      <c r="I4652" s="42"/>
      <c r="J4652" s="85" t="s">
        <v>3190</v>
      </c>
      <c r="K4652" s="93">
        <v>1.0</v>
      </c>
      <c r="L4652" s="112" t="s">
        <v>131</v>
      </c>
      <c r="M4652" s="113">
        <v>135000.0</v>
      </c>
      <c r="N4652" s="74"/>
      <c r="O4652" s="87">
        <f t="shared" si="11"/>
        <v>135000</v>
      </c>
      <c r="P4652" s="102" t="str">
        <f t="shared" si="2"/>
        <v>Rp135,000-1 GRS-0.00%</v>
      </c>
      <c r="Q4652" s="92">
        <v>45432.0</v>
      </c>
      <c r="R4652" s="76"/>
      <c r="S4652" s="92">
        <v>45433.0</v>
      </c>
      <c r="T4652" s="49"/>
      <c r="V4652" s="21" t="s">
        <v>3915</v>
      </c>
    </row>
    <row r="4653">
      <c r="A4653" s="93">
        <v>2490.0</v>
      </c>
      <c r="B4653" s="77" t="s">
        <v>65</v>
      </c>
      <c r="C4653" s="77" t="s">
        <v>3903</v>
      </c>
      <c r="D4653" s="77" t="s">
        <v>721</v>
      </c>
      <c r="E4653" s="41" t="str">
        <f>IFERROR(__xludf.DUMMYFUNCTION("IFNA(vlookup(D4653,IMPORTRANGE(""https://docs.google.com/spreadsheets/d/1swGwZOEqYlTEUCJLY-eeJM1911Kvaei5oySBIxdgtNo/edit?pli=1#gid=257618397"",""stock untanna!B:C""),2,false),V:V)"),"PENSIL TF 188")</f>
        <v>PENSIL TF 188</v>
      </c>
      <c r="F4653" s="49"/>
      <c r="G4653" s="71"/>
      <c r="H4653" s="41"/>
      <c r="I4653" s="42"/>
      <c r="J4653" s="43" t="str">
        <f>IF(D4653="","TIDAK ADA","ADA")</f>
        <v>ADA</v>
      </c>
      <c r="K4653" s="93">
        <v>1.0</v>
      </c>
      <c r="L4653" s="112" t="s">
        <v>131</v>
      </c>
      <c r="M4653" s="113">
        <v>135000.0</v>
      </c>
      <c r="N4653" s="74"/>
      <c r="O4653" s="87">
        <f t="shared" si="11"/>
        <v>135000</v>
      </c>
      <c r="P4653" s="102" t="str">
        <f t="shared" si="2"/>
        <v>Rp135,000-1 GRS-0.00%</v>
      </c>
      <c r="Q4653" s="92">
        <v>45432.0</v>
      </c>
      <c r="R4653" s="76"/>
      <c r="S4653" s="92">
        <v>45433.0</v>
      </c>
      <c r="T4653" s="77" t="s">
        <v>280</v>
      </c>
      <c r="V4653" s="21" t="s">
        <v>722</v>
      </c>
    </row>
    <row r="4654">
      <c r="A4654" s="93">
        <v>2491.0</v>
      </c>
      <c r="B4654" s="77" t="s">
        <v>65</v>
      </c>
      <c r="C4654" s="77" t="s">
        <v>3903</v>
      </c>
      <c r="D4654" s="91"/>
      <c r="E4654" s="41" t="str">
        <f>IFERROR(__xludf.DUMMYFUNCTION("IFNA(vlookup(D4654,IMPORTRANGE(""https://docs.google.com/spreadsheets/d/1swGwZOEqYlTEUCJLY-eeJM1911Kvaei5oySBIxdgtNo/edit?pli=1#gid=257618397"",""stock untanna!B:C""),2,false),V:V)"),"BP FANCY SANMAO 9950")</f>
        <v>BP FANCY SANMAO 9950</v>
      </c>
      <c r="F4654" s="49"/>
      <c r="G4654" s="71"/>
      <c r="H4654" s="41"/>
      <c r="I4654" s="42"/>
      <c r="J4654" s="85" t="s">
        <v>3190</v>
      </c>
      <c r="K4654" s="93">
        <v>6.0</v>
      </c>
      <c r="L4654" s="112" t="s">
        <v>62</v>
      </c>
      <c r="M4654" s="113">
        <v>17000.0</v>
      </c>
      <c r="N4654" s="74"/>
      <c r="O4654" s="87">
        <f t="shared" si="11"/>
        <v>102000</v>
      </c>
      <c r="P4654" s="102" t="str">
        <f t="shared" si="2"/>
        <v>Rp17,000-6 LSN-0.00%</v>
      </c>
      <c r="Q4654" s="92">
        <v>45432.0</v>
      </c>
      <c r="R4654" s="76"/>
      <c r="S4654" s="92">
        <v>45433.0</v>
      </c>
      <c r="T4654" s="49"/>
      <c r="V4654" s="21" t="s">
        <v>3916</v>
      </c>
    </row>
    <row r="4655">
      <c r="A4655" s="93">
        <v>2491.0</v>
      </c>
      <c r="B4655" s="77" t="s">
        <v>65</v>
      </c>
      <c r="C4655" s="77" t="s">
        <v>3903</v>
      </c>
      <c r="D4655" s="91"/>
      <c r="E4655" s="41" t="str">
        <f>IFERROR(__xludf.DUMMYFUNCTION("IFNA(vlookup(D4655,IMPORTRANGE(""https://docs.google.com/spreadsheets/d/1swGwZOEqYlTEUCJLY-eeJM1911Kvaei5oySBIxdgtNo/edit?pli=1#gid=257618397"",""stock untanna!B:C""),2,false),V:V)"),"BP FANCY SANMAO 9917")</f>
        <v>BP FANCY SANMAO 9917</v>
      </c>
      <c r="F4655" s="49"/>
      <c r="G4655" s="71"/>
      <c r="H4655" s="41"/>
      <c r="I4655" s="42"/>
      <c r="J4655" s="85" t="s">
        <v>3190</v>
      </c>
      <c r="K4655" s="93">
        <v>6.0</v>
      </c>
      <c r="L4655" s="112" t="s">
        <v>62</v>
      </c>
      <c r="M4655" s="113">
        <v>17000.0</v>
      </c>
      <c r="N4655" s="74"/>
      <c r="O4655" s="87">
        <f t="shared" si="11"/>
        <v>102000</v>
      </c>
      <c r="P4655" s="102" t="str">
        <f t="shared" si="2"/>
        <v>Rp17,000-6 LSN-0.00%</v>
      </c>
      <c r="Q4655" s="92">
        <v>45432.0</v>
      </c>
      <c r="R4655" s="76"/>
      <c r="S4655" s="92">
        <v>45433.0</v>
      </c>
      <c r="T4655" s="49"/>
      <c r="V4655" s="21" t="s">
        <v>3917</v>
      </c>
    </row>
    <row r="4656">
      <c r="A4656" s="93">
        <v>2491.0</v>
      </c>
      <c r="B4656" s="77" t="s">
        <v>65</v>
      </c>
      <c r="C4656" s="77" t="s">
        <v>3903</v>
      </c>
      <c r="D4656" s="91"/>
      <c r="E4656" s="41" t="str">
        <f>IFERROR(__xludf.DUMMYFUNCTION("IFNA(vlookup(D4656,IMPORTRANGE(""https://docs.google.com/spreadsheets/d/1swGwZOEqYlTEUCJLY-eeJM1911Kvaei5oySBIxdgtNo/edit?pli=1#gid=257618397"",""stock untanna!B:C""),2,false),V:V)"),"BP FANCY SANMAO 9891")</f>
        <v>BP FANCY SANMAO 9891</v>
      </c>
      <c r="F4656" s="49"/>
      <c r="G4656" s="71"/>
      <c r="H4656" s="41"/>
      <c r="I4656" s="42"/>
      <c r="J4656" s="85" t="s">
        <v>3190</v>
      </c>
      <c r="K4656" s="93">
        <v>6.0</v>
      </c>
      <c r="L4656" s="112" t="s">
        <v>62</v>
      </c>
      <c r="M4656" s="113">
        <v>17000.0</v>
      </c>
      <c r="N4656" s="74"/>
      <c r="O4656" s="87">
        <f t="shared" si="11"/>
        <v>102000</v>
      </c>
      <c r="P4656" s="102" t="str">
        <f t="shared" si="2"/>
        <v>Rp17,000-6 LSN-0.00%</v>
      </c>
      <c r="Q4656" s="92">
        <v>45432.0</v>
      </c>
      <c r="R4656" s="76"/>
      <c r="S4656" s="92">
        <v>45433.0</v>
      </c>
      <c r="T4656" s="49"/>
      <c r="V4656" s="21" t="s">
        <v>3918</v>
      </c>
    </row>
    <row r="4657">
      <c r="A4657" s="93">
        <v>2491.0</v>
      </c>
      <c r="B4657" s="77" t="s">
        <v>65</v>
      </c>
      <c r="C4657" s="77" t="s">
        <v>3903</v>
      </c>
      <c r="D4657" s="91"/>
      <c r="E4657" s="41" t="str">
        <f>IFERROR(__xludf.DUMMYFUNCTION("IFNA(vlookup(D4657,IMPORTRANGE(""https://docs.google.com/spreadsheets/d/1swGwZOEqYlTEUCJLY-eeJM1911Kvaei5oySBIxdgtNo/edit?pli=1#gid=257618397"",""stock untanna!B:C""),2,false),V:V)"),"BP FANCY SANMAO 9892")</f>
        <v>BP FANCY SANMAO 9892</v>
      </c>
      <c r="F4657" s="49"/>
      <c r="G4657" s="71"/>
      <c r="H4657" s="41"/>
      <c r="I4657" s="42"/>
      <c r="J4657" s="85" t="s">
        <v>3190</v>
      </c>
      <c r="K4657" s="93">
        <v>6.0</v>
      </c>
      <c r="L4657" s="112" t="s">
        <v>62</v>
      </c>
      <c r="M4657" s="113">
        <v>17000.0</v>
      </c>
      <c r="N4657" s="74"/>
      <c r="O4657" s="87">
        <f t="shared" si="11"/>
        <v>102000</v>
      </c>
      <c r="P4657" s="102" t="str">
        <f t="shared" si="2"/>
        <v>Rp17,000-6 LSN-0.00%</v>
      </c>
      <c r="Q4657" s="92">
        <v>45432.0</v>
      </c>
      <c r="R4657" s="76"/>
      <c r="S4657" s="92">
        <v>45433.0</v>
      </c>
      <c r="T4657" s="49"/>
      <c r="V4657" s="21" t="s">
        <v>3919</v>
      </c>
    </row>
    <row r="4658">
      <c r="A4658" s="93">
        <v>2491.0</v>
      </c>
      <c r="B4658" s="77" t="s">
        <v>65</v>
      </c>
      <c r="C4658" s="77" t="s">
        <v>3903</v>
      </c>
      <c r="D4658" s="77" t="s">
        <v>3799</v>
      </c>
      <c r="E4658" s="41" t="str">
        <f>IFERROR(__xludf.DUMMYFUNCTION("IFNA(vlookup(D4658,IMPORTRANGE(""https://docs.google.com/spreadsheets/d/1swGwZOEqYlTEUCJLY-eeJM1911Kvaei5oySBIxdgtNo/edit?pli=1#gid=257618397"",""stock untanna!B:C""),2,false),V:V)"),"STABILLO CS 2001 COSH")</f>
        <v>STABILLO CS 2001 COSH</v>
      </c>
      <c r="F4658" s="49"/>
      <c r="G4658" s="71"/>
      <c r="H4658" s="41"/>
      <c r="I4658" s="42"/>
      <c r="J4658" s="85" t="s">
        <v>1319</v>
      </c>
      <c r="K4658" s="93">
        <v>3.0</v>
      </c>
      <c r="L4658" s="112" t="s">
        <v>62</v>
      </c>
      <c r="M4658" s="113">
        <v>37500.0</v>
      </c>
      <c r="N4658" s="74"/>
      <c r="O4658" s="87">
        <f t="shared" si="11"/>
        <v>112500</v>
      </c>
      <c r="P4658" s="102" t="str">
        <f t="shared" si="2"/>
        <v>Rp37,500-3 LSN-0.00%</v>
      </c>
      <c r="Q4658" s="92">
        <v>45432.0</v>
      </c>
      <c r="R4658" s="76"/>
      <c r="S4658" s="92">
        <v>45433.0</v>
      </c>
      <c r="T4658" s="49"/>
      <c r="V4658" s="21" t="s">
        <v>3800</v>
      </c>
    </row>
    <row r="4659">
      <c r="A4659" s="93">
        <v>2491.0</v>
      </c>
      <c r="B4659" s="77" t="s">
        <v>65</v>
      </c>
      <c r="C4659" s="77" t="s">
        <v>3903</v>
      </c>
      <c r="D4659" s="91"/>
      <c r="E4659" s="41" t="str">
        <f>IFERROR(__xludf.DUMMYFUNCTION("IFNA(vlookup(D4659,IMPORTRANGE(""https://docs.google.com/spreadsheets/d/1swGwZOEqYlTEUCJLY-eeJM1911Kvaei5oySBIxdgtNo/edit?pli=1#gid=257618397"",""stock untanna!B:C""),2,false),V:V)"),"STABILLO HL 220")</f>
        <v>STABILLO HL 220</v>
      </c>
      <c r="F4659" s="49"/>
      <c r="G4659" s="71"/>
      <c r="H4659" s="41"/>
      <c r="I4659" s="42"/>
      <c r="J4659" s="85" t="s">
        <v>3190</v>
      </c>
      <c r="K4659" s="93">
        <v>3.0</v>
      </c>
      <c r="L4659" s="112" t="s">
        <v>62</v>
      </c>
      <c r="M4659" s="113">
        <v>26500.0</v>
      </c>
      <c r="N4659" s="74"/>
      <c r="O4659" s="87">
        <f t="shared" si="11"/>
        <v>79500</v>
      </c>
      <c r="P4659" s="102" t="str">
        <f t="shared" si="2"/>
        <v>Rp26,500-3 LSN-0.00%</v>
      </c>
      <c r="Q4659" s="92">
        <v>45432.0</v>
      </c>
      <c r="R4659" s="76"/>
      <c r="S4659" s="92">
        <v>45433.0</v>
      </c>
      <c r="T4659" s="49"/>
      <c r="V4659" s="21" t="s">
        <v>3920</v>
      </c>
    </row>
    <row r="4660">
      <c r="A4660" s="93">
        <v>2491.0</v>
      </c>
      <c r="B4660" s="77" t="s">
        <v>65</v>
      </c>
      <c r="C4660" s="77" t="s">
        <v>3903</v>
      </c>
      <c r="D4660" s="77" t="s">
        <v>3921</v>
      </c>
      <c r="E4660" s="41" t="str">
        <f>IFERROR(__xludf.DUMMYFUNCTION("IFNA(vlookup(D4660,IMPORTRANGE(""https://docs.google.com/spreadsheets/d/1swGwZOEqYlTEUCJLY-eeJM1911Kvaei5oySBIxdgtNo/edit?pli=1#gid=257618397"",""stock untanna!B:C""),2,false),V:V)"),"STABILLO 2W HL 221")</f>
        <v>STABILLO 2W HL 221</v>
      </c>
      <c r="F4660" s="49"/>
      <c r="G4660" s="71"/>
      <c r="H4660" s="41"/>
      <c r="I4660" s="42"/>
      <c r="J4660" s="85" t="s">
        <v>1319</v>
      </c>
      <c r="K4660" s="93">
        <v>3.0</v>
      </c>
      <c r="L4660" s="112" t="s">
        <v>62</v>
      </c>
      <c r="M4660" s="113">
        <v>26500.0</v>
      </c>
      <c r="N4660" s="74"/>
      <c r="O4660" s="87">
        <f t="shared" si="11"/>
        <v>79500</v>
      </c>
      <c r="P4660" s="102" t="str">
        <f t="shared" si="2"/>
        <v>Rp26,500-3 LSN-0.00%</v>
      </c>
      <c r="Q4660" s="92">
        <v>45432.0</v>
      </c>
      <c r="R4660" s="76"/>
      <c r="S4660" s="92">
        <v>45433.0</v>
      </c>
      <c r="T4660" s="49"/>
      <c r="V4660" s="21" t="s">
        <v>3922</v>
      </c>
    </row>
    <row r="4661">
      <c r="A4661" s="93">
        <v>2491.0</v>
      </c>
      <c r="B4661" s="77" t="s">
        <v>65</v>
      </c>
      <c r="C4661" s="77" t="s">
        <v>3903</v>
      </c>
      <c r="D4661" s="77" t="s">
        <v>3005</v>
      </c>
      <c r="E4661" s="41" t="str">
        <f>IFERROR(__xludf.DUMMYFUNCTION("IFNA(vlookup(D4661,IMPORTRANGE(""https://docs.google.com/spreadsheets/d/1swGwZOEqYlTEUCJLY-eeJM1911Kvaei5oySBIxdgtNo/edit?pli=1#gid=257618397"",""stock untanna!B:C""),2,false),V:V)"),"STABILLO VANCO 2W HL 219 ZENDI")</f>
        <v>STABILLO VANCO 2W HL 219 ZENDI</v>
      </c>
      <c r="F4661" s="49"/>
      <c r="G4661" s="71"/>
      <c r="H4661" s="41"/>
      <c r="I4661" s="42"/>
      <c r="J4661" s="85" t="s">
        <v>1319</v>
      </c>
      <c r="K4661" s="93">
        <v>3.0</v>
      </c>
      <c r="L4661" s="112" t="s">
        <v>62</v>
      </c>
      <c r="M4661" s="113">
        <v>26500.0</v>
      </c>
      <c r="N4661" s="74"/>
      <c r="O4661" s="87">
        <f t="shared" si="11"/>
        <v>79500</v>
      </c>
      <c r="P4661" s="102" t="str">
        <f t="shared" si="2"/>
        <v>Rp26,500-3 LSN-0.00%</v>
      </c>
      <c r="Q4661" s="92">
        <v>45432.0</v>
      </c>
      <c r="R4661" s="76"/>
      <c r="S4661" s="92">
        <v>45433.0</v>
      </c>
      <c r="T4661" s="49"/>
      <c r="V4661" s="21" t="s">
        <v>3007</v>
      </c>
    </row>
    <row r="4662">
      <c r="A4662" s="93">
        <v>2491.0</v>
      </c>
      <c r="B4662" s="77" t="s">
        <v>65</v>
      </c>
      <c r="C4662" s="77" t="s">
        <v>3903</v>
      </c>
      <c r="D4662" s="77" t="s">
        <v>776</v>
      </c>
      <c r="E4662" s="41" t="str">
        <f>IFERROR(__xludf.DUMMYFUNCTION("IFNA(vlookup(D4662,IMPORTRANGE(""https://docs.google.com/spreadsheets/d/1swGwZOEqYlTEUCJLY-eeJM1911Kvaei5oySBIxdgtNo/edit?pli=1#gid=257618397"",""stock untanna!B:C""),2,false),V:V)"),"STABILLO TOZCHA TZ 8001")</f>
        <v>STABILLO TOZCHA TZ 8001</v>
      </c>
      <c r="F4662" s="49"/>
      <c r="G4662" s="71"/>
      <c r="H4662" s="41"/>
      <c r="I4662" s="42"/>
      <c r="J4662" s="85" t="s">
        <v>1319</v>
      </c>
      <c r="K4662" s="93">
        <v>3.0</v>
      </c>
      <c r="L4662" s="112" t="s">
        <v>62</v>
      </c>
      <c r="M4662" s="113">
        <v>35000.0</v>
      </c>
      <c r="N4662" s="74"/>
      <c r="O4662" s="87">
        <f t="shared" si="11"/>
        <v>105000</v>
      </c>
      <c r="P4662" s="102" t="str">
        <f t="shared" si="2"/>
        <v>Rp35,000-3 LSN-0.00%</v>
      </c>
      <c r="Q4662" s="92">
        <v>45432.0</v>
      </c>
      <c r="R4662" s="76"/>
      <c r="S4662" s="92">
        <v>45433.0</v>
      </c>
      <c r="T4662" s="49"/>
      <c r="V4662" s="21" t="s">
        <v>777</v>
      </c>
    </row>
    <row r="4663">
      <c r="A4663" s="93">
        <v>2491.0</v>
      </c>
      <c r="B4663" s="77" t="s">
        <v>65</v>
      </c>
      <c r="C4663" s="77" t="s">
        <v>3903</v>
      </c>
      <c r="D4663" s="91"/>
      <c r="E4663" s="41" t="str">
        <f>IFERROR(__xludf.DUMMYFUNCTION("IFNA(vlookup(D4663,IMPORTRANGE(""https://docs.google.com/spreadsheets/d/1swGwZOEqYlTEUCJLY-eeJM1911Kvaei5oySBIxdgtNo/edit?pli=1#gid=257618397"",""stock untanna!B:C""),2,false),V:V)"),"ISI PENSIL MEKANIK 0,5 0913 A")</f>
        <v>ISI PENSIL MEKANIK 0,5 0913 A</v>
      </c>
      <c r="F4663" s="49"/>
      <c r="G4663" s="71"/>
      <c r="H4663" s="41"/>
      <c r="I4663" s="42"/>
      <c r="J4663" s="85" t="s">
        <v>3190</v>
      </c>
      <c r="K4663" s="93">
        <v>24.0</v>
      </c>
      <c r="L4663" s="112" t="s">
        <v>62</v>
      </c>
      <c r="M4663" s="113">
        <v>12500.0</v>
      </c>
      <c r="N4663" s="74"/>
      <c r="O4663" s="87">
        <f t="shared" si="11"/>
        <v>300000</v>
      </c>
      <c r="P4663" s="102" t="str">
        <f t="shared" si="2"/>
        <v>Rp12,500-24 LSN-0.00%</v>
      </c>
      <c r="Q4663" s="92">
        <v>45432.0</v>
      </c>
      <c r="R4663" s="76"/>
      <c r="S4663" s="92">
        <v>45433.0</v>
      </c>
      <c r="T4663" s="49"/>
      <c r="V4663" s="21" t="s">
        <v>3923</v>
      </c>
    </row>
    <row r="4664">
      <c r="A4664" s="93">
        <v>2491.0</v>
      </c>
      <c r="B4664" s="77" t="s">
        <v>65</v>
      </c>
      <c r="C4664" s="77" t="s">
        <v>3903</v>
      </c>
      <c r="D4664" s="77" t="s">
        <v>467</v>
      </c>
      <c r="E4664" s="41" t="str">
        <f>IFERROR(__xludf.DUMMYFUNCTION("IFNA(vlookup(D4664,IMPORTRANGE(""https://docs.google.com/spreadsheets/d/1swGwZOEqYlTEUCJLY-eeJM1911Kvaei5oySBIxdgtNo/edit?pli=1#gid=257618397"",""stock untanna!B:C""),2,false),V:V)"),"BENSIA 03LM4 (6202)")</f>
        <v>BENSIA 03LM4 (6202)</v>
      </c>
      <c r="F4664" s="49"/>
      <c r="G4664" s="71"/>
      <c r="H4664" s="41"/>
      <c r="I4664" s="42"/>
      <c r="J4664" s="85" t="s">
        <v>1319</v>
      </c>
      <c r="K4664" s="93">
        <v>1.0</v>
      </c>
      <c r="L4664" s="112" t="s">
        <v>88</v>
      </c>
      <c r="M4664" s="113">
        <v>94500.0</v>
      </c>
      <c r="N4664" s="74"/>
      <c r="O4664" s="87">
        <f t="shared" si="11"/>
        <v>94500</v>
      </c>
      <c r="P4664" s="102" t="str">
        <f t="shared" si="2"/>
        <v>Rp94,500-1 BOX-0.00%</v>
      </c>
      <c r="Q4664" s="92">
        <v>45432.0</v>
      </c>
      <c r="R4664" s="76"/>
      <c r="S4664" s="92">
        <v>45433.0</v>
      </c>
      <c r="T4664" s="49"/>
      <c r="V4664" s="21" t="s">
        <v>468</v>
      </c>
    </row>
    <row r="4665">
      <c r="A4665" s="93">
        <v>2491.0</v>
      </c>
      <c r="B4665" s="77" t="s">
        <v>65</v>
      </c>
      <c r="C4665" s="77" t="s">
        <v>3903</v>
      </c>
      <c r="D4665" s="77" t="s">
        <v>134</v>
      </c>
      <c r="E4665" s="41" t="str">
        <f>IFERROR(__xludf.DUMMYFUNCTION("IFNA(vlookup(D4665,IMPORTRANGE(""https://docs.google.com/spreadsheets/d/1swGwZOEqYlTEUCJLY-eeJM1911Kvaei5oySBIxdgtNo/edit?pli=1#gid=257618397"",""stock untanna!B:C""),2,false),V:V)"),"PENSIL TF 888")</f>
        <v>PENSIL TF 888</v>
      </c>
      <c r="F4665" s="49"/>
      <c r="G4665" s="71"/>
      <c r="H4665" s="41"/>
      <c r="I4665" s="42"/>
      <c r="J4665" s="43" t="str">
        <f>IF(D4665="","TIDAK ADA","ADA")</f>
        <v>ADA</v>
      </c>
      <c r="K4665" s="93">
        <v>1.0</v>
      </c>
      <c r="L4665" s="112" t="s">
        <v>131</v>
      </c>
      <c r="M4665" s="113">
        <v>135000.0</v>
      </c>
      <c r="N4665" s="74"/>
      <c r="O4665" s="87">
        <f t="shared" si="11"/>
        <v>135000</v>
      </c>
      <c r="P4665" s="102" t="str">
        <f t="shared" si="2"/>
        <v>Rp135,000-1 GRS-0.00%</v>
      </c>
      <c r="Q4665" s="92">
        <v>45432.0</v>
      </c>
      <c r="R4665" s="76"/>
      <c r="S4665" s="92">
        <v>45433.0</v>
      </c>
      <c r="T4665" s="77" t="s">
        <v>280</v>
      </c>
      <c r="V4665" s="21" t="s">
        <v>135</v>
      </c>
    </row>
    <row r="4666">
      <c r="A4666" s="93">
        <v>2491.0</v>
      </c>
      <c r="B4666" s="77" t="s">
        <v>65</v>
      </c>
      <c r="C4666" s="77" t="s">
        <v>3903</v>
      </c>
      <c r="D4666" s="77" t="s">
        <v>475</v>
      </c>
      <c r="E4666" s="41" t="str">
        <f>IFERROR(__xludf.DUMMYFUNCTION("IFNA(vlookup(D4666,IMPORTRANGE(""https://docs.google.com/spreadsheets/d/1swGwZOEqYlTEUCJLY-eeJM1911Kvaei5oySBIxdgtNo/edit?pli=1#gid=257618397"",""stock untanna!B:C""),2,false),V:V)"),"BENSIA 13LM1 (6212)")</f>
        <v>BENSIA 13LM1 (6212)</v>
      </c>
      <c r="F4666" s="49"/>
      <c r="G4666" s="71"/>
      <c r="H4666" s="41"/>
      <c r="I4666" s="42"/>
      <c r="J4666" s="85" t="s">
        <v>1319</v>
      </c>
      <c r="K4666" s="93">
        <v>1.0</v>
      </c>
      <c r="L4666" s="112" t="s">
        <v>88</v>
      </c>
      <c r="M4666" s="113">
        <v>112500.0</v>
      </c>
      <c r="N4666" s="74"/>
      <c r="O4666" s="87">
        <f t="shared" si="11"/>
        <v>112500</v>
      </c>
      <c r="P4666" s="102" t="str">
        <f t="shared" si="2"/>
        <v>Rp112,500-1 BOX-0.00%</v>
      </c>
      <c r="Q4666" s="92">
        <v>45432.0</v>
      </c>
      <c r="R4666" s="76"/>
      <c r="S4666" s="92">
        <v>45433.0</v>
      </c>
      <c r="T4666" s="49"/>
      <c r="V4666" s="21" t="s">
        <v>476</v>
      </c>
    </row>
    <row r="4667">
      <c r="A4667" s="93">
        <v>2491.0</v>
      </c>
      <c r="B4667" s="77" t="s">
        <v>65</v>
      </c>
      <c r="C4667" s="77" t="s">
        <v>3903</v>
      </c>
      <c r="D4667" s="77" t="s">
        <v>3924</v>
      </c>
      <c r="E4667" s="41" t="str">
        <f>IFERROR(__xludf.DUMMYFUNCTION("IFNA(vlookup(D4667,IMPORTRANGE(""https://docs.google.com/spreadsheets/d/1swGwZOEqYlTEUCJLY-eeJM1911Kvaei5oySBIxdgtNo/edit?pli=1#gid=257618397"",""stock untanna!B:C""),2,false),V:V)"),"BENSIA ZC 131 FAN (30 BOX) ISI 48")</f>
        <v>BENSIA ZC 131 FAN (30 BOX) ISI 48</v>
      </c>
      <c r="F4667" s="49"/>
      <c r="G4667" s="71"/>
      <c r="H4667" s="41"/>
      <c r="I4667" s="42"/>
      <c r="J4667" s="85" t="s">
        <v>1319</v>
      </c>
      <c r="K4667" s="93">
        <v>48.0</v>
      </c>
      <c r="L4667" s="112" t="s">
        <v>69</v>
      </c>
      <c r="M4667" s="113">
        <v>1145.83</v>
      </c>
      <c r="N4667" s="74"/>
      <c r="O4667" s="87">
        <f t="shared" si="11"/>
        <v>54999.84</v>
      </c>
      <c r="P4667" s="102" t="str">
        <f t="shared" si="2"/>
        <v>Rp1,146-48 PCS-0.00%</v>
      </c>
      <c r="Q4667" s="92">
        <v>45432.0</v>
      </c>
      <c r="R4667" s="76"/>
      <c r="S4667" s="92">
        <v>45433.0</v>
      </c>
      <c r="T4667" s="49"/>
      <c r="V4667" s="21" t="s">
        <v>3925</v>
      </c>
    </row>
    <row r="4668">
      <c r="A4668" s="93">
        <v>2491.0</v>
      </c>
      <c r="B4668" s="77" t="s">
        <v>65</v>
      </c>
      <c r="C4668" s="77" t="s">
        <v>3903</v>
      </c>
      <c r="D4668" s="77" t="s">
        <v>3926</v>
      </c>
      <c r="E4668" s="41" t="str">
        <f>IFERROR(__xludf.DUMMYFUNCTION("IFNA(vlookup(D4668,IMPORTRANGE(""https://docs.google.com/spreadsheets/d/1swGwZOEqYlTEUCJLY-eeJM1911Kvaei5oySBIxdgtNo/edit?pli=1#gid=257618397"",""stock untanna!B:C""),2,false),V:V)"),"BENSIA 06 LMH 4M-3 HATI METALIK PENDEK")</f>
        <v>BENSIA 06 LMH 4M-3 HATI METALIK PENDEK</v>
      </c>
      <c r="F4668" s="49"/>
      <c r="G4668" s="71"/>
      <c r="H4668" s="41"/>
      <c r="I4668" s="42"/>
      <c r="J4668" s="85" t="s">
        <v>1319</v>
      </c>
      <c r="K4668" s="93">
        <v>24.0</v>
      </c>
      <c r="L4668" s="112" t="s">
        <v>69</v>
      </c>
      <c r="M4668" s="113">
        <v>1500.0</v>
      </c>
      <c r="N4668" s="74"/>
      <c r="O4668" s="87">
        <f t="shared" si="11"/>
        <v>36000</v>
      </c>
      <c r="P4668" s="102" t="str">
        <f t="shared" si="2"/>
        <v>Rp1,500-24 PCS-0.00%</v>
      </c>
      <c r="Q4668" s="92">
        <v>45432.0</v>
      </c>
      <c r="R4668" s="76"/>
      <c r="S4668" s="92">
        <v>45433.0</v>
      </c>
      <c r="T4668" s="49"/>
      <c r="V4668" s="21" t="s">
        <v>3927</v>
      </c>
    </row>
    <row r="4669">
      <c r="A4669" s="93">
        <v>2491.0</v>
      </c>
      <c r="B4669" s="77" t="s">
        <v>65</v>
      </c>
      <c r="C4669" s="77" t="s">
        <v>3903</v>
      </c>
      <c r="D4669" s="77" t="s">
        <v>3928</v>
      </c>
      <c r="E4669" s="41" t="str">
        <f>IFERROR(__xludf.DUMMYFUNCTION("IFNA(vlookup(D4669,IMPORTRANGE(""https://docs.google.com/spreadsheets/d/1swGwZOEqYlTEUCJLY-eeJM1911Kvaei5oySBIxdgtNo/edit?pli=1#gid=257618397"",""stock untanna!B:C""),2,false),V:V)"),"BENSIA 08LM1 (6221)")</f>
        <v>BENSIA 08LM1 (6221)</v>
      </c>
      <c r="F4669" s="49"/>
      <c r="G4669" s="71"/>
      <c r="H4669" s="41"/>
      <c r="I4669" s="42"/>
      <c r="J4669" s="85" t="s">
        <v>1319</v>
      </c>
      <c r="K4669" s="93">
        <v>1.0</v>
      </c>
      <c r="L4669" s="112" t="s">
        <v>88</v>
      </c>
      <c r="M4669" s="113">
        <v>117000.0</v>
      </c>
      <c r="N4669" s="74"/>
      <c r="O4669" s="87">
        <f t="shared" si="11"/>
        <v>117000</v>
      </c>
      <c r="P4669" s="102" t="str">
        <f t="shared" si="2"/>
        <v>Rp117,000-1 BOX-0.00%</v>
      </c>
      <c r="Q4669" s="92">
        <v>45432.0</v>
      </c>
      <c r="R4669" s="76"/>
      <c r="S4669" s="92">
        <v>45433.0</v>
      </c>
      <c r="T4669" s="49"/>
      <c r="V4669" s="21" t="s">
        <v>3929</v>
      </c>
    </row>
    <row r="4670">
      <c r="A4670" s="93">
        <v>2492.0</v>
      </c>
      <c r="B4670" s="77" t="s">
        <v>65</v>
      </c>
      <c r="C4670" s="77" t="s">
        <v>3903</v>
      </c>
      <c r="D4670" s="77" t="s">
        <v>1593</v>
      </c>
      <c r="E4670" s="41" t="str">
        <f>IFERROR(__xludf.DUMMYFUNCTION("IFNA(vlookup(D4670,IMPORTRANGE(""https://docs.google.com/spreadsheets/d/1swGwZOEqYlTEUCJLY-eeJM1911Kvaei5oySBIxdgtNo/edit?pli=1#gid=257618397"",""stock untanna!B:C""),2,false),V:V)"),"BENSIA 06LM1 (6034)")</f>
        <v>BENSIA 06LM1 (6034)</v>
      </c>
      <c r="F4670" s="49"/>
      <c r="G4670" s="71"/>
      <c r="H4670" s="41"/>
      <c r="I4670" s="42"/>
      <c r="J4670" s="85" t="s">
        <v>1319</v>
      </c>
      <c r="K4670" s="93">
        <v>1.0</v>
      </c>
      <c r="L4670" s="112" t="s">
        <v>88</v>
      </c>
      <c r="M4670" s="113">
        <v>117000.0</v>
      </c>
      <c r="N4670" s="74"/>
      <c r="O4670" s="87">
        <f t="shared" si="11"/>
        <v>117000</v>
      </c>
      <c r="P4670" s="102" t="str">
        <f t="shared" si="2"/>
        <v>Rp117,000-1 BOX-0.00%</v>
      </c>
      <c r="Q4670" s="92">
        <v>45432.0</v>
      </c>
      <c r="R4670" s="76"/>
      <c r="S4670" s="92">
        <v>45433.0</v>
      </c>
      <c r="T4670" s="49"/>
      <c r="V4670" s="21" t="s">
        <v>1594</v>
      </c>
    </row>
    <row r="4671">
      <c r="A4671" s="93">
        <v>2492.0</v>
      </c>
      <c r="B4671" s="77" t="s">
        <v>65</v>
      </c>
      <c r="C4671" s="77" t="s">
        <v>3903</v>
      </c>
      <c r="D4671" s="77" t="s">
        <v>1190</v>
      </c>
      <c r="E4671" s="41" t="str">
        <f>IFERROR(__xludf.DUMMYFUNCTION("IFNA(vlookup(D4671,IMPORTRANGE(""https://docs.google.com/spreadsheets/d/1swGwZOEqYlTEUCJLY-eeJM1911Kvaei5oySBIxdgtNo/edit?pli=1#gid=257618397"",""stock untanna!B:C""),2,false),V:V)"),"BENSIA 10LM1 (6209)")</f>
        <v>BENSIA 10LM1 (6209)</v>
      </c>
      <c r="F4671" s="49"/>
      <c r="G4671" s="71"/>
      <c r="H4671" s="41"/>
      <c r="I4671" s="42"/>
      <c r="J4671" s="85" t="s">
        <v>1319</v>
      </c>
      <c r="K4671" s="93">
        <v>1.0</v>
      </c>
      <c r="L4671" s="112" t="s">
        <v>88</v>
      </c>
      <c r="M4671" s="113">
        <v>112500.0</v>
      </c>
      <c r="N4671" s="74"/>
      <c r="O4671" s="87">
        <f t="shared" si="11"/>
        <v>112500</v>
      </c>
      <c r="P4671" s="102" t="str">
        <f t="shared" si="2"/>
        <v>Rp112,500-1 BOX-0.00%</v>
      </c>
      <c r="Q4671" s="92">
        <v>45432.0</v>
      </c>
      <c r="R4671" s="76"/>
      <c r="S4671" s="92">
        <v>45433.0</v>
      </c>
      <c r="T4671" s="49"/>
      <c r="V4671" s="21" t="s">
        <v>1191</v>
      </c>
    </row>
    <row r="4672">
      <c r="A4672" s="93">
        <v>2492.0</v>
      </c>
      <c r="B4672" s="77" t="s">
        <v>65</v>
      </c>
      <c r="C4672" s="77" t="s">
        <v>3903</v>
      </c>
      <c r="D4672" s="77" t="s">
        <v>2332</v>
      </c>
      <c r="E4672" s="41" t="str">
        <f>IFERROR(__xludf.DUMMYFUNCTION("IFNA(vlookup(D4672,IMPORTRANGE(""https://docs.google.com/spreadsheets/d/1swGwZOEqYlTEUCJLY-eeJM1911Kvaei5oySBIxdgtNo/edit?pli=1#gid=257618397"",""stock untanna!B:C""),2,false),V:V)"),"BENSIA 05LM2 (6021)")</f>
        <v>BENSIA 05LM2 (6021)</v>
      </c>
      <c r="F4672" s="49"/>
      <c r="G4672" s="71"/>
      <c r="H4672" s="41"/>
      <c r="I4672" s="42"/>
      <c r="J4672" s="85" t="s">
        <v>1319</v>
      </c>
      <c r="K4672" s="93">
        <v>1.0</v>
      </c>
      <c r="L4672" s="112" t="s">
        <v>88</v>
      </c>
      <c r="M4672" s="113">
        <v>94500.0</v>
      </c>
      <c r="N4672" s="74"/>
      <c r="O4672" s="87">
        <f t="shared" si="11"/>
        <v>94500</v>
      </c>
      <c r="P4672" s="102" t="str">
        <f t="shared" si="2"/>
        <v>Rp94,500-1 BOX-0.00%</v>
      </c>
      <c r="Q4672" s="92">
        <v>45432.0</v>
      </c>
      <c r="R4672" s="76"/>
      <c r="S4672" s="92">
        <v>45433.0</v>
      </c>
      <c r="T4672" s="49"/>
      <c r="V4672" s="21" t="s">
        <v>2333</v>
      </c>
    </row>
    <row r="4673">
      <c r="A4673" s="93">
        <v>2492.0</v>
      </c>
      <c r="B4673" s="77" t="s">
        <v>65</v>
      </c>
      <c r="C4673" s="77" t="s">
        <v>3903</v>
      </c>
      <c r="D4673" s="91"/>
      <c r="E4673" s="41" t="str">
        <f>IFERROR(__xludf.DUMMYFUNCTION("IFNA(vlookup(D4673,IMPORTRANGE(""https://docs.google.com/spreadsheets/d/1swGwZOEqYlTEUCJLY-eeJM1911Kvaei5oySBIxdgtNo/edit?pli=1#gid=257618397"",""stock untanna!B:C""),2,false),V:V)"),"BENSIA 917")</f>
        <v>BENSIA 917</v>
      </c>
      <c r="F4673" s="49"/>
      <c r="G4673" s="71"/>
      <c r="H4673" s="41"/>
      <c r="I4673" s="42"/>
      <c r="J4673" s="85" t="s">
        <v>3190</v>
      </c>
      <c r="K4673" s="93">
        <v>1.0</v>
      </c>
      <c r="L4673" s="112" t="s">
        <v>88</v>
      </c>
      <c r="M4673" s="113">
        <v>156000.0</v>
      </c>
      <c r="N4673" s="74"/>
      <c r="O4673" s="87">
        <f t="shared" si="11"/>
        <v>156000</v>
      </c>
      <c r="P4673" s="102" t="str">
        <f t="shared" si="2"/>
        <v>Rp156,000-1 BOX-0.00%</v>
      </c>
      <c r="Q4673" s="92">
        <v>45432.0</v>
      </c>
      <c r="R4673" s="76"/>
      <c r="S4673" s="92">
        <v>45433.0</v>
      </c>
      <c r="T4673" s="49"/>
      <c r="V4673" s="21" t="s">
        <v>445</v>
      </c>
    </row>
    <row r="4674">
      <c r="A4674" s="93">
        <v>2492.0</v>
      </c>
      <c r="B4674" s="77" t="s">
        <v>65</v>
      </c>
      <c r="C4674" s="77" t="s">
        <v>3903</v>
      </c>
      <c r="D4674" s="91"/>
      <c r="E4674" s="41" t="str">
        <f>IFERROR(__xludf.DUMMYFUNCTION("IFNA(vlookup(D4674,IMPORTRANGE(""https://docs.google.com/spreadsheets/d/1swGwZOEqYlTEUCJLY-eeJM1911Kvaei5oySBIxdgtNo/edit?pli=1#gid=257618397"",""stock untanna!B:C""),2,false),V:V)"),"BENSIA 950")</f>
        <v>BENSIA 950</v>
      </c>
      <c r="F4674" s="49"/>
      <c r="G4674" s="71"/>
      <c r="H4674" s="41"/>
      <c r="I4674" s="42"/>
      <c r="J4674" s="85" t="s">
        <v>3190</v>
      </c>
      <c r="K4674" s="93">
        <v>1.0</v>
      </c>
      <c r="L4674" s="112" t="s">
        <v>88</v>
      </c>
      <c r="M4674" s="113">
        <v>156000.0</v>
      </c>
      <c r="N4674" s="74"/>
      <c r="O4674" s="87">
        <f t="shared" si="11"/>
        <v>156000</v>
      </c>
      <c r="P4674" s="102" t="str">
        <f t="shared" si="2"/>
        <v>Rp156,000-1 BOX-0.00%</v>
      </c>
      <c r="Q4674" s="92">
        <v>45432.0</v>
      </c>
      <c r="R4674" s="76"/>
      <c r="S4674" s="92">
        <v>45433.0</v>
      </c>
      <c r="T4674" s="49"/>
      <c r="V4674" s="21" t="s">
        <v>440</v>
      </c>
    </row>
    <row r="4675">
      <c r="A4675" s="93">
        <v>2492.0</v>
      </c>
      <c r="B4675" s="77" t="s">
        <v>65</v>
      </c>
      <c r="C4675" s="77" t="s">
        <v>3903</v>
      </c>
      <c r="D4675" s="91"/>
      <c r="E4675" s="41" t="str">
        <f>IFERROR(__xludf.DUMMYFUNCTION("IFNA(vlookup(D4675,IMPORTRANGE(""https://docs.google.com/spreadsheets/d/1swGwZOEqYlTEUCJLY-eeJM1911Kvaei5oySBIxdgtNo/edit?pli=1#gid=257618397"",""stock untanna!B:C""),2,false),V:V)"),"BENSIA 951")</f>
        <v>BENSIA 951</v>
      </c>
      <c r="F4675" s="49"/>
      <c r="G4675" s="71"/>
      <c r="H4675" s="41"/>
      <c r="I4675" s="42"/>
      <c r="J4675" s="85" t="s">
        <v>3190</v>
      </c>
      <c r="K4675" s="93">
        <v>1.0</v>
      </c>
      <c r="L4675" s="112" t="s">
        <v>88</v>
      </c>
      <c r="M4675" s="113">
        <v>156000.0</v>
      </c>
      <c r="N4675" s="74"/>
      <c r="O4675" s="87">
        <f t="shared" si="11"/>
        <v>156000</v>
      </c>
      <c r="P4675" s="102" t="str">
        <f t="shared" si="2"/>
        <v>Rp156,000-1 BOX-0.00%</v>
      </c>
      <c r="Q4675" s="92">
        <v>45432.0</v>
      </c>
      <c r="R4675" s="76"/>
      <c r="S4675" s="92">
        <v>45433.0</v>
      </c>
      <c r="T4675" s="49"/>
      <c r="V4675" s="21" t="s">
        <v>3930</v>
      </c>
    </row>
    <row r="4676">
      <c r="A4676" s="93">
        <v>2492.0</v>
      </c>
      <c r="B4676" s="77" t="s">
        <v>65</v>
      </c>
      <c r="C4676" s="77" t="s">
        <v>3903</v>
      </c>
      <c r="D4676" s="91"/>
      <c r="E4676" s="41" t="str">
        <f>IFERROR(__xludf.DUMMYFUNCTION("IFNA(vlookup(D4676,IMPORTRANGE(""https://docs.google.com/spreadsheets/d/1swGwZOEqYlTEUCJLY-eeJM1911Kvaei5oySBIxdgtNo/edit?pli=1#gid=257618397"",""stock untanna!B:C""),2,false),V:V)"),"BENSIA 909")</f>
        <v>BENSIA 909</v>
      </c>
      <c r="F4676" s="49"/>
      <c r="G4676" s="71"/>
      <c r="H4676" s="41"/>
      <c r="I4676" s="42"/>
      <c r="J4676" s="85" t="s">
        <v>3190</v>
      </c>
      <c r="K4676" s="93">
        <v>1.0</v>
      </c>
      <c r="L4676" s="112" t="s">
        <v>88</v>
      </c>
      <c r="M4676" s="113">
        <v>156000.0</v>
      </c>
      <c r="N4676" s="74"/>
      <c r="O4676" s="87">
        <f t="shared" si="11"/>
        <v>156000</v>
      </c>
      <c r="P4676" s="102" t="str">
        <f t="shared" si="2"/>
        <v>Rp156,000-1 BOX-0.00%</v>
      </c>
      <c r="Q4676" s="92">
        <v>45432.0</v>
      </c>
      <c r="R4676" s="76"/>
      <c r="S4676" s="92">
        <v>45433.0</v>
      </c>
      <c r="T4676" s="49"/>
      <c r="V4676" s="21" t="s">
        <v>2686</v>
      </c>
    </row>
    <row r="4677">
      <c r="A4677" s="93">
        <v>2492.0</v>
      </c>
      <c r="B4677" s="77" t="s">
        <v>65</v>
      </c>
      <c r="C4677" s="77" t="s">
        <v>3903</v>
      </c>
      <c r="D4677" s="91"/>
      <c r="E4677" s="41" t="str">
        <f>IFERROR(__xludf.DUMMYFUNCTION("IFNA(vlookup(D4677,IMPORTRANGE(""https://docs.google.com/spreadsheets/d/1swGwZOEqYlTEUCJLY-eeJM1911Kvaei5oySBIxdgtNo/edit?pli=1#gid=257618397"",""stock untanna!B:C""),2,false),V:V)"),"BENSIA 933")</f>
        <v>BENSIA 933</v>
      </c>
      <c r="F4677" s="49"/>
      <c r="G4677" s="71"/>
      <c r="H4677" s="41"/>
      <c r="I4677" s="42"/>
      <c r="J4677" s="85" t="s">
        <v>3190</v>
      </c>
      <c r="K4677" s="93">
        <v>1.0</v>
      </c>
      <c r="L4677" s="112" t="s">
        <v>88</v>
      </c>
      <c r="M4677" s="113">
        <v>156000.0</v>
      </c>
      <c r="N4677" s="74"/>
      <c r="O4677" s="87">
        <f t="shared" si="11"/>
        <v>156000</v>
      </c>
      <c r="P4677" s="102" t="str">
        <f t="shared" si="2"/>
        <v>Rp156,000-1 BOX-0.00%</v>
      </c>
      <c r="Q4677" s="92">
        <v>45432.0</v>
      </c>
      <c r="R4677" s="76"/>
      <c r="S4677" s="92">
        <v>45433.0</v>
      </c>
      <c r="T4677" s="49"/>
      <c r="V4677" s="21" t="s">
        <v>3931</v>
      </c>
    </row>
    <row r="4678">
      <c r="A4678" s="93">
        <v>2492.0</v>
      </c>
      <c r="B4678" s="77" t="s">
        <v>65</v>
      </c>
      <c r="C4678" s="77" t="s">
        <v>3903</v>
      </c>
      <c r="D4678" s="91"/>
      <c r="E4678" s="41" t="str">
        <f>IFERROR(__xludf.DUMMYFUNCTION("IFNA(vlookup(D4678,IMPORTRANGE(""https://docs.google.com/spreadsheets/d/1swGwZOEqYlTEUCJLY-eeJM1911Kvaei5oySBIxdgtNo/edit?pli=1#gid=257618397"",""stock untanna!B:C""),2,false),V:V)"),"BENSIA 941")</f>
        <v>BENSIA 941</v>
      </c>
      <c r="F4678" s="49"/>
      <c r="G4678" s="71"/>
      <c r="H4678" s="41"/>
      <c r="I4678" s="42"/>
      <c r="J4678" s="85" t="s">
        <v>3190</v>
      </c>
      <c r="K4678" s="93">
        <v>1.0</v>
      </c>
      <c r="L4678" s="112" t="s">
        <v>88</v>
      </c>
      <c r="M4678" s="113">
        <v>156000.0</v>
      </c>
      <c r="N4678" s="74"/>
      <c r="O4678" s="87">
        <f t="shared" si="11"/>
        <v>156000</v>
      </c>
      <c r="P4678" s="102" t="str">
        <f t="shared" si="2"/>
        <v>Rp156,000-1 BOX-0.00%</v>
      </c>
      <c r="Q4678" s="92">
        <v>45432.0</v>
      </c>
      <c r="R4678" s="76"/>
      <c r="S4678" s="92">
        <v>45433.0</v>
      </c>
      <c r="T4678" s="49"/>
      <c r="V4678" s="21" t="s">
        <v>1616</v>
      </c>
    </row>
    <row r="4679">
      <c r="A4679" s="93">
        <v>2492.0</v>
      </c>
      <c r="B4679" s="77" t="s">
        <v>65</v>
      </c>
      <c r="C4679" s="77" t="s">
        <v>3903</v>
      </c>
      <c r="D4679" s="91"/>
      <c r="E4679" s="41" t="str">
        <f>IFERROR(__xludf.DUMMYFUNCTION("IFNA(vlookup(D4679,IMPORTRANGE(""https://docs.google.com/spreadsheets/d/1swGwZOEqYlTEUCJLY-eeJM1911Kvaei5oySBIxdgtNo/edit?pli=1#gid=257618397"",""stock untanna!B:C""),2,false),V:V)"),"BENSIA 925")</f>
        <v>BENSIA 925</v>
      </c>
      <c r="F4679" s="49"/>
      <c r="G4679" s="71"/>
      <c r="H4679" s="41"/>
      <c r="I4679" s="42"/>
      <c r="J4679" s="85" t="s">
        <v>3190</v>
      </c>
      <c r="K4679" s="93">
        <v>1.0</v>
      </c>
      <c r="L4679" s="112" t="s">
        <v>88</v>
      </c>
      <c r="M4679" s="113">
        <v>156000.0</v>
      </c>
      <c r="N4679" s="74"/>
      <c r="O4679" s="87">
        <f t="shared" si="11"/>
        <v>156000</v>
      </c>
      <c r="P4679" s="102" t="str">
        <f t="shared" si="2"/>
        <v>Rp156,000-1 BOX-0.00%</v>
      </c>
      <c r="Q4679" s="92">
        <v>45432.0</v>
      </c>
      <c r="R4679" s="76"/>
      <c r="S4679" s="92">
        <v>45433.0</v>
      </c>
      <c r="T4679" s="49"/>
      <c r="V4679" s="21" t="s">
        <v>441</v>
      </c>
    </row>
    <row r="4680">
      <c r="A4680" s="93">
        <v>2492.0</v>
      </c>
      <c r="B4680" s="77" t="s">
        <v>65</v>
      </c>
      <c r="C4680" s="77" t="s">
        <v>3903</v>
      </c>
      <c r="D4680" s="91"/>
      <c r="E4680" s="41" t="str">
        <f>IFERROR(__xludf.DUMMYFUNCTION("IFNA(vlookup(D4680,IMPORTRANGE(""https://docs.google.com/spreadsheets/d/1swGwZOEqYlTEUCJLY-eeJM1911Kvaei5oySBIxdgtNo/edit?pli=1#gid=257618397"",""stock untanna!B:C""),2,false),V:V)"),"BENSIA 903")</f>
        <v>BENSIA 903</v>
      </c>
      <c r="F4680" s="49"/>
      <c r="G4680" s="71"/>
      <c r="H4680" s="41"/>
      <c r="I4680" s="42"/>
      <c r="J4680" s="85" t="s">
        <v>3190</v>
      </c>
      <c r="K4680" s="93">
        <v>1.0</v>
      </c>
      <c r="L4680" s="112" t="s">
        <v>88</v>
      </c>
      <c r="M4680" s="113">
        <v>156000.0</v>
      </c>
      <c r="N4680" s="74"/>
      <c r="O4680" s="87">
        <f t="shared" si="11"/>
        <v>156000</v>
      </c>
      <c r="P4680" s="102" t="str">
        <f t="shared" si="2"/>
        <v>Rp156,000-1 BOX-0.00%</v>
      </c>
      <c r="Q4680" s="92">
        <v>45432.0</v>
      </c>
      <c r="R4680" s="76"/>
      <c r="S4680" s="92">
        <v>45433.0</v>
      </c>
      <c r="T4680" s="49"/>
      <c r="V4680" s="21" t="s">
        <v>2687</v>
      </c>
    </row>
    <row r="4681">
      <c r="A4681" s="93">
        <v>2492.0</v>
      </c>
      <c r="B4681" s="77" t="s">
        <v>65</v>
      </c>
      <c r="C4681" s="77" t="s">
        <v>3903</v>
      </c>
      <c r="D4681" s="91"/>
      <c r="E4681" s="41" t="str">
        <f>IFERROR(__xludf.DUMMYFUNCTION("IFNA(vlookup(D4681,IMPORTRANGE(""https://docs.google.com/spreadsheets/d/1swGwZOEqYlTEUCJLY-eeJM1911Kvaei5oySBIxdgtNo/edit?pli=1#gid=257618397"",""stock untanna!B:C""),2,false),V:V)"),"MAP REST SIKA 5 WR")</f>
        <v>MAP REST SIKA 5 WR</v>
      </c>
      <c r="F4681" s="49"/>
      <c r="G4681" s="71"/>
      <c r="H4681" s="41"/>
      <c r="I4681" s="42"/>
      <c r="J4681" s="85" t="s">
        <v>3190</v>
      </c>
      <c r="K4681" s="93">
        <v>5.0</v>
      </c>
      <c r="L4681" s="112" t="s">
        <v>62</v>
      </c>
      <c r="M4681" s="113">
        <v>110000.0</v>
      </c>
      <c r="N4681" s="74"/>
      <c r="O4681" s="87">
        <f t="shared" si="11"/>
        <v>550000</v>
      </c>
      <c r="P4681" s="102" t="str">
        <f t="shared" si="2"/>
        <v>Rp110,000-5 LSN-0.00%</v>
      </c>
      <c r="Q4681" s="92">
        <v>45432.0</v>
      </c>
      <c r="R4681" s="76"/>
      <c r="S4681" s="92">
        <v>45433.0</v>
      </c>
      <c r="T4681" s="49"/>
      <c r="V4681" s="21" t="s">
        <v>3932</v>
      </c>
    </row>
    <row r="4682">
      <c r="A4682" s="93">
        <v>2492.0</v>
      </c>
      <c r="B4682" s="77" t="s">
        <v>65</v>
      </c>
      <c r="C4682" s="77" t="s">
        <v>3903</v>
      </c>
      <c r="D4682" s="91"/>
      <c r="E4682" s="41" t="str">
        <f>IFERROR(__xludf.DUMMYFUNCTION("IFNA(vlookup(D4682,IMPORTRANGE(""https://docs.google.com/spreadsheets/d/1swGwZOEqYlTEUCJLY-eeJM1911Kvaei5oySBIxdgtNo/edit?pli=1#gid=257618397"",""stock untanna!B:C""),2,false),V:V)"),"MAP REST WARNA 4WR")</f>
        <v>MAP REST WARNA 4WR</v>
      </c>
      <c r="F4682" s="49"/>
      <c r="G4682" s="71"/>
      <c r="H4682" s="41"/>
      <c r="I4682" s="42"/>
      <c r="J4682" s="85" t="s">
        <v>3190</v>
      </c>
      <c r="K4682" s="93">
        <v>4.0</v>
      </c>
      <c r="L4682" s="112" t="s">
        <v>62</v>
      </c>
      <c r="M4682" s="113">
        <v>110000.0</v>
      </c>
      <c r="N4682" s="74"/>
      <c r="O4682" s="87">
        <f t="shared" si="11"/>
        <v>440000</v>
      </c>
      <c r="P4682" s="102" t="str">
        <f t="shared" si="2"/>
        <v>Rp110,000-4 LSN-0.00%</v>
      </c>
      <c r="Q4682" s="92">
        <v>45432.0</v>
      </c>
      <c r="R4682" s="76"/>
      <c r="S4682" s="92">
        <v>45433.0</v>
      </c>
      <c r="T4682" s="49"/>
      <c r="V4682" s="21" t="s">
        <v>3933</v>
      </c>
    </row>
    <row r="4683">
      <c r="A4683" s="93">
        <v>2492.0</v>
      </c>
      <c r="B4683" s="77" t="s">
        <v>65</v>
      </c>
      <c r="C4683" s="77" t="s">
        <v>3903</v>
      </c>
      <c r="D4683" s="91"/>
      <c r="E4683" s="41" t="str">
        <f>IFERROR(__xludf.DUMMYFUNCTION("IFNA(vlookup(D4683,IMPORTRANGE(""https://docs.google.com/spreadsheets/d/1swGwZOEqYlTEUCJLY-eeJM1911Kvaei5oySBIxdgtNo/edit?pli=1#gid=257618397"",""stock untanna!B:C""),2,false),V:V)"),"MAP REST SIKA KWARTO 4WR")</f>
        <v>MAP REST SIKA KWARTO 4WR</v>
      </c>
      <c r="F4683" s="49"/>
      <c r="G4683" s="71"/>
      <c r="H4683" s="41"/>
      <c r="I4683" s="42"/>
      <c r="J4683" s="85" t="s">
        <v>3190</v>
      </c>
      <c r="K4683" s="93">
        <v>4.0</v>
      </c>
      <c r="L4683" s="112" t="s">
        <v>62</v>
      </c>
      <c r="M4683" s="113">
        <v>75000.0</v>
      </c>
      <c r="N4683" s="74"/>
      <c r="O4683" s="87">
        <f t="shared" si="11"/>
        <v>300000</v>
      </c>
      <c r="P4683" s="102" t="str">
        <f t="shared" si="2"/>
        <v>Rp75,000-4 LSN-0.00%</v>
      </c>
      <c r="Q4683" s="92">
        <v>45432.0</v>
      </c>
      <c r="R4683" s="76"/>
      <c r="S4683" s="92">
        <v>45433.0</v>
      </c>
      <c r="T4683" s="49"/>
      <c r="V4683" s="21" t="s">
        <v>3934</v>
      </c>
    </row>
    <row r="4684">
      <c r="A4684" s="93">
        <v>2492.0</v>
      </c>
      <c r="B4684" s="77" t="s">
        <v>65</v>
      </c>
      <c r="C4684" s="77" t="s">
        <v>3903</v>
      </c>
      <c r="D4684" s="91"/>
      <c r="E4684" s="41" t="str">
        <f>IFERROR(__xludf.DUMMYFUNCTION("IFNA(vlookup(D4684,IMPORTRANGE(""https://docs.google.com/spreadsheets/d/1swGwZOEqYlTEUCJLY-eeJM1911Kvaei5oySBIxdgtNo/edit?pli=1#gid=257618397"",""stock untanna!B:C""),2,false),V:V)"),"MAP REST ENTER KWARTO 4WR")</f>
        <v>MAP REST ENTER KWARTO 4WR</v>
      </c>
      <c r="F4684" s="49"/>
      <c r="G4684" s="71"/>
      <c r="H4684" s="41"/>
      <c r="I4684" s="42"/>
      <c r="J4684" s="85" t="s">
        <v>3190</v>
      </c>
      <c r="K4684" s="93">
        <v>4.0</v>
      </c>
      <c r="L4684" s="112" t="s">
        <v>62</v>
      </c>
      <c r="M4684" s="113">
        <v>120000.0</v>
      </c>
      <c r="N4684" s="74"/>
      <c r="O4684" s="87">
        <f t="shared" si="11"/>
        <v>480000</v>
      </c>
      <c r="P4684" s="102" t="str">
        <f t="shared" si="2"/>
        <v>Rp120,000-4 LSN-0.00%</v>
      </c>
      <c r="Q4684" s="92">
        <v>45432.0</v>
      </c>
      <c r="R4684" s="76"/>
      <c r="S4684" s="92">
        <v>45433.0</v>
      </c>
      <c r="T4684" s="49"/>
      <c r="V4684" s="21" t="s">
        <v>3935</v>
      </c>
    </row>
    <row r="4685">
      <c r="A4685" s="93">
        <v>2492.0</v>
      </c>
      <c r="B4685" s="77" t="s">
        <v>65</v>
      </c>
      <c r="C4685" s="77" t="s">
        <v>3903</v>
      </c>
      <c r="D4685" s="91"/>
      <c r="E4685" s="41" t="str">
        <f>IFERROR(__xludf.DUMMYFUNCTION("IFNA(vlookup(D4685,IMPORTRANGE(""https://docs.google.com/spreadsheets/d/1swGwZOEqYlTEUCJLY-eeJM1911Kvaei5oySBIxdgtNo/edit?pli=1#gid=257618397"",""stock untanna!B:C""),2,false),V:V)"),"STICKER KARAKTER")</f>
        <v>STICKER KARAKTER</v>
      </c>
      <c r="F4685" s="49"/>
      <c r="G4685" s="71"/>
      <c r="H4685" s="41"/>
      <c r="I4685" s="42"/>
      <c r="J4685" s="85" t="s">
        <v>3190</v>
      </c>
      <c r="K4685" s="93">
        <v>50.0</v>
      </c>
      <c r="L4685" s="112" t="s">
        <v>69</v>
      </c>
      <c r="M4685" s="113">
        <v>2500.0</v>
      </c>
      <c r="N4685" s="74"/>
      <c r="O4685" s="87">
        <f t="shared" si="11"/>
        <v>125000</v>
      </c>
      <c r="P4685" s="102" t="str">
        <f t="shared" si="2"/>
        <v>Rp2,500-50 PCS-0.00%</v>
      </c>
      <c r="Q4685" s="92">
        <v>45432.0</v>
      </c>
      <c r="R4685" s="76"/>
      <c r="S4685" s="92">
        <v>45433.0</v>
      </c>
      <c r="T4685" s="49"/>
      <c r="V4685" s="21" t="s">
        <v>3936</v>
      </c>
    </row>
    <row r="4686">
      <c r="A4686" s="93">
        <v>2493.0</v>
      </c>
      <c r="B4686" s="77" t="s">
        <v>65</v>
      </c>
      <c r="C4686" s="77" t="s">
        <v>3903</v>
      </c>
      <c r="D4686" s="91"/>
      <c r="E4686" s="41" t="str">
        <f>IFERROR(__xludf.DUMMYFUNCTION("IFNA(vlookup(D4686,IMPORTRANGE(""https://docs.google.com/spreadsheets/d/1swGwZOEqYlTEUCJLY-eeJM1911Kvaei5oySBIxdgtNo/edit?pli=1#gid=257618397"",""stock untanna!B:C""),2,false),V:V)"),"MAP KCG 1 SIKA 5WR")</f>
        <v>MAP KCG 1 SIKA 5WR</v>
      </c>
      <c r="F4686" s="49"/>
      <c r="G4686" s="71"/>
      <c r="H4686" s="41"/>
      <c r="I4686" s="42"/>
      <c r="J4686" s="85" t="s">
        <v>3190</v>
      </c>
      <c r="K4686" s="93">
        <v>5.0</v>
      </c>
      <c r="L4686" s="112" t="s">
        <v>62</v>
      </c>
      <c r="M4686" s="113">
        <v>28500.0</v>
      </c>
      <c r="N4686" s="74"/>
      <c r="O4686" s="87">
        <f t="shared" si="11"/>
        <v>142500</v>
      </c>
      <c r="P4686" s="102" t="str">
        <f t="shared" si="2"/>
        <v>Rp28,500-5 LSN-0.00%</v>
      </c>
      <c r="Q4686" s="92">
        <v>45432.0</v>
      </c>
      <c r="R4686" s="76"/>
      <c r="S4686" s="92">
        <v>45433.0</v>
      </c>
      <c r="T4686" s="49"/>
      <c r="V4686" s="21" t="s">
        <v>3937</v>
      </c>
    </row>
    <row r="4687">
      <c r="A4687" s="93">
        <v>2493.0</v>
      </c>
      <c r="B4687" s="77" t="s">
        <v>65</v>
      </c>
      <c r="C4687" s="77" t="s">
        <v>3903</v>
      </c>
      <c r="D4687" s="91"/>
      <c r="E4687" s="41" t="str">
        <f>IFERROR(__xludf.DUMMYFUNCTION("IFNA(vlookup(D4687,IMPORTRANGE(""https://docs.google.com/spreadsheets/d/1swGwZOEqYlTEUCJLY-eeJM1911Kvaei5oySBIxdgtNo/edit?pli=1#gid=257618397"",""stock untanna!B:C""),2,false),V:V)"),"MAP KCG SIKA 3WR")</f>
        <v>MAP KCG SIKA 3WR</v>
      </c>
      <c r="F4687" s="49"/>
      <c r="G4687" s="71"/>
      <c r="H4687" s="41"/>
      <c r="I4687" s="42"/>
      <c r="J4687" s="85" t="s">
        <v>3190</v>
      </c>
      <c r="K4687" s="93">
        <v>3.0</v>
      </c>
      <c r="L4687" s="112" t="s">
        <v>62</v>
      </c>
      <c r="M4687" s="113">
        <v>30000.0</v>
      </c>
      <c r="N4687" s="74"/>
      <c r="O4687" s="87">
        <f t="shared" si="11"/>
        <v>90000</v>
      </c>
      <c r="P4687" s="102" t="str">
        <f t="shared" si="2"/>
        <v>Rp30,000-3 LSN-0.00%</v>
      </c>
      <c r="Q4687" s="92">
        <v>45432.0</v>
      </c>
      <c r="R4687" s="76"/>
      <c r="S4687" s="92">
        <v>45433.0</v>
      </c>
      <c r="T4687" s="49"/>
      <c r="V4687" s="21" t="s">
        <v>3938</v>
      </c>
    </row>
    <row r="4688">
      <c r="A4688" s="93">
        <v>2493.0</v>
      </c>
      <c r="B4688" s="77" t="s">
        <v>65</v>
      </c>
      <c r="C4688" s="77" t="s">
        <v>3903</v>
      </c>
      <c r="D4688" s="77" t="s">
        <v>3939</v>
      </c>
      <c r="E4688" s="41" t="str">
        <f>IFERROR(__xludf.DUMMYFUNCTION("IFNA(vlookup(D4688,IMPORTRANGE(""https://docs.google.com/spreadsheets/d/1swGwZOEqYlTEUCJLY-eeJM1911Kvaei5oySBIxdgtNo/edit?pli=1#gid=257618397"",""stock untanna!B:C""),2,false),V:V)"),"MAP KANCING BF-19 WARNA MIX")</f>
        <v>MAP KANCING BF-19 WARNA MIX</v>
      </c>
      <c r="F4688" s="49"/>
      <c r="G4688" s="71"/>
      <c r="H4688" s="41"/>
      <c r="I4688" s="42"/>
      <c r="J4688" s="85" t="s">
        <v>1319</v>
      </c>
      <c r="K4688" s="93">
        <v>6.0</v>
      </c>
      <c r="L4688" s="112" t="s">
        <v>62</v>
      </c>
      <c r="M4688" s="113">
        <v>27500.0</v>
      </c>
      <c r="N4688" s="74"/>
      <c r="O4688" s="87">
        <f t="shared" si="11"/>
        <v>165000</v>
      </c>
      <c r="P4688" s="102" t="str">
        <f t="shared" si="2"/>
        <v>Rp27,500-6 LSN-0.00%</v>
      </c>
      <c r="Q4688" s="92">
        <v>45432.0</v>
      </c>
      <c r="R4688" s="76"/>
      <c r="S4688" s="92">
        <v>45433.0</v>
      </c>
      <c r="T4688" s="49"/>
      <c r="V4688" s="21" t="s">
        <v>3940</v>
      </c>
    </row>
    <row r="4689">
      <c r="A4689" s="93">
        <v>2493.0</v>
      </c>
      <c r="B4689" s="77" t="s">
        <v>65</v>
      </c>
      <c r="C4689" s="77" t="s">
        <v>3903</v>
      </c>
      <c r="D4689" s="77" t="s">
        <v>179</v>
      </c>
      <c r="E4689" s="41" t="str">
        <f>IFERROR(__xludf.DUMMYFUNCTION("IFNA(vlookup(D4689,IMPORTRANGE(""https://docs.google.com/spreadsheets/d/1swGwZOEqYlTEUCJLY-eeJM1911Kvaei5oySBIxdgtNo/edit?pli=1#gid=257618397"",""stock untanna!B:C""),2,false),V:V)"),"MAP FILE EN 1020")</f>
        <v>MAP FILE EN 1020</v>
      </c>
      <c r="F4689" s="49"/>
      <c r="G4689" s="71"/>
      <c r="H4689" s="41"/>
      <c r="I4689" s="42"/>
      <c r="J4689" s="85" t="s">
        <v>1319</v>
      </c>
      <c r="K4689" s="93">
        <v>1.0</v>
      </c>
      <c r="L4689" s="112" t="s">
        <v>62</v>
      </c>
      <c r="M4689" s="113">
        <v>55000.0</v>
      </c>
      <c r="N4689" s="74"/>
      <c r="O4689" s="87">
        <f t="shared" si="11"/>
        <v>55000</v>
      </c>
      <c r="P4689" s="102" t="str">
        <f t="shared" si="2"/>
        <v>Rp55,000-1 LSN-0.00%</v>
      </c>
      <c r="Q4689" s="92">
        <v>45432.0</v>
      </c>
      <c r="R4689" s="76"/>
      <c r="S4689" s="92">
        <v>45433.0</v>
      </c>
      <c r="T4689" s="49"/>
      <c r="V4689" s="21" t="s">
        <v>180</v>
      </c>
    </row>
    <row r="4690">
      <c r="A4690" s="93">
        <v>2493.0</v>
      </c>
      <c r="B4690" s="77" t="s">
        <v>65</v>
      </c>
      <c r="C4690" s="77" t="s">
        <v>3903</v>
      </c>
      <c r="D4690" s="77" t="s">
        <v>1280</v>
      </c>
      <c r="E4690" s="41" t="str">
        <f>IFERROR(__xludf.DUMMYFUNCTION("IFNA(vlookup(D4690,IMPORTRANGE(""https://docs.google.com/spreadsheets/d/1swGwZOEqYlTEUCJLY-eeJM1911Kvaei5oySBIxdgtNo/edit?pli=1#gid=257618397"",""stock untanna!B:C""),2,false),V:V)"),"MAP FILE EN 1105 F")</f>
        <v>MAP FILE EN 1105 F</v>
      </c>
      <c r="F4690" s="49"/>
      <c r="G4690" s="71"/>
      <c r="H4690" s="41"/>
      <c r="I4690" s="42"/>
      <c r="J4690" s="85" t="s">
        <v>1319</v>
      </c>
      <c r="K4690" s="93">
        <v>1.0</v>
      </c>
      <c r="L4690" s="112" t="s">
        <v>62</v>
      </c>
      <c r="M4690" s="113">
        <v>55000.0</v>
      </c>
      <c r="N4690" s="74"/>
      <c r="O4690" s="87">
        <f t="shared" si="11"/>
        <v>55000</v>
      </c>
      <c r="P4690" s="102" t="str">
        <f t="shared" si="2"/>
        <v>Rp55,000-1 LSN-0.00%</v>
      </c>
      <c r="Q4690" s="92">
        <v>45432.0</v>
      </c>
      <c r="R4690" s="76"/>
      <c r="S4690" s="92">
        <v>45433.0</v>
      </c>
      <c r="T4690" s="49"/>
      <c r="V4690" s="21" t="s">
        <v>1281</v>
      </c>
    </row>
    <row r="4691">
      <c r="A4691" s="93">
        <v>2493.0</v>
      </c>
      <c r="B4691" s="77" t="s">
        <v>65</v>
      </c>
      <c r="C4691" s="77" t="s">
        <v>3903</v>
      </c>
      <c r="D4691" s="77" t="s">
        <v>1283</v>
      </c>
      <c r="E4691" s="41" t="str">
        <f>IFERROR(__xludf.DUMMYFUNCTION("IFNA(vlookup(D4691,IMPORTRANGE(""https://docs.google.com/spreadsheets/d/1swGwZOEqYlTEUCJLY-eeJM1911Kvaei5oySBIxdgtNo/edit?pli=1#gid=257618397"",""stock untanna!B:C""),2,false),V:V)"),"MAP/ ZIPPER BAG TRIX EN 1101")</f>
        <v>MAP/ ZIPPER BAG TRIX EN 1101</v>
      </c>
      <c r="F4691" s="49"/>
      <c r="G4691" s="71"/>
      <c r="H4691" s="41"/>
      <c r="I4691" s="42"/>
      <c r="J4691" s="85" t="s">
        <v>1319</v>
      </c>
      <c r="K4691" s="93">
        <v>1.0</v>
      </c>
      <c r="L4691" s="112" t="s">
        <v>62</v>
      </c>
      <c r="M4691" s="113">
        <v>55000.0</v>
      </c>
      <c r="N4691" s="74"/>
      <c r="O4691" s="87">
        <f t="shared" si="11"/>
        <v>55000</v>
      </c>
      <c r="P4691" s="102" t="str">
        <f t="shared" si="2"/>
        <v>Rp55,000-1 LSN-0.00%</v>
      </c>
      <c r="Q4691" s="92">
        <v>45432.0</v>
      </c>
      <c r="R4691" s="76"/>
      <c r="S4691" s="92">
        <v>45433.0</v>
      </c>
      <c r="T4691" s="49"/>
      <c r="V4691" s="21" t="s">
        <v>1284</v>
      </c>
    </row>
    <row r="4692">
      <c r="A4692" s="93">
        <v>2493.0</v>
      </c>
      <c r="B4692" s="77" t="s">
        <v>65</v>
      </c>
      <c r="C4692" s="77" t="s">
        <v>3903</v>
      </c>
      <c r="D4692" s="77" t="s">
        <v>2900</v>
      </c>
      <c r="E4692" s="41" t="str">
        <f>IFERROR(__xludf.DUMMYFUNCTION("IFNA(vlookup(D4692,IMPORTRANGE(""https://docs.google.com/spreadsheets/d/1swGwZOEqYlTEUCJLY-eeJM1911Kvaei5oySBIxdgtNo/edit?pli=1#gid=257618397"",""stock untanna!B:C""),2,false),V:V)"),"MAP FILE EN 0103F")</f>
        <v>MAP FILE EN 0103F</v>
      </c>
      <c r="F4692" s="49"/>
      <c r="G4692" s="71"/>
      <c r="H4692" s="41"/>
      <c r="I4692" s="42"/>
      <c r="J4692" s="85" t="s">
        <v>1319</v>
      </c>
      <c r="K4692" s="93">
        <v>1.0</v>
      </c>
      <c r="L4692" s="112" t="s">
        <v>62</v>
      </c>
      <c r="M4692" s="113">
        <v>55000.0</v>
      </c>
      <c r="N4692" s="74"/>
      <c r="O4692" s="87">
        <f t="shared" si="11"/>
        <v>55000</v>
      </c>
      <c r="P4692" s="102" t="str">
        <f t="shared" si="2"/>
        <v>Rp55,000-1 LSN-0.00%</v>
      </c>
      <c r="Q4692" s="92">
        <v>45432.0</v>
      </c>
      <c r="R4692" s="76"/>
      <c r="S4692" s="92">
        <v>45433.0</v>
      </c>
      <c r="T4692" s="49"/>
      <c r="V4692" s="21" t="s">
        <v>2901</v>
      </c>
    </row>
    <row r="4693">
      <c r="A4693" s="93">
        <v>2493.0</v>
      </c>
      <c r="B4693" s="77" t="s">
        <v>65</v>
      </c>
      <c r="C4693" s="77" t="s">
        <v>3903</v>
      </c>
      <c r="D4693" s="77" t="s">
        <v>2695</v>
      </c>
      <c r="E4693" s="41" t="str">
        <f>IFERROR(__xludf.DUMMYFUNCTION("IFNA(vlookup(D4693,IMPORTRANGE(""https://docs.google.com/spreadsheets/d/1swGwZOEqYlTEUCJLY-eeJM1911Kvaei5oySBIxdgtNo/edit?pli=1#gid=257618397"",""stock untanna!B:C""),2,false),V:V)"),"STICKER YLD")</f>
        <v>STICKER YLD</v>
      </c>
      <c r="F4693" s="49"/>
      <c r="G4693" s="71"/>
      <c r="H4693" s="41"/>
      <c r="I4693" s="42"/>
      <c r="J4693" s="85" t="s">
        <v>1319</v>
      </c>
      <c r="K4693" s="93">
        <v>1.0</v>
      </c>
      <c r="L4693" s="112" t="s">
        <v>114</v>
      </c>
      <c r="M4693" s="113">
        <v>300000.0</v>
      </c>
      <c r="N4693" s="74"/>
      <c r="O4693" s="87">
        <f t="shared" si="11"/>
        <v>300000</v>
      </c>
      <c r="P4693" s="102" t="str">
        <f t="shared" si="2"/>
        <v>Rp300,000-1 PAK-0.00%</v>
      </c>
      <c r="Q4693" s="92">
        <v>45432.0</v>
      </c>
      <c r="R4693" s="76"/>
      <c r="S4693" s="92">
        <v>45433.0</v>
      </c>
      <c r="T4693" s="49"/>
      <c r="V4693" s="21" t="s">
        <v>2696</v>
      </c>
    </row>
    <row r="4694">
      <c r="A4694" s="93">
        <v>2493.0</v>
      </c>
      <c r="B4694" s="77" t="s">
        <v>65</v>
      </c>
      <c r="C4694" s="77" t="s">
        <v>3903</v>
      </c>
      <c r="D4694" s="77" t="s">
        <v>2898</v>
      </c>
      <c r="E4694" s="41" t="str">
        <f>IFERROR(__xludf.DUMMYFUNCTION("IFNA(vlookup(D4694,IMPORTRANGE(""https://docs.google.com/spreadsheets/d/1swGwZOEqYlTEUCJLY-eeJM1911Kvaei5oySBIxdgtNo/edit?pli=1#gid=257618397"",""stock untanna!B:C""),2,false),V:V)"),"STICKER JN-S")</f>
        <v>STICKER JN-S</v>
      </c>
      <c r="F4694" s="49"/>
      <c r="G4694" s="71"/>
      <c r="H4694" s="41"/>
      <c r="I4694" s="42"/>
      <c r="J4694" s="85" t="s">
        <v>1319</v>
      </c>
      <c r="K4694" s="93">
        <v>50.0</v>
      </c>
      <c r="L4694" s="112" t="s">
        <v>69</v>
      </c>
      <c r="M4694" s="113">
        <v>5000.0</v>
      </c>
      <c r="N4694" s="74"/>
      <c r="O4694" s="87">
        <f t="shared" si="11"/>
        <v>250000</v>
      </c>
      <c r="P4694" s="102" t="str">
        <f t="shared" si="2"/>
        <v>Rp5,000-50 PCS-0.00%</v>
      </c>
      <c r="Q4694" s="92">
        <v>45432.0</v>
      </c>
      <c r="R4694" s="76"/>
      <c r="S4694" s="92">
        <v>45433.0</v>
      </c>
      <c r="T4694" s="49"/>
      <c r="V4694" s="21" t="s">
        <v>2899</v>
      </c>
    </row>
    <row r="4695">
      <c r="A4695" s="93">
        <v>2493.0</v>
      </c>
      <c r="B4695" s="77" t="s">
        <v>65</v>
      </c>
      <c r="C4695" s="77" t="s">
        <v>3903</v>
      </c>
      <c r="D4695" s="77" t="s">
        <v>2693</v>
      </c>
      <c r="E4695" s="41" t="str">
        <f>IFERROR(__xludf.DUMMYFUNCTION("IFNA(vlookup(D4695,IMPORTRANGE(""https://docs.google.com/spreadsheets/d/1swGwZOEqYlTEUCJLY-eeJM1911Kvaei5oySBIxdgtNo/edit?pli=1#gid=257618397"",""stock untanna!B:C""),2,false),V:V)"),"STICKER JN-H")</f>
        <v>STICKER JN-H</v>
      </c>
      <c r="F4695" s="49"/>
      <c r="G4695" s="71"/>
      <c r="H4695" s="41"/>
      <c r="I4695" s="42"/>
      <c r="J4695" s="85" t="s">
        <v>1319</v>
      </c>
      <c r="K4695" s="93">
        <v>50.0</v>
      </c>
      <c r="L4695" s="112" t="s">
        <v>69</v>
      </c>
      <c r="M4695" s="113">
        <v>6000.0</v>
      </c>
      <c r="N4695" s="74"/>
      <c r="O4695" s="87">
        <f t="shared" si="11"/>
        <v>300000</v>
      </c>
      <c r="P4695" s="102" t="str">
        <f t="shared" si="2"/>
        <v>Rp6,000-50 PCS-0.00%</v>
      </c>
      <c r="Q4695" s="92">
        <v>45432.0</v>
      </c>
      <c r="R4695" s="76"/>
      <c r="S4695" s="92">
        <v>45433.0</v>
      </c>
      <c r="T4695" s="49"/>
      <c r="V4695" s="21" t="s">
        <v>2694</v>
      </c>
    </row>
    <row r="4696">
      <c r="A4696" s="93">
        <v>2493.0</v>
      </c>
      <c r="B4696" s="77" t="s">
        <v>65</v>
      </c>
      <c r="C4696" s="77" t="s">
        <v>3903</v>
      </c>
      <c r="D4696" s="77" t="s">
        <v>2836</v>
      </c>
      <c r="E4696" s="41" t="str">
        <f>IFERROR(__xludf.DUMMYFUNCTION("IFNA(vlookup(D4696,IMPORTRANGE(""https://docs.google.com/spreadsheets/d/1swGwZOEqYlTEUCJLY-eeJM1911Kvaei5oySBIxdgtNo/edit?pli=1#gid=257618397"",""stock untanna!B:C""),2,false),V:V)"),"STICKY XTQ（333）")</f>
        <v>STICKY XTQ（333）</v>
      </c>
      <c r="F4696" s="49"/>
      <c r="G4696" s="71"/>
      <c r="H4696" s="41"/>
      <c r="I4696" s="42"/>
      <c r="J4696" s="85" t="s">
        <v>1319</v>
      </c>
      <c r="K4696" s="93">
        <v>24.0</v>
      </c>
      <c r="L4696" s="112" t="s">
        <v>69</v>
      </c>
      <c r="M4696" s="113">
        <v>11500.0</v>
      </c>
      <c r="N4696" s="74"/>
      <c r="O4696" s="87">
        <f t="shared" si="11"/>
        <v>276000</v>
      </c>
      <c r="P4696" s="102" t="str">
        <f t="shared" si="2"/>
        <v>Rp11,500-24 PCS-0.00%</v>
      </c>
      <c r="Q4696" s="92">
        <v>45432.0</v>
      </c>
      <c r="R4696" s="76"/>
      <c r="S4696" s="92">
        <v>45433.0</v>
      </c>
      <c r="T4696" s="49"/>
      <c r="V4696" s="21" t="s">
        <v>2837</v>
      </c>
    </row>
    <row r="4697">
      <c r="A4697" s="93">
        <v>2493.0</v>
      </c>
      <c r="B4697" s="77" t="s">
        <v>65</v>
      </c>
      <c r="C4697" s="77" t="s">
        <v>3903</v>
      </c>
      <c r="D4697" s="77" t="s">
        <v>943</v>
      </c>
      <c r="E4697" s="41" t="str">
        <f>IFERROR(__xludf.DUMMYFUNCTION("IFNA(vlookup(D4697,IMPORTRANGE(""https://docs.google.com/spreadsheets/d/1swGwZOEqYlTEUCJLY-eeJM1911Kvaei5oySBIxdgtNo/edit?pli=1#gid=257618397"",""stock untanna!B:C""),2,false),V:V)"),"STICKER XTQ-F")</f>
        <v>STICKER XTQ-F</v>
      </c>
      <c r="F4697" s="49"/>
      <c r="G4697" s="71"/>
      <c r="H4697" s="41"/>
      <c r="I4697" s="42"/>
      <c r="J4697" s="85" t="s">
        <v>1319</v>
      </c>
      <c r="K4697" s="93">
        <v>24.0</v>
      </c>
      <c r="L4697" s="112" t="s">
        <v>69</v>
      </c>
      <c r="M4697" s="113">
        <v>5500.0</v>
      </c>
      <c r="N4697" s="74"/>
      <c r="O4697" s="87">
        <f t="shared" si="11"/>
        <v>132000</v>
      </c>
      <c r="P4697" s="102" t="str">
        <f t="shared" si="2"/>
        <v>Rp5,500-24 PCS-0.00%</v>
      </c>
      <c r="Q4697" s="92">
        <v>45432.0</v>
      </c>
      <c r="R4697" s="76"/>
      <c r="S4697" s="92">
        <v>45433.0</v>
      </c>
      <c r="T4697" s="49"/>
      <c r="V4697" s="21" t="s">
        <v>944</v>
      </c>
    </row>
    <row r="4698">
      <c r="A4698" s="93">
        <v>2493.0</v>
      </c>
      <c r="B4698" s="77" t="s">
        <v>65</v>
      </c>
      <c r="C4698" s="77" t="s">
        <v>3903</v>
      </c>
      <c r="D4698" s="77" t="s">
        <v>1496</v>
      </c>
      <c r="E4698" s="41" t="str">
        <f>IFERROR(__xludf.DUMMYFUNCTION("IFNA(vlookup(D4698,IMPORTRANGE(""https://docs.google.com/spreadsheets/d/1swGwZOEqYlTEUCJLY-eeJM1911Kvaei5oySBIxdgtNo/edit?pli=1#gid=257618397"",""stock untanna!B:C""),2,false),V:V)"),"STICKER JBE-SA")</f>
        <v>STICKER JBE-SA</v>
      </c>
      <c r="F4698" s="49"/>
      <c r="G4698" s="71"/>
      <c r="H4698" s="41"/>
      <c r="I4698" s="42"/>
      <c r="J4698" s="85" t="s">
        <v>1319</v>
      </c>
      <c r="K4698" s="93">
        <v>8.0</v>
      </c>
      <c r="L4698" s="112" t="s">
        <v>114</v>
      </c>
      <c r="M4698" s="113">
        <v>23000.0</v>
      </c>
      <c r="N4698" s="74"/>
      <c r="O4698" s="87">
        <f t="shared" si="11"/>
        <v>184000</v>
      </c>
      <c r="P4698" s="102" t="str">
        <f t="shared" si="2"/>
        <v>Rp23,000-8 PAK-0.00%</v>
      </c>
      <c r="Q4698" s="92">
        <v>45432.0</v>
      </c>
      <c r="R4698" s="76"/>
      <c r="S4698" s="92">
        <v>45433.0</v>
      </c>
      <c r="T4698" s="77" t="s">
        <v>100</v>
      </c>
      <c r="V4698" s="21" t="s">
        <v>1497</v>
      </c>
    </row>
    <row r="4699">
      <c r="A4699" s="93">
        <v>2493.0</v>
      </c>
      <c r="B4699" s="77" t="s">
        <v>65</v>
      </c>
      <c r="C4699" s="77" t="s">
        <v>3903</v>
      </c>
      <c r="D4699" s="77" t="s">
        <v>938</v>
      </c>
      <c r="E4699" s="41" t="str">
        <f>IFERROR(__xludf.DUMMYFUNCTION("IFNA(vlookup(D4699,IMPORTRANGE(""https://docs.google.com/spreadsheets/d/1swGwZOEqYlTEUCJLY-eeJM1911Kvaei5oySBIxdgtNo/edit?pli=1#gid=257618397"",""stock untanna!B:C""),2,false),V:V)"),"STICKER QJF-A")</f>
        <v>STICKER QJF-A</v>
      </c>
      <c r="F4699" s="49"/>
      <c r="G4699" s="71"/>
      <c r="H4699" s="41"/>
      <c r="I4699" s="42"/>
      <c r="J4699" s="85" t="s">
        <v>1319</v>
      </c>
      <c r="K4699" s="93">
        <v>12.0</v>
      </c>
      <c r="L4699" s="112" t="s">
        <v>114</v>
      </c>
      <c r="M4699" s="113">
        <v>23000.0</v>
      </c>
      <c r="N4699" s="74"/>
      <c r="O4699" s="87">
        <f t="shared" si="11"/>
        <v>276000</v>
      </c>
      <c r="P4699" s="102" t="str">
        <f t="shared" si="2"/>
        <v>Rp23,000-12 PAK-0.00%</v>
      </c>
      <c r="Q4699" s="92">
        <v>45432.0</v>
      </c>
      <c r="R4699" s="76"/>
      <c r="S4699" s="92">
        <v>45433.0</v>
      </c>
      <c r="T4699" s="77" t="s">
        <v>100</v>
      </c>
      <c r="V4699" s="21" t="s">
        <v>939</v>
      </c>
    </row>
    <row r="4700">
      <c r="A4700" s="93">
        <v>2493.0</v>
      </c>
      <c r="B4700" s="77" t="s">
        <v>65</v>
      </c>
      <c r="C4700" s="77" t="s">
        <v>3903</v>
      </c>
      <c r="D4700" s="77" t="s">
        <v>1488</v>
      </c>
      <c r="E4700" s="41" t="str">
        <f>IFERROR(__xludf.DUMMYFUNCTION("IFNA(vlookup(D4700,IMPORTRANGE(""https://docs.google.com/spreadsheets/d/1swGwZOEqYlTEUCJLY-eeJM1911Kvaei5oySBIxdgtNo/edit?pli=1#gid=257618397"",""stock untanna!B:C""),2,false),V:V)"),"STICKER JBE-30")</f>
        <v>STICKER JBE-30</v>
      </c>
      <c r="F4700" s="49"/>
      <c r="G4700" s="71"/>
      <c r="H4700" s="41"/>
      <c r="I4700" s="42"/>
      <c r="J4700" s="85" t="s">
        <v>1319</v>
      </c>
      <c r="K4700" s="93">
        <v>24.0</v>
      </c>
      <c r="L4700" s="112" t="s">
        <v>69</v>
      </c>
      <c r="M4700" s="113">
        <v>11000.0</v>
      </c>
      <c r="N4700" s="74"/>
      <c r="O4700" s="87">
        <f t="shared" si="11"/>
        <v>264000</v>
      </c>
      <c r="P4700" s="102" t="str">
        <f t="shared" si="2"/>
        <v>Rp11,000-24 PCS-0.00%</v>
      </c>
      <c r="Q4700" s="92">
        <v>45432.0</v>
      </c>
      <c r="R4700" s="76"/>
      <c r="S4700" s="92">
        <v>45433.0</v>
      </c>
      <c r="T4700" s="49"/>
      <c r="V4700" s="21" t="s">
        <v>1489</v>
      </c>
    </row>
    <row r="4701">
      <c r="A4701" s="93">
        <v>2493.0</v>
      </c>
      <c r="B4701" s="77" t="s">
        <v>65</v>
      </c>
      <c r="C4701" s="77" t="s">
        <v>3903</v>
      </c>
      <c r="D4701" s="77" t="s">
        <v>945</v>
      </c>
      <c r="E4701" s="41" t="str">
        <f>IFERROR(__xludf.DUMMYFUNCTION("IFNA(vlookup(D4701,IMPORTRANGE(""https://docs.google.com/spreadsheets/d/1swGwZOEqYlTEUCJLY-eeJM1911Kvaei5oySBIxdgtNo/edit?pli=1#gid=257618397"",""stock untanna!B:C""),2,false),V:V)"),"STICKER XTQ-E")</f>
        <v>STICKER XTQ-E</v>
      </c>
      <c r="F4701" s="49"/>
      <c r="G4701" s="71"/>
      <c r="H4701" s="41"/>
      <c r="I4701" s="42"/>
      <c r="J4701" s="85" t="s">
        <v>1319</v>
      </c>
      <c r="K4701" s="93">
        <v>36.0</v>
      </c>
      <c r="L4701" s="112" t="s">
        <v>69</v>
      </c>
      <c r="M4701" s="113">
        <v>5500.0</v>
      </c>
      <c r="N4701" s="74"/>
      <c r="O4701" s="87">
        <f t="shared" si="11"/>
        <v>198000</v>
      </c>
      <c r="P4701" s="102" t="str">
        <f t="shared" si="2"/>
        <v>Rp5,500-36 PCS-0.00%</v>
      </c>
      <c r="Q4701" s="92">
        <v>45432.0</v>
      </c>
      <c r="R4701" s="76"/>
      <c r="S4701" s="92">
        <v>45433.0</v>
      </c>
      <c r="T4701" s="49"/>
      <c r="V4701" s="21" t="s">
        <v>946</v>
      </c>
    </row>
    <row r="4702">
      <c r="A4702" s="93">
        <v>2494.0</v>
      </c>
      <c r="B4702" s="77" t="s">
        <v>65</v>
      </c>
      <c r="C4702" s="77" t="s">
        <v>3903</v>
      </c>
      <c r="D4702" s="77" t="s">
        <v>1494</v>
      </c>
      <c r="E4702" s="41" t="str">
        <f>IFERROR(__xludf.DUMMYFUNCTION("IFNA(vlookup(D4702,IMPORTRANGE(""https://docs.google.com/spreadsheets/d/1swGwZOEqYlTEUCJLY-eeJM1911Kvaei5oySBIxdgtNo/edit?pli=1#gid=257618397"",""stock untanna!B:C""),2,false),V:V)"),"STICKER JBE-35")</f>
        <v>STICKER JBE-35</v>
      </c>
      <c r="F4702" s="49"/>
      <c r="G4702" s="71"/>
      <c r="H4702" s="41"/>
      <c r="I4702" s="42"/>
      <c r="J4702" s="85" t="s">
        <v>1319</v>
      </c>
      <c r="K4702" s="93">
        <v>48.0</v>
      </c>
      <c r="L4702" s="112" t="s">
        <v>69</v>
      </c>
      <c r="M4702" s="113">
        <v>4375.0</v>
      </c>
      <c r="N4702" s="74"/>
      <c r="O4702" s="87">
        <f t="shared" si="11"/>
        <v>210000</v>
      </c>
      <c r="P4702" s="102" t="str">
        <f t="shared" si="2"/>
        <v>Rp4,375-48 PCS-0.00%</v>
      </c>
      <c r="Q4702" s="92">
        <v>45432.0</v>
      </c>
      <c r="R4702" s="76"/>
      <c r="S4702" s="92">
        <v>45433.0</v>
      </c>
      <c r="T4702" s="49"/>
      <c r="V4702" s="21" t="s">
        <v>1495</v>
      </c>
    </row>
    <row r="4703">
      <c r="A4703" s="93">
        <v>2494.0</v>
      </c>
      <c r="B4703" s="77" t="s">
        <v>65</v>
      </c>
      <c r="C4703" s="77" t="s">
        <v>3903</v>
      </c>
      <c r="D4703" s="77" t="s">
        <v>1490</v>
      </c>
      <c r="E4703" s="41" t="str">
        <f>IFERROR(__xludf.DUMMYFUNCTION("IFNA(vlookup(D4703,IMPORTRANGE(""https://docs.google.com/spreadsheets/d/1swGwZOEqYlTEUCJLY-eeJM1911Kvaei5oySBIxdgtNo/edit?pli=1#gid=257618397"",""stock untanna!B:C""),2,false),V:V)"),"STICKER JBE-SV")</f>
        <v>STICKER JBE-SV</v>
      </c>
      <c r="F4703" s="49"/>
      <c r="G4703" s="71"/>
      <c r="H4703" s="41"/>
      <c r="I4703" s="42"/>
      <c r="J4703" s="85" t="s">
        <v>1319</v>
      </c>
      <c r="K4703" s="93">
        <v>8.0</v>
      </c>
      <c r="L4703" s="112" t="s">
        <v>114</v>
      </c>
      <c r="M4703" s="113">
        <v>22000.0</v>
      </c>
      <c r="N4703" s="74"/>
      <c r="O4703" s="87">
        <f t="shared" si="11"/>
        <v>176000</v>
      </c>
      <c r="P4703" s="102" t="str">
        <f t="shared" si="2"/>
        <v>Rp22,000-8 PAK-0.00%</v>
      </c>
      <c r="Q4703" s="92">
        <v>45432.0</v>
      </c>
      <c r="R4703" s="76"/>
      <c r="S4703" s="92">
        <v>45433.0</v>
      </c>
      <c r="T4703" s="77" t="s">
        <v>100</v>
      </c>
      <c r="V4703" s="21" t="s">
        <v>1491</v>
      </c>
    </row>
    <row r="4704">
      <c r="A4704" s="93">
        <v>2494.0</v>
      </c>
      <c r="B4704" s="77" t="s">
        <v>65</v>
      </c>
      <c r="C4704" s="77" t="s">
        <v>3903</v>
      </c>
      <c r="D4704" s="77" t="s">
        <v>1776</v>
      </c>
      <c r="E4704" s="41" t="str">
        <f>IFERROR(__xludf.DUMMYFUNCTION("IFNA(vlookup(D4704,IMPORTRANGE(""https://docs.google.com/spreadsheets/d/1swGwZOEqYlTEUCJLY-eeJM1911Kvaei5oySBIxdgtNo/edit?pli=1#gid=257618397"",""stock untanna!B:C""),2,false),V:V)"),"STICKER KL 68")</f>
        <v>STICKER KL 68</v>
      </c>
      <c r="F4704" s="49"/>
      <c r="G4704" s="71"/>
      <c r="H4704" s="41"/>
      <c r="I4704" s="42"/>
      <c r="J4704" s="85" t="s">
        <v>1319</v>
      </c>
      <c r="K4704" s="93">
        <v>4.0</v>
      </c>
      <c r="L4704" s="112" t="s">
        <v>114</v>
      </c>
      <c r="M4704" s="113">
        <v>13500.0</v>
      </c>
      <c r="N4704" s="74"/>
      <c r="O4704" s="87">
        <f t="shared" si="11"/>
        <v>54000</v>
      </c>
      <c r="P4704" s="102" t="str">
        <f t="shared" si="2"/>
        <v>Rp13,500-4 PAK-0.00%</v>
      </c>
      <c r="Q4704" s="92">
        <v>45432.0</v>
      </c>
      <c r="R4704" s="76"/>
      <c r="S4704" s="92">
        <v>45433.0</v>
      </c>
      <c r="T4704" s="77" t="s">
        <v>100</v>
      </c>
      <c r="V4704" s="21" t="s">
        <v>1777</v>
      </c>
    </row>
    <row r="4705">
      <c r="A4705" s="93">
        <v>2494.0</v>
      </c>
      <c r="B4705" s="77" t="s">
        <v>65</v>
      </c>
      <c r="C4705" s="77" t="s">
        <v>3903</v>
      </c>
      <c r="D4705" s="77" t="s">
        <v>3941</v>
      </c>
      <c r="E4705" s="41" t="str">
        <f>IFERROR(__xludf.DUMMYFUNCTION("IFNA(vlookup(D4705,IMPORTRANGE(""https://docs.google.com/spreadsheets/d/1swGwZOEqYlTEUCJLY-eeJM1911Kvaei5oySBIxdgtNo/edit?pli=1#gid=257618397"",""stock untanna!B:C""),2,false),V:V)"),"STICKER JBE-43")</f>
        <v>STICKER JBE-43</v>
      </c>
      <c r="F4705" s="49"/>
      <c r="G4705" s="71"/>
      <c r="H4705" s="41"/>
      <c r="I4705" s="42"/>
      <c r="J4705" s="85" t="s">
        <v>1319</v>
      </c>
      <c r="K4705" s="93">
        <v>120.0</v>
      </c>
      <c r="L4705" s="112" t="s">
        <v>69</v>
      </c>
      <c r="M4705" s="113">
        <v>4400.0</v>
      </c>
      <c r="N4705" s="74"/>
      <c r="O4705" s="87">
        <f t="shared" si="11"/>
        <v>528000</v>
      </c>
      <c r="P4705" s="102" t="str">
        <f t="shared" si="2"/>
        <v>Rp4,400-120 PCS-0.00%</v>
      </c>
      <c r="Q4705" s="92">
        <v>45432.0</v>
      </c>
      <c r="R4705" s="76"/>
      <c r="S4705" s="92">
        <v>45433.0</v>
      </c>
      <c r="T4705" s="49"/>
      <c r="V4705" s="21" t="s">
        <v>3942</v>
      </c>
    </row>
    <row r="4706">
      <c r="A4706" s="93">
        <v>2494.0</v>
      </c>
      <c r="B4706" s="77" t="s">
        <v>65</v>
      </c>
      <c r="C4706" s="77" t="s">
        <v>3903</v>
      </c>
      <c r="D4706" s="77" t="s">
        <v>1498</v>
      </c>
      <c r="E4706" s="41" t="str">
        <f>IFERROR(__xludf.DUMMYFUNCTION("IFNA(vlookup(D4706,IMPORTRANGE(""https://docs.google.com/spreadsheets/d/1swGwZOEqYlTEUCJLY-eeJM1911Kvaei5oySBIxdgtNo/edit?pli=1#gid=257618397"",""stock untanna!B:C""),2,false),V:V)"),"STICKER JBE-24")</f>
        <v>STICKER JBE-24</v>
      </c>
      <c r="F4706" s="49"/>
      <c r="G4706" s="71"/>
      <c r="H4706" s="41"/>
      <c r="I4706" s="42"/>
      <c r="J4706" s="85" t="s">
        <v>1319</v>
      </c>
      <c r="K4706" s="93">
        <v>12.0</v>
      </c>
      <c r="L4706" s="112" t="s">
        <v>69</v>
      </c>
      <c r="M4706" s="113">
        <v>13750.0</v>
      </c>
      <c r="N4706" s="74"/>
      <c r="O4706" s="87">
        <f t="shared" si="11"/>
        <v>165000</v>
      </c>
      <c r="P4706" s="102" t="str">
        <f t="shared" si="2"/>
        <v>Rp13,750-12 PCS-0.00%</v>
      </c>
      <c r="Q4706" s="92">
        <v>45432.0</v>
      </c>
      <c r="R4706" s="76"/>
      <c r="S4706" s="92">
        <v>45433.0</v>
      </c>
      <c r="T4706" s="49"/>
      <c r="V4706" s="21" t="s">
        <v>1499</v>
      </c>
    </row>
    <row r="4707">
      <c r="A4707" s="93">
        <v>2494.0</v>
      </c>
      <c r="B4707" s="77" t="s">
        <v>65</v>
      </c>
      <c r="C4707" s="77" t="s">
        <v>3903</v>
      </c>
      <c r="D4707" s="77" t="s">
        <v>1774</v>
      </c>
      <c r="E4707" s="41" t="str">
        <f>IFERROR(__xludf.DUMMYFUNCTION("IFNA(vlookup(D4707,IMPORTRANGE(""https://docs.google.com/spreadsheets/d/1swGwZOEqYlTEUCJLY-eeJM1911Kvaei5oySBIxdgtNo/edit?pli=1#gid=257618397"",""stock untanna!B:C""),2,false),V:V)"),"STICKER JBE-SD")</f>
        <v>STICKER JBE-SD</v>
      </c>
      <c r="F4707" s="49"/>
      <c r="G4707" s="71"/>
      <c r="H4707" s="41"/>
      <c r="I4707" s="42"/>
      <c r="J4707" s="85" t="s">
        <v>1319</v>
      </c>
      <c r="K4707" s="93">
        <v>8.0</v>
      </c>
      <c r="L4707" s="112" t="s">
        <v>114</v>
      </c>
      <c r="M4707" s="113">
        <v>22000.0</v>
      </c>
      <c r="N4707" s="74"/>
      <c r="O4707" s="87">
        <f t="shared" si="11"/>
        <v>176000</v>
      </c>
      <c r="P4707" s="102" t="str">
        <f t="shared" si="2"/>
        <v>Rp22,000-8 PAK-0.00%</v>
      </c>
      <c r="Q4707" s="92">
        <v>45432.0</v>
      </c>
      <c r="R4707" s="76"/>
      <c r="S4707" s="92">
        <v>45433.0</v>
      </c>
      <c r="T4707" s="77" t="s">
        <v>100</v>
      </c>
      <c r="V4707" s="21" t="s">
        <v>1775</v>
      </c>
    </row>
    <row r="4708">
      <c r="A4708" s="93">
        <v>2494.0</v>
      </c>
      <c r="B4708" s="77" t="s">
        <v>65</v>
      </c>
      <c r="C4708" s="77" t="s">
        <v>3903</v>
      </c>
      <c r="D4708" s="77" t="s">
        <v>1492</v>
      </c>
      <c r="E4708" s="41" t="str">
        <f>IFERROR(__xludf.DUMMYFUNCTION("IFNA(vlookup(D4708,IMPORTRANGE(""https://docs.google.com/spreadsheets/d/1swGwZOEqYlTEUCJLY-eeJM1911Kvaei5oySBIxdgtNo/edit?pli=1#gid=257618397"",""stock untanna!B:C""),2,false),V:V)"),"STICKER KL-63")</f>
        <v>STICKER KL-63</v>
      </c>
      <c r="F4708" s="49"/>
      <c r="G4708" s="71"/>
      <c r="H4708" s="41"/>
      <c r="I4708" s="42"/>
      <c r="J4708" s="85" t="s">
        <v>1319</v>
      </c>
      <c r="K4708" s="93">
        <v>4.0</v>
      </c>
      <c r="L4708" s="112" t="s">
        <v>114</v>
      </c>
      <c r="M4708" s="113">
        <v>22000.0</v>
      </c>
      <c r="N4708" s="74"/>
      <c r="O4708" s="87">
        <f t="shared" si="11"/>
        <v>88000</v>
      </c>
      <c r="P4708" s="102" t="str">
        <f t="shared" si="2"/>
        <v>Rp22,000-4 PAK-0.00%</v>
      </c>
      <c r="Q4708" s="92">
        <v>45432.0</v>
      </c>
      <c r="R4708" s="76"/>
      <c r="S4708" s="92">
        <v>45433.0</v>
      </c>
      <c r="T4708" s="77" t="s">
        <v>100</v>
      </c>
      <c r="V4708" s="21" t="s">
        <v>1493</v>
      </c>
    </row>
    <row r="4709">
      <c r="A4709" s="93">
        <v>2494.0</v>
      </c>
      <c r="B4709" s="77" t="s">
        <v>65</v>
      </c>
      <c r="C4709" s="77" t="s">
        <v>3903</v>
      </c>
      <c r="D4709" s="77" t="s">
        <v>1778</v>
      </c>
      <c r="E4709" s="41" t="str">
        <f>IFERROR(__xludf.DUMMYFUNCTION("IFNA(vlookup(D4709,IMPORTRANGE(""https://docs.google.com/spreadsheets/d/1swGwZOEqYlTEUCJLY-eeJM1911Kvaei5oySBIxdgtNo/edit?pli=1#gid=257618397"",""stock untanna!B:C""),2,false),V:V)"),"STICKER KL-70")</f>
        <v>STICKER KL-70</v>
      </c>
      <c r="F4709" s="49"/>
      <c r="G4709" s="71"/>
      <c r="H4709" s="41"/>
      <c r="I4709" s="42"/>
      <c r="J4709" s="85" t="s">
        <v>1319</v>
      </c>
      <c r="K4709" s="93">
        <v>4.0</v>
      </c>
      <c r="L4709" s="112" t="s">
        <v>114</v>
      </c>
      <c r="M4709" s="113">
        <v>22000.0</v>
      </c>
      <c r="N4709" s="74"/>
      <c r="O4709" s="87">
        <f t="shared" si="11"/>
        <v>88000</v>
      </c>
      <c r="P4709" s="102" t="str">
        <f t="shared" si="2"/>
        <v>Rp22,000-4 PAK-0.00%</v>
      </c>
      <c r="Q4709" s="92">
        <v>45432.0</v>
      </c>
      <c r="R4709" s="76"/>
      <c r="S4709" s="92">
        <v>45433.0</v>
      </c>
      <c r="T4709" s="77" t="s">
        <v>100</v>
      </c>
      <c r="V4709" s="21" t="s">
        <v>1779</v>
      </c>
    </row>
    <row r="4710">
      <c r="A4710" s="93">
        <v>2494.0</v>
      </c>
      <c r="B4710" s="77" t="s">
        <v>65</v>
      </c>
      <c r="C4710" s="77" t="s">
        <v>3903</v>
      </c>
      <c r="D4710" s="77" t="s">
        <v>941</v>
      </c>
      <c r="E4710" s="41" t="str">
        <f>IFERROR(__xludf.DUMMYFUNCTION("IFNA(vlookup(D4710,IMPORTRANGE(""https://docs.google.com/spreadsheets/d/1swGwZOEqYlTEUCJLY-eeJM1911Kvaei5oySBIxdgtNo/edit?pli=1#gid=257618397"",""stock untanna!B:C""),2,false),V:V)"),"STICKER JBE-34")</f>
        <v>STICKER JBE-34</v>
      </c>
      <c r="F4710" s="49"/>
      <c r="G4710" s="71"/>
      <c r="H4710" s="41"/>
      <c r="I4710" s="42"/>
      <c r="J4710" s="85" t="s">
        <v>1319</v>
      </c>
      <c r="K4710" s="93">
        <v>12.0</v>
      </c>
      <c r="L4710" s="112" t="s">
        <v>114</v>
      </c>
      <c r="M4710" s="113">
        <v>9500.0</v>
      </c>
      <c r="N4710" s="74"/>
      <c r="O4710" s="87">
        <f t="shared" si="11"/>
        <v>114000</v>
      </c>
      <c r="P4710" s="102" t="str">
        <f t="shared" si="2"/>
        <v>Rp9,500-12 PAK-0.00%</v>
      </c>
      <c r="Q4710" s="92">
        <v>45432.0</v>
      </c>
      <c r="R4710" s="76"/>
      <c r="S4710" s="92">
        <v>45433.0</v>
      </c>
      <c r="T4710" s="77" t="s">
        <v>100</v>
      </c>
      <c r="V4710" s="21" t="s">
        <v>942</v>
      </c>
    </row>
    <row r="4711">
      <c r="A4711" s="93">
        <v>2494.0</v>
      </c>
      <c r="B4711" s="77" t="s">
        <v>65</v>
      </c>
      <c r="C4711" s="77" t="s">
        <v>3903</v>
      </c>
      <c r="D4711" s="91"/>
      <c r="E4711" s="41" t="str">
        <f>IFERROR(__xludf.DUMMYFUNCTION("IFNA(vlookup(D4711,IMPORTRANGE(""https://docs.google.com/spreadsheets/d/1swGwZOEqYlTEUCJLY-eeJM1911Kvaei5oySBIxdgtNo/edit?pli=1#gid=257618397"",""stock untanna!B:C""),2,false),V:V)"),"L LEAF CEWEK LLP HOLO BARBIE")</f>
        <v>L LEAF CEWEK LLP HOLO BARBIE</v>
      </c>
      <c r="F4711" s="49"/>
      <c r="G4711" s="71"/>
      <c r="H4711" s="41"/>
      <c r="I4711" s="42"/>
      <c r="J4711" s="85" t="s">
        <v>3190</v>
      </c>
      <c r="K4711" s="93">
        <v>12.0</v>
      </c>
      <c r="L4711" s="112" t="s">
        <v>114</v>
      </c>
      <c r="M4711" s="113">
        <v>3000.0</v>
      </c>
      <c r="N4711" s="74"/>
      <c r="O4711" s="87">
        <f t="shared" si="11"/>
        <v>36000</v>
      </c>
      <c r="P4711" s="102" t="str">
        <f t="shared" si="2"/>
        <v>Rp3,000-12 PAK-0.00%</v>
      </c>
      <c r="Q4711" s="92">
        <v>45432.0</v>
      </c>
      <c r="R4711" s="76"/>
      <c r="S4711" s="92">
        <v>45433.0</v>
      </c>
      <c r="T4711" s="49"/>
      <c r="V4711" s="21" t="s">
        <v>3943</v>
      </c>
    </row>
    <row r="4712">
      <c r="A4712" s="93">
        <v>2494.0</v>
      </c>
      <c r="B4712" s="77" t="s">
        <v>65</v>
      </c>
      <c r="C4712" s="77" t="s">
        <v>3903</v>
      </c>
      <c r="D4712" s="77" t="s">
        <v>1227</v>
      </c>
      <c r="E4712" s="41" t="str">
        <f>IFERROR(__xludf.DUMMYFUNCTION("IFNA(vlookup(D4712,IMPORTRANGE(""https://docs.google.com/spreadsheets/d/1swGwZOEqYlTEUCJLY-eeJM1911Kvaei5oySBIxdgtNo/edit?pli=1#gid=257618397"",""stock untanna!B:C""),2,false),V:V)"),"LOOSE LEAF HOLO FROZEN A5")</f>
        <v>LOOSE LEAF HOLO FROZEN A5</v>
      </c>
      <c r="F4712" s="49"/>
      <c r="G4712" s="71"/>
      <c r="H4712" s="41"/>
      <c r="I4712" s="42"/>
      <c r="J4712" s="85" t="s">
        <v>1319</v>
      </c>
      <c r="K4712" s="93">
        <v>12.0</v>
      </c>
      <c r="L4712" s="112" t="s">
        <v>114</v>
      </c>
      <c r="M4712" s="113">
        <v>3000.0</v>
      </c>
      <c r="N4712" s="74"/>
      <c r="O4712" s="87">
        <f t="shared" si="11"/>
        <v>36000</v>
      </c>
      <c r="P4712" s="102" t="str">
        <f t="shared" si="2"/>
        <v>Rp3,000-12 PAK-0.00%</v>
      </c>
      <c r="Q4712" s="92">
        <v>45432.0</v>
      </c>
      <c r="R4712" s="76"/>
      <c r="S4712" s="92">
        <v>45433.0</v>
      </c>
      <c r="T4712" s="77" t="s">
        <v>100</v>
      </c>
      <c r="V4712" s="21" t="s">
        <v>1228</v>
      </c>
    </row>
    <row r="4713">
      <c r="A4713" s="93">
        <v>2494.0</v>
      </c>
      <c r="B4713" s="77" t="s">
        <v>65</v>
      </c>
      <c r="C4713" s="77" t="s">
        <v>3903</v>
      </c>
      <c r="D4713" s="77" t="s">
        <v>849</v>
      </c>
      <c r="E4713" s="41" t="str">
        <f>IFERROR(__xludf.DUMMYFUNCTION("IFNA(vlookup(D4713,IMPORTRANGE(""https://docs.google.com/spreadsheets/d/1swGwZOEqYlTEUCJLY-eeJM1911Kvaei5oySBIxdgtNo/edit?pli=1#gid=257618397"",""stock untanna!B:C""),2,false),V:V)"),"LOOSE LEAF HOLO A5 SOFIA")</f>
        <v>LOOSE LEAF HOLO A5 SOFIA</v>
      </c>
      <c r="F4713" s="49"/>
      <c r="G4713" s="71"/>
      <c r="H4713" s="41"/>
      <c r="I4713" s="42"/>
      <c r="J4713" s="85" t="s">
        <v>1319</v>
      </c>
      <c r="K4713" s="93">
        <v>12.0</v>
      </c>
      <c r="L4713" s="112" t="s">
        <v>114</v>
      </c>
      <c r="M4713" s="113">
        <v>3000.0</v>
      </c>
      <c r="N4713" s="74"/>
      <c r="O4713" s="87">
        <f t="shared" si="11"/>
        <v>36000</v>
      </c>
      <c r="P4713" s="102" t="str">
        <f t="shared" si="2"/>
        <v>Rp3,000-12 PAK-0.00%</v>
      </c>
      <c r="Q4713" s="92">
        <v>45432.0</v>
      </c>
      <c r="R4713" s="76"/>
      <c r="S4713" s="92">
        <v>45433.0</v>
      </c>
      <c r="T4713" s="77" t="s">
        <v>100</v>
      </c>
      <c r="V4713" s="21" t="s">
        <v>850</v>
      </c>
    </row>
    <row r="4714">
      <c r="A4714" s="93">
        <v>2494.0</v>
      </c>
      <c r="B4714" s="77" t="s">
        <v>65</v>
      </c>
      <c r="C4714" s="77" t="s">
        <v>3903</v>
      </c>
      <c r="D4714" s="77" t="s">
        <v>3944</v>
      </c>
      <c r="E4714" s="41" t="str">
        <f>IFERROR(__xludf.DUMMYFUNCTION("IFNA(vlookup(D4714,IMPORTRANGE(""https://docs.google.com/spreadsheets/d/1swGwZOEqYlTEUCJLY-eeJM1911Kvaei5oySBIxdgtNo/edit?pli=1#gid=257618397"",""stock untanna!B:C""),2,false),V:V)"),"LOOSE LEAF HOLO PRINCESS A5")</f>
        <v>LOOSE LEAF HOLO PRINCESS A5</v>
      </c>
      <c r="F4714" s="49"/>
      <c r="G4714" s="71"/>
      <c r="H4714" s="41"/>
      <c r="I4714" s="42"/>
      <c r="J4714" s="85" t="s">
        <v>1319</v>
      </c>
      <c r="K4714" s="93">
        <v>12.0</v>
      </c>
      <c r="L4714" s="112" t="s">
        <v>114</v>
      </c>
      <c r="M4714" s="113">
        <v>3000.0</v>
      </c>
      <c r="N4714" s="74"/>
      <c r="O4714" s="87">
        <f t="shared" si="11"/>
        <v>36000</v>
      </c>
      <c r="P4714" s="102" t="str">
        <f t="shared" si="2"/>
        <v>Rp3,000-12 PAK-0.00%</v>
      </c>
      <c r="Q4714" s="92">
        <v>45432.0</v>
      </c>
      <c r="R4714" s="76"/>
      <c r="S4714" s="92">
        <v>45433.0</v>
      </c>
      <c r="T4714" s="77" t="s">
        <v>100</v>
      </c>
      <c r="V4714" s="21" t="s">
        <v>3945</v>
      </c>
    </row>
    <row r="4715">
      <c r="A4715" s="93">
        <v>2494.0</v>
      </c>
      <c r="B4715" s="77" t="s">
        <v>65</v>
      </c>
      <c r="C4715" s="77" t="s">
        <v>3903</v>
      </c>
      <c r="D4715" s="91"/>
      <c r="E4715" s="41" t="str">
        <f>IFERROR(__xludf.DUMMYFUNCTION("IFNA(vlookup(D4715,IMPORTRANGE(""https://docs.google.com/spreadsheets/d/1swGwZOEqYlTEUCJLY-eeJM1911Kvaei5oySBIxdgtNo/edit?pli=1#gid=257618397"",""stock untanna!B:C""),2,false),V:V)"),"L LEAF CEWEK LLP 15 BIASA")</f>
        <v>L LEAF CEWEK LLP 15 BIASA</v>
      </c>
      <c r="F4715" s="49"/>
      <c r="G4715" s="71"/>
      <c r="H4715" s="41"/>
      <c r="I4715" s="42"/>
      <c r="J4715" s="85" t="s">
        <v>3190</v>
      </c>
      <c r="K4715" s="93">
        <v>12.0</v>
      </c>
      <c r="L4715" s="112" t="s">
        <v>114</v>
      </c>
      <c r="M4715" s="113">
        <v>3000.0</v>
      </c>
      <c r="N4715" s="74"/>
      <c r="O4715" s="87">
        <f t="shared" si="11"/>
        <v>36000</v>
      </c>
      <c r="P4715" s="102" t="str">
        <f t="shared" si="2"/>
        <v>Rp3,000-12 PAK-0.00%</v>
      </c>
      <c r="Q4715" s="92">
        <v>45432.0</v>
      </c>
      <c r="R4715" s="76"/>
      <c r="S4715" s="92">
        <v>45433.0</v>
      </c>
      <c r="T4715" s="49"/>
      <c r="V4715" s="21" t="s">
        <v>3946</v>
      </c>
    </row>
    <row r="4716">
      <c r="A4716" s="93">
        <v>2494.0</v>
      </c>
      <c r="B4716" s="77" t="s">
        <v>65</v>
      </c>
      <c r="C4716" s="77" t="s">
        <v>3903</v>
      </c>
      <c r="D4716" s="77" t="s">
        <v>2451</v>
      </c>
      <c r="E4716" s="41" t="str">
        <f>IFERROR(__xludf.DUMMYFUNCTION("IFNA(vlookup(D4716,IMPORTRANGE(""https://docs.google.com/spreadsheets/d/1swGwZOEqYlTEUCJLY-eeJM1911Kvaei5oySBIxdgtNo/edit?pli=1#gid=257618397"",""stock untanna!B:C""),2,false),V:V)"),"LOOSE LEAF HOLO ALFA A5 HELLO KITTY")</f>
        <v>LOOSE LEAF HOLO ALFA A5 HELLO KITTY</v>
      </c>
      <c r="F4716" s="49"/>
      <c r="G4716" s="71"/>
      <c r="H4716" s="41"/>
      <c r="I4716" s="42"/>
      <c r="J4716" s="85" t="s">
        <v>1319</v>
      </c>
      <c r="K4716" s="93">
        <v>12.0</v>
      </c>
      <c r="L4716" s="112" t="s">
        <v>114</v>
      </c>
      <c r="M4716" s="113">
        <v>3000.0</v>
      </c>
      <c r="N4716" s="74"/>
      <c r="O4716" s="87">
        <f t="shared" si="11"/>
        <v>36000</v>
      </c>
      <c r="P4716" s="102" t="str">
        <f t="shared" si="2"/>
        <v>Rp3,000-12 PAK-0.00%</v>
      </c>
      <c r="Q4716" s="92">
        <v>45432.0</v>
      </c>
      <c r="R4716" s="76"/>
      <c r="S4716" s="92">
        <v>45433.0</v>
      </c>
      <c r="T4716" s="77" t="s">
        <v>100</v>
      </c>
      <c r="V4716" s="21" t="s">
        <v>2452</v>
      </c>
    </row>
    <row r="4717">
      <c r="A4717" s="93">
        <v>2494.0</v>
      </c>
      <c r="B4717" s="77" t="s">
        <v>65</v>
      </c>
      <c r="C4717" s="77" t="s">
        <v>3903</v>
      </c>
      <c r="D4717" s="77" t="s">
        <v>3947</v>
      </c>
      <c r="E4717" s="41" t="str">
        <f>IFERROR(__xludf.DUMMYFUNCTION("IFNA(vlookup(D4717,IMPORTRANGE(""https://docs.google.com/spreadsheets/d/1swGwZOEqYlTEUCJLY-eeJM1911Kvaei5oySBIxdgtNo/edit?pli=1#gid=257618397"",""stock untanna!B:C""),2,false),V:V)"),"PEMBATAS LOOSE LEAF NARIKO 690")</f>
        <v>PEMBATAS LOOSE LEAF NARIKO 690</v>
      </c>
      <c r="F4717" s="49"/>
      <c r="G4717" s="71"/>
      <c r="H4717" s="41"/>
      <c r="I4717" s="42"/>
      <c r="J4717" s="85" t="s">
        <v>1319</v>
      </c>
      <c r="K4717" s="93">
        <v>12.0</v>
      </c>
      <c r="L4717" s="112" t="s">
        <v>114</v>
      </c>
      <c r="M4717" s="113">
        <v>4000.0</v>
      </c>
      <c r="N4717" s="74"/>
      <c r="O4717" s="87">
        <f t="shared" si="11"/>
        <v>48000</v>
      </c>
      <c r="P4717" s="102" t="str">
        <f t="shared" si="2"/>
        <v>Rp4,000-12 PAK-0.00%</v>
      </c>
      <c r="Q4717" s="92">
        <v>45432.0</v>
      </c>
      <c r="R4717" s="76"/>
      <c r="S4717" s="92">
        <v>45433.0</v>
      </c>
      <c r="T4717" s="77" t="s">
        <v>100</v>
      </c>
      <c r="V4717" s="21" t="s">
        <v>3948</v>
      </c>
    </row>
    <row r="4718">
      <c r="A4718" s="93">
        <v>2495.0</v>
      </c>
      <c r="B4718" s="77" t="s">
        <v>65</v>
      </c>
      <c r="C4718" s="77" t="s">
        <v>3903</v>
      </c>
      <c r="D4718" s="77" t="s">
        <v>3364</v>
      </c>
      <c r="E4718" s="41" t="str">
        <f>IFERROR(__xludf.DUMMYFUNCTION("IFNA(vlookup(D4718,IMPORTRANGE(""https://docs.google.com/spreadsheets/d/1swGwZOEqYlTEUCJLY-eeJM1911Kvaei5oySBIxdgtNo/edit?pli=1#gid=257618397"",""stock untanna!B:C""),2,false),V:V)"),"SAMPUL ROLL DUST 254")</f>
        <v>SAMPUL ROLL DUST 254</v>
      </c>
      <c r="F4718" s="49"/>
      <c r="G4718" s="71"/>
      <c r="H4718" s="41"/>
      <c r="I4718" s="42"/>
      <c r="J4718" s="85" t="s">
        <v>1319</v>
      </c>
      <c r="K4718" s="93">
        <v>24.0</v>
      </c>
      <c r="L4718" s="112" t="s">
        <v>1384</v>
      </c>
      <c r="M4718" s="113">
        <v>7500.0</v>
      </c>
      <c r="N4718" s="74"/>
      <c r="O4718" s="87">
        <f t="shared" si="11"/>
        <v>180000</v>
      </c>
      <c r="P4718" s="102" t="str">
        <f t="shared" si="2"/>
        <v>Rp7,500-24 ROL-0.00%</v>
      </c>
      <c r="Q4718" s="92">
        <v>45432.0</v>
      </c>
      <c r="R4718" s="76"/>
      <c r="S4718" s="92">
        <v>45433.0</v>
      </c>
      <c r="T4718" s="49"/>
      <c r="V4718" s="21" t="s">
        <v>3365</v>
      </c>
    </row>
    <row r="4719">
      <c r="A4719" s="93">
        <v>2495.0</v>
      </c>
      <c r="B4719" s="77" t="s">
        <v>65</v>
      </c>
      <c r="C4719" s="77" t="s">
        <v>3903</v>
      </c>
      <c r="D4719" s="77" t="s">
        <v>3368</v>
      </c>
      <c r="E4719" s="41" t="str">
        <f>IFERROR(__xludf.DUMMYFUNCTION("IFNA(vlookup(D4719,IMPORTRANGE(""https://docs.google.com/spreadsheets/d/1swGwZOEqYlTEUCJLY-eeJM1911Kvaei5oySBIxdgtNo/edit?pli=1#gid=257618397"",""stock untanna!B:C""),2,false),V:V)"),"SAMPUL ROLL DUST 454")</f>
        <v>SAMPUL ROLL DUST 454</v>
      </c>
      <c r="F4719" s="49"/>
      <c r="G4719" s="71"/>
      <c r="H4719" s="41"/>
      <c r="I4719" s="42"/>
      <c r="J4719" s="85" t="s">
        <v>1319</v>
      </c>
      <c r="K4719" s="93">
        <v>24.0</v>
      </c>
      <c r="L4719" s="112" t="s">
        <v>1384</v>
      </c>
      <c r="M4719" s="113">
        <v>11000.0</v>
      </c>
      <c r="N4719" s="74"/>
      <c r="O4719" s="87">
        <f t="shared" si="11"/>
        <v>264000</v>
      </c>
      <c r="P4719" s="102" t="str">
        <f t="shared" si="2"/>
        <v>Rp11,000-24 ROL-0.00%</v>
      </c>
      <c r="Q4719" s="92">
        <v>45432.0</v>
      </c>
      <c r="R4719" s="76"/>
      <c r="S4719" s="92">
        <v>45433.0</v>
      </c>
      <c r="T4719" s="49"/>
      <c r="V4719" s="21" t="s">
        <v>3369</v>
      </c>
    </row>
    <row r="4720">
      <c r="A4720" s="93">
        <v>2495.0</v>
      </c>
      <c r="B4720" s="77" t="s">
        <v>65</v>
      </c>
      <c r="C4720" s="77" t="s">
        <v>3903</v>
      </c>
      <c r="D4720" s="91"/>
      <c r="E4720" s="41" t="str">
        <f>IFERROR(__xludf.DUMMYFUNCTION("IFNA(vlookup(D4720,IMPORTRANGE(""https://docs.google.com/spreadsheets/d/1swGwZOEqYlTEUCJLY-eeJM1911Kvaei5oySBIxdgtNo/edit?pli=1#gid=257618397"",""stock untanna!B:C""),2,false),V:V)"),"POST IT FANCY PLASTIK")</f>
        <v>POST IT FANCY PLASTIK</v>
      </c>
      <c r="F4720" s="49"/>
      <c r="G4720" s="71"/>
      <c r="H4720" s="41"/>
      <c r="I4720" s="42"/>
      <c r="J4720" s="85" t="s">
        <v>3190</v>
      </c>
      <c r="K4720" s="93">
        <v>200.0</v>
      </c>
      <c r="L4720" s="112" t="s">
        <v>69</v>
      </c>
      <c r="M4720" s="113">
        <v>6000.0</v>
      </c>
      <c r="N4720" s="74"/>
      <c r="O4720" s="87">
        <f t="shared" si="11"/>
        <v>1200000</v>
      </c>
      <c r="P4720" s="102" t="str">
        <f t="shared" si="2"/>
        <v>Rp6,000-200 PCS-0.00%</v>
      </c>
      <c r="Q4720" s="92">
        <v>45432.0</v>
      </c>
      <c r="R4720" s="76"/>
      <c r="S4720" s="92">
        <v>45433.0</v>
      </c>
      <c r="T4720" s="49"/>
      <c r="V4720" s="21" t="s">
        <v>3949</v>
      </c>
    </row>
    <row r="4721">
      <c r="A4721" s="93">
        <v>2495.0</v>
      </c>
      <c r="B4721" s="77" t="s">
        <v>65</v>
      </c>
      <c r="C4721" s="77" t="s">
        <v>3903</v>
      </c>
      <c r="D4721" s="91"/>
      <c r="E4721" s="41" t="str">
        <f>IFERROR(__xludf.DUMMYFUNCTION("IFNA(vlookup(D4721,IMPORTRANGE(""https://docs.google.com/spreadsheets/d/1swGwZOEqYlTEUCJLY-eeJM1911Kvaei5oySBIxdgtNo/edit?pli=1#gid=257618397"",""stock untanna!B:C""),2,false),V:V)"),"POST IT MAGNIT MIX")</f>
        <v>POST IT MAGNIT MIX</v>
      </c>
      <c r="F4721" s="49"/>
      <c r="G4721" s="71"/>
      <c r="H4721" s="41"/>
      <c r="I4721" s="42"/>
      <c r="J4721" s="85" t="s">
        <v>3190</v>
      </c>
      <c r="K4721" s="93">
        <v>12.0</v>
      </c>
      <c r="L4721" s="112" t="s">
        <v>1518</v>
      </c>
      <c r="M4721" s="113">
        <v>11000.0</v>
      </c>
      <c r="N4721" s="74"/>
      <c r="O4721" s="87">
        <f t="shared" si="11"/>
        <v>132000</v>
      </c>
      <c r="P4721" s="102" t="str">
        <f t="shared" si="2"/>
        <v>Rp11,000-12 PSK-0.00%</v>
      </c>
      <c r="Q4721" s="92">
        <v>45432.0</v>
      </c>
      <c r="R4721" s="76"/>
      <c r="S4721" s="92">
        <v>45433.0</v>
      </c>
      <c r="T4721" s="49"/>
      <c r="V4721" s="21" t="s">
        <v>3950</v>
      </c>
    </row>
    <row r="4722">
      <c r="A4722" s="93">
        <v>2495.0</v>
      </c>
      <c r="B4722" s="77" t="s">
        <v>65</v>
      </c>
      <c r="C4722" s="77" t="s">
        <v>3903</v>
      </c>
      <c r="D4722" s="77" t="s">
        <v>2236</v>
      </c>
      <c r="E4722" s="41" t="str">
        <f>IFERROR(__xludf.DUMMYFUNCTION("IFNA(vlookup(D4722,IMPORTRANGE(""https://docs.google.com/spreadsheets/d/1swGwZOEqYlTEUCJLY-eeJM1911Kvaei5oySBIxdgtNo/edit?pli=1#gid=257618397"",""stock untanna!B:C""),2,false),V:V)"),"BALON DOF 12'' RI MERAH")</f>
        <v>BALON DOF 12'' RI MERAH</v>
      </c>
      <c r="F4722" s="49"/>
      <c r="G4722" s="71"/>
      <c r="H4722" s="41"/>
      <c r="I4722" s="42"/>
      <c r="J4722" s="85" t="s">
        <v>1319</v>
      </c>
      <c r="K4722" s="93">
        <v>1.0</v>
      </c>
      <c r="L4722" s="112" t="s">
        <v>1521</v>
      </c>
      <c r="M4722" s="113">
        <v>45000.0</v>
      </c>
      <c r="N4722" s="74"/>
      <c r="O4722" s="87">
        <f t="shared" si="11"/>
        <v>45000</v>
      </c>
      <c r="P4722" s="102" t="str">
        <f t="shared" si="2"/>
        <v>Rp45,000-1 DISP-0.00%</v>
      </c>
      <c r="Q4722" s="92">
        <v>45432.0</v>
      </c>
      <c r="R4722" s="76"/>
      <c r="S4722" s="92">
        <v>45433.0</v>
      </c>
      <c r="T4722" s="49"/>
      <c r="V4722" s="21" t="s">
        <v>2237</v>
      </c>
    </row>
    <row r="4723">
      <c r="A4723" s="93">
        <v>2495.0</v>
      </c>
      <c r="B4723" s="77" t="s">
        <v>65</v>
      </c>
      <c r="C4723" s="77" t="s">
        <v>3903</v>
      </c>
      <c r="D4723" s="77" t="s">
        <v>2238</v>
      </c>
      <c r="E4723" s="41" t="str">
        <f>IFERROR(__xludf.DUMMYFUNCTION("IFNA(vlookup(D4723,IMPORTRANGE(""https://docs.google.com/spreadsheets/d/1swGwZOEqYlTEUCJLY-eeJM1911Kvaei5oySBIxdgtNo/edit?pli=1#gid=257618397"",""stock untanna!B:C""),2,false),V:V)"),"BALON DOF 12"" RI PUTIH")</f>
        <v>BALON DOF 12" RI PUTIH</v>
      </c>
      <c r="F4723" s="49"/>
      <c r="G4723" s="71"/>
      <c r="H4723" s="41"/>
      <c r="I4723" s="42"/>
      <c r="J4723" s="85" t="s">
        <v>1319</v>
      </c>
      <c r="K4723" s="93">
        <v>1.0</v>
      </c>
      <c r="L4723" s="112" t="s">
        <v>1521</v>
      </c>
      <c r="M4723" s="113">
        <v>45000.0</v>
      </c>
      <c r="N4723" s="74"/>
      <c r="O4723" s="87">
        <f t="shared" si="11"/>
        <v>45000</v>
      </c>
      <c r="P4723" s="102" t="str">
        <f t="shared" si="2"/>
        <v>Rp45,000-1 DISP-0.00%</v>
      </c>
      <c r="Q4723" s="92">
        <v>45432.0</v>
      </c>
      <c r="R4723" s="76"/>
      <c r="S4723" s="92">
        <v>45433.0</v>
      </c>
      <c r="T4723" s="49"/>
      <c r="V4723" s="21" t="s">
        <v>2239</v>
      </c>
    </row>
    <row r="4724">
      <c r="A4724" s="93">
        <v>2495.0</v>
      </c>
      <c r="B4724" s="77" t="s">
        <v>65</v>
      </c>
      <c r="C4724" s="77" t="s">
        <v>3903</v>
      </c>
      <c r="D4724" s="77" t="s">
        <v>1467</v>
      </c>
      <c r="E4724" s="41" t="str">
        <f>IFERROR(__xludf.DUMMYFUNCTION("IFNA(vlookup(D4724,IMPORTRANGE(""https://docs.google.com/spreadsheets/d/1swGwZOEqYlTEUCJLY-eeJM1911Kvaei5oySBIxdgtNo/edit?pli=1#gid=257618397"",""stock untanna!B:C""),2,false),V:V)"),"BK TABUNGAN ENTER")</f>
        <v>BK TABUNGAN ENTER</v>
      </c>
      <c r="F4724" s="49"/>
      <c r="G4724" s="71"/>
      <c r="H4724" s="41"/>
      <c r="I4724" s="42"/>
      <c r="J4724" s="85" t="s">
        <v>1319</v>
      </c>
      <c r="K4724" s="93">
        <v>100.0</v>
      </c>
      <c r="L4724" s="112" t="s">
        <v>69</v>
      </c>
      <c r="M4724" s="113">
        <v>1000.0</v>
      </c>
      <c r="N4724" s="74"/>
      <c r="O4724" s="87">
        <f t="shared" si="11"/>
        <v>100000</v>
      </c>
      <c r="P4724" s="102" t="str">
        <f t="shared" si="2"/>
        <v>Rp1,000-100 PCS-0.00%</v>
      </c>
      <c r="Q4724" s="92">
        <v>45432.0</v>
      </c>
      <c r="R4724" s="76"/>
      <c r="S4724" s="92">
        <v>45433.0</v>
      </c>
      <c r="T4724" s="49"/>
      <c r="V4724" s="21" t="s">
        <v>1468</v>
      </c>
    </row>
    <row r="4725">
      <c r="A4725" s="93">
        <v>2495.0</v>
      </c>
      <c r="B4725" s="77" t="s">
        <v>65</v>
      </c>
      <c r="C4725" s="77" t="s">
        <v>3903</v>
      </c>
      <c r="D4725" s="77" t="s">
        <v>163</v>
      </c>
      <c r="E4725" s="41" t="str">
        <f>IFERROR(__xludf.DUMMYFUNCTION("IFNA(vlookup(D4725,IMPORTRANGE(""https://docs.google.com/spreadsheets/d/1swGwZOEqYlTEUCJLY-eeJM1911Kvaei5oySBIxdgtNo/edit?pli=1#gid=257618397"",""stock untanna!B:C""),2,false),V:V)"),"KARTU ABSENSI KOJIKO DUS MERAH")</f>
        <v>KARTU ABSENSI KOJIKO DUS MERAH</v>
      </c>
      <c r="F4725" s="49"/>
      <c r="G4725" s="71"/>
      <c r="H4725" s="41"/>
      <c r="I4725" s="42"/>
      <c r="J4725" s="85" t="s">
        <v>1319</v>
      </c>
      <c r="K4725" s="93">
        <v>10.0</v>
      </c>
      <c r="L4725" s="112" t="s">
        <v>114</v>
      </c>
      <c r="M4725" s="113">
        <v>25000.0</v>
      </c>
      <c r="N4725" s="74"/>
      <c r="O4725" s="87">
        <f t="shared" si="11"/>
        <v>250000</v>
      </c>
      <c r="P4725" s="102" t="str">
        <f t="shared" si="2"/>
        <v>Rp25,000-10 PAK-0.00%</v>
      </c>
      <c r="Q4725" s="92">
        <v>45432.0</v>
      </c>
      <c r="R4725" s="76"/>
      <c r="S4725" s="92">
        <v>45433.0</v>
      </c>
      <c r="T4725" s="49"/>
      <c r="V4725" s="21" t="s">
        <v>164</v>
      </c>
    </row>
    <row r="4726">
      <c r="A4726" s="93">
        <v>2495.0</v>
      </c>
      <c r="B4726" s="77" t="s">
        <v>65</v>
      </c>
      <c r="C4726" s="77" t="s">
        <v>3903</v>
      </c>
      <c r="D4726" s="91"/>
      <c r="E4726" s="41" t="str">
        <f>IFERROR(__xludf.DUMMYFUNCTION("IFNA(vlookup(D4726,IMPORTRANGE(""https://docs.google.com/spreadsheets/d/1swGwZOEqYlTEUCJLY-eeJM1911Kvaei5oySBIxdgtNo/edit?pli=1#gid=257618397"",""stock untanna!B:C""),2,false),V:V)"),"BK ABSEN")</f>
        <v>BK ABSEN</v>
      </c>
      <c r="F4726" s="49"/>
      <c r="G4726" s="71"/>
      <c r="H4726" s="41"/>
      <c r="I4726" s="42"/>
      <c r="J4726" s="85" t="s">
        <v>3190</v>
      </c>
      <c r="K4726" s="93">
        <v>50.0</v>
      </c>
      <c r="L4726" s="112" t="s">
        <v>69</v>
      </c>
      <c r="M4726" s="113">
        <v>3000.0</v>
      </c>
      <c r="N4726" s="74"/>
      <c r="O4726" s="87">
        <f t="shared" si="11"/>
        <v>150000</v>
      </c>
      <c r="P4726" s="102" t="str">
        <f t="shared" si="2"/>
        <v>Rp3,000-50 PCS-0.00%</v>
      </c>
      <c r="Q4726" s="92">
        <v>45432.0</v>
      </c>
      <c r="R4726" s="76"/>
      <c r="S4726" s="92">
        <v>45433.0</v>
      </c>
      <c r="T4726" s="49"/>
      <c r="V4726" s="21" t="s">
        <v>3951</v>
      </c>
    </row>
    <row r="4727">
      <c r="A4727" s="93">
        <v>2495.0</v>
      </c>
      <c r="B4727" s="77" t="s">
        <v>65</v>
      </c>
      <c r="C4727" s="77" t="s">
        <v>3903</v>
      </c>
      <c r="D4727" s="91"/>
      <c r="E4727" s="41" t="str">
        <f>IFERROR(__xludf.DUMMYFUNCTION("IFNA(vlookup(D4727,IMPORTRANGE(""https://docs.google.com/spreadsheets/d/1swGwZOEqYlTEUCJLY-eeJM1911Kvaei5oySBIxdgtNo/edit?pli=1#gid=257618397"",""stock untanna!B:C""),2,false),V:V)"),"BK GAMBAR A4 SIKA")</f>
        <v>BK GAMBAR A4 SIKA</v>
      </c>
      <c r="F4727" s="49"/>
      <c r="G4727" s="71"/>
      <c r="H4727" s="41"/>
      <c r="I4727" s="42"/>
      <c r="J4727" s="85" t="s">
        <v>3190</v>
      </c>
      <c r="K4727" s="93">
        <v>48.0</v>
      </c>
      <c r="L4727" s="112" t="s">
        <v>69</v>
      </c>
      <c r="M4727" s="113">
        <v>2250.0</v>
      </c>
      <c r="N4727" s="74"/>
      <c r="O4727" s="87">
        <f t="shared" si="11"/>
        <v>108000</v>
      </c>
      <c r="P4727" s="102" t="str">
        <f t="shared" si="2"/>
        <v>Rp2,250-48 PCS-0.00%</v>
      </c>
      <c r="Q4727" s="92">
        <v>45432.0</v>
      </c>
      <c r="R4727" s="76"/>
      <c r="S4727" s="92">
        <v>45433.0</v>
      </c>
      <c r="T4727" s="49"/>
      <c r="V4727" s="21" t="s">
        <v>3952</v>
      </c>
    </row>
    <row r="4728">
      <c r="A4728" s="93">
        <v>2495.0</v>
      </c>
      <c r="B4728" s="77" t="s">
        <v>65</v>
      </c>
      <c r="C4728" s="77" t="s">
        <v>3903</v>
      </c>
      <c r="D4728" s="91"/>
      <c r="E4728" s="41" t="str">
        <f>IFERROR(__xludf.DUMMYFUNCTION("IFNA(vlookup(D4728,IMPORTRANGE(""https://docs.google.com/spreadsheets/d/1swGwZOEqYlTEUCJLY-eeJM1911Kvaei5oySBIxdgtNo/edit?pli=1#gid=257618397"",""stock untanna!B:C""),2,false),V:V)"),"PAPAN WB FANCY 0902")</f>
        <v>PAPAN WB FANCY 0902</v>
      </c>
      <c r="F4728" s="49"/>
      <c r="G4728" s="71"/>
      <c r="H4728" s="41"/>
      <c r="I4728" s="42"/>
      <c r="J4728" s="85" t="s">
        <v>3190</v>
      </c>
      <c r="K4728" s="93">
        <v>12.0</v>
      </c>
      <c r="L4728" s="112" t="s">
        <v>69</v>
      </c>
      <c r="M4728" s="113">
        <v>22500.0</v>
      </c>
      <c r="N4728" s="74"/>
      <c r="O4728" s="87">
        <f t="shared" si="11"/>
        <v>270000</v>
      </c>
      <c r="P4728" s="102" t="str">
        <f t="shared" si="2"/>
        <v>Rp22,500-12 PCS-0.00%</v>
      </c>
      <c r="Q4728" s="92">
        <v>45432.0</v>
      </c>
      <c r="R4728" s="76"/>
      <c r="S4728" s="92">
        <v>45433.0</v>
      </c>
      <c r="T4728" s="49"/>
      <c r="V4728" s="21" t="s">
        <v>3953</v>
      </c>
    </row>
    <row r="4729">
      <c r="A4729" s="93">
        <v>2495.0</v>
      </c>
      <c r="B4729" s="77" t="s">
        <v>65</v>
      </c>
      <c r="C4729" s="77" t="s">
        <v>3903</v>
      </c>
      <c r="D4729" s="77" t="s">
        <v>3954</v>
      </c>
      <c r="E4729" s="41" t="str">
        <f>IFERROR(__xludf.DUMMYFUNCTION("IFNA(vlookup(D4729,IMPORTRANGE(""https://docs.google.com/spreadsheets/d/1swGwZOEqYlTEUCJLY-eeJM1911Kvaei5oySBIxdgtNo/edit?pli=1#gid=257618397"",""stock untanna!B:C""),2,false),V:V)"),"WRITING BOARD JQ-666")</f>
        <v>WRITING BOARD JQ-666</v>
      </c>
      <c r="F4729" s="49"/>
      <c r="G4729" s="71"/>
      <c r="H4729" s="41"/>
      <c r="I4729" s="42"/>
      <c r="J4729" s="85" t="s">
        <v>1319</v>
      </c>
      <c r="K4729" s="93">
        <v>12.0</v>
      </c>
      <c r="L4729" s="112" t="s">
        <v>69</v>
      </c>
      <c r="M4729" s="113">
        <v>13750.0</v>
      </c>
      <c r="N4729" s="74"/>
      <c r="O4729" s="87">
        <f t="shared" si="11"/>
        <v>165000</v>
      </c>
      <c r="P4729" s="102" t="str">
        <f t="shared" si="2"/>
        <v>Rp13,750-12 PCS-0.00%</v>
      </c>
      <c r="Q4729" s="92">
        <v>45432.0</v>
      </c>
      <c r="R4729" s="76"/>
      <c r="S4729" s="92">
        <v>45433.0</v>
      </c>
      <c r="T4729" s="49"/>
      <c r="V4729" s="21" t="s">
        <v>3955</v>
      </c>
    </row>
    <row r="4730">
      <c r="A4730" s="93">
        <v>2495.0</v>
      </c>
      <c r="B4730" s="77" t="s">
        <v>65</v>
      </c>
      <c r="C4730" s="77" t="s">
        <v>3903</v>
      </c>
      <c r="D4730" s="91"/>
      <c r="E4730" s="41" t="str">
        <f>IFERROR(__xludf.DUMMYFUNCTION("IFNA(vlookup(D4730,IMPORTRANGE(""https://docs.google.com/spreadsheets/d/1swGwZOEqYlTEUCJLY-eeJM1911Kvaei5oySBIxdgtNo/edit?pli=1#gid=257618397"",""stock untanna!B:C""),2,false),V:V)"),"ASAHAN MEJA CL 204")</f>
        <v>ASAHAN MEJA CL 204</v>
      </c>
      <c r="F4730" s="49"/>
      <c r="G4730" s="71"/>
      <c r="H4730" s="41"/>
      <c r="I4730" s="42"/>
      <c r="J4730" s="85" t="s">
        <v>1319</v>
      </c>
      <c r="K4730" s="93">
        <v>6.0</v>
      </c>
      <c r="L4730" s="112" t="s">
        <v>69</v>
      </c>
      <c r="M4730" s="113">
        <v>22500.0</v>
      </c>
      <c r="N4730" s="74"/>
      <c r="O4730" s="87">
        <f t="shared" si="11"/>
        <v>135000</v>
      </c>
      <c r="P4730" s="102" t="str">
        <f t="shared" si="2"/>
        <v>Rp22,500-6 PCS-0.00%</v>
      </c>
      <c r="Q4730" s="92">
        <v>45432.0</v>
      </c>
      <c r="R4730" s="76"/>
      <c r="S4730" s="92">
        <v>45433.0</v>
      </c>
      <c r="T4730" s="77" t="s">
        <v>280</v>
      </c>
      <c r="V4730" s="21" t="s">
        <v>3956</v>
      </c>
    </row>
    <row r="4731">
      <c r="A4731" s="93">
        <v>2495.0</v>
      </c>
      <c r="B4731" s="77" t="s">
        <v>65</v>
      </c>
      <c r="C4731" s="77" t="s">
        <v>3903</v>
      </c>
      <c r="D4731" s="77" t="s">
        <v>3296</v>
      </c>
      <c r="E4731" s="41" t="str">
        <f>IFERROR(__xludf.DUMMYFUNCTION("IFNA(vlookup(D4731,IMPORTRANGE(""https://docs.google.com/spreadsheets/d/1swGwZOEqYlTEUCJLY-eeJM1911Kvaei5oySBIxdgtNo/edit?pli=1#gid=257618397"",""stock untanna!B:C""),2,false),V:V)"),"ASAHAN TG3086A")</f>
        <v>ASAHAN TG3086A</v>
      </c>
      <c r="F4731" s="49"/>
      <c r="G4731" s="71"/>
      <c r="H4731" s="41"/>
      <c r="I4731" s="42"/>
      <c r="J4731" s="85" t="s">
        <v>1319</v>
      </c>
      <c r="K4731" s="93">
        <v>12.0</v>
      </c>
      <c r="L4731" s="112" t="s">
        <v>69</v>
      </c>
      <c r="M4731" s="113">
        <v>20000.0</v>
      </c>
      <c r="N4731" s="74"/>
      <c r="O4731" s="87">
        <f t="shared" si="11"/>
        <v>240000</v>
      </c>
      <c r="P4731" s="102" t="str">
        <f t="shared" si="2"/>
        <v>Rp20,000-12 PCS-0.00%</v>
      </c>
      <c r="Q4731" s="92">
        <v>45432.0</v>
      </c>
      <c r="R4731" s="76"/>
      <c r="S4731" s="92">
        <v>45433.0</v>
      </c>
      <c r="T4731" s="49"/>
      <c r="V4731" s="21" t="s">
        <v>3297</v>
      </c>
    </row>
    <row r="4732">
      <c r="A4732" s="93">
        <v>2495.0</v>
      </c>
      <c r="B4732" s="77" t="s">
        <v>65</v>
      </c>
      <c r="C4732" s="77" t="s">
        <v>3903</v>
      </c>
      <c r="D4732" s="77" t="s">
        <v>2204</v>
      </c>
      <c r="E4732" s="41" t="str">
        <f>IFERROR(__xludf.DUMMYFUNCTION("IFNA(vlookup(D4732,IMPORTRANGE(""https://docs.google.com/spreadsheets/d/1swGwZOEqYlTEUCJLY-eeJM1911Kvaei5oySBIxdgtNo/edit?pli=1#gid=257618397"",""stock untanna!B:C""),2,false),V:V)"),"ASAHAN TG3695")</f>
        <v>ASAHAN TG3695</v>
      </c>
      <c r="F4732" s="49"/>
      <c r="G4732" s="71"/>
      <c r="H4732" s="41"/>
      <c r="I4732" s="42"/>
      <c r="J4732" s="85" t="s">
        <v>1319</v>
      </c>
      <c r="K4732" s="93">
        <v>12.0</v>
      </c>
      <c r="L4732" s="112" t="s">
        <v>69</v>
      </c>
      <c r="M4732" s="113">
        <v>18000.0</v>
      </c>
      <c r="N4732" s="74"/>
      <c r="O4732" s="87">
        <f t="shared" si="11"/>
        <v>216000</v>
      </c>
      <c r="P4732" s="102" t="str">
        <f t="shared" si="2"/>
        <v>Rp18,000-12 PCS-0.00%</v>
      </c>
      <c r="Q4732" s="92">
        <v>45432.0</v>
      </c>
      <c r="R4732" s="76"/>
      <c r="S4732" s="92">
        <v>45433.0</v>
      </c>
      <c r="T4732" s="49"/>
      <c r="V4732" s="21" t="s">
        <v>2205</v>
      </c>
    </row>
    <row r="4733">
      <c r="A4733" s="93">
        <v>2495.0</v>
      </c>
      <c r="B4733" s="77" t="s">
        <v>65</v>
      </c>
      <c r="C4733" s="77" t="s">
        <v>3903</v>
      </c>
      <c r="D4733" s="77" t="s">
        <v>3957</v>
      </c>
      <c r="E4733" s="41" t="str">
        <f>IFERROR(__xludf.DUMMYFUNCTION("IFNA(vlookup(D4733,IMPORTRANGE(""https://docs.google.com/spreadsheets/d/1swGwZOEqYlTEUCJLY-eeJM1911Kvaei5oySBIxdgtNo/edit?pli=1#gid=257618397"",""stock untanna!B:C""),2,false),V:V)"),"ASAHAN HC2907")</f>
        <v>ASAHAN HC2907</v>
      </c>
      <c r="F4733" s="49"/>
      <c r="G4733" s="71"/>
      <c r="H4733" s="41"/>
      <c r="I4733" s="42"/>
      <c r="J4733" s="85" t="s">
        <v>1319</v>
      </c>
      <c r="K4733" s="93">
        <v>12.0</v>
      </c>
      <c r="L4733" s="112" t="s">
        <v>69</v>
      </c>
      <c r="M4733" s="113">
        <v>16500.0</v>
      </c>
      <c r="N4733" s="74"/>
      <c r="O4733" s="87">
        <f t="shared" si="11"/>
        <v>198000</v>
      </c>
      <c r="P4733" s="102" t="str">
        <f t="shared" si="2"/>
        <v>Rp16,500-12 PCS-0.00%</v>
      </c>
      <c r="Q4733" s="92">
        <v>45432.0</v>
      </c>
      <c r="R4733" s="76"/>
      <c r="S4733" s="92">
        <v>45433.0</v>
      </c>
      <c r="T4733" s="49"/>
      <c r="V4733" s="21" t="s">
        <v>3958</v>
      </c>
    </row>
    <row r="4734">
      <c r="A4734" s="93">
        <v>2496.0</v>
      </c>
      <c r="B4734" s="77" t="s">
        <v>65</v>
      </c>
      <c r="C4734" s="77" t="s">
        <v>3903</v>
      </c>
      <c r="D4734" s="77" t="s">
        <v>2364</v>
      </c>
      <c r="E4734" s="41" t="str">
        <f>IFERROR(__xludf.DUMMYFUNCTION("IFNA(vlookup(D4734,IMPORTRANGE(""https://docs.google.com/spreadsheets/d/1swGwZOEqYlTEUCJLY-eeJM1911Kvaei5oySBIxdgtNo/edit?pli=1#gid=257618397"",""stock untanna!B:C""),2,false),V:V)"),"ASAHAN PAYU 844")</f>
        <v>ASAHAN PAYU 844</v>
      </c>
      <c r="F4734" s="49"/>
      <c r="G4734" s="71"/>
      <c r="H4734" s="41"/>
      <c r="I4734" s="42"/>
      <c r="J4734" s="85" t="s">
        <v>1319</v>
      </c>
      <c r="K4734" s="93">
        <v>1.0</v>
      </c>
      <c r="L4734" s="112" t="s">
        <v>88</v>
      </c>
      <c r="M4734" s="113">
        <v>17000.0</v>
      </c>
      <c r="N4734" s="74"/>
      <c r="O4734" s="87">
        <f t="shared" si="11"/>
        <v>17000</v>
      </c>
      <c r="P4734" s="102" t="str">
        <f t="shared" si="2"/>
        <v>Rp17,000-1 BOX-0.00%</v>
      </c>
      <c r="Q4734" s="92">
        <v>45432.0</v>
      </c>
      <c r="R4734" s="76"/>
      <c r="S4734" s="92">
        <v>45433.0</v>
      </c>
      <c r="T4734" s="77" t="s">
        <v>280</v>
      </c>
      <c r="V4734" s="21" t="s">
        <v>523</v>
      </c>
    </row>
    <row r="4735">
      <c r="A4735" s="93">
        <v>2496.0</v>
      </c>
      <c r="B4735" s="77" t="s">
        <v>65</v>
      </c>
      <c r="C4735" s="77" t="s">
        <v>3903</v>
      </c>
      <c r="D4735" s="77" t="s">
        <v>1118</v>
      </c>
      <c r="E4735" s="41" t="str">
        <f>IFERROR(__xludf.DUMMYFUNCTION("IFNA(vlookup(D4735,IMPORTRANGE(""https://docs.google.com/spreadsheets/d/1swGwZOEqYlTEUCJLY-eeJM1911Kvaei5oySBIxdgtNo/edit?pli=1#gid=257618397"",""stock untanna!B:C""),2,false),V:V)"),"ASAHAN PAYU 827 ANGSA")</f>
        <v>ASAHAN PAYU 827 ANGSA</v>
      </c>
      <c r="F4735" s="49"/>
      <c r="G4735" s="71"/>
      <c r="H4735" s="41"/>
      <c r="I4735" s="42"/>
      <c r="J4735" s="85" t="s">
        <v>1319</v>
      </c>
      <c r="K4735" s="93">
        <v>1.0</v>
      </c>
      <c r="L4735" s="112" t="s">
        <v>88</v>
      </c>
      <c r="M4735" s="113">
        <v>17000.0</v>
      </c>
      <c r="N4735" s="74"/>
      <c r="O4735" s="87">
        <f t="shared" si="11"/>
        <v>17000</v>
      </c>
      <c r="P4735" s="102" t="str">
        <f t="shared" si="2"/>
        <v>Rp17,000-1 BOX-0.00%</v>
      </c>
      <c r="Q4735" s="92">
        <v>45432.0</v>
      </c>
      <c r="R4735" s="76"/>
      <c r="S4735" s="92">
        <v>45433.0</v>
      </c>
      <c r="T4735" s="49"/>
      <c r="V4735" s="21" t="s">
        <v>1119</v>
      </c>
    </row>
    <row r="4736">
      <c r="A4736" s="93">
        <v>2496.0</v>
      </c>
      <c r="B4736" s="77" t="s">
        <v>65</v>
      </c>
      <c r="C4736" s="77" t="s">
        <v>3903</v>
      </c>
      <c r="D4736" s="77" t="s">
        <v>521</v>
      </c>
      <c r="E4736" s="41" t="str">
        <f>IFERROR(__xludf.DUMMYFUNCTION("IFNA(vlookup(D4736,IMPORTRANGE(""https://docs.google.com/spreadsheets/d/1swGwZOEqYlTEUCJLY-eeJM1911Kvaei5oySBIxdgtNo/edit?pli=1#gid=257618397"",""stock untanna!B:C""),2,false),V:V)"),"ASAHAN PAYU 831 IKAN")</f>
        <v>ASAHAN PAYU 831 IKAN</v>
      </c>
      <c r="F4736" s="49"/>
      <c r="G4736" s="71"/>
      <c r="H4736" s="41"/>
      <c r="I4736" s="42"/>
      <c r="J4736" s="85" t="s">
        <v>1319</v>
      </c>
      <c r="K4736" s="93">
        <v>1.0</v>
      </c>
      <c r="L4736" s="112" t="s">
        <v>88</v>
      </c>
      <c r="M4736" s="113">
        <v>17000.0</v>
      </c>
      <c r="N4736" s="74"/>
      <c r="O4736" s="87">
        <f t="shared" si="11"/>
        <v>17000</v>
      </c>
      <c r="P4736" s="102" t="str">
        <f t="shared" si="2"/>
        <v>Rp17,000-1 BOX-0.00%</v>
      </c>
      <c r="Q4736" s="92">
        <v>45432.0</v>
      </c>
      <c r="R4736" s="76"/>
      <c r="S4736" s="92">
        <v>45433.0</v>
      </c>
      <c r="T4736" s="49"/>
      <c r="V4736" s="21" t="s">
        <v>522</v>
      </c>
    </row>
    <row r="4737">
      <c r="A4737" s="93">
        <v>2496.0</v>
      </c>
      <c r="B4737" s="77" t="s">
        <v>65</v>
      </c>
      <c r="C4737" s="77" t="s">
        <v>3903</v>
      </c>
      <c r="D4737" s="77" t="s">
        <v>526</v>
      </c>
      <c r="E4737" s="41" t="str">
        <f>IFERROR(__xludf.DUMMYFUNCTION("IFNA(vlookup(D4737,IMPORTRANGE(""https://docs.google.com/spreadsheets/d/1swGwZOEqYlTEUCJLY-eeJM1911Kvaei5oySBIxdgtNo/edit?pli=1#gid=257618397"",""stock untanna!B:C""),2,false),V:V)"),"ASAHAN PAYU 851 PERMEN")</f>
        <v>ASAHAN PAYU 851 PERMEN</v>
      </c>
      <c r="F4737" s="49"/>
      <c r="G4737" s="71"/>
      <c r="H4737" s="41"/>
      <c r="I4737" s="42"/>
      <c r="J4737" s="85" t="s">
        <v>1319</v>
      </c>
      <c r="K4737" s="93">
        <v>1.0</v>
      </c>
      <c r="L4737" s="112" t="s">
        <v>88</v>
      </c>
      <c r="M4737" s="113">
        <v>17000.0</v>
      </c>
      <c r="N4737" s="74"/>
      <c r="O4737" s="87">
        <f t="shared" si="11"/>
        <v>17000</v>
      </c>
      <c r="P4737" s="102" t="str">
        <f t="shared" si="2"/>
        <v>Rp17,000-1 BOX-0.00%</v>
      </c>
      <c r="Q4737" s="92">
        <v>45432.0</v>
      </c>
      <c r="R4737" s="76"/>
      <c r="S4737" s="92">
        <v>45433.0</v>
      </c>
      <c r="T4737" s="49"/>
      <c r="V4737" s="21" t="s">
        <v>527</v>
      </c>
    </row>
    <row r="4738">
      <c r="A4738" s="93">
        <v>2496.0</v>
      </c>
      <c r="B4738" s="77" t="s">
        <v>65</v>
      </c>
      <c r="C4738" s="77" t="s">
        <v>3903</v>
      </c>
      <c r="D4738" s="77" t="s">
        <v>1120</v>
      </c>
      <c r="E4738" s="41" t="str">
        <f>IFERROR(__xludf.DUMMYFUNCTION("IFNA(vlookup(D4738,IMPORTRANGE(""https://docs.google.com/spreadsheets/d/1swGwZOEqYlTEUCJLY-eeJM1911Kvaei5oySBIxdgtNo/edit?pli=1#gid=257618397"",""stock untanna!B:C""),2,false),V:V)"),"ASAHAN PAYU 849 STROBERI")</f>
        <v>ASAHAN PAYU 849 STROBERI</v>
      </c>
      <c r="F4738" s="49"/>
      <c r="G4738" s="71"/>
      <c r="H4738" s="41"/>
      <c r="I4738" s="42"/>
      <c r="J4738" s="85" t="s">
        <v>1319</v>
      </c>
      <c r="K4738" s="93">
        <v>1.0</v>
      </c>
      <c r="L4738" s="112" t="s">
        <v>88</v>
      </c>
      <c r="M4738" s="113">
        <v>17000.0</v>
      </c>
      <c r="N4738" s="74"/>
      <c r="O4738" s="87">
        <f t="shared" si="11"/>
        <v>17000</v>
      </c>
      <c r="P4738" s="102" t="str">
        <f t="shared" si="2"/>
        <v>Rp17,000-1 BOX-0.00%</v>
      </c>
      <c r="Q4738" s="92">
        <v>45432.0</v>
      </c>
      <c r="R4738" s="76"/>
      <c r="S4738" s="92">
        <v>45433.0</v>
      </c>
      <c r="T4738" s="49"/>
      <c r="V4738" s="21" t="s">
        <v>1121</v>
      </c>
    </row>
    <row r="4739">
      <c r="A4739" s="93">
        <v>2496.0</v>
      </c>
      <c r="B4739" s="77" t="s">
        <v>65</v>
      </c>
      <c r="C4739" s="77" t="s">
        <v>3903</v>
      </c>
      <c r="D4739" s="77" t="s">
        <v>519</v>
      </c>
      <c r="E4739" s="41" t="str">
        <f>IFERROR(__xludf.DUMMYFUNCTION("IFNA(vlookup(D4739,IMPORTRANGE(""https://docs.google.com/spreadsheets/d/1swGwZOEqYlTEUCJLY-eeJM1911Kvaei5oySBIxdgtNo/edit?pli=1#gid=257618397"",""stock untanna!B:C""),2,false),V:V)"),"ASAHAN PAYU 856 ANJING")</f>
        <v>ASAHAN PAYU 856 ANJING</v>
      </c>
      <c r="F4739" s="49"/>
      <c r="G4739" s="71"/>
      <c r="H4739" s="41"/>
      <c r="I4739" s="42"/>
      <c r="J4739" s="85" t="s">
        <v>1319</v>
      </c>
      <c r="K4739" s="93">
        <v>1.0</v>
      </c>
      <c r="L4739" s="112" t="s">
        <v>88</v>
      </c>
      <c r="M4739" s="113">
        <v>17000.0</v>
      </c>
      <c r="N4739" s="74"/>
      <c r="O4739" s="87">
        <f t="shared" si="11"/>
        <v>17000</v>
      </c>
      <c r="P4739" s="102" t="str">
        <f t="shared" si="2"/>
        <v>Rp17,000-1 BOX-0.00%</v>
      </c>
      <c r="Q4739" s="92">
        <v>45432.0</v>
      </c>
      <c r="R4739" s="76"/>
      <c r="S4739" s="92">
        <v>45433.0</v>
      </c>
      <c r="T4739" s="49"/>
      <c r="V4739" s="21" t="s">
        <v>520</v>
      </c>
    </row>
    <row r="4740">
      <c r="A4740" s="93">
        <v>2496.0</v>
      </c>
      <c r="B4740" s="77" t="s">
        <v>65</v>
      </c>
      <c r="C4740" s="77" t="s">
        <v>3903</v>
      </c>
      <c r="D4740" s="77" t="s">
        <v>517</v>
      </c>
      <c r="E4740" s="41" t="str">
        <f>IFERROR(__xludf.DUMMYFUNCTION("IFNA(vlookup(D4740,IMPORTRANGE(""https://docs.google.com/spreadsheets/d/1swGwZOEqYlTEUCJLY-eeJM1911Kvaei5oySBIxdgtNo/edit?pli=1#gid=257618397"",""stock untanna!B:C""),2,false),V:V)"),"ASAHAN PAYU 846 KUDA GOYANG")</f>
        <v>ASAHAN PAYU 846 KUDA GOYANG</v>
      </c>
      <c r="F4740" s="49"/>
      <c r="G4740" s="71"/>
      <c r="H4740" s="41"/>
      <c r="I4740" s="42"/>
      <c r="J4740" s="85" t="s">
        <v>1319</v>
      </c>
      <c r="K4740" s="93">
        <v>1.0</v>
      </c>
      <c r="L4740" s="112" t="s">
        <v>88</v>
      </c>
      <c r="M4740" s="113">
        <v>17000.0</v>
      </c>
      <c r="N4740" s="74"/>
      <c r="O4740" s="87">
        <f t="shared" si="11"/>
        <v>17000</v>
      </c>
      <c r="P4740" s="102" t="str">
        <f t="shared" si="2"/>
        <v>Rp17,000-1 BOX-0.00%</v>
      </c>
      <c r="Q4740" s="92">
        <v>45432.0</v>
      </c>
      <c r="R4740" s="76"/>
      <c r="S4740" s="92">
        <v>45433.0</v>
      </c>
      <c r="T4740" s="49"/>
      <c r="V4740" s="21" t="s">
        <v>518</v>
      </c>
    </row>
    <row r="4741">
      <c r="A4741" s="93">
        <v>2496.0</v>
      </c>
      <c r="B4741" s="77" t="s">
        <v>65</v>
      </c>
      <c r="C4741" s="77" t="s">
        <v>3903</v>
      </c>
      <c r="D4741" s="77" t="s">
        <v>524</v>
      </c>
      <c r="E4741" s="41" t="str">
        <f>IFERROR(__xludf.DUMMYFUNCTION("IFNA(vlookup(D4741,IMPORTRANGE(""https://docs.google.com/spreadsheets/d/1swGwZOEqYlTEUCJLY-eeJM1911Kvaei5oySBIxdgtNo/edit?pli=1#gid=257618397"",""stock untanna!B:C""),2,false),V:V)"),"ASAHAN PAYU 823 AYAM")</f>
        <v>ASAHAN PAYU 823 AYAM</v>
      </c>
      <c r="F4741" s="49"/>
      <c r="G4741" s="71"/>
      <c r="H4741" s="41"/>
      <c r="I4741" s="42"/>
      <c r="J4741" s="85" t="s">
        <v>1319</v>
      </c>
      <c r="K4741" s="93">
        <v>1.0</v>
      </c>
      <c r="L4741" s="112" t="s">
        <v>88</v>
      </c>
      <c r="M4741" s="113">
        <v>17000.0</v>
      </c>
      <c r="N4741" s="74"/>
      <c r="O4741" s="87">
        <f t="shared" si="11"/>
        <v>17000</v>
      </c>
      <c r="P4741" s="102" t="str">
        <f t="shared" si="2"/>
        <v>Rp17,000-1 BOX-0.00%</v>
      </c>
      <c r="Q4741" s="92">
        <v>45432.0</v>
      </c>
      <c r="R4741" s="76"/>
      <c r="S4741" s="92">
        <v>45433.0</v>
      </c>
      <c r="T4741" s="49"/>
      <c r="V4741" s="21" t="s">
        <v>525</v>
      </c>
    </row>
    <row r="4742">
      <c r="A4742" s="93">
        <v>2496.0</v>
      </c>
      <c r="B4742" s="77" t="s">
        <v>65</v>
      </c>
      <c r="C4742" s="77" t="s">
        <v>3903</v>
      </c>
      <c r="D4742" s="77" t="s">
        <v>2367</v>
      </c>
      <c r="E4742" s="41" t="str">
        <f>IFERROR(__xludf.DUMMYFUNCTION("IFNA(vlookup(D4742,IMPORTRANGE(""https://docs.google.com/spreadsheets/d/1swGwZOEqYlTEUCJLY-eeJM1911Kvaei5oySBIxdgtNo/edit?pli=1#gid=257618397"",""stock untanna!B:C""),2,false),V:V)"),"ASAHAN PAYU 830 KUPU-KUPU")</f>
        <v>ASAHAN PAYU 830 KUPU-KUPU</v>
      </c>
      <c r="F4742" s="49"/>
      <c r="G4742" s="71"/>
      <c r="H4742" s="41"/>
      <c r="I4742" s="42"/>
      <c r="J4742" s="85" t="s">
        <v>1319</v>
      </c>
      <c r="K4742" s="93">
        <v>1.0</v>
      </c>
      <c r="L4742" s="112" t="s">
        <v>88</v>
      </c>
      <c r="M4742" s="113">
        <v>17000.0</v>
      </c>
      <c r="N4742" s="74"/>
      <c r="O4742" s="87">
        <f t="shared" si="11"/>
        <v>17000</v>
      </c>
      <c r="P4742" s="102" t="str">
        <f t="shared" si="2"/>
        <v>Rp17,000-1 BOX-0.00%</v>
      </c>
      <c r="Q4742" s="92">
        <v>45432.0</v>
      </c>
      <c r="R4742" s="76"/>
      <c r="S4742" s="92">
        <v>45433.0</v>
      </c>
      <c r="T4742" s="49"/>
      <c r="V4742" s="21" t="s">
        <v>2368</v>
      </c>
    </row>
    <row r="4743">
      <c r="A4743" s="93">
        <v>2496.0</v>
      </c>
      <c r="B4743" s="77" t="s">
        <v>65</v>
      </c>
      <c r="C4743" s="77" t="s">
        <v>3903</v>
      </c>
      <c r="D4743" s="91"/>
      <c r="E4743" s="41" t="str">
        <f>IFERROR(__xludf.DUMMYFUNCTION("IFNA(vlookup(D4743,IMPORTRANGE(""https://docs.google.com/spreadsheets/d/1swGwZOEqYlTEUCJLY-eeJM1911Kvaei5oySBIxdgtNo/edit?pli=1#gid=257618397"",""stock untanna!B:C""),2,false),V:V)"),"ASAHAN EX 09")</f>
        <v>ASAHAN EX 09</v>
      </c>
      <c r="F4743" s="49"/>
      <c r="G4743" s="71"/>
      <c r="H4743" s="41"/>
      <c r="I4743" s="42"/>
      <c r="J4743" s="85" t="s">
        <v>3190</v>
      </c>
      <c r="K4743" s="93">
        <v>1.0</v>
      </c>
      <c r="L4743" s="112" t="s">
        <v>88</v>
      </c>
      <c r="M4743" s="113">
        <v>17000.0</v>
      </c>
      <c r="N4743" s="74"/>
      <c r="O4743" s="87">
        <f t="shared" si="11"/>
        <v>17000</v>
      </c>
      <c r="P4743" s="102" t="str">
        <f t="shared" si="2"/>
        <v>Rp17,000-1 BOX-0.00%</v>
      </c>
      <c r="Q4743" s="92">
        <v>45432.0</v>
      </c>
      <c r="R4743" s="76"/>
      <c r="S4743" s="92">
        <v>45433.0</v>
      </c>
      <c r="T4743" s="49"/>
      <c r="V4743" s="21" t="s">
        <v>3959</v>
      </c>
    </row>
    <row r="4744">
      <c r="A4744" s="93">
        <v>2496.0</v>
      </c>
      <c r="B4744" s="77" t="s">
        <v>65</v>
      </c>
      <c r="C4744" s="77" t="s">
        <v>3903</v>
      </c>
      <c r="D4744" s="77" t="s">
        <v>1088</v>
      </c>
      <c r="E4744" s="41" t="str">
        <f>IFERROR(__xludf.DUMMYFUNCTION("IFNA(vlookup(D4744,IMPORTRANGE(""https://docs.google.com/spreadsheets/d/1swGwZOEqYlTEUCJLY-eeJM1911Kvaei5oySBIxdgtNo/edit?pli=1#gid=257618397"",""stock untanna!B:C""),2,false),V:V)"),"ASAHAN TOPLES GOLDEN (24)")</f>
        <v>ASAHAN TOPLES GOLDEN (24)</v>
      </c>
      <c r="F4744" s="49"/>
      <c r="G4744" s="71"/>
      <c r="H4744" s="41"/>
      <c r="I4744" s="42"/>
      <c r="J4744" s="85" t="s">
        <v>1319</v>
      </c>
      <c r="K4744" s="93">
        <v>1.0</v>
      </c>
      <c r="L4744" s="112" t="s">
        <v>88</v>
      </c>
      <c r="M4744" s="113">
        <v>17000.0</v>
      </c>
      <c r="N4744" s="74"/>
      <c r="O4744" s="87">
        <f t="shared" si="11"/>
        <v>17000</v>
      </c>
      <c r="P4744" s="102" t="str">
        <f t="shared" si="2"/>
        <v>Rp17,000-1 BOX-0.00%</v>
      </c>
      <c r="Q4744" s="92">
        <v>45432.0</v>
      </c>
      <c r="R4744" s="76"/>
      <c r="S4744" s="92">
        <v>45433.0</v>
      </c>
      <c r="T4744" s="49"/>
      <c r="V4744" s="21" t="s">
        <v>1089</v>
      </c>
    </row>
    <row r="4745">
      <c r="A4745" s="93">
        <v>2496.0</v>
      </c>
      <c r="B4745" s="77" t="s">
        <v>65</v>
      </c>
      <c r="C4745" s="77" t="s">
        <v>3903</v>
      </c>
      <c r="D4745" s="77" t="s">
        <v>1092</v>
      </c>
      <c r="E4745" s="41" t="str">
        <f>IFERROR(__xludf.DUMMYFUNCTION("IFNA(vlookup(D4745,IMPORTRANGE(""https://docs.google.com/spreadsheets/d/1swGwZOEqYlTEUCJLY-eeJM1911Kvaei5oySBIxdgtNo/edit?pli=1#gid=257618397"",""stock untanna!B:C""),2,false),V:V)"),"TAPE LK-22305")</f>
        <v>TAPE LK-22305</v>
      </c>
      <c r="F4745" s="49"/>
      <c r="G4745" s="71"/>
      <c r="H4745" s="41"/>
      <c r="I4745" s="42"/>
      <c r="J4745" s="85" t="s">
        <v>1319</v>
      </c>
      <c r="K4745" s="93">
        <v>1.0</v>
      </c>
      <c r="L4745" s="112" t="s">
        <v>88</v>
      </c>
      <c r="M4745" s="113">
        <v>132000.0</v>
      </c>
      <c r="N4745" s="74"/>
      <c r="O4745" s="87">
        <f t="shared" si="11"/>
        <v>132000</v>
      </c>
      <c r="P4745" s="102" t="str">
        <f t="shared" si="2"/>
        <v>Rp132,000-1 BOX-0.00%</v>
      </c>
      <c r="Q4745" s="92">
        <v>45432.0</v>
      </c>
      <c r="R4745" s="76"/>
      <c r="S4745" s="92">
        <v>45433.0</v>
      </c>
      <c r="T4745" s="49"/>
      <c r="V4745" s="21" t="s">
        <v>1093</v>
      </c>
    </row>
    <row r="4746">
      <c r="A4746" s="93">
        <v>2496.0</v>
      </c>
      <c r="B4746" s="77" t="s">
        <v>65</v>
      </c>
      <c r="C4746" s="77" t="s">
        <v>3903</v>
      </c>
      <c r="D4746" s="91"/>
      <c r="E4746" s="41" t="str">
        <f>IFERROR(__xludf.DUMMYFUNCTION("IFNA(vlookup(D4746,IMPORTRANGE(""https://docs.google.com/spreadsheets/d/1swGwZOEqYlTEUCJLY-eeJM1911Kvaei5oySBIxdgtNo/edit?pli=1#gid=257618397"",""stock untanna!B:C""),2,false),V:V)"),"SIPOA 8012")</f>
        <v>SIPOA 8012</v>
      </c>
      <c r="F4746" s="49"/>
      <c r="G4746" s="71"/>
      <c r="H4746" s="41"/>
      <c r="I4746" s="42"/>
      <c r="J4746" s="85" t="s">
        <v>1319</v>
      </c>
      <c r="K4746" s="93">
        <v>0.5</v>
      </c>
      <c r="L4746" s="112" t="s">
        <v>62</v>
      </c>
      <c r="M4746" s="113">
        <v>185000.0</v>
      </c>
      <c r="N4746" s="74"/>
      <c r="O4746" s="87">
        <f t="shared" si="11"/>
        <v>92500</v>
      </c>
      <c r="P4746" s="102" t="str">
        <f t="shared" si="2"/>
        <v>Rp185,000-0.5 LSN-0.00%</v>
      </c>
      <c r="Q4746" s="92">
        <v>45432.0</v>
      </c>
      <c r="R4746" s="76"/>
      <c r="S4746" s="92">
        <v>45433.0</v>
      </c>
      <c r="T4746" s="77" t="s">
        <v>280</v>
      </c>
      <c r="V4746" s="21" t="s">
        <v>1078</v>
      </c>
    </row>
    <row r="4747">
      <c r="A4747" s="93">
        <v>2496.0</v>
      </c>
      <c r="B4747" s="77" t="s">
        <v>65</v>
      </c>
      <c r="C4747" s="77" t="s">
        <v>3903</v>
      </c>
      <c r="D4747" s="77" t="s">
        <v>3515</v>
      </c>
      <c r="E4747" s="41" t="str">
        <f>IFERROR(__xludf.DUMMYFUNCTION("IFNA(vlookup(D4747,IMPORTRANGE(""https://docs.google.com/spreadsheets/d/1swGwZOEqYlTEUCJLY-eeJM1911Kvaei5oySBIxdgtNo/edit?pli=1#gid=257618397"",""stock untanna!B:C""),2,false),V:V)"),"SIPOA 8013")</f>
        <v>SIPOA 8013</v>
      </c>
      <c r="F4747" s="49"/>
      <c r="G4747" s="71"/>
      <c r="H4747" s="41"/>
      <c r="I4747" s="42"/>
      <c r="J4747" s="85" t="s">
        <v>1319</v>
      </c>
      <c r="K4747" s="93">
        <v>0.5</v>
      </c>
      <c r="L4747" s="112" t="s">
        <v>62</v>
      </c>
      <c r="M4747" s="113">
        <v>185000.0</v>
      </c>
      <c r="N4747" s="74"/>
      <c r="O4747" s="87">
        <f t="shared" si="11"/>
        <v>92500</v>
      </c>
      <c r="P4747" s="102" t="str">
        <f t="shared" si="2"/>
        <v>Rp185,000-0.5 LSN-0.00%</v>
      </c>
      <c r="Q4747" s="92">
        <v>45432.0</v>
      </c>
      <c r="R4747" s="76"/>
      <c r="S4747" s="92">
        <v>45433.0</v>
      </c>
      <c r="T4747" s="49"/>
      <c r="V4747" s="21" t="s">
        <v>3516</v>
      </c>
    </row>
    <row r="4748">
      <c r="A4748" s="93">
        <v>2496.0</v>
      </c>
      <c r="B4748" s="77" t="s">
        <v>65</v>
      </c>
      <c r="C4748" s="77" t="s">
        <v>3903</v>
      </c>
      <c r="D4748" s="91"/>
      <c r="E4748" s="41" t="str">
        <f>IFERROR(__xludf.DUMMYFUNCTION("IFNA(vlookup(D4748,IMPORTRANGE(""https://docs.google.com/spreadsheets/d/1swGwZOEqYlTEUCJLY-eeJM1911Kvaei5oySBIxdgtNo/edit?pli=1#gid=257618397"",""stock untanna!B:C""),2,false),V:V)"),"SIPOA 8011 APEL")</f>
        <v>SIPOA 8011 APEL</v>
      </c>
      <c r="F4748" s="49"/>
      <c r="G4748" s="71"/>
      <c r="H4748" s="41"/>
      <c r="I4748" s="42"/>
      <c r="J4748" s="85" t="s">
        <v>1319</v>
      </c>
      <c r="K4748" s="93">
        <v>0.5</v>
      </c>
      <c r="L4748" s="112" t="s">
        <v>62</v>
      </c>
      <c r="M4748" s="113">
        <v>210000.0</v>
      </c>
      <c r="N4748" s="74"/>
      <c r="O4748" s="87">
        <f t="shared" si="11"/>
        <v>105000</v>
      </c>
      <c r="P4748" s="102" t="str">
        <f t="shared" si="2"/>
        <v>Rp210,000-0.5 LSN-0.00%</v>
      </c>
      <c r="Q4748" s="92">
        <v>45432.0</v>
      </c>
      <c r="R4748" s="76"/>
      <c r="S4748" s="92">
        <v>45433.0</v>
      </c>
      <c r="T4748" s="77" t="s">
        <v>280</v>
      </c>
      <c r="V4748" s="21" t="s">
        <v>3960</v>
      </c>
    </row>
    <row r="4749">
      <c r="A4749" s="93">
        <v>2496.0</v>
      </c>
      <c r="B4749" s="77" t="s">
        <v>65</v>
      </c>
      <c r="C4749" s="77" t="s">
        <v>3903</v>
      </c>
      <c r="D4749" s="77" t="s">
        <v>1075</v>
      </c>
      <c r="E4749" s="41" t="str">
        <f>IFERROR(__xludf.DUMMYFUNCTION("IFNA(vlookup(D4749,IMPORTRANGE(""https://docs.google.com/spreadsheets/d/1swGwZOEqYlTEUCJLY-eeJM1911Kvaei5oySBIxdgtNo/edit?pli=1#gid=257618397"",""stock untanna!B:C""),2,false),V:V)"),"SEMPOA 8022")</f>
        <v>SEMPOA 8022</v>
      </c>
      <c r="F4749" s="49"/>
      <c r="G4749" s="71"/>
      <c r="H4749" s="41"/>
      <c r="I4749" s="42"/>
      <c r="J4749" s="85" t="s">
        <v>1319</v>
      </c>
      <c r="K4749" s="93">
        <v>0.5</v>
      </c>
      <c r="L4749" s="112" t="s">
        <v>62</v>
      </c>
      <c r="M4749" s="113">
        <v>300000.0</v>
      </c>
      <c r="N4749" s="74"/>
      <c r="O4749" s="87">
        <f t="shared" si="11"/>
        <v>150000</v>
      </c>
      <c r="P4749" s="102" t="str">
        <f t="shared" si="2"/>
        <v>Rp300,000-0.5 LSN-0.00%</v>
      </c>
      <c r="Q4749" s="92">
        <v>45432.0</v>
      </c>
      <c r="R4749" s="76"/>
      <c r="S4749" s="92">
        <v>45433.0</v>
      </c>
      <c r="T4749" s="49"/>
      <c r="V4749" s="21" t="s">
        <v>1076</v>
      </c>
    </row>
    <row r="4750">
      <c r="A4750" s="93">
        <v>2497.0</v>
      </c>
      <c r="B4750" s="77" t="s">
        <v>65</v>
      </c>
      <c r="C4750" s="77" t="s">
        <v>3903</v>
      </c>
      <c r="D4750" s="77" t="s">
        <v>1073</v>
      </c>
      <c r="E4750" s="41" t="str">
        <f>IFERROR(__xludf.DUMMYFUNCTION("IFNA(vlookup(D4750,IMPORTRANGE(""https://docs.google.com/spreadsheets/d/1swGwZOEqYlTEUCJLY-eeJM1911Kvaei5oySBIxdgtNo/edit?pli=1#gid=257618397"",""stock untanna!B:C""),2,false),V:V)"),"SEMPOA 8023")</f>
        <v>SEMPOA 8023</v>
      </c>
      <c r="F4750" s="49"/>
      <c r="G4750" s="71"/>
      <c r="H4750" s="41"/>
      <c r="I4750" s="42"/>
      <c r="J4750" s="85" t="s">
        <v>1319</v>
      </c>
      <c r="K4750" s="93">
        <v>0.5</v>
      </c>
      <c r="L4750" s="112" t="s">
        <v>62</v>
      </c>
      <c r="M4750" s="113">
        <v>130000.0</v>
      </c>
      <c r="N4750" s="74"/>
      <c r="O4750" s="87">
        <f t="shared" si="11"/>
        <v>65000</v>
      </c>
      <c r="P4750" s="102" t="str">
        <f t="shared" si="2"/>
        <v>Rp130,000-0.5 LSN-0.00%</v>
      </c>
      <c r="Q4750" s="92">
        <v>45432.0</v>
      </c>
      <c r="R4750" s="76"/>
      <c r="S4750" s="92">
        <v>45433.0</v>
      </c>
      <c r="T4750" s="49"/>
      <c r="V4750" s="21" t="s">
        <v>1074</v>
      </c>
    </row>
    <row r="4751">
      <c r="A4751" s="93">
        <v>2497.0</v>
      </c>
      <c r="B4751" s="77" t="s">
        <v>65</v>
      </c>
      <c r="C4751" s="77" t="s">
        <v>3903</v>
      </c>
      <c r="D4751" s="77" t="s">
        <v>812</v>
      </c>
      <c r="E4751" s="41" t="str">
        <f>IFERROR(__xludf.DUMMYFUNCTION("IFNA(vlookup(D4751,IMPORTRANGE(""https://docs.google.com/spreadsheets/d/1swGwZOEqYlTEUCJLY-eeJM1911Kvaei5oySBIxdgtNo/edit?pli=1#gid=257618397"",""stock untanna!B:C""),2,false),V:V)"),"SEMPOA 8025")</f>
        <v>SEMPOA 8025</v>
      </c>
      <c r="F4751" s="49"/>
      <c r="G4751" s="71"/>
      <c r="H4751" s="41"/>
      <c r="I4751" s="42"/>
      <c r="J4751" s="85" t="s">
        <v>1319</v>
      </c>
      <c r="K4751" s="93">
        <v>0.5</v>
      </c>
      <c r="L4751" s="112" t="s">
        <v>62</v>
      </c>
      <c r="M4751" s="113">
        <v>130000.0</v>
      </c>
      <c r="N4751" s="74"/>
      <c r="O4751" s="87">
        <f t="shared" si="11"/>
        <v>65000</v>
      </c>
      <c r="P4751" s="102" t="str">
        <f t="shared" si="2"/>
        <v>Rp130,000-0.5 LSN-0.00%</v>
      </c>
      <c r="Q4751" s="92">
        <v>45432.0</v>
      </c>
      <c r="R4751" s="76"/>
      <c r="S4751" s="92">
        <v>45433.0</v>
      </c>
      <c r="T4751" s="49"/>
      <c r="V4751" s="21" t="s">
        <v>813</v>
      </c>
    </row>
    <row r="4752">
      <c r="A4752" s="93">
        <v>2497.0</v>
      </c>
      <c r="B4752" s="77" t="s">
        <v>65</v>
      </c>
      <c r="C4752" s="77" t="s">
        <v>3903</v>
      </c>
      <c r="D4752" s="91"/>
      <c r="E4752" s="41" t="str">
        <f>IFERROR(__xludf.DUMMYFUNCTION("IFNA(vlookup(D4752,IMPORTRANGE(""https://docs.google.com/spreadsheets/d/1swGwZOEqYlTEUCJLY-eeJM1911Kvaei5oySBIxdgtNo/edit?pli=1#gid=257618397"",""stock untanna!B:C""),2,false),V:V)"),"SIPOA SEDANG 8590")</f>
        <v>SIPOA SEDANG 8590</v>
      </c>
      <c r="F4752" s="49"/>
      <c r="G4752" s="71"/>
      <c r="H4752" s="41"/>
      <c r="I4752" s="42"/>
      <c r="J4752" s="85" t="s">
        <v>1319</v>
      </c>
      <c r="K4752" s="93">
        <v>0.5</v>
      </c>
      <c r="L4752" s="112" t="s">
        <v>62</v>
      </c>
      <c r="M4752" s="113">
        <v>200000.0</v>
      </c>
      <c r="N4752" s="74"/>
      <c r="O4752" s="87">
        <f t="shared" si="11"/>
        <v>100000</v>
      </c>
      <c r="P4752" s="102" t="str">
        <f t="shared" si="2"/>
        <v>Rp200,000-0.5 LSN-0.00%</v>
      </c>
      <c r="Q4752" s="92">
        <v>45432.0</v>
      </c>
      <c r="R4752" s="76"/>
      <c r="S4752" s="92">
        <v>45433.0</v>
      </c>
      <c r="T4752" s="77" t="s">
        <v>280</v>
      </c>
      <c r="V4752" s="21" t="s">
        <v>1077</v>
      </c>
    </row>
    <row r="4753">
      <c r="A4753" s="93">
        <v>2497.0</v>
      </c>
      <c r="B4753" s="77" t="s">
        <v>65</v>
      </c>
      <c r="C4753" s="77" t="s">
        <v>3903</v>
      </c>
      <c r="D4753" s="91"/>
      <c r="E4753" s="41" t="str">
        <f>IFERROR(__xludf.DUMMYFUNCTION("IFNA(vlookup(D4753,IMPORTRANGE(""https://docs.google.com/spreadsheets/d/1swGwZOEqYlTEUCJLY-eeJM1911Kvaei5oySBIxdgtNo/edit?pli=1#gid=257618397"",""stock untanna!B:C""),2,false),V:V)"),"SIPOA ANGEL STRAWBERRY")</f>
        <v>SIPOA ANGEL STRAWBERRY</v>
      </c>
      <c r="F4753" s="49"/>
      <c r="G4753" s="71"/>
      <c r="H4753" s="41"/>
      <c r="I4753" s="42"/>
      <c r="J4753" s="85" t="s">
        <v>1319</v>
      </c>
      <c r="K4753" s="93">
        <v>0.5</v>
      </c>
      <c r="L4753" s="112" t="s">
        <v>62</v>
      </c>
      <c r="M4753" s="113">
        <v>150000.0</v>
      </c>
      <c r="N4753" s="74"/>
      <c r="O4753" s="87">
        <f t="shared" si="11"/>
        <v>75000</v>
      </c>
      <c r="P4753" s="102" t="str">
        <f t="shared" si="2"/>
        <v>Rp150,000-0.5 LSN-0.00%</v>
      </c>
      <c r="Q4753" s="92">
        <v>45432.0</v>
      </c>
      <c r="R4753" s="76"/>
      <c r="S4753" s="92">
        <v>45433.0</v>
      </c>
      <c r="T4753" s="77" t="s">
        <v>280</v>
      </c>
      <c r="V4753" s="21" t="s">
        <v>3961</v>
      </c>
    </row>
    <row r="4754">
      <c r="A4754" s="93">
        <v>2497.0</v>
      </c>
      <c r="B4754" s="77" t="s">
        <v>65</v>
      </c>
      <c r="C4754" s="77" t="s">
        <v>3903</v>
      </c>
      <c r="D4754" s="77" t="s">
        <v>3962</v>
      </c>
      <c r="E4754" s="41" t="str">
        <f>IFERROR(__xludf.DUMMYFUNCTION("IFNA(vlookup(D4754,IMPORTRANGE(""https://docs.google.com/spreadsheets/d/1swGwZOEqYlTEUCJLY-eeJM1911Kvaei5oySBIxdgtNo/edit?pli=1#gid=257618397"",""stock untanna!B:C""),2,false),V:V)"),"SIPOA MOSHI-MOSHI K")</f>
        <v>SIPOA MOSHI-MOSHI K</v>
      </c>
      <c r="F4754" s="49"/>
      <c r="G4754" s="71"/>
      <c r="H4754" s="41"/>
      <c r="I4754" s="42"/>
      <c r="J4754" s="85" t="s">
        <v>1319</v>
      </c>
      <c r="K4754" s="93">
        <v>0.5</v>
      </c>
      <c r="L4754" s="112" t="s">
        <v>62</v>
      </c>
      <c r="M4754" s="113">
        <v>90000.0</v>
      </c>
      <c r="N4754" s="74"/>
      <c r="O4754" s="87">
        <f t="shared" si="11"/>
        <v>45000</v>
      </c>
      <c r="P4754" s="102" t="str">
        <f t="shared" si="2"/>
        <v>Rp90,000-0.5 LSN-0.00%</v>
      </c>
      <c r="Q4754" s="92">
        <v>45432.0</v>
      </c>
      <c r="R4754" s="76"/>
      <c r="S4754" s="92">
        <v>45433.0</v>
      </c>
      <c r="T4754" s="49"/>
      <c r="V4754" s="21" t="s">
        <v>3963</v>
      </c>
    </row>
    <row r="4755">
      <c r="A4755" s="93">
        <v>2497.0</v>
      </c>
      <c r="B4755" s="77" t="s">
        <v>65</v>
      </c>
      <c r="C4755" s="77" t="s">
        <v>3903</v>
      </c>
      <c r="D4755" s="91"/>
      <c r="E4755" s="41" t="str">
        <f>IFERROR(__xludf.DUMMYFUNCTION("IFNA(vlookup(D4755,IMPORTRANGE(""https://docs.google.com/spreadsheets/d/1swGwZOEqYlTEUCJLY-eeJM1911Kvaei5oySBIxdgtNo/edit?pli=1#gid=257618397"",""stock untanna!B:C""),2,false),V:V)"),"SIPOA MOSHI2 B")</f>
        <v>SIPOA MOSHI2 B</v>
      </c>
      <c r="F4755" s="49"/>
      <c r="G4755" s="71"/>
      <c r="H4755" s="41"/>
      <c r="I4755" s="42"/>
      <c r="J4755" s="85" t="s">
        <v>3190</v>
      </c>
      <c r="K4755" s="93">
        <v>0.5</v>
      </c>
      <c r="L4755" s="112" t="s">
        <v>62</v>
      </c>
      <c r="M4755" s="113">
        <v>132000.0</v>
      </c>
      <c r="N4755" s="74"/>
      <c r="O4755" s="87">
        <f t="shared" si="11"/>
        <v>66000</v>
      </c>
      <c r="P4755" s="102" t="str">
        <f t="shared" si="2"/>
        <v>Rp132,000-0.5 LSN-0.00%</v>
      </c>
      <c r="Q4755" s="92">
        <v>45432.0</v>
      </c>
      <c r="R4755" s="76"/>
      <c r="S4755" s="92">
        <v>45433.0</v>
      </c>
      <c r="T4755" s="49"/>
      <c r="V4755" s="21" t="s">
        <v>3964</v>
      </c>
    </row>
    <row r="4756">
      <c r="A4756" s="93">
        <v>2497.0</v>
      </c>
      <c r="B4756" s="77" t="s">
        <v>65</v>
      </c>
      <c r="C4756" s="77" t="s">
        <v>3903</v>
      </c>
      <c r="D4756" s="77" t="s">
        <v>1107</v>
      </c>
      <c r="E4756" s="41" t="str">
        <f>IFERROR(__xludf.DUMMYFUNCTION("IFNA(vlookup(D4756,IMPORTRANGE(""https://docs.google.com/spreadsheets/d/1swGwZOEqYlTEUCJLY-eeJM1911Kvaei5oySBIxdgtNo/edit?pli=1#gid=257618397"",""stock untanna!B:C""),2,false),V:V)"),"PENCIL CASE 5866")</f>
        <v>PENCIL CASE 5866</v>
      </c>
      <c r="F4756" s="49"/>
      <c r="G4756" s="71"/>
      <c r="H4756" s="41"/>
      <c r="I4756" s="42"/>
      <c r="J4756" s="85" t="s">
        <v>1319</v>
      </c>
      <c r="K4756" s="93">
        <v>48.0</v>
      </c>
      <c r="L4756" s="112" t="s">
        <v>69</v>
      </c>
      <c r="M4756" s="113">
        <v>27500.0</v>
      </c>
      <c r="N4756" s="74"/>
      <c r="O4756" s="87">
        <f t="shared" si="11"/>
        <v>1320000</v>
      </c>
      <c r="P4756" s="102" t="str">
        <f t="shared" si="2"/>
        <v>Rp27,500-48 PCS-0.00%</v>
      </c>
      <c r="Q4756" s="92">
        <v>45432.0</v>
      </c>
      <c r="R4756" s="76"/>
      <c r="S4756" s="92">
        <v>45433.0</v>
      </c>
      <c r="T4756" s="49"/>
      <c r="V4756" s="21" t="s">
        <v>1108</v>
      </c>
    </row>
    <row r="4757">
      <c r="A4757" s="93">
        <v>2497.0</v>
      </c>
      <c r="B4757" s="77" t="s">
        <v>65</v>
      </c>
      <c r="C4757" s="77" t="s">
        <v>3903</v>
      </c>
      <c r="D4757" s="77" t="s">
        <v>1113</v>
      </c>
      <c r="E4757" s="41" t="str">
        <f>IFERROR(__xludf.DUMMYFUNCTION("IFNA(vlookup(D4757,IMPORTRANGE(""https://docs.google.com/spreadsheets/d/1swGwZOEqYlTEUCJLY-eeJM1911Kvaei5oySBIxdgtNo/edit?pli=1#gid=257618397"",""stock untanna!B:C""),2,false),V:V)"),"PENCIL CASE 5864")</f>
        <v>PENCIL CASE 5864</v>
      </c>
      <c r="F4757" s="49"/>
      <c r="G4757" s="71"/>
      <c r="H4757" s="41"/>
      <c r="I4757" s="42"/>
      <c r="J4757" s="85" t="s">
        <v>1319</v>
      </c>
      <c r="K4757" s="93">
        <v>48.0</v>
      </c>
      <c r="L4757" s="112" t="s">
        <v>69</v>
      </c>
      <c r="M4757" s="113">
        <v>27500.0</v>
      </c>
      <c r="N4757" s="74"/>
      <c r="O4757" s="87">
        <f t="shared" si="11"/>
        <v>1320000</v>
      </c>
      <c r="P4757" s="102" t="str">
        <f t="shared" si="2"/>
        <v>Rp27,500-48 PCS-0.00%</v>
      </c>
      <c r="Q4757" s="92">
        <v>45432.0</v>
      </c>
      <c r="R4757" s="76"/>
      <c r="S4757" s="92">
        <v>45433.0</v>
      </c>
      <c r="T4757" s="49"/>
      <c r="V4757" s="21" t="s">
        <v>1114</v>
      </c>
    </row>
    <row r="4758">
      <c r="A4758" s="93">
        <v>2497.0</v>
      </c>
      <c r="B4758" s="77" t="s">
        <v>65</v>
      </c>
      <c r="C4758" s="77" t="s">
        <v>3903</v>
      </c>
      <c r="D4758" s="77" t="s">
        <v>22</v>
      </c>
      <c r="E4758" s="41" t="str">
        <f>IFERROR(__xludf.DUMMYFUNCTION("IFNA(vlookup(D4758,IMPORTRANGE(""https://docs.google.com/spreadsheets/d/1swGwZOEqYlTEUCJLY-eeJM1911Kvaei5oySBIxdgtNo/edit?pli=1#gid=257618397"",""stock untanna!B:C""),2,false),V:V)"),"PENCIL CASE 5811")</f>
        <v>PENCIL CASE 5811</v>
      </c>
      <c r="F4758" s="49"/>
      <c r="G4758" s="71"/>
      <c r="H4758" s="41"/>
      <c r="I4758" s="42"/>
      <c r="J4758" s="85" t="s">
        <v>1319</v>
      </c>
      <c r="K4758" s="93">
        <v>48.0</v>
      </c>
      <c r="L4758" s="112" t="s">
        <v>69</v>
      </c>
      <c r="M4758" s="113">
        <v>27500.0</v>
      </c>
      <c r="N4758" s="74"/>
      <c r="O4758" s="87">
        <f t="shared" si="11"/>
        <v>1320000</v>
      </c>
      <c r="P4758" s="102" t="str">
        <f t="shared" si="2"/>
        <v>Rp27,500-48 PCS-0.00%</v>
      </c>
      <c r="Q4758" s="92">
        <v>45432.0</v>
      </c>
      <c r="R4758" s="76"/>
      <c r="S4758" s="92">
        <v>45433.0</v>
      </c>
      <c r="T4758" s="49"/>
      <c r="V4758" s="21" t="s">
        <v>1152</v>
      </c>
    </row>
    <row r="4759">
      <c r="A4759" s="93">
        <v>2497.0</v>
      </c>
      <c r="B4759" s="77" t="s">
        <v>65</v>
      </c>
      <c r="C4759" s="77" t="s">
        <v>3903</v>
      </c>
      <c r="D4759" s="77" t="s">
        <v>18</v>
      </c>
      <c r="E4759" s="41" t="str">
        <f>IFERROR(__xludf.DUMMYFUNCTION("IFNA(vlookup(D4759,IMPORTRANGE(""https://docs.google.com/spreadsheets/d/1swGwZOEqYlTEUCJLY-eeJM1911Kvaei5oySBIxdgtNo/edit?pli=1#gid=257618397"",""stock untanna!B:C""),2,false),V:V)"),"PENCIL CASE 5815")</f>
        <v>PENCIL CASE 5815</v>
      </c>
      <c r="F4759" s="49"/>
      <c r="G4759" s="71"/>
      <c r="H4759" s="41"/>
      <c r="I4759" s="42"/>
      <c r="J4759" s="85" t="s">
        <v>1319</v>
      </c>
      <c r="K4759" s="93">
        <v>48.0</v>
      </c>
      <c r="L4759" s="112" t="s">
        <v>69</v>
      </c>
      <c r="M4759" s="113">
        <v>27500.0</v>
      </c>
      <c r="N4759" s="74"/>
      <c r="O4759" s="87">
        <f t="shared" si="11"/>
        <v>1320000</v>
      </c>
      <c r="P4759" s="102" t="str">
        <f t="shared" si="2"/>
        <v>Rp27,500-48 PCS-0.00%</v>
      </c>
      <c r="Q4759" s="92">
        <v>45432.0</v>
      </c>
      <c r="R4759" s="76"/>
      <c r="S4759" s="92">
        <v>45433.0</v>
      </c>
      <c r="T4759" s="49"/>
      <c r="V4759" s="21" t="s">
        <v>2674</v>
      </c>
    </row>
    <row r="4760">
      <c r="A4760" s="93">
        <v>2497.0</v>
      </c>
      <c r="B4760" s="77" t="s">
        <v>65</v>
      </c>
      <c r="C4760" s="77" t="s">
        <v>3903</v>
      </c>
      <c r="D4760" s="77" t="s">
        <v>3965</v>
      </c>
      <c r="E4760" s="41" t="str">
        <f>IFERROR(__xludf.DUMMYFUNCTION("IFNA(vlookup(D4760,IMPORTRANGE(""https://docs.google.com/spreadsheets/d/1swGwZOEqYlTEUCJLY-eeJM1911Kvaei5oySBIxdgtNo/edit?pli=1#gid=257618397"",""stock untanna!B:C""),2,false),V:V)"),"PENCIL CASE 5848")</f>
        <v>PENCIL CASE 5848</v>
      </c>
      <c r="F4760" s="49"/>
      <c r="G4760" s="71"/>
      <c r="H4760" s="41"/>
      <c r="I4760" s="42"/>
      <c r="J4760" s="85" t="s">
        <v>1319</v>
      </c>
      <c r="K4760" s="93">
        <v>48.0</v>
      </c>
      <c r="L4760" s="112" t="s">
        <v>69</v>
      </c>
      <c r="M4760" s="113">
        <v>27500.0</v>
      </c>
      <c r="N4760" s="74"/>
      <c r="O4760" s="87">
        <f t="shared" si="11"/>
        <v>1320000</v>
      </c>
      <c r="P4760" s="102" t="str">
        <f t="shared" si="2"/>
        <v>Rp27,500-48 PCS-0.00%</v>
      </c>
      <c r="Q4760" s="92">
        <v>45432.0</v>
      </c>
      <c r="R4760" s="76"/>
      <c r="S4760" s="92">
        <v>45433.0</v>
      </c>
      <c r="T4760" s="49"/>
      <c r="V4760" s="21" t="s">
        <v>3966</v>
      </c>
    </row>
    <row r="4761">
      <c r="A4761" s="93">
        <v>2497.0</v>
      </c>
      <c r="B4761" s="77" t="s">
        <v>65</v>
      </c>
      <c r="C4761" s="77" t="s">
        <v>3903</v>
      </c>
      <c r="D4761" s="77" t="s">
        <v>1144</v>
      </c>
      <c r="E4761" s="41" t="str">
        <f>IFERROR(__xludf.DUMMYFUNCTION("IFNA(vlookup(D4761,IMPORTRANGE(""https://docs.google.com/spreadsheets/d/1swGwZOEqYlTEUCJLY-eeJM1911Kvaei5oySBIxdgtNo/edit?pli=1#gid=257618397"",""stock untanna!B:C""),2,false),V:V)"),"PENSIL CASE 5853")</f>
        <v>PENSIL CASE 5853</v>
      </c>
      <c r="F4761" s="49"/>
      <c r="G4761" s="71"/>
      <c r="H4761" s="41"/>
      <c r="I4761" s="42"/>
      <c r="J4761" s="85" t="s">
        <v>1319</v>
      </c>
      <c r="K4761" s="93">
        <v>48.0</v>
      </c>
      <c r="L4761" s="112" t="s">
        <v>69</v>
      </c>
      <c r="M4761" s="113">
        <v>32083.3</v>
      </c>
      <c r="N4761" s="74"/>
      <c r="O4761" s="87">
        <f t="shared" si="11"/>
        <v>1539998.4</v>
      </c>
      <c r="P4761" s="102" t="str">
        <f t="shared" si="2"/>
        <v>Rp32,083-48 PCS-0.00%</v>
      </c>
      <c r="Q4761" s="92">
        <v>45432.0</v>
      </c>
      <c r="R4761" s="76"/>
      <c r="S4761" s="92">
        <v>45433.0</v>
      </c>
      <c r="T4761" s="49"/>
      <c r="V4761" s="21" t="s">
        <v>1145</v>
      </c>
    </row>
    <row r="4762">
      <c r="A4762" s="93">
        <v>2497.0</v>
      </c>
      <c r="B4762" s="77" t="s">
        <v>65</v>
      </c>
      <c r="C4762" s="77" t="s">
        <v>3903</v>
      </c>
      <c r="D4762" s="77" t="s">
        <v>1047</v>
      </c>
      <c r="E4762" s="41" t="str">
        <f>IFERROR(__xludf.DUMMYFUNCTION("IFNA(vlookup(D4762,IMPORTRANGE(""https://docs.google.com/spreadsheets/d/1swGwZOEqYlTEUCJLY-eeJM1911Kvaei5oySBIxdgtNo/edit?pli=1#gid=257618397"",""stock untanna!B:C""),2,false),V:V)"),"PENSIL CASE 5871")</f>
        <v>PENSIL CASE 5871</v>
      </c>
      <c r="F4762" s="49"/>
      <c r="G4762" s="71"/>
      <c r="H4762" s="41"/>
      <c r="I4762" s="42"/>
      <c r="J4762" s="85" t="s">
        <v>1319</v>
      </c>
      <c r="K4762" s="93">
        <v>48.0</v>
      </c>
      <c r="L4762" s="112" t="s">
        <v>69</v>
      </c>
      <c r="M4762" s="113">
        <v>27500.0</v>
      </c>
      <c r="N4762" s="74"/>
      <c r="O4762" s="87">
        <f t="shared" si="11"/>
        <v>1320000</v>
      </c>
      <c r="P4762" s="102" t="str">
        <f t="shared" si="2"/>
        <v>Rp27,500-48 PCS-0.00%</v>
      </c>
      <c r="Q4762" s="92">
        <v>45432.0</v>
      </c>
      <c r="R4762" s="76"/>
      <c r="S4762" s="92">
        <v>45433.0</v>
      </c>
      <c r="T4762" s="49"/>
      <c r="V4762" s="21" t="s">
        <v>1048</v>
      </c>
    </row>
    <row r="4763">
      <c r="A4763" s="93">
        <v>2497.0</v>
      </c>
      <c r="B4763" s="77" t="s">
        <v>65</v>
      </c>
      <c r="C4763" s="77" t="s">
        <v>3903</v>
      </c>
      <c r="D4763" s="77" t="s">
        <v>1050</v>
      </c>
      <c r="E4763" s="41" t="str">
        <f>IFERROR(__xludf.DUMMYFUNCTION("IFNA(vlookup(D4763,IMPORTRANGE(""https://docs.google.com/spreadsheets/d/1swGwZOEqYlTEUCJLY-eeJM1911Kvaei5oySBIxdgtNo/edit?pli=1#gid=257618397"",""stock untanna!B:C""),2,false),V:V)"),"PENSIL CASE SH-8602")</f>
        <v>PENSIL CASE SH-8602</v>
      </c>
      <c r="F4763" s="49"/>
      <c r="G4763" s="71"/>
      <c r="H4763" s="41"/>
      <c r="I4763" s="42"/>
      <c r="J4763" s="85" t="s">
        <v>1319</v>
      </c>
      <c r="K4763" s="93">
        <v>30.0</v>
      </c>
      <c r="L4763" s="112" t="s">
        <v>69</v>
      </c>
      <c r="M4763" s="113">
        <v>32083.3</v>
      </c>
      <c r="N4763" s="74"/>
      <c r="O4763" s="87">
        <f t="shared" si="11"/>
        <v>962499</v>
      </c>
      <c r="P4763" s="102" t="str">
        <f t="shared" si="2"/>
        <v>Rp32,083-30 PCS-0.00%</v>
      </c>
      <c r="Q4763" s="92">
        <v>45432.0</v>
      </c>
      <c r="R4763" s="76"/>
      <c r="S4763" s="92">
        <v>45433.0</v>
      </c>
      <c r="T4763" s="49"/>
      <c r="V4763" s="21" t="s">
        <v>1051</v>
      </c>
    </row>
    <row r="4764">
      <c r="A4764" s="93">
        <v>2497.0</v>
      </c>
      <c r="B4764" s="77" t="s">
        <v>65</v>
      </c>
      <c r="C4764" s="77" t="s">
        <v>3903</v>
      </c>
      <c r="D4764" s="77" t="s">
        <v>1153</v>
      </c>
      <c r="E4764" s="41" t="str">
        <f>IFERROR(__xludf.DUMMYFUNCTION("IFNA(vlookup(D4764,IMPORTRANGE(""https://docs.google.com/spreadsheets/d/1swGwZOEqYlTEUCJLY-eeJM1911Kvaei5oySBIxdgtNo/edit?pli=1#gid=257618397"",""stock untanna!B:C""),2,false),V:V)"),"PENSIL CASE SH-8601")</f>
        <v>PENSIL CASE SH-8601</v>
      </c>
      <c r="F4764" s="49"/>
      <c r="G4764" s="71"/>
      <c r="H4764" s="41"/>
      <c r="I4764" s="42"/>
      <c r="J4764" s="85" t="s">
        <v>1319</v>
      </c>
      <c r="K4764" s="93">
        <v>30.0</v>
      </c>
      <c r="L4764" s="112" t="s">
        <v>69</v>
      </c>
      <c r="M4764" s="113">
        <v>32083.3</v>
      </c>
      <c r="N4764" s="74"/>
      <c r="O4764" s="87">
        <f t="shared" si="11"/>
        <v>962499</v>
      </c>
      <c r="P4764" s="102" t="str">
        <f t="shared" si="2"/>
        <v>Rp32,083-30 PCS-0.00%</v>
      </c>
      <c r="Q4764" s="92">
        <v>45432.0</v>
      </c>
      <c r="R4764" s="76"/>
      <c r="S4764" s="92">
        <v>45433.0</v>
      </c>
      <c r="T4764" s="49"/>
      <c r="V4764" s="21" t="s">
        <v>1154</v>
      </c>
    </row>
    <row r="4765">
      <c r="A4765" s="93">
        <v>2497.0</v>
      </c>
      <c r="B4765" s="77" t="s">
        <v>65</v>
      </c>
      <c r="C4765" s="77" t="s">
        <v>3903</v>
      </c>
      <c r="D4765" s="77" t="s">
        <v>562</v>
      </c>
      <c r="E4765" s="41" t="str">
        <f>IFERROR(__xludf.DUMMYFUNCTION("IFNA(vlookup(D4765,IMPORTRANGE(""https://docs.google.com/spreadsheets/d/1swGwZOEqYlTEUCJLY-eeJM1911Kvaei5oySBIxdgtNo/edit?pli=1#gid=257618397"",""stock untanna!B:C""),2,false),V:V)"),"PENSIL CASE 5851")</f>
        <v>PENSIL CASE 5851</v>
      </c>
      <c r="F4765" s="49"/>
      <c r="G4765" s="71"/>
      <c r="H4765" s="41"/>
      <c r="I4765" s="42"/>
      <c r="J4765" s="85" t="s">
        <v>1319</v>
      </c>
      <c r="K4765" s="93">
        <v>48.0</v>
      </c>
      <c r="L4765" s="112" t="s">
        <v>69</v>
      </c>
      <c r="M4765" s="113">
        <v>27500.0</v>
      </c>
      <c r="N4765" s="74"/>
      <c r="O4765" s="87">
        <f t="shared" si="11"/>
        <v>1320000</v>
      </c>
      <c r="P4765" s="102" t="str">
        <f t="shared" si="2"/>
        <v>Rp27,500-48 PCS-0.00%</v>
      </c>
      <c r="Q4765" s="92">
        <v>45432.0</v>
      </c>
      <c r="R4765" s="76"/>
      <c r="S4765" s="92">
        <v>45433.0</v>
      </c>
      <c r="T4765" s="49"/>
      <c r="V4765" s="21" t="s">
        <v>563</v>
      </c>
    </row>
    <row r="4766">
      <c r="A4766" s="93">
        <v>2498.0</v>
      </c>
      <c r="B4766" s="77" t="s">
        <v>65</v>
      </c>
      <c r="C4766" s="77" t="s">
        <v>3903</v>
      </c>
      <c r="D4766" s="91"/>
      <c r="E4766" s="41" t="str">
        <f>IFERROR(__xludf.DUMMYFUNCTION("IFNA(vlookup(D4766,IMPORTRANGE(""https://docs.google.com/spreadsheets/d/1swGwZOEqYlTEUCJLY-eeJM1911Kvaei5oySBIxdgtNo/edit?pli=1#gid=257618397"",""stock untanna!B:C""),2,false),V:V)"),"SIPOA YM 011")</f>
        <v>SIPOA YM 011</v>
      </c>
      <c r="F4766" s="49"/>
      <c r="G4766" s="71"/>
      <c r="H4766" s="41"/>
      <c r="I4766" s="42"/>
      <c r="J4766" s="85" t="s">
        <v>1319</v>
      </c>
      <c r="K4766" s="93">
        <v>0.5</v>
      </c>
      <c r="L4766" s="112" t="s">
        <v>62</v>
      </c>
      <c r="M4766" s="113">
        <v>95000.0</v>
      </c>
      <c r="N4766" s="74"/>
      <c r="O4766" s="87">
        <f t="shared" si="11"/>
        <v>47500</v>
      </c>
      <c r="P4766" s="102" t="str">
        <f t="shared" si="2"/>
        <v>Rp95,000-0.5 LSN-0.00%</v>
      </c>
      <c r="Q4766" s="92">
        <v>45432.0</v>
      </c>
      <c r="R4766" s="76"/>
      <c r="S4766" s="92">
        <v>45433.0</v>
      </c>
      <c r="T4766" s="77" t="s">
        <v>280</v>
      </c>
      <c r="V4766" s="21" t="s">
        <v>3967</v>
      </c>
    </row>
    <row r="4767">
      <c r="A4767" s="93">
        <v>2498.0</v>
      </c>
      <c r="B4767" s="77" t="s">
        <v>65</v>
      </c>
      <c r="C4767" s="77" t="s">
        <v>3903</v>
      </c>
      <c r="D4767" s="77" t="s">
        <v>584</v>
      </c>
      <c r="E4767" s="41" t="str">
        <f>IFERROR(__xludf.DUMMYFUNCTION("IFNA(vlookup(D4767,IMPORTRANGE(""https://docs.google.com/spreadsheets/d/1swGwZOEqYlTEUCJLY-eeJM1911Kvaei5oySBIxdgtNo/edit?pli=1#gid=257618397"",""stock untanna!B:C""),2,false),V:V)"),"PENSIL CASE 8300AV TIMBUL")</f>
        <v>PENSIL CASE 8300AV TIMBUL</v>
      </c>
      <c r="F4767" s="49"/>
      <c r="G4767" s="71"/>
      <c r="H4767" s="41"/>
      <c r="I4767" s="42"/>
      <c r="J4767" s="85" t="s">
        <v>1319</v>
      </c>
      <c r="K4767" s="93">
        <v>12.0</v>
      </c>
      <c r="L4767" s="112" t="s">
        <v>69</v>
      </c>
      <c r="M4767" s="113">
        <v>36666.7</v>
      </c>
      <c r="N4767" s="74"/>
      <c r="O4767" s="87">
        <f t="shared" si="11"/>
        <v>440000.4</v>
      </c>
      <c r="P4767" s="102" t="str">
        <f t="shared" si="2"/>
        <v>Rp36,667-12 PCS-0.00%</v>
      </c>
      <c r="Q4767" s="92">
        <v>45432.0</v>
      </c>
      <c r="R4767" s="76"/>
      <c r="S4767" s="92">
        <v>45433.0</v>
      </c>
      <c r="T4767" s="49"/>
      <c r="V4767" s="21" t="s">
        <v>585</v>
      </c>
    </row>
    <row r="4768">
      <c r="A4768" s="93">
        <v>2498.0</v>
      </c>
      <c r="B4768" s="77" t="s">
        <v>65</v>
      </c>
      <c r="C4768" s="77" t="s">
        <v>3903</v>
      </c>
      <c r="D4768" s="77" t="s">
        <v>1406</v>
      </c>
      <c r="E4768" s="41" t="str">
        <f>IFERROR(__xludf.DUMMYFUNCTION("IFNA(vlookup(D4768,IMPORTRANGE(""https://docs.google.com/spreadsheets/d/1swGwZOEqYlTEUCJLY-eeJM1911Kvaei5oySBIxdgtNo/edit?pli=1#gid=257618397"",""stock untanna!B:C""),2,false),V:V)"),"PENSIL CASE 8300TK TIMBUL")</f>
        <v>PENSIL CASE 8300TK TIMBUL</v>
      </c>
      <c r="F4768" s="49"/>
      <c r="G4768" s="71"/>
      <c r="H4768" s="41"/>
      <c r="I4768" s="42"/>
      <c r="J4768" s="85" t="s">
        <v>1319</v>
      </c>
      <c r="K4768" s="93">
        <v>12.0</v>
      </c>
      <c r="L4768" s="112" t="s">
        <v>69</v>
      </c>
      <c r="M4768" s="113">
        <v>36666.7</v>
      </c>
      <c r="N4768" s="74"/>
      <c r="O4768" s="87">
        <f t="shared" si="11"/>
        <v>440000.4</v>
      </c>
      <c r="P4768" s="102" t="str">
        <f t="shared" si="2"/>
        <v>Rp36,667-12 PCS-0.00%</v>
      </c>
      <c r="Q4768" s="92">
        <v>45432.0</v>
      </c>
      <c r="R4768" s="76"/>
      <c r="S4768" s="92">
        <v>45433.0</v>
      </c>
      <c r="T4768" s="49"/>
      <c r="V4768" s="21" t="s">
        <v>1407</v>
      </c>
    </row>
    <row r="4769">
      <c r="A4769" s="93">
        <v>2498.0</v>
      </c>
      <c r="B4769" s="77" t="s">
        <v>65</v>
      </c>
      <c r="C4769" s="77" t="s">
        <v>3903</v>
      </c>
      <c r="D4769" s="77" t="s">
        <v>588</v>
      </c>
      <c r="E4769" s="41" t="str">
        <f>IFERROR(__xludf.DUMMYFUNCTION("IFNA(vlookup(D4769,IMPORTRANGE(""https://docs.google.com/spreadsheets/d/1swGwZOEqYlTEUCJLY-eeJM1911Kvaei5oySBIxdgtNo/edit?pli=1#gid=257618397"",""stock untanna!B:C""),2,false),V:V)"),"PENSIL CASE 8300D TIMBUL")</f>
        <v>PENSIL CASE 8300D TIMBUL</v>
      </c>
      <c r="F4769" s="49"/>
      <c r="G4769" s="71"/>
      <c r="H4769" s="41"/>
      <c r="I4769" s="42"/>
      <c r="J4769" s="85" t="s">
        <v>1319</v>
      </c>
      <c r="K4769" s="93">
        <v>12.0</v>
      </c>
      <c r="L4769" s="112" t="s">
        <v>69</v>
      </c>
      <c r="M4769" s="113">
        <v>36666.7</v>
      </c>
      <c r="N4769" s="74"/>
      <c r="O4769" s="87">
        <f t="shared" si="11"/>
        <v>440000.4</v>
      </c>
      <c r="P4769" s="102" t="str">
        <f t="shared" si="2"/>
        <v>Rp36,667-12 PCS-0.00%</v>
      </c>
      <c r="Q4769" s="92">
        <v>45432.0</v>
      </c>
      <c r="R4769" s="76"/>
      <c r="S4769" s="92">
        <v>45433.0</v>
      </c>
      <c r="T4769" s="49"/>
      <c r="V4769" s="21" t="s">
        <v>589</v>
      </c>
    </row>
    <row r="4770">
      <c r="A4770" s="93">
        <v>2498.0</v>
      </c>
      <c r="B4770" s="77" t="s">
        <v>65</v>
      </c>
      <c r="C4770" s="77" t="s">
        <v>3903</v>
      </c>
      <c r="D4770" s="77" t="s">
        <v>1404</v>
      </c>
      <c r="E4770" s="41" t="str">
        <f>IFERROR(__xludf.DUMMYFUNCTION("IFNA(vlookup(D4770,IMPORTRANGE(""https://docs.google.com/spreadsheets/d/1swGwZOEqYlTEUCJLY-eeJM1911Kvaei5oySBIxdgtNo/edit?pli=1#gid=257618397"",""stock untanna!B:C""),2,false),V:V)"),"PENSIL CASE 8300SG TIMBUL")</f>
        <v>PENSIL CASE 8300SG TIMBUL</v>
      </c>
      <c r="F4770" s="49"/>
      <c r="G4770" s="71"/>
      <c r="H4770" s="41"/>
      <c r="I4770" s="42"/>
      <c r="J4770" s="85" t="s">
        <v>1319</v>
      </c>
      <c r="K4770" s="93">
        <v>12.0</v>
      </c>
      <c r="L4770" s="112" t="s">
        <v>69</v>
      </c>
      <c r="M4770" s="113">
        <v>36666.7</v>
      </c>
      <c r="N4770" s="74"/>
      <c r="O4770" s="87">
        <f t="shared" si="11"/>
        <v>440000.4</v>
      </c>
      <c r="P4770" s="102" t="str">
        <f t="shared" si="2"/>
        <v>Rp36,667-12 PCS-0.00%</v>
      </c>
      <c r="Q4770" s="92">
        <v>45432.0</v>
      </c>
      <c r="R4770" s="76"/>
      <c r="S4770" s="92">
        <v>45433.0</v>
      </c>
      <c r="T4770" s="49"/>
      <c r="V4770" s="21" t="s">
        <v>1405</v>
      </c>
    </row>
    <row r="4771">
      <c r="A4771" s="93">
        <v>2498.0</v>
      </c>
      <c r="B4771" s="77" t="s">
        <v>65</v>
      </c>
      <c r="C4771" s="77" t="s">
        <v>3903</v>
      </c>
      <c r="D4771" s="77" t="s">
        <v>592</v>
      </c>
      <c r="E4771" s="41" t="str">
        <f>IFERROR(__xludf.DUMMYFUNCTION("IFNA(vlookup(D4771,IMPORTRANGE(""https://docs.google.com/spreadsheets/d/1swGwZOEqYlTEUCJLY-eeJM1911Kvaei5oySBIxdgtNo/edit?pli=1#gid=257618397"",""stock untanna!B:C""),2,false),V:V)"),"PENSIL CASE A-1037 + CAL")</f>
        <v>PENSIL CASE A-1037 + CAL</v>
      </c>
      <c r="F4771" s="49"/>
      <c r="G4771" s="71"/>
      <c r="H4771" s="41"/>
      <c r="I4771" s="42"/>
      <c r="J4771" s="85" t="s">
        <v>1319</v>
      </c>
      <c r="K4771" s="93">
        <v>20.0</v>
      </c>
      <c r="L4771" s="112" t="s">
        <v>69</v>
      </c>
      <c r="M4771" s="113">
        <v>16500.0</v>
      </c>
      <c r="N4771" s="74"/>
      <c r="O4771" s="87">
        <f t="shared" si="11"/>
        <v>330000</v>
      </c>
      <c r="P4771" s="102" t="str">
        <f t="shared" si="2"/>
        <v>Rp16,500-20 PCS-0.00%</v>
      </c>
      <c r="Q4771" s="92">
        <v>45432.0</v>
      </c>
      <c r="R4771" s="76"/>
      <c r="S4771" s="92">
        <v>45433.0</v>
      </c>
      <c r="T4771" s="49"/>
      <c r="V4771" s="21" t="s">
        <v>593</v>
      </c>
    </row>
    <row r="4772">
      <c r="A4772" s="93">
        <v>2498.0</v>
      </c>
      <c r="B4772" s="77" t="s">
        <v>65</v>
      </c>
      <c r="C4772" s="77" t="s">
        <v>3903</v>
      </c>
      <c r="D4772" s="77" t="s">
        <v>3968</v>
      </c>
      <c r="E4772" s="41" t="str">
        <f>IFERROR(__xludf.DUMMYFUNCTION("IFNA(vlookup(D4772,IMPORTRANGE(""https://docs.google.com/spreadsheets/d/1swGwZOEqYlTEUCJLY-eeJM1911Kvaei5oySBIxdgtNo/edit?pli=1#gid=257618397"",""stock untanna!B:C""),2,false),V:V)"),"PENSIL CASE 6A-25")</f>
        <v>PENSIL CASE 6A-25</v>
      </c>
      <c r="F4772" s="49"/>
      <c r="G4772" s="71"/>
      <c r="H4772" s="41"/>
      <c r="I4772" s="42"/>
      <c r="J4772" s="85" t="s">
        <v>1319</v>
      </c>
      <c r="K4772" s="93">
        <v>24.0</v>
      </c>
      <c r="L4772" s="112" t="s">
        <v>69</v>
      </c>
      <c r="M4772" s="113">
        <v>20625.0</v>
      </c>
      <c r="N4772" s="74"/>
      <c r="O4772" s="87">
        <f t="shared" si="11"/>
        <v>495000</v>
      </c>
      <c r="P4772" s="102" t="str">
        <f t="shared" si="2"/>
        <v>Rp20,625-24 PCS-0.00%</v>
      </c>
      <c r="Q4772" s="92">
        <v>45432.0</v>
      </c>
      <c r="R4772" s="76"/>
      <c r="S4772" s="92">
        <v>45433.0</v>
      </c>
      <c r="T4772" s="49"/>
      <c r="V4772" s="21" t="s">
        <v>3969</v>
      </c>
    </row>
    <row r="4773">
      <c r="A4773" s="93">
        <v>2498.0</v>
      </c>
      <c r="B4773" s="77" t="s">
        <v>65</v>
      </c>
      <c r="C4773" s="77" t="s">
        <v>3903</v>
      </c>
      <c r="D4773" s="77" t="s">
        <v>95</v>
      </c>
      <c r="E4773" s="41" t="str">
        <f>IFERROR(__xludf.DUMMYFUNCTION("IFNA(vlookup(D4773,IMPORTRANGE(""https://docs.google.com/spreadsheets/d/1swGwZOEqYlTEUCJLY-eeJM1911Kvaei5oySBIxdgtNo/edit?pli=1#gid=257618397"",""stock untanna!B:C""),2,false),V:V)"),"PENCIL CASE MAGNET 8631 + CALL")</f>
        <v>PENCIL CASE MAGNET 8631 + CALL</v>
      </c>
      <c r="F4773" s="49"/>
      <c r="G4773" s="71"/>
      <c r="H4773" s="41"/>
      <c r="I4773" s="42"/>
      <c r="J4773" s="85" t="s">
        <v>1319</v>
      </c>
      <c r="K4773" s="93">
        <v>20.0</v>
      </c>
      <c r="L4773" s="112" t="s">
        <v>69</v>
      </c>
      <c r="M4773" s="113">
        <v>19583.3</v>
      </c>
      <c r="N4773" s="74"/>
      <c r="O4773" s="87">
        <f t="shared" si="11"/>
        <v>391666</v>
      </c>
      <c r="P4773" s="102" t="str">
        <f t="shared" si="2"/>
        <v>Rp19,583-20 PCS-0.00%</v>
      </c>
      <c r="Q4773" s="92">
        <v>45432.0</v>
      </c>
      <c r="R4773" s="76"/>
      <c r="S4773" s="92">
        <v>45433.0</v>
      </c>
      <c r="T4773" s="49"/>
      <c r="V4773" s="21" t="s">
        <v>96</v>
      </c>
    </row>
    <row r="4774">
      <c r="A4774" s="93">
        <v>2498.0</v>
      </c>
      <c r="B4774" s="77" t="s">
        <v>65</v>
      </c>
      <c r="C4774" s="77" t="s">
        <v>3903</v>
      </c>
      <c r="D4774" s="77" t="s">
        <v>2676</v>
      </c>
      <c r="E4774" s="41" t="str">
        <f>IFERROR(__xludf.DUMMYFUNCTION("IFNA(vlookup(D4774,IMPORTRANGE(""https://docs.google.com/spreadsheets/d/1swGwZOEqYlTEUCJLY-eeJM1911Kvaei5oySBIxdgtNo/edit?pli=1#gid=257618397"",""stock untanna!B:C""),2,false),V:V)"),"PENSIL CASE PC-613-7 KALENG")</f>
        <v>PENSIL CASE PC-613-7 KALENG</v>
      </c>
      <c r="F4774" s="49"/>
      <c r="G4774" s="71"/>
      <c r="H4774" s="41"/>
      <c r="I4774" s="42"/>
      <c r="J4774" s="85" t="s">
        <v>1319</v>
      </c>
      <c r="K4774" s="93">
        <v>20.0</v>
      </c>
      <c r="L4774" s="112" t="s">
        <v>69</v>
      </c>
      <c r="M4774" s="113">
        <v>10083.3</v>
      </c>
      <c r="N4774" s="74"/>
      <c r="O4774" s="87">
        <f t="shared" si="11"/>
        <v>201666</v>
      </c>
      <c r="P4774" s="102" t="str">
        <f t="shared" si="2"/>
        <v>Rp10,083-20 PCS-0.00%</v>
      </c>
      <c r="Q4774" s="92">
        <v>45432.0</v>
      </c>
      <c r="R4774" s="76"/>
      <c r="S4774" s="92">
        <v>45433.0</v>
      </c>
      <c r="T4774" s="49"/>
      <c r="V4774" s="21" t="s">
        <v>2677</v>
      </c>
    </row>
    <row r="4775">
      <c r="A4775" s="93">
        <v>2498.0</v>
      </c>
      <c r="B4775" s="77" t="s">
        <v>65</v>
      </c>
      <c r="C4775" s="77" t="s">
        <v>3903</v>
      </c>
      <c r="D4775" s="91"/>
      <c r="E4775" s="41" t="str">
        <f>IFERROR(__xludf.DUMMYFUNCTION("IFNA(vlookup(D4775,IMPORTRANGE(""https://docs.google.com/spreadsheets/d/1swGwZOEqYlTEUCJLY-eeJM1911Kvaei5oySBIxdgtNo/edit?pli=1#gid=257618397"",""stock untanna!B:C""),2,false),V:V)"),"PC KLG B-905 MOBIL")</f>
        <v>PC KLG B-905 MOBIL</v>
      </c>
      <c r="F4775" s="49"/>
      <c r="G4775" s="71"/>
      <c r="H4775" s="41"/>
      <c r="I4775" s="42"/>
      <c r="J4775" s="85" t="s">
        <v>1319</v>
      </c>
      <c r="K4775" s="93">
        <v>1.0</v>
      </c>
      <c r="L4775" s="112" t="s">
        <v>62</v>
      </c>
      <c r="M4775" s="113">
        <v>225000.0</v>
      </c>
      <c r="N4775" s="74"/>
      <c r="O4775" s="87">
        <f t="shared" si="11"/>
        <v>225000</v>
      </c>
      <c r="P4775" s="102" t="str">
        <f t="shared" si="2"/>
        <v>Rp225,000-1 LSN-0.00%</v>
      </c>
      <c r="Q4775" s="92">
        <v>45432.0</v>
      </c>
      <c r="R4775" s="76"/>
      <c r="S4775" s="92">
        <v>45433.0</v>
      </c>
      <c r="T4775" s="77" t="s">
        <v>280</v>
      </c>
      <c r="V4775" s="21" t="s">
        <v>602</v>
      </c>
    </row>
    <row r="4776">
      <c r="A4776" s="93">
        <v>2498.0</v>
      </c>
      <c r="B4776" s="77" t="s">
        <v>65</v>
      </c>
      <c r="C4776" s="77" t="s">
        <v>3903</v>
      </c>
      <c r="D4776" s="91"/>
      <c r="E4776" s="41" t="str">
        <f>IFERROR(__xludf.DUMMYFUNCTION("IFNA(vlookup(D4776,IMPORTRANGE(""https://docs.google.com/spreadsheets/d/1swGwZOEqYlTEUCJLY-eeJM1911Kvaei5oySBIxdgtNo/edit?pli=1#gid=257618397"",""stock untanna!B:C""),2,false),V:V)"),"PC KLG 9888 MOBIL 3SS")</f>
        <v>PC KLG 9888 MOBIL 3SS</v>
      </c>
      <c r="F4776" s="49"/>
      <c r="G4776" s="71"/>
      <c r="H4776" s="41"/>
      <c r="I4776" s="42"/>
      <c r="J4776" s="85" t="s">
        <v>1319</v>
      </c>
      <c r="K4776" s="93">
        <v>1.0</v>
      </c>
      <c r="L4776" s="112" t="s">
        <v>62</v>
      </c>
      <c r="M4776" s="113">
        <v>172000.0</v>
      </c>
      <c r="N4776" s="74"/>
      <c r="O4776" s="87">
        <f t="shared" si="11"/>
        <v>172000</v>
      </c>
      <c r="P4776" s="102" t="str">
        <f t="shared" si="2"/>
        <v>Rp172,000-1 LSN-0.00%</v>
      </c>
      <c r="Q4776" s="92">
        <v>45432.0</v>
      </c>
      <c r="R4776" s="76"/>
      <c r="S4776" s="92">
        <v>45433.0</v>
      </c>
      <c r="T4776" s="77" t="s">
        <v>280</v>
      </c>
      <c r="V4776" s="21" t="s">
        <v>3970</v>
      </c>
    </row>
    <row r="4777">
      <c r="A4777" s="93">
        <v>2498.0</v>
      </c>
      <c r="B4777" s="77" t="s">
        <v>65</v>
      </c>
      <c r="C4777" s="77" t="s">
        <v>3903</v>
      </c>
      <c r="D4777" s="77" t="s">
        <v>2365</v>
      </c>
      <c r="E4777" s="41" t="str">
        <f>IFERROR(__xludf.DUMMYFUNCTION("IFNA(vlookup(D4777,IMPORTRANGE(""https://docs.google.com/spreadsheets/d/1swGwZOEqYlTEUCJLY-eeJM1911Kvaei5oySBIxdgtNo/edit?pli=1#gid=257618397"",""stock untanna!B:C""),2,false),V:V)"),"ASAHAN PAYU 825 KUDA")</f>
        <v>ASAHAN PAYU 825 KUDA</v>
      </c>
      <c r="F4777" s="49"/>
      <c r="G4777" s="71"/>
      <c r="H4777" s="41"/>
      <c r="I4777" s="42"/>
      <c r="J4777" s="85" t="s">
        <v>1319</v>
      </c>
      <c r="K4777" s="93">
        <v>1.0</v>
      </c>
      <c r="L4777" s="112" t="s">
        <v>88</v>
      </c>
      <c r="M4777" s="113">
        <v>17000.0</v>
      </c>
      <c r="N4777" s="74"/>
      <c r="O4777" s="87">
        <f t="shared" si="11"/>
        <v>17000</v>
      </c>
      <c r="P4777" s="102" t="str">
        <f t="shared" si="2"/>
        <v>Rp17,000-1 BOX-0.00%</v>
      </c>
      <c r="Q4777" s="92">
        <v>45432.0</v>
      </c>
      <c r="R4777" s="76"/>
      <c r="S4777" s="92">
        <v>45433.0</v>
      </c>
      <c r="T4777" s="49"/>
      <c r="V4777" s="21" t="s">
        <v>2366</v>
      </c>
    </row>
    <row r="4778">
      <c r="A4778" s="93">
        <v>2498.0</v>
      </c>
      <c r="B4778" s="77" t="s">
        <v>65</v>
      </c>
      <c r="C4778" s="77" t="s">
        <v>3903</v>
      </c>
      <c r="D4778" s="77" t="s">
        <v>515</v>
      </c>
      <c r="E4778" s="41" t="str">
        <f>IFERROR(__xludf.DUMMYFUNCTION("IFNA(vlookup(D4778,IMPORTRANGE(""https://docs.google.com/spreadsheets/d/1swGwZOEqYlTEUCJLY-eeJM1911Kvaei5oySBIxdgtNo/edit?pli=1#gid=257618397"",""stock untanna!B:C""),2,false),V:V)"),"ASAHAN PAYU 845 KEPITING")</f>
        <v>ASAHAN PAYU 845 KEPITING</v>
      </c>
      <c r="F4778" s="49"/>
      <c r="G4778" s="71"/>
      <c r="H4778" s="41"/>
      <c r="I4778" s="42"/>
      <c r="J4778" s="85" t="s">
        <v>1319</v>
      </c>
      <c r="K4778" s="93">
        <v>1.0</v>
      </c>
      <c r="L4778" s="112" t="s">
        <v>88</v>
      </c>
      <c r="M4778" s="113">
        <v>17000.0</v>
      </c>
      <c r="N4778" s="74"/>
      <c r="O4778" s="87">
        <f t="shared" si="11"/>
        <v>17000</v>
      </c>
      <c r="P4778" s="102" t="str">
        <f t="shared" si="2"/>
        <v>Rp17,000-1 BOX-0.00%</v>
      </c>
      <c r="Q4778" s="92">
        <v>45432.0</v>
      </c>
      <c r="R4778" s="76"/>
      <c r="S4778" s="92">
        <v>45433.0</v>
      </c>
      <c r="T4778" s="49"/>
      <c r="V4778" s="21" t="s">
        <v>516</v>
      </c>
    </row>
    <row r="4779">
      <c r="A4779" s="93">
        <v>2498.0</v>
      </c>
      <c r="B4779" s="77" t="s">
        <v>65</v>
      </c>
      <c r="C4779" s="77" t="s">
        <v>3903</v>
      </c>
      <c r="D4779" s="91"/>
      <c r="E4779" s="41" t="str">
        <f>IFERROR(__xludf.DUMMYFUNCTION("IFNA(vlookup(D4779,IMPORTRANGE(""https://docs.google.com/spreadsheets/d/1swGwZOEqYlTEUCJLY-eeJM1911Kvaei5oySBIxdgtNo/edit?pli=1#gid=257618397"",""stock untanna!B:C""),2,false),V:V)"),"DISPENSER KENJOY 50")</f>
        <v>DISPENSER KENJOY 50</v>
      </c>
      <c r="F4779" s="49"/>
      <c r="G4779" s="71"/>
      <c r="H4779" s="41"/>
      <c r="I4779" s="42"/>
      <c r="J4779" s="85" t="s">
        <v>1319</v>
      </c>
      <c r="K4779" s="93">
        <v>6.0</v>
      </c>
      <c r="L4779" s="112" t="s">
        <v>69</v>
      </c>
      <c r="M4779" s="113">
        <v>19000.0</v>
      </c>
      <c r="N4779" s="74"/>
      <c r="O4779" s="87">
        <f t="shared" si="11"/>
        <v>114000</v>
      </c>
      <c r="P4779" s="102" t="str">
        <f t="shared" si="2"/>
        <v>Rp19,000-6 PCS-0.00%</v>
      </c>
      <c r="Q4779" s="92">
        <v>45432.0</v>
      </c>
      <c r="R4779" s="76"/>
      <c r="S4779" s="92">
        <v>45433.0</v>
      </c>
      <c r="T4779" s="77" t="s">
        <v>280</v>
      </c>
      <c r="V4779" s="21" t="s">
        <v>141</v>
      </c>
    </row>
    <row r="4780">
      <c r="A4780" s="93">
        <v>2498.0</v>
      </c>
      <c r="B4780" s="77" t="s">
        <v>65</v>
      </c>
      <c r="C4780" s="77" t="s">
        <v>3903</v>
      </c>
      <c r="D4780" s="77" t="s">
        <v>1755</v>
      </c>
      <c r="E4780" s="41" t="str">
        <f>IFERROR(__xludf.DUMMYFUNCTION("IFNA(vlookup(D4780,IMPORTRANGE(""https://docs.google.com/spreadsheets/d/1swGwZOEqYlTEUCJLY-eeJM1911Kvaei5oySBIxdgtNo/edit?pli=1#gid=257618397"",""stock untanna!B:C""),2,false),V:V)"),"DISPENSER KENJOY 25")</f>
        <v>DISPENSER KENJOY 25</v>
      </c>
      <c r="F4780" s="49"/>
      <c r="G4780" s="71"/>
      <c r="H4780" s="41"/>
      <c r="I4780" s="42"/>
      <c r="J4780" s="85" t="s">
        <v>1319</v>
      </c>
      <c r="K4780" s="93">
        <v>6.0</v>
      </c>
      <c r="L4780" s="112" t="s">
        <v>69</v>
      </c>
      <c r="M4780" s="113">
        <v>9000.0</v>
      </c>
      <c r="N4780" s="74"/>
      <c r="O4780" s="87">
        <f t="shared" si="11"/>
        <v>54000</v>
      </c>
      <c r="P4780" s="102" t="str">
        <f t="shared" si="2"/>
        <v>Rp9,000-6 PCS-0.00%</v>
      </c>
      <c r="Q4780" s="92">
        <v>45432.0</v>
      </c>
      <c r="R4780" s="76"/>
      <c r="S4780" s="92">
        <v>45433.0</v>
      </c>
      <c r="T4780" s="49"/>
      <c r="V4780" s="21" t="s">
        <v>1756</v>
      </c>
    </row>
    <row r="4781">
      <c r="A4781" s="93">
        <v>2498.0</v>
      </c>
      <c r="B4781" s="77" t="s">
        <v>65</v>
      </c>
      <c r="C4781" s="77" t="s">
        <v>3903</v>
      </c>
      <c r="D4781" s="91"/>
      <c r="E4781" s="41" t="str">
        <f>IFERROR(__xludf.DUMMYFUNCTION("IFNA(vlookup(D4781,IMPORTRANGE(""https://docs.google.com/spreadsheets/d/1swGwZOEqYlTEUCJLY-eeJM1911Kvaei5oySBIxdgtNo/edit?pli=1#gid=257618397"",""stock untanna!B:C""),2,false),V:V)"),"GANTUNGAN KUNCI 706")</f>
        <v>GANTUNGAN KUNCI 706</v>
      </c>
      <c r="F4781" s="49"/>
      <c r="G4781" s="71"/>
      <c r="H4781" s="41"/>
      <c r="I4781" s="42"/>
      <c r="J4781" s="85" t="s">
        <v>3190</v>
      </c>
      <c r="K4781" s="93">
        <v>12.0</v>
      </c>
      <c r="L4781" s="112" t="s">
        <v>69</v>
      </c>
      <c r="M4781" s="113">
        <v>25000.0</v>
      </c>
      <c r="N4781" s="74"/>
      <c r="O4781" s="87">
        <f t="shared" si="11"/>
        <v>300000</v>
      </c>
      <c r="P4781" s="102" t="str">
        <f t="shared" si="2"/>
        <v>Rp25,000-12 PCS-0.00%</v>
      </c>
      <c r="Q4781" s="92">
        <v>45432.0</v>
      </c>
      <c r="R4781" s="76"/>
      <c r="S4781" s="92">
        <v>45433.0</v>
      </c>
      <c r="T4781" s="49"/>
      <c r="V4781" s="21" t="s">
        <v>3971</v>
      </c>
    </row>
    <row r="4782">
      <c r="A4782" s="93">
        <v>2499.0</v>
      </c>
      <c r="B4782" s="77" t="s">
        <v>65</v>
      </c>
      <c r="C4782" s="77" t="s">
        <v>3903</v>
      </c>
      <c r="D4782" s="77" t="s">
        <v>1733</v>
      </c>
      <c r="E4782" s="41" t="str">
        <f>IFERROR(__xludf.DUMMYFUNCTION("IFNA(vlookup(D4782,IMPORTRANGE(""https://docs.google.com/spreadsheets/d/1swGwZOEqYlTEUCJLY-eeJM1911Kvaei5oySBIxdgtNo/edit?pli=1#gid=257618397"",""stock untanna!B:C""),2,false),V:V)"),"ASAHAN SC 6023")</f>
        <v>ASAHAN SC 6023</v>
      </c>
      <c r="F4782" s="49"/>
      <c r="G4782" s="71"/>
      <c r="H4782" s="41"/>
      <c r="I4782" s="42"/>
      <c r="J4782" s="85" t="s">
        <v>1319</v>
      </c>
      <c r="K4782" s="93">
        <v>12.0</v>
      </c>
      <c r="L4782" s="112" t="s">
        <v>62</v>
      </c>
      <c r="M4782" s="113">
        <v>22500.0</v>
      </c>
      <c r="N4782" s="74"/>
      <c r="O4782" s="87">
        <f t="shared" si="11"/>
        <v>270000</v>
      </c>
      <c r="P4782" s="102" t="str">
        <f t="shared" si="2"/>
        <v>Rp22,500-12 LSN-0.00%</v>
      </c>
      <c r="Q4782" s="92">
        <v>45432.0</v>
      </c>
      <c r="R4782" s="76"/>
      <c r="S4782" s="92">
        <v>45433.0</v>
      </c>
      <c r="T4782" s="49"/>
      <c r="V4782" s="21" t="s">
        <v>1734</v>
      </c>
    </row>
    <row r="4783">
      <c r="A4783" s="93">
        <v>2499.0</v>
      </c>
      <c r="B4783" s="77" t="s">
        <v>65</v>
      </c>
      <c r="C4783" s="77" t="s">
        <v>3903</v>
      </c>
      <c r="D4783" s="77" t="s">
        <v>2959</v>
      </c>
      <c r="E4783" s="41" t="str">
        <f>IFERROR(__xludf.DUMMYFUNCTION("IFNA(vlookup(D4783,IMPORTRANGE(""https://docs.google.com/spreadsheets/d/1swGwZOEqYlTEUCJLY-eeJM1911Kvaei5oySBIxdgtNo/edit?pli=1#gid=257618397"",""stock untanna!B:C""),2,false),V:V)"),"STIP TRIFELLO TF-377 (24)")</f>
        <v>STIP TRIFELLO TF-377 (24)</v>
      </c>
      <c r="F4783" s="49"/>
      <c r="G4783" s="71"/>
      <c r="H4783" s="41"/>
      <c r="I4783" s="42"/>
      <c r="J4783" s="85" t="s">
        <v>1319</v>
      </c>
      <c r="K4783" s="93">
        <v>3.0</v>
      </c>
      <c r="L4783" s="112" t="s">
        <v>88</v>
      </c>
      <c r="M4783" s="113">
        <v>25000.0</v>
      </c>
      <c r="N4783" s="74"/>
      <c r="O4783" s="87">
        <f t="shared" si="11"/>
        <v>75000</v>
      </c>
      <c r="P4783" s="102" t="str">
        <f t="shared" si="2"/>
        <v>Rp25,000-3 BOX-0.00%</v>
      </c>
      <c r="Q4783" s="92">
        <v>45432.0</v>
      </c>
      <c r="R4783" s="76"/>
      <c r="S4783" s="92">
        <v>45433.0</v>
      </c>
      <c r="T4783" s="49"/>
      <c r="V4783" s="21" t="s">
        <v>2960</v>
      </c>
    </row>
    <row r="4784">
      <c r="A4784" s="93">
        <v>2499.0</v>
      </c>
      <c r="B4784" s="77" t="s">
        <v>65</v>
      </c>
      <c r="C4784" s="77" t="s">
        <v>3903</v>
      </c>
      <c r="D4784" s="77" t="s">
        <v>1716</v>
      </c>
      <c r="E4784" s="41" t="str">
        <f>IFERROR(__xludf.DUMMYFUNCTION("IFNA(vlookup(D4784,IMPORTRANGE(""https://docs.google.com/spreadsheets/d/1swGwZOEqYlTEUCJLY-eeJM1911Kvaei5oySBIxdgtNo/edit?pli=1#gid=257618397"",""stock untanna!B:C""),2,false),V:V)"),"STIP RENCAI RC 6008")</f>
        <v>STIP RENCAI RC 6008</v>
      </c>
      <c r="F4784" s="49"/>
      <c r="G4784" s="71"/>
      <c r="H4784" s="41"/>
      <c r="I4784" s="42"/>
      <c r="J4784" s="85" t="s">
        <v>1319</v>
      </c>
      <c r="K4784" s="93">
        <v>6.0</v>
      </c>
      <c r="L4784" s="112" t="s">
        <v>62</v>
      </c>
      <c r="M4784" s="113">
        <v>16250.0</v>
      </c>
      <c r="N4784" s="74"/>
      <c r="O4784" s="87">
        <f t="shared" si="11"/>
        <v>97500</v>
      </c>
      <c r="P4784" s="102" t="str">
        <f t="shared" si="2"/>
        <v>Rp16,250-6 LSN-0.00%</v>
      </c>
      <c r="Q4784" s="92">
        <v>45432.0</v>
      </c>
      <c r="R4784" s="76"/>
      <c r="S4784" s="92">
        <v>45433.0</v>
      </c>
      <c r="T4784" s="49"/>
      <c r="V4784" s="21" t="s">
        <v>1717</v>
      </c>
    </row>
    <row r="4785">
      <c r="A4785" s="93">
        <v>2499.0</v>
      </c>
      <c r="B4785" s="77" t="s">
        <v>65</v>
      </c>
      <c r="C4785" s="77" t="s">
        <v>3903</v>
      </c>
      <c r="D4785" s="77" t="s">
        <v>3972</v>
      </c>
      <c r="E4785" s="41" t="str">
        <f>IFERROR(__xludf.DUMMYFUNCTION("IFNA(vlookup(D4785,IMPORTRANGE(""https://docs.google.com/spreadsheets/d/1swGwZOEqYlTEUCJLY-eeJM1911Kvaei5oySBIxdgtNo/edit?pli=1#gid=257618397"",""stock untanna!B:C""),2,false),V:V)"),"STIP RENCAI RC 6031 (48)")</f>
        <v>STIP RENCAI RC 6031 (48)</v>
      </c>
      <c r="F4785" s="49"/>
      <c r="G4785" s="71"/>
      <c r="H4785" s="41"/>
      <c r="I4785" s="42"/>
      <c r="J4785" s="85" t="s">
        <v>1319</v>
      </c>
      <c r="K4785" s="93">
        <v>3.0</v>
      </c>
      <c r="L4785" s="112" t="s">
        <v>88</v>
      </c>
      <c r="M4785" s="113">
        <v>60000.0</v>
      </c>
      <c r="N4785" s="74"/>
      <c r="O4785" s="87">
        <f t="shared" si="11"/>
        <v>180000</v>
      </c>
      <c r="P4785" s="102" t="str">
        <f t="shared" si="2"/>
        <v>Rp60,000-3 BOX-0.00%</v>
      </c>
      <c r="Q4785" s="92">
        <v>45432.0</v>
      </c>
      <c r="R4785" s="76"/>
      <c r="S4785" s="92">
        <v>45433.0</v>
      </c>
      <c r="T4785" s="49"/>
      <c r="V4785" s="21" t="s">
        <v>3973</v>
      </c>
    </row>
    <row r="4786">
      <c r="A4786" s="93">
        <v>2499.0</v>
      </c>
      <c r="B4786" s="77" t="s">
        <v>65</v>
      </c>
      <c r="C4786" s="77" t="s">
        <v>3903</v>
      </c>
      <c r="D4786" s="77" t="s">
        <v>3974</v>
      </c>
      <c r="E4786" s="41" t="str">
        <f>IFERROR(__xludf.DUMMYFUNCTION("IFNA(vlookup(D4786,IMPORTRANGE(""https://docs.google.com/spreadsheets/d/1swGwZOEqYlTEUCJLY-eeJM1911Kvaei5oySBIxdgtNo/edit?pli=1#gid=257618397"",""stock untanna!B:C""),2,false),V:V)"),"ASAHAN RC 8042")</f>
        <v>ASAHAN RC 8042</v>
      </c>
      <c r="F4786" s="49"/>
      <c r="G4786" s="71"/>
      <c r="H4786" s="41"/>
      <c r="I4786" s="42"/>
      <c r="J4786" s="85" t="s">
        <v>1319</v>
      </c>
      <c r="K4786" s="93">
        <v>3.0</v>
      </c>
      <c r="L4786" s="112" t="s">
        <v>88</v>
      </c>
      <c r="M4786" s="113">
        <v>100000.0</v>
      </c>
      <c r="N4786" s="74"/>
      <c r="O4786" s="87">
        <f t="shared" si="11"/>
        <v>300000</v>
      </c>
      <c r="P4786" s="102" t="str">
        <f t="shared" si="2"/>
        <v>Rp100,000-3 BOX-0.00%</v>
      </c>
      <c r="Q4786" s="92">
        <v>45432.0</v>
      </c>
      <c r="R4786" s="76"/>
      <c r="S4786" s="92">
        <v>45433.0</v>
      </c>
      <c r="T4786" s="77" t="s">
        <v>3975</v>
      </c>
      <c r="V4786" s="21" t="s">
        <v>3976</v>
      </c>
    </row>
    <row r="4787">
      <c r="A4787" s="93">
        <v>2499.0</v>
      </c>
      <c r="B4787" s="77" t="s">
        <v>65</v>
      </c>
      <c r="C4787" s="77" t="s">
        <v>3903</v>
      </c>
      <c r="D4787" s="77" t="s">
        <v>830</v>
      </c>
      <c r="E4787" s="41" t="str">
        <f>IFERROR(__xludf.DUMMYFUNCTION("IFNA(vlookup(D4787,IMPORTRANGE(""https://docs.google.com/spreadsheets/d/1swGwZOEqYlTEUCJLY-eeJM1911Kvaei5oySBIxdgtNo/edit?pli=1#gid=257618397"",""stock untanna!B:C""),2,false),V:V)"),"STIP RENCAI RC 700")</f>
        <v>STIP RENCAI RC 700</v>
      </c>
      <c r="F4787" s="49"/>
      <c r="G4787" s="71"/>
      <c r="H4787" s="41"/>
      <c r="I4787" s="42"/>
      <c r="J4787" s="85" t="s">
        <v>1319</v>
      </c>
      <c r="K4787" s="93">
        <v>12.0</v>
      </c>
      <c r="L4787" s="112" t="s">
        <v>62</v>
      </c>
      <c r="M4787" s="113">
        <v>15000.0</v>
      </c>
      <c r="N4787" s="74"/>
      <c r="O4787" s="87">
        <f t="shared" si="11"/>
        <v>180000</v>
      </c>
      <c r="P4787" s="102" t="str">
        <f t="shared" si="2"/>
        <v>Rp15,000-12 LSN-0.00%</v>
      </c>
      <c r="Q4787" s="92">
        <v>45432.0</v>
      </c>
      <c r="R4787" s="76"/>
      <c r="S4787" s="92">
        <v>45433.0</v>
      </c>
      <c r="T4787" s="49"/>
      <c r="V4787" s="21" t="s">
        <v>831</v>
      </c>
    </row>
    <row r="4788">
      <c r="A4788" s="93">
        <v>2499.0</v>
      </c>
      <c r="B4788" s="77" t="s">
        <v>65</v>
      </c>
      <c r="C4788" s="77" t="s">
        <v>3903</v>
      </c>
      <c r="D4788" s="77" t="s">
        <v>3977</v>
      </c>
      <c r="E4788" s="41" t="str">
        <f>IFERROR(__xludf.DUMMYFUNCTION("IFNA(vlookup(D4788,IMPORTRANGE(""https://docs.google.com/spreadsheets/d/1swGwZOEqYlTEUCJLY-eeJM1911Kvaei5oySBIxdgtNo/edit?pli=1#gid=257618397"",""stock untanna!B:C""),2,false),V:V)"),"STIP RC 6034")</f>
        <v>STIP RC 6034</v>
      </c>
      <c r="F4788" s="49"/>
      <c r="G4788" s="71"/>
      <c r="H4788" s="41"/>
      <c r="I4788" s="42"/>
      <c r="J4788" s="85" t="s">
        <v>1319</v>
      </c>
      <c r="K4788" s="93">
        <v>3.0</v>
      </c>
      <c r="L4788" s="112" t="s">
        <v>88</v>
      </c>
      <c r="M4788" s="113">
        <v>40000.0</v>
      </c>
      <c r="N4788" s="74"/>
      <c r="O4788" s="87">
        <f t="shared" si="11"/>
        <v>120000</v>
      </c>
      <c r="P4788" s="102" t="str">
        <f t="shared" si="2"/>
        <v>Rp40,000-3 BOX-0.00%</v>
      </c>
      <c r="Q4788" s="92">
        <v>45432.0</v>
      </c>
      <c r="R4788" s="76"/>
      <c r="S4788" s="92">
        <v>45433.0</v>
      </c>
      <c r="T4788" s="49"/>
      <c r="V4788" s="21" t="s">
        <v>3978</v>
      </c>
    </row>
    <row r="4789">
      <c r="A4789" s="93">
        <v>2499.0</v>
      </c>
      <c r="B4789" s="77" t="s">
        <v>65</v>
      </c>
      <c r="C4789" s="77" t="s">
        <v>3903</v>
      </c>
      <c r="D4789" s="77" t="s">
        <v>1729</v>
      </c>
      <c r="E4789" s="41" t="str">
        <f>IFERROR(__xludf.DUMMYFUNCTION("IFNA(vlookup(D4789,IMPORTRANGE(""https://docs.google.com/spreadsheets/d/1swGwZOEqYlTEUCJLY-eeJM1911Kvaei5oySBIxdgtNo/edit?pli=1#gid=257618397"",""stock untanna!B:C""),2,false),V:V)"),"STIP RENCAI RC 6016")</f>
        <v>STIP RENCAI RC 6016</v>
      </c>
      <c r="F4789" s="49"/>
      <c r="G4789" s="71"/>
      <c r="H4789" s="41"/>
      <c r="I4789" s="42"/>
      <c r="J4789" s="85" t="s">
        <v>1319</v>
      </c>
      <c r="K4789" s="93">
        <v>6.0</v>
      </c>
      <c r="L4789" s="112" t="s">
        <v>62</v>
      </c>
      <c r="M4789" s="113">
        <v>20000.0</v>
      </c>
      <c r="N4789" s="74"/>
      <c r="O4789" s="87">
        <f t="shared" si="11"/>
        <v>120000</v>
      </c>
      <c r="P4789" s="102" t="str">
        <f t="shared" si="2"/>
        <v>Rp20,000-6 LSN-0.00%</v>
      </c>
      <c r="Q4789" s="92">
        <v>45432.0</v>
      </c>
      <c r="R4789" s="76"/>
      <c r="S4789" s="92">
        <v>45433.0</v>
      </c>
      <c r="T4789" s="49"/>
      <c r="V4789" s="21" t="s">
        <v>1730</v>
      </c>
    </row>
    <row r="4790">
      <c r="A4790" s="93">
        <v>2499.0</v>
      </c>
      <c r="B4790" s="77" t="s">
        <v>65</v>
      </c>
      <c r="C4790" s="77" t="s">
        <v>3903</v>
      </c>
      <c r="D4790" s="91"/>
      <c r="E4790" s="41" t="str">
        <f>IFERROR(__xludf.DUMMYFUNCTION("IFNA(vlookup(D4790,IMPORTRANGE(""https://docs.google.com/spreadsheets/d/1swGwZOEqYlTEUCJLY-eeJM1911Kvaei5oySBIxdgtNo/edit?pli=1#gid=257618397"",""stock untanna!B:C""),2,false),V:V)"),"STIP FANCY TF 358")</f>
        <v>STIP FANCY TF 358</v>
      </c>
      <c r="F4790" s="49"/>
      <c r="G4790" s="71"/>
      <c r="H4790" s="41"/>
      <c r="I4790" s="42"/>
      <c r="J4790" s="85" t="s">
        <v>3190</v>
      </c>
      <c r="K4790" s="93">
        <v>3.0</v>
      </c>
      <c r="L4790" s="112" t="s">
        <v>88</v>
      </c>
      <c r="M4790" s="113">
        <v>22500.0</v>
      </c>
      <c r="N4790" s="74"/>
      <c r="O4790" s="87">
        <f t="shared" si="11"/>
        <v>67500</v>
      </c>
      <c r="P4790" s="102" t="str">
        <f t="shared" si="2"/>
        <v>Rp22,500-3 BOX-0.00%</v>
      </c>
      <c r="Q4790" s="92">
        <v>45432.0</v>
      </c>
      <c r="R4790" s="76"/>
      <c r="S4790" s="92">
        <v>45433.0</v>
      </c>
      <c r="T4790" s="49"/>
      <c r="V4790" s="21" t="s">
        <v>3979</v>
      </c>
    </row>
    <row r="4791">
      <c r="A4791" s="93">
        <v>2499.0</v>
      </c>
      <c r="B4791" s="77" t="s">
        <v>65</v>
      </c>
      <c r="C4791" s="77" t="s">
        <v>3903</v>
      </c>
      <c r="D4791" s="91"/>
      <c r="E4791" s="41" t="str">
        <f>IFERROR(__xludf.DUMMYFUNCTION("IFNA(vlookup(D4791,IMPORTRANGE(""https://docs.google.com/spreadsheets/d/1swGwZOEqYlTEUCJLY-eeJM1911Kvaei5oySBIxdgtNo/edit?pli=1#gid=257618397"",""stock untanna!B:C""),2,false),V:V)"),"CREATIVE PRINTING THT-S-6")</f>
        <v>CREATIVE PRINTING THT-S-6</v>
      </c>
      <c r="F4791" s="49"/>
      <c r="G4791" s="71"/>
      <c r="H4791" s="41"/>
      <c r="I4791" s="42"/>
      <c r="J4791" s="85" t="s">
        <v>3190</v>
      </c>
      <c r="K4791" s="93">
        <v>12.0</v>
      </c>
      <c r="L4791" s="112" t="s">
        <v>69</v>
      </c>
      <c r="M4791" s="113">
        <v>8500.0</v>
      </c>
      <c r="N4791" s="74"/>
      <c r="O4791" s="87">
        <f t="shared" si="11"/>
        <v>102000</v>
      </c>
      <c r="P4791" s="102" t="str">
        <f t="shared" si="2"/>
        <v>Rp8,500-12 PCS-0.00%</v>
      </c>
      <c r="Q4791" s="92">
        <v>45432.0</v>
      </c>
      <c r="R4791" s="76"/>
      <c r="S4791" s="92">
        <v>45433.0</v>
      </c>
      <c r="T4791" s="49"/>
      <c r="V4791" s="21" t="s">
        <v>3980</v>
      </c>
    </row>
    <row r="4792">
      <c r="A4792" s="93">
        <v>2499.0</v>
      </c>
      <c r="B4792" s="77" t="s">
        <v>65</v>
      </c>
      <c r="C4792" s="77" t="s">
        <v>3903</v>
      </c>
      <c r="D4792" s="91"/>
      <c r="E4792" s="41" t="str">
        <f>IFERROR(__xludf.DUMMYFUNCTION("IFNA(vlookup(D4792,IMPORTRANGE(""https://docs.google.com/spreadsheets/d/1swGwZOEqYlTEUCJLY-eeJM1911Kvaei5oySBIxdgtNo/edit?pli=1#gid=257618397"",""stock untanna!B:C""),2,false),V:V)"),"CREATIVE PRINTING CP-1")</f>
        <v>CREATIVE PRINTING CP-1</v>
      </c>
      <c r="F4792" s="49"/>
      <c r="G4792" s="71"/>
      <c r="H4792" s="41"/>
      <c r="I4792" s="42"/>
      <c r="J4792" s="85" t="s">
        <v>3190</v>
      </c>
      <c r="K4792" s="93">
        <v>12.0</v>
      </c>
      <c r="L4792" s="112" t="s">
        <v>69</v>
      </c>
      <c r="M4792" s="113">
        <v>6000.0</v>
      </c>
      <c r="N4792" s="74"/>
      <c r="O4792" s="87">
        <f t="shared" si="11"/>
        <v>72000</v>
      </c>
      <c r="P4792" s="102" t="str">
        <f t="shared" si="2"/>
        <v>Rp6,000-12 PCS-0.00%</v>
      </c>
      <c r="Q4792" s="92">
        <v>45432.0</v>
      </c>
      <c r="R4792" s="76"/>
      <c r="S4792" s="92">
        <v>45433.0</v>
      </c>
      <c r="T4792" s="49"/>
      <c r="V4792" s="21" t="s">
        <v>3981</v>
      </c>
    </row>
    <row r="4793">
      <c r="A4793" s="93">
        <v>2499.0</v>
      </c>
      <c r="B4793" s="77" t="s">
        <v>65</v>
      </c>
      <c r="C4793" s="77" t="s">
        <v>3903</v>
      </c>
      <c r="D4793" s="91"/>
      <c r="E4793" s="41" t="str">
        <f>IFERROR(__xludf.DUMMYFUNCTION("IFNA(vlookup(D4793,IMPORTRANGE(""https://docs.google.com/spreadsheets/d/1swGwZOEqYlTEUCJLY-eeJM1911Kvaei5oySBIxdgtNo/edit?pli=1#gid=257618397"",""stock untanna!B:C""),2,false),V:V)"),"B NOTE B5T JHYB 03306")</f>
        <v>B NOTE B5T JHYB 03306</v>
      </c>
      <c r="F4793" s="49"/>
      <c r="G4793" s="71"/>
      <c r="H4793" s="41"/>
      <c r="I4793" s="42"/>
      <c r="J4793" s="85" t="s">
        <v>3190</v>
      </c>
      <c r="K4793" s="93">
        <v>12.0</v>
      </c>
      <c r="L4793" s="112" t="s">
        <v>69</v>
      </c>
      <c r="M4793" s="113">
        <v>35750.0</v>
      </c>
      <c r="N4793" s="74"/>
      <c r="O4793" s="87">
        <f t="shared" si="11"/>
        <v>429000</v>
      </c>
      <c r="P4793" s="102" t="str">
        <f t="shared" si="2"/>
        <v>Rp35,750-12 PCS-0.00%</v>
      </c>
      <c r="Q4793" s="92">
        <v>45432.0</v>
      </c>
      <c r="R4793" s="76"/>
      <c r="S4793" s="92">
        <v>45433.0</v>
      </c>
      <c r="T4793" s="49"/>
      <c r="V4793" s="21" t="s">
        <v>3982</v>
      </c>
    </row>
    <row r="4794">
      <c r="A4794" s="93">
        <v>2499.0</v>
      </c>
      <c r="B4794" s="77" t="s">
        <v>65</v>
      </c>
      <c r="C4794" s="77" t="s">
        <v>3903</v>
      </c>
      <c r="D4794" s="91"/>
      <c r="E4794" s="41" t="str">
        <f>IFERROR(__xludf.DUMMYFUNCTION("IFNA(vlookup(D4794,IMPORTRANGE(""https://docs.google.com/spreadsheets/d/1swGwZOEqYlTEUCJLY-eeJM1911Kvaei5oySBIxdgtNo/edit?pli=1#gid=257618397"",""stock untanna!B:C""),2,false),V:V)"),"B NOTE B5T JHYB 03303")</f>
        <v>B NOTE B5T JHYB 03303</v>
      </c>
      <c r="F4794" s="49"/>
      <c r="G4794" s="71"/>
      <c r="H4794" s="41"/>
      <c r="I4794" s="42"/>
      <c r="J4794" s="85" t="s">
        <v>3190</v>
      </c>
      <c r="K4794" s="93">
        <v>12.0</v>
      </c>
      <c r="L4794" s="112" t="s">
        <v>69</v>
      </c>
      <c r="M4794" s="113">
        <v>35750.0</v>
      </c>
      <c r="N4794" s="74"/>
      <c r="O4794" s="87">
        <f t="shared" si="11"/>
        <v>429000</v>
      </c>
      <c r="P4794" s="102" t="str">
        <f t="shared" si="2"/>
        <v>Rp35,750-12 PCS-0.00%</v>
      </c>
      <c r="Q4794" s="92">
        <v>45432.0</v>
      </c>
      <c r="R4794" s="76"/>
      <c r="S4794" s="92">
        <v>45433.0</v>
      </c>
      <c r="T4794" s="49"/>
      <c r="V4794" s="21" t="s">
        <v>3983</v>
      </c>
    </row>
    <row r="4795">
      <c r="A4795" s="93">
        <v>2499.0</v>
      </c>
      <c r="B4795" s="77" t="s">
        <v>65</v>
      </c>
      <c r="C4795" s="77" t="s">
        <v>3903</v>
      </c>
      <c r="D4795" s="91"/>
      <c r="E4795" s="41" t="str">
        <f>IFERROR(__xludf.DUMMYFUNCTION("IFNA(vlookup(D4795,IMPORTRANGE(""https://docs.google.com/spreadsheets/d/1swGwZOEqYlTEUCJLY-eeJM1911Kvaei5oySBIxdgtNo/edit?pli=1#gid=257618397"",""stock untanna!B:C""),2,false),V:V)"),"B NOTE B5 HYB 03305")</f>
        <v>B NOTE B5 HYB 03305</v>
      </c>
      <c r="F4795" s="49"/>
      <c r="G4795" s="71"/>
      <c r="H4795" s="41"/>
      <c r="I4795" s="42"/>
      <c r="J4795" s="85" t="s">
        <v>3190</v>
      </c>
      <c r="K4795" s="93">
        <v>12.0</v>
      </c>
      <c r="L4795" s="112" t="s">
        <v>69</v>
      </c>
      <c r="M4795" s="113">
        <v>35750.0</v>
      </c>
      <c r="N4795" s="74"/>
      <c r="O4795" s="87">
        <f t="shared" si="11"/>
        <v>429000</v>
      </c>
      <c r="P4795" s="102" t="str">
        <f t="shared" si="2"/>
        <v>Rp35,750-12 PCS-0.00%</v>
      </c>
      <c r="Q4795" s="92">
        <v>45432.0</v>
      </c>
      <c r="R4795" s="76"/>
      <c r="S4795" s="92">
        <v>45433.0</v>
      </c>
      <c r="T4795" s="49"/>
      <c r="V4795" s="21" t="s">
        <v>3984</v>
      </c>
    </row>
    <row r="4796">
      <c r="A4796" s="93">
        <v>2499.0</v>
      </c>
      <c r="B4796" s="77" t="s">
        <v>65</v>
      </c>
      <c r="C4796" s="77" t="s">
        <v>3903</v>
      </c>
      <c r="D4796" s="91"/>
      <c r="E4796" s="41" t="str">
        <f>IFERROR(__xludf.DUMMYFUNCTION("IFNA(vlookup(D4796,IMPORTRANGE(""https://docs.google.com/spreadsheets/d/1swGwZOEqYlTEUCJLY-eeJM1911Kvaei5oySBIxdgtNo/edit?pli=1#gid=257618397"",""stock untanna!B:C""),2,false),V:V)"),"B NOTE B5 HYB 15802")</f>
        <v>B NOTE B5 HYB 15802</v>
      </c>
      <c r="F4796" s="49"/>
      <c r="G4796" s="71"/>
      <c r="H4796" s="41"/>
      <c r="I4796" s="42"/>
      <c r="J4796" s="85" t="s">
        <v>3190</v>
      </c>
      <c r="K4796" s="93">
        <v>12.0</v>
      </c>
      <c r="L4796" s="112" t="s">
        <v>69</v>
      </c>
      <c r="M4796" s="113">
        <v>35750.0</v>
      </c>
      <c r="N4796" s="74"/>
      <c r="O4796" s="87">
        <f t="shared" si="11"/>
        <v>429000</v>
      </c>
      <c r="P4796" s="102" t="str">
        <f t="shared" si="2"/>
        <v>Rp35,750-12 PCS-0.00%</v>
      </c>
      <c r="Q4796" s="92">
        <v>45432.0</v>
      </c>
      <c r="R4796" s="76"/>
      <c r="S4796" s="92">
        <v>45433.0</v>
      </c>
      <c r="T4796" s="49"/>
      <c r="V4796" s="21" t="s">
        <v>3985</v>
      </c>
    </row>
    <row r="4797">
      <c r="A4797" s="93">
        <v>2499.0</v>
      </c>
      <c r="B4797" s="77" t="s">
        <v>65</v>
      </c>
      <c r="C4797" s="77" t="s">
        <v>3903</v>
      </c>
      <c r="D4797" s="91"/>
      <c r="E4797" s="41" t="str">
        <f>IFERROR(__xludf.DUMMYFUNCTION("IFNA(vlookup(D4797,IMPORTRANGE(""https://docs.google.com/spreadsheets/d/1swGwZOEqYlTEUCJLY-eeJM1911Kvaei5oySBIxdgtNo/edit?pli=1#gid=257618397"",""stock untanna!B:C""),2,false),V:V)"),"B NOTE B5 HYB 15803")</f>
        <v>B NOTE B5 HYB 15803</v>
      </c>
      <c r="F4797" s="49"/>
      <c r="G4797" s="71"/>
      <c r="H4797" s="41"/>
      <c r="I4797" s="42"/>
      <c r="J4797" s="85" t="s">
        <v>3190</v>
      </c>
      <c r="K4797" s="93">
        <v>12.0</v>
      </c>
      <c r="L4797" s="112" t="s">
        <v>69</v>
      </c>
      <c r="M4797" s="113">
        <v>35750.0</v>
      </c>
      <c r="N4797" s="74"/>
      <c r="O4797" s="87">
        <f t="shared" si="11"/>
        <v>429000</v>
      </c>
      <c r="P4797" s="102" t="str">
        <f t="shared" si="2"/>
        <v>Rp35,750-12 PCS-0.00%</v>
      </c>
      <c r="Q4797" s="92">
        <v>45432.0</v>
      </c>
      <c r="R4797" s="76"/>
      <c r="S4797" s="92">
        <v>45433.0</v>
      </c>
      <c r="T4797" s="49"/>
      <c r="V4797" s="21" t="s">
        <v>3986</v>
      </c>
    </row>
    <row r="4798">
      <c r="A4798" s="93">
        <v>2500.0</v>
      </c>
      <c r="B4798" s="77" t="s">
        <v>65</v>
      </c>
      <c r="C4798" s="77" t="s">
        <v>3903</v>
      </c>
      <c r="D4798" s="91"/>
      <c r="E4798" s="41" t="str">
        <f>IFERROR(__xludf.DUMMYFUNCTION("IFNA(vlookup(D4798,IMPORTRANGE(""https://docs.google.com/spreadsheets/d/1swGwZOEqYlTEUCJLY-eeJM1911Kvaei5oySBIxdgtNo/edit?pli=1#gid=257618397"",""stock untanna!B:C""),2,false),V:V)"),"B NOTE A5T JHYB 89706")</f>
        <v>B NOTE A5T JHYB 89706</v>
      </c>
      <c r="F4798" s="49"/>
      <c r="G4798" s="71"/>
      <c r="H4798" s="41"/>
      <c r="I4798" s="42"/>
      <c r="J4798" s="85" t="s">
        <v>3190</v>
      </c>
      <c r="K4798" s="93">
        <v>12.0</v>
      </c>
      <c r="L4798" s="112" t="s">
        <v>69</v>
      </c>
      <c r="M4798" s="113">
        <v>27500.0</v>
      </c>
      <c r="N4798" s="74"/>
      <c r="O4798" s="87">
        <f t="shared" si="11"/>
        <v>330000</v>
      </c>
      <c r="P4798" s="102" t="str">
        <f t="shared" si="2"/>
        <v>Rp27,500-12 PCS-0.00%</v>
      </c>
      <c r="Q4798" s="92">
        <v>45432.0</v>
      </c>
      <c r="R4798" s="76"/>
      <c r="S4798" s="92">
        <v>45433.0</v>
      </c>
      <c r="T4798" s="49"/>
      <c r="V4798" s="21" t="s">
        <v>3987</v>
      </c>
    </row>
    <row r="4799">
      <c r="A4799" s="93">
        <v>2500.0</v>
      </c>
      <c r="B4799" s="77" t="s">
        <v>65</v>
      </c>
      <c r="C4799" s="77" t="s">
        <v>3903</v>
      </c>
      <c r="D4799" s="91"/>
      <c r="E4799" s="41" t="str">
        <f>IFERROR(__xludf.DUMMYFUNCTION("IFNA(vlookup(D4799,IMPORTRANGE(""https://docs.google.com/spreadsheets/d/1swGwZOEqYlTEUCJLY-eeJM1911Kvaei5oySBIxdgtNo/edit?pli=1#gid=257618397"",""stock untanna!B:C""),2,false),V:V)"),"B NOTE A5T JHYB 86801")</f>
        <v>B NOTE A5T JHYB 86801</v>
      </c>
      <c r="F4799" s="49"/>
      <c r="G4799" s="71"/>
      <c r="H4799" s="41"/>
      <c r="I4799" s="42"/>
      <c r="J4799" s="85" t="s">
        <v>3190</v>
      </c>
      <c r="K4799" s="93">
        <v>12.0</v>
      </c>
      <c r="L4799" s="112" t="s">
        <v>69</v>
      </c>
      <c r="M4799" s="113">
        <v>27500.0</v>
      </c>
      <c r="N4799" s="74"/>
      <c r="O4799" s="87">
        <f t="shared" si="11"/>
        <v>330000</v>
      </c>
      <c r="P4799" s="102" t="str">
        <f t="shared" si="2"/>
        <v>Rp27,500-12 PCS-0.00%</v>
      </c>
      <c r="Q4799" s="92">
        <v>45432.0</v>
      </c>
      <c r="R4799" s="76"/>
      <c r="S4799" s="92">
        <v>45433.0</v>
      </c>
      <c r="T4799" s="49"/>
      <c r="V4799" s="21" t="s">
        <v>3988</v>
      </c>
    </row>
    <row r="4800">
      <c r="A4800" s="93">
        <v>2500.0</v>
      </c>
      <c r="B4800" s="77" t="s">
        <v>65</v>
      </c>
      <c r="C4800" s="77" t="s">
        <v>3903</v>
      </c>
      <c r="D4800" s="91"/>
      <c r="E4800" s="41" t="str">
        <f>IFERROR(__xludf.DUMMYFUNCTION("IFNA(vlookup(D4800,IMPORTRANGE(""https://docs.google.com/spreadsheets/d/1swGwZOEqYlTEUCJLY-eeJM1911Kvaei5oySBIxdgtNo/edit?pli=1#gid=257618397"",""stock untanna!B:C""),2,false),V:V)"),"B NOTE A5T JHYB 64840")</f>
        <v>B NOTE A5T JHYB 64840</v>
      </c>
      <c r="F4800" s="49"/>
      <c r="G4800" s="71"/>
      <c r="H4800" s="41"/>
      <c r="I4800" s="42"/>
      <c r="J4800" s="85" t="s">
        <v>3190</v>
      </c>
      <c r="K4800" s="93">
        <v>12.0</v>
      </c>
      <c r="L4800" s="112" t="s">
        <v>69</v>
      </c>
      <c r="M4800" s="113">
        <v>27500.0</v>
      </c>
      <c r="N4800" s="74"/>
      <c r="O4800" s="87">
        <f t="shared" si="11"/>
        <v>330000</v>
      </c>
      <c r="P4800" s="102" t="str">
        <f t="shared" si="2"/>
        <v>Rp27,500-12 PCS-0.00%</v>
      </c>
      <c r="Q4800" s="92">
        <v>45432.0</v>
      </c>
      <c r="R4800" s="76"/>
      <c r="S4800" s="92">
        <v>45433.0</v>
      </c>
      <c r="T4800" s="49"/>
      <c r="V4800" s="21" t="s">
        <v>3989</v>
      </c>
    </row>
    <row r="4801">
      <c r="A4801" s="93">
        <v>2500.0</v>
      </c>
      <c r="B4801" s="77" t="s">
        <v>65</v>
      </c>
      <c r="C4801" s="77" t="s">
        <v>3903</v>
      </c>
      <c r="D4801" s="91"/>
      <c r="E4801" s="41" t="str">
        <f>IFERROR(__xludf.DUMMYFUNCTION("IFNA(vlookup(D4801,IMPORTRANGE(""https://docs.google.com/spreadsheets/d/1swGwZOEqYlTEUCJLY-eeJM1911Kvaei5oySBIxdgtNo/edit?pli=1#gid=257618397"",""stock untanna!B:C""),2,false),V:V)"),"B NOTE A5T JHYB 86802")</f>
        <v>B NOTE A5T JHYB 86802</v>
      </c>
      <c r="F4801" s="49"/>
      <c r="G4801" s="71"/>
      <c r="H4801" s="41"/>
      <c r="I4801" s="42"/>
      <c r="J4801" s="85" t="s">
        <v>3190</v>
      </c>
      <c r="K4801" s="93">
        <v>12.0</v>
      </c>
      <c r="L4801" s="112" t="s">
        <v>69</v>
      </c>
      <c r="M4801" s="113">
        <v>27500.0</v>
      </c>
      <c r="N4801" s="74"/>
      <c r="O4801" s="87">
        <f t="shared" si="11"/>
        <v>330000</v>
      </c>
      <c r="P4801" s="102" t="str">
        <f t="shared" si="2"/>
        <v>Rp27,500-12 PCS-0.00%</v>
      </c>
      <c r="Q4801" s="92">
        <v>45432.0</v>
      </c>
      <c r="R4801" s="76"/>
      <c r="S4801" s="92">
        <v>45433.0</v>
      </c>
      <c r="T4801" s="49"/>
      <c r="V4801" s="21" t="s">
        <v>3990</v>
      </c>
    </row>
    <row r="4802">
      <c r="A4802" s="93">
        <v>2500.0</v>
      </c>
      <c r="B4802" s="77" t="s">
        <v>65</v>
      </c>
      <c r="C4802" s="77" t="s">
        <v>3903</v>
      </c>
      <c r="D4802" s="91"/>
      <c r="E4802" s="41" t="str">
        <f>IFERROR(__xludf.DUMMYFUNCTION("IFNA(vlookup(D4802,IMPORTRANGE(""https://docs.google.com/spreadsheets/d/1swGwZOEqYlTEUCJLY-eeJM1911Kvaei5oySBIxdgtNo/edit?pli=1#gid=257618397"",""stock untanna!B:C""),2,false),V:V)"),"B NOTE A5T JHYB 86803")</f>
        <v>B NOTE A5T JHYB 86803</v>
      </c>
      <c r="F4802" s="49"/>
      <c r="G4802" s="71"/>
      <c r="H4802" s="41"/>
      <c r="I4802" s="42"/>
      <c r="J4802" s="85" t="s">
        <v>3190</v>
      </c>
      <c r="K4802" s="93">
        <v>12.0</v>
      </c>
      <c r="L4802" s="112" t="s">
        <v>69</v>
      </c>
      <c r="M4802" s="113">
        <v>27500.0</v>
      </c>
      <c r="N4802" s="74"/>
      <c r="O4802" s="87">
        <f t="shared" si="11"/>
        <v>330000</v>
      </c>
      <c r="P4802" s="102" t="str">
        <f t="shared" si="2"/>
        <v>Rp27,500-12 PCS-0.00%</v>
      </c>
      <c r="Q4802" s="92">
        <v>45432.0</v>
      </c>
      <c r="R4802" s="76"/>
      <c r="S4802" s="92">
        <v>45433.0</v>
      </c>
      <c r="T4802" s="49"/>
      <c r="V4802" s="21" t="s">
        <v>3991</v>
      </c>
    </row>
    <row r="4803">
      <c r="A4803" s="93">
        <v>2500.0</v>
      </c>
      <c r="B4803" s="77" t="s">
        <v>65</v>
      </c>
      <c r="C4803" s="77" t="s">
        <v>3903</v>
      </c>
      <c r="D4803" s="91"/>
      <c r="E4803" s="41" t="str">
        <f>IFERROR(__xludf.DUMMYFUNCTION("IFNA(vlookup(D4803,IMPORTRANGE(""https://docs.google.com/spreadsheets/d/1swGwZOEqYlTEUCJLY-eeJM1911Kvaei5oySBIxdgtNo/edit?pli=1#gid=257618397"",""stock untanna!B:C""),2,false),V:V)"),"B NOTE A5T JHYB 86804")</f>
        <v>B NOTE A5T JHYB 86804</v>
      </c>
      <c r="F4803" s="49"/>
      <c r="G4803" s="71"/>
      <c r="H4803" s="41"/>
      <c r="I4803" s="42"/>
      <c r="J4803" s="85" t="s">
        <v>3190</v>
      </c>
      <c r="K4803" s="93">
        <v>12.0</v>
      </c>
      <c r="L4803" s="112" t="s">
        <v>69</v>
      </c>
      <c r="M4803" s="113">
        <v>27500.0</v>
      </c>
      <c r="N4803" s="74"/>
      <c r="O4803" s="87">
        <f t="shared" si="11"/>
        <v>330000</v>
      </c>
      <c r="P4803" s="102" t="str">
        <f t="shared" si="2"/>
        <v>Rp27,500-12 PCS-0.00%</v>
      </c>
      <c r="Q4803" s="92">
        <v>45432.0</v>
      </c>
      <c r="R4803" s="76"/>
      <c r="S4803" s="92">
        <v>45433.0</v>
      </c>
      <c r="T4803" s="49"/>
      <c r="V4803" s="21" t="s">
        <v>3992</v>
      </c>
    </row>
    <row r="4804">
      <c r="A4804" s="93">
        <v>2500.0</v>
      </c>
      <c r="B4804" s="77" t="s">
        <v>65</v>
      </c>
      <c r="C4804" s="77" t="s">
        <v>3903</v>
      </c>
      <c r="D4804" s="91"/>
      <c r="E4804" s="41" t="str">
        <f>IFERROR(__xludf.DUMMYFUNCTION("IFNA(vlookup(D4804,IMPORTRANGE(""https://docs.google.com/spreadsheets/d/1swGwZOEqYlTEUCJLY-eeJM1911Kvaei5oySBIxdgtNo/edit?pli=1#gid=257618397"",""stock untanna!B:C""),2,false),V:V)"),"EXPANDING FILE DKFQB-5901")</f>
        <v>EXPANDING FILE DKFQB-5901</v>
      </c>
      <c r="F4804" s="49"/>
      <c r="G4804" s="71"/>
      <c r="H4804" s="41"/>
      <c r="I4804" s="42"/>
      <c r="J4804" s="85" t="s">
        <v>3190</v>
      </c>
      <c r="K4804" s="93">
        <v>1.0</v>
      </c>
      <c r="L4804" s="112" t="s">
        <v>62</v>
      </c>
      <c r="M4804" s="113">
        <v>330000.0</v>
      </c>
      <c r="N4804" s="74"/>
      <c r="O4804" s="87">
        <f t="shared" si="11"/>
        <v>330000</v>
      </c>
      <c r="P4804" s="102" t="str">
        <f t="shared" si="2"/>
        <v>Rp330,000-1 LSN-0.00%</v>
      </c>
      <c r="Q4804" s="92">
        <v>45432.0</v>
      </c>
      <c r="R4804" s="76"/>
      <c r="S4804" s="92">
        <v>45433.0</v>
      </c>
      <c r="T4804" s="49"/>
      <c r="V4804" s="21" t="s">
        <v>3993</v>
      </c>
    </row>
    <row r="4805">
      <c r="A4805" s="93">
        <v>2500.0</v>
      </c>
      <c r="B4805" s="77" t="s">
        <v>65</v>
      </c>
      <c r="C4805" s="77" t="s">
        <v>3903</v>
      </c>
      <c r="D4805" s="91"/>
      <c r="E4805" s="41" t="str">
        <f>IFERROR(__xludf.DUMMYFUNCTION("IFNA(vlookup(D4805,IMPORTRANGE(""https://docs.google.com/spreadsheets/d/1swGwZOEqYlTEUCJLY-eeJM1911Kvaei5oySBIxdgtNo/edit?pli=1#gid=257618397"",""stock untanna!B:C""),2,false),V:V)"),"EXPANDING FILE FQB-95308")</f>
        <v>EXPANDING FILE FQB-95308</v>
      </c>
      <c r="F4805" s="49"/>
      <c r="G4805" s="71"/>
      <c r="H4805" s="41"/>
      <c r="I4805" s="42"/>
      <c r="J4805" s="85" t="s">
        <v>3190</v>
      </c>
      <c r="K4805" s="93">
        <v>1.0</v>
      </c>
      <c r="L4805" s="112" t="s">
        <v>62</v>
      </c>
      <c r="M4805" s="113">
        <v>550000.0</v>
      </c>
      <c r="N4805" s="74"/>
      <c r="O4805" s="87">
        <f t="shared" si="11"/>
        <v>550000</v>
      </c>
      <c r="P4805" s="102" t="str">
        <f t="shared" si="2"/>
        <v>Rp550,000-1 LSN-0.00%</v>
      </c>
      <c r="Q4805" s="92">
        <v>45432.0</v>
      </c>
      <c r="R4805" s="76"/>
      <c r="S4805" s="92">
        <v>45433.0</v>
      </c>
      <c r="T4805" s="49"/>
      <c r="V4805" s="21" t="s">
        <v>3994</v>
      </c>
    </row>
    <row r="4806">
      <c r="A4806" s="93">
        <v>2500.0</v>
      </c>
      <c r="B4806" s="77" t="s">
        <v>65</v>
      </c>
      <c r="C4806" s="77" t="s">
        <v>3903</v>
      </c>
      <c r="D4806" s="91"/>
      <c r="E4806" s="41" t="str">
        <f>IFERROR(__xludf.DUMMYFUNCTION("IFNA(vlookup(D4806,IMPORTRANGE(""https://docs.google.com/spreadsheets/d/1swGwZOEqYlTEUCJLY-eeJM1911Kvaei5oySBIxdgtNo/edit?pli=1#gid=257618397"",""stock untanna!B:C""),2,false),V:V)"),"EXPANDING FILE QLFQB-55333")</f>
        <v>EXPANDING FILE QLFQB-55333</v>
      </c>
      <c r="F4806" s="49"/>
      <c r="G4806" s="71"/>
      <c r="H4806" s="41"/>
      <c r="I4806" s="42"/>
      <c r="J4806" s="85" t="s">
        <v>3190</v>
      </c>
      <c r="K4806" s="93">
        <v>1.0</v>
      </c>
      <c r="L4806" s="112" t="s">
        <v>62</v>
      </c>
      <c r="M4806" s="113">
        <v>385000.0</v>
      </c>
      <c r="N4806" s="74"/>
      <c r="O4806" s="87">
        <f t="shared" si="11"/>
        <v>385000</v>
      </c>
      <c r="P4806" s="102" t="str">
        <f t="shared" si="2"/>
        <v>Rp385,000-1 LSN-0.00%</v>
      </c>
      <c r="Q4806" s="92">
        <v>45432.0</v>
      </c>
      <c r="R4806" s="76"/>
      <c r="S4806" s="92">
        <v>45433.0</v>
      </c>
      <c r="T4806" s="49"/>
      <c r="V4806" s="21" t="s">
        <v>3995</v>
      </c>
    </row>
    <row r="4807">
      <c r="A4807" s="93">
        <v>2500.0</v>
      </c>
      <c r="B4807" s="77" t="s">
        <v>65</v>
      </c>
      <c r="C4807" s="77" t="s">
        <v>3903</v>
      </c>
      <c r="D4807" s="91"/>
      <c r="E4807" s="41" t="str">
        <f>IFERROR(__xludf.DUMMYFUNCTION("IFNA(vlookup(D4807,IMPORTRANGE(""https://docs.google.com/spreadsheets/d/1swGwZOEqYlTEUCJLY-eeJM1911Kvaei5oySBIxdgtNo/edit?pli=1#gid=257618397"",""stock untanna!B:C""),2,false),V:V)"),"EXPANDING FILE FQB-38710")</f>
        <v>EXPANDING FILE FQB-38710</v>
      </c>
      <c r="F4807" s="49"/>
      <c r="G4807" s="71"/>
      <c r="H4807" s="41"/>
      <c r="I4807" s="42"/>
      <c r="J4807" s="85" t="s">
        <v>3190</v>
      </c>
      <c r="K4807" s="93">
        <v>1.0</v>
      </c>
      <c r="L4807" s="112" t="s">
        <v>62</v>
      </c>
      <c r="M4807" s="113">
        <v>550000.0</v>
      </c>
      <c r="N4807" s="74"/>
      <c r="O4807" s="87">
        <f t="shared" si="11"/>
        <v>550000</v>
      </c>
      <c r="P4807" s="102" t="str">
        <f t="shared" si="2"/>
        <v>Rp550,000-1 LSN-0.00%</v>
      </c>
      <c r="Q4807" s="92">
        <v>45432.0</v>
      </c>
      <c r="R4807" s="76"/>
      <c r="S4807" s="92">
        <v>45433.0</v>
      </c>
      <c r="T4807" s="49"/>
      <c r="V4807" s="21" t="s">
        <v>3996</v>
      </c>
    </row>
    <row r="4808">
      <c r="A4808" s="93">
        <v>2500.0</v>
      </c>
      <c r="B4808" s="77" t="s">
        <v>65</v>
      </c>
      <c r="C4808" s="77" t="s">
        <v>3903</v>
      </c>
      <c r="D4808" s="91"/>
      <c r="E4808" s="41" t="str">
        <f>IFERROR(__xludf.DUMMYFUNCTION("IFNA(vlookup(D4808,IMPORTRANGE(""https://docs.google.com/spreadsheets/d/1swGwZOEqYlTEUCJLY-eeJM1911Kvaei5oySBIxdgtNo/edit?pli=1#gid=257618397"",""stock untanna!B:C""),2,false),V:V)"),"EXPANDING FILE FQB-95309")</f>
        <v>EXPANDING FILE FQB-95309</v>
      </c>
      <c r="F4808" s="49"/>
      <c r="G4808" s="71"/>
      <c r="H4808" s="41"/>
      <c r="I4808" s="42"/>
      <c r="J4808" s="85" t="s">
        <v>3190</v>
      </c>
      <c r="K4808" s="93">
        <v>1.0</v>
      </c>
      <c r="L4808" s="112" t="s">
        <v>62</v>
      </c>
      <c r="M4808" s="113">
        <v>550000.0</v>
      </c>
      <c r="N4808" s="74"/>
      <c r="O4808" s="87">
        <f t="shared" si="11"/>
        <v>550000</v>
      </c>
      <c r="P4808" s="102" t="str">
        <f t="shared" si="2"/>
        <v>Rp550,000-1 LSN-0.00%</v>
      </c>
      <c r="Q4808" s="92">
        <v>45432.0</v>
      </c>
      <c r="R4808" s="76"/>
      <c r="S4808" s="92">
        <v>45433.0</v>
      </c>
      <c r="T4808" s="49"/>
      <c r="V4808" s="21" t="s">
        <v>3997</v>
      </c>
    </row>
    <row r="4809">
      <c r="A4809" s="93">
        <v>2500.0</v>
      </c>
      <c r="B4809" s="77" t="s">
        <v>65</v>
      </c>
      <c r="C4809" s="77" t="s">
        <v>3903</v>
      </c>
      <c r="D4809" s="91"/>
      <c r="E4809" s="41" t="str">
        <f>IFERROR(__xludf.DUMMYFUNCTION("IFNA(vlookup(D4809,IMPORTRANGE(""https://docs.google.com/spreadsheets/d/1swGwZOEqYlTEUCJLY-eeJM1911Kvaei5oySBIxdgtNo/edit?pli=1#gid=257618397"",""stock untanna!B:C""),2,false),V:V)"),"N BOOK SPIRAL JF-36A (001/002/003)")</f>
        <v>N BOOK SPIRAL JF-36A (001/002/003)</v>
      </c>
      <c r="F4809" s="49"/>
      <c r="G4809" s="71"/>
      <c r="H4809" s="41"/>
      <c r="I4809" s="42"/>
      <c r="J4809" s="85" t="s">
        <v>3190</v>
      </c>
      <c r="K4809" s="93">
        <v>12.0</v>
      </c>
      <c r="L4809" s="112" t="s">
        <v>69</v>
      </c>
      <c r="M4809" s="113">
        <v>13750.0</v>
      </c>
      <c r="N4809" s="74"/>
      <c r="O4809" s="87">
        <f t="shared" si="11"/>
        <v>165000</v>
      </c>
      <c r="P4809" s="102" t="str">
        <f t="shared" si="2"/>
        <v>Rp13,750-12 PCS-0.00%</v>
      </c>
      <c r="Q4809" s="92">
        <v>45432.0</v>
      </c>
      <c r="R4809" s="76"/>
      <c r="S4809" s="92">
        <v>45433.0</v>
      </c>
      <c r="T4809" s="49"/>
      <c r="V4809" s="21" t="s">
        <v>3998</v>
      </c>
    </row>
    <row r="4810">
      <c r="A4810" s="93">
        <v>2500.0</v>
      </c>
      <c r="B4810" s="77" t="s">
        <v>65</v>
      </c>
      <c r="C4810" s="77" t="s">
        <v>3903</v>
      </c>
      <c r="D4810" s="91"/>
      <c r="E4810" s="41" t="str">
        <f>IFERROR(__xludf.DUMMYFUNCTION("IFNA(vlookup(D4810,IMPORTRANGE(""https://docs.google.com/spreadsheets/d/1swGwZOEqYlTEUCJLY-eeJM1911Kvaei5oySBIxdgtNo/edit?pli=1#gid=257618397"",""stock untanna!B:C""),2,false),V:V)"),"N BOOK SPIRAL JF-36B (004/005/006)")</f>
        <v>N BOOK SPIRAL JF-36B (004/005/006)</v>
      </c>
      <c r="F4810" s="49"/>
      <c r="G4810" s="71"/>
      <c r="H4810" s="41"/>
      <c r="I4810" s="42"/>
      <c r="J4810" s="85" t="s">
        <v>3190</v>
      </c>
      <c r="K4810" s="93">
        <v>12.0</v>
      </c>
      <c r="L4810" s="112" t="s">
        <v>69</v>
      </c>
      <c r="M4810" s="113">
        <v>13750.0</v>
      </c>
      <c r="N4810" s="74"/>
      <c r="O4810" s="87">
        <f t="shared" si="11"/>
        <v>165000</v>
      </c>
      <c r="P4810" s="102" t="str">
        <f t="shared" si="2"/>
        <v>Rp13,750-12 PCS-0.00%</v>
      </c>
      <c r="Q4810" s="92">
        <v>45432.0</v>
      </c>
      <c r="R4810" s="76"/>
      <c r="S4810" s="92">
        <v>45433.0</v>
      </c>
      <c r="T4810" s="49"/>
      <c r="V4810" s="21" t="s">
        <v>3999</v>
      </c>
    </row>
    <row r="4811">
      <c r="A4811" s="93">
        <v>2500.0</v>
      </c>
      <c r="B4811" s="77" t="s">
        <v>65</v>
      </c>
      <c r="C4811" s="77" t="s">
        <v>3903</v>
      </c>
      <c r="D4811" s="91"/>
      <c r="E4811" s="41" t="str">
        <f>IFERROR(__xludf.DUMMYFUNCTION("IFNA(vlookup(D4811,IMPORTRANGE(""https://docs.google.com/spreadsheets/d/1swGwZOEqYlTEUCJLY-eeJM1911Kvaei5oySBIxdgtNo/edit?pli=1#gid=257618397"",""stock untanna!B:C""),2,false),V:V)"),"N BOOK SPIRAL JF-36C (007/008/009)")</f>
        <v>N BOOK SPIRAL JF-36C (007/008/009)</v>
      </c>
      <c r="F4811" s="49"/>
      <c r="G4811" s="71"/>
      <c r="H4811" s="41"/>
      <c r="I4811" s="42"/>
      <c r="J4811" s="85" t="s">
        <v>3190</v>
      </c>
      <c r="K4811" s="93">
        <v>12.0</v>
      </c>
      <c r="L4811" s="112" t="s">
        <v>69</v>
      </c>
      <c r="M4811" s="113">
        <v>13750.0</v>
      </c>
      <c r="N4811" s="74"/>
      <c r="O4811" s="87">
        <f t="shared" si="11"/>
        <v>165000</v>
      </c>
      <c r="P4811" s="102" t="str">
        <f t="shared" si="2"/>
        <v>Rp13,750-12 PCS-0.00%</v>
      </c>
      <c r="Q4811" s="92">
        <v>45432.0</v>
      </c>
      <c r="R4811" s="76"/>
      <c r="S4811" s="92">
        <v>45433.0</v>
      </c>
      <c r="T4811" s="49"/>
      <c r="V4811" s="21" t="s">
        <v>4000</v>
      </c>
    </row>
    <row r="4812">
      <c r="A4812" s="93">
        <v>2500.0</v>
      </c>
      <c r="B4812" s="77" t="s">
        <v>65</v>
      </c>
      <c r="C4812" s="77" t="s">
        <v>3903</v>
      </c>
      <c r="D4812" s="91"/>
      <c r="E4812" s="41" t="str">
        <f>IFERROR(__xludf.DUMMYFUNCTION("IFNA(vlookup(D4812,IMPORTRANGE(""https://docs.google.com/spreadsheets/d/1swGwZOEqYlTEUCJLY-eeJM1911Kvaei5oySBIxdgtNo/edit?pli=1#gid=257618397"",""stock untanna!B:C""),2,false),V:V)"),"N BOOK SPIRAL JF-36D (010/011/012)")</f>
        <v>N BOOK SPIRAL JF-36D (010/011/012)</v>
      </c>
      <c r="F4812" s="49"/>
      <c r="G4812" s="71"/>
      <c r="H4812" s="41"/>
      <c r="I4812" s="42"/>
      <c r="J4812" s="85" t="s">
        <v>3190</v>
      </c>
      <c r="K4812" s="93">
        <v>12.0</v>
      </c>
      <c r="L4812" s="112" t="s">
        <v>69</v>
      </c>
      <c r="M4812" s="113">
        <v>13750.0</v>
      </c>
      <c r="N4812" s="74"/>
      <c r="O4812" s="87">
        <f t="shared" si="11"/>
        <v>165000</v>
      </c>
      <c r="P4812" s="102" t="str">
        <f t="shared" si="2"/>
        <v>Rp13,750-12 PCS-0.00%</v>
      </c>
      <c r="Q4812" s="92">
        <v>45432.0</v>
      </c>
      <c r="R4812" s="76"/>
      <c r="S4812" s="92">
        <v>45433.0</v>
      </c>
      <c r="T4812" s="49"/>
      <c r="V4812" s="21" t="s">
        <v>4001</v>
      </c>
    </row>
    <row r="4813">
      <c r="A4813" s="93">
        <v>4224.0</v>
      </c>
      <c r="B4813" s="77" t="s">
        <v>29</v>
      </c>
      <c r="C4813" s="77" t="s">
        <v>4002</v>
      </c>
      <c r="D4813" s="91"/>
      <c r="E4813" s="41" t="str">
        <f>IFERROR(__xludf.DUMMYFUNCTION("IFNA(vlookup(D4813,IMPORTRANGE(""https://docs.google.com/spreadsheets/d/1swGwZOEqYlTEUCJLY-eeJM1911Kvaei5oySBIxdgtNo/edit?pli=1#gid=257618397"",""stock untanna!B:C""),2,false),V:V)"),"KANTONG BUAH KENJOY")</f>
        <v>KANTONG BUAH KENJOY</v>
      </c>
      <c r="F4813" s="49"/>
      <c r="G4813" s="71"/>
      <c r="H4813" s="41"/>
      <c r="I4813" s="42"/>
      <c r="J4813" s="85" t="s">
        <v>1319</v>
      </c>
      <c r="K4813" s="93">
        <v>75.0</v>
      </c>
      <c r="L4813" s="112" t="s">
        <v>1384</v>
      </c>
      <c r="M4813" s="113">
        <v>55000.0</v>
      </c>
      <c r="N4813" s="74"/>
      <c r="O4813" s="87">
        <f t="shared" si="11"/>
        <v>4125000</v>
      </c>
      <c r="P4813" s="102" t="str">
        <f t="shared" si="2"/>
        <v>Rp55,000-75 ROL-0.00%</v>
      </c>
      <c r="Q4813" s="92">
        <v>45432.0</v>
      </c>
      <c r="R4813" s="76"/>
      <c r="S4813" s="92">
        <v>45436.0</v>
      </c>
      <c r="T4813" s="77" t="s">
        <v>280</v>
      </c>
      <c r="V4813" s="21" t="s">
        <v>4003</v>
      </c>
    </row>
    <row r="4814">
      <c r="A4814" s="93">
        <v>4223.0</v>
      </c>
      <c r="B4814" s="77" t="s">
        <v>29</v>
      </c>
      <c r="C4814" s="77" t="s">
        <v>4002</v>
      </c>
      <c r="D4814" s="77" t="s">
        <v>827</v>
      </c>
      <c r="E4814" s="41" t="str">
        <f>IFERROR(__xludf.DUMMYFUNCTION("IFNA(vlookup(D4814,IMPORTRANGE(""https://docs.google.com/spreadsheets/d/1swGwZOEqYlTEUCJLY-eeJM1911Kvaei5oySBIxdgtNo/edit?pli=1#gid=257618397"",""stock untanna!B:C""),2,false),V:V)"),"PAPAN WHITE BOARD XG POLOS 30 X 40")</f>
        <v>PAPAN WHITE BOARD XG POLOS 30 X 40</v>
      </c>
      <c r="F4814" s="49"/>
      <c r="G4814" s="71"/>
      <c r="H4814" s="41"/>
      <c r="I4814" s="42"/>
      <c r="J4814" s="85" t="s">
        <v>1319</v>
      </c>
      <c r="K4814" s="93">
        <v>300.0</v>
      </c>
      <c r="L4814" s="112" t="s">
        <v>69</v>
      </c>
      <c r="M4814" s="113">
        <v>27500.0</v>
      </c>
      <c r="N4814" s="74"/>
      <c r="O4814" s="87">
        <f t="shared" si="11"/>
        <v>8250000</v>
      </c>
      <c r="P4814" s="102" t="str">
        <f t="shared" si="2"/>
        <v>Rp27,500-300 PCS-0.00%</v>
      </c>
      <c r="Q4814" s="92">
        <v>45432.0</v>
      </c>
      <c r="R4814" s="76"/>
      <c r="S4814" s="92">
        <v>45436.0</v>
      </c>
      <c r="T4814" s="49"/>
      <c r="V4814" s="21" t="s">
        <v>828</v>
      </c>
    </row>
    <row r="4815">
      <c r="A4815" s="93">
        <v>794.0</v>
      </c>
      <c r="B4815" s="91"/>
      <c r="C4815" s="77" t="s">
        <v>85</v>
      </c>
      <c r="D4815" s="77" t="s">
        <v>86</v>
      </c>
      <c r="E4815" s="41" t="str">
        <f>IFERROR(__xludf.DUMMYFUNCTION("IFNA(vlookup(D4815,IMPORTRANGE(""https://docs.google.com/spreadsheets/d/1swGwZOEqYlTEUCJLY-eeJM1911Kvaei5oySBIxdgtNo/edit?pli=1#gid=257618397"",""stock untanna!B:C""),2,false),V:V)"),"ISI GEL PEN DTIAN GR-088 (ISI 6 PCS TABUNG)")</f>
        <v>ISI GEL PEN DTIAN GR-088 (ISI 6 PCS TABUNG)</v>
      </c>
      <c r="F4815" s="49"/>
      <c r="G4815" s="71"/>
      <c r="H4815" s="41"/>
      <c r="I4815" s="42"/>
      <c r="J4815" s="85" t="s">
        <v>1319</v>
      </c>
      <c r="K4815" s="93">
        <v>24.0</v>
      </c>
      <c r="L4815" s="112" t="s">
        <v>88</v>
      </c>
      <c r="M4815" s="113">
        <v>84000.0</v>
      </c>
      <c r="N4815" s="74"/>
      <c r="O4815" s="87">
        <f t="shared" si="11"/>
        <v>2016000</v>
      </c>
      <c r="P4815" s="102" t="str">
        <f t="shared" si="2"/>
        <v>Rp84,000-24 BOX-0.00%</v>
      </c>
      <c r="Q4815" s="92">
        <v>45432.0</v>
      </c>
      <c r="R4815" s="76"/>
      <c r="S4815" s="92">
        <v>45436.0</v>
      </c>
      <c r="T4815" s="49"/>
      <c r="V4815" s="21" t="s">
        <v>87</v>
      </c>
    </row>
    <row r="4816">
      <c r="A4816" s="93">
        <v>4287.0</v>
      </c>
      <c r="B4816" s="77" t="s">
        <v>65</v>
      </c>
      <c r="C4816" s="77" t="s">
        <v>4004</v>
      </c>
      <c r="D4816" s="91"/>
      <c r="E4816" s="41" t="str">
        <f>IFERROR(__xludf.DUMMYFUNCTION("IFNA(vlookup(D4816,IMPORTRANGE(""https://docs.google.com/spreadsheets/d/1swGwZOEqYlTEUCJLY-eeJM1911Kvaei5oySBIxdgtNo/edit?pli=1#gid=257618397"",""stock untanna!B:C""),2,false),V:V)"),"KARET KECIL")</f>
        <v>KARET KECIL</v>
      </c>
      <c r="F4816" s="49"/>
      <c r="G4816" s="71"/>
      <c r="H4816" s="41"/>
      <c r="I4816" s="42"/>
      <c r="J4816" s="85" t="s">
        <v>3190</v>
      </c>
      <c r="K4816" s="93">
        <v>500.0</v>
      </c>
      <c r="L4816" s="112" t="s">
        <v>114</v>
      </c>
      <c r="M4816" s="113">
        <v>6500.0</v>
      </c>
      <c r="N4816" s="74"/>
      <c r="O4816" s="87">
        <f t="shared" si="11"/>
        <v>3250000</v>
      </c>
      <c r="P4816" s="102" t="str">
        <f t="shared" si="2"/>
        <v>Rp6,500-500 PAK-0.00%</v>
      </c>
      <c r="Q4816" s="92">
        <v>45432.0</v>
      </c>
      <c r="R4816" s="76"/>
      <c r="S4816" s="92">
        <v>45436.0</v>
      </c>
      <c r="T4816" s="49"/>
      <c r="V4816" s="21" t="s">
        <v>1424</v>
      </c>
    </row>
    <row r="4817">
      <c r="A4817" s="93">
        <v>4470.0</v>
      </c>
      <c r="B4817" s="77" t="s">
        <v>58</v>
      </c>
      <c r="C4817" s="77" t="s">
        <v>4005</v>
      </c>
      <c r="D4817" s="77" t="s">
        <v>203</v>
      </c>
      <c r="E4817" s="41" t="str">
        <f>IFERROR(__xludf.DUMMYFUNCTION("IFNA(vlookup(D4817,IMPORTRANGE(""https://docs.google.com/spreadsheets/d/1swGwZOEqYlTEUCJLY-eeJM1911Kvaei5oySBIxdgtNo/edit?pli=1#gid=257618397"",""stock untanna!B:C""),2,false),V:V)"),"BP HITECH JOSS GP-168 0.28MM")</f>
        <v>BP HITECH JOSS GP-168 0.28MM</v>
      </c>
      <c r="F4817" s="49"/>
      <c r="G4817" s="71"/>
      <c r="H4817" s="41"/>
      <c r="I4817" s="42"/>
      <c r="J4817" s="85" t="s">
        <v>1319</v>
      </c>
      <c r="K4817" s="93">
        <v>24.0</v>
      </c>
      <c r="L4817" s="112" t="s">
        <v>62</v>
      </c>
      <c r="M4817" s="113">
        <v>22500.0</v>
      </c>
      <c r="N4817" s="74"/>
      <c r="O4817" s="87">
        <f t="shared" si="11"/>
        <v>540000</v>
      </c>
      <c r="P4817" s="102" t="str">
        <f t="shared" si="2"/>
        <v>Rp22,500-24 LSN-0.00%</v>
      </c>
      <c r="Q4817" s="92">
        <v>45432.0</v>
      </c>
      <c r="R4817" s="76"/>
      <c r="S4817" s="92">
        <v>45436.0</v>
      </c>
      <c r="T4817" s="49"/>
      <c r="V4817" s="21" t="s">
        <v>204</v>
      </c>
    </row>
    <row r="4818">
      <c r="A4818" s="93">
        <v>4470.0</v>
      </c>
      <c r="B4818" s="77" t="s">
        <v>58</v>
      </c>
      <c r="C4818" s="77" t="s">
        <v>4005</v>
      </c>
      <c r="D4818" s="77" t="s">
        <v>31</v>
      </c>
      <c r="E4818" s="41" t="str">
        <f>IFERROR(__xludf.DUMMYFUNCTION("IFNA(vlookup(D4818,IMPORTRANGE(""https://docs.google.com/spreadsheets/d/1swGwZOEqYlTEUCJLY-eeJM1911Kvaei5oySBIxdgtNo/edit?pli=1#gid=257618397"",""stock untanna!B:C""),2,false),V:V)"),"ISI STAPLER 13/8 JOSS")</f>
        <v>ISI STAPLER 13/8 JOSS</v>
      </c>
      <c r="F4818" s="49"/>
      <c r="G4818" s="71"/>
      <c r="H4818" s="41"/>
      <c r="I4818" s="42"/>
      <c r="J4818" s="85" t="s">
        <v>1319</v>
      </c>
      <c r="K4818" s="93">
        <v>6.0</v>
      </c>
      <c r="L4818" s="112" t="s">
        <v>114</v>
      </c>
      <c r="M4818" s="113">
        <v>18500.0</v>
      </c>
      <c r="N4818" s="74"/>
      <c r="O4818" s="87">
        <f t="shared" si="11"/>
        <v>111000</v>
      </c>
      <c r="P4818" s="102" t="str">
        <f t="shared" si="2"/>
        <v>Rp18,500-6 PAK-0.00%</v>
      </c>
      <c r="Q4818" s="92">
        <v>45432.0</v>
      </c>
      <c r="R4818" s="76"/>
      <c r="S4818" s="92">
        <v>45436.0</v>
      </c>
      <c r="T4818" s="49"/>
      <c r="V4818" s="21" t="s">
        <v>113</v>
      </c>
    </row>
    <row r="4819">
      <c r="A4819" s="93">
        <v>4470.0</v>
      </c>
      <c r="B4819" s="77" t="s">
        <v>58</v>
      </c>
      <c r="C4819" s="77" t="s">
        <v>4005</v>
      </c>
      <c r="D4819" s="77" t="s">
        <v>4006</v>
      </c>
      <c r="E4819" s="41" t="str">
        <f>IFERROR(__xludf.DUMMYFUNCTION("IFNA(vlookup(D4819,IMPORTRANGE(""https://docs.google.com/spreadsheets/d/1swGwZOEqYlTEUCJLY-eeJM1911Kvaei5oySBIxdgtNo/edit?pli=1#gid=257618397"",""stock untanna!B:C""),2,false),V:V)"),"NOTEBOOK SPIRAL 28825-65")</f>
        <v>NOTEBOOK SPIRAL 28825-65</v>
      </c>
      <c r="F4819" s="49"/>
      <c r="G4819" s="71"/>
      <c r="H4819" s="41"/>
      <c r="I4819" s="42"/>
      <c r="J4819" s="85" t="s">
        <v>1319</v>
      </c>
      <c r="K4819" s="93">
        <v>24.0</v>
      </c>
      <c r="L4819" s="112" t="s">
        <v>69</v>
      </c>
      <c r="M4819" s="113">
        <v>11500.0</v>
      </c>
      <c r="N4819" s="74"/>
      <c r="O4819" s="87">
        <f t="shared" si="11"/>
        <v>276000</v>
      </c>
      <c r="P4819" s="102" t="str">
        <f t="shared" si="2"/>
        <v>Rp11,500-24 PCS-0.00%</v>
      </c>
      <c r="Q4819" s="92">
        <v>45432.0</v>
      </c>
      <c r="R4819" s="76"/>
      <c r="S4819" s="92">
        <v>45436.0</v>
      </c>
      <c r="T4819" s="49"/>
      <c r="V4819" s="21" t="s">
        <v>4007</v>
      </c>
    </row>
    <row r="4820">
      <c r="A4820" s="93">
        <v>4470.0</v>
      </c>
      <c r="B4820" s="77" t="s">
        <v>58</v>
      </c>
      <c r="C4820" s="77" t="s">
        <v>4005</v>
      </c>
      <c r="D4820" s="77" t="s">
        <v>3850</v>
      </c>
      <c r="E4820" s="41" t="str">
        <f>IFERROR(__xludf.DUMMYFUNCTION("IFNA(vlookup(D4820,IMPORTRANGE(""https://docs.google.com/spreadsheets/d/1swGwZOEqYlTEUCJLY-eeJM1911Kvaei5oySBIxdgtNo/edit?pli=1#gid=257618397"",""stock untanna!B:C""),2,false),V:V)"),"NOTEBOOK SPIRAL 28825-67")</f>
        <v>NOTEBOOK SPIRAL 28825-67</v>
      </c>
      <c r="F4820" s="49"/>
      <c r="G4820" s="71"/>
      <c r="H4820" s="41"/>
      <c r="I4820" s="42"/>
      <c r="J4820" s="85" t="s">
        <v>1319</v>
      </c>
      <c r="K4820" s="93">
        <v>24.0</v>
      </c>
      <c r="L4820" s="112" t="s">
        <v>69</v>
      </c>
      <c r="M4820" s="113">
        <v>11500.0</v>
      </c>
      <c r="N4820" s="74"/>
      <c r="O4820" s="87">
        <f t="shared" si="11"/>
        <v>276000</v>
      </c>
      <c r="P4820" s="102" t="str">
        <f t="shared" si="2"/>
        <v>Rp11,500-24 PCS-0.00%</v>
      </c>
      <c r="Q4820" s="92">
        <v>45432.0</v>
      </c>
      <c r="R4820" s="76"/>
      <c r="S4820" s="92">
        <v>45436.0</v>
      </c>
      <c r="T4820" s="49"/>
      <c r="V4820" s="21" t="s">
        <v>3851</v>
      </c>
    </row>
    <row r="4821">
      <c r="A4821" s="93">
        <v>4470.0</v>
      </c>
      <c r="B4821" s="77" t="s">
        <v>58</v>
      </c>
      <c r="C4821" s="77" t="s">
        <v>4005</v>
      </c>
      <c r="D4821" s="77" t="s">
        <v>911</v>
      </c>
      <c r="E4821" s="41" t="str">
        <f>IFERROR(__xludf.DUMMYFUNCTION("IFNA(vlookup(D4821,IMPORTRANGE(""https://docs.google.com/spreadsheets/d/1swGwZOEqYlTEUCJLY-eeJM1911Kvaei5oySBIxdgtNo/edit?pli=1#gid=257618397"",""stock untanna!B:C""),2,false),V:V)"),"NOTEBOOK SPIRAL 25100-67")</f>
        <v>NOTEBOOK SPIRAL 25100-67</v>
      </c>
      <c r="F4821" s="49"/>
      <c r="G4821" s="71"/>
      <c r="H4821" s="41"/>
      <c r="I4821" s="42"/>
      <c r="J4821" s="85" t="s">
        <v>1319</v>
      </c>
      <c r="K4821" s="93">
        <v>24.0</v>
      </c>
      <c r="L4821" s="112" t="s">
        <v>69</v>
      </c>
      <c r="M4821" s="113">
        <v>11500.0</v>
      </c>
      <c r="N4821" s="74"/>
      <c r="O4821" s="87">
        <f t="shared" si="11"/>
        <v>276000</v>
      </c>
      <c r="P4821" s="102" t="str">
        <f t="shared" si="2"/>
        <v>Rp11,500-24 PCS-0.00%</v>
      </c>
      <c r="Q4821" s="92">
        <v>45432.0</v>
      </c>
      <c r="R4821" s="76"/>
      <c r="S4821" s="92">
        <v>45436.0</v>
      </c>
      <c r="T4821" s="49"/>
      <c r="V4821" s="21" t="s">
        <v>912</v>
      </c>
    </row>
    <row r="4822">
      <c r="A4822" s="93">
        <v>4470.0</v>
      </c>
      <c r="B4822" s="77" t="s">
        <v>58</v>
      </c>
      <c r="C4822" s="77" t="s">
        <v>4005</v>
      </c>
      <c r="D4822" s="77" t="s">
        <v>1368</v>
      </c>
      <c r="E4822" s="41" t="str">
        <f>IFERROR(__xludf.DUMMYFUNCTION("IFNA(vlookup(D4822,IMPORTRANGE(""https://docs.google.com/spreadsheets/d/1swGwZOEqYlTEUCJLY-eeJM1911Kvaei5oySBIxdgtNo/edit?pli=1#gid=257618397"",""stock untanna!B:C""),2,false),V:V)"),"NOTEBOOK SPIRAL 28850-68")</f>
        <v>NOTEBOOK SPIRAL 28850-68</v>
      </c>
      <c r="F4822" s="49"/>
      <c r="G4822" s="71"/>
      <c r="H4822" s="41"/>
      <c r="I4822" s="42"/>
      <c r="J4822" s="85" t="s">
        <v>1319</v>
      </c>
      <c r="K4822" s="93">
        <v>4.0</v>
      </c>
      <c r="L4822" s="112" t="s">
        <v>62</v>
      </c>
      <c r="M4822" s="113">
        <v>85000.0</v>
      </c>
      <c r="N4822" s="74"/>
      <c r="O4822" s="87">
        <f t="shared" si="11"/>
        <v>340000</v>
      </c>
      <c r="P4822" s="102" t="str">
        <f t="shared" si="2"/>
        <v>Rp85,000-4 LSN-0.00%</v>
      </c>
      <c r="Q4822" s="92">
        <v>45432.0</v>
      </c>
      <c r="R4822" s="76"/>
      <c r="S4822" s="92">
        <v>45436.0</v>
      </c>
      <c r="T4822" s="49"/>
      <c r="V4822" s="21" t="s">
        <v>1369</v>
      </c>
    </row>
    <row r="4823">
      <c r="A4823" s="93">
        <v>4470.0</v>
      </c>
      <c r="B4823" s="77" t="s">
        <v>58</v>
      </c>
      <c r="C4823" s="77" t="s">
        <v>4005</v>
      </c>
      <c r="D4823" s="77" t="s">
        <v>183</v>
      </c>
      <c r="E4823" s="41" t="str">
        <f>IFERROR(__xludf.DUMMYFUNCTION("IFNA(vlookup(D4823,IMPORTRANGE(""https://docs.google.com/spreadsheets/d/1swGwZOEqYlTEUCJLY-eeJM1911Kvaei5oySBIxdgtNo/edit?pli=1#gid=257618397"",""stock untanna!B:C""),2,false),V:V)"),"NOTEBOOK SPIRAL 28850-65")</f>
        <v>NOTEBOOK SPIRAL 28850-65</v>
      </c>
      <c r="F4823" s="49"/>
      <c r="G4823" s="71"/>
      <c r="H4823" s="41"/>
      <c r="I4823" s="42"/>
      <c r="J4823" s="85" t="s">
        <v>1319</v>
      </c>
      <c r="K4823" s="93">
        <v>4.0</v>
      </c>
      <c r="L4823" s="112" t="s">
        <v>62</v>
      </c>
      <c r="M4823" s="113">
        <v>85000.0</v>
      </c>
      <c r="N4823" s="74"/>
      <c r="O4823" s="87">
        <f t="shared" si="11"/>
        <v>340000</v>
      </c>
      <c r="P4823" s="102" t="str">
        <f t="shared" si="2"/>
        <v>Rp85,000-4 LSN-0.00%</v>
      </c>
      <c r="Q4823" s="92">
        <v>45432.0</v>
      </c>
      <c r="R4823" s="76"/>
      <c r="S4823" s="92">
        <v>45436.0</v>
      </c>
      <c r="T4823" s="49"/>
      <c r="V4823" s="21" t="s">
        <v>184</v>
      </c>
    </row>
    <row r="4824">
      <c r="A4824" s="93">
        <v>4470.0</v>
      </c>
      <c r="B4824" s="77" t="s">
        <v>58</v>
      </c>
      <c r="C4824" s="77" t="s">
        <v>4005</v>
      </c>
      <c r="D4824" s="77" t="s">
        <v>187</v>
      </c>
      <c r="E4824" s="41" t="str">
        <f>IFERROR(__xludf.DUMMYFUNCTION("IFNA(vlookup(D4824,IMPORTRANGE(""https://docs.google.com/spreadsheets/d/1swGwZOEqYlTEUCJLY-eeJM1911Kvaei5oySBIxdgtNo/edit?pli=1#gid=257618397"",""stock untanna!B:C""),2,false),V:V)"),"NOTEBOOK SPIRAL 28850-61")</f>
        <v>NOTEBOOK SPIRAL 28850-61</v>
      </c>
      <c r="F4824" s="49"/>
      <c r="G4824" s="71"/>
      <c r="H4824" s="41"/>
      <c r="I4824" s="42"/>
      <c r="J4824" s="85" t="s">
        <v>1319</v>
      </c>
      <c r="K4824" s="93">
        <v>4.0</v>
      </c>
      <c r="L4824" s="112" t="s">
        <v>62</v>
      </c>
      <c r="M4824" s="113">
        <v>85000.0</v>
      </c>
      <c r="N4824" s="74"/>
      <c r="O4824" s="87">
        <f t="shared" si="11"/>
        <v>340000</v>
      </c>
      <c r="P4824" s="102" t="str">
        <f t="shared" si="2"/>
        <v>Rp85,000-4 LSN-0.00%</v>
      </c>
      <c r="Q4824" s="92">
        <v>45432.0</v>
      </c>
      <c r="R4824" s="76"/>
      <c r="S4824" s="92">
        <v>45436.0</v>
      </c>
      <c r="T4824" s="49"/>
      <c r="V4824" s="21" t="s">
        <v>188</v>
      </c>
    </row>
    <row r="4825">
      <c r="A4825" s="93">
        <v>4470.0</v>
      </c>
      <c r="B4825" s="77" t="s">
        <v>58</v>
      </c>
      <c r="C4825" s="77" t="s">
        <v>4005</v>
      </c>
      <c r="D4825" s="77" t="s">
        <v>3844</v>
      </c>
      <c r="E4825" s="41" t="str">
        <f>IFERROR(__xludf.DUMMYFUNCTION("IFNA(vlookup(D4825,IMPORTRANGE(""https://docs.google.com/spreadsheets/d/1swGwZOEqYlTEUCJLY-eeJM1911Kvaei5oySBIxdgtNo/edit?pli=1#gid=257618397"",""stock untanna!B:C""),2,false),V:V)"),"NOTEBOOK 50100-67")</f>
        <v>NOTEBOOK 50100-67</v>
      </c>
      <c r="F4825" s="49"/>
      <c r="G4825" s="71"/>
      <c r="H4825" s="41"/>
      <c r="I4825" s="42"/>
      <c r="J4825" s="85" t="s">
        <v>1319</v>
      </c>
      <c r="K4825" s="93">
        <v>4.0</v>
      </c>
      <c r="L4825" s="112" t="s">
        <v>62</v>
      </c>
      <c r="M4825" s="113">
        <v>85000.0</v>
      </c>
      <c r="N4825" s="74"/>
      <c r="O4825" s="87">
        <f t="shared" si="11"/>
        <v>340000</v>
      </c>
      <c r="P4825" s="102" t="str">
        <f t="shared" si="2"/>
        <v>Rp85,000-4 LSN-0.00%</v>
      </c>
      <c r="Q4825" s="92">
        <v>45432.0</v>
      </c>
      <c r="R4825" s="76"/>
      <c r="S4825" s="92">
        <v>45436.0</v>
      </c>
      <c r="T4825" s="49"/>
      <c r="V4825" s="21" t="s">
        <v>3845</v>
      </c>
    </row>
    <row r="4826">
      <c r="A4826" s="93">
        <v>4470.0</v>
      </c>
      <c r="B4826" s="77" t="s">
        <v>58</v>
      </c>
      <c r="C4826" s="77" t="s">
        <v>4005</v>
      </c>
      <c r="D4826" s="91"/>
      <c r="E4826" s="41" t="str">
        <f>IFERROR(__xludf.DUMMYFUNCTION("IFNA(vlookup(D4826,IMPORTRANGE(""https://docs.google.com/spreadsheets/d/1swGwZOEqYlTEUCJLY-eeJM1911Kvaei5oySBIxdgtNo/edit?pli=1#gid=257618397"",""stock untanna!B:C""),2,false),V:V)"),"NOTEBOOK 50100-71")</f>
        <v>NOTEBOOK 50100-71</v>
      </c>
      <c r="F4826" s="49"/>
      <c r="G4826" s="71"/>
      <c r="H4826" s="41"/>
      <c r="I4826" s="42"/>
      <c r="J4826" s="85" t="s">
        <v>1319</v>
      </c>
      <c r="K4826" s="93">
        <v>4.0</v>
      </c>
      <c r="L4826" s="112" t="s">
        <v>62</v>
      </c>
      <c r="M4826" s="113">
        <v>85000.0</v>
      </c>
      <c r="N4826" s="74"/>
      <c r="O4826" s="87">
        <f t="shared" si="11"/>
        <v>340000</v>
      </c>
      <c r="P4826" s="102" t="str">
        <f t="shared" si="2"/>
        <v>Rp85,000-4 LSN-0.00%</v>
      </c>
      <c r="Q4826" s="92">
        <v>45432.0</v>
      </c>
      <c r="R4826" s="76"/>
      <c r="S4826" s="92">
        <v>45436.0</v>
      </c>
      <c r="T4826" s="77" t="s">
        <v>280</v>
      </c>
      <c r="V4826" s="21" t="s">
        <v>1509</v>
      </c>
    </row>
    <row r="4827">
      <c r="A4827" s="93">
        <v>4470.0</v>
      </c>
      <c r="B4827" s="77" t="s">
        <v>58</v>
      </c>
      <c r="C4827" s="77" t="s">
        <v>4005</v>
      </c>
      <c r="D4827" s="77" t="s">
        <v>3831</v>
      </c>
      <c r="E4827" s="41" t="str">
        <f>IFERROR(__xludf.DUMMYFUNCTION("IFNA(vlookup(D4827,IMPORTRANGE(""https://docs.google.com/spreadsheets/d/1swGwZOEqYlTEUCJLY-eeJM1911Kvaei5oySBIxdgtNo/edit?pli=1#gid=257618397"",""stock untanna!B:C""),2,false),V:V)"),"ASAHAN 3006 PESAWAT (45)")</f>
        <v>ASAHAN 3006 PESAWAT (45)</v>
      </c>
      <c r="F4827" s="49"/>
      <c r="G4827" s="71"/>
      <c r="H4827" s="41"/>
      <c r="I4827" s="42"/>
      <c r="J4827" s="85" t="s">
        <v>1319</v>
      </c>
      <c r="K4827" s="93">
        <v>1.0</v>
      </c>
      <c r="L4827" s="112" t="s">
        <v>3832</v>
      </c>
      <c r="M4827" s="113">
        <v>93500.0</v>
      </c>
      <c r="N4827" s="74"/>
      <c r="O4827" s="87">
        <f t="shared" si="11"/>
        <v>93500</v>
      </c>
      <c r="P4827" s="102" t="str">
        <f t="shared" si="2"/>
        <v>Rp93,500-1 POT-0.00%</v>
      </c>
      <c r="Q4827" s="92">
        <v>45432.0</v>
      </c>
      <c r="R4827" s="76"/>
      <c r="S4827" s="92">
        <v>45436.0</v>
      </c>
      <c r="T4827" s="49"/>
      <c r="V4827" s="21" t="s">
        <v>3833</v>
      </c>
    </row>
    <row r="4828">
      <c r="A4828" s="93">
        <v>4470.0</v>
      </c>
      <c r="B4828" s="77" t="s">
        <v>58</v>
      </c>
      <c r="C4828" s="77" t="s">
        <v>4005</v>
      </c>
      <c r="D4828" s="77" t="s">
        <v>1745</v>
      </c>
      <c r="E4828" s="41" t="str">
        <f>IFERROR(__xludf.DUMMYFUNCTION("IFNA(vlookup(D4828,IMPORTRANGE(""https://docs.google.com/spreadsheets/d/1swGwZOEqYlTEUCJLY-eeJM1911Kvaei5oySBIxdgtNo/edit?pli=1#gid=257618397"",""stock untanna!B:C""),2,false),V:V)"),"ASAHAN XXY-1868")</f>
        <v>ASAHAN XXY-1868</v>
      </c>
      <c r="F4828" s="49"/>
      <c r="G4828" s="71"/>
      <c r="H4828" s="41"/>
      <c r="I4828" s="42"/>
      <c r="J4828" s="85" t="s">
        <v>1319</v>
      </c>
      <c r="K4828" s="93">
        <v>42.0</v>
      </c>
      <c r="L4828" s="112" t="s">
        <v>69</v>
      </c>
      <c r="M4828" s="113">
        <v>1666.67</v>
      </c>
      <c r="N4828" s="74"/>
      <c r="O4828" s="87">
        <f t="shared" si="11"/>
        <v>70000.14</v>
      </c>
      <c r="P4828" s="102" t="str">
        <f t="shared" si="2"/>
        <v>Rp1,667-42 PCS-0.00%</v>
      </c>
      <c r="Q4828" s="92">
        <v>45432.0</v>
      </c>
      <c r="R4828" s="76"/>
      <c r="S4828" s="92">
        <v>45436.0</v>
      </c>
      <c r="T4828" s="49"/>
      <c r="V4828" s="21" t="s">
        <v>1746</v>
      </c>
    </row>
    <row r="4829">
      <c r="A4829" s="93">
        <v>4470.0</v>
      </c>
      <c r="B4829" s="77" t="s">
        <v>58</v>
      </c>
      <c r="C4829" s="77" t="s">
        <v>4005</v>
      </c>
      <c r="D4829" s="91"/>
      <c r="E4829" s="41" t="str">
        <f>IFERROR(__xludf.DUMMYFUNCTION("IFNA(vlookup(D4829,IMPORTRANGE(""https://docs.google.com/spreadsheets/d/1swGwZOEqYlTEUCJLY-eeJM1911Kvaei5oySBIxdgtNo/edit?pli=1#gid=257618397"",""stock untanna!B:C""),2,false),V:V)"),"GLITTER G-08")</f>
        <v>GLITTER G-08</v>
      </c>
      <c r="F4829" s="49"/>
      <c r="G4829" s="71"/>
      <c r="H4829" s="41"/>
      <c r="I4829" s="42"/>
      <c r="J4829" s="85" t="s">
        <v>1319</v>
      </c>
      <c r="K4829" s="93">
        <v>1.0</v>
      </c>
      <c r="L4829" s="112" t="s">
        <v>114</v>
      </c>
      <c r="M4829" s="113">
        <v>75000.0</v>
      </c>
      <c r="N4829" s="74"/>
      <c r="O4829" s="87">
        <f t="shared" si="11"/>
        <v>75000</v>
      </c>
      <c r="P4829" s="102" t="str">
        <f t="shared" si="2"/>
        <v>Rp75,000-1 PAK-0.00%</v>
      </c>
      <c r="Q4829" s="92">
        <v>45432.0</v>
      </c>
      <c r="R4829" s="76"/>
      <c r="S4829" s="92">
        <v>45436.0</v>
      </c>
      <c r="T4829" s="77" t="s">
        <v>280</v>
      </c>
      <c r="V4829" s="21" t="s">
        <v>4008</v>
      </c>
    </row>
    <row r="4830">
      <c r="A4830" s="93">
        <v>4470.0</v>
      </c>
      <c r="B4830" s="77" t="s">
        <v>58</v>
      </c>
      <c r="C4830" s="77" t="s">
        <v>4005</v>
      </c>
      <c r="D4830" s="91"/>
      <c r="E4830" s="41" t="str">
        <f>IFERROR(__xludf.DUMMYFUNCTION("IFNA(vlookup(D4830,IMPORTRANGE(""https://docs.google.com/spreadsheets/d/1swGwZOEqYlTEUCJLY-eeJM1911Kvaei5oySBIxdgtNo/edit?pli=1#gid=257618397"",""stock untanna!B:C""),2,false),V:V)"),"GLITTER G56B00-7")</f>
        <v>GLITTER G56B00-7</v>
      </c>
      <c r="F4830" s="49"/>
      <c r="G4830" s="71"/>
      <c r="H4830" s="41"/>
      <c r="I4830" s="42"/>
      <c r="J4830" s="85" t="s">
        <v>1319</v>
      </c>
      <c r="K4830" s="93">
        <v>1.0</v>
      </c>
      <c r="L4830" s="112" t="s">
        <v>114</v>
      </c>
      <c r="M4830" s="113">
        <v>50000.0</v>
      </c>
      <c r="N4830" s="74"/>
      <c r="O4830" s="87">
        <f t="shared" si="11"/>
        <v>50000</v>
      </c>
      <c r="P4830" s="102" t="str">
        <f t="shared" si="2"/>
        <v>Rp50,000-1 PAK-0.00%</v>
      </c>
      <c r="Q4830" s="92">
        <v>45432.0</v>
      </c>
      <c r="R4830" s="76"/>
      <c r="S4830" s="92">
        <v>45436.0</v>
      </c>
      <c r="T4830" s="77" t="s">
        <v>280</v>
      </c>
      <c r="V4830" s="21" t="s">
        <v>4009</v>
      </c>
    </row>
    <row r="4831">
      <c r="A4831" s="93">
        <v>4470.0</v>
      </c>
      <c r="B4831" s="77" t="s">
        <v>58</v>
      </c>
      <c r="C4831" s="77" t="s">
        <v>4005</v>
      </c>
      <c r="D4831" s="77" t="s">
        <v>1256</v>
      </c>
      <c r="E4831" s="41" t="str">
        <f>IFERROR(__xludf.DUMMYFUNCTION("IFNA(vlookup(D4831,IMPORTRANGE(""https://docs.google.com/spreadsheets/d/1swGwZOEqYlTEUCJLY-eeJM1911Kvaei5oySBIxdgtNo/edit?pli=1#gid=257618397"",""stock untanna!B:C""),2,false),V:V)"),"TAS KARUNG TIDUR 40X30")</f>
        <v>TAS KARUNG TIDUR 40X30</v>
      </c>
      <c r="F4831" s="49"/>
      <c r="G4831" s="71"/>
      <c r="H4831" s="41"/>
      <c r="I4831" s="42"/>
      <c r="J4831" s="85" t="s">
        <v>1319</v>
      </c>
      <c r="K4831" s="93">
        <v>1.0</v>
      </c>
      <c r="L4831" s="112" t="s">
        <v>62</v>
      </c>
      <c r="M4831" s="113">
        <v>140000.0</v>
      </c>
      <c r="N4831" s="74"/>
      <c r="O4831" s="87">
        <f t="shared" si="11"/>
        <v>140000</v>
      </c>
      <c r="P4831" s="102" t="str">
        <f t="shared" si="2"/>
        <v>Rp140,000-1 LSN-0.00%</v>
      </c>
      <c r="Q4831" s="92">
        <v>45432.0</v>
      </c>
      <c r="R4831" s="76"/>
      <c r="S4831" s="92">
        <v>45436.0</v>
      </c>
      <c r="T4831" s="49"/>
      <c r="V4831" s="21" t="s">
        <v>1257</v>
      </c>
    </row>
    <row r="4832">
      <c r="A4832" s="93">
        <v>4470.0</v>
      </c>
      <c r="B4832" s="77" t="s">
        <v>58</v>
      </c>
      <c r="C4832" s="77" t="s">
        <v>4005</v>
      </c>
      <c r="D4832" s="91"/>
      <c r="E4832" s="41" t="str">
        <f>IFERROR(__xludf.DUMMYFUNCTION("IFNA(vlookup(D4832,IMPORTRANGE(""https://docs.google.com/spreadsheets/d/1swGwZOEqYlTEUCJLY-eeJM1911Kvaei5oySBIxdgtNo/edit?pli=1#gid=257618397"",""stock untanna!B:C""),2,false),V:V)"),"TAS KARUNG 40 X 50 WIN/ LS")</f>
        <v>TAS KARUNG 40 X 50 WIN/ LS</v>
      </c>
      <c r="F4832" s="49"/>
      <c r="G4832" s="71"/>
      <c r="H4832" s="41"/>
      <c r="I4832" s="42"/>
      <c r="J4832" s="85" t="s">
        <v>3190</v>
      </c>
      <c r="K4832" s="93">
        <v>1.0</v>
      </c>
      <c r="L4832" s="112" t="s">
        <v>62</v>
      </c>
      <c r="M4832" s="113">
        <v>177000.0</v>
      </c>
      <c r="N4832" s="74"/>
      <c r="O4832" s="87">
        <f t="shared" si="11"/>
        <v>177000</v>
      </c>
      <c r="P4832" s="102" t="str">
        <f t="shared" si="2"/>
        <v>Rp177,000-1 LSN-0.00%</v>
      </c>
      <c r="Q4832" s="92">
        <v>45432.0</v>
      </c>
      <c r="R4832" s="76"/>
      <c r="S4832" s="92">
        <v>45436.0</v>
      </c>
      <c r="T4832" s="49"/>
      <c r="V4832" s="21" t="s">
        <v>4010</v>
      </c>
    </row>
    <row r="4833">
      <c r="A4833" s="93">
        <v>4471.0</v>
      </c>
      <c r="B4833" s="77" t="s">
        <v>58</v>
      </c>
      <c r="C4833" s="77" t="s">
        <v>4005</v>
      </c>
      <c r="D4833" s="77" t="s">
        <v>251</v>
      </c>
      <c r="E4833" s="41" t="str">
        <f>IFERROR(__xludf.DUMMYFUNCTION("IFNA(vlookup(D4833,IMPORTRANGE(""https://docs.google.com/spreadsheets/d/1swGwZOEqYlTEUCJLY-eeJM1911Kvaei5oySBIxdgtNo/edit?pli=1#gid=257618397"",""stock untanna!B:C""),2,false),V:V)"),"TAS TUTUP PITA KADO FG-401 JUMBO")</f>
        <v>TAS TUTUP PITA KADO FG-401 JUMBO</v>
      </c>
      <c r="F4833" s="49"/>
      <c r="G4833" s="71"/>
      <c r="H4833" s="41"/>
      <c r="I4833" s="42"/>
      <c r="J4833" s="85" t="s">
        <v>1319</v>
      </c>
      <c r="K4833" s="93">
        <v>1.0</v>
      </c>
      <c r="L4833" s="112" t="s">
        <v>62</v>
      </c>
      <c r="M4833" s="113">
        <v>150000.0</v>
      </c>
      <c r="N4833" s="74"/>
      <c r="O4833" s="87">
        <f t="shared" si="11"/>
        <v>150000</v>
      </c>
      <c r="P4833" s="102" t="str">
        <f t="shared" si="2"/>
        <v>Rp150,000-1 LSN-0.00%</v>
      </c>
      <c r="Q4833" s="92">
        <v>45432.0</v>
      </c>
      <c r="R4833" s="76"/>
      <c r="S4833" s="92">
        <v>45436.0</v>
      </c>
      <c r="T4833" s="49"/>
      <c r="V4833" s="21" t="s">
        <v>252</v>
      </c>
    </row>
    <row r="4834">
      <c r="A4834" s="93">
        <v>4471.0</v>
      </c>
      <c r="B4834" s="77" t="s">
        <v>58</v>
      </c>
      <c r="C4834" s="77" t="s">
        <v>4005</v>
      </c>
      <c r="D4834" s="77" t="s">
        <v>249</v>
      </c>
      <c r="E4834" s="41" t="str">
        <f>IFERROR(__xludf.DUMMYFUNCTION("IFNA(vlookup(D4834,IMPORTRANGE(""https://docs.google.com/spreadsheets/d/1swGwZOEqYlTEUCJLY-eeJM1911Kvaei5oySBIxdgtNo/edit?pli=1#gid=257618397"",""stock untanna!B:C""),2,false),V:V)"),"TAS TUTUP PITA KADO FG-101 KECIL")</f>
        <v>TAS TUTUP PITA KADO FG-101 KECIL</v>
      </c>
      <c r="F4834" s="49"/>
      <c r="G4834" s="71"/>
      <c r="H4834" s="41"/>
      <c r="I4834" s="42"/>
      <c r="J4834" s="85" t="s">
        <v>1319</v>
      </c>
      <c r="K4834" s="93">
        <v>4.0</v>
      </c>
      <c r="L4834" s="112" t="s">
        <v>62</v>
      </c>
      <c r="M4834" s="113">
        <v>57500.0</v>
      </c>
      <c r="N4834" s="74"/>
      <c r="O4834" s="87">
        <f t="shared" si="11"/>
        <v>230000</v>
      </c>
      <c r="P4834" s="102" t="str">
        <f t="shared" si="2"/>
        <v>Rp57,500-4 LSN-0.00%</v>
      </c>
      <c r="Q4834" s="92">
        <v>45432.0</v>
      </c>
      <c r="R4834" s="76"/>
      <c r="S4834" s="92">
        <v>45436.0</v>
      </c>
      <c r="T4834" s="49"/>
      <c r="V4834" s="21" t="s">
        <v>250</v>
      </c>
    </row>
    <row r="4835">
      <c r="A4835" s="93">
        <v>4471.0</v>
      </c>
      <c r="B4835" s="77" t="s">
        <v>58</v>
      </c>
      <c r="C4835" s="77" t="s">
        <v>4005</v>
      </c>
      <c r="D4835" s="77" t="s">
        <v>247</v>
      </c>
      <c r="E4835" s="41" t="str">
        <f>IFERROR(__xludf.DUMMYFUNCTION("IFNA(vlookup(D4835,IMPORTRANGE(""https://docs.google.com/spreadsheets/d/1swGwZOEqYlTEUCJLY-eeJM1911Kvaei5oySBIxdgtNo/edit?pli=1#gid=257618397"",""stock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4835" s="49"/>
      <c r="G4835" s="71"/>
      <c r="H4835" s="41"/>
      <c r="I4835" s="42"/>
      <c r="J4835" s="85" t="s">
        <v>1319</v>
      </c>
      <c r="K4835" s="93">
        <v>4.0</v>
      </c>
      <c r="L4835" s="112" t="s">
        <v>62</v>
      </c>
      <c r="M4835" s="113">
        <v>95000.0</v>
      </c>
      <c r="N4835" s="74"/>
      <c r="O4835" s="87">
        <f t="shared" si="11"/>
        <v>380000</v>
      </c>
      <c r="P4835" s="102" t="str">
        <f t="shared" si="2"/>
        <v>Rp95,000-4 LSN-0.00%</v>
      </c>
      <c r="Q4835" s="92">
        <v>45432.0</v>
      </c>
      <c r="R4835" s="76"/>
      <c r="S4835" s="92">
        <v>45436.0</v>
      </c>
      <c r="T4835" s="49"/>
      <c r="V4835" s="21" t="s">
        <v>248</v>
      </c>
    </row>
    <row r="4836">
      <c r="A4836" s="93">
        <v>4471.0</v>
      </c>
      <c r="B4836" s="77" t="s">
        <v>58</v>
      </c>
      <c r="C4836" s="77" t="s">
        <v>4005</v>
      </c>
      <c r="D4836" s="77" t="s">
        <v>3552</v>
      </c>
      <c r="E4836" s="41" t="str">
        <f>IFERROR(__xludf.DUMMYFUNCTION("IFNA(vlookup(D4836,IMPORTRANGE(""https://docs.google.com/spreadsheets/d/1swGwZOEqYlTEUCJLY-eeJM1911Kvaei5oySBIxdgtNo/edit?pli=1#gid=257618397"",""stock untanna!B:C""),2,false),V:V)"),"DOKUMEN RISLETING PRESTIGE")</f>
        <v>DOKUMEN RISLETING PRESTIGE</v>
      </c>
      <c r="F4836" s="49"/>
      <c r="G4836" s="71"/>
      <c r="H4836" s="41"/>
      <c r="I4836" s="42"/>
      <c r="J4836" s="85" t="s">
        <v>1319</v>
      </c>
      <c r="K4836" s="93">
        <v>2.0</v>
      </c>
      <c r="L4836" s="112" t="s">
        <v>62</v>
      </c>
      <c r="M4836" s="113">
        <v>235000.0</v>
      </c>
      <c r="N4836" s="74"/>
      <c r="O4836" s="87">
        <f t="shared" si="11"/>
        <v>470000</v>
      </c>
      <c r="P4836" s="102" t="str">
        <f t="shared" si="2"/>
        <v>Rp235,000-2 LSN-0.00%</v>
      </c>
      <c r="Q4836" s="92">
        <v>45432.0</v>
      </c>
      <c r="R4836" s="76"/>
      <c r="S4836" s="92">
        <v>45436.0</v>
      </c>
      <c r="T4836" s="49"/>
      <c r="V4836" s="21" t="s">
        <v>3553</v>
      </c>
    </row>
    <row r="4837">
      <c r="A4837" s="93">
        <v>4471.0</v>
      </c>
      <c r="B4837" s="77" t="s">
        <v>58</v>
      </c>
      <c r="C4837" s="77" t="s">
        <v>4005</v>
      </c>
      <c r="D4837" s="77" t="s">
        <v>945</v>
      </c>
      <c r="E4837" s="41" t="str">
        <f>IFERROR(__xludf.DUMMYFUNCTION("IFNA(vlookup(D4837,IMPORTRANGE(""https://docs.google.com/spreadsheets/d/1swGwZOEqYlTEUCJLY-eeJM1911Kvaei5oySBIxdgtNo/edit?pli=1#gid=257618397"",""stock untanna!B:C""),2,false),V:V)"),"STICKER XTQ-E")</f>
        <v>STICKER XTQ-E</v>
      </c>
      <c r="F4837" s="49"/>
      <c r="G4837" s="71"/>
      <c r="H4837" s="41"/>
      <c r="I4837" s="42"/>
      <c r="J4837" s="85" t="s">
        <v>1319</v>
      </c>
      <c r="K4837" s="93">
        <v>36.0</v>
      </c>
      <c r="L4837" s="112" t="s">
        <v>69</v>
      </c>
      <c r="M4837" s="113">
        <v>5000.0</v>
      </c>
      <c r="N4837" s="74"/>
      <c r="O4837" s="87">
        <f t="shared" si="11"/>
        <v>180000</v>
      </c>
      <c r="P4837" s="102" t="str">
        <f t="shared" si="2"/>
        <v>Rp5,000-36 PCS-0.00%</v>
      </c>
      <c r="Q4837" s="92">
        <v>45432.0</v>
      </c>
      <c r="R4837" s="76"/>
      <c r="S4837" s="92">
        <v>45436.0</v>
      </c>
      <c r="T4837" s="49"/>
      <c r="V4837" s="21" t="s">
        <v>946</v>
      </c>
    </row>
    <row r="4838">
      <c r="A4838" s="93">
        <v>4471.0</v>
      </c>
      <c r="B4838" s="77" t="s">
        <v>58</v>
      </c>
      <c r="C4838" s="77" t="s">
        <v>4005</v>
      </c>
      <c r="D4838" s="77" t="s">
        <v>943</v>
      </c>
      <c r="E4838" s="41" t="str">
        <f>IFERROR(__xludf.DUMMYFUNCTION("IFNA(vlookup(D4838,IMPORTRANGE(""https://docs.google.com/spreadsheets/d/1swGwZOEqYlTEUCJLY-eeJM1911Kvaei5oySBIxdgtNo/edit?pli=1#gid=257618397"",""stock untanna!B:C""),2,false),V:V)"),"STICKER XTQ-F")</f>
        <v>STICKER XTQ-F</v>
      </c>
      <c r="F4838" s="49"/>
      <c r="G4838" s="71"/>
      <c r="H4838" s="41"/>
      <c r="I4838" s="42"/>
      <c r="J4838" s="85" t="s">
        <v>1319</v>
      </c>
      <c r="K4838" s="93">
        <v>24.0</v>
      </c>
      <c r="L4838" s="112" t="s">
        <v>69</v>
      </c>
      <c r="M4838" s="113">
        <v>5000.0</v>
      </c>
      <c r="N4838" s="74"/>
      <c r="O4838" s="87">
        <f t="shared" si="11"/>
        <v>120000</v>
      </c>
      <c r="P4838" s="102" t="str">
        <f t="shared" si="2"/>
        <v>Rp5,000-24 PCS-0.00%</v>
      </c>
      <c r="Q4838" s="92">
        <v>45432.0</v>
      </c>
      <c r="R4838" s="76"/>
      <c r="S4838" s="92">
        <v>45436.0</v>
      </c>
      <c r="T4838" s="49"/>
      <c r="V4838" s="21" t="s">
        <v>944</v>
      </c>
    </row>
    <row r="4839">
      <c r="A4839" s="93">
        <v>4471.0</v>
      </c>
      <c r="B4839" s="77" t="s">
        <v>58</v>
      </c>
      <c r="C4839" s="77" t="s">
        <v>4005</v>
      </c>
      <c r="D4839" s="77" t="s">
        <v>1778</v>
      </c>
      <c r="E4839" s="41" t="str">
        <f>IFERROR(__xludf.DUMMYFUNCTION("IFNA(vlookup(D4839,IMPORTRANGE(""https://docs.google.com/spreadsheets/d/1swGwZOEqYlTEUCJLY-eeJM1911Kvaei5oySBIxdgtNo/edit?pli=1#gid=257618397"",""stock untanna!B:C""),2,false),V:V)"),"STICKER KL-70")</f>
        <v>STICKER KL-70</v>
      </c>
      <c r="F4839" s="49"/>
      <c r="G4839" s="71"/>
      <c r="H4839" s="41"/>
      <c r="I4839" s="42"/>
      <c r="J4839" s="85" t="s">
        <v>1319</v>
      </c>
      <c r="K4839" s="93">
        <v>12.0</v>
      </c>
      <c r="L4839" s="112" t="s">
        <v>114</v>
      </c>
      <c r="M4839" s="113">
        <v>20000.0</v>
      </c>
      <c r="N4839" s="74"/>
      <c r="O4839" s="87">
        <f t="shared" si="11"/>
        <v>240000</v>
      </c>
      <c r="P4839" s="102" t="str">
        <f t="shared" si="2"/>
        <v>Rp20,000-12 PAK-0.00%</v>
      </c>
      <c r="Q4839" s="92">
        <v>45432.0</v>
      </c>
      <c r="R4839" s="76"/>
      <c r="S4839" s="92">
        <v>45436.0</v>
      </c>
      <c r="T4839" s="77" t="s">
        <v>100</v>
      </c>
      <c r="V4839" s="21" t="s">
        <v>1779</v>
      </c>
    </row>
    <row r="4840">
      <c r="A4840" s="93">
        <v>4471.0</v>
      </c>
      <c r="B4840" s="77" t="s">
        <v>58</v>
      </c>
      <c r="C4840" s="77" t="s">
        <v>4005</v>
      </c>
      <c r="D4840" s="77" t="s">
        <v>2372</v>
      </c>
      <c r="E4840" s="41" t="str">
        <f>IFERROR(__xludf.DUMMYFUNCTION("IFNA(vlookup(D4840,IMPORTRANGE(""https://docs.google.com/spreadsheets/d/1swGwZOEqYlTEUCJLY-eeJM1911Kvaei5oySBIxdgtNo/edit?pli=1#gid=257618397"",""stock untanna!B:C""),2,false),V:V)"),"LOOSE LEAF A5-50LBR DOTED TITIK")</f>
        <v>LOOSE LEAF A5-50LBR DOTED TITIK</v>
      </c>
      <c r="F4840" s="49"/>
      <c r="G4840" s="71"/>
      <c r="H4840" s="41"/>
      <c r="I4840" s="42"/>
      <c r="J4840" s="85" t="s">
        <v>1319</v>
      </c>
      <c r="K4840" s="93">
        <v>12.0</v>
      </c>
      <c r="L4840" s="112" t="s">
        <v>114</v>
      </c>
      <c r="M4840" s="113">
        <v>5700.0</v>
      </c>
      <c r="N4840" s="74"/>
      <c r="O4840" s="87">
        <f t="shared" si="11"/>
        <v>68400</v>
      </c>
      <c r="P4840" s="102" t="str">
        <f t="shared" si="2"/>
        <v>Rp5,700-12 PAK-0.00%</v>
      </c>
      <c r="Q4840" s="92">
        <v>45432.0</v>
      </c>
      <c r="R4840" s="76"/>
      <c r="S4840" s="92">
        <v>45436.0</v>
      </c>
      <c r="T4840" s="49"/>
      <c r="V4840" s="21" t="s">
        <v>2373</v>
      </c>
    </row>
    <row r="4841">
      <c r="A4841" s="93">
        <v>4471.0</v>
      </c>
      <c r="B4841" s="77" t="s">
        <v>58</v>
      </c>
      <c r="C4841" s="77" t="s">
        <v>4005</v>
      </c>
      <c r="D4841" s="91"/>
      <c r="E4841" s="41" t="str">
        <f>IFERROR(__xludf.DUMMYFUNCTION("IFNA(vlookup(D4841,IMPORTRANGE(""https://docs.google.com/spreadsheets/d/1swGwZOEqYlTEUCJLY-eeJM1911Kvaei5oySBIxdgtNo/edit?pli=1#gid=257618397"",""stock untanna!B:C""),2,false),V:V)"),"L LEAF A5-100LBR DOTED TITIK")</f>
        <v>L LEAF A5-100LBR DOTED TITIK</v>
      </c>
      <c r="F4841" s="49"/>
      <c r="G4841" s="71"/>
      <c r="H4841" s="41"/>
      <c r="I4841" s="42"/>
      <c r="J4841" s="85" t="s">
        <v>1319</v>
      </c>
      <c r="K4841" s="93">
        <v>12.0</v>
      </c>
      <c r="L4841" s="112" t="s">
        <v>114</v>
      </c>
      <c r="M4841" s="113">
        <v>11400.0</v>
      </c>
      <c r="N4841" s="74"/>
      <c r="O4841" s="87">
        <f t="shared" si="11"/>
        <v>136800</v>
      </c>
      <c r="P4841" s="102" t="str">
        <f t="shared" si="2"/>
        <v>Rp11,400-12 PAK-0.00%</v>
      </c>
      <c r="Q4841" s="92">
        <v>45432.0</v>
      </c>
      <c r="R4841" s="76"/>
      <c r="S4841" s="92">
        <v>45436.0</v>
      </c>
      <c r="T4841" s="77" t="s">
        <v>280</v>
      </c>
      <c r="V4841" s="21" t="s">
        <v>1216</v>
      </c>
    </row>
    <row r="4842">
      <c r="A4842" s="93">
        <v>4471.0</v>
      </c>
      <c r="B4842" s="77" t="s">
        <v>58</v>
      </c>
      <c r="C4842" s="77" t="s">
        <v>4005</v>
      </c>
      <c r="D4842" s="77" t="s">
        <v>2651</v>
      </c>
      <c r="E4842" s="41" t="str">
        <f>IFERROR(__xludf.DUMMYFUNCTION("IFNA(vlookup(D4842,IMPORTRANGE(""https://docs.google.com/spreadsheets/d/1swGwZOEqYlTEUCJLY-eeJM1911Kvaei5oySBIxdgtNo/edit?pli=1#gid=257618397"",""stock untanna!B:C""),2,false),V:V)"),"EXPANDING FILE V-TECH 4511 B5")</f>
        <v>EXPANDING FILE V-TECH 4511 B5</v>
      </c>
      <c r="F4842" s="49"/>
      <c r="G4842" s="71"/>
      <c r="H4842" s="41"/>
      <c r="I4842" s="42"/>
      <c r="J4842" s="85" t="s">
        <v>1319</v>
      </c>
      <c r="K4842" s="93">
        <v>1.0</v>
      </c>
      <c r="L4842" s="112" t="s">
        <v>62</v>
      </c>
      <c r="M4842" s="113">
        <v>275000.0</v>
      </c>
      <c r="N4842" s="74"/>
      <c r="O4842" s="87">
        <f t="shared" si="11"/>
        <v>275000</v>
      </c>
      <c r="P4842" s="102" t="str">
        <f t="shared" si="2"/>
        <v>Rp275,000-1 LSN-0.00%</v>
      </c>
      <c r="Q4842" s="92">
        <v>45432.0</v>
      </c>
      <c r="R4842" s="76"/>
      <c r="S4842" s="92">
        <v>45436.0</v>
      </c>
      <c r="T4842" s="49"/>
      <c r="V4842" s="21" t="s">
        <v>2652</v>
      </c>
    </row>
    <row r="4843">
      <c r="A4843" s="93">
        <v>4471.0</v>
      </c>
      <c r="B4843" s="77" t="s">
        <v>58</v>
      </c>
      <c r="C4843" s="77" t="s">
        <v>4005</v>
      </c>
      <c r="D4843" s="91"/>
      <c r="E4843" s="41" t="str">
        <f>IFERROR(__xludf.DUMMYFUNCTION("IFNA(vlookup(D4843,IMPORTRANGE(""https://docs.google.com/spreadsheets/d/1swGwZOEqYlTEUCJLY-eeJM1911Kvaei5oySBIxdgtNo/edit?pli=1#gid=257618397"",""stock untanna!B:C""),2,false),V:V)"),"STANDART BK V TECH NO 7")</f>
        <v>STANDART BK V TECH NO 7</v>
      </c>
      <c r="F4843" s="49"/>
      <c r="G4843" s="71"/>
      <c r="H4843" s="41"/>
      <c r="I4843" s="42"/>
      <c r="J4843" s="85" t="s">
        <v>1319</v>
      </c>
      <c r="K4843" s="93">
        <v>4.0</v>
      </c>
      <c r="L4843" s="112" t="s">
        <v>62</v>
      </c>
      <c r="M4843" s="113">
        <v>192000.0</v>
      </c>
      <c r="N4843" s="74"/>
      <c r="O4843" s="87">
        <f t="shared" si="11"/>
        <v>768000</v>
      </c>
      <c r="P4843" s="102" t="str">
        <f t="shared" si="2"/>
        <v>Rp192,000-4 LSN-0.00%</v>
      </c>
      <c r="Q4843" s="92">
        <v>45432.0</v>
      </c>
      <c r="R4843" s="76"/>
      <c r="S4843" s="92">
        <v>45436.0</v>
      </c>
      <c r="T4843" s="77" t="s">
        <v>280</v>
      </c>
      <c r="V4843" s="21" t="s">
        <v>663</v>
      </c>
    </row>
    <row r="4844">
      <c r="A4844" s="93">
        <v>4471.0</v>
      </c>
      <c r="B4844" s="77" t="s">
        <v>58</v>
      </c>
      <c r="C4844" s="77" t="s">
        <v>4005</v>
      </c>
      <c r="D4844" s="77" t="s">
        <v>1577</v>
      </c>
      <c r="E4844" s="41" t="str">
        <f>IFERROR(__xludf.DUMMYFUNCTION("IFNA(vlookup(D4844,IMPORTRANGE(""https://docs.google.com/spreadsheets/d/1swGwZOEqYlTEUCJLY-eeJM1911Kvaei5oySBIxdgtNo/edit?pli=1#gid=257618397"",""stock untanna!B:C""),2,false),V:V)"),"STABILLO TIZO TF610")</f>
        <v>STABILLO TIZO TF610</v>
      </c>
      <c r="F4844" s="49"/>
      <c r="G4844" s="71"/>
      <c r="H4844" s="41"/>
      <c r="I4844" s="42"/>
      <c r="J4844" s="85" t="s">
        <v>1319</v>
      </c>
      <c r="K4844" s="93">
        <v>1.0</v>
      </c>
      <c r="L4844" s="112" t="s">
        <v>88</v>
      </c>
      <c r="M4844" s="113">
        <v>119500.0</v>
      </c>
      <c r="N4844" s="74"/>
      <c r="O4844" s="87">
        <f t="shared" si="11"/>
        <v>119500</v>
      </c>
      <c r="P4844" s="102" t="str">
        <f t="shared" si="2"/>
        <v>Rp119,500-1 BOX-0.00%</v>
      </c>
      <c r="Q4844" s="92">
        <v>45432.0</v>
      </c>
      <c r="R4844" s="76"/>
      <c r="S4844" s="92">
        <v>45436.0</v>
      </c>
      <c r="T4844" s="49"/>
      <c r="V4844" s="21" t="s">
        <v>1578</v>
      </c>
    </row>
    <row r="4845">
      <c r="A4845" s="93">
        <v>4471.0</v>
      </c>
      <c r="B4845" s="77" t="s">
        <v>58</v>
      </c>
      <c r="C4845" s="77" t="s">
        <v>4005</v>
      </c>
      <c r="D4845" s="77" t="s">
        <v>82</v>
      </c>
      <c r="E4845" s="41" t="str">
        <f>IFERROR(__xludf.DUMMYFUNCTION("IFNA(vlookup(D4845,IMPORTRANGE(""https://docs.google.com/spreadsheets/d/1swGwZOEqYlTEUCJLY-eeJM1911Kvaei5oySBIxdgtNo/edit?pli=1#gid=257618397"",""stock untanna!B:C""),2,false),V:V)"),"STABILLO BRUSH MARKER PEN WB TF-1050 12W")</f>
        <v>STABILLO BRUSH MARKER PEN WB TF-1050 12W</v>
      </c>
      <c r="F4845" s="49"/>
      <c r="G4845" s="71"/>
      <c r="H4845" s="41"/>
      <c r="I4845" s="42"/>
      <c r="J4845" s="85" t="s">
        <v>1319</v>
      </c>
      <c r="K4845" s="93">
        <v>6.0</v>
      </c>
      <c r="L4845" s="112" t="s">
        <v>84</v>
      </c>
      <c r="M4845" s="113">
        <v>15500.0</v>
      </c>
      <c r="N4845" s="74"/>
      <c r="O4845" s="87">
        <f t="shared" si="11"/>
        <v>93000</v>
      </c>
      <c r="P4845" s="102" t="str">
        <f t="shared" si="2"/>
        <v>Rp15,500-6 SET-0.00%</v>
      </c>
      <c r="Q4845" s="92">
        <v>45432.0</v>
      </c>
      <c r="R4845" s="76"/>
      <c r="S4845" s="92">
        <v>45436.0</v>
      </c>
      <c r="T4845" s="49"/>
      <c r="V4845" s="21" t="s">
        <v>83</v>
      </c>
    </row>
    <row r="4846">
      <c r="A4846" s="93">
        <v>4225.0</v>
      </c>
      <c r="B4846" s="77" t="s">
        <v>29</v>
      </c>
      <c r="C4846" s="77" t="s">
        <v>4002</v>
      </c>
      <c r="D4846" s="77" t="s">
        <v>4011</v>
      </c>
      <c r="E4846" s="41" t="str">
        <f>IFERROR(__xludf.DUMMYFUNCTION("IFNA(vlookup(D4846,IMPORTRANGE(""https://docs.google.com/spreadsheets/d/1swGwZOEqYlTEUCJLY-eeJM1911Kvaei5oySBIxdgtNo/edit?pli=1#gid=257618397"",""stock untanna!B:C""),2,false),V:V)"),"MAP BATIK SIKA")</f>
        <v>MAP BATIK SIKA</v>
      </c>
      <c r="F4846" s="49"/>
      <c r="G4846" s="71"/>
      <c r="H4846" s="41"/>
      <c r="I4846" s="42"/>
      <c r="J4846" s="85" t="s">
        <v>1319</v>
      </c>
      <c r="K4846" s="93">
        <v>600.0</v>
      </c>
      <c r="L4846" s="112" t="s">
        <v>69</v>
      </c>
      <c r="M4846" s="113">
        <v>1500.0</v>
      </c>
      <c r="N4846" s="74"/>
      <c r="O4846" s="87">
        <f t="shared" si="11"/>
        <v>900000</v>
      </c>
      <c r="P4846" s="102" t="str">
        <f t="shared" si="2"/>
        <v>Rp1,500-600 PCS-0.00%</v>
      </c>
      <c r="Q4846" s="92">
        <v>45433.0</v>
      </c>
      <c r="R4846" s="76"/>
      <c r="S4846" s="92">
        <v>45436.0</v>
      </c>
      <c r="T4846" s="49"/>
      <c r="V4846" s="21" t="s">
        <v>4012</v>
      </c>
    </row>
    <row r="4847">
      <c r="A4847" s="93">
        <v>4225.0</v>
      </c>
      <c r="B4847" s="77" t="s">
        <v>29</v>
      </c>
      <c r="C4847" s="77" t="s">
        <v>4002</v>
      </c>
      <c r="D4847" s="91"/>
      <c r="E4847" s="41" t="str">
        <f>IFERROR(__xludf.DUMMYFUNCTION("IFNA(vlookup(D4847,IMPORTRANGE(""https://docs.google.com/spreadsheets/d/1swGwZOEqYlTEUCJLY-eeJM1911Kvaei5oySBIxdgtNo/edit?pli=1#gid=257618397"",""stock untanna!B:C""),2,false),V:V)"),"KERTAS MEWARNAI CP5")</f>
        <v>KERTAS MEWARNAI CP5</v>
      </c>
      <c r="F4847" s="49"/>
      <c r="G4847" s="71"/>
      <c r="H4847" s="41"/>
      <c r="I4847" s="42"/>
      <c r="J4847" s="85" t="s">
        <v>3190</v>
      </c>
      <c r="K4847" s="93">
        <v>720.0</v>
      </c>
      <c r="L4847" s="112" t="s">
        <v>69</v>
      </c>
      <c r="M4847" s="113">
        <v>5000.0</v>
      </c>
      <c r="N4847" s="74"/>
      <c r="O4847" s="87">
        <f t="shared" si="11"/>
        <v>3600000</v>
      </c>
      <c r="P4847" s="102" t="str">
        <f t="shared" si="2"/>
        <v>Rp5,000-720 PCS-0.00%</v>
      </c>
      <c r="Q4847" s="92">
        <v>45433.0</v>
      </c>
      <c r="R4847" s="76"/>
      <c r="S4847" s="92">
        <v>45436.0</v>
      </c>
      <c r="T4847" s="49"/>
      <c r="V4847" s="21" t="s">
        <v>4013</v>
      </c>
    </row>
    <row r="4848">
      <c r="A4848" s="93">
        <v>4225.0</v>
      </c>
      <c r="B4848" s="77" t="s">
        <v>29</v>
      </c>
      <c r="C4848" s="77" t="s">
        <v>4002</v>
      </c>
      <c r="D4848" s="91"/>
      <c r="E4848" s="41" t="str">
        <f>IFERROR(__xludf.DUMMYFUNCTION("IFNA(vlookup(D4848,IMPORTRANGE(""https://docs.google.com/spreadsheets/d/1swGwZOEqYlTEUCJLY-eeJM1911Kvaei5oySBIxdgtNo/edit?pli=1#gid=257618397"",""stock untanna!B:C""),2,false),V:V)"),"KERTAS MEWARNAI THT5-6")</f>
        <v>KERTAS MEWARNAI THT5-6</v>
      </c>
      <c r="F4848" s="49"/>
      <c r="G4848" s="71"/>
      <c r="H4848" s="41"/>
      <c r="I4848" s="42"/>
      <c r="J4848" s="85" t="s">
        <v>3190</v>
      </c>
      <c r="K4848" s="93">
        <v>720.0</v>
      </c>
      <c r="L4848" s="112" t="s">
        <v>69</v>
      </c>
      <c r="M4848" s="113">
        <v>7500.0</v>
      </c>
      <c r="N4848" s="74"/>
      <c r="O4848" s="87">
        <f t="shared" si="11"/>
        <v>5400000</v>
      </c>
      <c r="P4848" s="102" t="str">
        <f t="shared" si="2"/>
        <v>Rp7,500-720 PCS-0.00%</v>
      </c>
      <c r="Q4848" s="92">
        <v>45433.0</v>
      </c>
      <c r="R4848" s="76"/>
      <c r="S4848" s="92">
        <v>45436.0</v>
      </c>
      <c r="T4848" s="49"/>
      <c r="V4848" s="21" t="s">
        <v>4014</v>
      </c>
    </row>
    <row r="4849">
      <c r="A4849" s="93">
        <v>4225.0</v>
      </c>
      <c r="B4849" s="77" t="s">
        <v>29</v>
      </c>
      <c r="C4849" s="77" t="s">
        <v>4002</v>
      </c>
      <c r="D4849" s="77" t="s">
        <v>4015</v>
      </c>
      <c r="E4849" s="41" t="str">
        <f>IFERROR(__xludf.DUMMYFUNCTION("IFNA(vlookup(D4849,IMPORTRANGE(""https://docs.google.com/spreadsheets/d/1swGwZOEqYlTEUCJLY-eeJM1911Kvaei5oySBIxdgtNo/edit?pli=1#gid=257618397"",""stock untanna!B:C""),2,false),V:V)"),"GARISAN KAYU ENTER 1 METER")</f>
        <v>GARISAN KAYU ENTER 1 METER</v>
      </c>
      <c r="F4849" s="49"/>
      <c r="G4849" s="71"/>
      <c r="H4849" s="41"/>
      <c r="I4849" s="42"/>
      <c r="J4849" s="85" t="s">
        <v>1319</v>
      </c>
      <c r="K4849" s="93">
        <v>120.0</v>
      </c>
      <c r="L4849" s="112" t="s">
        <v>69</v>
      </c>
      <c r="M4849" s="113">
        <v>8500.0</v>
      </c>
      <c r="N4849" s="74"/>
      <c r="O4849" s="87">
        <f t="shared" si="11"/>
        <v>1020000</v>
      </c>
      <c r="P4849" s="102" t="str">
        <f t="shared" si="2"/>
        <v>Rp8,500-120 PCS-0.00%</v>
      </c>
      <c r="Q4849" s="92">
        <v>45433.0</v>
      </c>
      <c r="R4849" s="76"/>
      <c r="S4849" s="92">
        <v>45436.0</v>
      </c>
      <c r="T4849" s="49"/>
      <c r="V4849" s="21" t="s">
        <v>4016</v>
      </c>
    </row>
    <row r="4850">
      <c r="A4850" s="93">
        <v>4225.0</v>
      </c>
      <c r="B4850" s="77" t="s">
        <v>29</v>
      </c>
      <c r="C4850" s="77" t="s">
        <v>4002</v>
      </c>
      <c r="D4850" s="91"/>
      <c r="E4850" s="41" t="str">
        <f>IFERROR(__xludf.DUMMYFUNCTION("IFNA(vlookup(D4850,IMPORTRANGE(""https://docs.google.com/spreadsheets/d/1swGwZOEqYlTEUCJLY-eeJM1911Kvaei5oySBIxdgtNo/edit?pli=1#gid=257618397"",""stock untanna!B:C""),2,false),V:V)"),"CLIP FILE YUSHINCA C-322")</f>
        <v>CLIP FILE YUSHINCA C-322</v>
      </c>
      <c r="F4850" s="49"/>
      <c r="G4850" s="71"/>
      <c r="H4850" s="41"/>
      <c r="I4850" s="42"/>
      <c r="J4850" s="85" t="s">
        <v>3190</v>
      </c>
      <c r="K4850" s="93">
        <v>5.0</v>
      </c>
      <c r="L4850" s="112" t="s">
        <v>62</v>
      </c>
      <c r="M4850" s="113">
        <v>325000.0</v>
      </c>
      <c r="N4850" s="74"/>
      <c r="O4850" s="87">
        <f t="shared" si="11"/>
        <v>1625000</v>
      </c>
      <c r="P4850" s="102" t="str">
        <f t="shared" si="2"/>
        <v>Rp325,000-5 LSN-0.00%</v>
      </c>
      <c r="Q4850" s="92">
        <v>45433.0</v>
      </c>
      <c r="R4850" s="76"/>
      <c r="S4850" s="92">
        <v>45436.0</v>
      </c>
      <c r="T4850" s="49"/>
      <c r="V4850" s="21" t="s">
        <v>4017</v>
      </c>
    </row>
    <row r="4851">
      <c r="A4851" s="93">
        <v>4225.0</v>
      </c>
      <c r="B4851" s="77" t="s">
        <v>29</v>
      </c>
      <c r="C4851" s="77" t="s">
        <v>4002</v>
      </c>
      <c r="D4851" s="77" t="s">
        <v>750</v>
      </c>
      <c r="E4851" s="41" t="str">
        <f>IFERROR(__xludf.DUMMYFUNCTION("IFNA(vlookup(D4851,IMPORTRANGE(""https://docs.google.com/spreadsheets/d/1swGwZOEqYlTEUCJLY-eeJM1911Kvaei5oySBIxdgtNo/edit?pli=1#gid=257618397"",""stock untanna!B:C""),2,false),V:V)"),"BP X DATA M1")</f>
        <v>BP X DATA M1</v>
      </c>
      <c r="F4851" s="49"/>
      <c r="G4851" s="71"/>
      <c r="H4851" s="41"/>
      <c r="I4851" s="42"/>
      <c r="J4851" s="85" t="s">
        <v>1319</v>
      </c>
      <c r="K4851" s="93">
        <v>20.0</v>
      </c>
      <c r="L4851" s="112" t="s">
        <v>131</v>
      </c>
      <c r="M4851" s="113">
        <v>75000.0</v>
      </c>
      <c r="N4851" s="74"/>
      <c r="O4851" s="87">
        <f t="shared" si="11"/>
        <v>1500000</v>
      </c>
      <c r="P4851" s="102" t="str">
        <f t="shared" si="2"/>
        <v>Rp75,000-20 GRS-0.00%</v>
      </c>
      <c r="Q4851" s="92">
        <v>45433.0</v>
      </c>
      <c r="R4851" s="76"/>
      <c r="S4851" s="92">
        <v>45436.0</v>
      </c>
      <c r="T4851" s="77" t="s">
        <v>280</v>
      </c>
      <c r="V4851" s="21" t="s">
        <v>751</v>
      </c>
    </row>
    <row r="4852">
      <c r="A4852" s="93">
        <v>4225.0</v>
      </c>
      <c r="B4852" s="77" t="s">
        <v>29</v>
      </c>
      <c r="C4852" s="77" t="s">
        <v>4002</v>
      </c>
      <c r="D4852" s="91"/>
      <c r="E4852" s="41" t="str">
        <f>IFERROR(__xludf.DUMMYFUNCTION("IFNA(vlookup(D4852,IMPORTRANGE(""https://docs.google.com/spreadsheets/d/1swGwZOEqYlTEUCJLY-eeJM1911Kvaei5oySBIxdgtNo/edit?pli=1#gid=257618397"",""stock untanna!B:C""),2,false),V:V)"),"ID CARD A2")</f>
        <v>ID CARD A2</v>
      </c>
      <c r="F4852" s="49"/>
      <c r="G4852" s="71"/>
      <c r="H4852" s="41"/>
      <c r="I4852" s="42"/>
      <c r="J4852" s="85" t="s">
        <v>3190</v>
      </c>
      <c r="K4852" s="93">
        <v>4000.0</v>
      </c>
      <c r="L4852" s="112" t="s">
        <v>69</v>
      </c>
      <c r="M4852" s="113">
        <v>450.0</v>
      </c>
      <c r="N4852" s="74"/>
      <c r="O4852" s="87">
        <f t="shared" si="11"/>
        <v>1800000</v>
      </c>
      <c r="P4852" s="102" t="str">
        <f t="shared" si="2"/>
        <v>Rp450-4000 PCS-0.00%</v>
      </c>
      <c r="Q4852" s="92">
        <v>45433.0</v>
      </c>
      <c r="R4852" s="76"/>
      <c r="S4852" s="92">
        <v>45436.0</v>
      </c>
      <c r="T4852" s="49"/>
      <c r="V4852" s="21" t="s">
        <v>3129</v>
      </c>
    </row>
    <row r="4853">
      <c r="A4853" s="93">
        <v>4225.0</v>
      </c>
      <c r="B4853" s="77" t="s">
        <v>29</v>
      </c>
      <c r="C4853" s="77" t="s">
        <v>4002</v>
      </c>
      <c r="D4853" s="77" t="s">
        <v>419</v>
      </c>
      <c r="E4853" s="41" t="str">
        <f>IFERROR(__xludf.DUMMYFUNCTION("IFNA(vlookup(D4853,IMPORTRANGE(""https://docs.google.com/spreadsheets/d/1swGwZOEqYlTEUCJLY-eeJM1911Kvaei5oySBIxdgtNo/edit?pli=1#gid=257618397"",""stock untanna!B:C""),2,false),V:V)"),"BP GEL ZUI XUA HY-1020 HITAM")</f>
        <v>BP GEL ZUI XUA HY-1020 HITAM</v>
      </c>
      <c r="F4853" s="49"/>
      <c r="G4853" s="71"/>
      <c r="H4853" s="41"/>
      <c r="I4853" s="42"/>
      <c r="J4853" s="85" t="s">
        <v>1319</v>
      </c>
      <c r="K4853" s="93">
        <v>192.0</v>
      </c>
      <c r="L4853" s="112" t="s">
        <v>62</v>
      </c>
      <c r="M4853" s="113">
        <v>11000.0</v>
      </c>
      <c r="N4853" s="74"/>
      <c r="O4853" s="87">
        <f t="shared" si="11"/>
        <v>2112000</v>
      </c>
      <c r="P4853" s="102" t="str">
        <f t="shared" si="2"/>
        <v>Rp11,000-192 LSN-0.00%</v>
      </c>
      <c r="Q4853" s="92">
        <v>45433.0</v>
      </c>
      <c r="R4853" s="76"/>
      <c r="S4853" s="92">
        <v>45436.0</v>
      </c>
      <c r="T4853" s="49"/>
      <c r="V4853" s="21" t="s">
        <v>3281</v>
      </c>
    </row>
    <row r="4854">
      <c r="A4854" s="93">
        <v>141.0</v>
      </c>
      <c r="B4854" s="77" t="s">
        <v>65</v>
      </c>
      <c r="C4854" s="77" t="s">
        <v>3274</v>
      </c>
      <c r="D4854" s="77" t="s">
        <v>138</v>
      </c>
      <c r="E4854" s="41" t="str">
        <f>IFERROR(__xludf.DUMMYFUNCTION("IFNA(vlookup(D4854,IMPORTRANGE(""https://docs.google.com/spreadsheets/d/1swGwZOEqYlTEUCJLY-eeJM1911Kvaei5oySBIxdgtNo/edit?pli=1#gid=257618397"",""stock untanna!B:C""),2,false),V:V)"),"GARISAN LIPAT 008 (40) 30 CM FANCY")</f>
        <v>GARISAN LIPAT 008 (40) 30 CM FANCY</v>
      </c>
      <c r="F4854" s="49"/>
      <c r="G4854" s="71"/>
      <c r="H4854" s="41"/>
      <c r="I4854" s="42"/>
      <c r="J4854" s="85" t="s">
        <v>1319</v>
      </c>
      <c r="K4854" s="93">
        <v>40.0</v>
      </c>
      <c r="L4854" s="112" t="s">
        <v>88</v>
      </c>
      <c r="M4854" s="113">
        <v>50000.0</v>
      </c>
      <c r="N4854" s="74"/>
      <c r="O4854" s="87">
        <f t="shared" si="11"/>
        <v>2000000</v>
      </c>
      <c r="P4854" s="102" t="str">
        <f t="shared" si="2"/>
        <v>Rp50,000-40 BOX-0.00%</v>
      </c>
      <c r="Q4854" s="92">
        <v>45433.0</v>
      </c>
      <c r="R4854" s="76"/>
      <c r="S4854" s="92">
        <v>45436.0</v>
      </c>
      <c r="T4854" s="49"/>
      <c r="V4854" s="21" t="s">
        <v>139</v>
      </c>
    </row>
    <row r="4855">
      <c r="A4855" s="93">
        <v>141.0</v>
      </c>
      <c r="B4855" s="77" t="s">
        <v>65</v>
      </c>
      <c r="C4855" s="77" t="s">
        <v>3274</v>
      </c>
      <c r="D4855" s="77" t="s">
        <v>359</v>
      </c>
      <c r="E4855" s="41" t="str">
        <f>IFERROR(__xludf.DUMMYFUNCTION("IFNA(vlookup(D4855,IMPORTRANGE(""https://docs.google.com/spreadsheets/d/1swGwZOEqYlTEUCJLY-eeJM1911Kvaei5oySBIxdgtNo/edit?pli=1#gid=257618397"",""stock untanna!B:C""),2,false),V:V)"),"GARISAN ROTARY 1020 (JOS) BSR")</f>
        <v>GARISAN ROTARY 1020 (JOS) BSR</v>
      </c>
      <c r="F4855" s="49"/>
      <c r="G4855" s="71"/>
      <c r="H4855" s="41"/>
      <c r="I4855" s="42"/>
      <c r="J4855" s="85" t="s">
        <v>1319</v>
      </c>
      <c r="K4855" s="93">
        <v>60.0</v>
      </c>
      <c r="L4855" s="112" t="s">
        <v>69</v>
      </c>
      <c r="M4855" s="113">
        <v>2500.0</v>
      </c>
      <c r="N4855" s="74"/>
      <c r="O4855" s="87">
        <f t="shared" si="11"/>
        <v>150000</v>
      </c>
      <c r="P4855" s="102" t="str">
        <f t="shared" si="2"/>
        <v>Rp2,500-60 PCS-0.00%</v>
      </c>
      <c r="Q4855" s="92">
        <v>45433.0</v>
      </c>
      <c r="R4855" s="76"/>
      <c r="S4855" s="92">
        <v>45436.0</v>
      </c>
      <c r="T4855" s="49"/>
      <c r="V4855" s="21" t="s">
        <v>360</v>
      </c>
    </row>
    <row r="4856">
      <c r="A4856" s="93">
        <v>141.0</v>
      </c>
      <c r="B4856" s="77" t="s">
        <v>65</v>
      </c>
      <c r="C4856" s="77" t="s">
        <v>3274</v>
      </c>
      <c r="D4856" s="77" t="s">
        <v>4018</v>
      </c>
      <c r="E4856" s="41" t="str">
        <f>IFERROR(__xludf.DUMMYFUNCTION("IFNA(vlookup(D4856,IMPORTRANGE(""https://docs.google.com/spreadsheets/d/1swGwZOEqYlTEUCJLY-eeJM1911Kvaei5oySBIxdgtNo/edit?pli=1#gid=257618397"",""stock untanna!B:C""),2,false),V:V)"),"GARISAN KJ 003")</f>
        <v>GARISAN KJ 003</v>
      </c>
      <c r="F4856" s="49"/>
      <c r="G4856" s="71"/>
      <c r="H4856" s="41"/>
      <c r="I4856" s="42"/>
      <c r="J4856" s="85" t="s">
        <v>1319</v>
      </c>
      <c r="K4856" s="93">
        <v>36.0</v>
      </c>
      <c r="L4856" s="112" t="s">
        <v>69</v>
      </c>
      <c r="M4856" s="113">
        <v>5250.0</v>
      </c>
      <c r="N4856" s="74"/>
      <c r="O4856" s="87">
        <f t="shared" si="11"/>
        <v>189000</v>
      </c>
      <c r="P4856" s="102" t="str">
        <f t="shared" si="2"/>
        <v>Rp5,250-36 PCS-0.00%</v>
      </c>
      <c r="Q4856" s="92">
        <v>45433.0</v>
      </c>
      <c r="R4856" s="76"/>
      <c r="S4856" s="92">
        <v>45436.0</v>
      </c>
      <c r="T4856" s="49"/>
      <c r="V4856" s="21" t="s">
        <v>357</v>
      </c>
    </row>
    <row r="4857">
      <c r="A4857" s="93">
        <v>141.0</v>
      </c>
      <c r="B4857" s="77" t="s">
        <v>65</v>
      </c>
      <c r="C4857" s="77" t="s">
        <v>3274</v>
      </c>
      <c r="D4857" s="77" t="s">
        <v>2548</v>
      </c>
      <c r="E4857" s="41" t="str">
        <f>IFERROR(__xludf.DUMMYFUNCTION("IFNA(vlookup(D4857,IMPORTRANGE(""https://docs.google.com/spreadsheets/d/1swGwZOEqYlTEUCJLY-eeJM1911Kvaei5oySBIxdgtNo/edit?pli=1#gid=257618397"",""stock untanna!B:C""),2,false),V:V)"),"GARISAN 1896")</f>
        <v>GARISAN 1896</v>
      </c>
      <c r="F4857" s="49"/>
      <c r="G4857" s="71"/>
      <c r="H4857" s="41"/>
      <c r="I4857" s="42"/>
      <c r="J4857" s="85" t="s">
        <v>1319</v>
      </c>
      <c r="K4857" s="93">
        <v>36.0</v>
      </c>
      <c r="L4857" s="112" t="s">
        <v>69</v>
      </c>
      <c r="M4857" s="113">
        <v>10500.0</v>
      </c>
      <c r="N4857" s="74"/>
      <c r="O4857" s="87">
        <f t="shared" si="11"/>
        <v>378000</v>
      </c>
      <c r="P4857" s="102" t="str">
        <f t="shared" si="2"/>
        <v>Rp10,500-36 PCS-0.00%</v>
      </c>
      <c r="Q4857" s="92">
        <v>45433.0</v>
      </c>
      <c r="R4857" s="76"/>
      <c r="S4857" s="92">
        <v>45436.0</v>
      </c>
      <c r="T4857" s="49"/>
      <c r="V4857" s="21" t="s">
        <v>2549</v>
      </c>
    </row>
    <row r="4858">
      <c r="A4858" s="93">
        <v>141.0</v>
      </c>
      <c r="B4858" s="77" t="s">
        <v>65</v>
      </c>
      <c r="C4858" s="77" t="s">
        <v>3274</v>
      </c>
      <c r="D4858" s="77" t="s">
        <v>2546</v>
      </c>
      <c r="E4858" s="41" t="str">
        <f>IFERROR(__xludf.DUMMYFUNCTION("IFNA(vlookup(D4858,IMPORTRANGE(""https://docs.google.com/spreadsheets/d/1swGwZOEqYlTEUCJLY-eeJM1911Kvaei5oySBIxdgtNo/edit?pli=1#gid=257618397"",""stock untanna!B:C""),2,false),V:V)"),"GARISAN 9443")</f>
        <v>GARISAN 9443</v>
      </c>
      <c r="F4858" s="49"/>
      <c r="G4858" s="71"/>
      <c r="H4858" s="41"/>
      <c r="I4858" s="42"/>
      <c r="J4858" s="85" t="s">
        <v>1319</v>
      </c>
      <c r="K4858" s="93">
        <v>36.0</v>
      </c>
      <c r="L4858" s="112" t="s">
        <v>69</v>
      </c>
      <c r="M4858" s="113">
        <v>10500.0</v>
      </c>
      <c r="N4858" s="74"/>
      <c r="O4858" s="87">
        <f t="shared" si="11"/>
        <v>378000</v>
      </c>
      <c r="P4858" s="102" t="str">
        <f t="shared" si="2"/>
        <v>Rp10,500-36 PCS-0.00%</v>
      </c>
      <c r="Q4858" s="92">
        <v>45433.0</v>
      </c>
      <c r="R4858" s="76"/>
      <c r="S4858" s="92">
        <v>45436.0</v>
      </c>
      <c r="T4858" s="49"/>
      <c r="V4858" s="21" t="s">
        <v>2547</v>
      </c>
    </row>
    <row r="4859">
      <c r="A4859" s="93">
        <v>141.0</v>
      </c>
      <c r="B4859" s="77" t="s">
        <v>65</v>
      </c>
      <c r="C4859" s="77" t="s">
        <v>3274</v>
      </c>
      <c r="D4859" s="77" t="s">
        <v>4019</v>
      </c>
      <c r="E4859" s="41" t="str">
        <f>IFERROR(__xludf.DUMMYFUNCTION("IFNA(vlookup(D4859,IMPORTRANGE(""https://docs.google.com/spreadsheets/d/1swGwZOEqYlTEUCJLY-eeJM1911Kvaei5oySBIxdgtNo/edit?pli=1#gid=257618397"",""stock untanna!B:C""),2,false),V:V)"),"ASAHAN 006 IKAN (48)")</f>
        <v>ASAHAN 006 IKAN (48)</v>
      </c>
      <c r="F4859" s="49"/>
      <c r="G4859" s="71"/>
      <c r="H4859" s="41"/>
      <c r="I4859" s="42"/>
      <c r="J4859" s="85" t="s">
        <v>1319</v>
      </c>
      <c r="K4859" s="93">
        <v>36.0</v>
      </c>
      <c r="L4859" s="112" t="s">
        <v>69</v>
      </c>
      <c r="M4859" s="113">
        <v>47500.0</v>
      </c>
      <c r="N4859" s="74"/>
      <c r="O4859" s="87">
        <f t="shared" si="11"/>
        <v>1710000</v>
      </c>
      <c r="P4859" s="102" t="str">
        <f t="shared" si="2"/>
        <v>Rp47,500-36 PCS-0.00%</v>
      </c>
      <c r="Q4859" s="92">
        <v>45433.0</v>
      </c>
      <c r="R4859" s="76"/>
      <c r="S4859" s="92">
        <v>45436.0</v>
      </c>
      <c r="T4859" s="49"/>
      <c r="V4859" s="21" t="s">
        <v>4020</v>
      </c>
    </row>
    <row r="4860">
      <c r="A4860" s="93">
        <v>141.0</v>
      </c>
      <c r="B4860" s="77" t="s">
        <v>65</v>
      </c>
      <c r="C4860" s="77" t="s">
        <v>3274</v>
      </c>
      <c r="D4860" s="77" t="s">
        <v>2559</v>
      </c>
      <c r="E4860" s="41" t="str">
        <f>IFERROR(__xludf.DUMMYFUNCTION("IFNA(vlookup(D4860,IMPORTRANGE(""https://docs.google.com/spreadsheets/d/1swGwZOEqYlTEUCJLY-eeJM1911Kvaei5oySBIxdgtNo/edit?pli=1#gid=257618397"",""stock untanna!B:C""),2,false),V:V)"),"GARISAN 4317")</f>
        <v>GARISAN 4317</v>
      </c>
      <c r="F4860" s="49"/>
      <c r="G4860" s="71"/>
      <c r="H4860" s="41"/>
      <c r="I4860" s="42"/>
      <c r="J4860" s="85" t="s">
        <v>1319</v>
      </c>
      <c r="K4860" s="93">
        <v>36.0</v>
      </c>
      <c r="L4860" s="112" t="s">
        <v>69</v>
      </c>
      <c r="M4860" s="113">
        <v>5416.67</v>
      </c>
      <c r="N4860" s="74"/>
      <c r="O4860" s="87">
        <f t="shared" si="11"/>
        <v>195000.12</v>
      </c>
      <c r="P4860" s="102" t="str">
        <f t="shared" si="2"/>
        <v>Rp5,417-36 PCS-0.00%</v>
      </c>
      <c r="Q4860" s="92">
        <v>45433.0</v>
      </c>
      <c r="R4860" s="76"/>
      <c r="S4860" s="92">
        <v>45436.0</v>
      </c>
      <c r="T4860" s="49"/>
      <c r="V4860" s="21" t="s">
        <v>2560</v>
      </c>
    </row>
    <row r="4861">
      <c r="A4861" s="93">
        <v>141.0</v>
      </c>
      <c r="B4861" s="77" t="s">
        <v>65</v>
      </c>
      <c r="C4861" s="77" t="s">
        <v>3274</v>
      </c>
      <c r="D4861" s="77" t="s">
        <v>4021</v>
      </c>
      <c r="E4861" s="41" t="str">
        <f>IFERROR(__xludf.DUMMYFUNCTION("IFNA(vlookup(D4861,IMPORTRANGE(""https://docs.google.com/spreadsheets/d/1swGwZOEqYlTEUCJLY-eeJM1911Kvaei5oySBIxdgtNo/edit?pli=1#gid=257618397"",""stock untanna!B:C""),2,false),V:V)"),"GARISAN 95")</f>
        <v>GARISAN 95</v>
      </c>
      <c r="F4861" s="49"/>
      <c r="G4861" s="71"/>
      <c r="H4861" s="41"/>
      <c r="I4861" s="42"/>
      <c r="J4861" s="85" t="s">
        <v>1319</v>
      </c>
      <c r="K4861" s="93">
        <v>36.0</v>
      </c>
      <c r="L4861" s="112" t="s">
        <v>69</v>
      </c>
      <c r="M4861" s="113">
        <v>5500.0</v>
      </c>
      <c r="N4861" s="74"/>
      <c r="O4861" s="87">
        <f t="shared" si="11"/>
        <v>198000</v>
      </c>
      <c r="P4861" s="102" t="str">
        <f t="shared" si="2"/>
        <v>Rp5,500-36 PCS-0.00%</v>
      </c>
      <c r="Q4861" s="92">
        <v>45433.0</v>
      </c>
      <c r="R4861" s="76"/>
      <c r="S4861" s="92">
        <v>45436.0</v>
      </c>
      <c r="T4861" s="49"/>
      <c r="V4861" s="21" t="s">
        <v>4022</v>
      </c>
    </row>
    <row r="4862">
      <c r="A4862" s="93">
        <v>141.0</v>
      </c>
      <c r="B4862" s="77" t="s">
        <v>65</v>
      </c>
      <c r="C4862" s="77" t="s">
        <v>3274</v>
      </c>
      <c r="D4862" s="77" t="s">
        <v>4023</v>
      </c>
      <c r="E4862" s="41" t="str">
        <f>IFERROR(__xludf.DUMMYFUNCTION("IFNA(vlookup(D4862,IMPORTRANGE(""https://docs.google.com/spreadsheets/d/1swGwZOEqYlTEUCJLY-eeJM1911Kvaei5oySBIxdgtNo/edit?pli=1#gid=257618397"",""stock untanna!B:C""),2,false),V:V)"),"GARISAN SET ZX-015 20 CM")</f>
        <v>GARISAN SET ZX-015 20 CM</v>
      </c>
      <c r="F4862" s="49"/>
      <c r="G4862" s="71"/>
      <c r="H4862" s="41"/>
      <c r="I4862" s="42"/>
      <c r="J4862" s="85" t="s">
        <v>1319</v>
      </c>
      <c r="K4862" s="93">
        <v>36.0</v>
      </c>
      <c r="L4862" s="112" t="s">
        <v>69</v>
      </c>
      <c r="M4862" s="113">
        <v>3500.0</v>
      </c>
      <c r="N4862" s="74"/>
      <c r="O4862" s="87">
        <f t="shared" si="11"/>
        <v>126000</v>
      </c>
      <c r="P4862" s="102" t="str">
        <f t="shared" si="2"/>
        <v>Rp3,500-36 PCS-0.00%</v>
      </c>
      <c r="Q4862" s="92">
        <v>45433.0</v>
      </c>
      <c r="R4862" s="76"/>
      <c r="S4862" s="92">
        <v>45436.0</v>
      </c>
      <c r="T4862" s="49"/>
      <c r="V4862" s="21" t="s">
        <v>4024</v>
      </c>
    </row>
    <row r="4863">
      <c r="A4863" s="93">
        <v>4382.0</v>
      </c>
      <c r="B4863" s="77" t="s">
        <v>58</v>
      </c>
      <c r="C4863" s="77" t="s">
        <v>4025</v>
      </c>
      <c r="D4863" s="77" t="s">
        <v>762</v>
      </c>
      <c r="E4863" s="41" t="str">
        <f>IFERROR(__xludf.DUMMYFUNCTION("IFNA(vlookup(D4863,IMPORTRANGE(""https://docs.google.com/spreadsheets/d/1swGwZOEqYlTEUCJLY-eeJM1911Kvaei5oySBIxdgtNo/edit?pli=1#gid=257618397"",""stock untanna!B:C""),2,false),V:V)"),"BP TIZO TG340 BIRU")</f>
        <v>BP TIZO TG340 BIRU</v>
      </c>
      <c r="F4863" s="49"/>
      <c r="G4863" s="71"/>
      <c r="H4863" s="41"/>
      <c r="I4863" s="42"/>
      <c r="J4863" s="85" t="s">
        <v>1319</v>
      </c>
      <c r="K4863" s="93">
        <v>23.0</v>
      </c>
      <c r="L4863" s="112" t="s">
        <v>62</v>
      </c>
      <c r="M4863" s="113">
        <v>35000.0</v>
      </c>
      <c r="N4863" s="74"/>
      <c r="O4863" s="87">
        <f t="shared" si="11"/>
        <v>805000</v>
      </c>
      <c r="P4863" s="102" t="str">
        <f t="shared" si="2"/>
        <v>Rp35,000-23 LSN-0.00%</v>
      </c>
      <c r="Q4863" s="92">
        <v>45434.0</v>
      </c>
      <c r="R4863" s="114">
        <v>45425.0</v>
      </c>
      <c r="S4863" s="92">
        <v>45436.0</v>
      </c>
      <c r="T4863" s="49"/>
      <c r="V4863" s="21" t="s">
        <v>763</v>
      </c>
    </row>
    <row r="4864">
      <c r="A4864" s="93">
        <v>4382.0</v>
      </c>
      <c r="B4864" s="77" t="s">
        <v>58</v>
      </c>
      <c r="C4864" s="77" t="s">
        <v>4025</v>
      </c>
      <c r="D4864" s="77" t="s">
        <v>4026</v>
      </c>
      <c r="E4864" s="41" t="str">
        <f>IFERROR(__xludf.DUMMYFUNCTION("IFNA(vlookup(D4864,IMPORTRANGE(""https://docs.google.com/spreadsheets/d/1swGwZOEqYlTEUCJLY-eeJM1911Kvaei5oySBIxdgtNo/edit?pli=1#gid=257618397"",""stock untanna!B:C""),2,false),V:V)"),"BP GEL TIZO 31590E FANCY")</f>
        <v>BP GEL TIZO 31590E FANCY</v>
      </c>
      <c r="F4864" s="49"/>
      <c r="G4864" s="71"/>
      <c r="H4864" s="41"/>
      <c r="I4864" s="42"/>
      <c r="J4864" s="85" t="s">
        <v>1319</v>
      </c>
      <c r="K4864" s="93">
        <v>3.0</v>
      </c>
      <c r="L4864" s="112" t="s">
        <v>62</v>
      </c>
      <c r="M4864" s="113">
        <v>19000.0</v>
      </c>
      <c r="N4864" s="74"/>
      <c r="O4864" s="87">
        <f t="shared" si="11"/>
        <v>57000</v>
      </c>
      <c r="P4864" s="102" t="str">
        <f t="shared" si="2"/>
        <v>Rp19,000-3 LSN-0.00%</v>
      </c>
      <c r="Q4864" s="92">
        <v>45434.0</v>
      </c>
      <c r="R4864" s="114">
        <v>45425.0</v>
      </c>
      <c r="S4864" s="92">
        <v>45436.0</v>
      </c>
      <c r="T4864" s="49"/>
      <c r="V4864" s="21" t="s">
        <v>4027</v>
      </c>
    </row>
    <row r="4865">
      <c r="A4865" s="93">
        <v>4382.0</v>
      </c>
      <c r="B4865" s="77" t="s">
        <v>58</v>
      </c>
      <c r="C4865" s="77" t="s">
        <v>4025</v>
      </c>
      <c r="D4865" s="91"/>
      <c r="E4865" s="41" t="str">
        <f>IFERROR(__xludf.DUMMYFUNCTION("IFNA(vlookup(D4865,IMPORTRANGE(""https://docs.google.com/spreadsheets/d/1swGwZOEqYlTEUCJLY-eeJM1911Kvaei5oySBIxdgtNo/edit?pli=1#gid=257618397"",""stock untanna!B:C""),2,false),V:V)"),"GEL TG 31780 F")</f>
        <v>GEL TG 31780 F</v>
      </c>
      <c r="F4865" s="49"/>
      <c r="G4865" s="71"/>
      <c r="H4865" s="41"/>
      <c r="I4865" s="42"/>
      <c r="J4865" s="85" t="s">
        <v>3190</v>
      </c>
      <c r="K4865" s="93">
        <v>3.0</v>
      </c>
      <c r="L4865" s="112" t="s">
        <v>62</v>
      </c>
      <c r="M4865" s="113">
        <v>19000.0</v>
      </c>
      <c r="N4865" s="74"/>
      <c r="O4865" s="87">
        <f t="shared" si="11"/>
        <v>57000</v>
      </c>
      <c r="P4865" s="102" t="str">
        <f t="shared" si="2"/>
        <v>Rp19,000-3 LSN-0.00%</v>
      </c>
      <c r="Q4865" s="92">
        <v>45434.0</v>
      </c>
      <c r="R4865" s="114">
        <v>45425.0</v>
      </c>
      <c r="S4865" s="92">
        <v>45436.0</v>
      </c>
      <c r="T4865" s="49"/>
      <c r="V4865" s="21" t="s">
        <v>4028</v>
      </c>
    </row>
    <row r="4866">
      <c r="A4866" s="93">
        <v>4382.0</v>
      </c>
      <c r="B4866" s="77" t="s">
        <v>58</v>
      </c>
      <c r="C4866" s="77" t="s">
        <v>4025</v>
      </c>
      <c r="D4866" s="77" t="s">
        <v>633</v>
      </c>
      <c r="E4866" s="41" t="str">
        <f>IFERROR(__xludf.DUMMYFUNCTION("IFNA(vlookup(D4866,IMPORTRANGE(""https://docs.google.com/spreadsheets/d/1swGwZOEqYlTEUCJLY-eeJM1911Kvaei5oySBIxdgtNo/edit?pli=1#gid=257618397"",""stock untanna!B:C""),2,false),V:V)"),"BP GEL TIZO 30734F FANCY")</f>
        <v>BP GEL TIZO 30734F FANCY</v>
      </c>
      <c r="F4866" s="49"/>
      <c r="G4866" s="71"/>
      <c r="H4866" s="41"/>
      <c r="I4866" s="42"/>
      <c r="J4866" s="85" t="s">
        <v>1319</v>
      </c>
      <c r="K4866" s="93">
        <v>3.0</v>
      </c>
      <c r="L4866" s="112" t="s">
        <v>62</v>
      </c>
      <c r="M4866" s="113">
        <v>19000.0</v>
      </c>
      <c r="N4866" s="74"/>
      <c r="O4866" s="87">
        <f t="shared" si="11"/>
        <v>57000</v>
      </c>
      <c r="P4866" s="102" t="str">
        <f t="shared" si="2"/>
        <v>Rp19,000-3 LSN-0.00%</v>
      </c>
      <c r="Q4866" s="92">
        <v>45434.0</v>
      </c>
      <c r="R4866" s="114">
        <v>45425.0</v>
      </c>
      <c r="S4866" s="92">
        <v>45436.0</v>
      </c>
      <c r="T4866" s="49"/>
      <c r="V4866" s="21" t="s">
        <v>634</v>
      </c>
    </row>
    <row r="4867">
      <c r="A4867" s="93">
        <v>4382.0</v>
      </c>
      <c r="B4867" s="77" t="s">
        <v>58</v>
      </c>
      <c r="C4867" s="77" t="s">
        <v>4025</v>
      </c>
      <c r="D4867" s="77" t="s">
        <v>3813</v>
      </c>
      <c r="E4867" s="41" t="str">
        <f>IFERROR(__xludf.DUMMYFUNCTION("IFNA(vlookup(D4867,IMPORTRANGE(""https://docs.google.com/spreadsheets/d/1swGwZOEqYlTEUCJLY-eeJM1911Kvaei5oySBIxdgtNo/edit?pli=1#gid=257618397"",""stock untanna!B:C""),2,false),V:V)"),"GARISAN BESI TF 30CM")</f>
        <v>GARISAN BESI TF 30CM</v>
      </c>
      <c r="F4867" s="49"/>
      <c r="G4867" s="71"/>
      <c r="H4867" s="41"/>
      <c r="I4867" s="42"/>
      <c r="J4867" s="85" t="s">
        <v>1319</v>
      </c>
      <c r="K4867" s="93">
        <v>5.0</v>
      </c>
      <c r="L4867" s="112" t="s">
        <v>62</v>
      </c>
      <c r="M4867" s="113">
        <v>53000.0</v>
      </c>
      <c r="N4867" s="74"/>
      <c r="O4867" s="87">
        <f t="shared" si="11"/>
        <v>265000</v>
      </c>
      <c r="P4867" s="102" t="str">
        <f t="shared" si="2"/>
        <v>Rp53,000-5 LSN-0.00%</v>
      </c>
      <c r="Q4867" s="92">
        <v>45434.0</v>
      </c>
      <c r="R4867" s="76"/>
      <c r="S4867" s="92">
        <v>45436.0</v>
      </c>
      <c r="T4867" s="49"/>
      <c r="V4867" s="21" t="s">
        <v>3814</v>
      </c>
    </row>
    <row r="4868">
      <c r="A4868" s="93">
        <v>4382.0</v>
      </c>
      <c r="B4868" s="77" t="s">
        <v>58</v>
      </c>
      <c r="C4868" s="77" t="s">
        <v>4025</v>
      </c>
      <c r="D4868" s="77" t="s">
        <v>4029</v>
      </c>
      <c r="E4868" s="41" t="str">
        <f>IFERROR(__xludf.DUMMYFUNCTION("IFNA(vlookup(D4868,IMPORTRANGE(""https://docs.google.com/spreadsheets/d/1swGwZOEqYlTEUCJLY-eeJM1911Kvaei5oySBIxdgtNo/edit?pli=1#gid=257618397"",""stock untanna!B:C""),2,false),V:V)"),"GARISAN BESI 30CM JOS (PETI) IMPORTER")</f>
        <v>GARISAN BESI 30CM JOS (PETI) IMPORTER</v>
      </c>
      <c r="F4868" s="49"/>
      <c r="G4868" s="71"/>
      <c r="H4868" s="41"/>
      <c r="I4868" s="42"/>
      <c r="J4868" s="85" t="s">
        <v>1319</v>
      </c>
      <c r="K4868" s="93">
        <v>5.0</v>
      </c>
      <c r="L4868" s="112" t="s">
        <v>62</v>
      </c>
      <c r="M4868" s="113">
        <v>20000.0</v>
      </c>
      <c r="N4868" s="74"/>
      <c r="O4868" s="87">
        <f t="shared" si="11"/>
        <v>100000</v>
      </c>
      <c r="P4868" s="102" t="str">
        <f t="shared" si="2"/>
        <v>Rp20,000-5 LSN-0.00%</v>
      </c>
      <c r="Q4868" s="92">
        <v>45434.0</v>
      </c>
      <c r="R4868" s="76"/>
      <c r="S4868" s="92">
        <v>45436.0</v>
      </c>
      <c r="T4868" s="49"/>
      <c r="V4868" s="21" t="s">
        <v>4030</v>
      </c>
    </row>
    <row r="4869">
      <c r="A4869" s="93">
        <v>4382.0</v>
      </c>
      <c r="B4869" s="77" t="s">
        <v>58</v>
      </c>
      <c r="C4869" s="77" t="s">
        <v>4025</v>
      </c>
      <c r="D4869" s="77" t="s">
        <v>672</v>
      </c>
      <c r="E4869" s="41" t="str">
        <f>IFERROR(__xludf.DUMMYFUNCTION("IFNA(vlookup(D4869,IMPORTRANGE(""https://docs.google.com/spreadsheets/d/1swGwZOEqYlTEUCJLY-eeJM1911Kvaei5oySBIxdgtNo/edit?pli=1#gid=257618397"",""stock untanna!B:C""),2,false),V:V)"),"BP GEL DT 9906")</f>
        <v>BP GEL DT 9906</v>
      </c>
      <c r="F4869" s="49"/>
      <c r="G4869" s="71"/>
      <c r="H4869" s="41"/>
      <c r="I4869" s="42"/>
      <c r="J4869" s="85" t="s">
        <v>1319</v>
      </c>
      <c r="K4869" s="93">
        <v>12.0</v>
      </c>
      <c r="L4869" s="112" t="s">
        <v>62</v>
      </c>
      <c r="M4869" s="113">
        <v>12500.0</v>
      </c>
      <c r="N4869" s="74"/>
      <c r="O4869" s="87">
        <f t="shared" si="11"/>
        <v>150000</v>
      </c>
      <c r="P4869" s="102" t="str">
        <f t="shared" si="2"/>
        <v>Rp12,500-12 LSN-0.00%</v>
      </c>
      <c r="Q4869" s="92">
        <v>45434.0</v>
      </c>
      <c r="R4869" s="76"/>
      <c r="S4869" s="92">
        <v>45436.0</v>
      </c>
      <c r="T4869" s="49"/>
      <c r="V4869" s="21" t="s">
        <v>673</v>
      </c>
    </row>
    <row r="4870">
      <c r="A4870" s="93">
        <v>4382.0</v>
      </c>
      <c r="B4870" s="77" t="s">
        <v>58</v>
      </c>
      <c r="C4870" s="77" t="s">
        <v>4025</v>
      </c>
      <c r="D4870" s="77" t="s">
        <v>4031</v>
      </c>
      <c r="E4870" s="41" t="str">
        <f>IFERROR(__xludf.DUMMYFUNCTION("IFNA(vlookup(D4870,IMPORTRANGE(""https://docs.google.com/spreadsheets/d/1swGwZOEqYlTEUCJLY-eeJM1911Kvaei5oySBIxdgtNo/edit?pli=1#gid=257618397"",""stock untanna!B:C""),2,false),V:V)"),"BP GEL 933")</f>
        <v>BP GEL 933</v>
      </c>
      <c r="F4870" s="49"/>
      <c r="G4870" s="71"/>
      <c r="H4870" s="41"/>
      <c r="I4870" s="42"/>
      <c r="J4870" s="85" t="s">
        <v>1319</v>
      </c>
      <c r="K4870" s="93">
        <v>144.0</v>
      </c>
      <c r="L4870" s="112" t="s">
        <v>69</v>
      </c>
      <c r="M4870" s="113">
        <v>1041.67</v>
      </c>
      <c r="N4870" s="74"/>
      <c r="O4870" s="87">
        <f t="shared" si="11"/>
        <v>150000.48</v>
      </c>
      <c r="P4870" s="102" t="str">
        <f t="shared" si="2"/>
        <v>Rp1,042-144 PCS-0.00%</v>
      </c>
      <c r="Q4870" s="92">
        <v>45434.0</v>
      </c>
      <c r="R4870" s="76"/>
      <c r="S4870" s="92">
        <v>45436.0</v>
      </c>
      <c r="T4870" s="49"/>
      <c r="V4870" s="21" t="s">
        <v>4032</v>
      </c>
    </row>
    <row r="4871">
      <c r="A4871" s="93">
        <v>4382.0</v>
      </c>
      <c r="B4871" s="77" t="s">
        <v>58</v>
      </c>
      <c r="C4871" s="77" t="s">
        <v>4025</v>
      </c>
      <c r="D4871" s="77" t="s">
        <v>3232</v>
      </c>
      <c r="E4871" s="41" t="str">
        <f>IFERROR(__xludf.DUMMYFUNCTION("IFNA(vlookup(D4871,IMPORTRANGE(""https://docs.google.com/spreadsheets/d/1swGwZOEqYlTEUCJLY-eeJM1911Kvaei5oySBIxdgtNo/edit?pli=1#gid=257618397"",""stock untanna!B:C""),2,false),V:V)"),"TALI ID CARD PEONY ORANYE")</f>
        <v>TALI ID CARD PEONY ORANYE</v>
      </c>
      <c r="F4871" s="49"/>
      <c r="G4871" s="71"/>
      <c r="H4871" s="41"/>
      <c r="I4871" s="42"/>
      <c r="J4871" s="85" t="s">
        <v>1319</v>
      </c>
      <c r="K4871" s="93">
        <v>1000.0</v>
      </c>
      <c r="L4871" s="112" t="s">
        <v>69</v>
      </c>
      <c r="M4871" s="113">
        <v>500.0</v>
      </c>
      <c r="N4871" s="74"/>
      <c r="O4871" s="87">
        <f t="shared" si="11"/>
        <v>500000</v>
      </c>
      <c r="P4871" s="102" t="str">
        <f t="shared" si="2"/>
        <v>Rp500-1000 PCS-0.00%</v>
      </c>
      <c r="Q4871" s="92">
        <v>45434.0</v>
      </c>
      <c r="R4871" s="76"/>
      <c r="S4871" s="92">
        <v>45436.0</v>
      </c>
      <c r="T4871" s="49"/>
      <c r="V4871" s="21" t="s">
        <v>3233</v>
      </c>
    </row>
    <row r="4872">
      <c r="A4872" s="93">
        <v>4382.0</v>
      </c>
      <c r="B4872" s="77" t="s">
        <v>58</v>
      </c>
      <c r="C4872" s="77" t="s">
        <v>4025</v>
      </c>
      <c r="D4872" s="91"/>
      <c r="E4872" s="41" t="str">
        <f>IFERROR(__xludf.DUMMYFUNCTION("IFNA(vlookup(D4872,IMPORTRANGE(""https://docs.google.com/spreadsheets/d/1swGwZOEqYlTEUCJLY-eeJM1911Kvaei5oySBIxdgtNo/edit?pli=1#gid=257618397"",""stock untanna!B:C""),2,false),V:V)"),"PENSIL KY 3055")</f>
        <v>PENSIL KY 3055</v>
      </c>
      <c r="F4872" s="49"/>
      <c r="G4872" s="71"/>
      <c r="H4872" s="41"/>
      <c r="I4872" s="42"/>
      <c r="J4872" s="85" t="s">
        <v>3190</v>
      </c>
      <c r="K4872" s="93">
        <v>3.0</v>
      </c>
      <c r="L4872" s="112" t="s">
        <v>131</v>
      </c>
      <c r="M4872" s="113">
        <v>106000.0</v>
      </c>
      <c r="N4872" s="74"/>
      <c r="O4872" s="87">
        <f t="shared" si="11"/>
        <v>318000</v>
      </c>
      <c r="P4872" s="102" t="str">
        <f t="shared" si="2"/>
        <v>Rp106,000-3 GRS-0.00%</v>
      </c>
      <c r="Q4872" s="92">
        <v>45434.0</v>
      </c>
      <c r="R4872" s="76"/>
      <c r="S4872" s="92">
        <v>45436.0</v>
      </c>
      <c r="T4872" s="49"/>
      <c r="V4872" s="21" t="s">
        <v>4033</v>
      </c>
    </row>
    <row r="4873">
      <c r="A4873" s="93">
        <v>4382.0</v>
      </c>
      <c r="B4873" s="77" t="s">
        <v>58</v>
      </c>
      <c r="C4873" s="77" t="s">
        <v>4025</v>
      </c>
      <c r="D4873" s="91"/>
      <c r="E4873" s="41" t="str">
        <f>IFERROR(__xludf.DUMMYFUNCTION("IFNA(vlookup(D4873,IMPORTRANGE(""https://docs.google.com/spreadsheets/d/1swGwZOEqYlTEUCJLY-eeJM1911Kvaei5oySBIxdgtNo/edit?pli=1#gid=257618397"",""stock untanna!B:C""),2,false),V:V)"),"PENSIL KY 3021")</f>
        <v>PENSIL KY 3021</v>
      </c>
      <c r="F4873" s="49"/>
      <c r="G4873" s="71"/>
      <c r="H4873" s="41"/>
      <c r="I4873" s="42"/>
      <c r="J4873" s="85" t="s">
        <v>3190</v>
      </c>
      <c r="K4873" s="93">
        <v>3.0</v>
      </c>
      <c r="L4873" s="112" t="s">
        <v>131</v>
      </c>
      <c r="M4873" s="113">
        <v>106000.0</v>
      </c>
      <c r="N4873" s="74"/>
      <c r="O4873" s="87">
        <f t="shared" si="11"/>
        <v>318000</v>
      </c>
      <c r="P4873" s="102" t="str">
        <f t="shared" si="2"/>
        <v>Rp106,000-3 GRS-0.00%</v>
      </c>
      <c r="Q4873" s="92">
        <v>45434.0</v>
      </c>
      <c r="R4873" s="76"/>
      <c r="S4873" s="92">
        <v>45436.0</v>
      </c>
      <c r="T4873" s="49"/>
      <c r="V4873" s="21" t="s">
        <v>4034</v>
      </c>
    </row>
    <row r="4874">
      <c r="A4874" s="93">
        <v>313.0</v>
      </c>
      <c r="B4874" s="91"/>
      <c r="C4874" s="77" t="s">
        <v>2603</v>
      </c>
      <c r="D4874" s="77" t="s">
        <v>868</v>
      </c>
      <c r="E4874" s="41" t="str">
        <f>IFERROR(__xludf.DUMMYFUNCTION("IFNA(vlookup(D4874,IMPORTRANGE(""https://docs.google.com/spreadsheets/d/1swGwZOEqYlTEUCJLY-eeJM1911Kvaei5oySBIxdgtNo/edit?pli=1#gid=257618397"",""stock untanna!B:C""),2,false),V:V)"),"CLIP BOARD 6688-TR TRANSP KOALA")</f>
        <v>CLIP BOARD 6688-TR TRANSP KOALA</v>
      </c>
      <c r="F4874" s="49"/>
      <c r="G4874" s="71"/>
      <c r="H4874" s="41"/>
      <c r="I4874" s="42"/>
      <c r="J4874" s="85" t="s">
        <v>1319</v>
      </c>
      <c r="K4874" s="93">
        <v>0.25</v>
      </c>
      <c r="L4874" s="112" t="s">
        <v>62</v>
      </c>
      <c r="M4874" s="113">
        <v>90000.0</v>
      </c>
      <c r="N4874" s="74"/>
      <c r="O4874" s="87">
        <f t="shared" si="11"/>
        <v>22500</v>
      </c>
      <c r="P4874" s="102" t="str">
        <f t="shared" si="2"/>
        <v>Rp90,000-0.25 LSN-0.00%</v>
      </c>
      <c r="Q4874" s="92">
        <v>45427.0</v>
      </c>
      <c r="R4874" s="76"/>
      <c r="S4874" s="92">
        <v>45437.0</v>
      </c>
      <c r="T4874" s="49"/>
      <c r="V4874" s="21" t="s">
        <v>870</v>
      </c>
    </row>
    <row r="4875">
      <c r="A4875" s="93">
        <v>4289.0</v>
      </c>
      <c r="B4875" s="77" t="s">
        <v>65</v>
      </c>
      <c r="C4875" s="77" t="s">
        <v>842</v>
      </c>
      <c r="D4875" s="77" t="s">
        <v>732</v>
      </c>
      <c r="E4875" s="41" t="str">
        <f>IFERROR(__xludf.DUMMYFUNCTION("IFNA(vlookup(D4875,IMPORTRANGE(""https://docs.google.com/spreadsheets/d/1swGwZOEqYlTEUCJLY-eeJM1911Kvaei5oySBIxdgtNo/edit?pli=1#gid=257618397"",""stock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4875" s="49"/>
      <c r="G4875" s="71"/>
      <c r="H4875" s="41"/>
      <c r="I4875" s="42"/>
      <c r="J4875" s="85" t="s">
        <v>1319</v>
      </c>
      <c r="K4875" s="93">
        <v>100.0</v>
      </c>
      <c r="L4875" s="112" t="s">
        <v>69</v>
      </c>
      <c r="M4875" s="113">
        <v>26500.0</v>
      </c>
      <c r="N4875" s="74"/>
      <c r="O4875" s="87">
        <f t="shared" si="11"/>
        <v>2650000</v>
      </c>
      <c r="P4875" s="102" t="str">
        <f t="shared" si="2"/>
        <v>Rp26,500-100 PCS-0.00%</v>
      </c>
      <c r="Q4875" s="92">
        <v>45433.0</v>
      </c>
      <c r="R4875" s="76"/>
      <c r="S4875" s="92">
        <v>45437.0</v>
      </c>
      <c r="T4875" s="49"/>
      <c r="V4875" s="21" t="s">
        <v>733</v>
      </c>
    </row>
    <row r="4876">
      <c r="A4876" s="93">
        <v>4289.0</v>
      </c>
      <c r="B4876" s="77" t="s">
        <v>65</v>
      </c>
      <c r="C4876" s="77" t="s">
        <v>842</v>
      </c>
      <c r="D4876" s="77" t="s">
        <v>4035</v>
      </c>
      <c r="E4876" s="41" t="str">
        <f>IFERROR(__xludf.DUMMYFUNCTION("IFNA(vlookup(D4876,IMPORTRANGE(""https://docs.google.com/spreadsheets/d/1swGwZOEqYlTEUCJLY-eeJM1911Kvaei5oySBIxdgtNo/edit?pli=1#gid=257618397"",""stock untanna!B:C""),2,false),V:V)"),"MESIN LEM TEMBAK 189 WOMY 60WATT")</f>
        <v>MESIN LEM TEMBAK 189 WOMY 60WATT</v>
      </c>
      <c r="F4876" s="49"/>
      <c r="G4876" s="71"/>
      <c r="H4876" s="41"/>
      <c r="I4876" s="42"/>
      <c r="J4876" s="85" t="s">
        <v>1319</v>
      </c>
      <c r="K4876" s="93">
        <v>24.0</v>
      </c>
      <c r="L4876" s="112" t="s">
        <v>69</v>
      </c>
      <c r="M4876" s="113">
        <v>35000.0</v>
      </c>
      <c r="N4876" s="74"/>
      <c r="O4876" s="87">
        <f t="shared" si="11"/>
        <v>840000</v>
      </c>
      <c r="P4876" s="102" t="str">
        <f t="shared" si="2"/>
        <v>Rp35,000-24 PCS-0.00%</v>
      </c>
      <c r="Q4876" s="92">
        <v>45433.0</v>
      </c>
      <c r="R4876" s="76"/>
      <c r="S4876" s="92">
        <v>45437.0</v>
      </c>
      <c r="T4876" s="49"/>
      <c r="V4876" s="21" t="s">
        <v>4036</v>
      </c>
    </row>
    <row r="4877">
      <c r="A4877" s="93">
        <v>4289.0</v>
      </c>
      <c r="B4877" s="77" t="s">
        <v>65</v>
      </c>
      <c r="C4877" s="77" t="s">
        <v>842</v>
      </c>
      <c r="D4877" s="77" t="s">
        <v>4037</v>
      </c>
      <c r="E4877" s="41" t="str">
        <f>IFERROR(__xludf.DUMMYFUNCTION("IFNA(vlookup(D4877,IMPORTRANGE(""https://docs.google.com/spreadsheets/d/1swGwZOEqYlTEUCJLY-eeJM1911Kvaei5oySBIxdgtNo/edit?pli=1#gid=257618397"",""stock untanna!B:C""),2,false),V:V)"),"BP GEL ZHIXIN G 3125")</f>
        <v>BP GEL ZHIXIN G 3125</v>
      </c>
      <c r="F4877" s="49"/>
      <c r="G4877" s="71"/>
      <c r="H4877" s="41"/>
      <c r="I4877" s="42"/>
      <c r="J4877" s="85" t="s">
        <v>1319</v>
      </c>
      <c r="K4877" s="93">
        <v>36.0</v>
      </c>
      <c r="L4877" s="112" t="s">
        <v>62</v>
      </c>
      <c r="M4877" s="113">
        <v>18000.0</v>
      </c>
      <c r="N4877" s="74"/>
      <c r="O4877" s="87">
        <f t="shared" si="11"/>
        <v>648000</v>
      </c>
      <c r="P4877" s="102" t="str">
        <f t="shared" si="2"/>
        <v>Rp18,000-36 LSN-0.00%</v>
      </c>
      <c r="Q4877" s="92">
        <v>45433.0</v>
      </c>
      <c r="R4877" s="76"/>
      <c r="S4877" s="92">
        <v>45437.0</v>
      </c>
      <c r="T4877" s="49"/>
      <c r="V4877" s="21" t="s">
        <v>4038</v>
      </c>
    </row>
    <row r="4878">
      <c r="A4878" s="93">
        <v>4289.0</v>
      </c>
      <c r="B4878" s="77" t="s">
        <v>65</v>
      </c>
      <c r="C4878" s="77" t="s">
        <v>842</v>
      </c>
      <c r="D4878" s="77" t="s">
        <v>4039</v>
      </c>
      <c r="E4878" s="41" t="str">
        <f>IFERROR(__xludf.DUMMYFUNCTION("IFNA(vlookup(D4878,IMPORTRANGE(""https://docs.google.com/spreadsheets/d/1swGwZOEqYlTEUCJLY-eeJM1911Kvaei5oySBIxdgtNo/edit?pli=1#gid=257618397"",""stock untanna!B:C""),2,false),V:V)"),"BP GEL ZHIXIN G 3118")</f>
        <v>BP GEL ZHIXIN G 3118</v>
      </c>
      <c r="F4878" s="49"/>
      <c r="G4878" s="71"/>
      <c r="H4878" s="41"/>
      <c r="I4878" s="42"/>
      <c r="J4878" s="85" t="s">
        <v>1319</v>
      </c>
      <c r="K4878" s="93">
        <v>62.0</v>
      </c>
      <c r="L4878" s="112" t="s">
        <v>62</v>
      </c>
      <c r="M4878" s="113">
        <v>18000.0</v>
      </c>
      <c r="N4878" s="74"/>
      <c r="O4878" s="87">
        <f t="shared" si="11"/>
        <v>1116000</v>
      </c>
      <c r="P4878" s="102" t="str">
        <f t="shared" si="2"/>
        <v>Rp18,000-62 LSN-0.00%</v>
      </c>
      <c r="Q4878" s="92">
        <v>45433.0</v>
      </c>
      <c r="R4878" s="76"/>
      <c r="S4878" s="92">
        <v>45437.0</v>
      </c>
      <c r="T4878" s="49"/>
      <c r="V4878" s="21" t="s">
        <v>4040</v>
      </c>
    </row>
    <row r="4879">
      <c r="A4879" s="93">
        <v>4289.0</v>
      </c>
      <c r="B4879" s="77" t="s">
        <v>65</v>
      </c>
      <c r="C4879" s="77" t="s">
        <v>842</v>
      </c>
      <c r="D4879" s="77" t="s">
        <v>4041</v>
      </c>
      <c r="E4879" s="41" t="str">
        <f>IFERROR(__xludf.DUMMYFUNCTION("IFNA(vlookup(D4879,IMPORTRANGE(""https://docs.google.com/spreadsheets/d/1swGwZOEqYlTEUCJLY-eeJM1911Kvaei5oySBIxdgtNo/edit?pli=1#gid=257618397"",""stock untanna!B:C""),2,false),V:V)"),"BP GEL ZHIXIN G 3119")</f>
        <v>BP GEL ZHIXIN G 3119</v>
      </c>
      <c r="F4879" s="49"/>
      <c r="G4879" s="71"/>
      <c r="H4879" s="41"/>
      <c r="I4879" s="42"/>
      <c r="J4879" s="85" t="s">
        <v>1319</v>
      </c>
      <c r="K4879" s="93">
        <v>62.0</v>
      </c>
      <c r="L4879" s="112" t="s">
        <v>62</v>
      </c>
      <c r="M4879" s="113">
        <v>18000.0</v>
      </c>
      <c r="N4879" s="74"/>
      <c r="O4879" s="87">
        <f t="shared" si="11"/>
        <v>1116000</v>
      </c>
      <c r="P4879" s="102" t="str">
        <f t="shared" si="2"/>
        <v>Rp18,000-62 LSN-0.00%</v>
      </c>
      <c r="Q4879" s="92">
        <v>45433.0</v>
      </c>
      <c r="R4879" s="76"/>
      <c r="S4879" s="92">
        <v>45437.0</v>
      </c>
      <c r="T4879" s="49"/>
      <c r="V4879" s="21" t="s">
        <v>4042</v>
      </c>
    </row>
    <row r="4880">
      <c r="A4880" s="93">
        <v>4289.0</v>
      </c>
      <c r="B4880" s="77" t="s">
        <v>65</v>
      </c>
      <c r="C4880" s="77" t="s">
        <v>842</v>
      </c>
      <c r="D4880" s="77" t="s">
        <v>4043</v>
      </c>
      <c r="E4880" s="41" t="str">
        <f>IFERROR(__xludf.DUMMYFUNCTION("IFNA(vlookup(D4880,IMPORTRANGE(""https://docs.google.com/spreadsheets/d/1swGwZOEqYlTEUCJLY-eeJM1911Kvaei5oySBIxdgtNo/edit?pli=1#gid=257618397"",""stock untanna!B:C""),2,false),V:V)"),"BP GEL ZHIXIN G 3162")</f>
        <v>BP GEL ZHIXIN G 3162</v>
      </c>
      <c r="F4880" s="49"/>
      <c r="G4880" s="71"/>
      <c r="H4880" s="41"/>
      <c r="I4880" s="42"/>
      <c r="J4880" s="85" t="s">
        <v>1319</v>
      </c>
      <c r="K4880" s="93">
        <v>41.0</v>
      </c>
      <c r="L4880" s="112" t="s">
        <v>62</v>
      </c>
      <c r="M4880" s="113">
        <v>18000.0</v>
      </c>
      <c r="N4880" s="74"/>
      <c r="O4880" s="87">
        <f t="shared" si="11"/>
        <v>738000</v>
      </c>
      <c r="P4880" s="102" t="str">
        <f t="shared" si="2"/>
        <v>Rp18,000-41 LSN-0.00%</v>
      </c>
      <c r="Q4880" s="92">
        <v>45433.0</v>
      </c>
      <c r="R4880" s="76"/>
      <c r="S4880" s="92">
        <v>45437.0</v>
      </c>
      <c r="T4880" s="49"/>
      <c r="V4880" s="21" t="s">
        <v>2283</v>
      </c>
    </row>
    <row r="4881">
      <c r="A4881" s="93">
        <v>4289.0</v>
      </c>
      <c r="B4881" s="77" t="s">
        <v>65</v>
      </c>
      <c r="C4881" s="77" t="s">
        <v>842</v>
      </c>
      <c r="D4881" s="77" t="s">
        <v>1366</v>
      </c>
      <c r="E4881" s="41" t="str">
        <f>IFERROR(__xludf.DUMMYFUNCTION("IFNA(vlookup(D4881,IMPORTRANGE(""https://docs.google.com/spreadsheets/d/1swGwZOEqYlTEUCJLY-eeJM1911Kvaei5oySBIxdgtNo/edit?pli=1#gid=257618397"",""stock untanna!B:C""),2,false),V:V)"),"BP GEL ZHIXIN G 3122")</f>
        <v>BP GEL ZHIXIN G 3122</v>
      </c>
      <c r="F4881" s="49"/>
      <c r="G4881" s="71"/>
      <c r="H4881" s="41"/>
      <c r="I4881" s="42"/>
      <c r="J4881" s="85" t="s">
        <v>1319</v>
      </c>
      <c r="K4881" s="93">
        <v>27.0</v>
      </c>
      <c r="L4881" s="112" t="s">
        <v>62</v>
      </c>
      <c r="M4881" s="113">
        <v>18000.0</v>
      </c>
      <c r="N4881" s="74"/>
      <c r="O4881" s="87">
        <f t="shared" si="11"/>
        <v>486000</v>
      </c>
      <c r="P4881" s="102" t="str">
        <f t="shared" si="2"/>
        <v>Rp18,000-27 LSN-0.00%</v>
      </c>
      <c r="Q4881" s="92">
        <v>45433.0</v>
      </c>
      <c r="R4881" s="76"/>
      <c r="S4881" s="92">
        <v>45437.0</v>
      </c>
      <c r="T4881" s="49"/>
      <c r="V4881" s="21" t="s">
        <v>1367</v>
      </c>
    </row>
    <row r="4882">
      <c r="A4882" s="93">
        <v>4289.0</v>
      </c>
      <c r="B4882" s="77" t="s">
        <v>65</v>
      </c>
      <c r="C4882" s="77" t="s">
        <v>842</v>
      </c>
      <c r="D4882" s="77" t="s">
        <v>3672</v>
      </c>
      <c r="E4882" s="41" t="str">
        <f>IFERROR(__xludf.DUMMYFUNCTION("IFNA(vlookup(D4882,IMPORTRANGE(""https://docs.google.com/spreadsheets/d/1swGwZOEqYlTEUCJLY-eeJM1911Kvaei5oySBIxdgtNo/edit?pli=1#gid=257618397"",""stock untanna!B:C""),2,false),V:V)"),"BP GEL ZHIXIN G 3128")</f>
        <v>BP GEL ZHIXIN G 3128</v>
      </c>
      <c r="F4882" s="49"/>
      <c r="G4882" s="71"/>
      <c r="H4882" s="41"/>
      <c r="I4882" s="42"/>
      <c r="J4882" s="85" t="s">
        <v>1319</v>
      </c>
      <c r="K4882" s="93">
        <v>35.0</v>
      </c>
      <c r="L4882" s="112" t="s">
        <v>62</v>
      </c>
      <c r="M4882" s="113">
        <v>18000.0</v>
      </c>
      <c r="N4882" s="74"/>
      <c r="O4882" s="87">
        <f t="shared" si="11"/>
        <v>630000</v>
      </c>
      <c r="P4882" s="102" t="str">
        <f t="shared" si="2"/>
        <v>Rp18,000-35 LSN-0.00%</v>
      </c>
      <c r="Q4882" s="92">
        <v>45433.0</v>
      </c>
      <c r="R4882" s="76"/>
      <c r="S4882" s="92">
        <v>45437.0</v>
      </c>
      <c r="T4882" s="49"/>
      <c r="V4882" s="21" t="s">
        <v>4044</v>
      </c>
    </row>
    <row r="4883">
      <c r="A4883" s="93">
        <v>4289.0</v>
      </c>
      <c r="B4883" s="77" t="s">
        <v>65</v>
      </c>
      <c r="C4883" s="77" t="s">
        <v>842</v>
      </c>
      <c r="D4883" s="77" t="s">
        <v>4045</v>
      </c>
      <c r="E4883" s="41" t="str">
        <f>IFERROR(__xludf.DUMMYFUNCTION("IFNA(vlookup(D4883,IMPORTRANGE(""https://docs.google.com/spreadsheets/d/1swGwZOEqYlTEUCJLY-eeJM1911Kvaei5oySBIxdgtNo/edit?pli=1#gid=257618397"",""stock untanna!B:C""),2,false),V:V)"),"BP GEL ZHIXIN G 3165")</f>
        <v>BP GEL ZHIXIN G 3165</v>
      </c>
      <c r="F4883" s="49"/>
      <c r="G4883" s="71"/>
      <c r="H4883" s="41"/>
      <c r="I4883" s="42"/>
      <c r="J4883" s="85" t="s">
        <v>1319</v>
      </c>
      <c r="K4883" s="93">
        <v>26.0</v>
      </c>
      <c r="L4883" s="112" t="s">
        <v>62</v>
      </c>
      <c r="M4883" s="113">
        <v>18000.0</v>
      </c>
      <c r="N4883" s="74"/>
      <c r="O4883" s="87">
        <f t="shared" si="11"/>
        <v>468000</v>
      </c>
      <c r="P4883" s="102" t="str">
        <f t="shared" si="2"/>
        <v>Rp18,000-26 LSN-0.00%</v>
      </c>
      <c r="Q4883" s="92">
        <v>45433.0</v>
      </c>
      <c r="R4883" s="76"/>
      <c r="S4883" s="92">
        <v>45437.0</v>
      </c>
      <c r="T4883" s="49"/>
      <c r="V4883" s="21" t="s">
        <v>3676</v>
      </c>
    </row>
    <row r="4884">
      <c r="A4884" s="93">
        <v>4289.0</v>
      </c>
      <c r="B4884" s="77" t="s">
        <v>65</v>
      </c>
      <c r="C4884" s="77" t="s">
        <v>842</v>
      </c>
      <c r="D4884" s="77" t="s">
        <v>4046</v>
      </c>
      <c r="E4884" s="41" t="str">
        <f>IFERROR(__xludf.DUMMYFUNCTION("IFNA(vlookup(D4884,IMPORTRANGE(""https://docs.google.com/spreadsheets/d/1swGwZOEqYlTEUCJLY-eeJM1911Kvaei5oySBIxdgtNo/edit?pli=1#gid=257618397"",""stock untanna!B:C""),2,false),V:V)"),"BP GEL ZHIXIN G 5005")</f>
        <v>BP GEL ZHIXIN G 5005</v>
      </c>
      <c r="F4884" s="49"/>
      <c r="G4884" s="71"/>
      <c r="H4884" s="41"/>
      <c r="I4884" s="42"/>
      <c r="J4884" s="85" t="s">
        <v>1319</v>
      </c>
      <c r="K4884" s="93">
        <v>5.0</v>
      </c>
      <c r="L4884" s="112" t="s">
        <v>62</v>
      </c>
      <c r="M4884" s="113">
        <v>18000.0</v>
      </c>
      <c r="N4884" s="74"/>
      <c r="O4884" s="87">
        <f t="shared" si="11"/>
        <v>90000</v>
      </c>
      <c r="P4884" s="102" t="str">
        <f t="shared" si="2"/>
        <v>Rp18,000-5 LSN-0.00%</v>
      </c>
      <c r="Q4884" s="92">
        <v>45433.0</v>
      </c>
      <c r="R4884" s="76"/>
      <c r="S4884" s="92">
        <v>45437.0</v>
      </c>
      <c r="T4884" s="49"/>
      <c r="V4884" s="21" t="s">
        <v>4047</v>
      </c>
    </row>
    <row r="4885">
      <c r="A4885" s="93">
        <v>4289.0</v>
      </c>
      <c r="B4885" s="77" t="s">
        <v>65</v>
      </c>
      <c r="C4885" s="77" t="s">
        <v>842</v>
      </c>
      <c r="D4885" s="77" t="s">
        <v>995</v>
      </c>
      <c r="E4885" s="41" t="str">
        <f>IFERROR(__xludf.DUMMYFUNCTION("IFNA(vlookup(D4885,IMPORTRANGE(""https://docs.google.com/spreadsheets/d/1swGwZOEqYlTEUCJLY-eeJM1911Kvaei5oySBIxdgtNo/edit?pli=1#gid=257618397"",""stock untanna!B:C""),2,false),V:V)"),"BP GEL ZHIXIN G 5025")</f>
        <v>BP GEL ZHIXIN G 5025</v>
      </c>
      <c r="F4885" s="49"/>
      <c r="G4885" s="71"/>
      <c r="H4885" s="41"/>
      <c r="I4885" s="42"/>
      <c r="J4885" s="85" t="s">
        <v>1319</v>
      </c>
      <c r="K4885" s="93">
        <v>8.0</v>
      </c>
      <c r="L4885" s="112" t="s">
        <v>62</v>
      </c>
      <c r="M4885" s="113">
        <v>18000.0</v>
      </c>
      <c r="N4885" s="74"/>
      <c r="O4885" s="87">
        <f t="shared" si="11"/>
        <v>144000</v>
      </c>
      <c r="P4885" s="102" t="str">
        <f t="shared" si="2"/>
        <v>Rp18,000-8 LSN-0.00%</v>
      </c>
      <c r="Q4885" s="92">
        <v>45433.0</v>
      </c>
      <c r="R4885" s="76"/>
      <c r="S4885" s="92">
        <v>45437.0</v>
      </c>
      <c r="T4885" s="49"/>
      <c r="V4885" s="21" t="s">
        <v>996</v>
      </c>
    </row>
    <row r="4886">
      <c r="A4886" s="93">
        <v>4289.0</v>
      </c>
      <c r="B4886" s="77" t="s">
        <v>65</v>
      </c>
      <c r="C4886" s="77" t="s">
        <v>842</v>
      </c>
      <c r="D4886" s="77" t="s">
        <v>3674</v>
      </c>
      <c r="E4886" s="41" t="str">
        <f>IFERROR(__xludf.DUMMYFUNCTION("IFNA(vlookup(D4886,IMPORTRANGE(""https://docs.google.com/spreadsheets/d/1swGwZOEqYlTEUCJLY-eeJM1911Kvaei5oySBIxdgtNo/edit?pli=1#gid=257618397"",""stock untanna!B:C""),2,false),V:V)"),"BP GEL ZHIXIN G 3156")</f>
        <v>BP GEL ZHIXIN G 3156</v>
      </c>
      <c r="F4886" s="49"/>
      <c r="G4886" s="71"/>
      <c r="H4886" s="41"/>
      <c r="I4886" s="42"/>
      <c r="J4886" s="85" t="s">
        <v>1319</v>
      </c>
      <c r="K4886" s="93">
        <v>2.0</v>
      </c>
      <c r="L4886" s="112" t="s">
        <v>62</v>
      </c>
      <c r="M4886" s="113">
        <v>18000.0</v>
      </c>
      <c r="N4886" s="74"/>
      <c r="O4886" s="87">
        <f t="shared" si="11"/>
        <v>36000</v>
      </c>
      <c r="P4886" s="102" t="str">
        <f t="shared" si="2"/>
        <v>Rp18,000-2 LSN-0.00%</v>
      </c>
      <c r="Q4886" s="92">
        <v>45433.0</v>
      </c>
      <c r="R4886" s="76"/>
      <c r="S4886" s="92">
        <v>45437.0</v>
      </c>
      <c r="T4886" s="49"/>
      <c r="V4886" s="21" t="s">
        <v>3675</v>
      </c>
    </row>
    <row r="4887">
      <c r="A4887" s="93">
        <v>4289.0</v>
      </c>
      <c r="B4887" s="77" t="s">
        <v>65</v>
      </c>
      <c r="C4887" s="77" t="s">
        <v>842</v>
      </c>
      <c r="D4887" s="77" t="s">
        <v>3779</v>
      </c>
      <c r="E4887" s="41" t="str">
        <f>IFERROR(__xludf.DUMMYFUNCTION("IFNA(vlookup(D4887,IMPORTRANGE(""https://docs.google.com/spreadsheets/d/1swGwZOEqYlTEUCJLY-eeJM1911Kvaei5oySBIxdgtNo/edit?pli=1#gid=257618397"",""stock untanna!B:C""),2,false),V:V)"),"BP GEL ZHIXIN G 3129")</f>
        <v>BP GEL ZHIXIN G 3129</v>
      </c>
      <c r="F4887" s="49"/>
      <c r="G4887" s="71"/>
      <c r="H4887" s="41"/>
      <c r="I4887" s="42"/>
      <c r="J4887" s="85" t="s">
        <v>1319</v>
      </c>
      <c r="K4887" s="93">
        <v>1.0</v>
      </c>
      <c r="L4887" s="112" t="s">
        <v>62</v>
      </c>
      <c r="M4887" s="113">
        <v>18000.0</v>
      </c>
      <c r="N4887" s="74"/>
      <c r="O4887" s="87">
        <f t="shared" si="11"/>
        <v>18000</v>
      </c>
      <c r="P4887" s="102" t="str">
        <f t="shared" si="2"/>
        <v>Rp18,000-1 LSN-0.00%</v>
      </c>
      <c r="Q4887" s="92">
        <v>45433.0</v>
      </c>
      <c r="R4887" s="76"/>
      <c r="S4887" s="92">
        <v>45437.0</v>
      </c>
      <c r="T4887" s="49"/>
      <c r="V4887" s="21" t="s">
        <v>4048</v>
      </c>
    </row>
    <row r="4888">
      <c r="A4888" s="93">
        <v>4289.0</v>
      </c>
      <c r="B4888" s="77" t="s">
        <v>65</v>
      </c>
      <c r="C4888" s="77" t="s">
        <v>842</v>
      </c>
      <c r="D4888" s="77" t="s">
        <v>4049</v>
      </c>
      <c r="E4888" s="41" t="str">
        <f>IFERROR(__xludf.DUMMYFUNCTION("IFNA(vlookup(D4888,IMPORTRANGE(""https://docs.google.com/spreadsheets/d/1swGwZOEqYlTEUCJLY-eeJM1911Kvaei5oySBIxdgtNo/edit?pli=1#gid=257618397"",""stock untanna!B:C""),2,false),V:V)"),"BP ZHIXIN 3150")</f>
        <v>BP ZHIXIN 3150</v>
      </c>
      <c r="F4888" s="49"/>
      <c r="G4888" s="71"/>
      <c r="H4888" s="41"/>
      <c r="I4888" s="42"/>
      <c r="J4888" s="85" t="s">
        <v>1319</v>
      </c>
      <c r="K4888" s="93">
        <v>14.0</v>
      </c>
      <c r="L4888" s="112" t="s">
        <v>62</v>
      </c>
      <c r="M4888" s="113">
        <v>18000.0</v>
      </c>
      <c r="N4888" s="74"/>
      <c r="O4888" s="87">
        <f t="shared" si="11"/>
        <v>252000</v>
      </c>
      <c r="P4888" s="102" t="str">
        <f t="shared" si="2"/>
        <v>Rp18,000-14 LSN-0.00%</v>
      </c>
      <c r="Q4888" s="92">
        <v>45433.0</v>
      </c>
      <c r="R4888" s="76"/>
      <c r="S4888" s="92">
        <v>45437.0</v>
      </c>
      <c r="T4888" s="77" t="s">
        <v>280</v>
      </c>
      <c r="V4888" s="21" t="s">
        <v>4050</v>
      </c>
    </row>
    <row r="4889">
      <c r="A4889" s="93">
        <v>4289.0</v>
      </c>
      <c r="B4889" s="77" t="s">
        <v>65</v>
      </c>
      <c r="C4889" s="77" t="s">
        <v>842</v>
      </c>
      <c r="D4889" s="77" t="s">
        <v>4051</v>
      </c>
      <c r="E4889" s="41" t="str">
        <f>IFERROR(__xludf.DUMMYFUNCTION("IFNA(vlookup(D4889,IMPORTRANGE(""https://docs.google.com/spreadsheets/d/1swGwZOEqYlTEUCJLY-eeJM1911Kvaei5oySBIxdgtNo/edit?pli=1#gid=257618397"",""stock untanna!B:C""),2,false),V:V)"),"BP ZHIXIN 3151")</f>
        <v>BP ZHIXIN 3151</v>
      </c>
      <c r="F4889" s="49"/>
      <c r="G4889" s="71"/>
      <c r="H4889" s="41"/>
      <c r="I4889" s="42"/>
      <c r="J4889" s="85" t="s">
        <v>1319</v>
      </c>
      <c r="K4889" s="93">
        <v>10.0</v>
      </c>
      <c r="L4889" s="112" t="s">
        <v>62</v>
      </c>
      <c r="M4889" s="113">
        <v>18000.0</v>
      </c>
      <c r="N4889" s="74"/>
      <c r="O4889" s="87">
        <f t="shared" si="11"/>
        <v>180000</v>
      </c>
      <c r="P4889" s="102" t="str">
        <f t="shared" si="2"/>
        <v>Rp18,000-10 LSN-0.00%</v>
      </c>
      <c r="Q4889" s="92">
        <v>45433.0</v>
      </c>
      <c r="R4889" s="76"/>
      <c r="S4889" s="92">
        <v>45437.0</v>
      </c>
      <c r="T4889" s="49"/>
      <c r="V4889" s="21" t="s">
        <v>4052</v>
      </c>
    </row>
    <row r="4890">
      <c r="A4890" s="93">
        <v>4289.0</v>
      </c>
      <c r="B4890" s="77" t="s">
        <v>65</v>
      </c>
      <c r="C4890" s="77" t="s">
        <v>842</v>
      </c>
      <c r="D4890" s="91"/>
      <c r="E4890" s="41" t="str">
        <f>IFERROR(__xludf.DUMMYFUNCTION("IFNA(vlookup(D4890,IMPORTRANGE(""https://docs.google.com/spreadsheets/d/1swGwZOEqYlTEUCJLY-eeJM1911Kvaei5oySBIxdgtNo/edit?pli=1#gid=257618397"",""stock untanna!B:C""),2,false),V:V)"),"BALLPEN ZHIXIN 5019")</f>
        <v>BALLPEN ZHIXIN 5019</v>
      </c>
      <c r="F4890" s="49"/>
      <c r="G4890" s="71"/>
      <c r="H4890" s="41"/>
      <c r="I4890" s="42"/>
      <c r="J4890" s="85" t="s">
        <v>3190</v>
      </c>
      <c r="K4890" s="93">
        <v>10.0</v>
      </c>
      <c r="L4890" s="112" t="s">
        <v>62</v>
      </c>
      <c r="M4890" s="113">
        <v>18000.0</v>
      </c>
      <c r="N4890" s="74"/>
      <c r="O4890" s="87">
        <f t="shared" si="11"/>
        <v>180000</v>
      </c>
      <c r="P4890" s="102" t="str">
        <f t="shared" si="2"/>
        <v>Rp18,000-10 LSN-0.00%</v>
      </c>
      <c r="Q4890" s="92">
        <v>45433.0</v>
      </c>
      <c r="R4890" s="76"/>
      <c r="S4890" s="92">
        <v>45437.0</v>
      </c>
      <c r="T4890" s="49"/>
      <c r="V4890" s="21" t="s">
        <v>4053</v>
      </c>
    </row>
    <row r="4891">
      <c r="A4891" s="93">
        <v>4290.0</v>
      </c>
      <c r="B4891" s="77" t="s">
        <v>65</v>
      </c>
      <c r="C4891" s="77" t="s">
        <v>842</v>
      </c>
      <c r="D4891" s="77" t="s">
        <v>4054</v>
      </c>
      <c r="E4891" s="41" t="str">
        <f>IFERROR(__xludf.DUMMYFUNCTION("IFNA(vlookup(D4891,IMPORTRANGE(""https://docs.google.com/spreadsheets/d/1swGwZOEqYlTEUCJLY-eeJM1911Kvaei5oySBIxdgtNo/edit?pli=1#gid=257618397"",""stock untanna!B:C""),2,false),V:V)"),"BP ZHIXIN 5037")</f>
        <v>BP ZHIXIN 5037</v>
      </c>
      <c r="F4891" s="49"/>
      <c r="G4891" s="71"/>
      <c r="H4891" s="41"/>
      <c r="I4891" s="42"/>
      <c r="J4891" s="85" t="s">
        <v>1319</v>
      </c>
      <c r="K4891" s="93">
        <v>9.0</v>
      </c>
      <c r="L4891" s="112" t="s">
        <v>62</v>
      </c>
      <c r="M4891" s="113">
        <v>18000.0</v>
      </c>
      <c r="N4891" s="74"/>
      <c r="O4891" s="87">
        <f t="shared" si="11"/>
        <v>162000</v>
      </c>
      <c r="P4891" s="102" t="str">
        <f t="shared" si="2"/>
        <v>Rp18,000-9 LSN-0.00%</v>
      </c>
      <c r="Q4891" s="92">
        <v>45433.0</v>
      </c>
      <c r="R4891" s="76"/>
      <c r="S4891" s="92">
        <v>45437.0</v>
      </c>
      <c r="T4891" s="77" t="s">
        <v>280</v>
      </c>
      <c r="V4891" s="21" t="s">
        <v>4055</v>
      </c>
    </row>
    <row r="4892">
      <c r="A4892" s="93">
        <v>4290.0</v>
      </c>
      <c r="B4892" s="77" t="s">
        <v>65</v>
      </c>
      <c r="C4892" s="77" t="s">
        <v>842</v>
      </c>
      <c r="D4892" s="91"/>
      <c r="E4892" s="41" t="str">
        <f>IFERROR(__xludf.DUMMYFUNCTION("IFNA(vlookup(D4892,IMPORTRANGE(""https://docs.google.com/spreadsheets/d/1swGwZOEqYlTEUCJLY-eeJM1911Kvaei5oySBIxdgtNo/edit?pli=1#gid=257618397"",""stock untanna!B:C""),2,false),V:V)"),"BP ZHIXIN 5035")</f>
        <v>BP ZHIXIN 5035</v>
      </c>
      <c r="F4892" s="49"/>
      <c r="G4892" s="71"/>
      <c r="H4892" s="41"/>
      <c r="I4892" s="42"/>
      <c r="J4892" s="85" t="s">
        <v>3190</v>
      </c>
      <c r="K4892" s="93">
        <v>8.0</v>
      </c>
      <c r="L4892" s="112" t="s">
        <v>62</v>
      </c>
      <c r="M4892" s="113">
        <v>18000.0</v>
      </c>
      <c r="N4892" s="74"/>
      <c r="O4892" s="87">
        <f t="shared" si="11"/>
        <v>144000</v>
      </c>
      <c r="P4892" s="102" t="str">
        <f t="shared" si="2"/>
        <v>Rp18,000-8 LSN-0.00%</v>
      </c>
      <c r="Q4892" s="92">
        <v>45433.0</v>
      </c>
      <c r="R4892" s="76"/>
      <c r="S4892" s="92">
        <v>45437.0</v>
      </c>
      <c r="T4892" s="49"/>
      <c r="V4892" s="21" t="s">
        <v>4056</v>
      </c>
    </row>
    <row r="4893">
      <c r="A4893" s="93">
        <v>4290.0</v>
      </c>
      <c r="B4893" s="77" t="s">
        <v>65</v>
      </c>
      <c r="C4893" s="77" t="s">
        <v>842</v>
      </c>
      <c r="D4893" s="77" t="s">
        <v>4026</v>
      </c>
      <c r="E4893" s="41" t="str">
        <f>IFERROR(__xludf.DUMMYFUNCTION("IFNA(vlookup(D4893,IMPORTRANGE(""https://docs.google.com/spreadsheets/d/1swGwZOEqYlTEUCJLY-eeJM1911Kvaei5oySBIxdgtNo/edit?pli=1#gid=257618397"",""stock untanna!B:C""),2,false),V:V)"),"BP GEL TIZO 31590E FANCY")</f>
        <v>BP GEL TIZO 31590E FANCY</v>
      </c>
      <c r="F4893" s="49"/>
      <c r="G4893" s="71"/>
      <c r="H4893" s="41"/>
      <c r="I4893" s="42"/>
      <c r="J4893" s="85" t="s">
        <v>1319</v>
      </c>
      <c r="K4893" s="93">
        <v>8.0</v>
      </c>
      <c r="L4893" s="112" t="s">
        <v>62</v>
      </c>
      <c r="M4893" s="113">
        <v>18000.0</v>
      </c>
      <c r="N4893" s="74"/>
      <c r="O4893" s="87">
        <f t="shared" si="11"/>
        <v>144000</v>
      </c>
      <c r="P4893" s="102" t="str">
        <f t="shared" si="2"/>
        <v>Rp18,000-8 LSN-0.00%</v>
      </c>
      <c r="Q4893" s="92">
        <v>45433.0</v>
      </c>
      <c r="R4893" s="76"/>
      <c r="S4893" s="92">
        <v>45437.0</v>
      </c>
      <c r="T4893" s="49"/>
      <c r="V4893" s="21" t="s">
        <v>4027</v>
      </c>
    </row>
    <row r="4894">
      <c r="A4894" s="93">
        <v>4290.0</v>
      </c>
      <c r="B4894" s="77" t="s">
        <v>65</v>
      </c>
      <c r="C4894" s="77" t="s">
        <v>842</v>
      </c>
      <c r="D4894" s="77" t="s">
        <v>4057</v>
      </c>
      <c r="E4894" s="41" t="str">
        <f>IFERROR(__xludf.DUMMYFUNCTION("IFNA(vlookup(D4894,IMPORTRANGE(""https://docs.google.com/spreadsheets/d/1swGwZOEqYlTEUCJLY-eeJM1911Kvaei5oySBIxdgtNo/edit?pli=1#gid=257618397"",""stock untanna!B:C""),2,false),V:V)"),"BP ZHIXIN 3154")</f>
        <v>BP ZHIXIN 3154</v>
      </c>
      <c r="F4894" s="49"/>
      <c r="G4894" s="71"/>
      <c r="H4894" s="41"/>
      <c r="I4894" s="42"/>
      <c r="J4894" s="85" t="s">
        <v>1319</v>
      </c>
      <c r="K4894" s="93">
        <v>4.0</v>
      </c>
      <c r="L4894" s="112" t="s">
        <v>62</v>
      </c>
      <c r="M4894" s="113">
        <v>18000.0</v>
      </c>
      <c r="N4894" s="74"/>
      <c r="O4894" s="87">
        <f t="shared" si="11"/>
        <v>72000</v>
      </c>
      <c r="P4894" s="102" t="str">
        <f t="shared" si="2"/>
        <v>Rp18,000-4 LSN-0.00%</v>
      </c>
      <c r="Q4894" s="92">
        <v>45433.0</v>
      </c>
      <c r="R4894" s="76"/>
      <c r="S4894" s="92">
        <v>45437.0</v>
      </c>
      <c r="T4894" s="77" t="s">
        <v>280</v>
      </c>
      <c r="V4894" s="21" t="s">
        <v>4058</v>
      </c>
    </row>
    <row r="4895">
      <c r="A4895" s="93">
        <v>4290.0</v>
      </c>
      <c r="B4895" s="77" t="s">
        <v>65</v>
      </c>
      <c r="C4895" s="77" t="s">
        <v>842</v>
      </c>
      <c r="D4895" s="77" t="s">
        <v>2280</v>
      </c>
      <c r="E4895" s="41" t="str">
        <f>IFERROR(__xludf.DUMMYFUNCTION("IFNA(vlookup(D4895,IMPORTRANGE(""https://docs.google.com/spreadsheets/d/1swGwZOEqYlTEUCJLY-eeJM1911Kvaei5oySBIxdgtNo/edit?pli=1#gid=257618397"",""stock untanna!B:C""),2,false),V:V)"),"BP GEL ZHIXIN G 3139")</f>
        <v>BP GEL ZHIXIN G 3139</v>
      </c>
      <c r="F4895" s="49"/>
      <c r="G4895" s="71"/>
      <c r="H4895" s="41"/>
      <c r="I4895" s="42"/>
      <c r="J4895" s="85" t="s">
        <v>1319</v>
      </c>
      <c r="K4895" s="93">
        <v>6.0</v>
      </c>
      <c r="L4895" s="112" t="s">
        <v>62</v>
      </c>
      <c r="M4895" s="113">
        <v>18000.0</v>
      </c>
      <c r="N4895" s="74"/>
      <c r="O4895" s="87">
        <f t="shared" si="11"/>
        <v>108000</v>
      </c>
      <c r="P4895" s="102" t="str">
        <f t="shared" si="2"/>
        <v>Rp18,000-6 LSN-0.00%</v>
      </c>
      <c r="Q4895" s="92">
        <v>45433.0</v>
      </c>
      <c r="R4895" s="76"/>
      <c r="S4895" s="92">
        <v>45437.0</v>
      </c>
      <c r="T4895" s="49"/>
      <c r="V4895" s="21" t="s">
        <v>2281</v>
      </c>
    </row>
    <row r="4896">
      <c r="A4896" s="93">
        <v>4290.0</v>
      </c>
      <c r="B4896" s="77" t="s">
        <v>65</v>
      </c>
      <c r="C4896" s="77" t="s">
        <v>842</v>
      </c>
      <c r="D4896" s="77" t="s">
        <v>4059</v>
      </c>
      <c r="E4896" s="41" t="str">
        <f>IFERROR(__xludf.DUMMYFUNCTION("IFNA(vlookup(D4896,IMPORTRANGE(""https://docs.google.com/spreadsheets/d/1swGwZOEqYlTEUCJLY-eeJM1911Kvaei5oySBIxdgtNo/edit?pli=1#gid=257618397"",""stock untanna!B:C""),2,false),V:V)"),"BP ZHIXIN 3155")</f>
        <v>BP ZHIXIN 3155</v>
      </c>
      <c r="F4896" s="49"/>
      <c r="G4896" s="71"/>
      <c r="H4896" s="41"/>
      <c r="I4896" s="42"/>
      <c r="J4896" s="85" t="s">
        <v>1319</v>
      </c>
      <c r="K4896" s="93">
        <v>4.0</v>
      </c>
      <c r="L4896" s="112" t="s">
        <v>62</v>
      </c>
      <c r="M4896" s="113">
        <v>18000.0</v>
      </c>
      <c r="N4896" s="74"/>
      <c r="O4896" s="87">
        <f t="shared" si="11"/>
        <v>72000</v>
      </c>
      <c r="P4896" s="102" t="str">
        <f t="shared" si="2"/>
        <v>Rp18,000-4 LSN-0.00%</v>
      </c>
      <c r="Q4896" s="92">
        <v>45433.0</v>
      </c>
      <c r="R4896" s="76"/>
      <c r="S4896" s="92">
        <v>45437.0</v>
      </c>
      <c r="T4896" s="77" t="s">
        <v>280</v>
      </c>
      <c r="V4896" s="21" t="s">
        <v>4060</v>
      </c>
    </row>
    <row r="4897">
      <c r="A4897" s="93">
        <v>4290.0</v>
      </c>
      <c r="B4897" s="77" t="s">
        <v>65</v>
      </c>
      <c r="C4897" s="77" t="s">
        <v>842</v>
      </c>
      <c r="D4897" s="91"/>
      <c r="E4897" s="41" t="str">
        <f>IFERROR(__xludf.DUMMYFUNCTION("IFNA(vlookup(D4897,IMPORTRANGE(""https://docs.google.com/spreadsheets/d/1swGwZOEqYlTEUCJLY-eeJM1911Kvaei5oySBIxdgtNo/edit?pli=1#gid=257618397"",""stock untanna!B:C""),2,false),V:V)"),"BP ZHIXIN 3161")</f>
        <v>BP ZHIXIN 3161</v>
      </c>
      <c r="F4897" s="49"/>
      <c r="G4897" s="71"/>
      <c r="H4897" s="41"/>
      <c r="I4897" s="42"/>
      <c r="J4897" s="85" t="s">
        <v>3190</v>
      </c>
      <c r="K4897" s="93">
        <v>8.0</v>
      </c>
      <c r="L4897" s="112" t="s">
        <v>62</v>
      </c>
      <c r="M4897" s="113">
        <v>18000.0</v>
      </c>
      <c r="N4897" s="74"/>
      <c r="O4897" s="87">
        <f t="shared" si="11"/>
        <v>144000</v>
      </c>
      <c r="P4897" s="102" t="str">
        <f t="shared" si="2"/>
        <v>Rp18,000-8 LSN-0.00%</v>
      </c>
      <c r="Q4897" s="92">
        <v>45433.0</v>
      </c>
      <c r="R4897" s="76"/>
      <c r="S4897" s="92">
        <v>45437.0</v>
      </c>
      <c r="T4897" s="49"/>
      <c r="V4897" s="21" t="s">
        <v>4061</v>
      </c>
    </row>
    <row r="4898">
      <c r="A4898" s="93">
        <v>4226.0</v>
      </c>
      <c r="B4898" s="77" t="s">
        <v>29</v>
      </c>
      <c r="C4898" s="77" t="s">
        <v>4062</v>
      </c>
      <c r="D4898" s="77" t="s">
        <v>4037</v>
      </c>
      <c r="E4898" s="41" t="str">
        <f>IFERROR(__xludf.DUMMYFUNCTION("IFNA(vlookup(D4898,IMPORTRANGE(""https://docs.google.com/spreadsheets/d/1swGwZOEqYlTEUCJLY-eeJM1911Kvaei5oySBIxdgtNo/edit?pli=1#gid=257618397"",""stock untanna!B:C""),2,false),V:V)"),"BP GEL ZHIXIN G 3125")</f>
        <v>BP GEL ZHIXIN G 3125</v>
      </c>
      <c r="F4898" s="49"/>
      <c r="G4898" s="71"/>
      <c r="H4898" s="41"/>
      <c r="I4898" s="42"/>
      <c r="J4898" s="85" t="s">
        <v>1319</v>
      </c>
      <c r="K4898" s="93">
        <v>36.0</v>
      </c>
      <c r="L4898" s="112" t="s">
        <v>62</v>
      </c>
      <c r="M4898" s="113">
        <v>18500.0</v>
      </c>
      <c r="N4898" s="74"/>
      <c r="O4898" s="87">
        <f t="shared" si="11"/>
        <v>666000</v>
      </c>
      <c r="P4898" s="102" t="str">
        <f t="shared" si="2"/>
        <v>Rp18,500-36 LSN-0.00%</v>
      </c>
      <c r="Q4898" s="92">
        <v>45433.0</v>
      </c>
      <c r="R4898" s="76"/>
      <c r="S4898" s="92">
        <v>45437.0</v>
      </c>
      <c r="T4898" s="49"/>
      <c r="V4898" s="21" t="s">
        <v>4038</v>
      </c>
    </row>
    <row r="4899">
      <c r="A4899" s="93">
        <v>4226.0</v>
      </c>
      <c r="B4899" s="77" t="s">
        <v>29</v>
      </c>
      <c r="C4899" s="77" t="s">
        <v>4062</v>
      </c>
      <c r="D4899" s="77" t="s">
        <v>3689</v>
      </c>
      <c r="E4899" s="41" t="str">
        <f>IFERROR(__xludf.DUMMYFUNCTION("IFNA(vlookup(D4899,IMPORTRANGE(""https://docs.google.com/spreadsheets/d/1swGwZOEqYlTEUCJLY-eeJM1911Kvaei5oySBIxdgtNo/edit?pli=1#gid=257618397"",""stock untanna!B:C""),2,false),V:V)"),"BP TIZO TG 31975F FANCY")</f>
        <v>BP TIZO TG 31975F FANCY</v>
      </c>
      <c r="F4899" s="49"/>
      <c r="G4899" s="71"/>
      <c r="H4899" s="41"/>
      <c r="I4899" s="42"/>
      <c r="J4899" s="85" t="s">
        <v>1319</v>
      </c>
      <c r="K4899" s="93">
        <v>36.0</v>
      </c>
      <c r="L4899" s="112" t="s">
        <v>62</v>
      </c>
      <c r="M4899" s="113">
        <v>18500.0</v>
      </c>
      <c r="N4899" s="74"/>
      <c r="O4899" s="87">
        <f t="shared" si="11"/>
        <v>666000</v>
      </c>
      <c r="P4899" s="102" t="str">
        <f t="shared" si="2"/>
        <v>Rp18,500-36 LSN-0.00%</v>
      </c>
      <c r="Q4899" s="92">
        <v>45433.0</v>
      </c>
      <c r="R4899" s="76"/>
      <c r="S4899" s="92">
        <v>45437.0</v>
      </c>
      <c r="T4899" s="49"/>
      <c r="V4899" s="21" t="s">
        <v>3690</v>
      </c>
    </row>
    <row r="4900">
      <c r="A4900" s="93">
        <v>4226.0</v>
      </c>
      <c r="B4900" s="77" t="s">
        <v>29</v>
      </c>
      <c r="C4900" s="77" t="s">
        <v>4062</v>
      </c>
      <c r="D4900" s="77" t="s">
        <v>4063</v>
      </c>
      <c r="E4900" s="41" t="str">
        <f>IFERROR(__xludf.DUMMYFUNCTION("IFNA(vlookup(D4900,IMPORTRANGE(""https://docs.google.com/spreadsheets/d/1swGwZOEqYlTEUCJLY-eeJM1911Kvaei5oySBIxdgtNo/edit?pli=1#gid=257618397"",""stock untanna!B:C""),2,false),V:V)"),"BP GEL TIZO 31037F FANCY")</f>
        <v>BP GEL TIZO 31037F FANCY</v>
      </c>
      <c r="F4900" s="49"/>
      <c r="G4900" s="71"/>
      <c r="H4900" s="41"/>
      <c r="I4900" s="42"/>
      <c r="J4900" s="85" t="s">
        <v>1319</v>
      </c>
      <c r="K4900" s="93">
        <v>36.0</v>
      </c>
      <c r="L4900" s="112" t="s">
        <v>62</v>
      </c>
      <c r="M4900" s="113">
        <v>18500.0</v>
      </c>
      <c r="N4900" s="74"/>
      <c r="O4900" s="87">
        <f t="shared" si="11"/>
        <v>666000</v>
      </c>
      <c r="P4900" s="102" t="str">
        <f t="shared" si="2"/>
        <v>Rp18,500-36 LSN-0.00%</v>
      </c>
      <c r="Q4900" s="92">
        <v>45433.0</v>
      </c>
      <c r="R4900" s="76"/>
      <c r="S4900" s="92">
        <v>45437.0</v>
      </c>
      <c r="T4900" s="49"/>
      <c r="V4900" s="21" t="s">
        <v>4064</v>
      </c>
    </row>
    <row r="4901">
      <c r="A4901" s="93">
        <v>4226.0</v>
      </c>
      <c r="B4901" s="77" t="s">
        <v>29</v>
      </c>
      <c r="C4901" s="77" t="s">
        <v>4062</v>
      </c>
      <c r="D4901" s="77" t="s">
        <v>2256</v>
      </c>
      <c r="E4901" s="41" t="str">
        <f>IFERROR(__xludf.DUMMYFUNCTION("IFNA(vlookup(D4901,IMPORTRANGE(""https://docs.google.com/spreadsheets/d/1swGwZOEqYlTEUCJLY-eeJM1911Kvaei5oySBIxdgtNo/edit?pli=1#gid=257618397"",""stock untanna!B:C""),2,false),V:V)"),"BP GEL TIZO 30900F FANCY")</f>
        <v>BP GEL TIZO 30900F FANCY</v>
      </c>
      <c r="F4901" s="49"/>
      <c r="G4901" s="71"/>
      <c r="H4901" s="41"/>
      <c r="I4901" s="42"/>
      <c r="J4901" s="85" t="s">
        <v>1319</v>
      </c>
      <c r="K4901" s="93">
        <v>36.0</v>
      </c>
      <c r="L4901" s="112" t="s">
        <v>62</v>
      </c>
      <c r="M4901" s="113">
        <v>18500.0</v>
      </c>
      <c r="N4901" s="74"/>
      <c r="O4901" s="87">
        <f t="shared" si="11"/>
        <v>666000</v>
      </c>
      <c r="P4901" s="102" t="str">
        <f t="shared" si="2"/>
        <v>Rp18,500-36 LSN-0.00%</v>
      </c>
      <c r="Q4901" s="92">
        <v>45433.0</v>
      </c>
      <c r="R4901" s="76"/>
      <c r="S4901" s="92">
        <v>45437.0</v>
      </c>
      <c r="T4901" s="49"/>
      <c r="V4901" s="21" t="s">
        <v>2257</v>
      </c>
    </row>
    <row r="4902">
      <c r="A4902" s="93">
        <v>4226.0</v>
      </c>
      <c r="B4902" s="77" t="s">
        <v>29</v>
      </c>
      <c r="C4902" s="77" t="s">
        <v>4062</v>
      </c>
      <c r="D4902" s="77" t="s">
        <v>633</v>
      </c>
      <c r="E4902" s="41" t="str">
        <f>IFERROR(__xludf.DUMMYFUNCTION("IFNA(vlookup(D4902,IMPORTRANGE(""https://docs.google.com/spreadsheets/d/1swGwZOEqYlTEUCJLY-eeJM1911Kvaei5oySBIxdgtNo/edit?pli=1#gid=257618397"",""stock untanna!B:C""),2,false),V:V)"),"BP GEL TIZO 30734F FANCY")</f>
        <v>BP GEL TIZO 30734F FANCY</v>
      </c>
      <c r="F4902" s="49"/>
      <c r="G4902" s="71"/>
      <c r="H4902" s="41"/>
      <c r="I4902" s="42"/>
      <c r="J4902" s="85" t="s">
        <v>1319</v>
      </c>
      <c r="K4902" s="93">
        <v>36.0</v>
      </c>
      <c r="L4902" s="112" t="s">
        <v>62</v>
      </c>
      <c r="M4902" s="113">
        <v>18500.0</v>
      </c>
      <c r="N4902" s="74"/>
      <c r="O4902" s="87">
        <f t="shared" si="11"/>
        <v>666000</v>
      </c>
      <c r="P4902" s="102" t="str">
        <f t="shared" si="2"/>
        <v>Rp18,500-36 LSN-0.00%</v>
      </c>
      <c r="Q4902" s="92">
        <v>45433.0</v>
      </c>
      <c r="R4902" s="76"/>
      <c r="S4902" s="92">
        <v>45437.0</v>
      </c>
      <c r="T4902" s="49"/>
      <c r="V4902" s="21" t="s">
        <v>634</v>
      </c>
    </row>
    <row r="4903">
      <c r="A4903" s="93">
        <v>4226.0</v>
      </c>
      <c r="B4903" s="77" t="s">
        <v>29</v>
      </c>
      <c r="C4903" s="77" t="s">
        <v>4062</v>
      </c>
      <c r="D4903" s="77" t="s">
        <v>3674</v>
      </c>
      <c r="E4903" s="41" t="str">
        <f>IFERROR(__xludf.DUMMYFUNCTION("IFNA(vlookup(D4903,IMPORTRANGE(""https://docs.google.com/spreadsheets/d/1swGwZOEqYlTEUCJLY-eeJM1911Kvaei5oySBIxdgtNo/edit?pli=1#gid=257618397"",""stock untanna!B:C""),2,false),V:V)"),"BP GEL ZHIXIN G 3156")</f>
        <v>BP GEL ZHIXIN G 3156</v>
      </c>
      <c r="F4903" s="49"/>
      <c r="G4903" s="71"/>
      <c r="H4903" s="41"/>
      <c r="I4903" s="42"/>
      <c r="J4903" s="85" t="s">
        <v>1319</v>
      </c>
      <c r="K4903" s="93">
        <v>10.0</v>
      </c>
      <c r="L4903" s="112" t="s">
        <v>62</v>
      </c>
      <c r="M4903" s="113">
        <v>18500.0</v>
      </c>
      <c r="N4903" s="74"/>
      <c r="O4903" s="87">
        <f t="shared" si="11"/>
        <v>185000</v>
      </c>
      <c r="P4903" s="102" t="str">
        <f t="shared" si="2"/>
        <v>Rp18,500-10 LSN-0.00%</v>
      </c>
      <c r="Q4903" s="92">
        <v>45433.0</v>
      </c>
      <c r="R4903" s="76"/>
      <c r="S4903" s="92">
        <v>45437.0</v>
      </c>
      <c r="T4903" s="49"/>
      <c r="V4903" s="21" t="s">
        <v>3675</v>
      </c>
    </row>
    <row r="4904">
      <c r="A4904" s="93">
        <v>4226.0</v>
      </c>
      <c r="B4904" s="77" t="s">
        <v>29</v>
      </c>
      <c r="C4904" s="77" t="s">
        <v>4062</v>
      </c>
      <c r="D4904" s="77" t="s">
        <v>635</v>
      </c>
      <c r="E4904" s="41" t="str">
        <f>IFERROR(__xludf.DUMMYFUNCTION("IFNA(vlookup(D4904,IMPORTRANGE(""https://docs.google.com/spreadsheets/d/1swGwZOEqYlTEUCJLY-eeJM1911Kvaei5oySBIxdgtNo/edit?pli=1#gid=257618397"",""stock untanna!B:C""),2,false),V:V)"),"BP GEL TIZO 31763F FANCY")</f>
        <v>BP GEL TIZO 31763F FANCY</v>
      </c>
      <c r="F4904" s="49"/>
      <c r="G4904" s="71"/>
      <c r="H4904" s="41"/>
      <c r="I4904" s="42"/>
      <c r="J4904" s="85" t="s">
        <v>1319</v>
      </c>
      <c r="K4904" s="93">
        <v>36.0</v>
      </c>
      <c r="L4904" s="112" t="s">
        <v>62</v>
      </c>
      <c r="M4904" s="113">
        <v>18500.0</v>
      </c>
      <c r="N4904" s="74"/>
      <c r="O4904" s="87">
        <f t="shared" si="11"/>
        <v>666000</v>
      </c>
      <c r="P4904" s="102" t="str">
        <f t="shared" si="2"/>
        <v>Rp18,500-36 LSN-0.00%</v>
      </c>
      <c r="Q4904" s="92">
        <v>45433.0</v>
      </c>
      <c r="R4904" s="76"/>
      <c r="S4904" s="92">
        <v>45437.0</v>
      </c>
      <c r="T4904" s="49"/>
      <c r="V4904" s="21" t="s">
        <v>636</v>
      </c>
    </row>
    <row r="4905">
      <c r="A4905" s="93">
        <v>4226.0</v>
      </c>
      <c r="B4905" s="77" t="s">
        <v>29</v>
      </c>
      <c r="C4905" s="77" t="s">
        <v>4062</v>
      </c>
      <c r="D4905" s="77" t="s">
        <v>639</v>
      </c>
      <c r="E4905" s="41" t="str">
        <f>IFERROR(__xludf.DUMMYFUNCTION("IFNA(vlookup(D4905,IMPORTRANGE(""https://docs.google.com/spreadsheets/d/1swGwZOEqYlTEUCJLY-eeJM1911Kvaei5oySBIxdgtNo/edit?pli=1#gid=257618397"",""stock untanna!B:C""),2,false),V:V)"),"BP GEL TIZO 31035F FANCY")</f>
        <v>BP GEL TIZO 31035F FANCY</v>
      </c>
      <c r="F4905" s="49"/>
      <c r="G4905" s="71"/>
      <c r="H4905" s="41"/>
      <c r="I4905" s="42"/>
      <c r="J4905" s="85" t="s">
        <v>1319</v>
      </c>
      <c r="K4905" s="93">
        <v>36.0</v>
      </c>
      <c r="L4905" s="112" t="s">
        <v>62</v>
      </c>
      <c r="M4905" s="113">
        <v>18500.0</v>
      </c>
      <c r="N4905" s="74"/>
      <c r="O4905" s="87">
        <f t="shared" si="11"/>
        <v>666000</v>
      </c>
      <c r="P4905" s="102" t="str">
        <f t="shared" si="2"/>
        <v>Rp18,500-36 LSN-0.00%</v>
      </c>
      <c r="Q4905" s="92">
        <v>45433.0</v>
      </c>
      <c r="R4905" s="76"/>
      <c r="S4905" s="92">
        <v>45437.0</v>
      </c>
      <c r="T4905" s="49"/>
      <c r="V4905" s="21" t="s">
        <v>640</v>
      </c>
    </row>
    <row r="4906">
      <c r="A4906" s="93">
        <v>4226.0</v>
      </c>
      <c r="B4906" s="77" t="s">
        <v>29</v>
      </c>
      <c r="C4906" s="77" t="s">
        <v>4062</v>
      </c>
      <c r="D4906" s="77" t="s">
        <v>2253</v>
      </c>
      <c r="E4906" s="41" t="str">
        <f>IFERROR(__xludf.DUMMYFUNCTION("IFNA(vlookup(D4906,IMPORTRANGE(""https://docs.google.com/spreadsheets/d/1swGwZOEqYlTEUCJLY-eeJM1911Kvaei5oySBIxdgtNo/edit?pli=1#gid=257618397"",""stock untanna!B:C""),2,false),V:V)"),"BP TIZO TG 31475F FANCY")</f>
        <v>BP TIZO TG 31475F FANCY</v>
      </c>
      <c r="F4906" s="49"/>
      <c r="G4906" s="71"/>
      <c r="H4906" s="41"/>
      <c r="I4906" s="42"/>
      <c r="J4906" s="85" t="s">
        <v>1319</v>
      </c>
      <c r="K4906" s="93">
        <v>36.0</v>
      </c>
      <c r="L4906" s="112" t="s">
        <v>62</v>
      </c>
      <c r="M4906" s="113">
        <v>18500.0</v>
      </c>
      <c r="N4906" s="74"/>
      <c r="O4906" s="87">
        <f t="shared" si="11"/>
        <v>666000</v>
      </c>
      <c r="P4906" s="102" t="str">
        <f t="shared" si="2"/>
        <v>Rp18,500-36 LSN-0.00%</v>
      </c>
      <c r="Q4906" s="92">
        <v>45433.0</v>
      </c>
      <c r="R4906" s="76"/>
      <c r="S4906" s="92">
        <v>45437.0</v>
      </c>
      <c r="T4906" s="49"/>
      <c r="V4906" s="21" t="s">
        <v>2254</v>
      </c>
    </row>
    <row r="4907">
      <c r="A4907" s="93">
        <v>4226.0</v>
      </c>
      <c r="B4907" s="77" t="s">
        <v>29</v>
      </c>
      <c r="C4907" s="77" t="s">
        <v>4062</v>
      </c>
      <c r="D4907" s="77" t="s">
        <v>4065</v>
      </c>
      <c r="E4907" s="41" t="str">
        <f>IFERROR(__xludf.DUMMYFUNCTION("IFNA(vlookup(D4907,IMPORTRANGE(""https://docs.google.com/spreadsheets/d/1swGwZOEqYlTEUCJLY-eeJM1911Kvaei5oySBIxdgtNo/edit?pli=1#gid=257618397"",""stock untanna!B:C""),2,false),V:V)"),"BP GEL TIZO TG 31780F")</f>
        <v>BP GEL TIZO TG 31780F</v>
      </c>
      <c r="F4907" s="49"/>
      <c r="G4907" s="71"/>
      <c r="H4907" s="41"/>
      <c r="I4907" s="42"/>
      <c r="J4907" s="85" t="s">
        <v>1319</v>
      </c>
      <c r="K4907" s="93">
        <v>36.0</v>
      </c>
      <c r="L4907" s="112" t="s">
        <v>62</v>
      </c>
      <c r="M4907" s="113">
        <v>18500.0</v>
      </c>
      <c r="N4907" s="74"/>
      <c r="O4907" s="87">
        <f t="shared" si="11"/>
        <v>666000</v>
      </c>
      <c r="P4907" s="102" t="str">
        <f t="shared" si="2"/>
        <v>Rp18,500-36 LSN-0.00%</v>
      </c>
      <c r="Q4907" s="92">
        <v>45433.0</v>
      </c>
      <c r="R4907" s="76"/>
      <c r="S4907" s="92">
        <v>45437.0</v>
      </c>
      <c r="T4907" s="49"/>
      <c r="V4907" s="21" t="s">
        <v>4066</v>
      </c>
    </row>
    <row r="4908">
      <c r="A4908" s="93">
        <v>4226.0</v>
      </c>
      <c r="B4908" s="77" t="s">
        <v>29</v>
      </c>
      <c r="C4908" s="77" t="s">
        <v>4062</v>
      </c>
      <c r="D4908" s="77" t="s">
        <v>641</v>
      </c>
      <c r="E4908" s="41" t="str">
        <f>IFERROR(__xludf.DUMMYFUNCTION("IFNA(vlookup(D4908,IMPORTRANGE(""https://docs.google.com/spreadsheets/d/1swGwZOEqYlTEUCJLY-eeJM1911Kvaei5oySBIxdgtNo/edit?pli=1#gid=257618397"",""stock untanna!B:C""),2,false),V:V)"),"BP GEL TIZO TG 348F FANCY")</f>
        <v>BP GEL TIZO TG 348F FANCY</v>
      </c>
      <c r="F4908" s="49"/>
      <c r="G4908" s="71"/>
      <c r="H4908" s="41"/>
      <c r="I4908" s="42"/>
      <c r="J4908" s="85" t="s">
        <v>1319</v>
      </c>
      <c r="K4908" s="93">
        <v>36.0</v>
      </c>
      <c r="L4908" s="112" t="s">
        <v>62</v>
      </c>
      <c r="M4908" s="113">
        <v>18500.0</v>
      </c>
      <c r="N4908" s="74"/>
      <c r="O4908" s="87">
        <f t="shared" si="11"/>
        <v>666000</v>
      </c>
      <c r="P4908" s="102" t="str">
        <f t="shared" si="2"/>
        <v>Rp18,500-36 LSN-0.00%</v>
      </c>
      <c r="Q4908" s="92">
        <v>45433.0</v>
      </c>
      <c r="R4908" s="76"/>
      <c r="S4908" s="92">
        <v>45437.0</v>
      </c>
      <c r="T4908" s="49"/>
      <c r="V4908" s="21" t="s">
        <v>2255</v>
      </c>
    </row>
    <row r="4909">
      <c r="A4909" s="93">
        <v>4226.0</v>
      </c>
      <c r="B4909" s="77" t="s">
        <v>29</v>
      </c>
      <c r="C4909" s="77" t="s">
        <v>4062</v>
      </c>
      <c r="D4909" s="77" t="s">
        <v>629</v>
      </c>
      <c r="E4909" s="41" t="str">
        <f>IFERROR(__xludf.DUMMYFUNCTION("IFNA(vlookup(D4909,IMPORTRANGE(""https://docs.google.com/spreadsheets/d/1swGwZOEqYlTEUCJLY-eeJM1911Kvaei5oySBIxdgtNo/edit?pli=1#gid=257618397"",""stock untanna!B:C""),2,false),V:V)"),"BP GEL TIZO 30801F S3 FANCY")</f>
        <v>BP GEL TIZO 30801F S3 FANCY</v>
      </c>
      <c r="F4909" s="49"/>
      <c r="G4909" s="71"/>
      <c r="H4909" s="41"/>
      <c r="I4909" s="42"/>
      <c r="J4909" s="85" t="s">
        <v>1319</v>
      </c>
      <c r="K4909" s="93">
        <v>36.0</v>
      </c>
      <c r="L4909" s="112" t="s">
        <v>62</v>
      </c>
      <c r="M4909" s="113">
        <v>18500.0</v>
      </c>
      <c r="N4909" s="74"/>
      <c r="O4909" s="87">
        <f t="shared" si="11"/>
        <v>666000</v>
      </c>
      <c r="P4909" s="102" t="str">
        <f t="shared" si="2"/>
        <v>Rp18,500-36 LSN-0.00%</v>
      </c>
      <c r="Q4909" s="92">
        <v>45433.0</v>
      </c>
      <c r="R4909" s="76"/>
      <c r="S4909" s="92">
        <v>45437.0</v>
      </c>
      <c r="T4909" s="49"/>
      <c r="V4909" s="21" t="s">
        <v>630</v>
      </c>
    </row>
    <row r="4910">
      <c r="A4910" s="93">
        <v>4226.0</v>
      </c>
      <c r="B4910" s="77" t="s">
        <v>29</v>
      </c>
      <c r="C4910" s="77" t="s">
        <v>4062</v>
      </c>
      <c r="D4910" s="77" t="s">
        <v>631</v>
      </c>
      <c r="E4910" s="41" t="str">
        <f>IFERROR(__xludf.DUMMYFUNCTION("IFNA(vlookup(D4910,IMPORTRANGE(""https://docs.google.com/spreadsheets/d/1swGwZOEqYlTEUCJLY-eeJM1911Kvaei5oySBIxdgtNo/edit?pli=1#gid=257618397"",""stock untanna!B:C""),2,false),V:V)"),"BP TIZO 31810F FANCY")</f>
        <v>BP TIZO 31810F FANCY</v>
      </c>
      <c r="F4910" s="49"/>
      <c r="G4910" s="71"/>
      <c r="H4910" s="41"/>
      <c r="I4910" s="42"/>
      <c r="J4910" s="85" t="s">
        <v>1319</v>
      </c>
      <c r="K4910" s="93">
        <v>36.0</v>
      </c>
      <c r="L4910" s="112" t="s">
        <v>62</v>
      </c>
      <c r="M4910" s="113">
        <v>18500.0</v>
      </c>
      <c r="N4910" s="74"/>
      <c r="O4910" s="87">
        <f t="shared" si="11"/>
        <v>666000</v>
      </c>
      <c r="P4910" s="102" t="str">
        <f t="shared" si="2"/>
        <v>Rp18,500-36 LSN-0.00%</v>
      </c>
      <c r="Q4910" s="92">
        <v>45433.0</v>
      </c>
      <c r="R4910" s="76"/>
      <c r="S4910" s="92">
        <v>45437.0</v>
      </c>
      <c r="T4910" s="49"/>
      <c r="V4910" s="21" t="s">
        <v>632</v>
      </c>
    </row>
    <row r="4911">
      <c r="A4911" s="93">
        <v>4226.0</v>
      </c>
      <c r="B4911" s="77" t="s">
        <v>29</v>
      </c>
      <c r="C4911" s="77" t="s">
        <v>4062</v>
      </c>
      <c r="D4911" s="77" t="s">
        <v>698</v>
      </c>
      <c r="E4911" s="41" t="str">
        <f>IFERROR(__xludf.DUMMYFUNCTION("IFNA(vlookup(D4911,IMPORTRANGE(""https://docs.google.com/spreadsheets/d/1swGwZOEqYlTEUCJLY-eeJM1911Kvaei5oySBIxdgtNo/edit?pli=1#gid=257618397"",""stock untanna!B:C""),2,false),V:V)"),"BP GEL TIZO 1.0 TG630-A")</f>
        <v>BP GEL TIZO 1.0 TG630-A</v>
      </c>
      <c r="F4911" s="49"/>
      <c r="G4911" s="71"/>
      <c r="H4911" s="41"/>
      <c r="I4911" s="42"/>
      <c r="J4911" s="85" t="s">
        <v>1319</v>
      </c>
      <c r="K4911" s="93">
        <v>36.0</v>
      </c>
      <c r="L4911" s="112" t="s">
        <v>62</v>
      </c>
      <c r="M4911" s="113">
        <v>50000.0</v>
      </c>
      <c r="N4911" s="74"/>
      <c r="O4911" s="87">
        <f t="shared" si="11"/>
        <v>1800000</v>
      </c>
      <c r="P4911" s="102" t="str">
        <f t="shared" si="2"/>
        <v>Rp50,000-36 LSN-0.00%</v>
      </c>
      <c r="Q4911" s="92">
        <v>45433.0</v>
      </c>
      <c r="R4911" s="76"/>
      <c r="S4911" s="92">
        <v>45437.0</v>
      </c>
      <c r="T4911" s="49"/>
      <c r="V4911" s="21" t="s">
        <v>699</v>
      </c>
    </row>
    <row r="4912">
      <c r="A4912" s="93">
        <v>4226.0</v>
      </c>
      <c r="B4912" s="77" t="s">
        <v>29</v>
      </c>
      <c r="C4912" s="77" t="s">
        <v>4062</v>
      </c>
      <c r="D4912" s="77" t="s">
        <v>306</v>
      </c>
      <c r="E4912" s="41" t="str">
        <f>IFERROR(__xludf.DUMMYFUNCTION("IFNA(vlookup(D4912,IMPORTRANGE(""https://docs.google.com/spreadsheets/d/1swGwZOEqYlTEUCJLY-eeJM1911Kvaei5oySBIxdgtNo/edit?pli=1#gid=257618397"",""stock untanna!B:C""),2,false),V:V)"),"BP TF-2037 6W")</f>
        <v>BP TF-2037 6W</v>
      </c>
      <c r="F4912" s="49"/>
      <c r="G4912" s="71"/>
      <c r="H4912" s="41"/>
      <c r="I4912" s="42"/>
      <c r="J4912" s="85" t="s">
        <v>1319</v>
      </c>
      <c r="K4912" s="93">
        <v>12.0</v>
      </c>
      <c r="L4912" s="112" t="s">
        <v>62</v>
      </c>
      <c r="M4912" s="113">
        <v>50000.0</v>
      </c>
      <c r="N4912" s="74"/>
      <c r="O4912" s="87">
        <f t="shared" si="11"/>
        <v>600000</v>
      </c>
      <c r="P4912" s="102" t="str">
        <f t="shared" si="2"/>
        <v>Rp50,000-12 LSN-0.00%</v>
      </c>
      <c r="Q4912" s="92">
        <v>45433.0</v>
      </c>
      <c r="R4912" s="76"/>
      <c r="S4912" s="92">
        <v>45437.0</v>
      </c>
      <c r="T4912" s="49"/>
      <c r="V4912" s="21" t="s">
        <v>307</v>
      </c>
    </row>
    <row r="4913">
      <c r="A4913" s="93">
        <v>4226.0</v>
      </c>
      <c r="B4913" s="77" t="s">
        <v>29</v>
      </c>
      <c r="C4913" s="77" t="s">
        <v>4062</v>
      </c>
      <c r="D4913" s="77" t="s">
        <v>3674</v>
      </c>
      <c r="E4913" s="41" t="str">
        <f>IFERROR(__xludf.DUMMYFUNCTION("IFNA(vlookup(D4913,IMPORTRANGE(""https://docs.google.com/spreadsheets/d/1swGwZOEqYlTEUCJLY-eeJM1911Kvaei5oySBIxdgtNo/edit?pli=1#gid=257618397"",""stock untanna!B:C""),2,false),V:V)"),"BP GEL ZHIXIN G 3156")</f>
        <v>BP GEL ZHIXIN G 3156</v>
      </c>
      <c r="F4913" s="49"/>
      <c r="G4913" s="71"/>
      <c r="H4913" s="41"/>
      <c r="I4913" s="42"/>
      <c r="J4913" s="85" t="s">
        <v>1319</v>
      </c>
      <c r="K4913" s="93">
        <v>36.0</v>
      </c>
      <c r="L4913" s="112" t="s">
        <v>62</v>
      </c>
      <c r="M4913" s="113">
        <v>18500.0</v>
      </c>
      <c r="N4913" s="74"/>
      <c r="O4913" s="87">
        <f t="shared" si="11"/>
        <v>666000</v>
      </c>
      <c r="P4913" s="102" t="str">
        <f t="shared" si="2"/>
        <v>Rp18,500-36 LSN-0.00%</v>
      </c>
      <c r="Q4913" s="92">
        <v>45433.0</v>
      </c>
      <c r="R4913" s="76"/>
      <c r="S4913" s="92">
        <v>45437.0</v>
      </c>
      <c r="T4913" s="49"/>
      <c r="V4913" s="21" t="s">
        <v>3675</v>
      </c>
    </row>
    <row r="4914">
      <c r="A4914" s="93">
        <v>4227.0</v>
      </c>
      <c r="B4914" s="77" t="s">
        <v>29</v>
      </c>
      <c r="C4914" s="77" t="s">
        <v>4062</v>
      </c>
      <c r="D4914" s="91"/>
      <c r="E4914" s="41" t="str">
        <f>IFERROR(__xludf.DUMMYFUNCTION("IFNA(vlookup(D4914,IMPORTRANGE(""https://docs.google.com/spreadsheets/d/1swGwZOEqYlTEUCJLY-eeJM1911Kvaei5oySBIxdgtNo/edit?pli=1#gid=257618397"",""stock untanna!B:C""),2,false),V:V)"),"SELONGSONG PENTEL ENTER")</f>
        <v>SELONGSONG PENTEL ENTER</v>
      </c>
      <c r="F4914" s="49"/>
      <c r="G4914" s="71"/>
      <c r="H4914" s="41"/>
      <c r="I4914" s="42"/>
      <c r="J4914" s="85" t="s">
        <v>1319</v>
      </c>
      <c r="K4914" s="93">
        <v>6.0</v>
      </c>
      <c r="L4914" s="112" t="s">
        <v>62</v>
      </c>
      <c r="M4914" s="113">
        <v>130000.0</v>
      </c>
      <c r="N4914" s="74"/>
      <c r="O4914" s="87">
        <f t="shared" si="11"/>
        <v>780000</v>
      </c>
      <c r="P4914" s="102" t="str">
        <f t="shared" si="2"/>
        <v>Rp130,000-6 LSN-0.00%</v>
      </c>
      <c r="Q4914" s="92">
        <v>45433.0</v>
      </c>
      <c r="R4914" s="76"/>
      <c r="S4914" s="92">
        <v>45437.0</v>
      </c>
      <c r="T4914" s="77" t="s">
        <v>280</v>
      </c>
      <c r="V4914" s="21" t="s">
        <v>2583</v>
      </c>
    </row>
    <row r="4915">
      <c r="A4915" s="93">
        <v>4227.0</v>
      </c>
      <c r="B4915" s="77" t="s">
        <v>29</v>
      </c>
      <c r="C4915" s="77" t="s">
        <v>4062</v>
      </c>
      <c r="D4915" s="77" t="s">
        <v>1692</v>
      </c>
      <c r="E4915" s="41" t="str">
        <f>IFERROR(__xludf.DUMMYFUNCTION("IFNA(vlookup(D4915,IMPORTRANGE(""https://docs.google.com/spreadsheets/d/1swGwZOEqYlTEUCJLY-eeJM1911Kvaei5oySBIxdgtNo/edit?pli=1#gid=257618397"",""stock untanna!B:C""),2,false),V:V)"),"BP GEL TIZO 1.0 TG31580")</f>
        <v>BP GEL TIZO 1.0 TG31580</v>
      </c>
      <c r="F4915" s="49"/>
      <c r="G4915" s="71"/>
      <c r="H4915" s="41"/>
      <c r="I4915" s="42"/>
      <c r="J4915" s="85" t="s">
        <v>1319</v>
      </c>
      <c r="K4915" s="93">
        <v>36.0</v>
      </c>
      <c r="L4915" s="112" t="s">
        <v>62</v>
      </c>
      <c r="M4915" s="113">
        <v>50000.0</v>
      </c>
      <c r="N4915" s="74"/>
      <c r="O4915" s="87">
        <f t="shared" si="11"/>
        <v>1800000</v>
      </c>
      <c r="P4915" s="102" t="str">
        <f t="shared" si="2"/>
        <v>Rp50,000-36 LSN-0.00%</v>
      </c>
      <c r="Q4915" s="92">
        <v>45433.0</v>
      </c>
      <c r="R4915" s="76"/>
      <c r="S4915" s="92">
        <v>45437.0</v>
      </c>
      <c r="T4915" s="49"/>
      <c r="V4915" s="21" t="s">
        <v>1693</v>
      </c>
    </row>
    <row r="4916">
      <c r="A4916" s="93">
        <v>4227.0</v>
      </c>
      <c r="B4916" s="77" t="s">
        <v>29</v>
      </c>
      <c r="C4916" s="77" t="s">
        <v>4062</v>
      </c>
      <c r="D4916" s="77" t="s">
        <v>764</v>
      </c>
      <c r="E4916" s="41" t="str">
        <f>IFERROR(__xludf.DUMMYFUNCTION("IFNA(vlookup(D4916,IMPORTRANGE(""https://docs.google.com/spreadsheets/d/1swGwZOEqYlTEUCJLY-eeJM1911Kvaei5oySBIxdgtNo/edit?pli=1#gid=257618397"",""stock untanna!B:C""),2,false),V:V)"),"GARISAN BUSUR ENTER 3.5 MIKA")</f>
        <v>GARISAN BUSUR ENTER 3.5 MIKA</v>
      </c>
      <c r="F4916" s="49"/>
      <c r="G4916" s="71"/>
      <c r="H4916" s="41"/>
      <c r="I4916" s="42"/>
      <c r="J4916" s="85" t="s">
        <v>1319</v>
      </c>
      <c r="K4916" s="93">
        <v>100.0</v>
      </c>
      <c r="L4916" s="112" t="s">
        <v>62</v>
      </c>
      <c r="M4916" s="113">
        <v>6000.0</v>
      </c>
      <c r="N4916" s="74"/>
      <c r="O4916" s="87">
        <f t="shared" si="11"/>
        <v>600000</v>
      </c>
      <c r="P4916" s="102" t="str">
        <f t="shared" si="2"/>
        <v>Rp6,000-100 LSN-0.00%</v>
      </c>
      <c r="Q4916" s="92">
        <v>45433.0</v>
      </c>
      <c r="R4916" s="76"/>
      <c r="S4916" s="92">
        <v>45437.0</v>
      </c>
      <c r="T4916" s="49"/>
      <c r="V4916" s="21" t="s">
        <v>765</v>
      </c>
    </row>
    <row r="4917">
      <c r="A4917" s="93">
        <v>4227.0</v>
      </c>
      <c r="B4917" s="77" t="s">
        <v>29</v>
      </c>
      <c r="C4917" s="77" t="s">
        <v>4062</v>
      </c>
      <c r="D4917" s="91"/>
      <c r="E4917" s="41" t="str">
        <f>IFERROR(__xludf.DUMMYFUNCTION("IFNA(vlookup(D4917,IMPORTRANGE(""https://docs.google.com/spreadsheets/d/1swGwZOEqYlTEUCJLY-eeJM1911Kvaei5oySBIxdgtNo/edit?pli=1#gid=257618397"",""stock untanna!B:C""),2,false),V:V)"),"PUZZLE S 6663")</f>
        <v>PUZZLE S 6663</v>
      </c>
      <c r="F4917" s="49"/>
      <c r="G4917" s="71"/>
      <c r="H4917" s="41"/>
      <c r="I4917" s="42"/>
      <c r="J4917" s="85" t="s">
        <v>1319</v>
      </c>
      <c r="K4917" s="93">
        <v>10.0</v>
      </c>
      <c r="L4917" s="112" t="s">
        <v>62</v>
      </c>
      <c r="M4917" s="113">
        <v>75000.0</v>
      </c>
      <c r="N4917" s="74"/>
      <c r="O4917" s="87">
        <f t="shared" si="11"/>
        <v>750000</v>
      </c>
      <c r="P4917" s="102" t="str">
        <f t="shared" si="2"/>
        <v>Rp75,000-10 LSN-0.00%</v>
      </c>
      <c r="Q4917" s="92">
        <v>45433.0</v>
      </c>
      <c r="R4917" s="76"/>
      <c r="S4917" s="92">
        <v>45437.0</v>
      </c>
      <c r="T4917" s="77" t="s">
        <v>280</v>
      </c>
      <c r="V4917" s="21" t="s">
        <v>4067</v>
      </c>
    </row>
    <row r="4918">
      <c r="A4918" s="93">
        <v>4227.0</v>
      </c>
      <c r="B4918" s="77" t="s">
        <v>29</v>
      </c>
      <c r="C4918" s="77" t="s">
        <v>4062</v>
      </c>
      <c r="D4918" s="91"/>
      <c r="E4918" s="41" t="str">
        <f>IFERROR(__xludf.DUMMYFUNCTION("IFNA(vlookup(D4918,IMPORTRANGE(""https://docs.google.com/spreadsheets/d/1swGwZOEqYlTEUCJLY-eeJM1911Kvaei5oySBIxdgtNo/edit?pli=1#gid=257618397"",""stock untanna!B:C""),2,false),V:V)"),"PUZZLE M 6662")</f>
        <v>PUZZLE M 6662</v>
      </c>
      <c r="F4918" s="49"/>
      <c r="G4918" s="71"/>
      <c r="H4918" s="41"/>
      <c r="I4918" s="42"/>
      <c r="J4918" s="85" t="s">
        <v>1319</v>
      </c>
      <c r="K4918" s="93">
        <v>10.0</v>
      </c>
      <c r="L4918" s="112" t="s">
        <v>62</v>
      </c>
      <c r="M4918" s="113">
        <v>135000.0</v>
      </c>
      <c r="N4918" s="74"/>
      <c r="O4918" s="87">
        <f t="shared" si="11"/>
        <v>1350000</v>
      </c>
      <c r="P4918" s="102" t="str">
        <f t="shared" si="2"/>
        <v>Rp135,000-10 LSN-0.00%</v>
      </c>
      <c r="Q4918" s="92">
        <v>45433.0</v>
      </c>
      <c r="R4918" s="76"/>
      <c r="S4918" s="92">
        <v>45437.0</v>
      </c>
      <c r="T4918" s="77" t="s">
        <v>280</v>
      </c>
      <c r="V4918" s="21" t="s">
        <v>4068</v>
      </c>
    </row>
    <row r="4919">
      <c r="A4919" s="93">
        <v>4227.0</v>
      </c>
      <c r="B4919" s="77" t="s">
        <v>29</v>
      </c>
      <c r="C4919" s="77" t="s">
        <v>4062</v>
      </c>
      <c r="D4919" s="91"/>
      <c r="E4919" s="41" t="str">
        <f>IFERROR(__xludf.DUMMYFUNCTION("IFNA(vlookup(D4919,IMPORTRANGE(""https://docs.google.com/spreadsheets/d/1swGwZOEqYlTEUCJLY-eeJM1911Kvaei5oySBIxdgtNo/edit?pli=1#gid=257618397"",""stock untanna!B:C""),2,false),V:V)"),"PUZZZLE B 6661")</f>
        <v>PUZZZLE B 6661</v>
      </c>
      <c r="F4919" s="49"/>
      <c r="G4919" s="71"/>
      <c r="H4919" s="41"/>
      <c r="I4919" s="42"/>
      <c r="J4919" s="85" t="s">
        <v>3190</v>
      </c>
      <c r="K4919" s="93">
        <v>10.0</v>
      </c>
      <c r="L4919" s="112" t="s">
        <v>62</v>
      </c>
      <c r="M4919" s="113">
        <v>160000.0</v>
      </c>
      <c r="N4919" s="74"/>
      <c r="O4919" s="87">
        <f t="shared" si="11"/>
        <v>1600000</v>
      </c>
      <c r="P4919" s="102" t="str">
        <f t="shared" si="2"/>
        <v>Rp160,000-10 LSN-0.00%</v>
      </c>
      <c r="Q4919" s="92">
        <v>45433.0</v>
      </c>
      <c r="R4919" s="76"/>
      <c r="S4919" s="92">
        <v>45437.0</v>
      </c>
      <c r="T4919" s="49"/>
      <c r="V4919" s="21" t="s">
        <v>4069</v>
      </c>
    </row>
    <row r="4920">
      <c r="A4920" s="93">
        <v>4227.0</v>
      </c>
      <c r="B4920" s="77" t="s">
        <v>29</v>
      </c>
      <c r="C4920" s="77" t="s">
        <v>4062</v>
      </c>
      <c r="D4920" s="77" t="s">
        <v>816</v>
      </c>
      <c r="E4920" s="41" t="str">
        <f>IFERROR(__xludf.DUMMYFUNCTION("IFNA(vlookup(D4920,IMPORTRANGE(""https://docs.google.com/spreadsheets/d/1swGwZOEqYlTEUCJLY-eeJM1911Kvaei5oySBIxdgtNo/edit?pli=1#gid=257618397"",""stock untanna!B:C""),2,false),V:V)"),"SELANG PIANIKA SP 12 (1) 246")</f>
        <v>SELANG PIANIKA SP 12 (1) 246</v>
      </c>
      <c r="F4920" s="49"/>
      <c r="G4920" s="71"/>
      <c r="H4920" s="41"/>
      <c r="I4920" s="42"/>
      <c r="J4920" s="85" t="s">
        <v>1319</v>
      </c>
      <c r="K4920" s="93">
        <v>24.0</v>
      </c>
      <c r="L4920" s="112" t="s">
        <v>69</v>
      </c>
      <c r="M4920" s="113">
        <v>15000.0</v>
      </c>
      <c r="N4920" s="74"/>
      <c r="O4920" s="87">
        <f t="shared" si="11"/>
        <v>360000</v>
      </c>
      <c r="P4920" s="102" t="str">
        <f t="shared" si="2"/>
        <v>Rp15,000-24 PCS-0.00%</v>
      </c>
      <c r="Q4920" s="92">
        <v>45433.0</v>
      </c>
      <c r="R4920" s="76"/>
      <c r="S4920" s="92">
        <v>45437.0</v>
      </c>
      <c r="T4920" s="49"/>
      <c r="V4920" s="21" t="s">
        <v>817</v>
      </c>
    </row>
    <row r="4921">
      <c r="A4921" s="93">
        <v>4227.0</v>
      </c>
      <c r="B4921" s="77" t="s">
        <v>29</v>
      </c>
      <c r="C4921" s="77" t="s">
        <v>4062</v>
      </c>
      <c r="D4921" s="77" t="s">
        <v>4070</v>
      </c>
      <c r="E4921" s="41" t="str">
        <f>IFERROR(__xludf.DUMMYFUNCTION("IFNA(vlookup(D4921,IMPORTRANGE(""https://docs.google.com/spreadsheets/d/1swGwZOEqYlTEUCJLY-eeJM1911Kvaei5oySBIxdgtNo/edit?pli=1#gid=257618397"",""stock untanna!B:C""),2,false),V:V)"),"TALI YOYO BUTEK BIRU")</f>
        <v>TALI YOYO BUTEK BIRU</v>
      </c>
      <c r="F4921" s="49"/>
      <c r="G4921" s="71"/>
      <c r="H4921" s="41"/>
      <c r="I4921" s="42"/>
      <c r="J4921" s="85" t="s">
        <v>1319</v>
      </c>
      <c r="K4921" s="93">
        <v>300.0</v>
      </c>
      <c r="L4921" s="112" t="s">
        <v>69</v>
      </c>
      <c r="M4921" s="113">
        <v>1500.0</v>
      </c>
      <c r="N4921" s="74"/>
      <c r="O4921" s="87">
        <f t="shared" si="11"/>
        <v>450000</v>
      </c>
      <c r="P4921" s="102" t="str">
        <f t="shared" si="2"/>
        <v>Rp1,500-300 PCS-0.00%</v>
      </c>
      <c r="Q4921" s="92">
        <v>45433.0</v>
      </c>
      <c r="R4921" s="76"/>
      <c r="S4921" s="92">
        <v>45437.0</v>
      </c>
      <c r="T4921" s="49"/>
      <c r="V4921" s="21" t="s">
        <v>4071</v>
      </c>
    </row>
    <row r="4922">
      <c r="A4922" s="93">
        <v>4227.0</v>
      </c>
      <c r="B4922" s="77" t="s">
        <v>29</v>
      </c>
      <c r="C4922" s="77" t="s">
        <v>4062</v>
      </c>
      <c r="D4922" s="91"/>
      <c r="E4922" s="41" t="str">
        <f>IFERROR(__xludf.DUMMYFUNCTION("IFNA(vlookup(D4922,IMPORTRANGE(""https://docs.google.com/spreadsheets/d/1swGwZOEqYlTEUCJLY-eeJM1911Kvaei5oySBIxdgtNo/edit?pli=1#gid=257618397"",""stock untanna!B:C""),2,false),V:V)"),"TALI YOYO MERAH")</f>
        <v>TALI YOYO MERAH</v>
      </c>
      <c r="F4922" s="49"/>
      <c r="G4922" s="71"/>
      <c r="H4922" s="41"/>
      <c r="I4922" s="42"/>
      <c r="J4922" s="85" t="s">
        <v>3190</v>
      </c>
      <c r="K4922" s="93">
        <v>300.0</v>
      </c>
      <c r="L4922" s="112" t="s">
        <v>69</v>
      </c>
      <c r="M4922" s="113">
        <v>1500.0</v>
      </c>
      <c r="N4922" s="74"/>
      <c r="O4922" s="87">
        <f t="shared" si="11"/>
        <v>450000</v>
      </c>
      <c r="P4922" s="102" t="str">
        <f t="shared" si="2"/>
        <v>Rp1,500-300 PCS-0.00%</v>
      </c>
      <c r="Q4922" s="92">
        <v>45433.0</v>
      </c>
      <c r="R4922" s="76"/>
      <c r="S4922" s="92">
        <v>45437.0</v>
      </c>
      <c r="T4922" s="49"/>
      <c r="V4922" s="21" t="s">
        <v>4072</v>
      </c>
    </row>
    <row r="4923">
      <c r="A4923" s="93">
        <v>4227.0</v>
      </c>
      <c r="B4923" s="77" t="s">
        <v>29</v>
      </c>
      <c r="C4923" s="77" t="s">
        <v>4062</v>
      </c>
      <c r="D4923" s="91"/>
      <c r="E4923" s="41" t="str">
        <f>IFERROR(__xludf.DUMMYFUNCTION("IFNA(vlookup(D4923,IMPORTRANGE(""https://docs.google.com/spreadsheets/d/1swGwZOEqYlTEUCJLY-eeJM1911Kvaei5oySBIxdgtNo/edit?pli=1#gid=257618397"",""stock untanna!B:C""),2,false),V:V)"),"TALI YOYO HIJAU")</f>
        <v>TALI YOYO HIJAU</v>
      </c>
      <c r="F4923" s="49"/>
      <c r="G4923" s="71"/>
      <c r="H4923" s="41"/>
      <c r="I4923" s="42"/>
      <c r="J4923" s="85" t="s">
        <v>3190</v>
      </c>
      <c r="K4923" s="93">
        <v>300.0</v>
      </c>
      <c r="L4923" s="112" t="s">
        <v>69</v>
      </c>
      <c r="M4923" s="113">
        <v>1500.0</v>
      </c>
      <c r="N4923" s="74"/>
      <c r="O4923" s="87">
        <f t="shared" si="11"/>
        <v>450000</v>
      </c>
      <c r="P4923" s="102" t="str">
        <f t="shared" si="2"/>
        <v>Rp1,500-300 PCS-0.00%</v>
      </c>
      <c r="Q4923" s="92">
        <v>45433.0</v>
      </c>
      <c r="R4923" s="76"/>
      <c r="S4923" s="92">
        <v>45437.0</v>
      </c>
      <c r="T4923" s="49"/>
      <c r="V4923" s="21" t="s">
        <v>4073</v>
      </c>
    </row>
    <row r="4924">
      <c r="A4924" s="93">
        <v>4227.0</v>
      </c>
      <c r="B4924" s="77" t="s">
        <v>29</v>
      </c>
      <c r="C4924" s="77" t="s">
        <v>4062</v>
      </c>
      <c r="D4924" s="91"/>
      <c r="E4924" s="41" t="str">
        <f>IFERROR(__xludf.DUMMYFUNCTION("IFNA(vlookup(D4924,IMPORTRANGE(""https://docs.google.com/spreadsheets/d/1swGwZOEqYlTEUCJLY-eeJM1911Kvaei5oySBIxdgtNo/edit?pli=1#gid=257618397"",""stock untanna!B:C""),2,false),V:V)"),"TALI YOYO HITAM")</f>
        <v>TALI YOYO HITAM</v>
      </c>
      <c r="F4924" s="49"/>
      <c r="G4924" s="71"/>
      <c r="H4924" s="41"/>
      <c r="I4924" s="42"/>
      <c r="J4924" s="85" t="s">
        <v>3190</v>
      </c>
      <c r="K4924" s="93">
        <v>300.0</v>
      </c>
      <c r="L4924" s="112" t="s">
        <v>69</v>
      </c>
      <c r="M4924" s="113">
        <v>1500.0</v>
      </c>
      <c r="N4924" s="74"/>
      <c r="O4924" s="87">
        <f t="shared" si="11"/>
        <v>450000</v>
      </c>
      <c r="P4924" s="102" t="str">
        <f t="shared" si="2"/>
        <v>Rp1,500-300 PCS-0.00%</v>
      </c>
      <c r="Q4924" s="92">
        <v>45433.0</v>
      </c>
      <c r="R4924" s="76"/>
      <c r="S4924" s="92">
        <v>45437.0</v>
      </c>
      <c r="T4924" s="49"/>
      <c r="V4924" s="21" t="s">
        <v>4074</v>
      </c>
    </row>
    <row r="4925">
      <c r="A4925" s="93">
        <v>4227.0</v>
      </c>
      <c r="B4925" s="77" t="s">
        <v>29</v>
      </c>
      <c r="C4925" s="77" t="s">
        <v>4062</v>
      </c>
      <c r="D4925" s="91"/>
      <c r="E4925" s="41" t="str">
        <f>IFERROR(__xludf.DUMMYFUNCTION("IFNA(vlookup(D4925,IMPORTRANGE(""https://docs.google.com/spreadsheets/d/1swGwZOEqYlTEUCJLY-eeJM1911Kvaei5oySBIxdgtNo/edit?pli=1#gid=257618397"",""stock untanna!B:C""),2,false),V:V)"),"TALI YOYO [INK")</f>
        <v>TALI YOYO [INK</v>
      </c>
      <c r="F4925" s="49"/>
      <c r="G4925" s="71"/>
      <c r="H4925" s="41"/>
      <c r="I4925" s="42"/>
      <c r="J4925" s="85" t="s">
        <v>3190</v>
      </c>
      <c r="K4925" s="93">
        <v>300.0</v>
      </c>
      <c r="L4925" s="112" t="s">
        <v>69</v>
      </c>
      <c r="M4925" s="113">
        <v>1500.0</v>
      </c>
      <c r="N4925" s="74"/>
      <c r="O4925" s="87">
        <f t="shared" si="11"/>
        <v>450000</v>
      </c>
      <c r="P4925" s="102" t="str">
        <f t="shared" si="2"/>
        <v>Rp1,500-300 PCS-0.00%</v>
      </c>
      <c r="Q4925" s="92">
        <v>45433.0</v>
      </c>
      <c r="R4925" s="76"/>
      <c r="S4925" s="92">
        <v>45437.0</v>
      </c>
      <c r="T4925" s="49"/>
      <c r="V4925" s="21" t="s">
        <v>4075</v>
      </c>
    </row>
    <row r="4926">
      <c r="A4926" s="93">
        <v>4288.0</v>
      </c>
      <c r="B4926" s="77" t="s">
        <v>65</v>
      </c>
      <c r="C4926" s="77" t="s">
        <v>4076</v>
      </c>
      <c r="D4926" s="77" t="s">
        <v>649</v>
      </c>
      <c r="E4926" s="41" t="str">
        <f>IFERROR(__xludf.DUMMYFUNCTION("IFNA(vlookup(D4926,IMPORTRANGE(""https://docs.google.com/spreadsheets/d/1swGwZOEqYlTEUCJLY-eeJM1911Kvaei5oySBIxdgtNo/edit?pli=1#gid=257618397"",""stock untanna!B:C""),2,false),V:V)"),"KUAS TF ART TF-2023")</f>
        <v>KUAS TF ART TF-2023</v>
      </c>
      <c r="F4926" s="49"/>
      <c r="G4926" s="71"/>
      <c r="H4926" s="41"/>
      <c r="I4926" s="42"/>
      <c r="J4926" s="85" t="s">
        <v>1319</v>
      </c>
      <c r="K4926" s="93">
        <v>10.0</v>
      </c>
      <c r="L4926" s="112" t="s">
        <v>84</v>
      </c>
      <c r="M4926" s="113">
        <v>7500.0</v>
      </c>
      <c r="N4926" s="74"/>
      <c r="O4926" s="87">
        <f t="shared" si="11"/>
        <v>75000</v>
      </c>
      <c r="P4926" s="102" t="str">
        <f t="shared" si="2"/>
        <v>Rp7,500-10 SET-0.00%</v>
      </c>
      <c r="Q4926" s="92">
        <v>45433.0</v>
      </c>
      <c r="R4926" s="76"/>
      <c r="S4926" s="92">
        <v>45437.0</v>
      </c>
      <c r="T4926" s="49"/>
      <c r="V4926" s="21" t="s">
        <v>650</v>
      </c>
    </row>
    <row r="4927">
      <c r="A4927" s="93">
        <v>4288.0</v>
      </c>
      <c r="B4927" s="77" t="s">
        <v>65</v>
      </c>
      <c r="C4927" s="77" t="s">
        <v>4076</v>
      </c>
      <c r="D4927" s="77" t="s">
        <v>644</v>
      </c>
      <c r="E4927" s="41" t="str">
        <f>IFERROR(__xludf.DUMMYFUNCTION("IFNA(vlookup(D4927,IMPORTRANGE(""https://docs.google.com/spreadsheets/d/1swGwZOEqYlTEUCJLY-eeJM1911Kvaei5oySBIxdgtNo/edit?pli=1#gid=257618397"",""stock untanna!B:C""),2,false),V:V)"),"KUAS 21839-5H")</f>
        <v>KUAS 21839-5H</v>
      </c>
      <c r="F4927" s="49"/>
      <c r="G4927" s="71"/>
      <c r="H4927" s="41"/>
      <c r="I4927" s="42"/>
      <c r="J4927" s="85" t="s">
        <v>1319</v>
      </c>
      <c r="K4927" s="93">
        <v>10.0</v>
      </c>
      <c r="L4927" s="112" t="s">
        <v>69</v>
      </c>
      <c r="M4927" s="113">
        <v>9000.0</v>
      </c>
      <c r="N4927" s="74"/>
      <c r="O4927" s="87">
        <f t="shared" si="11"/>
        <v>90000</v>
      </c>
      <c r="P4927" s="102" t="str">
        <f t="shared" si="2"/>
        <v>Rp9,000-10 PCS-0.00%</v>
      </c>
      <c r="Q4927" s="92">
        <v>45433.0</v>
      </c>
      <c r="R4927" s="76"/>
      <c r="S4927" s="92">
        <v>45437.0</v>
      </c>
      <c r="T4927" s="49"/>
      <c r="V4927" s="21" t="s">
        <v>281</v>
      </c>
    </row>
    <row r="4928">
      <c r="A4928" s="93">
        <v>4288.0</v>
      </c>
      <c r="B4928" s="77" t="s">
        <v>65</v>
      </c>
      <c r="C4928" s="77" t="s">
        <v>4076</v>
      </c>
      <c r="D4928" s="77" t="s">
        <v>647</v>
      </c>
      <c r="E4928" s="41" t="str">
        <f>IFERROR(__xludf.DUMMYFUNCTION("IFNA(vlookup(D4928,IMPORTRANGE(""https://docs.google.com/spreadsheets/d/1swGwZOEqYlTEUCJLY-eeJM1911Kvaei5oySBIxdgtNo/edit?pli=1#gid=257618397"",""stock untanna!B:C""),2,false),V:V)"),"KUAS 251-6CJ")</f>
        <v>KUAS 251-6CJ</v>
      </c>
      <c r="F4928" s="49"/>
      <c r="G4928" s="71"/>
      <c r="H4928" s="41"/>
      <c r="I4928" s="42"/>
      <c r="J4928" s="85" t="s">
        <v>1319</v>
      </c>
      <c r="K4928" s="93">
        <v>10.0</v>
      </c>
      <c r="L4928" s="112" t="s">
        <v>84</v>
      </c>
      <c r="M4928" s="113">
        <v>10000.0</v>
      </c>
      <c r="N4928" s="74"/>
      <c r="O4928" s="87">
        <f t="shared" si="11"/>
        <v>100000</v>
      </c>
      <c r="P4928" s="102" t="str">
        <f t="shared" si="2"/>
        <v>Rp10,000-10 SET-0.00%</v>
      </c>
      <c r="Q4928" s="92">
        <v>45433.0</v>
      </c>
      <c r="R4928" s="76"/>
      <c r="S4928" s="92">
        <v>45437.0</v>
      </c>
      <c r="T4928" s="49"/>
      <c r="V4928" s="21" t="s">
        <v>648</v>
      </c>
    </row>
    <row r="4929">
      <c r="A4929" s="93">
        <v>4288.0</v>
      </c>
      <c r="B4929" s="77" t="s">
        <v>65</v>
      </c>
      <c r="C4929" s="77" t="s">
        <v>4076</v>
      </c>
      <c r="D4929" s="77" t="s">
        <v>4077</v>
      </c>
      <c r="E4929" s="41" t="str">
        <f>IFERROR(__xludf.DUMMYFUNCTION("IFNA(vlookup(D4929,IMPORTRANGE(""https://docs.google.com/spreadsheets/d/1swGwZOEqYlTEUCJLY-eeJM1911Kvaei5oySBIxdgtNo/edit?pli=1#gid=257618397"",""stock untanna!B:C""),2,false),V:V)"),"KUAS 251-6TB")</f>
        <v>KUAS 251-6TB</v>
      </c>
      <c r="F4929" s="49"/>
      <c r="G4929" s="71"/>
      <c r="H4929" s="41"/>
      <c r="I4929" s="42"/>
      <c r="J4929" s="85" t="s">
        <v>1319</v>
      </c>
      <c r="K4929" s="93">
        <v>10.0</v>
      </c>
      <c r="L4929" s="112" t="s">
        <v>69</v>
      </c>
      <c r="M4929" s="113">
        <v>12500.0</v>
      </c>
      <c r="N4929" s="74"/>
      <c r="O4929" s="87">
        <f t="shared" si="11"/>
        <v>125000</v>
      </c>
      <c r="P4929" s="102" t="str">
        <f t="shared" si="2"/>
        <v>Rp12,500-10 PCS-0.00%</v>
      </c>
      <c r="Q4929" s="92">
        <v>45433.0</v>
      </c>
      <c r="R4929" s="76"/>
      <c r="S4929" s="92">
        <v>45437.0</v>
      </c>
      <c r="T4929" s="49"/>
      <c r="V4929" s="21" t="s">
        <v>1624</v>
      </c>
    </row>
    <row r="4930">
      <c r="A4930" s="93">
        <v>4288.0</v>
      </c>
      <c r="B4930" s="77" t="s">
        <v>65</v>
      </c>
      <c r="C4930" s="77" t="s">
        <v>4076</v>
      </c>
      <c r="D4930" s="77" t="s">
        <v>645</v>
      </c>
      <c r="E4930" s="41" t="str">
        <f>IFERROR(__xludf.DUMMYFUNCTION("IFNA(vlookup(D4930,IMPORTRANGE(""https://docs.google.com/spreadsheets/d/1swGwZOEqYlTEUCJLY-eeJM1911Kvaei5oySBIxdgtNo/edit?pli=1#gid=257618397"",""stock untanna!B:C""),2,false),V:V)"),"KUAS 21839-6H4")</f>
        <v>KUAS 21839-6H4</v>
      </c>
      <c r="F4930" s="49"/>
      <c r="G4930" s="71"/>
      <c r="H4930" s="41"/>
      <c r="I4930" s="42"/>
      <c r="J4930" s="85" t="s">
        <v>1319</v>
      </c>
      <c r="K4930" s="93">
        <v>10.0</v>
      </c>
      <c r="L4930" s="112" t="s">
        <v>69</v>
      </c>
      <c r="M4930" s="113">
        <v>12000.0</v>
      </c>
      <c r="N4930" s="74"/>
      <c r="O4930" s="87">
        <f t="shared" si="11"/>
        <v>120000</v>
      </c>
      <c r="P4930" s="102" t="str">
        <f t="shared" si="2"/>
        <v>Rp12,000-10 PCS-0.00%</v>
      </c>
      <c r="Q4930" s="92">
        <v>45433.0</v>
      </c>
      <c r="R4930" s="76"/>
      <c r="S4930" s="92">
        <v>45437.0</v>
      </c>
      <c r="T4930" s="49"/>
      <c r="V4930" s="21" t="s">
        <v>646</v>
      </c>
    </row>
    <row r="4931">
      <c r="A4931" s="93">
        <v>4288.0</v>
      </c>
      <c r="B4931" s="77" t="s">
        <v>65</v>
      </c>
      <c r="C4931" s="77" t="s">
        <v>4076</v>
      </c>
      <c r="D4931" s="91"/>
      <c r="E4931" s="41" t="str">
        <f>IFERROR(__xludf.DUMMYFUNCTION("IFNA(vlookup(D4931,IMPORTRANGE(""https://docs.google.com/spreadsheets/d/1swGwZOEqYlTEUCJLY-eeJM1911Kvaei5oySBIxdgtNo/edit?pli=1#gid=257618397"",""stock untanna!B:C""),2,false),V:V)"),"PITA JEPANG POLOS")</f>
        <v>PITA JEPANG POLOS</v>
      </c>
      <c r="F4931" s="49"/>
      <c r="G4931" s="71"/>
      <c r="H4931" s="41"/>
      <c r="I4931" s="42"/>
      <c r="J4931" s="85" t="s">
        <v>3190</v>
      </c>
      <c r="K4931" s="93">
        <v>10.0</v>
      </c>
      <c r="L4931" s="112" t="s">
        <v>1726</v>
      </c>
      <c r="M4931" s="113">
        <v>25000.0</v>
      </c>
      <c r="N4931" s="115">
        <v>0.1</v>
      </c>
      <c r="O4931" s="87">
        <f t="shared" si="11"/>
        <v>225000</v>
      </c>
      <c r="P4931" s="102" t="str">
        <f t="shared" si="2"/>
        <v>Rp25,000-10 SLOP-10.00%</v>
      </c>
      <c r="Q4931" s="92">
        <v>45433.0</v>
      </c>
      <c r="R4931" s="76"/>
      <c r="S4931" s="92">
        <v>45437.0</v>
      </c>
      <c r="T4931" s="49"/>
      <c r="V4931" s="21" t="s">
        <v>3331</v>
      </c>
    </row>
    <row r="4932">
      <c r="A4932" s="93">
        <v>4288.0</v>
      </c>
      <c r="B4932" s="77" t="s">
        <v>65</v>
      </c>
      <c r="C4932" s="77" t="s">
        <v>4076</v>
      </c>
      <c r="D4932" s="91"/>
      <c r="E4932" s="41" t="str">
        <f>IFERROR(__xludf.DUMMYFUNCTION("IFNA(vlookup(D4932,IMPORTRANGE(""https://docs.google.com/spreadsheets/d/1swGwZOEqYlTEUCJLY-eeJM1911Kvaei5oySBIxdgtNo/edit?pli=1#gid=257618397"",""stock untanna!B:C""),2,false),V:V)"),"ID CARD 501 MERAH")</f>
        <v>ID CARD 501 MERAH</v>
      </c>
      <c r="F4932" s="49"/>
      <c r="G4932" s="71"/>
      <c r="H4932" s="41"/>
      <c r="I4932" s="42"/>
      <c r="J4932" s="85" t="s">
        <v>3190</v>
      </c>
      <c r="K4932" s="93">
        <v>10.0</v>
      </c>
      <c r="L4932" s="112" t="s">
        <v>69</v>
      </c>
      <c r="M4932" s="113">
        <v>1250.0</v>
      </c>
      <c r="N4932" s="74"/>
      <c r="O4932" s="87">
        <f t="shared" si="11"/>
        <v>12500</v>
      </c>
      <c r="P4932" s="102" t="str">
        <f t="shared" si="2"/>
        <v>Rp1,250-10 PCS-0.00%</v>
      </c>
      <c r="Q4932" s="92">
        <v>45433.0</v>
      </c>
      <c r="R4932" s="76"/>
      <c r="S4932" s="92">
        <v>45437.0</v>
      </c>
      <c r="T4932" s="49"/>
      <c r="V4932" s="21" t="s">
        <v>3198</v>
      </c>
    </row>
    <row r="4933">
      <c r="A4933" s="93">
        <v>4288.0</v>
      </c>
      <c r="B4933" s="77" t="s">
        <v>65</v>
      </c>
      <c r="C4933" s="77" t="s">
        <v>4076</v>
      </c>
      <c r="D4933" s="91"/>
      <c r="E4933" s="41" t="str">
        <f>IFERROR(__xludf.DUMMYFUNCTION("IFNA(vlookup(D4933,IMPORTRANGE(""https://docs.google.com/spreadsheets/d/1swGwZOEqYlTEUCJLY-eeJM1911Kvaei5oySBIxdgtNo/edit?pli=1#gid=257618397"",""stock untanna!B:C""),2,false),V:V)"),"ID CARD 501 PUTIH")</f>
        <v>ID CARD 501 PUTIH</v>
      </c>
      <c r="F4933" s="49"/>
      <c r="G4933" s="71"/>
      <c r="H4933" s="41"/>
      <c r="I4933" s="42"/>
      <c r="J4933" s="85" t="s">
        <v>3190</v>
      </c>
      <c r="K4933" s="93">
        <v>10.0</v>
      </c>
      <c r="L4933" s="112" t="s">
        <v>69</v>
      </c>
      <c r="M4933" s="113">
        <v>1250.0</v>
      </c>
      <c r="N4933" s="74"/>
      <c r="O4933" s="87">
        <f t="shared" si="11"/>
        <v>12500</v>
      </c>
      <c r="P4933" s="102" t="str">
        <f t="shared" si="2"/>
        <v>Rp1,250-10 PCS-0.00%</v>
      </c>
      <c r="Q4933" s="92">
        <v>45433.0</v>
      </c>
      <c r="R4933" s="76"/>
      <c r="S4933" s="92">
        <v>45437.0</v>
      </c>
      <c r="T4933" s="49"/>
      <c r="V4933" s="21" t="s">
        <v>2409</v>
      </c>
    </row>
    <row r="4934">
      <c r="A4934" s="93">
        <v>4288.0</v>
      </c>
      <c r="B4934" s="77" t="s">
        <v>65</v>
      </c>
      <c r="C4934" s="77" t="s">
        <v>4076</v>
      </c>
      <c r="D4934" s="91"/>
      <c r="E4934" s="41" t="str">
        <f>IFERROR(__xludf.DUMMYFUNCTION("IFNA(vlookup(D4934,IMPORTRANGE(""https://docs.google.com/spreadsheets/d/1swGwZOEqYlTEUCJLY-eeJM1911Kvaei5oySBIxdgtNo/edit?pli=1#gid=257618397"",""stock untanna!B:C""),2,false),V:V)"),"ID CARD 501 BIRU")</f>
        <v>ID CARD 501 BIRU</v>
      </c>
      <c r="F4934" s="49"/>
      <c r="G4934" s="71"/>
      <c r="H4934" s="41"/>
      <c r="I4934" s="42"/>
      <c r="J4934" s="85" t="s">
        <v>3190</v>
      </c>
      <c r="K4934" s="93">
        <v>10.0</v>
      </c>
      <c r="L4934" s="112" t="s">
        <v>69</v>
      </c>
      <c r="M4934" s="113">
        <v>1250.0</v>
      </c>
      <c r="N4934" s="74"/>
      <c r="O4934" s="87">
        <f t="shared" si="11"/>
        <v>12500</v>
      </c>
      <c r="P4934" s="102" t="str">
        <f t="shared" si="2"/>
        <v>Rp1,250-10 PCS-0.00%</v>
      </c>
      <c r="Q4934" s="92">
        <v>45433.0</v>
      </c>
      <c r="R4934" s="76"/>
      <c r="S4934" s="92">
        <v>45437.0</v>
      </c>
      <c r="T4934" s="49"/>
      <c r="V4934" s="21" t="s">
        <v>2411</v>
      </c>
    </row>
    <row r="4935">
      <c r="A4935" s="93">
        <v>4288.0</v>
      </c>
      <c r="B4935" s="77" t="s">
        <v>65</v>
      </c>
      <c r="C4935" s="77" t="s">
        <v>4076</v>
      </c>
      <c r="D4935" s="91"/>
      <c r="E4935" s="41" t="str">
        <f>IFERROR(__xludf.DUMMYFUNCTION("IFNA(vlookup(D4935,IMPORTRANGE(""https://docs.google.com/spreadsheets/d/1swGwZOEqYlTEUCJLY-eeJM1911Kvaei5oySBIxdgtNo/edit?pli=1#gid=257618397"",""stock untanna!B:C""),2,false),V:V)"),"ID CARD 501 KUNING")</f>
        <v>ID CARD 501 KUNING</v>
      </c>
      <c r="F4935" s="49"/>
      <c r="G4935" s="71"/>
      <c r="H4935" s="41"/>
      <c r="I4935" s="42"/>
      <c r="J4935" s="85" t="s">
        <v>3190</v>
      </c>
      <c r="K4935" s="93">
        <v>10.0</v>
      </c>
      <c r="L4935" s="112" t="s">
        <v>69</v>
      </c>
      <c r="M4935" s="113">
        <v>1250.0</v>
      </c>
      <c r="N4935" s="74"/>
      <c r="O4935" s="87">
        <f t="shared" si="11"/>
        <v>12500</v>
      </c>
      <c r="P4935" s="102" t="str">
        <f t="shared" si="2"/>
        <v>Rp1,250-10 PCS-0.00%</v>
      </c>
      <c r="Q4935" s="92">
        <v>45433.0</v>
      </c>
      <c r="R4935" s="76"/>
      <c r="S4935" s="92">
        <v>45437.0</v>
      </c>
      <c r="T4935" s="49"/>
      <c r="V4935" s="21" t="s">
        <v>3241</v>
      </c>
    </row>
    <row r="4936">
      <c r="A4936" s="93">
        <v>4288.0</v>
      </c>
      <c r="B4936" s="77" t="s">
        <v>65</v>
      </c>
      <c r="C4936" s="77" t="s">
        <v>4076</v>
      </c>
      <c r="D4936" s="77" t="s">
        <v>1650</v>
      </c>
      <c r="E4936" s="41" t="str">
        <f>IFERROR(__xludf.DUMMYFUNCTION("IFNA(vlookup(D4936,IMPORTRANGE(""https://docs.google.com/spreadsheets/d/1swGwZOEqYlTEUCJLY-eeJM1911Kvaei5oySBIxdgtNo/edit?pli=1#gid=257618397"",""stock untanna!B:C""),2,false),V:V)"),"BP GEL DTIAN DT-227")</f>
        <v>BP GEL DTIAN DT-227</v>
      </c>
      <c r="F4936" s="49"/>
      <c r="G4936" s="71"/>
      <c r="H4936" s="41"/>
      <c r="I4936" s="42"/>
      <c r="J4936" s="85" t="s">
        <v>1319</v>
      </c>
      <c r="K4936" s="93">
        <v>24.0</v>
      </c>
      <c r="L4936" s="112" t="s">
        <v>62</v>
      </c>
      <c r="M4936" s="113">
        <v>18000.0</v>
      </c>
      <c r="N4936" s="74"/>
      <c r="O4936" s="87">
        <f t="shared" si="11"/>
        <v>432000</v>
      </c>
      <c r="P4936" s="102" t="str">
        <f t="shared" si="2"/>
        <v>Rp18,000-24 LSN-0.00%</v>
      </c>
      <c r="Q4936" s="92">
        <v>45433.0</v>
      </c>
      <c r="R4936" s="76"/>
      <c r="S4936" s="92">
        <v>45437.0</v>
      </c>
      <c r="T4936" s="49"/>
      <c r="V4936" s="21" t="s">
        <v>1651</v>
      </c>
    </row>
    <row r="4937">
      <c r="A4937" s="93">
        <v>4288.0</v>
      </c>
      <c r="B4937" s="77" t="s">
        <v>65</v>
      </c>
      <c r="C4937" s="77" t="s">
        <v>4076</v>
      </c>
      <c r="D4937" s="77" t="s">
        <v>962</v>
      </c>
      <c r="E4937" s="41" t="str">
        <f>IFERROR(__xludf.DUMMYFUNCTION("IFNA(vlookup(D4937,IMPORTRANGE(""https://docs.google.com/spreadsheets/d/1swGwZOEqYlTEUCJLY-eeJM1911Kvaei5oySBIxdgtNo/edit?pli=1#gid=257618397"",""stock untanna!B:C""),2,false),V:V)"),"BP GEL DT-239")</f>
        <v>BP GEL DT-239</v>
      </c>
      <c r="F4937" s="49"/>
      <c r="G4937" s="71"/>
      <c r="H4937" s="41"/>
      <c r="I4937" s="42"/>
      <c r="J4937" s="85" t="s">
        <v>1319</v>
      </c>
      <c r="K4937" s="93">
        <v>288.0</v>
      </c>
      <c r="L4937" s="112" t="s">
        <v>69</v>
      </c>
      <c r="M4937" s="113">
        <v>1500.0</v>
      </c>
      <c r="N4937" s="74"/>
      <c r="O4937" s="87">
        <f t="shared" si="11"/>
        <v>432000</v>
      </c>
      <c r="P4937" s="102" t="str">
        <f t="shared" si="2"/>
        <v>Rp1,500-288 PCS-0.00%</v>
      </c>
      <c r="Q4937" s="92">
        <v>45433.0</v>
      </c>
      <c r="R4937" s="76"/>
      <c r="S4937" s="92">
        <v>45437.0</v>
      </c>
      <c r="T4937" s="49"/>
      <c r="V4937" s="21" t="s">
        <v>963</v>
      </c>
    </row>
    <row r="4938">
      <c r="A4938" s="93">
        <v>4288.0</v>
      </c>
      <c r="B4938" s="77" t="s">
        <v>65</v>
      </c>
      <c r="C4938" s="77" t="s">
        <v>4076</v>
      </c>
      <c r="D4938" s="77" t="s">
        <v>2110</v>
      </c>
      <c r="E4938" s="41" t="str">
        <f>IFERROR(__xludf.DUMMYFUNCTION("IFNA(vlookup(D4938,IMPORTRANGE(""https://docs.google.com/spreadsheets/d/1swGwZOEqYlTEUCJLY-eeJM1911Kvaei5oySBIxdgtNo/edit?pli=1#gid=257618397"",""stock untanna!B:C""),2,false),V:V)"),"BP GEL DTIAN DT-225")</f>
        <v>BP GEL DTIAN DT-225</v>
      </c>
      <c r="F4938" s="49"/>
      <c r="G4938" s="71"/>
      <c r="H4938" s="41"/>
      <c r="I4938" s="42"/>
      <c r="J4938" s="85" t="s">
        <v>1319</v>
      </c>
      <c r="K4938" s="93">
        <v>24.0</v>
      </c>
      <c r="L4938" s="112" t="s">
        <v>62</v>
      </c>
      <c r="M4938" s="113">
        <v>18000.0</v>
      </c>
      <c r="N4938" s="74"/>
      <c r="O4938" s="87">
        <f t="shared" si="11"/>
        <v>432000</v>
      </c>
      <c r="P4938" s="102" t="str">
        <f t="shared" si="2"/>
        <v>Rp18,000-24 LSN-0.00%</v>
      </c>
      <c r="Q4938" s="92">
        <v>45433.0</v>
      </c>
      <c r="R4938" s="76"/>
      <c r="S4938" s="92">
        <v>45437.0</v>
      </c>
      <c r="T4938" s="49"/>
      <c r="V4938" s="21" t="s">
        <v>2111</v>
      </c>
    </row>
    <row r="4939">
      <c r="A4939" s="93">
        <v>4288.0</v>
      </c>
      <c r="B4939" s="77" t="s">
        <v>65</v>
      </c>
      <c r="C4939" s="77" t="s">
        <v>4076</v>
      </c>
      <c r="D4939" s="77" t="s">
        <v>2108</v>
      </c>
      <c r="E4939" s="41" t="str">
        <f>IFERROR(__xludf.DUMMYFUNCTION("IFNA(vlookup(D4939,IMPORTRANGE(""https://docs.google.com/spreadsheets/d/1swGwZOEqYlTEUCJLY-eeJM1911Kvaei5oySBIxdgtNo/edit?pli=1#gid=257618397"",""stock untanna!B:C""),2,false),V:V)"),"BP GEL DTIAN DT-221")</f>
        <v>BP GEL DTIAN DT-221</v>
      </c>
      <c r="F4939" s="49"/>
      <c r="G4939" s="71"/>
      <c r="H4939" s="41"/>
      <c r="I4939" s="42"/>
      <c r="J4939" s="85" t="s">
        <v>1319</v>
      </c>
      <c r="K4939" s="93">
        <v>24.0</v>
      </c>
      <c r="L4939" s="112" t="s">
        <v>62</v>
      </c>
      <c r="M4939" s="113">
        <v>18000.0</v>
      </c>
      <c r="N4939" s="74"/>
      <c r="O4939" s="87">
        <f t="shared" si="11"/>
        <v>432000</v>
      </c>
      <c r="P4939" s="102" t="str">
        <f t="shared" si="2"/>
        <v>Rp18,000-24 LSN-0.00%</v>
      </c>
      <c r="Q4939" s="92">
        <v>45433.0</v>
      </c>
      <c r="R4939" s="76"/>
      <c r="S4939" s="92">
        <v>45437.0</v>
      </c>
      <c r="T4939" s="49"/>
      <c r="V4939" s="21" t="s">
        <v>2109</v>
      </c>
    </row>
    <row r="4940">
      <c r="A4940" s="93">
        <v>4288.0</v>
      </c>
      <c r="B4940" s="77" t="s">
        <v>65</v>
      </c>
      <c r="C4940" s="77" t="s">
        <v>4076</v>
      </c>
      <c r="D4940" s="77" t="s">
        <v>966</v>
      </c>
      <c r="E4940" s="41" t="str">
        <f>IFERROR(__xludf.DUMMYFUNCTION("IFNA(vlookup(D4940,IMPORTRANGE(""https://docs.google.com/spreadsheets/d/1swGwZOEqYlTEUCJLY-eeJM1911Kvaei5oySBIxdgtNo/edit?pli=1#gid=257618397"",""stock untanna!B:C""),2,false),V:V)"),"BP GEL DT-238")</f>
        <v>BP GEL DT-238</v>
      </c>
      <c r="F4940" s="49"/>
      <c r="G4940" s="71"/>
      <c r="H4940" s="41"/>
      <c r="I4940" s="42"/>
      <c r="J4940" s="85" t="s">
        <v>1319</v>
      </c>
      <c r="K4940" s="93">
        <v>288.0</v>
      </c>
      <c r="L4940" s="112" t="s">
        <v>69</v>
      </c>
      <c r="M4940" s="113">
        <v>1500.0</v>
      </c>
      <c r="N4940" s="74"/>
      <c r="O4940" s="87">
        <f t="shared" si="11"/>
        <v>432000</v>
      </c>
      <c r="P4940" s="102" t="str">
        <f t="shared" si="2"/>
        <v>Rp1,500-288 PCS-0.00%</v>
      </c>
      <c r="Q4940" s="92">
        <v>45433.0</v>
      </c>
      <c r="R4940" s="76"/>
      <c r="S4940" s="92">
        <v>45437.0</v>
      </c>
      <c r="T4940" s="49"/>
      <c r="V4940" s="21" t="s">
        <v>967</v>
      </c>
    </row>
    <row r="4941">
      <c r="A4941" s="93">
        <v>4288.0</v>
      </c>
      <c r="B4941" s="77" t="s">
        <v>65</v>
      </c>
      <c r="C4941" s="77" t="s">
        <v>4076</v>
      </c>
      <c r="D4941" s="77" t="s">
        <v>1088</v>
      </c>
      <c r="E4941" s="41" t="str">
        <f>IFERROR(__xludf.DUMMYFUNCTION("IFNA(vlookup(D4941,IMPORTRANGE(""https://docs.google.com/spreadsheets/d/1swGwZOEqYlTEUCJLY-eeJM1911Kvaei5oySBIxdgtNo/edit?pli=1#gid=257618397"",""stock untanna!B:C""),2,false),V:V)"),"ASAHAN TOPLES GOLDEN (24)")</f>
        <v>ASAHAN TOPLES GOLDEN (24)</v>
      </c>
      <c r="F4941" s="49"/>
      <c r="G4941" s="71"/>
      <c r="H4941" s="41"/>
      <c r="I4941" s="42"/>
      <c r="J4941" s="85" t="s">
        <v>1319</v>
      </c>
      <c r="K4941" s="93">
        <v>144.0</v>
      </c>
      <c r="L4941" s="112" t="s">
        <v>88</v>
      </c>
      <c r="M4941" s="113">
        <v>11500.0</v>
      </c>
      <c r="N4941" s="74"/>
      <c r="O4941" s="87">
        <f t="shared" si="11"/>
        <v>1656000</v>
      </c>
      <c r="P4941" s="102" t="str">
        <f t="shared" si="2"/>
        <v>Rp11,500-144 BOX-0.00%</v>
      </c>
      <c r="Q4941" s="92">
        <v>45433.0</v>
      </c>
      <c r="R4941" s="76"/>
      <c r="S4941" s="92">
        <v>45437.0</v>
      </c>
      <c r="T4941" s="49"/>
      <c r="V4941" s="21" t="s">
        <v>1089</v>
      </c>
    </row>
    <row r="4942">
      <c r="A4942" s="93">
        <v>216.0</v>
      </c>
      <c r="B4942" s="77" t="s">
        <v>29</v>
      </c>
      <c r="C4942" s="77" t="s">
        <v>2413</v>
      </c>
      <c r="D4942" s="91"/>
      <c r="E4942" s="41" t="str">
        <f>IFERROR(__xludf.DUMMYFUNCTION("IFNA(vlookup(D4942,IMPORTRANGE(""https://docs.google.com/spreadsheets/d/1swGwZOEqYlTEUCJLY-eeJM1911Kvaei5oySBIxdgtNo/edit?pli=1#gid=257618397"",""stock untanna!B:C""),2,false),V:V)"),"TAS TG GILAP 1832 (BARU)")</f>
        <v>TAS TG GILAP 1832 (BARU)</v>
      </c>
      <c r="F4942" s="49"/>
      <c r="G4942" s="71"/>
      <c r="H4942" s="41"/>
      <c r="I4942" s="42"/>
      <c r="J4942" s="85" t="s">
        <v>3190</v>
      </c>
      <c r="K4942" s="93">
        <v>2.0</v>
      </c>
      <c r="L4942" s="112" t="s">
        <v>62</v>
      </c>
      <c r="M4942" s="113">
        <v>100000.0</v>
      </c>
      <c r="N4942" s="74"/>
      <c r="O4942" s="87">
        <f t="shared" si="11"/>
        <v>200000</v>
      </c>
      <c r="P4942" s="102" t="str">
        <f t="shared" si="2"/>
        <v>Rp100,000-2 LSN-0.00%</v>
      </c>
      <c r="Q4942" s="92">
        <v>45433.0</v>
      </c>
      <c r="R4942" s="76"/>
      <c r="S4942" s="92">
        <v>45437.0</v>
      </c>
      <c r="T4942" s="49"/>
      <c r="V4942" s="21" t="s">
        <v>4078</v>
      </c>
    </row>
    <row r="4943">
      <c r="A4943" s="93">
        <v>216.0</v>
      </c>
      <c r="B4943" s="77" t="s">
        <v>29</v>
      </c>
      <c r="C4943" s="77" t="s">
        <v>2413</v>
      </c>
      <c r="D4943" s="91"/>
      <c r="E4943" s="41" t="str">
        <f>IFERROR(__xludf.DUMMYFUNCTION("IFNA(vlookup(D4943,IMPORTRANGE(""https://docs.google.com/spreadsheets/d/1swGwZOEqYlTEUCJLY-eeJM1911Kvaei5oySBIxdgtNo/edit?pli=1#gid=257618397"",""stock untanna!B:C""),2,false),V:V)"),"TAS TG GILAP 1865 (BARU)")</f>
        <v>TAS TG GILAP 1865 (BARU)</v>
      </c>
      <c r="F4943" s="49"/>
      <c r="G4943" s="71"/>
      <c r="H4943" s="41"/>
      <c r="I4943" s="42"/>
      <c r="J4943" s="85" t="s">
        <v>3190</v>
      </c>
      <c r="K4943" s="93">
        <v>2.0</v>
      </c>
      <c r="L4943" s="112" t="s">
        <v>62</v>
      </c>
      <c r="M4943" s="113">
        <v>100000.0</v>
      </c>
      <c r="N4943" s="74"/>
      <c r="O4943" s="87">
        <f t="shared" si="11"/>
        <v>200000</v>
      </c>
      <c r="P4943" s="102" t="str">
        <f t="shared" si="2"/>
        <v>Rp100,000-2 LSN-0.00%</v>
      </c>
      <c r="Q4943" s="92">
        <v>45433.0</v>
      </c>
      <c r="R4943" s="76"/>
      <c r="S4943" s="92">
        <v>45437.0</v>
      </c>
      <c r="T4943" s="49"/>
      <c r="V4943" s="21" t="s">
        <v>4079</v>
      </c>
    </row>
    <row r="4944">
      <c r="A4944" s="93">
        <v>216.0</v>
      </c>
      <c r="B4944" s="77" t="s">
        <v>29</v>
      </c>
      <c r="C4944" s="77" t="s">
        <v>2413</v>
      </c>
      <c r="D4944" s="91"/>
      <c r="E4944" s="41" t="str">
        <f>IFERROR(__xludf.DUMMYFUNCTION("IFNA(vlookup(D4944,IMPORTRANGE(""https://docs.google.com/spreadsheets/d/1swGwZOEqYlTEUCJLY-eeJM1911Kvaei5oySBIxdgtNo/edit?pli=1#gid=257618397"",""stock untanna!B:C""),2,false),V:V)"),"TAS TG GILAP 1929 (BARU)")</f>
        <v>TAS TG GILAP 1929 (BARU)</v>
      </c>
      <c r="F4944" s="49"/>
      <c r="G4944" s="71"/>
      <c r="H4944" s="41"/>
      <c r="I4944" s="42"/>
      <c r="J4944" s="85" t="s">
        <v>3190</v>
      </c>
      <c r="K4944" s="93">
        <v>2.0</v>
      </c>
      <c r="L4944" s="112" t="s">
        <v>62</v>
      </c>
      <c r="M4944" s="113">
        <v>100000.0</v>
      </c>
      <c r="N4944" s="74"/>
      <c r="O4944" s="87">
        <f t="shared" si="11"/>
        <v>200000</v>
      </c>
      <c r="P4944" s="102" t="str">
        <f t="shared" si="2"/>
        <v>Rp100,000-2 LSN-0.00%</v>
      </c>
      <c r="Q4944" s="92">
        <v>45433.0</v>
      </c>
      <c r="R4944" s="76"/>
      <c r="S4944" s="92">
        <v>45437.0</v>
      </c>
      <c r="T4944" s="49"/>
      <c r="V4944" s="21" t="s">
        <v>4080</v>
      </c>
    </row>
    <row r="4945">
      <c r="A4945" s="93">
        <v>216.0</v>
      </c>
      <c r="B4945" s="77" t="s">
        <v>29</v>
      </c>
      <c r="C4945" s="77" t="s">
        <v>2413</v>
      </c>
      <c r="D4945" s="91"/>
      <c r="E4945" s="41" t="str">
        <f>IFERROR(__xludf.DUMMYFUNCTION("IFNA(vlookup(D4945,IMPORTRANGE(""https://docs.google.com/spreadsheets/d/1swGwZOEqYlTEUCJLY-eeJM1911Kvaei5oySBIxdgtNo/edit?pli=1#gid=257618397"",""stock untanna!B:C""),2,false),V:V)"),"TAS TG GILAP 1873 (BARU)")</f>
        <v>TAS TG GILAP 1873 (BARU)</v>
      </c>
      <c r="F4945" s="49"/>
      <c r="G4945" s="71"/>
      <c r="H4945" s="41"/>
      <c r="I4945" s="42"/>
      <c r="J4945" s="85" t="s">
        <v>3190</v>
      </c>
      <c r="K4945" s="93">
        <v>2.0</v>
      </c>
      <c r="L4945" s="112" t="s">
        <v>62</v>
      </c>
      <c r="M4945" s="113">
        <v>100000.0</v>
      </c>
      <c r="N4945" s="74"/>
      <c r="O4945" s="87">
        <f t="shared" si="11"/>
        <v>200000</v>
      </c>
      <c r="P4945" s="102" t="str">
        <f t="shared" si="2"/>
        <v>Rp100,000-2 LSN-0.00%</v>
      </c>
      <c r="Q4945" s="92">
        <v>45433.0</v>
      </c>
      <c r="R4945" s="76"/>
      <c r="S4945" s="92">
        <v>45437.0</v>
      </c>
      <c r="T4945" s="49"/>
      <c r="V4945" s="21" t="s">
        <v>4081</v>
      </c>
    </row>
    <row r="4946">
      <c r="A4946" s="93">
        <v>216.0</v>
      </c>
      <c r="B4946" s="77" t="s">
        <v>29</v>
      </c>
      <c r="C4946" s="77" t="s">
        <v>2413</v>
      </c>
      <c r="D4946" s="91"/>
      <c r="E4946" s="41" t="str">
        <f>IFERROR(__xludf.DUMMYFUNCTION("IFNA(vlookup(D4946,IMPORTRANGE(""https://docs.google.com/spreadsheets/d/1swGwZOEqYlTEUCJLY-eeJM1911Kvaei5oySBIxdgtNo/edit?pli=1#gid=257618397"",""stock untanna!B:C""),2,false),V:V)"),"TAS TG GILAP 1802 (BARU)")</f>
        <v>TAS TG GILAP 1802 (BARU)</v>
      </c>
      <c r="F4946" s="49"/>
      <c r="G4946" s="71"/>
      <c r="H4946" s="41"/>
      <c r="I4946" s="42"/>
      <c r="J4946" s="85" t="s">
        <v>3190</v>
      </c>
      <c r="K4946" s="93">
        <v>2.0</v>
      </c>
      <c r="L4946" s="112" t="s">
        <v>62</v>
      </c>
      <c r="M4946" s="113">
        <v>100000.0</v>
      </c>
      <c r="N4946" s="74"/>
      <c r="O4946" s="87">
        <f t="shared" si="11"/>
        <v>200000</v>
      </c>
      <c r="P4946" s="102" t="str">
        <f t="shared" si="2"/>
        <v>Rp100,000-2 LSN-0.00%</v>
      </c>
      <c r="Q4946" s="92">
        <v>45433.0</v>
      </c>
      <c r="R4946" s="76"/>
      <c r="S4946" s="92">
        <v>45437.0</v>
      </c>
      <c r="T4946" s="49"/>
      <c r="V4946" s="21" t="s">
        <v>4082</v>
      </c>
    </row>
    <row r="4947">
      <c r="A4947" s="93">
        <v>216.0</v>
      </c>
      <c r="B4947" s="77" t="s">
        <v>29</v>
      </c>
      <c r="C4947" s="77" t="s">
        <v>2413</v>
      </c>
      <c r="D4947" s="91"/>
      <c r="E4947" s="41" t="str">
        <f>IFERROR(__xludf.DUMMYFUNCTION("IFNA(vlookup(D4947,IMPORTRANGE(""https://docs.google.com/spreadsheets/d/1swGwZOEqYlTEUCJLY-eeJM1911Kvaei5oySBIxdgtNo/edit?pli=1#gid=257618397"",""stock untanna!B:C""),2,false),V:V)"),"TAS TG GILAP 109 (LAMA)")</f>
        <v>TAS TG GILAP 109 (LAMA)</v>
      </c>
      <c r="F4947" s="49"/>
      <c r="G4947" s="71"/>
      <c r="H4947" s="41"/>
      <c r="I4947" s="42"/>
      <c r="J4947" s="85" t="s">
        <v>3190</v>
      </c>
      <c r="K4947" s="93">
        <v>2.0</v>
      </c>
      <c r="L4947" s="112" t="s">
        <v>62</v>
      </c>
      <c r="M4947" s="113">
        <v>100000.0</v>
      </c>
      <c r="N4947" s="74"/>
      <c r="O4947" s="87">
        <f t="shared" si="11"/>
        <v>200000</v>
      </c>
      <c r="P4947" s="102" t="str">
        <f t="shared" si="2"/>
        <v>Rp100,000-2 LSN-0.00%</v>
      </c>
      <c r="Q4947" s="92">
        <v>45433.0</v>
      </c>
      <c r="R4947" s="76"/>
      <c r="S4947" s="92">
        <v>45437.0</v>
      </c>
      <c r="T4947" s="49"/>
      <c r="V4947" s="21" t="s">
        <v>4083</v>
      </c>
    </row>
    <row r="4948">
      <c r="A4948" s="93">
        <v>216.0</v>
      </c>
      <c r="B4948" s="77" t="s">
        <v>29</v>
      </c>
      <c r="C4948" s="77" t="s">
        <v>2413</v>
      </c>
      <c r="D4948" s="91"/>
      <c r="E4948" s="41" t="str">
        <f>IFERROR(__xludf.DUMMYFUNCTION("IFNA(vlookup(D4948,IMPORTRANGE(""https://docs.google.com/spreadsheets/d/1swGwZOEqYlTEUCJLY-eeJM1911Kvaei5oySBIxdgtNo/edit?pli=1#gid=257618397"",""stock untanna!B:C""),2,false),V:V)"),"TAS TG GILAP 1803 (LAMA)")</f>
        <v>TAS TG GILAP 1803 (LAMA)</v>
      </c>
      <c r="F4948" s="49"/>
      <c r="G4948" s="71"/>
      <c r="H4948" s="41"/>
      <c r="I4948" s="42"/>
      <c r="J4948" s="85" t="s">
        <v>3190</v>
      </c>
      <c r="K4948" s="93">
        <v>2.0</v>
      </c>
      <c r="L4948" s="112" t="s">
        <v>62</v>
      </c>
      <c r="M4948" s="113">
        <v>100000.0</v>
      </c>
      <c r="N4948" s="74"/>
      <c r="O4948" s="87">
        <f t="shared" si="11"/>
        <v>200000</v>
      </c>
      <c r="P4948" s="102" t="str">
        <f t="shared" si="2"/>
        <v>Rp100,000-2 LSN-0.00%</v>
      </c>
      <c r="Q4948" s="92">
        <v>45433.0</v>
      </c>
      <c r="R4948" s="76"/>
      <c r="S4948" s="92">
        <v>45437.0</v>
      </c>
      <c r="T4948" s="49"/>
      <c r="V4948" s="21" t="s">
        <v>4084</v>
      </c>
    </row>
    <row r="4949">
      <c r="A4949" s="93">
        <v>216.0</v>
      </c>
      <c r="B4949" s="77" t="s">
        <v>29</v>
      </c>
      <c r="C4949" s="77" t="s">
        <v>2413</v>
      </c>
      <c r="D4949" s="91"/>
      <c r="E4949" s="41" t="str">
        <f>IFERROR(__xludf.DUMMYFUNCTION("IFNA(vlookup(D4949,IMPORTRANGE(""https://docs.google.com/spreadsheets/d/1swGwZOEqYlTEUCJLY-eeJM1911Kvaei5oySBIxdgtNo/edit?pli=1#gid=257618397"",""stock untanna!B:C""),2,false),V:V)"),"TAS TG GILAP 1842 (LAMA)")</f>
        <v>TAS TG GILAP 1842 (LAMA)</v>
      </c>
      <c r="F4949" s="49"/>
      <c r="G4949" s="71"/>
      <c r="H4949" s="41"/>
      <c r="I4949" s="42"/>
      <c r="J4949" s="85" t="s">
        <v>3190</v>
      </c>
      <c r="K4949" s="93">
        <v>2.0</v>
      </c>
      <c r="L4949" s="112" t="s">
        <v>62</v>
      </c>
      <c r="M4949" s="113">
        <v>100000.0</v>
      </c>
      <c r="N4949" s="74"/>
      <c r="O4949" s="87">
        <f t="shared" si="11"/>
        <v>200000</v>
      </c>
      <c r="P4949" s="102" t="str">
        <f t="shared" si="2"/>
        <v>Rp100,000-2 LSN-0.00%</v>
      </c>
      <c r="Q4949" s="92">
        <v>45433.0</v>
      </c>
      <c r="R4949" s="76"/>
      <c r="S4949" s="92">
        <v>45437.0</v>
      </c>
      <c r="T4949" s="49"/>
      <c r="V4949" s="21" t="s">
        <v>4085</v>
      </c>
    </row>
    <row r="4950">
      <c r="A4950" s="93">
        <v>216.0</v>
      </c>
      <c r="B4950" s="77" t="s">
        <v>29</v>
      </c>
      <c r="C4950" s="77" t="s">
        <v>2413</v>
      </c>
      <c r="D4950" s="91"/>
      <c r="E4950" s="41" t="str">
        <f>IFERROR(__xludf.DUMMYFUNCTION("IFNA(vlookup(D4950,IMPORTRANGE(""https://docs.google.com/spreadsheets/d/1swGwZOEqYlTEUCJLY-eeJM1911Kvaei5oySBIxdgtNo/edit?pli=1#gid=257618397"",""stock untanna!B:C""),2,false),V:V)"),"TAS TG GILAP 1841 (LAMA)")</f>
        <v>TAS TG GILAP 1841 (LAMA)</v>
      </c>
      <c r="F4950" s="49"/>
      <c r="G4950" s="71"/>
      <c r="H4950" s="41"/>
      <c r="I4950" s="42"/>
      <c r="J4950" s="85" t="s">
        <v>3190</v>
      </c>
      <c r="K4950" s="93">
        <v>2.0</v>
      </c>
      <c r="L4950" s="112" t="s">
        <v>62</v>
      </c>
      <c r="M4950" s="113">
        <v>100000.0</v>
      </c>
      <c r="N4950" s="74"/>
      <c r="O4950" s="87">
        <f t="shared" si="11"/>
        <v>200000</v>
      </c>
      <c r="P4950" s="102" t="str">
        <f t="shared" si="2"/>
        <v>Rp100,000-2 LSN-0.00%</v>
      </c>
      <c r="Q4950" s="92">
        <v>45433.0</v>
      </c>
      <c r="R4950" s="76"/>
      <c r="S4950" s="92">
        <v>45437.0</v>
      </c>
      <c r="T4950" s="49"/>
      <c r="V4950" s="21" t="s">
        <v>4086</v>
      </c>
    </row>
    <row r="4951">
      <c r="A4951" s="93">
        <v>216.0</v>
      </c>
      <c r="B4951" s="77" t="s">
        <v>29</v>
      </c>
      <c r="C4951" s="77" t="s">
        <v>2413</v>
      </c>
      <c r="D4951" s="91"/>
      <c r="E4951" s="41" t="str">
        <f>IFERROR(__xludf.DUMMYFUNCTION("IFNA(vlookup(D4951,IMPORTRANGE(""https://docs.google.com/spreadsheets/d/1swGwZOEqYlTEUCJLY-eeJM1911Kvaei5oySBIxdgtNo/edit?pli=1#gid=257618397"",""stock untanna!B:C""),2,false),V:V)"),"TAS TG GILAP 1839 (LAMA)")</f>
        <v>TAS TG GILAP 1839 (LAMA)</v>
      </c>
      <c r="F4951" s="49"/>
      <c r="G4951" s="71"/>
      <c r="H4951" s="41"/>
      <c r="I4951" s="42"/>
      <c r="J4951" s="85" t="s">
        <v>3190</v>
      </c>
      <c r="K4951" s="93">
        <v>2.0</v>
      </c>
      <c r="L4951" s="112" t="s">
        <v>62</v>
      </c>
      <c r="M4951" s="113">
        <v>100000.0</v>
      </c>
      <c r="N4951" s="74"/>
      <c r="O4951" s="87">
        <f t="shared" si="11"/>
        <v>200000</v>
      </c>
      <c r="P4951" s="102" t="str">
        <f t="shared" si="2"/>
        <v>Rp100,000-2 LSN-0.00%</v>
      </c>
      <c r="Q4951" s="92">
        <v>45433.0</v>
      </c>
      <c r="R4951" s="76"/>
      <c r="S4951" s="92">
        <v>45437.0</v>
      </c>
      <c r="T4951" s="49"/>
      <c r="V4951" s="21" t="s">
        <v>4087</v>
      </c>
    </row>
    <row r="4952">
      <c r="A4952" s="93">
        <v>275.0</v>
      </c>
      <c r="B4952" s="77" t="s">
        <v>29</v>
      </c>
      <c r="C4952" s="77" t="s">
        <v>155</v>
      </c>
      <c r="D4952" s="91"/>
      <c r="E4952" s="41" t="str">
        <f>IFERROR(__xludf.DUMMYFUNCTION("IFNA(vlookup(D4952,IMPORTRANGE(""https://docs.google.com/spreadsheets/d/1swGwZOEqYlTEUCJLY-eeJM1911Kvaei5oySBIxdgtNo/edit?pli=1#gid=257618397"",""stock untanna!B:C""),2,false),V:V)"),"MEJA BELAJAR FANCY")</f>
        <v>MEJA BELAJAR FANCY</v>
      </c>
      <c r="F4952" s="49"/>
      <c r="G4952" s="71"/>
      <c r="H4952" s="41"/>
      <c r="I4952" s="42"/>
      <c r="J4952" s="85" t="s">
        <v>3190</v>
      </c>
      <c r="K4952" s="93">
        <v>10.0</v>
      </c>
      <c r="L4952" s="112" t="s">
        <v>4088</v>
      </c>
      <c r="M4952" s="113">
        <v>65000.0</v>
      </c>
      <c r="N4952" s="74"/>
      <c r="O4952" s="87">
        <f t="shared" si="11"/>
        <v>650000</v>
      </c>
      <c r="P4952" s="102" t="str">
        <f t="shared" si="2"/>
        <v>Rp65,000-10 PCSN-0.00%</v>
      </c>
      <c r="Q4952" s="92">
        <v>45433.0</v>
      </c>
      <c r="R4952" s="76"/>
      <c r="S4952" s="92">
        <v>45437.0</v>
      </c>
      <c r="T4952" s="49"/>
      <c r="V4952" s="21" t="s">
        <v>2407</v>
      </c>
    </row>
    <row r="4953">
      <c r="A4953" s="93">
        <v>275.0</v>
      </c>
      <c r="B4953" s="77" t="s">
        <v>29</v>
      </c>
      <c r="C4953" s="77" t="s">
        <v>155</v>
      </c>
      <c r="D4953" s="77" t="s">
        <v>1333</v>
      </c>
      <c r="E4953" s="41" t="str">
        <f>IFERROR(__xludf.DUMMYFUNCTION("IFNA(vlookup(D4953,IMPORTRANGE(""https://docs.google.com/spreadsheets/d/1swGwZOEqYlTEUCJLY-eeJM1911Kvaei5oySBIxdgtNo/edit?pli=1#gid=257618397"",""stock untanna!B:C""),2,false),V:V)"),"PIANIKA LOVELY BIRU")</f>
        <v>PIANIKA LOVELY BIRU</v>
      </c>
      <c r="F4953" s="49"/>
      <c r="G4953" s="71"/>
      <c r="H4953" s="41"/>
      <c r="I4953" s="42"/>
      <c r="J4953" s="85" t="s">
        <v>1319</v>
      </c>
      <c r="K4953" s="93">
        <v>24.0</v>
      </c>
      <c r="L4953" s="112" t="s">
        <v>69</v>
      </c>
      <c r="M4953" s="113">
        <v>100000.0</v>
      </c>
      <c r="N4953" s="74"/>
      <c r="O4953" s="87">
        <f t="shared" si="11"/>
        <v>2400000</v>
      </c>
      <c r="P4953" s="102" t="str">
        <f t="shared" si="2"/>
        <v>Rp100,000-24 PCS-0.00%</v>
      </c>
      <c r="Q4953" s="92">
        <v>45433.0</v>
      </c>
      <c r="R4953" s="76"/>
      <c r="S4953" s="92">
        <v>45437.0</v>
      </c>
      <c r="T4953" s="49"/>
      <c r="V4953" s="21" t="s">
        <v>1334</v>
      </c>
    </row>
    <row r="4954">
      <c r="A4954" s="93">
        <v>275.0</v>
      </c>
      <c r="B4954" s="77" t="s">
        <v>29</v>
      </c>
      <c r="C4954" s="77" t="s">
        <v>155</v>
      </c>
      <c r="D4954" s="77" t="s">
        <v>4089</v>
      </c>
      <c r="E4954" s="41" t="str">
        <f>IFERROR(__xludf.DUMMYFUNCTION("IFNA(vlookup(D4954,IMPORTRANGE(""https://docs.google.com/spreadsheets/d/1swGwZOEqYlTEUCJLY-eeJM1911Kvaei5oySBIxdgtNo/edit?pli=1#gid=257618397"",""stock untanna!B:C""),2,false),V:V)"),"PIANIKA LOVELY PINK")</f>
        <v>PIANIKA LOVELY PINK</v>
      </c>
      <c r="F4954" s="49"/>
      <c r="G4954" s="71"/>
      <c r="H4954" s="41"/>
      <c r="I4954" s="42"/>
      <c r="J4954" s="85" t="s">
        <v>1319</v>
      </c>
      <c r="K4954" s="93">
        <v>8.0</v>
      </c>
      <c r="L4954" s="112" t="s">
        <v>69</v>
      </c>
      <c r="M4954" s="113">
        <v>100000.0</v>
      </c>
      <c r="N4954" s="74"/>
      <c r="O4954" s="87">
        <f t="shared" si="11"/>
        <v>800000</v>
      </c>
      <c r="P4954" s="102" t="str">
        <f t="shared" si="2"/>
        <v>Rp100,000-8 PCS-0.00%</v>
      </c>
      <c r="Q4954" s="92">
        <v>45433.0</v>
      </c>
      <c r="R4954" s="76"/>
      <c r="S4954" s="92">
        <v>45437.0</v>
      </c>
      <c r="T4954" s="49"/>
      <c r="V4954" s="21" t="s">
        <v>4090</v>
      </c>
    </row>
    <row r="4955">
      <c r="A4955" s="93">
        <v>275.0</v>
      </c>
      <c r="B4955" s="77" t="s">
        <v>29</v>
      </c>
      <c r="C4955" s="77" t="s">
        <v>155</v>
      </c>
      <c r="D4955" s="77" t="s">
        <v>2854</v>
      </c>
      <c r="E4955" s="41" t="str">
        <f>IFERROR(__xludf.DUMMYFUNCTION("IFNA(vlookup(D4955,IMPORTRANGE(""https://docs.google.com/spreadsheets/d/1swGwZOEqYlTEUCJLY-eeJM1911Kvaei5oySBIxdgtNo/edit?pli=1#gid=257618397"",""stock untanna!B:C""),2,false),V:V)"),"TAS COKLAT TEBAL TANGGUNG ")</f>
        <v>TAS COKLAT TEBAL TANGGUNG </v>
      </c>
      <c r="F4955" s="49"/>
      <c r="G4955" s="71"/>
      <c r="H4955" s="41"/>
      <c r="I4955" s="42"/>
      <c r="J4955" s="85" t="s">
        <v>1319</v>
      </c>
      <c r="K4955" s="93">
        <v>5.0</v>
      </c>
      <c r="L4955" s="112" t="s">
        <v>62</v>
      </c>
      <c r="M4955" s="113">
        <v>30000.0</v>
      </c>
      <c r="N4955" s="74"/>
      <c r="O4955" s="87">
        <f t="shared" si="11"/>
        <v>150000</v>
      </c>
      <c r="P4955" s="102" t="str">
        <f t="shared" si="2"/>
        <v>Rp30,000-5 LSN-0.00%</v>
      </c>
      <c r="Q4955" s="92">
        <v>45433.0</v>
      </c>
      <c r="R4955" s="76"/>
      <c r="S4955" s="92">
        <v>45437.0</v>
      </c>
      <c r="T4955" s="49"/>
      <c r="V4955" s="21" t="s">
        <v>2855</v>
      </c>
    </row>
    <row r="4956">
      <c r="A4956" s="93">
        <v>275.0</v>
      </c>
      <c r="B4956" s="77" t="s">
        <v>29</v>
      </c>
      <c r="C4956" s="77" t="s">
        <v>155</v>
      </c>
      <c r="D4956" s="77" t="s">
        <v>3813</v>
      </c>
      <c r="E4956" s="41" t="str">
        <f>IFERROR(__xludf.DUMMYFUNCTION("IFNA(vlookup(D4956,IMPORTRANGE(""https://docs.google.com/spreadsheets/d/1swGwZOEqYlTEUCJLY-eeJM1911Kvaei5oySBIxdgtNo/edit?pli=1#gid=257618397"",""stock untanna!B:C""),2,false),V:V)"),"GARISAN BESI TF 30CM")</f>
        <v>GARISAN BESI TF 30CM</v>
      </c>
      <c r="F4956" s="49"/>
      <c r="G4956" s="71"/>
      <c r="H4956" s="41"/>
      <c r="I4956" s="42"/>
      <c r="J4956" s="85" t="s">
        <v>1319</v>
      </c>
      <c r="K4956" s="93">
        <v>5.0</v>
      </c>
      <c r="L4956" s="112" t="s">
        <v>62</v>
      </c>
      <c r="M4956" s="113">
        <v>58000.0</v>
      </c>
      <c r="N4956" s="74"/>
      <c r="O4956" s="87">
        <f t="shared" si="11"/>
        <v>290000</v>
      </c>
      <c r="P4956" s="102" t="str">
        <f t="shared" si="2"/>
        <v>Rp58,000-5 LSN-0.00%</v>
      </c>
      <c r="Q4956" s="92">
        <v>45433.0</v>
      </c>
      <c r="R4956" s="76"/>
      <c r="S4956" s="92">
        <v>45437.0</v>
      </c>
      <c r="T4956" s="49"/>
      <c r="V4956" s="21" t="s">
        <v>3814</v>
      </c>
    </row>
    <row r="4957">
      <c r="A4957" s="93">
        <v>275.0</v>
      </c>
      <c r="B4957" s="77" t="s">
        <v>29</v>
      </c>
      <c r="C4957" s="77" t="s">
        <v>155</v>
      </c>
      <c r="D4957" s="77" t="s">
        <v>4091</v>
      </c>
      <c r="E4957" s="41" t="str">
        <f>IFERROR(__xludf.DUMMYFUNCTION("IFNA(vlookup(D4957,IMPORTRANGE(""https://docs.google.com/spreadsheets/d/1swGwZOEqYlTEUCJLY-eeJM1911Kvaei5oySBIxdgtNo/edit?pli=1#gid=257618397"",""stock untanna!B:C""),2,false),V:V)"),"BINDER NOTE WENGU A5-60 FPHY 001")</f>
        <v>BINDER NOTE WENGU A5-60 FPHY 001</v>
      </c>
      <c r="F4957" s="49"/>
      <c r="G4957" s="71"/>
      <c r="H4957" s="41"/>
      <c r="I4957" s="42"/>
      <c r="J4957" s="85" t="s">
        <v>1319</v>
      </c>
      <c r="K4957" s="93">
        <v>6.0</v>
      </c>
      <c r="L4957" s="112" t="s">
        <v>69</v>
      </c>
      <c r="M4957" s="113">
        <v>28000.0</v>
      </c>
      <c r="N4957" s="74"/>
      <c r="O4957" s="87">
        <f t="shared" si="11"/>
        <v>168000</v>
      </c>
      <c r="P4957" s="102" t="str">
        <f t="shared" si="2"/>
        <v>Rp28,000-6 PCS-0.00%</v>
      </c>
      <c r="Q4957" s="92">
        <v>45433.0</v>
      </c>
      <c r="R4957" s="76"/>
      <c r="S4957" s="92">
        <v>45437.0</v>
      </c>
      <c r="T4957" s="49"/>
      <c r="V4957" s="21" t="s">
        <v>4092</v>
      </c>
    </row>
    <row r="4958">
      <c r="A4958" s="93">
        <v>275.0</v>
      </c>
      <c r="B4958" s="77" t="s">
        <v>29</v>
      </c>
      <c r="C4958" s="77" t="s">
        <v>155</v>
      </c>
      <c r="D4958" s="77" t="s">
        <v>4093</v>
      </c>
      <c r="E4958" s="41" t="str">
        <f>IFERROR(__xludf.DUMMYFUNCTION("IFNA(vlookup(D4958,IMPORTRANGE(""https://docs.google.com/spreadsheets/d/1swGwZOEqYlTEUCJLY-eeJM1911Kvaei5oySBIxdgtNo/edit?pli=1#gid=257618397"",""stock untanna!B:C""),2,false),V:V)"),"BINDER NOTE B5-60 FPHY 001")</f>
        <v>BINDER NOTE B5-60 FPHY 001</v>
      </c>
      <c r="F4958" s="49"/>
      <c r="G4958" s="71"/>
      <c r="H4958" s="41"/>
      <c r="I4958" s="42"/>
      <c r="J4958" s="85" t="s">
        <v>1319</v>
      </c>
      <c r="K4958" s="93">
        <v>6.0</v>
      </c>
      <c r="L4958" s="112" t="s">
        <v>69</v>
      </c>
      <c r="M4958" s="113">
        <v>40000.0</v>
      </c>
      <c r="N4958" s="74"/>
      <c r="O4958" s="87">
        <f t="shared" si="11"/>
        <v>240000</v>
      </c>
      <c r="P4958" s="102" t="str">
        <f t="shared" si="2"/>
        <v>Rp40,000-6 PCS-0.00%</v>
      </c>
      <c r="Q4958" s="92">
        <v>45433.0</v>
      </c>
      <c r="R4958" s="76"/>
      <c r="S4958" s="92">
        <v>45437.0</v>
      </c>
      <c r="T4958" s="49"/>
      <c r="V4958" s="21" t="s">
        <v>4094</v>
      </c>
    </row>
    <row r="4959">
      <c r="A4959" s="93">
        <v>4392.0</v>
      </c>
      <c r="B4959" s="77" t="s">
        <v>58</v>
      </c>
      <c r="C4959" s="77" t="s">
        <v>4095</v>
      </c>
      <c r="D4959" s="77" t="s">
        <v>4096</v>
      </c>
      <c r="E4959" s="41" t="str">
        <f>IFERROR(__xludf.DUMMYFUNCTION("IFNA(vlookup(D4959,IMPORTRANGE(""https://docs.google.com/spreadsheets/d/1swGwZOEqYlTEUCJLY-eeJM1911Kvaei5oySBIxdgtNo/edit?pli=1#gid=257618397"",""stock untanna!B:C""),2,false),V:V)"),"AGENDA CK POLOS")</f>
        <v>AGENDA CK POLOS</v>
      </c>
      <c r="F4959" s="49"/>
      <c r="G4959" s="71"/>
      <c r="H4959" s="41"/>
      <c r="I4959" s="42"/>
      <c r="J4959" s="85" t="s">
        <v>1319</v>
      </c>
      <c r="K4959" s="93">
        <v>240.0</v>
      </c>
      <c r="L4959" s="112" t="s">
        <v>69</v>
      </c>
      <c r="M4959" s="113">
        <v>15000.0</v>
      </c>
      <c r="N4959" s="74"/>
      <c r="O4959" s="87">
        <f t="shared" si="11"/>
        <v>3600000</v>
      </c>
      <c r="P4959" s="102" t="str">
        <f t="shared" si="2"/>
        <v>Rp15,000-240 PCS-0.00%</v>
      </c>
      <c r="Q4959" s="92">
        <v>45433.0</v>
      </c>
      <c r="R4959" s="76"/>
      <c r="S4959" s="92">
        <v>45437.0</v>
      </c>
      <c r="T4959" s="49"/>
      <c r="V4959" s="21" t="s">
        <v>4097</v>
      </c>
    </row>
    <row r="4960">
      <c r="A4960" s="93">
        <v>317.0</v>
      </c>
      <c r="B4960" s="91"/>
      <c r="C4960" s="77" t="s">
        <v>2603</v>
      </c>
      <c r="D4960" s="77" t="s">
        <v>1573</v>
      </c>
      <c r="E4960" s="41" t="str">
        <f>IFERROR(__xludf.DUMMYFUNCTION("IFNA(vlookup(D4960,IMPORTRANGE(""https://docs.google.com/spreadsheets/d/1swGwZOEqYlTEUCJLY-eeJM1911Kvaei5oySBIxdgtNo/edit?pli=1#gid=257618397"",""stock untanna!B:C""),2,false),V:V)"),"SPIDOL GOLDEN 838 12W")</f>
        <v>SPIDOL GOLDEN 838 12W</v>
      </c>
      <c r="F4960" s="49"/>
      <c r="G4960" s="71"/>
      <c r="H4960" s="41"/>
      <c r="I4960" s="42"/>
      <c r="J4960" s="85" t="s">
        <v>1319</v>
      </c>
      <c r="K4960" s="93">
        <v>2.0</v>
      </c>
      <c r="L4960" s="112" t="s">
        <v>62</v>
      </c>
      <c r="M4960" s="113">
        <v>34000.0</v>
      </c>
      <c r="N4960" s="74"/>
      <c r="O4960" s="87">
        <f t="shared" si="11"/>
        <v>68000</v>
      </c>
      <c r="P4960" s="102" t="str">
        <f t="shared" si="2"/>
        <v>Rp34,000-2 LSN-0.00%</v>
      </c>
      <c r="Q4960" s="92">
        <v>45433.0</v>
      </c>
      <c r="R4960" s="76"/>
      <c r="S4960" s="92">
        <v>45437.0</v>
      </c>
      <c r="T4960" s="49"/>
      <c r="V4960" s="21" t="s">
        <v>1574</v>
      </c>
    </row>
    <row r="4961">
      <c r="A4961" s="93">
        <v>4217.0</v>
      </c>
      <c r="B4961" s="77" t="s">
        <v>29</v>
      </c>
      <c r="C4961" s="77" t="s">
        <v>2243</v>
      </c>
      <c r="D4961" s="77" t="s">
        <v>4098</v>
      </c>
      <c r="E4961" s="41" t="str">
        <f>IFERROR(__xludf.DUMMYFUNCTION("IFNA(vlookup(D4961,IMPORTRANGE(""https://docs.google.com/spreadsheets/d/1swGwZOEqYlTEUCJLY-eeJM1911Kvaei5oySBIxdgtNo/edit?pli=1#gid=257618397"",""stock untanna!B:C""),2,false),V:V)"),"MECHPEN TIZO G 9000 A")</f>
        <v>MECHPEN TIZO G 9000 A</v>
      </c>
      <c r="F4961" s="49"/>
      <c r="G4961" s="71"/>
      <c r="H4961" s="41"/>
      <c r="I4961" s="42"/>
      <c r="J4961" s="85" t="s">
        <v>1319</v>
      </c>
      <c r="K4961" s="93">
        <v>144.0</v>
      </c>
      <c r="L4961" s="112" t="s">
        <v>62</v>
      </c>
      <c r="M4961" s="113">
        <v>15000.0</v>
      </c>
      <c r="N4961" s="74"/>
      <c r="O4961" s="87">
        <f t="shared" si="11"/>
        <v>2160000</v>
      </c>
      <c r="P4961" s="102" t="str">
        <f t="shared" si="2"/>
        <v>Rp15,000-144 LSN-0.00%</v>
      </c>
      <c r="Q4961" s="92">
        <v>45434.0</v>
      </c>
      <c r="R4961" s="76"/>
      <c r="S4961" s="92">
        <v>45437.0</v>
      </c>
      <c r="T4961" s="49"/>
      <c r="V4961" s="21" t="s">
        <v>2131</v>
      </c>
    </row>
    <row r="4962">
      <c r="A4962" s="93">
        <v>4228.0</v>
      </c>
      <c r="B4962" s="77" t="s">
        <v>29</v>
      </c>
      <c r="C4962" s="77" t="s">
        <v>2243</v>
      </c>
      <c r="D4962" s="77" t="s">
        <v>752</v>
      </c>
      <c r="E4962" s="41" t="str">
        <f>IFERROR(__xludf.DUMMYFUNCTION("IFNA(vlookup(D4962,IMPORTRANGE(""https://docs.google.com/spreadsheets/d/1swGwZOEqYlTEUCJLY-eeJM1911Kvaei5oySBIxdgtNo/edit?pli=1#gid=257618397"",""stock untanna!B:C""),2,false),V:V)"),"BP X DATA M2")</f>
        <v>BP X DATA M2</v>
      </c>
      <c r="F4962" s="49"/>
      <c r="G4962" s="71"/>
      <c r="H4962" s="41"/>
      <c r="I4962" s="42"/>
      <c r="J4962" s="85" t="s">
        <v>1319</v>
      </c>
      <c r="K4962" s="93">
        <v>40.0</v>
      </c>
      <c r="L4962" s="112" t="s">
        <v>131</v>
      </c>
      <c r="M4962" s="113">
        <v>75000.0</v>
      </c>
      <c r="N4962" s="74"/>
      <c r="O4962" s="87">
        <f t="shared" si="11"/>
        <v>3000000</v>
      </c>
      <c r="P4962" s="102" t="str">
        <f t="shared" si="2"/>
        <v>Rp75,000-40 GRS-0.00%</v>
      </c>
      <c r="Q4962" s="92">
        <v>45434.0</v>
      </c>
      <c r="R4962" s="76"/>
      <c r="S4962" s="92">
        <v>45437.0</v>
      </c>
      <c r="T4962" s="49"/>
      <c r="V4962" s="21" t="s">
        <v>753</v>
      </c>
    </row>
    <row r="4963">
      <c r="A4963" s="93">
        <v>4228.0</v>
      </c>
      <c r="B4963" s="77" t="s">
        <v>29</v>
      </c>
      <c r="C4963" s="77" t="s">
        <v>2243</v>
      </c>
      <c r="D4963" s="77" t="s">
        <v>566</v>
      </c>
      <c r="E4963" s="41" t="str">
        <f>IFERROR(__xludf.DUMMYFUNCTION("IFNA(vlookup(D4963,IMPORTRANGE(""https://docs.google.com/spreadsheets/d/1swGwZOEqYlTEUCJLY-eeJM1911Kvaei5oySBIxdgtNo/edit?pli=1#gid=257618397"",""stock untanna!B:C""),2,false),V:V)"),"PENCIL CASE XLG BD194-B")</f>
        <v>PENCIL CASE XLG BD194-B</v>
      </c>
      <c r="F4963" s="49"/>
      <c r="G4963" s="71"/>
      <c r="H4963" s="41"/>
      <c r="I4963" s="42"/>
      <c r="J4963" s="85" t="s">
        <v>1319</v>
      </c>
      <c r="K4963" s="93">
        <v>180.0</v>
      </c>
      <c r="L4963" s="112" t="s">
        <v>69</v>
      </c>
      <c r="M4963" s="113">
        <v>20833.3</v>
      </c>
      <c r="N4963" s="74"/>
      <c r="O4963" s="87">
        <f t="shared" si="11"/>
        <v>3749994</v>
      </c>
      <c r="P4963" s="102" t="str">
        <f t="shared" si="2"/>
        <v>Rp20,833-180 PCS-0.00%</v>
      </c>
      <c r="Q4963" s="92">
        <v>45434.0</v>
      </c>
      <c r="R4963" s="76"/>
      <c r="S4963" s="92">
        <v>45437.0</v>
      </c>
      <c r="T4963" s="49"/>
      <c r="V4963" s="21" t="s">
        <v>567</v>
      </c>
    </row>
    <row r="4964">
      <c r="A4964" s="93">
        <v>4228.0</v>
      </c>
      <c r="B4964" s="77" t="s">
        <v>29</v>
      </c>
      <c r="C4964" s="77" t="s">
        <v>2243</v>
      </c>
      <c r="D4964" s="77" t="s">
        <v>4099</v>
      </c>
      <c r="E4964" s="41" t="str">
        <f>IFERROR(__xludf.DUMMYFUNCTION("IFNA(vlookup(D4964,IMPORTRANGE(""https://docs.google.com/spreadsheets/d/1swGwZOEqYlTEUCJLY-eeJM1911Kvaei5oySBIxdgtNo/edit?pli=1#gid=257618397"",""stock untanna!B:C""),2,false),V:V)"),"PC MAGNIT B 35165")</f>
        <v>PC MAGNIT B 35165</v>
      </c>
      <c r="F4964" s="49"/>
      <c r="G4964" s="71"/>
      <c r="H4964" s="41"/>
      <c r="I4964" s="42"/>
      <c r="J4964" s="85" t="s">
        <v>1319</v>
      </c>
      <c r="K4964" s="93">
        <v>8.0</v>
      </c>
      <c r="L4964" s="112" t="s">
        <v>62</v>
      </c>
      <c r="M4964" s="113">
        <v>240000.0</v>
      </c>
      <c r="N4964" s="74"/>
      <c r="O4964" s="87">
        <f t="shared" si="11"/>
        <v>1920000</v>
      </c>
      <c r="P4964" s="102" t="str">
        <f t="shared" si="2"/>
        <v>Rp240,000-8 LSN-0.00%</v>
      </c>
      <c r="Q4964" s="92">
        <v>45434.0</v>
      </c>
      <c r="R4964" s="76"/>
      <c r="S4964" s="92">
        <v>45437.0</v>
      </c>
      <c r="T4964" s="77" t="s">
        <v>280</v>
      </c>
      <c r="V4964" s="21" t="s">
        <v>4100</v>
      </c>
    </row>
    <row r="4965">
      <c r="A4965" s="93">
        <v>4228.0</v>
      </c>
      <c r="B4965" s="77" t="s">
        <v>29</v>
      </c>
      <c r="C4965" s="77" t="s">
        <v>2243</v>
      </c>
      <c r="D4965" s="77" t="s">
        <v>1328</v>
      </c>
      <c r="E4965" s="41" t="str">
        <f>IFERROR(__xludf.DUMMYFUNCTION("IFNA(vlookup(D4965,IMPORTRANGE(""https://docs.google.com/spreadsheets/d/1swGwZOEqYlTEUCJLY-eeJM1911Kvaei5oySBIxdgtNo/edit?pli=1#gid=257618397"",""stock untanna!B:C""),2,false),V:V)"),"ASAHAN 007")</f>
        <v>ASAHAN 007</v>
      </c>
      <c r="F4965" s="49"/>
      <c r="G4965" s="71"/>
      <c r="H4965" s="41"/>
      <c r="I4965" s="42"/>
      <c r="J4965" s="85" t="s">
        <v>1319</v>
      </c>
      <c r="K4965" s="93">
        <v>96.0</v>
      </c>
      <c r="L4965" s="112" t="s">
        <v>69</v>
      </c>
      <c r="M4965" s="113">
        <v>21000.0</v>
      </c>
      <c r="N4965" s="74"/>
      <c r="O4965" s="87">
        <f t="shared" si="11"/>
        <v>2016000</v>
      </c>
      <c r="P4965" s="102" t="str">
        <f t="shared" si="2"/>
        <v>Rp21,000-96 PCS-0.00%</v>
      </c>
      <c r="Q4965" s="92">
        <v>45434.0</v>
      </c>
      <c r="R4965" s="76"/>
      <c r="S4965" s="92">
        <v>45437.0</v>
      </c>
      <c r="T4965" s="49"/>
      <c r="V4965" s="21" t="s">
        <v>1329</v>
      </c>
    </row>
    <row r="4966">
      <c r="A4966" s="93">
        <v>4228.0</v>
      </c>
      <c r="B4966" s="77" t="s">
        <v>29</v>
      </c>
      <c r="C4966" s="77" t="s">
        <v>2243</v>
      </c>
      <c r="D4966" s="77" t="s">
        <v>4101</v>
      </c>
      <c r="E4966" s="41" t="str">
        <f>IFERROR(__xludf.DUMMYFUNCTION("IFNA(vlookup(D4966,IMPORTRANGE(""https://docs.google.com/spreadsheets/d/1swGwZOEqYlTEUCJLY-eeJM1911Kvaei5oySBIxdgtNo/edit?pli=1#gid=257618397"",""stock untanna!B:C""),2,false),V:V)"),"ASAHAN MEJA S 5227")</f>
        <v>ASAHAN MEJA S 5227</v>
      </c>
      <c r="F4966" s="49"/>
      <c r="G4966" s="71"/>
      <c r="H4966" s="41"/>
      <c r="I4966" s="42"/>
      <c r="J4966" s="85" t="s">
        <v>1319</v>
      </c>
      <c r="K4966" s="93">
        <v>120.0</v>
      </c>
      <c r="L4966" s="112" t="s">
        <v>69</v>
      </c>
      <c r="M4966" s="113">
        <v>17500.0</v>
      </c>
      <c r="N4966" s="74"/>
      <c r="O4966" s="87">
        <f t="shared" si="11"/>
        <v>2100000</v>
      </c>
      <c r="P4966" s="102" t="str">
        <f t="shared" si="2"/>
        <v>Rp17,500-120 PCS-0.00%</v>
      </c>
      <c r="Q4966" s="92">
        <v>45434.0</v>
      </c>
      <c r="R4966" s="76"/>
      <c r="S4966" s="92">
        <v>45437.0</v>
      </c>
      <c r="T4966" s="49"/>
      <c r="V4966" s="21" t="s">
        <v>4102</v>
      </c>
    </row>
    <row r="4967">
      <c r="A4967" s="93">
        <v>4228.0</v>
      </c>
      <c r="B4967" s="77" t="s">
        <v>29</v>
      </c>
      <c r="C4967" s="77" t="s">
        <v>2243</v>
      </c>
      <c r="D4967" s="91"/>
      <c r="E4967" s="41" t="str">
        <f>IFERROR(__xludf.DUMMYFUNCTION("IFNA(vlookup(D4967,IMPORTRANGE(""https://docs.google.com/spreadsheets/d/1swGwZOEqYlTEUCJLY-eeJM1911Kvaei5oySBIxdgtNo/edit?pli=1#gid=257618397"",""stock untanna!B:C""),2,false),V:V)"),"N BOOK SPIRAL JF 390 MIX")</f>
        <v>N BOOK SPIRAL JF 390 MIX</v>
      </c>
      <c r="F4967" s="49"/>
      <c r="G4967" s="71"/>
      <c r="H4967" s="41"/>
      <c r="I4967" s="42"/>
      <c r="J4967" s="85" t="s">
        <v>3190</v>
      </c>
      <c r="K4967" s="93">
        <v>360.0</v>
      </c>
      <c r="L4967" s="112" t="s">
        <v>69</v>
      </c>
      <c r="M4967" s="113">
        <v>12500.0</v>
      </c>
      <c r="N4967" s="115">
        <v>0.1</v>
      </c>
      <c r="O4967" s="87">
        <f t="shared" si="11"/>
        <v>4050000</v>
      </c>
      <c r="P4967" s="102" t="str">
        <f t="shared" si="2"/>
        <v>Rp12,500-360 PCS-10.00%</v>
      </c>
      <c r="Q4967" s="92">
        <v>45434.0</v>
      </c>
      <c r="R4967" s="76"/>
      <c r="S4967" s="92">
        <v>45437.0</v>
      </c>
      <c r="T4967" s="49"/>
      <c r="V4967" s="21" t="s">
        <v>4103</v>
      </c>
    </row>
    <row r="4968">
      <c r="A4968" s="93">
        <v>4228.0</v>
      </c>
      <c r="B4968" s="77" t="s">
        <v>29</v>
      </c>
      <c r="C4968" s="77" t="s">
        <v>2243</v>
      </c>
      <c r="D4968" s="77" t="s">
        <v>711</v>
      </c>
      <c r="E4968" s="41" t="str">
        <f>IFERROR(__xludf.DUMMYFUNCTION("IFNA(vlookup(D4968,IMPORTRANGE(""https://docs.google.com/spreadsheets/d/1swGwZOEqYlTEUCJLY-eeJM1911Kvaei5oySBIxdgtNo/edit?pli=1#gid=257618397"",""stock untanna!B:C""),2,false),V:V)"),"PC MAGNIT 1151")</f>
        <v>PC MAGNIT 1151</v>
      </c>
      <c r="F4968" s="49"/>
      <c r="G4968" s="71"/>
      <c r="H4968" s="41"/>
      <c r="I4968" s="42"/>
      <c r="J4968" s="85" t="s">
        <v>1319</v>
      </c>
      <c r="K4968" s="93">
        <v>288.0</v>
      </c>
      <c r="L4968" s="112" t="s">
        <v>69</v>
      </c>
      <c r="M4968" s="113">
        <v>10416.7</v>
      </c>
      <c r="N4968" s="74"/>
      <c r="O4968" s="87">
        <f t="shared" si="11"/>
        <v>3000009.6</v>
      </c>
      <c r="P4968" s="102" t="str">
        <f t="shared" si="2"/>
        <v>Rp10,417-288 PCS-0.00%</v>
      </c>
      <c r="Q4968" s="92">
        <v>45434.0</v>
      </c>
      <c r="R4968" s="76"/>
      <c r="S4968" s="92">
        <v>45437.0</v>
      </c>
      <c r="T4968" s="49"/>
      <c r="V4968" s="21" t="s">
        <v>712</v>
      </c>
    </row>
    <row r="4969">
      <c r="A4969" s="93">
        <v>142.0</v>
      </c>
      <c r="B4969" s="77" t="s">
        <v>65</v>
      </c>
      <c r="C4969" s="77" t="s">
        <v>4104</v>
      </c>
      <c r="D4969" s="77" t="s">
        <v>700</v>
      </c>
      <c r="E4969" s="41" t="str">
        <f>IFERROR(__xludf.DUMMYFUNCTION("IFNA(vlookup(D4969,IMPORTRANGE(""https://docs.google.com/spreadsheets/d/1swGwZOEqYlTEUCJLY-eeJM1911Kvaei5oySBIxdgtNo/edit?pli=1#gid=257618397"",""stock untanna!B:C""),2,false),V:V)"),"BP TIZO KLIK TG 3300")</f>
        <v>BP TIZO KLIK TG 3300</v>
      </c>
      <c r="F4969" s="49"/>
      <c r="G4969" s="71"/>
      <c r="H4969" s="41"/>
      <c r="I4969" s="42"/>
      <c r="J4969" s="85" t="s">
        <v>1319</v>
      </c>
      <c r="K4969" s="93">
        <v>6.0</v>
      </c>
      <c r="L4969" s="112" t="s">
        <v>62</v>
      </c>
      <c r="M4969" s="113">
        <v>26500.0</v>
      </c>
      <c r="N4969" s="74"/>
      <c r="O4969" s="87">
        <f t="shared" si="11"/>
        <v>159000</v>
      </c>
      <c r="P4969" s="102" t="str">
        <f t="shared" si="2"/>
        <v>Rp26,500-6 LSN-0.00%</v>
      </c>
      <c r="Q4969" s="92">
        <v>45434.0</v>
      </c>
      <c r="R4969" s="76"/>
      <c r="S4969" s="92">
        <v>45437.0</v>
      </c>
      <c r="T4969" s="49"/>
      <c r="V4969" s="21" t="s">
        <v>701</v>
      </c>
    </row>
    <row r="4970">
      <c r="A4970" s="93">
        <v>142.0</v>
      </c>
      <c r="B4970" s="77" t="s">
        <v>65</v>
      </c>
      <c r="C4970" s="77" t="s">
        <v>4104</v>
      </c>
      <c r="D4970" s="77" t="s">
        <v>635</v>
      </c>
      <c r="E4970" s="41" t="str">
        <f>IFERROR(__xludf.DUMMYFUNCTION("IFNA(vlookup(D4970,IMPORTRANGE(""https://docs.google.com/spreadsheets/d/1swGwZOEqYlTEUCJLY-eeJM1911Kvaei5oySBIxdgtNo/edit?pli=1#gid=257618397"",""stock untanna!B:C""),2,false),V:V)"),"BP GEL TIZO 31763F FANCY")</f>
        <v>BP GEL TIZO 31763F FANCY</v>
      </c>
      <c r="F4970" s="49"/>
      <c r="G4970" s="71"/>
      <c r="H4970" s="41"/>
      <c r="I4970" s="42"/>
      <c r="J4970" s="85" t="s">
        <v>1319</v>
      </c>
      <c r="K4970" s="93">
        <v>6.0</v>
      </c>
      <c r="L4970" s="112" t="s">
        <v>62</v>
      </c>
      <c r="M4970" s="113">
        <v>18250.0</v>
      </c>
      <c r="N4970" s="74"/>
      <c r="O4970" s="87">
        <f t="shared" si="11"/>
        <v>109500</v>
      </c>
      <c r="P4970" s="102" t="str">
        <f t="shared" si="2"/>
        <v>Rp18,250-6 LSN-0.00%</v>
      </c>
      <c r="Q4970" s="92">
        <v>45434.0</v>
      </c>
      <c r="R4970" s="76"/>
      <c r="S4970" s="92">
        <v>45437.0</v>
      </c>
      <c r="T4970" s="49"/>
      <c r="V4970" s="21" t="s">
        <v>636</v>
      </c>
    </row>
    <row r="4971">
      <c r="A4971" s="93">
        <v>142.0</v>
      </c>
      <c r="B4971" s="77" t="s">
        <v>65</v>
      </c>
      <c r="C4971" s="77" t="s">
        <v>4104</v>
      </c>
      <c r="D4971" s="77" t="s">
        <v>4105</v>
      </c>
      <c r="E4971" s="41" t="str">
        <f>IFERROR(__xludf.DUMMYFUNCTION("IFNA(vlookup(D4971,IMPORTRANGE(""https://docs.google.com/spreadsheets/d/1swGwZOEqYlTEUCJLY-eeJM1911Kvaei5oySBIxdgtNo/edit?pli=1#gid=257618397"",""stock untanna!B:C""),2,false),V:V)"),"BP TIZO TG 30600F FANCY")</f>
        <v>BP TIZO TG 30600F FANCY</v>
      </c>
      <c r="F4971" s="49"/>
      <c r="G4971" s="71"/>
      <c r="H4971" s="41"/>
      <c r="I4971" s="42"/>
      <c r="J4971" s="85" t="s">
        <v>1319</v>
      </c>
      <c r="K4971" s="93">
        <v>6.0</v>
      </c>
      <c r="L4971" s="112" t="s">
        <v>62</v>
      </c>
      <c r="M4971" s="113">
        <v>18250.0</v>
      </c>
      <c r="N4971" s="74"/>
      <c r="O4971" s="87">
        <f t="shared" si="11"/>
        <v>109500</v>
      </c>
      <c r="P4971" s="102" t="str">
        <f t="shared" si="2"/>
        <v>Rp18,250-6 LSN-0.00%</v>
      </c>
      <c r="Q4971" s="92">
        <v>45434.0</v>
      </c>
      <c r="R4971" s="76"/>
      <c r="S4971" s="92">
        <v>45437.0</v>
      </c>
      <c r="T4971" s="49"/>
      <c r="V4971" s="21" t="s">
        <v>4106</v>
      </c>
    </row>
    <row r="4972">
      <c r="A4972" s="93">
        <v>142.0</v>
      </c>
      <c r="B4972" s="77" t="s">
        <v>65</v>
      </c>
      <c r="C4972" s="77" t="s">
        <v>4104</v>
      </c>
      <c r="D4972" s="77" t="s">
        <v>3813</v>
      </c>
      <c r="E4972" s="41" t="str">
        <f>IFERROR(__xludf.DUMMYFUNCTION("IFNA(vlookup(D4972,IMPORTRANGE(""https://docs.google.com/spreadsheets/d/1swGwZOEqYlTEUCJLY-eeJM1911Kvaei5oySBIxdgtNo/edit?pli=1#gid=257618397"",""stock untanna!B:C""),2,false),V:V)"),"GARISAN BESI TF 30CM")</f>
        <v>GARISAN BESI TF 30CM</v>
      </c>
      <c r="F4972" s="49"/>
      <c r="G4972" s="71"/>
      <c r="H4972" s="41"/>
      <c r="I4972" s="42"/>
      <c r="J4972" s="85" t="s">
        <v>1319</v>
      </c>
      <c r="K4972" s="93">
        <v>3.0</v>
      </c>
      <c r="L4972" s="112" t="s">
        <v>62</v>
      </c>
      <c r="M4972" s="113">
        <v>48500.0</v>
      </c>
      <c r="N4972" s="74"/>
      <c r="O4972" s="87">
        <f t="shared" si="11"/>
        <v>145500</v>
      </c>
      <c r="P4972" s="102" t="str">
        <f t="shared" si="2"/>
        <v>Rp48,500-3 LSN-0.00%</v>
      </c>
      <c r="Q4972" s="92">
        <v>45434.0</v>
      </c>
      <c r="R4972" s="76"/>
      <c r="S4972" s="92">
        <v>45437.0</v>
      </c>
      <c r="T4972" s="49"/>
      <c r="V4972" s="21" t="s">
        <v>3814</v>
      </c>
    </row>
    <row r="4973">
      <c r="A4973" s="93">
        <v>142.0</v>
      </c>
      <c r="B4973" s="77" t="s">
        <v>65</v>
      </c>
      <c r="C4973" s="77" t="s">
        <v>4104</v>
      </c>
      <c r="D4973" s="77" t="s">
        <v>2167</v>
      </c>
      <c r="E4973" s="41" t="str">
        <f>IFERROR(__xludf.DUMMYFUNCTION("IFNA(vlookup(D4973,IMPORTRANGE(""https://docs.google.com/spreadsheets/d/1swGwZOEqYlTEUCJLY-eeJM1911Kvaei5oySBIxdgtNo/edit?pli=1#gid=257618397"",""stock untanna!B:C""),2,false),V:V)"),"CAT AIR OPINI 120")</f>
        <v>CAT AIR OPINI 120</v>
      </c>
      <c r="F4973" s="49"/>
      <c r="G4973" s="71"/>
      <c r="H4973" s="41"/>
      <c r="I4973" s="42"/>
      <c r="J4973" s="85" t="s">
        <v>1319</v>
      </c>
      <c r="K4973" s="93">
        <v>1.0</v>
      </c>
      <c r="L4973" s="112" t="s">
        <v>62</v>
      </c>
      <c r="M4973" s="113">
        <v>110000.0</v>
      </c>
      <c r="N4973" s="74"/>
      <c r="O4973" s="87">
        <f t="shared" si="11"/>
        <v>110000</v>
      </c>
      <c r="P4973" s="102" t="str">
        <f t="shared" si="2"/>
        <v>Rp110,000-1 LSN-0.00%</v>
      </c>
      <c r="Q4973" s="92">
        <v>45434.0</v>
      </c>
      <c r="R4973" s="76"/>
      <c r="S4973" s="92">
        <v>45437.0</v>
      </c>
      <c r="T4973" s="49"/>
      <c r="V4973" s="21" t="s">
        <v>2168</v>
      </c>
    </row>
    <row r="4974">
      <c r="A4974" s="93">
        <v>142.0</v>
      </c>
      <c r="B4974" s="77" t="s">
        <v>65</v>
      </c>
      <c r="C4974" s="77" t="s">
        <v>4104</v>
      </c>
      <c r="D4974" s="77" t="s">
        <v>118</v>
      </c>
      <c r="E4974" s="41" t="str">
        <f>IFERROR(__xludf.DUMMYFUNCTION("IFNA(vlookup(D4974,IMPORTRANGE(""https://docs.google.com/spreadsheets/d/1swGwZOEqYlTEUCJLY-eeJM1911Kvaei5oySBIxdgtNo/edit?pli=1#gid=257618397"",""stock untanna!B:C""),2,false),V:V)"),"TIPEX KERTAS NO.9443")</f>
        <v>TIPEX KERTAS NO.9443</v>
      </c>
      <c r="F4974" s="49"/>
      <c r="G4974" s="71"/>
      <c r="H4974" s="41"/>
      <c r="I4974" s="42"/>
      <c r="J4974" s="85" t="s">
        <v>1319</v>
      </c>
      <c r="K4974" s="93">
        <v>1.0</v>
      </c>
      <c r="L4974" s="112" t="s">
        <v>62</v>
      </c>
      <c r="M4974" s="113">
        <v>50000.0</v>
      </c>
      <c r="N4974" s="74"/>
      <c r="O4974" s="87">
        <f t="shared" si="11"/>
        <v>50000</v>
      </c>
      <c r="P4974" s="102" t="str">
        <f t="shared" si="2"/>
        <v>Rp50,000-1 LSN-0.00%</v>
      </c>
      <c r="Q4974" s="92">
        <v>45434.0</v>
      </c>
      <c r="R4974" s="76"/>
      <c r="S4974" s="92">
        <v>45437.0</v>
      </c>
      <c r="T4974" s="49"/>
      <c r="V4974" s="21" t="s">
        <v>119</v>
      </c>
    </row>
    <row r="4975">
      <c r="A4975" s="93">
        <v>142.0</v>
      </c>
      <c r="B4975" s="77" t="s">
        <v>65</v>
      </c>
      <c r="C4975" s="77" t="s">
        <v>4104</v>
      </c>
      <c r="D4975" s="77" t="s">
        <v>1033</v>
      </c>
      <c r="E4975" s="41" t="str">
        <f>IFERROR(__xludf.DUMMYFUNCTION("IFNA(vlookup(D4975,IMPORTRANGE(""https://docs.google.com/spreadsheets/d/1swGwZOEqYlTEUCJLY-eeJM1911Kvaei5oySBIxdgtNo/edit?pli=1#gid=257618397"",""stock untanna!B:C""),2,false),V:V)"),"TIPEX KERTAS DY-8242")</f>
        <v>TIPEX KERTAS DY-8242</v>
      </c>
      <c r="F4975" s="49"/>
      <c r="G4975" s="71"/>
      <c r="H4975" s="41"/>
      <c r="I4975" s="42"/>
      <c r="J4975" s="85" t="s">
        <v>1319</v>
      </c>
      <c r="K4975" s="93">
        <v>1.0</v>
      </c>
      <c r="L4975" s="112" t="s">
        <v>62</v>
      </c>
      <c r="M4975" s="113">
        <v>60000.0</v>
      </c>
      <c r="N4975" s="74"/>
      <c r="O4975" s="87">
        <f t="shared" si="11"/>
        <v>60000</v>
      </c>
      <c r="P4975" s="102" t="str">
        <f t="shared" si="2"/>
        <v>Rp60,000-1 LSN-0.00%</v>
      </c>
      <c r="Q4975" s="92">
        <v>45434.0</v>
      </c>
      <c r="R4975" s="76"/>
      <c r="S4975" s="92">
        <v>45437.0</v>
      </c>
      <c r="T4975" s="77"/>
      <c r="V4975" s="21" t="s">
        <v>4107</v>
      </c>
    </row>
    <row r="4976">
      <c r="A4976" s="93">
        <v>142.0</v>
      </c>
      <c r="B4976" s="77" t="s">
        <v>65</v>
      </c>
      <c r="C4976" s="77" t="s">
        <v>4104</v>
      </c>
      <c r="D4976" s="77" t="s">
        <v>3487</v>
      </c>
      <c r="E4976" s="41" t="str">
        <f>IFERROR(__xludf.DUMMYFUNCTION("IFNA(vlookup(D4976,IMPORTRANGE(""https://docs.google.com/spreadsheets/d/1swGwZOEqYlTEUCJLY-eeJM1911Kvaei5oySBIxdgtNo/edit?pli=1#gid=257618397"",""stock untanna!B:C""),2,false),V:V)"),"TIPEX KERTAS 8243")</f>
        <v>TIPEX KERTAS 8243</v>
      </c>
      <c r="F4976" s="49"/>
      <c r="G4976" s="71"/>
      <c r="H4976" s="41"/>
      <c r="I4976" s="42"/>
      <c r="J4976" s="85" t="s">
        <v>1319</v>
      </c>
      <c r="K4976" s="93">
        <v>1.0</v>
      </c>
      <c r="L4976" s="112" t="s">
        <v>62</v>
      </c>
      <c r="M4976" s="113">
        <v>85000.0</v>
      </c>
      <c r="N4976" s="74"/>
      <c r="O4976" s="87">
        <f t="shared" si="11"/>
        <v>85000</v>
      </c>
      <c r="P4976" s="102" t="str">
        <f t="shared" si="2"/>
        <v>Rp85,000-1 LSN-0.00%</v>
      </c>
      <c r="Q4976" s="92">
        <v>45434.0</v>
      </c>
      <c r="R4976" s="76"/>
      <c r="S4976" s="92">
        <v>45437.0</v>
      </c>
      <c r="T4976" s="49"/>
      <c r="V4976" s="21" t="s">
        <v>3488</v>
      </c>
    </row>
    <row r="4977">
      <c r="A4977" s="93">
        <v>142.0</v>
      </c>
      <c r="B4977" s="77" t="s">
        <v>65</v>
      </c>
      <c r="C4977" s="77" t="s">
        <v>4104</v>
      </c>
      <c r="D4977" s="77" t="s">
        <v>1029</v>
      </c>
      <c r="E4977" s="41" t="str">
        <f>IFERROR(__xludf.DUMMYFUNCTION("IFNA(vlookup(D4977,IMPORTRANGE(""https://docs.google.com/spreadsheets/d/1swGwZOEqYlTEUCJLY-eeJM1911Kvaei5oySBIxdgtNo/edit?pli=1#gid=257618397"",""stock untanna!B:C""),2,false),V:V)"),"TIPEX KERTAS NO.5026")</f>
        <v>TIPEX KERTAS NO.5026</v>
      </c>
      <c r="F4977" s="49"/>
      <c r="G4977" s="71"/>
      <c r="H4977" s="41"/>
      <c r="I4977" s="42"/>
      <c r="J4977" s="85" t="s">
        <v>1319</v>
      </c>
      <c r="K4977" s="93">
        <v>1.0</v>
      </c>
      <c r="L4977" s="112" t="s">
        <v>62</v>
      </c>
      <c r="M4977" s="113">
        <v>57500.0</v>
      </c>
      <c r="N4977" s="74"/>
      <c r="O4977" s="87">
        <f t="shared" si="11"/>
        <v>57500</v>
      </c>
      <c r="P4977" s="102" t="str">
        <f t="shared" si="2"/>
        <v>Rp57,500-1 LSN-0.00%</v>
      </c>
      <c r="Q4977" s="92">
        <v>45434.0</v>
      </c>
      <c r="R4977" s="76"/>
      <c r="S4977" s="92">
        <v>45437.0</v>
      </c>
      <c r="T4977" s="49"/>
      <c r="V4977" s="21" t="s">
        <v>1030</v>
      </c>
    </row>
    <row r="4978">
      <c r="A4978" s="93">
        <v>142.0</v>
      </c>
      <c r="B4978" s="77" t="s">
        <v>65</v>
      </c>
      <c r="C4978" s="77" t="s">
        <v>4104</v>
      </c>
      <c r="D4978" s="77" t="s">
        <v>4108</v>
      </c>
      <c r="E4978" s="41" t="str">
        <f>IFERROR(__xludf.DUMMYFUNCTION("IFNA(vlookup(D4978,IMPORTRANGE(""https://docs.google.com/spreadsheets/d/1swGwZOEqYlTEUCJLY-eeJM1911Kvaei5oySBIxdgtNo/edit?pli=1#gid=257618397"",""stock untanna!B:C""),2,false),V:V)"),"TIPEX KERTAS DY-8240")</f>
        <v>TIPEX KERTAS DY-8240</v>
      </c>
      <c r="F4978" s="49"/>
      <c r="G4978" s="71"/>
      <c r="H4978" s="41"/>
      <c r="I4978" s="42"/>
      <c r="J4978" s="85" t="s">
        <v>1319</v>
      </c>
      <c r="K4978" s="93">
        <v>1.0</v>
      </c>
      <c r="L4978" s="112" t="s">
        <v>62</v>
      </c>
      <c r="M4978" s="113">
        <v>35000.0</v>
      </c>
      <c r="N4978" s="74"/>
      <c r="O4978" s="87">
        <f t="shared" si="11"/>
        <v>35000</v>
      </c>
      <c r="P4978" s="102" t="str">
        <f t="shared" si="2"/>
        <v>Rp35,000-1 LSN-0.00%</v>
      </c>
      <c r="Q4978" s="92">
        <v>45434.0</v>
      </c>
      <c r="R4978" s="76"/>
      <c r="S4978" s="92">
        <v>45437.0</v>
      </c>
      <c r="T4978" s="49"/>
      <c r="V4978" s="21" t="s">
        <v>1034</v>
      </c>
    </row>
    <row r="4979">
      <c r="A4979" s="93">
        <v>142.0</v>
      </c>
      <c r="B4979" s="77" t="s">
        <v>65</v>
      </c>
      <c r="C4979" s="77" t="s">
        <v>4104</v>
      </c>
      <c r="D4979" s="77" t="s">
        <v>3018</v>
      </c>
      <c r="E4979" s="41" t="str">
        <f>IFERROR(__xludf.DUMMYFUNCTION("IFNA(vlookup(D4979,IMPORTRANGE(""https://docs.google.com/spreadsheets/d/1swGwZOEqYlTEUCJLY-eeJM1911Kvaei5oySBIxdgtNo/edit?pli=1#gid=257618397"",""stock untanna!B:C""),2,false),V:V)"),"TIPEX KERTAS 91040HG")</f>
        <v>TIPEX KERTAS 91040HG</v>
      </c>
      <c r="F4979" s="49"/>
      <c r="G4979" s="71"/>
      <c r="H4979" s="41"/>
      <c r="I4979" s="42"/>
      <c r="J4979" s="85" t="s">
        <v>1319</v>
      </c>
      <c r="K4979" s="93">
        <v>1.0</v>
      </c>
      <c r="L4979" s="112" t="s">
        <v>62</v>
      </c>
      <c r="M4979" s="113">
        <v>50000.0</v>
      </c>
      <c r="N4979" s="74"/>
      <c r="O4979" s="87">
        <f t="shared" si="11"/>
        <v>50000</v>
      </c>
      <c r="P4979" s="102" t="str">
        <f t="shared" si="2"/>
        <v>Rp50,000-1 LSN-0.00%</v>
      </c>
      <c r="Q4979" s="92">
        <v>45434.0</v>
      </c>
      <c r="R4979" s="76"/>
      <c r="S4979" s="92">
        <v>45437.0</v>
      </c>
      <c r="T4979" s="77"/>
      <c r="V4979" s="21" t="s">
        <v>3019</v>
      </c>
    </row>
    <row r="4980">
      <c r="A4980" s="93">
        <v>142.0</v>
      </c>
      <c r="B4980" s="77" t="s">
        <v>65</v>
      </c>
      <c r="C4980" s="77" t="s">
        <v>4104</v>
      </c>
      <c r="D4980" s="77" t="s">
        <v>1041</v>
      </c>
      <c r="E4980" s="41" t="str">
        <f>IFERROR(__xludf.DUMMYFUNCTION("IFNA(vlookup(D4980,IMPORTRANGE(""https://docs.google.com/spreadsheets/d/1swGwZOEqYlTEUCJLY-eeJM1911Kvaei5oySBIxdgtNo/edit?pli=1#gid=257618397"",""stock untanna!B:C""),2,false),V:V)"),"TIPEX KERTAS NO.5039")</f>
        <v>TIPEX KERTAS NO.5039</v>
      </c>
      <c r="F4980" s="49"/>
      <c r="G4980" s="71"/>
      <c r="H4980" s="41"/>
      <c r="I4980" s="42"/>
      <c r="J4980" s="85" t="s">
        <v>1319</v>
      </c>
      <c r="K4980" s="93">
        <v>1.0</v>
      </c>
      <c r="L4980" s="112" t="s">
        <v>62</v>
      </c>
      <c r="M4980" s="113">
        <v>50000.0</v>
      </c>
      <c r="N4980" s="74"/>
      <c r="O4980" s="87">
        <f t="shared" si="11"/>
        <v>50000</v>
      </c>
      <c r="P4980" s="102" t="str">
        <f t="shared" si="2"/>
        <v>Rp50,000-1 LSN-0.00%</v>
      </c>
      <c r="Q4980" s="92">
        <v>45434.0</v>
      </c>
      <c r="R4980" s="76"/>
      <c r="S4980" s="92">
        <v>45437.0</v>
      </c>
      <c r="T4980" s="49"/>
      <c r="V4980" s="21" t="s">
        <v>1042</v>
      </c>
    </row>
    <row r="4981">
      <c r="A4981" s="93">
        <v>142.0</v>
      </c>
      <c r="B4981" s="77" t="s">
        <v>65</v>
      </c>
      <c r="C4981" s="77" t="s">
        <v>4104</v>
      </c>
      <c r="D4981" s="77" t="s">
        <v>1039</v>
      </c>
      <c r="E4981" s="41" t="str">
        <f>IFERROR(__xludf.DUMMYFUNCTION("IFNA(vlookup(D4981,IMPORTRANGE(""https://docs.google.com/spreadsheets/d/1swGwZOEqYlTEUCJLY-eeJM1911Kvaei5oySBIxdgtNo/edit?pli=1#gid=257618397"",""stock untanna!B:C""),2,false),V:V)"),"TIPEX KERTAS NO.5031")</f>
        <v>TIPEX KERTAS NO.5031</v>
      </c>
      <c r="F4981" s="49"/>
      <c r="G4981" s="71"/>
      <c r="H4981" s="41"/>
      <c r="I4981" s="42"/>
      <c r="J4981" s="85" t="s">
        <v>1319</v>
      </c>
      <c r="K4981" s="93">
        <v>1.0</v>
      </c>
      <c r="L4981" s="112" t="s">
        <v>62</v>
      </c>
      <c r="M4981" s="113">
        <v>50000.0</v>
      </c>
      <c r="N4981" s="74"/>
      <c r="O4981" s="87">
        <f t="shared" si="11"/>
        <v>50000</v>
      </c>
      <c r="P4981" s="102" t="str">
        <f t="shared" si="2"/>
        <v>Rp50,000-1 LSN-0.00%</v>
      </c>
      <c r="Q4981" s="92">
        <v>45434.0</v>
      </c>
      <c r="R4981" s="76"/>
      <c r="S4981" s="92">
        <v>45437.0</v>
      </c>
      <c r="T4981" s="49"/>
      <c r="V4981" s="21" t="s">
        <v>1040</v>
      </c>
    </row>
    <row r="4982">
      <c r="A4982" s="93">
        <v>142.0</v>
      </c>
      <c r="B4982" s="77" t="s">
        <v>65</v>
      </c>
      <c r="C4982" s="77" t="s">
        <v>4104</v>
      </c>
      <c r="D4982" s="91"/>
      <c r="E4982" s="41" t="str">
        <f>IFERROR(__xludf.DUMMYFUNCTION("IFNA(vlookup(D4982,IMPORTRANGE(""https://docs.google.com/spreadsheets/d/1swGwZOEqYlTEUCJLY-eeJM1911Kvaei5oySBIxdgtNo/edit?pli=1#gid=257618397"",""stock untanna!B:C""),2,false),V:V)"),"N BOOK 25K MB 35-25")</f>
        <v>N BOOK 25K MB 35-25</v>
      </c>
      <c r="F4982" s="49"/>
      <c r="G4982" s="71"/>
      <c r="H4982" s="41"/>
      <c r="I4982" s="42"/>
      <c r="J4982" s="85" t="s">
        <v>3190</v>
      </c>
      <c r="K4982" s="93">
        <v>6.0</v>
      </c>
      <c r="L4982" s="112" t="s">
        <v>69</v>
      </c>
      <c r="M4982" s="113">
        <v>20000.0</v>
      </c>
      <c r="N4982" s="74"/>
      <c r="O4982" s="87">
        <f t="shared" si="11"/>
        <v>120000</v>
      </c>
      <c r="P4982" s="102" t="str">
        <f t="shared" si="2"/>
        <v>Rp20,000-6 PCS-0.00%</v>
      </c>
      <c r="Q4982" s="92">
        <v>45434.0</v>
      </c>
      <c r="R4982" s="76"/>
      <c r="S4982" s="92">
        <v>45437.0</v>
      </c>
      <c r="T4982" s="49"/>
      <c r="V4982" s="21" t="s">
        <v>3051</v>
      </c>
    </row>
    <row r="4983">
      <c r="A4983" s="93">
        <v>142.0</v>
      </c>
      <c r="B4983" s="77" t="s">
        <v>65</v>
      </c>
      <c r="C4983" s="77" t="s">
        <v>4104</v>
      </c>
      <c r="D4983" s="77" t="s">
        <v>3636</v>
      </c>
      <c r="E4983" s="41" t="str">
        <f>IFERROR(__xludf.DUMMYFUNCTION("IFNA(vlookup(D4983,IMPORTRANGE(""https://docs.google.com/spreadsheets/d/1swGwZOEqYlTEUCJLY-eeJM1911Kvaei5oySBIxdgtNo/edit?pli=1#gid=257618397"",""stock untanna!B:C""),2,false),V:V)"),"WATER COLOUR TFWC-010 (12X6ML)")</f>
        <v>WATER COLOUR TFWC-010 (12X6ML)</v>
      </c>
      <c r="F4983" s="49"/>
      <c r="G4983" s="71"/>
      <c r="H4983" s="41"/>
      <c r="I4983" s="42"/>
      <c r="J4983" s="85" t="s">
        <v>1319</v>
      </c>
      <c r="K4983" s="93">
        <v>12.0</v>
      </c>
      <c r="L4983" s="112" t="s">
        <v>84</v>
      </c>
      <c r="M4983" s="113">
        <v>16000.0</v>
      </c>
      <c r="N4983" s="74"/>
      <c r="O4983" s="87">
        <f t="shared" si="11"/>
        <v>192000</v>
      </c>
      <c r="P4983" s="102" t="str">
        <f t="shared" si="2"/>
        <v>Rp16,000-12 SET-0.00%</v>
      </c>
      <c r="Q4983" s="92">
        <v>45434.0</v>
      </c>
      <c r="R4983" s="76"/>
      <c r="S4983" s="92">
        <v>45437.0</v>
      </c>
      <c r="T4983" s="49"/>
      <c r="V4983" s="21" t="s">
        <v>3637</v>
      </c>
    </row>
    <row r="4984">
      <c r="A4984" s="93">
        <v>142.0</v>
      </c>
      <c r="B4984" s="77" t="s">
        <v>65</v>
      </c>
      <c r="C4984" s="77" t="s">
        <v>4104</v>
      </c>
      <c r="D4984" s="77" t="s">
        <v>2327</v>
      </c>
      <c r="E4984" s="41" t="str">
        <f>IFERROR(__xludf.DUMMYFUNCTION("IFNA(vlookup(D4984,IMPORTRANGE(""https://docs.google.com/spreadsheets/d/1swGwZOEqYlTEUCJLY-eeJM1911Kvaei5oySBIxdgtNo/edit?pli=1#gid=257618397"",""stock untanna!B:C""),2,false),V:V)"),"STICK NOTE TF 654 5C")</f>
        <v>STICK NOTE TF 654 5C</v>
      </c>
      <c r="F4984" s="49"/>
      <c r="G4984" s="71"/>
      <c r="H4984" s="41"/>
      <c r="I4984" s="42"/>
      <c r="J4984" s="85" t="s">
        <v>1319</v>
      </c>
      <c r="K4984" s="93">
        <v>12.0</v>
      </c>
      <c r="L4984" s="112" t="s">
        <v>69</v>
      </c>
      <c r="M4984" s="113">
        <v>4000.0</v>
      </c>
      <c r="N4984" s="74"/>
      <c r="O4984" s="87">
        <f t="shared" si="11"/>
        <v>48000</v>
      </c>
      <c r="P4984" s="102" t="str">
        <f t="shared" si="2"/>
        <v>Rp4,000-12 PCS-0.00%</v>
      </c>
      <c r="Q4984" s="92">
        <v>45434.0</v>
      </c>
      <c r="R4984" s="76"/>
      <c r="S4984" s="92">
        <v>45437.0</v>
      </c>
      <c r="T4984" s="49"/>
      <c r="V4984" s="21" t="s">
        <v>2328</v>
      </c>
    </row>
    <row r="4985">
      <c r="A4985" s="93">
        <v>143.0</v>
      </c>
      <c r="B4985" s="77" t="s">
        <v>29</v>
      </c>
      <c r="C4985" s="77" t="s">
        <v>4104</v>
      </c>
      <c r="D4985" s="77" t="s">
        <v>1997</v>
      </c>
      <c r="E4985" s="41" t="str">
        <f>IFERROR(__xludf.DUMMYFUNCTION("IFNA(vlookup(D4985,IMPORTRANGE(""https://docs.google.com/spreadsheets/d/1swGwZOEqYlTEUCJLY-eeJM1911Kvaei5oySBIxdgtNo/edit?pli=1#gid=257618397"",""stock untanna!B:C""),2,false),V:V)"),"ID CARD B1 IMPORT")</f>
        <v>ID CARD B1 IMPORT</v>
      </c>
      <c r="F4985" s="49"/>
      <c r="G4985" s="71"/>
      <c r="H4985" s="41"/>
      <c r="I4985" s="42"/>
      <c r="J4985" s="85" t="s">
        <v>1319</v>
      </c>
      <c r="K4985" s="93">
        <v>120.0</v>
      </c>
      <c r="L4985" s="112" t="s">
        <v>69</v>
      </c>
      <c r="M4985" s="113">
        <v>375.0</v>
      </c>
      <c r="N4985" s="74"/>
      <c r="O4985" s="87">
        <f t="shared" si="11"/>
        <v>45000</v>
      </c>
      <c r="P4985" s="102" t="str">
        <f t="shared" si="2"/>
        <v>Rp375-120 PCS-0.00%</v>
      </c>
      <c r="Q4985" s="92">
        <v>45434.0</v>
      </c>
      <c r="R4985" s="76"/>
      <c r="S4985" s="92">
        <v>45437.0</v>
      </c>
      <c r="T4985" s="49"/>
      <c r="V4985" s="21" t="s">
        <v>1998</v>
      </c>
    </row>
    <row r="4986">
      <c r="A4986" s="93">
        <v>143.0</v>
      </c>
      <c r="B4986" s="77" t="s">
        <v>29</v>
      </c>
      <c r="C4986" s="77" t="s">
        <v>4104</v>
      </c>
      <c r="D4986" s="77" t="s">
        <v>77</v>
      </c>
      <c r="E4986" s="41" t="str">
        <f>IFERROR(__xludf.DUMMYFUNCTION("IFNA(vlookup(D4986,IMPORTRANGE(""https://docs.google.com/spreadsheets/d/1swGwZOEqYlTEUCJLY-eeJM1911Kvaei5oySBIxdgtNo/edit?pli=1#gid=257618397"",""stock untanna!B:C""),2,false),V:V)"),"ID CARD B4 IMPORT")</f>
        <v>ID CARD B4 IMPORT</v>
      </c>
      <c r="F4986" s="49"/>
      <c r="G4986" s="71"/>
      <c r="H4986" s="41"/>
      <c r="I4986" s="42"/>
      <c r="J4986" s="85" t="s">
        <v>1319</v>
      </c>
      <c r="K4986" s="93">
        <v>400.0</v>
      </c>
      <c r="L4986" s="112" t="s">
        <v>69</v>
      </c>
      <c r="M4986" s="113">
        <v>675.0</v>
      </c>
      <c r="N4986" s="74"/>
      <c r="O4986" s="87">
        <f t="shared" si="11"/>
        <v>270000</v>
      </c>
      <c r="P4986" s="102" t="str">
        <f t="shared" si="2"/>
        <v>Rp675-400 PCS-0.00%</v>
      </c>
      <c r="Q4986" s="92">
        <v>45434.0</v>
      </c>
      <c r="R4986" s="76"/>
      <c r="S4986" s="92">
        <v>45437.0</v>
      </c>
      <c r="T4986" s="49"/>
      <c r="V4986" s="21" t="s">
        <v>78</v>
      </c>
    </row>
    <row r="4987">
      <c r="A4987" s="93">
        <v>143.0</v>
      </c>
      <c r="B4987" s="77" t="s">
        <v>29</v>
      </c>
      <c r="C4987" s="77" t="s">
        <v>4104</v>
      </c>
      <c r="D4987" s="77" t="s">
        <v>649</v>
      </c>
      <c r="E4987" s="41" t="str">
        <f>IFERROR(__xludf.DUMMYFUNCTION("IFNA(vlookup(D4987,IMPORTRANGE(""https://docs.google.com/spreadsheets/d/1swGwZOEqYlTEUCJLY-eeJM1911Kvaei5oySBIxdgtNo/edit?pli=1#gid=257618397"",""stock untanna!B:C""),2,false),V:V)"),"KUAS TF ART TF-2023")</f>
        <v>KUAS TF ART TF-2023</v>
      </c>
      <c r="F4987" s="49"/>
      <c r="G4987" s="71"/>
      <c r="H4987" s="41"/>
      <c r="I4987" s="42"/>
      <c r="J4987" s="85" t="s">
        <v>1319</v>
      </c>
      <c r="K4987" s="93">
        <v>6.0</v>
      </c>
      <c r="L4987" s="112" t="s">
        <v>84</v>
      </c>
      <c r="M4987" s="113">
        <v>7500.0</v>
      </c>
      <c r="N4987" s="74"/>
      <c r="O4987" s="87">
        <f t="shared" si="11"/>
        <v>45000</v>
      </c>
      <c r="P4987" s="102" t="str">
        <f t="shared" si="2"/>
        <v>Rp7,500-6 SET-0.00%</v>
      </c>
      <c r="Q4987" s="92">
        <v>45434.0</v>
      </c>
      <c r="R4987" s="76"/>
      <c r="S4987" s="92">
        <v>45437.0</v>
      </c>
      <c r="T4987" s="49"/>
      <c r="V4987" s="21" t="s">
        <v>650</v>
      </c>
    </row>
    <row r="4988">
      <c r="A4988" s="93">
        <v>143.0</v>
      </c>
      <c r="B4988" s="77" t="s">
        <v>29</v>
      </c>
      <c r="C4988" s="77" t="s">
        <v>4104</v>
      </c>
      <c r="D4988" s="77" t="s">
        <v>4109</v>
      </c>
      <c r="E4988" s="41" t="str">
        <f>IFERROR(__xludf.DUMMYFUNCTION("IFNA(vlookup(D4988,IMPORTRANGE(""https://docs.google.com/spreadsheets/d/1swGwZOEqYlTEUCJLY-eeJM1911Kvaei5oySBIxdgtNo/edit?pli=1#gid=257618397"",""stock untanna!B:C""),2,false),V:V)"),"KUAS 21839-5HB")</f>
        <v>KUAS 21839-5HB</v>
      </c>
      <c r="F4988" s="49"/>
      <c r="G4988" s="71"/>
      <c r="H4988" s="41"/>
      <c r="I4988" s="42"/>
      <c r="J4988" s="85" t="s">
        <v>1319</v>
      </c>
      <c r="K4988" s="93">
        <v>6.0</v>
      </c>
      <c r="L4988" s="112" t="s">
        <v>69</v>
      </c>
      <c r="M4988" s="113">
        <v>15000.0</v>
      </c>
      <c r="N4988" s="74"/>
      <c r="O4988" s="87">
        <f t="shared" si="11"/>
        <v>90000</v>
      </c>
      <c r="P4988" s="102" t="str">
        <f t="shared" si="2"/>
        <v>Rp15,000-6 PCS-0.00%</v>
      </c>
      <c r="Q4988" s="92">
        <v>45434.0</v>
      </c>
      <c r="R4988" s="76"/>
      <c r="S4988" s="92">
        <v>45437.0</v>
      </c>
      <c r="T4988" s="49"/>
      <c r="V4988" s="21" t="s">
        <v>191</v>
      </c>
    </row>
    <row r="4989">
      <c r="A4989" s="93">
        <v>143.0</v>
      </c>
      <c r="B4989" s="77" t="s">
        <v>29</v>
      </c>
      <c r="C4989" s="77" t="s">
        <v>4104</v>
      </c>
      <c r="D4989" s="77" t="s">
        <v>4110</v>
      </c>
      <c r="E4989" s="41" t="str">
        <f>IFERROR(__xludf.DUMMYFUNCTION("IFNA(vlookup(D4989,IMPORTRANGE(""https://docs.google.com/spreadsheets/d/1swGwZOEqYlTEUCJLY-eeJM1911Kvaei5oySBIxdgtNo/edit?pli=1#gid=257618397"",""stock untanna!B:C""),2,false),V:V)"),"KUAS 21839-16")</f>
        <v>KUAS 21839-16</v>
      </c>
      <c r="F4989" s="49"/>
      <c r="G4989" s="71"/>
      <c r="H4989" s="41"/>
      <c r="I4989" s="42"/>
      <c r="J4989" s="85" t="s">
        <v>1319</v>
      </c>
      <c r="K4989" s="93">
        <v>24.0</v>
      </c>
      <c r="L4989" s="112" t="s">
        <v>69</v>
      </c>
      <c r="M4989" s="113">
        <v>10500.0</v>
      </c>
      <c r="N4989" s="74"/>
      <c r="O4989" s="87">
        <f t="shared" si="11"/>
        <v>252000</v>
      </c>
      <c r="P4989" s="102" t="str">
        <f t="shared" si="2"/>
        <v>Rp10,500-24 PCS-0.00%</v>
      </c>
      <c r="Q4989" s="92">
        <v>45434.0</v>
      </c>
      <c r="R4989" s="76"/>
      <c r="S4989" s="92">
        <v>45437.0</v>
      </c>
      <c r="T4989" s="49"/>
      <c r="V4989" s="21" t="s">
        <v>4111</v>
      </c>
    </row>
    <row r="4990">
      <c r="A4990" s="93">
        <v>143.0</v>
      </c>
      <c r="B4990" s="77" t="s">
        <v>29</v>
      </c>
      <c r="C4990" s="77" t="s">
        <v>4104</v>
      </c>
      <c r="D4990" s="91"/>
      <c r="E4990" s="41" t="str">
        <f>IFERROR(__xludf.DUMMYFUNCTION("IFNA(vlookup(D4990,IMPORTRANGE(""https://docs.google.com/spreadsheets/d/1swGwZOEqYlTEUCJLY-eeJM1911Kvaei5oySBIxdgtNo/edit?pli=1#gid=257618397"",""stock untanna!B:C""),2,false),V:V)"),"OIL PASTEL BB 12/ HW 12")</f>
        <v>OIL PASTEL BB 12/ HW 12</v>
      </c>
      <c r="F4990" s="49"/>
      <c r="G4990" s="71"/>
      <c r="H4990" s="41"/>
      <c r="I4990" s="42"/>
      <c r="J4990" s="85" t="s">
        <v>1319</v>
      </c>
      <c r="K4990" s="93">
        <v>1.0</v>
      </c>
      <c r="L4990" s="112" t="s">
        <v>62</v>
      </c>
      <c r="M4990" s="113">
        <v>70000.0</v>
      </c>
      <c r="N4990" s="74"/>
      <c r="O4990" s="87">
        <f t="shared" si="11"/>
        <v>70000</v>
      </c>
      <c r="P4990" s="102" t="str">
        <f t="shared" si="2"/>
        <v>Rp70,000-1 LSN-0.00%</v>
      </c>
      <c r="Q4990" s="92">
        <v>45434.0</v>
      </c>
      <c r="R4990" s="76"/>
      <c r="S4990" s="92">
        <v>45437.0</v>
      </c>
      <c r="T4990" s="77" t="s">
        <v>280</v>
      </c>
      <c r="V4990" s="21" t="s">
        <v>3264</v>
      </c>
    </row>
    <row r="4991">
      <c r="A4991" s="93">
        <v>143.0</v>
      </c>
      <c r="B4991" s="77" t="s">
        <v>29</v>
      </c>
      <c r="C4991" s="77" t="s">
        <v>4104</v>
      </c>
      <c r="D4991" s="77" t="s">
        <v>4112</v>
      </c>
      <c r="E4991" s="41" t="str">
        <f>IFERROR(__xludf.DUMMYFUNCTION("IFNA(vlookup(D4991,IMPORTRANGE(""https://docs.google.com/spreadsheets/d/1swGwZOEqYlTEUCJLY-eeJM1911Kvaei5oySBIxdgtNo/edit?pli=1#gid=257618397"",""stock untanna!B:C""),2,false),V:V)"),"PISAU UKIR 8")</f>
        <v>PISAU UKIR 8</v>
      </c>
      <c r="F4991" s="49"/>
      <c r="G4991" s="71"/>
      <c r="H4991" s="41"/>
      <c r="I4991" s="42"/>
      <c r="J4991" s="85" t="s">
        <v>1319</v>
      </c>
      <c r="K4991" s="93">
        <v>6.0</v>
      </c>
      <c r="L4991" s="112" t="s">
        <v>84</v>
      </c>
      <c r="M4991" s="113">
        <v>16500.0</v>
      </c>
      <c r="N4991" s="74"/>
      <c r="O4991" s="87">
        <f t="shared" si="11"/>
        <v>99000</v>
      </c>
      <c r="P4991" s="102" t="str">
        <f t="shared" si="2"/>
        <v>Rp16,500-6 SET-0.00%</v>
      </c>
      <c r="Q4991" s="92">
        <v>45434.0</v>
      </c>
      <c r="R4991" s="76"/>
      <c r="S4991" s="92">
        <v>45437.0</v>
      </c>
      <c r="T4991" s="49"/>
      <c r="V4991" s="21" t="s">
        <v>4113</v>
      </c>
    </row>
    <row r="4992">
      <c r="A4992" s="93">
        <v>143.0</v>
      </c>
      <c r="B4992" s="77" t="s">
        <v>29</v>
      </c>
      <c r="C4992" s="77" t="s">
        <v>4104</v>
      </c>
      <c r="D4992" s="91"/>
      <c r="E4992" s="41" t="str">
        <f>IFERROR(__xludf.DUMMYFUNCTION("IFNA(vlookup(D4992,IMPORTRANGE(""https://docs.google.com/spreadsheets/d/1swGwZOEqYlTEUCJLY-eeJM1911Kvaei5oySBIxdgtNo/edit?pli=1#gid=257618397"",""stock untanna!B:C""),2,false),V:V)"),"KUAS CAT 251-163 A")</f>
        <v>KUAS CAT 251-163 A</v>
      </c>
      <c r="F4992" s="49"/>
      <c r="G4992" s="71"/>
      <c r="H4992" s="41"/>
      <c r="I4992" s="42"/>
      <c r="J4992" s="85" t="s">
        <v>3190</v>
      </c>
      <c r="K4992" s="93">
        <v>6.0</v>
      </c>
      <c r="L4992" s="112" t="s">
        <v>84</v>
      </c>
      <c r="M4992" s="113">
        <v>16000.0</v>
      </c>
      <c r="N4992" s="74"/>
      <c r="O4992" s="87">
        <f t="shared" si="11"/>
        <v>96000</v>
      </c>
      <c r="P4992" s="102" t="str">
        <f t="shared" si="2"/>
        <v>Rp16,000-6 SET-0.00%</v>
      </c>
      <c r="Q4992" s="92">
        <v>45434.0</v>
      </c>
      <c r="R4992" s="76"/>
      <c r="S4992" s="92">
        <v>45437.0</v>
      </c>
      <c r="T4992" s="49"/>
      <c r="V4992" s="21" t="s">
        <v>4114</v>
      </c>
    </row>
    <row r="4993">
      <c r="A4993" s="93">
        <v>143.0</v>
      </c>
      <c r="B4993" s="77" t="s">
        <v>29</v>
      </c>
      <c r="C4993" s="77" t="s">
        <v>4104</v>
      </c>
      <c r="D4993" s="77" t="s">
        <v>4115</v>
      </c>
      <c r="E4993" s="41" t="str">
        <f>IFERROR(__xludf.DUMMYFUNCTION("IFNA(vlookup(D4993,IMPORTRANGE(""https://docs.google.com/spreadsheets/d/1swGwZOEqYlTEUCJLY-eeJM1911Kvaei5oySBIxdgtNo/edit?pli=1#gid=257618397"",""stock untanna!B:C""),2,false),V:V)"),"KUAS 929-5 ETERNA YIJIAYI")</f>
        <v>KUAS 929-5 ETERNA YIJIAYI</v>
      </c>
      <c r="F4993" s="49"/>
      <c r="G4993" s="71"/>
      <c r="H4993" s="41"/>
      <c r="I4993" s="42"/>
      <c r="J4993" s="85" t="s">
        <v>1319</v>
      </c>
      <c r="K4993" s="93">
        <v>5.0</v>
      </c>
      <c r="L4993" s="112" t="s">
        <v>62</v>
      </c>
      <c r="M4993" s="113">
        <v>26000.0</v>
      </c>
      <c r="N4993" s="74"/>
      <c r="O4993" s="87">
        <f t="shared" si="11"/>
        <v>130000</v>
      </c>
      <c r="P4993" s="102" t="str">
        <f t="shared" si="2"/>
        <v>Rp26,000-5 LSN-0.00%</v>
      </c>
      <c r="Q4993" s="92">
        <v>45434.0</v>
      </c>
      <c r="R4993" s="76"/>
      <c r="S4993" s="92">
        <v>45437.0</v>
      </c>
      <c r="T4993" s="49"/>
      <c r="V4993" s="21" t="s">
        <v>4116</v>
      </c>
    </row>
    <row r="4994">
      <c r="A4994" s="93">
        <v>143.0</v>
      </c>
      <c r="B4994" s="77" t="s">
        <v>29</v>
      </c>
      <c r="C4994" s="77" t="s">
        <v>4104</v>
      </c>
      <c r="D4994" s="77" t="s">
        <v>4117</v>
      </c>
      <c r="E4994" s="41" t="str">
        <f>IFERROR(__xludf.DUMMYFUNCTION("IFNA(vlookup(D4994,IMPORTRANGE(""https://docs.google.com/spreadsheets/d/1swGwZOEqYlTEUCJLY-eeJM1911Kvaei5oySBIxdgtNo/edit?pli=1#gid=257618397"",""stock untanna!B:C""),2,false),V:V)"),"KUAS 929-3 ETERNA YIJIAYI")</f>
        <v>KUAS 929-3 ETERNA YIJIAYI</v>
      </c>
      <c r="F4994" s="49"/>
      <c r="G4994" s="71"/>
      <c r="H4994" s="41"/>
      <c r="I4994" s="42"/>
      <c r="J4994" s="85" t="s">
        <v>1319</v>
      </c>
      <c r="K4994" s="93">
        <v>3.0</v>
      </c>
      <c r="L4994" s="112" t="s">
        <v>62</v>
      </c>
      <c r="M4994" s="113">
        <v>19000.0</v>
      </c>
      <c r="N4994" s="74"/>
      <c r="O4994" s="87">
        <f t="shared" si="11"/>
        <v>57000</v>
      </c>
      <c r="P4994" s="102" t="str">
        <f t="shared" si="2"/>
        <v>Rp19,000-3 LSN-0.00%</v>
      </c>
      <c r="Q4994" s="92">
        <v>45434.0</v>
      </c>
      <c r="R4994" s="76"/>
      <c r="S4994" s="92">
        <v>45437.0</v>
      </c>
      <c r="T4994" s="49"/>
      <c r="V4994" s="21" t="s">
        <v>4118</v>
      </c>
    </row>
    <row r="4995">
      <c r="A4995" s="93">
        <v>143.0</v>
      </c>
      <c r="B4995" s="77" t="s">
        <v>29</v>
      </c>
      <c r="C4995" s="77" t="s">
        <v>4104</v>
      </c>
      <c r="D4995" s="77" t="s">
        <v>2135</v>
      </c>
      <c r="E4995" s="41" t="str">
        <f>IFERROR(__xludf.DUMMYFUNCTION("IFNA(vlookup(D4995,IMPORTRANGE(""https://docs.google.com/spreadsheets/d/1swGwZOEqYlTEUCJLY-eeJM1911Kvaei5oySBIxdgtNo/edit?pli=1#gid=257618397"",""stock untanna!B:C""),2,false),V:V)"),"KUAS 929-1 ETERNA YIJIAYI")</f>
        <v>KUAS 929-1 ETERNA YIJIAYI</v>
      </c>
      <c r="F4995" s="49"/>
      <c r="G4995" s="71"/>
      <c r="H4995" s="41"/>
      <c r="I4995" s="42"/>
      <c r="J4995" s="85" t="s">
        <v>1319</v>
      </c>
      <c r="K4995" s="93">
        <v>3.0</v>
      </c>
      <c r="L4995" s="112" t="s">
        <v>62</v>
      </c>
      <c r="M4995" s="113">
        <v>14000.0</v>
      </c>
      <c r="N4995" s="74"/>
      <c r="O4995" s="87">
        <f t="shared" si="11"/>
        <v>42000</v>
      </c>
      <c r="P4995" s="102" t="str">
        <f t="shared" si="2"/>
        <v>Rp14,000-3 LSN-0.00%</v>
      </c>
      <c r="Q4995" s="92">
        <v>45434.0</v>
      </c>
      <c r="R4995" s="76"/>
      <c r="S4995" s="92">
        <v>45437.0</v>
      </c>
      <c r="T4995" s="49"/>
      <c r="V4995" s="21" t="s">
        <v>2136</v>
      </c>
    </row>
    <row r="4996">
      <c r="A4996" s="93">
        <v>143.0</v>
      </c>
      <c r="B4996" s="77" t="s">
        <v>29</v>
      </c>
      <c r="C4996" s="77" t="s">
        <v>4104</v>
      </c>
      <c r="D4996" s="77" t="s">
        <v>2141</v>
      </c>
      <c r="E4996" s="41" t="str">
        <f>IFERROR(__xludf.DUMMYFUNCTION("IFNA(vlookup(D4996,IMPORTRANGE(""https://docs.google.com/spreadsheets/d/1swGwZOEqYlTEUCJLY-eeJM1911Kvaei5oySBIxdgtNo/edit?pli=1#gid=257618397"",""stock untanna!B:C""),2,false),V:V)"),"KUAS 929-6 ETERNA YIJIAYI")</f>
        <v>KUAS 929-6 ETERNA YIJIAYI</v>
      </c>
      <c r="F4996" s="49"/>
      <c r="G4996" s="71"/>
      <c r="H4996" s="41"/>
      <c r="I4996" s="42"/>
      <c r="J4996" s="85" t="s">
        <v>1319</v>
      </c>
      <c r="K4996" s="93">
        <v>3.0</v>
      </c>
      <c r="L4996" s="112" t="s">
        <v>62</v>
      </c>
      <c r="M4996" s="113">
        <v>27000.0</v>
      </c>
      <c r="N4996" s="74"/>
      <c r="O4996" s="87">
        <f t="shared" si="11"/>
        <v>81000</v>
      </c>
      <c r="P4996" s="102" t="str">
        <f t="shared" si="2"/>
        <v>Rp27,000-3 LSN-0.00%</v>
      </c>
      <c r="Q4996" s="92">
        <v>45434.0</v>
      </c>
      <c r="R4996" s="76"/>
      <c r="S4996" s="92">
        <v>45437.0</v>
      </c>
      <c r="T4996" s="49"/>
      <c r="V4996" s="21" t="s">
        <v>2142</v>
      </c>
    </row>
    <row r="4997">
      <c r="A4997" s="93">
        <v>143.0</v>
      </c>
      <c r="B4997" s="77" t="s">
        <v>29</v>
      </c>
      <c r="C4997" s="77" t="s">
        <v>4104</v>
      </c>
      <c r="D4997" s="77" t="s">
        <v>2143</v>
      </c>
      <c r="E4997" s="41" t="str">
        <f>IFERROR(__xludf.DUMMYFUNCTION("IFNA(vlookup(D4997,IMPORTRANGE(""https://docs.google.com/spreadsheets/d/1swGwZOEqYlTEUCJLY-eeJM1911Kvaei5oySBIxdgtNo/edit?pli=1#gid=257618397"",""stock untanna!B:C""),2,false),V:V)"),"KUAS 929-7 ETERNA YIJIAYI")</f>
        <v>KUAS 929-7 ETERNA YIJIAYI</v>
      </c>
      <c r="F4997" s="49"/>
      <c r="G4997" s="71"/>
      <c r="H4997" s="41"/>
      <c r="I4997" s="42"/>
      <c r="J4997" s="85" t="s">
        <v>1319</v>
      </c>
      <c r="K4997" s="93">
        <v>3.0</v>
      </c>
      <c r="L4997" s="112" t="s">
        <v>62</v>
      </c>
      <c r="M4997" s="113">
        <v>31000.0</v>
      </c>
      <c r="N4997" s="74"/>
      <c r="O4997" s="87">
        <f t="shared" si="11"/>
        <v>93000</v>
      </c>
      <c r="P4997" s="102" t="str">
        <f t="shared" si="2"/>
        <v>Rp31,000-3 LSN-0.00%</v>
      </c>
      <c r="Q4997" s="92">
        <v>45434.0</v>
      </c>
      <c r="R4997" s="76"/>
      <c r="S4997" s="92">
        <v>45437.0</v>
      </c>
      <c r="T4997" s="49"/>
      <c r="V4997" s="21" t="s">
        <v>2144</v>
      </c>
    </row>
    <row r="4998">
      <c r="A4998" s="93">
        <v>143.0</v>
      </c>
      <c r="B4998" s="77" t="s">
        <v>29</v>
      </c>
      <c r="C4998" s="77" t="s">
        <v>4104</v>
      </c>
      <c r="D4998" s="91"/>
      <c r="E4998" s="41" t="str">
        <f>IFERROR(__xludf.DUMMYFUNCTION("IFNA(vlookup(D4998,IMPORTRANGE(""https://docs.google.com/spreadsheets/d/1swGwZOEqYlTEUCJLY-eeJM1911Kvaei5oySBIxdgtNo/edit?pli=1#gid=257618397"",""stock untanna!B:C""),2,false),V:V)"),"PALLETE 850")</f>
        <v>PALLETE 850</v>
      </c>
      <c r="F4998" s="49"/>
      <c r="G4998" s="71"/>
      <c r="H4998" s="41"/>
      <c r="I4998" s="42"/>
      <c r="J4998" s="85" t="s">
        <v>1319</v>
      </c>
      <c r="K4998" s="93">
        <v>6.0</v>
      </c>
      <c r="L4998" s="112" t="s">
        <v>69</v>
      </c>
      <c r="M4998" s="113">
        <v>12500.0</v>
      </c>
      <c r="N4998" s="74"/>
      <c r="O4998" s="87">
        <f t="shared" si="11"/>
        <v>75000</v>
      </c>
      <c r="P4998" s="102" t="str">
        <f t="shared" si="2"/>
        <v>Rp12,500-6 PCS-0.00%</v>
      </c>
      <c r="Q4998" s="92">
        <v>45434.0</v>
      </c>
      <c r="R4998" s="76"/>
      <c r="S4998" s="92">
        <v>45437.0</v>
      </c>
      <c r="T4998" s="77" t="s">
        <v>280</v>
      </c>
      <c r="V4998" s="21" t="s">
        <v>4119</v>
      </c>
    </row>
    <row r="4999">
      <c r="A4999" s="93">
        <v>143.0</v>
      </c>
      <c r="B4999" s="77" t="s">
        <v>29</v>
      </c>
      <c r="C4999" s="77" t="s">
        <v>4104</v>
      </c>
      <c r="D4999" s="77" t="s">
        <v>659</v>
      </c>
      <c r="E4999" s="41" t="str">
        <f>IFERROR(__xludf.DUMMYFUNCTION("IFNA(vlookup(D4999,IMPORTRANGE(""https://docs.google.com/spreadsheets/d/1swGwZOEqYlTEUCJLY-eeJM1911Kvaei5oySBIxdgtNo/edit?pli=1#gid=257618397"",""stock untanna!B:C""),2,false),V:V)"),"CAT ACRYLIC V-TECH")</f>
        <v>CAT ACRYLIC V-TECH</v>
      </c>
      <c r="F4999" s="49"/>
      <c r="G4999" s="71"/>
      <c r="H4999" s="41"/>
      <c r="I4999" s="42"/>
      <c r="J4999" s="85" t="s">
        <v>1319</v>
      </c>
      <c r="K4999" s="93">
        <v>24.0</v>
      </c>
      <c r="L4999" s="112" t="s">
        <v>62</v>
      </c>
      <c r="M4999" s="113">
        <v>16666.7</v>
      </c>
      <c r="N4999" s="74"/>
      <c r="O4999" s="87">
        <f t="shared" si="11"/>
        <v>400000.8</v>
      </c>
      <c r="P4999" s="102" t="str">
        <f t="shared" si="2"/>
        <v>Rp16,667-24 LSN-0.00%</v>
      </c>
      <c r="Q4999" s="92">
        <v>45434.0</v>
      </c>
      <c r="R4999" s="76"/>
      <c r="S4999" s="92">
        <v>45437.0</v>
      </c>
      <c r="T4999" s="49"/>
      <c r="V4999" s="21" t="s">
        <v>660</v>
      </c>
    </row>
    <row r="5000">
      <c r="A5000" s="93">
        <v>4291.0</v>
      </c>
      <c r="B5000" s="77" t="s">
        <v>65</v>
      </c>
      <c r="C5000" s="77" t="s">
        <v>4120</v>
      </c>
      <c r="D5000" s="91"/>
      <c r="E5000" s="41" t="str">
        <f>IFERROR(__xludf.DUMMYFUNCTION("IFNA(vlookup(D5000,IMPORTRANGE(""https://docs.google.com/spreadsheets/d/1swGwZOEqYlTEUCJLY-eeJM1911Kvaei5oySBIxdgtNo/edit?pli=1#gid=257618397"",""stock untanna!B:C""),2,false),V:V)"),"KERTAS KADO GLITTER POLOS")</f>
        <v>KERTAS KADO GLITTER POLOS</v>
      </c>
      <c r="F5000" s="49"/>
      <c r="G5000" s="71"/>
      <c r="H5000" s="41"/>
      <c r="I5000" s="42"/>
      <c r="J5000" s="85" t="s">
        <v>3190</v>
      </c>
      <c r="K5000" s="93">
        <v>500.0</v>
      </c>
      <c r="L5000" s="112" t="s">
        <v>69</v>
      </c>
      <c r="M5000" s="113">
        <v>2250.0</v>
      </c>
      <c r="N5000" s="74"/>
      <c r="O5000" s="87">
        <f t="shared" si="11"/>
        <v>1125000</v>
      </c>
      <c r="P5000" s="102" t="str">
        <f t="shared" si="2"/>
        <v>Rp2,250-500 PCS-0.00%</v>
      </c>
      <c r="Q5000" s="92">
        <v>45434.0</v>
      </c>
      <c r="R5000" s="76"/>
      <c r="S5000" s="92">
        <v>45437.0</v>
      </c>
      <c r="T5000" s="49"/>
      <c r="V5000" s="21" t="s">
        <v>4121</v>
      </c>
    </row>
    <row r="5001">
      <c r="A5001" s="93">
        <v>4291.0</v>
      </c>
      <c r="B5001" s="77" t="s">
        <v>65</v>
      </c>
      <c r="C5001" s="77" t="s">
        <v>4120</v>
      </c>
      <c r="D5001" s="91"/>
      <c r="E5001" s="41" t="str">
        <f>IFERROR(__xludf.DUMMYFUNCTION("IFNA(vlookup(D5001,IMPORTRANGE(""https://docs.google.com/spreadsheets/d/1swGwZOEqYlTEUCJLY-eeJM1911Kvaei5oySBIxdgtNo/edit?pli=1#gid=257618397"",""stock untanna!B:C""),2,false),V:V)"),"KERTAS KADO GLITTER MOTIF")</f>
        <v>KERTAS KADO GLITTER MOTIF</v>
      </c>
      <c r="F5001" s="49"/>
      <c r="G5001" s="71"/>
      <c r="H5001" s="41"/>
      <c r="I5001" s="42"/>
      <c r="J5001" s="85" t="s">
        <v>3190</v>
      </c>
      <c r="K5001" s="93">
        <v>500.0</v>
      </c>
      <c r="L5001" s="112" t="s">
        <v>69</v>
      </c>
      <c r="M5001" s="113">
        <v>2250.0</v>
      </c>
      <c r="N5001" s="74"/>
      <c r="O5001" s="87">
        <f t="shared" si="11"/>
        <v>1125000</v>
      </c>
      <c r="P5001" s="102" t="str">
        <f t="shared" si="2"/>
        <v>Rp2,250-500 PCS-0.00%</v>
      </c>
      <c r="Q5001" s="92">
        <v>45434.0</v>
      </c>
      <c r="R5001" s="76"/>
      <c r="S5001" s="92">
        <v>45437.0</v>
      </c>
      <c r="T5001" s="49"/>
      <c r="V5001" s="21" t="s">
        <v>4122</v>
      </c>
    </row>
    <row r="5002">
      <c r="A5002" s="93">
        <v>38.0</v>
      </c>
      <c r="B5002" s="77" t="s">
        <v>58</v>
      </c>
      <c r="C5002" s="77" t="s">
        <v>4123</v>
      </c>
      <c r="D5002" s="77" t="s">
        <v>1260</v>
      </c>
      <c r="E5002" s="41" t="str">
        <f>IFERROR(__xludf.DUMMYFUNCTION("IFNA(vlookup(D5002,IMPORTRANGE(""https://docs.google.com/spreadsheets/d/1swGwZOEqYlTEUCJLY-eeJM1911Kvaei5oySBIxdgtNo/edit?pli=1#gid=257618397"",""stock untanna!B:C""),2,false),V:V)"),"TAS KARUNG 40X45 ")</f>
        <v>TAS KARUNG 40X45 </v>
      </c>
      <c r="F5002" s="49"/>
      <c r="G5002" s="71"/>
      <c r="H5002" s="41"/>
      <c r="I5002" s="42"/>
      <c r="J5002" s="85" t="s">
        <v>1319</v>
      </c>
      <c r="K5002" s="93">
        <v>10.0</v>
      </c>
      <c r="L5002" s="112" t="s">
        <v>62</v>
      </c>
      <c r="M5002" s="113">
        <v>147000.0</v>
      </c>
      <c r="N5002" s="74"/>
      <c r="O5002" s="87">
        <f t="shared" si="11"/>
        <v>1470000</v>
      </c>
      <c r="P5002" s="102" t="str">
        <f t="shared" si="2"/>
        <v>Rp147,000-10 LSN-0.00%</v>
      </c>
      <c r="Q5002" s="92">
        <v>45434.0</v>
      </c>
      <c r="R5002" s="76"/>
      <c r="S5002" s="92">
        <v>45437.0</v>
      </c>
      <c r="T5002" s="49"/>
      <c r="V5002" s="21" t="s">
        <v>1261</v>
      </c>
    </row>
    <row r="5003">
      <c r="A5003" s="93">
        <v>38.0</v>
      </c>
      <c r="B5003" s="77" t="s">
        <v>58</v>
      </c>
      <c r="C5003" s="77" t="s">
        <v>4123</v>
      </c>
      <c r="D5003" s="77" t="s">
        <v>1262</v>
      </c>
      <c r="E5003" s="41" t="str">
        <f>IFERROR(__xludf.DUMMYFUNCTION("IFNA(vlookup(D5003,IMPORTRANGE(""https://docs.google.com/spreadsheets/d/1swGwZOEqYlTEUCJLY-eeJM1911Kvaei5oySBIxdgtNo/edit?pli=1#gid=257618397"",""stock untanna!B:C""),2,false),V:V)"),"TAS KARUNG 50X55")</f>
        <v>TAS KARUNG 50X55</v>
      </c>
      <c r="F5003" s="49"/>
      <c r="G5003" s="71"/>
      <c r="H5003" s="41"/>
      <c r="I5003" s="42"/>
      <c r="J5003" s="85" t="s">
        <v>1319</v>
      </c>
      <c r="K5003" s="93">
        <v>10.0</v>
      </c>
      <c r="L5003" s="112" t="s">
        <v>62</v>
      </c>
      <c r="M5003" s="113">
        <v>196000.0</v>
      </c>
      <c r="N5003" s="74"/>
      <c r="O5003" s="87">
        <f t="shared" si="11"/>
        <v>1960000</v>
      </c>
      <c r="P5003" s="102" t="str">
        <f t="shared" si="2"/>
        <v>Rp196,000-10 LSN-0.00%</v>
      </c>
      <c r="Q5003" s="92">
        <v>45434.0</v>
      </c>
      <c r="R5003" s="76"/>
      <c r="S5003" s="92">
        <v>45437.0</v>
      </c>
      <c r="T5003" s="49"/>
      <c r="V5003" s="21" t="s">
        <v>1263</v>
      </c>
    </row>
    <row r="5004">
      <c r="A5004" s="93">
        <v>38.0</v>
      </c>
      <c r="B5004" s="77" t="s">
        <v>58</v>
      </c>
      <c r="C5004" s="77" t="s">
        <v>4123</v>
      </c>
      <c r="D5004" s="77" t="s">
        <v>2422</v>
      </c>
      <c r="E5004" s="41" t="str">
        <f>IFERROR(__xludf.DUMMYFUNCTION("IFNA(vlookup(D5004,IMPORTRANGE(""https://docs.google.com/spreadsheets/d/1swGwZOEqYlTEUCJLY-eeJM1911Kvaei5oySBIxdgtNo/edit?pli=1#gid=257618397"",""stock untanna!B:C""),2,false),V:V)"),"TAS KARUNG 60X70")</f>
        <v>TAS KARUNG 60X70</v>
      </c>
      <c r="F5004" s="49"/>
      <c r="G5004" s="71"/>
      <c r="H5004" s="41"/>
      <c r="I5004" s="42"/>
      <c r="J5004" s="85" t="s">
        <v>1319</v>
      </c>
      <c r="K5004" s="93">
        <v>10.0</v>
      </c>
      <c r="L5004" s="112" t="s">
        <v>62</v>
      </c>
      <c r="M5004" s="113">
        <v>273000.0</v>
      </c>
      <c r="N5004" s="74"/>
      <c r="O5004" s="87">
        <f t="shared" si="11"/>
        <v>2730000</v>
      </c>
      <c r="P5004" s="102" t="str">
        <f t="shared" si="2"/>
        <v>Rp273,000-10 LSN-0.00%</v>
      </c>
      <c r="Q5004" s="92">
        <v>45434.0</v>
      </c>
      <c r="R5004" s="76"/>
      <c r="S5004" s="92">
        <v>45437.0</v>
      </c>
      <c r="T5004" s="49"/>
      <c r="V5004" s="21" t="s">
        <v>2424</v>
      </c>
    </row>
    <row r="5005">
      <c r="A5005" s="93">
        <v>38.0</v>
      </c>
      <c r="B5005" s="77" t="s">
        <v>58</v>
      </c>
      <c r="C5005" s="77" t="s">
        <v>4123</v>
      </c>
      <c r="D5005" s="77" t="s">
        <v>3347</v>
      </c>
      <c r="E5005" s="41" t="str">
        <f>IFERROR(__xludf.DUMMYFUNCTION("IFNA(vlookup(D5005,IMPORTRANGE(""https://docs.google.com/spreadsheets/d/1swGwZOEqYlTEUCJLY-eeJM1911Kvaei5oySBIxdgtNo/edit?pli=1#gid=257618397"",""stock untanna!B:C""),2,false),V:V)"),"TAS 30X20")</f>
        <v>TAS 30X20</v>
      </c>
      <c r="F5005" s="49"/>
      <c r="G5005" s="71"/>
      <c r="H5005" s="41"/>
      <c r="I5005" s="42"/>
      <c r="J5005" s="85" t="s">
        <v>1319</v>
      </c>
      <c r="K5005" s="93">
        <v>840.0</v>
      </c>
      <c r="L5005" s="112" t="s">
        <v>69</v>
      </c>
      <c r="M5005" s="113">
        <v>6250.0</v>
      </c>
      <c r="N5005" s="74"/>
      <c r="O5005" s="87">
        <f t="shared" si="11"/>
        <v>5250000</v>
      </c>
      <c r="P5005" s="102" t="str">
        <f t="shared" si="2"/>
        <v>Rp6,250-840 PCS-0.00%</v>
      </c>
      <c r="Q5005" s="92">
        <v>45434.0</v>
      </c>
      <c r="R5005" s="76"/>
      <c r="S5005" s="92">
        <v>45437.0</v>
      </c>
      <c r="T5005" s="49"/>
      <c r="V5005" s="21" t="s">
        <v>3348</v>
      </c>
    </row>
    <row r="5006">
      <c r="A5006" s="93">
        <v>38.0</v>
      </c>
      <c r="B5006" s="77" t="s">
        <v>58</v>
      </c>
      <c r="C5006" s="77" t="s">
        <v>4123</v>
      </c>
      <c r="D5006" s="77" t="s">
        <v>3865</v>
      </c>
      <c r="E5006" s="41" t="str">
        <f>IFERROR(__xludf.DUMMYFUNCTION("IFNA(vlookup(D5006,IMPORTRANGE(""https://docs.google.com/spreadsheets/d/1swGwZOEqYlTEUCJLY-eeJM1911Kvaei5oySBIxdgtNo/edit?pli=1#gid=257618397"",""stock untanna!B:C""),2,false),V:V)"),"TAS 33X27 L TIDUR")</f>
        <v>TAS 33X27 L TIDUR</v>
      </c>
      <c r="F5006" s="49"/>
      <c r="G5006" s="71"/>
      <c r="H5006" s="41"/>
      <c r="I5006" s="42"/>
      <c r="J5006" s="85" t="s">
        <v>1319</v>
      </c>
      <c r="K5006" s="93">
        <v>840.0</v>
      </c>
      <c r="L5006" s="112" t="s">
        <v>69</v>
      </c>
      <c r="M5006" s="113">
        <v>7500.0</v>
      </c>
      <c r="N5006" s="74"/>
      <c r="O5006" s="87">
        <f t="shared" si="11"/>
        <v>6300000</v>
      </c>
      <c r="P5006" s="102" t="str">
        <f t="shared" si="2"/>
        <v>Rp7,500-840 PCS-0.00%</v>
      </c>
      <c r="Q5006" s="92">
        <v>45434.0</v>
      </c>
      <c r="R5006" s="76"/>
      <c r="S5006" s="92">
        <v>45437.0</v>
      </c>
      <c r="T5006" s="49"/>
      <c r="V5006" s="21" t="s">
        <v>3866</v>
      </c>
    </row>
    <row r="5007">
      <c r="A5007" s="93">
        <v>277.0</v>
      </c>
      <c r="B5007" s="77" t="s">
        <v>29</v>
      </c>
      <c r="C5007" s="77" t="s">
        <v>4124</v>
      </c>
      <c r="D5007" s="91"/>
      <c r="E5007" s="41" t="str">
        <f>IFERROR(__xludf.DUMMYFUNCTION("IFNA(vlookup(D5007,IMPORTRANGE(""https://docs.google.com/spreadsheets/d/1swGwZOEqYlTEUCJLY-eeJM1911Kvaei5oySBIxdgtNo/edit?pli=1#gid=257618397"",""stock untanna!B:C""),2,false),V:V)"),"PENSIL 2B KY122 COKLAT")</f>
        <v>PENSIL 2B KY122 COKLAT</v>
      </c>
      <c r="F5007" s="49"/>
      <c r="G5007" s="71"/>
      <c r="H5007" s="41"/>
      <c r="I5007" s="42"/>
      <c r="J5007" s="85" t="s">
        <v>3190</v>
      </c>
      <c r="K5007" s="93">
        <v>1800.0</v>
      </c>
      <c r="L5007" s="112" t="s">
        <v>62</v>
      </c>
      <c r="M5007" s="113">
        <v>8400.0</v>
      </c>
      <c r="N5007" s="74"/>
      <c r="O5007" s="87">
        <f t="shared" si="11"/>
        <v>15120000</v>
      </c>
      <c r="P5007" s="102" t="str">
        <f t="shared" si="2"/>
        <v>Rp8,400-1800 LSN-0.00%</v>
      </c>
      <c r="Q5007" s="92">
        <v>45434.0</v>
      </c>
      <c r="R5007" s="76"/>
      <c r="S5007" s="92">
        <v>45437.0</v>
      </c>
      <c r="T5007" s="49"/>
      <c r="V5007" s="21" t="s">
        <v>4125</v>
      </c>
    </row>
    <row r="5008">
      <c r="A5008" s="93">
        <v>277.0</v>
      </c>
      <c r="B5008" s="77" t="s">
        <v>29</v>
      </c>
      <c r="C5008" s="77" t="s">
        <v>4124</v>
      </c>
      <c r="D5008" s="77" t="s">
        <v>4126</v>
      </c>
      <c r="E5008" s="41" t="str">
        <f>IFERROR(__xludf.DUMMYFUNCTION("IFNA(vlookup(D5008,IMPORTRANGE(""https://docs.google.com/spreadsheets/d/1swGwZOEqYlTEUCJLY-eeJM1911Kvaei5oySBIxdgtNo/edit?pli=1#gid=257618397"",""stock untanna!B:C""),2,false),V:V)"),"BP ZHIXIN G 212 WARNA + ISI MINI")</f>
        <v>BP ZHIXIN G 212 WARNA + ISI MINI</v>
      </c>
      <c r="F5008" s="49"/>
      <c r="G5008" s="71"/>
      <c r="H5008" s="41"/>
      <c r="I5008" s="42"/>
      <c r="J5008" s="85" t="s">
        <v>1319</v>
      </c>
      <c r="K5008" s="93">
        <v>600.0</v>
      </c>
      <c r="L5008" s="112" t="s">
        <v>62</v>
      </c>
      <c r="M5008" s="113">
        <v>17250.0</v>
      </c>
      <c r="N5008" s="74"/>
      <c r="O5008" s="87">
        <f t="shared" si="11"/>
        <v>10350000</v>
      </c>
      <c r="P5008" s="102" t="str">
        <f t="shared" si="2"/>
        <v>Rp17,250-600 LSN-0.00%</v>
      </c>
      <c r="Q5008" s="92">
        <v>45434.0</v>
      </c>
      <c r="R5008" s="76"/>
      <c r="S5008" s="92">
        <v>45437.0</v>
      </c>
      <c r="T5008" s="49"/>
      <c r="V5008" s="21" t="s">
        <v>4127</v>
      </c>
    </row>
    <row r="5009">
      <c r="A5009" s="93">
        <v>278.0</v>
      </c>
      <c r="B5009" s="77" t="s">
        <v>29</v>
      </c>
      <c r="C5009" s="77" t="s">
        <v>2476</v>
      </c>
      <c r="D5009" s="77" t="s">
        <v>797</v>
      </c>
      <c r="E5009" s="41" t="str">
        <f>IFERROR(__xludf.DUMMYFUNCTION("IFNA(vlookup(D5009,IMPORTRANGE(""https://docs.google.com/spreadsheets/d/1swGwZOEqYlTEUCJLY-eeJM1911Kvaei5oySBIxdgtNo/edit?pli=1#gid=257618397"",""stock untanna!B:C""),2,false),V:V)"),"MAP KANCING SIKA AC-05 BIRU")</f>
        <v>MAP KANCING SIKA AC-05 BIRU</v>
      </c>
      <c r="F5009" s="49"/>
      <c r="G5009" s="71"/>
      <c r="H5009" s="41"/>
      <c r="I5009" s="42"/>
      <c r="J5009" s="85" t="s">
        <v>1319</v>
      </c>
      <c r="K5009" s="93">
        <v>100.0</v>
      </c>
      <c r="L5009" s="112" t="s">
        <v>62</v>
      </c>
      <c r="M5009" s="113">
        <v>19500.0</v>
      </c>
      <c r="N5009" s="74"/>
      <c r="O5009" s="87">
        <f t="shared" si="11"/>
        <v>1950000</v>
      </c>
      <c r="P5009" s="102" t="str">
        <f t="shared" si="2"/>
        <v>Rp19,500-100 LSN-0.00%</v>
      </c>
      <c r="Q5009" s="92">
        <v>45434.0</v>
      </c>
      <c r="R5009" s="76"/>
      <c r="S5009" s="92">
        <v>45437.0</v>
      </c>
      <c r="T5009" s="49"/>
      <c r="V5009" s="21" t="s">
        <v>798</v>
      </c>
    </row>
    <row r="5010">
      <c r="A5010" s="93">
        <v>278.0</v>
      </c>
      <c r="B5010" s="77" t="s">
        <v>29</v>
      </c>
      <c r="C5010" s="77" t="s">
        <v>2476</v>
      </c>
      <c r="D5010" s="77" t="s">
        <v>2389</v>
      </c>
      <c r="E5010" s="41" t="str">
        <f>IFERROR(__xludf.DUMMYFUNCTION("IFNA(vlookup(D5010,IMPORTRANGE(""https://docs.google.com/spreadsheets/d/1swGwZOEqYlTEUCJLY-eeJM1911Kvaei5oySBIxdgtNo/edit?pli=1#gid=257618397"",""stock untanna!B:C""),2,false),V:V)"),"ID CARD B3 IMPORT")</f>
        <v>ID CARD B3 IMPORT</v>
      </c>
      <c r="F5010" s="49"/>
      <c r="G5010" s="71"/>
      <c r="H5010" s="41"/>
      <c r="I5010" s="42"/>
      <c r="J5010" s="85" t="s">
        <v>1319</v>
      </c>
      <c r="K5010" s="93">
        <v>4000.0</v>
      </c>
      <c r="L5010" s="112" t="s">
        <v>69</v>
      </c>
      <c r="M5010" s="113">
        <v>550.0</v>
      </c>
      <c r="N5010" s="74"/>
      <c r="O5010" s="87">
        <f t="shared" si="11"/>
        <v>2200000</v>
      </c>
      <c r="P5010" s="102" t="str">
        <f t="shared" si="2"/>
        <v>Rp550-4000 PCS-0.00%</v>
      </c>
      <c r="Q5010" s="92">
        <v>45434.0</v>
      </c>
      <c r="R5010" s="76"/>
      <c r="S5010" s="92">
        <v>45437.0</v>
      </c>
      <c r="T5010" s="49"/>
      <c r="V5010" s="21" t="s">
        <v>2390</v>
      </c>
    </row>
    <row r="5011">
      <c r="A5011" s="93">
        <v>272.0</v>
      </c>
      <c r="B5011" s="77" t="s">
        <v>29</v>
      </c>
      <c r="C5011" s="77" t="s">
        <v>1452</v>
      </c>
      <c r="D5011" s="77" t="s">
        <v>3563</v>
      </c>
      <c r="E5011" s="41" t="str">
        <f>IFERROR(__xludf.DUMMYFUNCTION("IFNA(vlookup(D5011,IMPORTRANGE(""https://docs.google.com/spreadsheets/d/1swGwZOEqYlTEUCJLY-eeJM1911Kvaei5oySBIxdgtNo/edit?pli=1#gid=257618397"",""stock untanna!B:C""),2,false),V:V)"),"PITA TARIK/KADO 18 BIASA")</f>
        <v>PITA TARIK/KADO 18 BIASA</v>
      </c>
      <c r="F5011" s="49"/>
      <c r="G5011" s="71"/>
      <c r="H5011" s="41"/>
      <c r="I5011" s="42"/>
      <c r="J5011" s="85" t="s">
        <v>1319</v>
      </c>
      <c r="K5011" s="93">
        <v>100.0</v>
      </c>
      <c r="L5011" s="112" t="s">
        <v>69</v>
      </c>
      <c r="M5011" s="113">
        <v>1250.0</v>
      </c>
      <c r="N5011" s="74"/>
      <c r="O5011" s="87">
        <f t="shared" si="11"/>
        <v>125000</v>
      </c>
      <c r="P5011" s="102" t="str">
        <f t="shared" si="2"/>
        <v>Rp1,250-100 PCS-0.00%</v>
      </c>
      <c r="Q5011" s="92">
        <v>45432.0</v>
      </c>
      <c r="R5011" s="76"/>
      <c r="S5011" s="92">
        <v>45437.0</v>
      </c>
      <c r="T5011" s="49"/>
      <c r="V5011" s="21" t="s">
        <v>3564</v>
      </c>
    </row>
    <row r="5012">
      <c r="A5012" s="93">
        <v>272.0</v>
      </c>
      <c r="B5012" s="77" t="s">
        <v>29</v>
      </c>
      <c r="C5012" s="77" t="s">
        <v>1452</v>
      </c>
      <c r="D5012" s="77" t="s">
        <v>2619</v>
      </c>
      <c r="E5012" s="41" t="str">
        <f>IFERROR(__xludf.DUMMYFUNCTION("IFNA(vlookup(D5012,IMPORTRANGE(""https://docs.google.com/spreadsheets/d/1swGwZOEqYlTEUCJLY-eeJM1911Kvaei5oySBIxdgtNo/edit?pli=1#gid=257618397"",""stock untanna!B:C""),2,false),V:V)"),"PITA TARIK/KADO 23 LS")</f>
        <v>PITA TARIK/KADO 23 LS</v>
      </c>
      <c r="F5012" s="49"/>
      <c r="G5012" s="71"/>
      <c r="H5012" s="41"/>
      <c r="I5012" s="42"/>
      <c r="J5012" s="85" t="s">
        <v>1319</v>
      </c>
      <c r="K5012" s="93">
        <v>100.0</v>
      </c>
      <c r="L5012" s="112" t="s">
        <v>69</v>
      </c>
      <c r="M5012" s="113">
        <v>1750.0</v>
      </c>
      <c r="N5012" s="74"/>
      <c r="O5012" s="87">
        <f t="shared" si="11"/>
        <v>175000</v>
      </c>
      <c r="P5012" s="102" t="str">
        <f t="shared" si="2"/>
        <v>Rp1,750-100 PCS-0.00%</v>
      </c>
      <c r="Q5012" s="92">
        <v>45432.0</v>
      </c>
      <c r="R5012" s="76"/>
      <c r="S5012" s="92">
        <v>45437.0</v>
      </c>
      <c r="T5012" s="49"/>
      <c r="V5012" s="21" t="s">
        <v>3322</v>
      </c>
    </row>
    <row r="5013">
      <c r="A5013" s="93">
        <v>272.0</v>
      </c>
      <c r="B5013" s="77" t="s">
        <v>29</v>
      </c>
      <c r="C5013" s="77" t="s">
        <v>1452</v>
      </c>
      <c r="D5013" s="91"/>
      <c r="E5013" s="41" t="str">
        <f>IFERROR(__xludf.DUMMYFUNCTION("IFNA(vlookup(D5013,IMPORTRANGE(""https://docs.google.com/spreadsheets/d/1swGwZOEqYlTEUCJLY-eeJM1911Kvaei5oySBIxdgtNo/edit?pli=1#gid=257618397"",""stock untanna!B:C""),2,false),V:V)"),"ISI BALLOEN GEL 1.0")</f>
        <v>ISI BALLOEN GEL 1.0</v>
      </c>
      <c r="F5013" s="49"/>
      <c r="G5013" s="71"/>
      <c r="H5013" s="41"/>
      <c r="I5013" s="42"/>
      <c r="J5013" s="85" t="s">
        <v>3190</v>
      </c>
      <c r="K5013" s="93">
        <v>1.0</v>
      </c>
      <c r="L5013" s="112" t="s">
        <v>88</v>
      </c>
      <c r="M5013" s="113">
        <v>25000.0</v>
      </c>
      <c r="N5013" s="74"/>
      <c r="O5013" s="87">
        <f t="shared" si="11"/>
        <v>25000</v>
      </c>
      <c r="P5013" s="102" t="str">
        <f t="shared" si="2"/>
        <v>Rp25,000-1 BOX-0.00%</v>
      </c>
      <c r="Q5013" s="92">
        <v>45432.0</v>
      </c>
      <c r="R5013" s="76"/>
      <c r="S5013" s="92">
        <v>45437.0</v>
      </c>
      <c r="T5013" s="49"/>
      <c r="V5013" s="21" t="s">
        <v>4128</v>
      </c>
    </row>
    <row r="5014">
      <c r="A5014" s="93">
        <v>272.0</v>
      </c>
      <c r="B5014" s="77" t="s">
        <v>29</v>
      </c>
      <c r="C5014" s="77" t="s">
        <v>1452</v>
      </c>
      <c r="D5014" s="91"/>
      <c r="E5014" s="41" t="str">
        <f>IFERROR(__xludf.DUMMYFUNCTION("IFNA(vlookup(D5014,IMPORTRANGE(""https://docs.google.com/spreadsheets/d/1swGwZOEqYlTEUCJLY-eeJM1911Kvaei5oySBIxdgtNo/edit?pli=1#gid=257618397"",""stock untanna!B:C""),2,false),V:V)"),"TINTA ROLL 20MM")</f>
        <v>TINTA ROLL 20MM</v>
      </c>
      <c r="F5014" s="49"/>
      <c r="G5014" s="71"/>
      <c r="H5014" s="41"/>
      <c r="I5014" s="42"/>
      <c r="J5014" s="85" t="s">
        <v>3190</v>
      </c>
      <c r="K5014" s="93">
        <v>50.0</v>
      </c>
      <c r="L5014" s="112" t="s">
        <v>69</v>
      </c>
      <c r="M5014" s="113">
        <v>5000.0</v>
      </c>
      <c r="N5014" s="115">
        <v>0.15</v>
      </c>
      <c r="O5014" s="87">
        <f t="shared" si="11"/>
        <v>212500</v>
      </c>
      <c r="P5014" s="102" t="str">
        <f t="shared" si="2"/>
        <v>Rp5,000-50 PCS-15.00%</v>
      </c>
      <c r="Q5014" s="92">
        <v>45432.0</v>
      </c>
      <c r="R5014" s="76"/>
      <c r="S5014" s="92">
        <v>45437.0</v>
      </c>
      <c r="T5014" s="49"/>
      <c r="V5014" s="21" t="s">
        <v>2443</v>
      </c>
    </row>
    <row r="5015">
      <c r="A5015" s="93">
        <v>217.0</v>
      </c>
      <c r="B5015" s="77" t="s">
        <v>29</v>
      </c>
      <c r="C5015" s="77" t="s">
        <v>1768</v>
      </c>
      <c r="D5015" s="77" t="s">
        <v>732</v>
      </c>
      <c r="E5015" s="41" t="str">
        <f>IFERROR(__xludf.DUMMYFUNCTION("IFNA(vlookup(D5015,IMPORTRANGE(""https://docs.google.com/spreadsheets/d/1swGwZOEqYlTEUCJLY-eeJM1911Kvaei5oySBIxdgtNo/edit?pli=1#gid=257618397"",""stock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5015" s="49"/>
      <c r="G5015" s="71"/>
      <c r="H5015" s="41"/>
      <c r="I5015" s="42"/>
      <c r="J5015" s="85" t="s">
        <v>1319</v>
      </c>
      <c r="K5015" s="93">
        <v>12.0</v>
      </c>
      <c r="L5015" s="112" t="s">
        <v>69</v>
      </c>
      <c r="M5015" s="113">
        <v>26000.0</v>
      </c>
      <c r="N5015" s="74"/>
      <c r="O5015" s="87">
        <f t="shared" si="11"/>
        <v>312000</v>
      </c>
      <c r="P5015" s="102" t="str">
        <f t="shared" si="2"/>
        <v>Rp26,000-12 PCS-0.00%</v>
      </c>
      <c r="Q5015" s="92">
        <v>45434.0</v>
      </c>
      <c r="R5015" s="76"/>
      <c r="S5015" s="92">
        <v>45437.0</v>
      </c>
      <c r="T5015" s="49"/>
      <c r="V5015" s="21" t="s">
        <v>733</v>
      </c>
    </row>
    <row r="5016">
      <c r="A5016" s="93">
        <v>217.0</v>
      </c>
      <c r="B5016" s="77" t="s">
        <v>29</v>
      </c>
      <c r="C5016" s="77" t="s">
        <v>1768</v>
      </c>
      <c r="D5016" s="77" t="s">
        <v>2216</v>
      </c>
      <c r="E5016" s="41" t="str">
        <f>IFERROR(__xludf.DUMMYFUNCTION("IFNA(vlookup(D5016,IMPORTRANGE(""https://docs.google.com/spreadsheets/d/1swGwZOEqYlTEUCJLY-eeJM1911Kvaei5oySBIxdgtNo/edit?pli=1#gid=257618397"",""stock untanna!B:C""),2,false),V:V)"),"ISI GEL TIZO TG 308-AR")</f>
        <v>ISI GEL TIZO TG 308-AR</v>
      </c>
      <c r="F5016" s="49"/>
      <c r="G5016" s="71"/>
      <c r="H5016" s="41"/>
      <c r="I5016" s="42"/>
      <c r="J5016" s="85" t="s">
        <v>1319</v>
      </c>
      <c r="K5016" s="93">
        <v>1.0</v>
      </c>
      <c r="L5016" s="112" t="s">
        <v>114</v>
      </c>
      <c r="M5016" s="113">
        <v>25000.0</v>
      </c>
      <c r="N5016" s="74"/>
      <c r="O5016" s="87">
        <f t="shared" si="11"/>
        <v>25000</v>
      </c>
      <c r="P5016" s="102" t="str">
        <f t="shared" si="2"/>
        <v>Rp25,000-1 PAK-0.00%</v>
      </c>
      <c r="Q5016" s="92">
        <v>45434.0</v>
      </c>
      <c r="R5016" s="76"/>
      <c r="S5016" s="92">
        <v>45437.0</v>
      </c>
      <c r="T5016" s="49"/>
      <c r="V5016" s="21" t="s">
        <v>2217</v>
      </c>
    </row>
    <row r="5017">
      <c r="A5017" s="93">
        <v>217.0</v>
      </c>
      <c r="B5017" s="77" t="s">
        <v>29</v>
      </c>
      <c r="C5017" s="77" t="s">
        <v>1768</v>
      </c>
      <c r="D5017" s="77" t="s">
        <v>1718</v>
      </c>
      <c r="E5017" s="41" t="str">
        <f>IFERROR(__xludf.DUMMYFUNCTION("IFNA(vlookup(D5017,IMPORTRANGE(""https://docs.google.com/spreadsheets/d/1swGwZOEqYlTEUCJLY-eeJM1911Kvaei5oySBIxdgtNo/edit?pli=1#gid=257618397"",""stock untanna!B:C""),2,false),V:V)"),"DISPENSER KEONG V-TECH 216")</f>
        <v>DISPENSER KEONG V-TECH 216</v>
      </c>
      <c r="F5017" s="49"/>
      <c r="G5017" s="71"/>
      <c r="H5017" s="41"/>
      <c r="I5017" s="42"/>
      <c r="J5017" s="85" t="s">
        <v>1319</v>
      </c>
      <c r="K5017" s="93">
        <v>6.0</v>
      </c>
      <c r="L5017" s="112" t="s">
        <v>69</v>
      </c>
      <c r="M5017" s="113">
        <v>17500.0</v>
      </c>
      <c r="N5017" s="74"/>
      <c r="O5017" s="87">
        <f t="shared" si="11"/>
        <v>105000</v>
      </c>
      <c r="P5017" s="102" t="str">
        <f t="shared" si="2"/>
        <v>Rp17,500-6 PCS-0.00%</v>
      </c>
      <c r="Q5017" s="92">
        <v>45434.0</v>
      </c>
      <c r="R5017" s="76"/>
      <c r="S5017" s="92">
        <v>45437.0</v>
      </c>
      <c r="T5017" s="49"/>
      <c r="V5017" s="21" t="s">
        <v>1719</v>
      </c>
    </row>
    <row r="5018">
      <c r="A5018" s="93">
        <v>217.0</v>
      </c>
      <c r="B5018" s="77" t="s">
        <v>29</v>
      </c>
      <c r="C5018" s="77" t="s">
        <v>1768</v>
      </c>
      <c r="D5018" s="91"/>
      <c r="E5018" s="41" t="str">
        <f>IFERROR(__xludf.DUMMYFUNCTION("IFNA(vlookup(D5018,IMPORTRANGE(""https://docs.google.com/spreadsheets/d/1swGwZOEqYlTEUCJLY-eeJM1911Kvaei5oySBIxdgtNo/edit?pli=1#gid=257618397"",""stock untanna!B:C""),2,false),V:V)"),"ID CARD 501 PUTIH")</f>
        <v>ID CARD 501 PUTIH</v>
      </c>
      <c r="F5018" s="49"/>
      <c r="G5018" s="71"/>
      <c r="H5018" s="41"/>
      <c r="I5018" s="42"/>
      <c r="J5018" s="85" t="s">
        <v>3190</v>
      </c>
      <c r="K5018" s="93">
        <v>300.0</v>
      </c>
      <c r="L5018" s="112" t="s">
        <v>69</v>
      </c>
      <c r="M5018" s="113">
        <v>1400.0</v>
      </c>
      <c r="N5018" s="74"/>
      <c r="O5018" s="87">
        <f t="shared" si="11"/>
        <v>420000</v>
      </c>
      <c r="P5018" s="102" t="str">
        <f t="shared" si="2"/>
        <v>Rp1,400-300 PCS-0.00%</v>
      </c>
      <c r="Q5018" s="92">
        <v>45434.0</v>
      </c>
      <c r="R5018" s="76"/>
      <c r="S5018" s="92">
        <v>45437.0</v>
      </c>
      <c r="T5018" s="49"/>
      <c r="V5018" s="21" t="s">
        <v>2409</v>
      </c>
    </row>
    <row r="5019">
      <c r="A5019" s="93">
        <v>217.0</v>
      </c>
      <c r="B5019" s="77" t="s">
        <v>29</v>
      </c>
      <c r="C5019" s="77" t="s">
        <v>1768</v>
      </c>
      <c r="D5019" s="77" t="s">
        <v>31</v>
      </c>
      <c r="E5019" s="41" t="str">
        <f>IFERROR(__xludf.DUMMYFUNCTION("IFNA(vlookup(D5019,IMPORTRANGE(""https://docs.google.com/spreadsheets/d/1swGwZOEqYlTEUCJLY-eeJM1911Kvaei5oySBIxdgtNo/edit?pli=1#gid=257618397"",""stock untanna!B:C""),2,false),V:V)"),"ISI STAPLER 13/8 JOSS")</f>
        <v>ISI STAPLER 13/8 JOSS</v>
      </c>
      <c r="F5019" s="49"/>
      <c r="G5019" s="71"/>
      <c r="H5019" s="41"/>
      <c r="I5019" s="42"/>
      <c r="J5019" s="85" t="s">
        <v>1319</v>
      </c>
      <c r="K5019" s="93">
        <v>10.0</v>
      </c>
      <c r="L5019" s="112" t="s">
        <v>114</v>
      </c>
      <c r="M5019" s="113">
        <v>18500.0</v>
      </c>
      <c r="N5019" s="74"/>
      <c r="O5019" s="87">
        <f t="shared" si="11"/>
        <v>185000</v>
      </c>
      <c r="P5019" s="102" t="str">
        <f t="shared" si="2"/>
        <v>Rp18,500-10 PAK-0.00%</v>
      </c>
      <c r="Q5019" s="92">
        <v>45434.0</v>
      </c>
      <c r="R5019" s="76"/>
      <c r="S5019" s="92">
        <v>45437.0</v>
      </c>
      <c r="T5019" s="49"/>
      <c r="V5019" s="21" t="s">
        <v>113</v>
      </c>
    </row>
    <row r="5020">
      <c r="A5020" s="93">
        <v>39.0</v>
      </c>
      <c r="B5020" s="77" t="s">
        <v>58</v>
      </c>
      <c r="C5020" s="77" t="s">
        <v>2602</v>
      </c>
      <c r="D5020" s="91"/>
      <c r="E5020" s="41" t="str">
        <f>IFERROR(__xludf.DUMMYFUNCTION("IFNA(vlookup(D5020,IMPORTRANGE(""https://docs.google.com/spreadsheets/d/1swGwZOEqYlTEUCJLY-eeJM1911Kvaei5oySBIxdgtNo/edit?pli=1#gid=257618397"",""stock untanna!B:C""),2,false),V:V)"),"BENSIA DINO 08 LM1")</f>
        <v>BENSIA DINO 08 LM1</v>
      </c>
      <c r="F5020" s="49"/>
      <c r="G5020" s="71"/>
      <c r="H5020" s="41"/>
      <c r="I5020" s="42"/>
      <c r="J5020" s="85" t="s">
        <v>3190</v>
      </c>
      <c r="K5020" s="93">
        <v>36.0</v>
      </c>
      <c r="L5020" s="112" t="s">
        <v>69</v>
      </c>
      <c r="M5020" s="113">
        <v>2100.0</v>
      </c>
      <c r="N5020" s="74"/>
      <c r="O5020" s="87">
        <f t="shared" si="11"/>
        <v>75600</v>
      </c>
      <c r="P5020" s="102" t="str">
        <f t="shared" si="2"/>
        <v>Rp2,100-36 PCS-0.00%</v>
      </c>
      <c r="Q5020" s="92">
        <v>45434.0</v>
      </c>
      <c r="R5020" s="76"/>
      <c r="S5020" s="92">
        <v>45437.0</v>
      </c>
      <c r="T5020" s="49"/>
      <c r="V5020" s="21" t="s">
        <v>4129</v>
      </c>
    </row>
    <row r="5021">
      <c r="A5021" s="93">
        <v>39.0</v>
      </c>
      <c r="B5021" s="77" t="s">
        <v>58</v>
      </c>
      <c r="C5021" s="77" t="s">
        <v>2602</v>
      </c>
      <c r="D5021" s="77" t="s">
        <v>497</v>
      </c>
      <c r="E5021" s="41" t="str">
        <f>IFERROR(__xludf.DUMMYFUNCTION("IFNA(vlookup(D5021,IMPORTRANGE(""https://docs.google.com/spreadsheets/d/1swGwZOEqYlTEUCJLY-eeJM1911Kvaei5oySBIxdgtNo/edit?pli=1#gid=257618397"",""stock untanna!B:C""),2,false),V:V)"),"BP GEL 8807 + STIP")</f>
        <v>BP GEL 8807 + STIP</v>
      </c>
      <c r="F5021" s="49"/>
      <c r="G5021" s="71"/>
      <c r="H5021" s="41"/>
      <c r="I5021" s="42"/>
      <c r="J5021" s="85" t="s">
        <v>1319</v>
      </c>
      <c r="K5021" s="93">
        <v>2.0</v>
      </c>
      <c r="L5021" s="112" t="s">
        <v>62</v>
      </c>
      <c r="M5021" s="113">
        <v>18000.0</v>
      </c>
      <c r="N5021" s="74"/>
      <c r="O5021" s="87">
        <f t="shared" si="11"/>
        <v>36000</v>
      </c>
      <c r="P5021" s="102" t="str">
        <f t="shared" si="2"/>
        <v>Rp18,000-2 LSN-0.00%</v>
      </c>
      <c r="Q5021" s="92">
        <v>45434.0</v>
      </c>
      <c r="R5021" s="76"/>
      <c r="S5021" s="92">
        <v>45437.0</v>
      </c>
      <c r="T5021" s="49"/>
      <c r="V5021" s="21" t="s">
        <v>498</v>
      </c>
    </row>
    <row r="5022">
      <c r="A5022" s="93">
        <v>39.0</v>
      </c>
      <c r="B5022" s="77" t="s">
        <v>58</v>
      </c>
      <c r="C5022" s="77" t="s">
        <v>2602</v>
      </c>
      <c r="D5022" s="77" t="s">
        <v>495</v>
      </c>
      <c r="E5022" s="41" t="str">
        <f>IFERROR(__xludf.DUMMYFUNCTION("IFNA(vlookup(D5022,IMPORTRANGE(""https://docs.google.com/spreadsheets/d/1swGwZOEqYlTEUCJLY-eeJM1911Kvaei5oySBIxdgtNo/edit?pli=1#gid=257618397"",""stock untanna!B:C""),2,false),V:V)"),"BP GEL 8805 + STIP")</f>
        <v>BP GEL 8805 + STIP</v>
      </c>
      <c r="F5022" s="49"/>
      <c r="G5022" s="71"/>
      <c r="H5022" s="41"/>
      <c r="I5022" s="42"/>
      <c r="J5022" s="85" t="s">
        <v>1319</v>
      </c>
      <c r="K5022" s="93">
        <v>24.0</v>
      </c>
      <c r="L5022" s="112" t="s">
        <v>69</v>
      </c>
      <c r="M5022" s="113">
        <v>1500.0</v>
      </c>
      <c r="N5022" s="74"/>
      <c r="O5022" s="87">
        <f t="shared" si="11"/>
        <v>36000</v>
      </c>
      <c r="P5022" s="102" t="str">
        <f t="shared" si="2"/>
        <v>Rp1,500-24 PCS-0.00%</v>
      </c>
      <c r="Q5022" s="92">
        <v>45434.0</v>
      </c>
      <c r="R5022" s="76"/>
      <c r="S5022" s="92">
        <v>45437.0</v>
      </c>
      <c r="T5022" s="49"/>
      <c r="V5022" s="21" t="s">
        <v>496</v>
      </c>
    </row>
    <row r="5023">
      <c r="A5023" s="93">
        <v>39.0</v>
      </c>
      <c r="B5023" s="77" t="s">
        <v>58</v>
      </c>
      <c r="C5023" s="77" t="s">
        <v>2602</v>
      </c>
      <c r="D5023" s="91"/>
      <c r="E5023" s="41" t="str">
        <f>IFERROR(__xludf.DUMMYFUNCTION("IFNA(vlookup(D5023,IMPORTRANGE(""https://docs.google.com/spreadsheets/d/1swGwZOEqYlTEUCJLY-eeJM1911Kvaei5oySBIxdgtNo/edit?pli=1#gid=257618397"",""stock untanna!B:C""),2,false),V:V)"),"BENSIA LANTU LT 1311")</f>
        <v>BENSIA LANTU LT 1311</v>
      </c>
      <c r="F5023" s="49"/>
      <c r="G5023" s="71"/>
      <c r="H5023" s="41"/>
      <c r="I5023" s="42"/>
      <c r="J5023" s="85" t="s">
        <v>3190</v>
      </c>
      <c r="K5023" s="93">
        <v>36.0</v>
      </c>
      <c r="L5023" s="112" t="s">
        <v>69</v>
      </c>
      <c r="M5023" s="113">
        <v>2250.0</v>
      </c>
      <c r="N5023" s="74"/>
      <c r="O5023" s="87">
        <f t="shared" si="11"/>
        <v>81000</v>
      </c>
      <c r="P5023" s="102" t="str">
        <f t="shared" si="2"/>
        <v>Rp2,250-36 PCS-0.00%</v>
      </c>
      <c r="Q5023" s="92">
        <v>45434.0</v>
      </c>
      <c r="R5023" s="76"/>
      <c r="S5023" s="92">
        <v>45437.0</v>
      </c>
      <c r="T5023" s="49"/>
      <c r="V5023" s="21" t="s">
        <v>4130</v>
      </c>
    </row>
    <row r="5024">
      <c r="A5024" s="93">
        <v>39.0</v>
      </c>
      <c r="B5024" s="77" t="s">
        <v>58</v>
      </c>
      <c r="C5024" s="77" t="s">
        <v>2602</v>
      </c>
      <c r="D5024" s="77" t="s">
        <v>627</v>
      </c>
      <c r="E5024" s="41" t="str">
        <f>IFERROR(__xludf.DUMMYFUNCTION("IFNA(vlookup(D5024,IMPORTRANGE(""https://docs.google.com/spreadsheets/d/1swGwZOEqYlTEUCJLY-eeJM1911Kvaei5oySBIxdgtNo/edit?pli=1#gid=257618397"",""stock untanna!B:C""),2,false),V:V)"),"BP TIZO TG 30541F FANCY")</f>
        <v>BP TIZO TG 30541F FANCY</v>
      </c>
      <c r="F5024" s="49"/>
      <c r="G5024" s="71"/>
      <c r="H5024" s="41"/>
      <c r="I5024" s="42"/>
      <c r="J5024" s="85" t="s">
        <v>1319</v>
      </c>
      <c r="K5024" s="93">
        <v>1.0</v>
      </c>
      <c r="L5024" s="112" t="s">
        <v>62</v>
      </c>
      <c r="M5024" s="113">
        <v>19500.0</v>
      </c>
      <c r="N5024" s="74"/>
      <c r="O5024" s="87">
        <f t="shared" si="11"/>
        <v>19500</v>
      </c>
      <c r="P5024" s="102" t="str">
        <f t="shared" si="2"/>
        <v>Rp19,500-1 LSN-0.00%</v>
      </c>
      <c r="Q5024" s="92">
        <v>45434.0</v>
      </c>
      <c r="R5024" s="76"/>
      <c r="S5024" s="92">
        <v>45437.0</v>
      </c>
      <c r="T5024" s="49"/>
      <c r="V5024" s="21" t="s">
        <v>628</v>
      </c>
    </row>
    <row r="5025">
      <c r="A5025" s="93">
        <v>39.0</v>
      </c>
      <c r="B5025" s="77" t="s">
        <v>58</v>
      </c>
      <c r="C5025" s="77" t="s">
        <v>2602</v>
      </c>
      <c r="D5025" s="77" t="s">
        <v>2256</v>
      </c>
      <c r="E5025" s="41" t="str">
        <f>IFERROR(__xludf.DUMMYFUNCTION("IFNA(vlookup(D5025,IMPORTRANGE(""https://docs.google.com/spreadsheets/d/1swGwZOEqYlTEUCJLY-eeJM1911Kvaei5oySBIxdgtNo/edit?pli=1#gid=257618397"",""stock untanna!B:C""),2,false),V:V)"),"BP GEL TIZO 30900F FANCY")</f>
        <v>BP GEL TIZO 30900F FANCY</v>
      </c>
      <c r="F5025" s="49"/>
      <c r="G5025" s="71"/>
      <c r="H5025" s="41"/>
      <c r="I5025" s="42"/>
      <c r="J5025" s="85" t="s">
        <v>1319</v>
      </c>
      <c r="K5025" s="93">
        <v>1.0</v>
      </c>
      <c r="L5025" s="112" t="s">
        <v>62</v>
      </c>
      <c r="M5025" s="113">
        <v>19500.0</v>
      </c>
      <c r="N5025" s="74"/>
      <c r="O5025" s="87">
        <f t="shared" si="11"/>
        <v>19500</v>
      </c>
      <c r="P5025" s="102" t="str">
        <f t="shared" si="2"/>
        <v>Rp19,500-1 LSN-0.00%</v>
      </c>
      <c r="Q5025" s="92">
        <v>45434.0</v>
      </c>
      <c r="R5025" s="76"/>
      <c r="S5025" s="92">
        <v>45437.0</v>
      </c>
      <c r="T5025" s="49"/>
      <c r="V5025" s="21" t="s">
        <v>2257</v>
      </c>
    </row>
    <row r="5026">
      <c r="A5026" s="93">
        <v>39.0</v>
      </c>
      <c r="B5026" s="77" t="s">
        <v>58</v>
      </c>
      <c r="C5026" s="77" t="s">
        <v>2602</v>
      </c>
      <c r="D5026" s="77" t="s">
        <v>778</v>
      </c>
      <c r="E5026" s="41" t="str">
        <f>IFERROR(__xludf.DUMMYFUNCTION("IFNA(vlookup(D5026,IMPORTRANGE(""https://docs.google.com/spreadsheets/d/1swGwZOEqYlTEUCJLY-eeJM1911Kvaei5oySBIxdgtNo/edit?pli=1#gid=257618397"",""stock untanna!B:C""),2,false),V:V)"),"BP GEL TIZO TG670")</f>
        <v>BP GEL TIZO TG670</v>
      </c>
      <c r="F5026" s="49"/>
      <c r="G5026" s="71"/>
      <c r="H5026" s="41"/>
      <c r="I5026" s="42"/>
      <c r="J5026" s="85" t="s">
        <v>1319</v>
      </c>
      <c r="K5026" s="93">
        <v>2.0</v>
      </c>
      <c r="L5026" s="112" t="s">
        <v>62</v>
      </c>
      <c r="M5026" s="113">
        <v>52500.0</v>
      </c>
      <c r="N5026" s="74"/>
      <c r="O5026" s="87">
        <f t="shared" si="11"/>
        <v>105000</v>
      </c>
      <c r="P5026" s="102" t="str">
        <f t="shared" si="2"/>
        <v>Rp52,500-2 LSN-0.00%</v>
      </c>
      <c r="Q5026" s="92">
        <v>45434.0</v>
      </c>
      <c r="R5026" s="76"/>
      <c r="S5026" s="92">
        <v>45437.0</v>
      </c>
      <c r="T5026" s="49"/>
      <c r="V5026" s="21" t="s">
        <v>779</v>
      </c>
    </row>
    <row r="5027">
      <c r="A5027" s="93">
        <v>39.0</v>
      </c>
      <c r="B5027" s="77" t="s">
        <v>58</v>
      </c>
      <c r="C5027" s="77" t="s">
        <v>2602</v>
      </c>
      <c r="D5027" s="77" t="s">
        <v>730</v>
      </c>
      <c r="E5027" s="41" t="str">
        <f>IFERROR(__xludf.DUMMYFUNCTION("IFNA(vlookup(D5027,IMPORTRANGE(""https://docs.google.com/spreadsheets/d/1swGwZOEqYlTEUCJLY-eeJM1911Kvaei5oySBIxdgtNo/edit?pli=1#gid=257618397"",""stock untanna!B:C""),2,false),V:V)"),"BALLPEN TF-729 4W")</f>
        <v>BALLPEN TF-729 4W</v>
      </c>
      <c r="F5027" s="49"/>
      <c r="G5027" s="71"/>
      <c r="H5027" s="41"/>
      <c r="I5027" s="42"/>
      <c r="J5027" s="85" t="s">
        <v>1319</v>
      </c>
      <c r="K5027" s="93">
        <v>3.0</v>
      </c>
      <c r="L5027" s="112" t="s">
        <v>62</v>
      </c>
      <c r="M5027" s="113">
        <v>51000.0</v>
      </c>
      <c r="N5027" s="74"/>
      <c r="O5027" s="87">
        <f t="shared" si="11"/>
        <v>153000</v>
      </c>
      <c r="P5027" s="102" t="str">
        <f t="shared" si="2"/>
        <v>Rp51,000-3 LSN-0.00%</v>
      </c>
      <c r="Q5027" s="92">
        <v>45434.0</v>
      </c>
      <c r="R5027" s="76"/>
      <c r="S5027" s="92">
        <v>45437.0</v>
      </c>
      <c r="T5027" s="49"/>
      <c r="V5027" s="21" t="s">
        <v>2582</v>
      </c>
    </row>
    <row r="5028">
      <c r="A5028" s="93">
        <v>39.0</v>
      </c>
      <c r="B5028" s="77" t="s">
        <v>58</v>
      </c>
      <c r="C5028" s="77" t="s">
        <v>2602</v>
      </c>
      <c r="D5028" s="77" t="s">
        <v>2253</v>
      </c>
      <c r="E5028" s="41" t="str">
        <f>IFERROR(__xludf.DUMMYFUNCTION("IFNA(vlookup(D5028,IMPORTRANGE(""https://docs.google.com/spreadsheets/d/1swGwZOEqYlTEUCJLY-eeJM1911Kvaei5oySBIxdgtNo/edit?pli=1#gid=257618397"",""stock untanna!B:C""),2,false),V:V)"),"BP TIZO TG 31475F FANCY")</f>
        <v>BP TIZO TG 31475F FANCY</v>
      </c>
      <c r="F5028" s="49"/>
      <c r="G5028" s="71"/>
      <c r="H5028" s="41"/>
      <c r="I5028" s="42"/>
      <c r="J5028" s="85" t="s">
        <v>1319</v>
      </c>
      <c r="K5028" s="93">
        <v>2.0</v>
      </c>
      <c r="L5028" s="112" t="s">
        <v>62</v>
      </c>
      <c r="M5028" s="113">
        <v>19500.0</v>
      </c>
      <c r="N5028" s="74"/>
      <c r="O5028" s="87">
        <f t="shared" si="11"/>
        <v>39000</v>
      </c>
      <c r="P5028" s="102" t="str">
        <f t="shared" si="2"/>
        <v>Rp19,500-2 LSN-0.00%</v>
      </c>
      <c r="Q5028" s="92">
        <v>45434.0</v>
      </c>
      <c r="R5028" s="76"/>
      <c r="S5028" s="92">
        <v>45437.0</v>
      </c>
      <c r="T5028" s="49"/>
      <c r="V5028" s="21" t="s">
        <v>2254</v>
      </c>
    </row>
    <row r="5029">
      <c r="A5029" s="93">
        <v>39.0</v>
      </c>
      <c r="B5029" s="77" t="s">
        <v>58</v>
      </c>
      <c r="C5029" s="77" t="s">
        <v>2602</v>
      </c>
      <c r="D5029" s="77" t="s">
        <v>1588</v>
      </c>
      <c r="E5029" s="41" t="str">
        <f>IFERROR(__xludf.DUMMYFUNCTION("IFNA(vlookup(D5029,IMPORTRANGE(""https://docs.google.com/spreadsheets/d/1swGwZOEqYlTEUCJLY-eeJM1911Kvaei5oySBIxdgtNo/edit?pli=1#gid=257618397"",""stock untanna!B:C""),2,false),V:V)"),"ISI BENSIA LANTU LT 1132")</f>
        <v>ISI BENSIA LANTU LT 1132</v>
      </c>
      <c r="F5029" s="49"/>
      <c r="G5029" s="71"/>
      <c r="H5029" s="41"/>
      <c r="I5029" s="42"/>
      <c r="J5029" s="85" t="s">
        <v>1319</v>
      </c>
      <c r="K5029" s="93">
        <v>40.0</v>
      </c>
      <c r="L5029" s="112" t="s">
        <v>69</v>
      </c>
      <c r="M5029" s="113">
        <v>2750.0</v>
      </c>
      <c r="N5029" s="74"/>
      <c r="O5029" s="87">
        <f t="shared" si="11"/>
        <v>110000</v>
      </c>
      <c r="P5029" s="102" t="str">
        <f t="shared" si="2"/>
        <v>Rp2,750-40 PCS-0.00%</v>
      </c>
      <c r="Q5029" s="92">
        <v>45434.0</v>
      </c>
      <c r="R5029" s="76"/>
      <c r="S5029" s="92">
        <v>45437.0</v>
      </c>
      <c r="T5029" s="77" t="s">
        <v>100</v>
      </c>
      <c r="V5029" s="21" t="s">
        <v>1589</v>
      </c>
    </row>
    <row r="5030">
      <c r="A5030" s="93">
        <v>39.0</v>
      </c>
      <c r="B5030" s="77" t="s">
        <v>58</v>
      </c>
      <c r="C5030" s="77" t="s">
        <v>2602</v>
      </c>
      <c r="D5030" s="77" t="s">
        <v>118</v>
      </c>
      <c r="E5030" s="41" t="str">
        <f>IFERROR(__xludf.DUMMYFUNCTION("IFNA(vlookup(D5030,IMPORTRANGE(""https://docs.google.com/spreadsheets/d/1swGwZOEqYlTEUCJLY-eeJM1911Kvaei5oySBIxdgtNo/edit?pli=1#gid=257618397"",""stock untanna!B:C""),2,false),V:V)"),"TIPEX KERTAS NO.9443")</f>
        <v>TIPEX KERTAS NO.9443</v>
      </c>
      <c r="F5030" s="49"/>
      <c r="G5030" s="71"/>
      <c r="H5030" s="41"/>
      <c r="I5030" s="42"/>
      <c r="J5030" s="85" t="s">
        <v>1319</v>
      </c>
      <c r="K5030" s="93">
        <v>2.0</v>
      </c>
      <c r="L5030" s="112" t="s">
        <v>62</v>
      </c>
      <c r="M5030" s="113">
        <v>50000.0</v>
      </c>
      <c r="N5030" s="74"/>
      <c r="O5030" s="87">
        <f t="shared" si="11"/>
        <v>100000</v>
      </c>
      <c r="P5030" s="102" t="str">
        <f t="shared" si="2"/>
        <v>Rp50,000-2 LSN-0.00%</v>
      </c>
      <c r="Q5030" s="92">
        <v>45434.0</v>
      </c>
      <c r="R5030" s="76"/>
      <c r="S5030" s="92">
        <v>45437.0</v>
      </c>
      <c r="T5030" s="49"/>
      <c r="V5030" s="21" t="s">
        <v>119</v>
      </c>
    </row>
    <row r="5031">
      <c r="A5031" s="93">
        <v>39.0</v>
      </c>
      <c r="B5031" s="77" t="s">
        <v>58</v>
      </c>
      <c r="C5031" s="77" t="s">
        <v>2602</v>
      </c>
      <c r="D5031" s="77" t="s">
        <v>207</v>
      </c>
      <c r="E5031" s="41" t="str">
        <f>IFERROR(__xludf.DUMMYFUNCTION("IFNA(vlookup(D5031,IMPORTRANGE(""https://docs.google.com/spreadsheets/d/1swGwZOEqYlTEUCJLY-eeJM1911Kvaei5oySBIxdgtNo/edit?pli=1#gid=257618397"",""stock untanna!B:C""),2,false),V:V)"),"BP GEL KOALA GP-168")</f>
        <v>BP GEL KOALA GP-168</v>
      </c>
      <c r="F5031" s="49"/>
      <c r="G5031" s="71"/>
      <c r="H5031" s="41"/>
      <c r="I5031" s="42"/>
      <c r="J5031" s="85" t="s">
        <v>1319</v>
      </c>
      <c r="K5031" s="93">
        <v>6.0</v>
      </c>
      <c r="L5031" s="112" t="s">
        <v>62</v>
      </c>
      <c r="M5031" s="113">
        <v>24996.0</v>
      </c>
      <c r="N5031" s="74"/>
      <c r="O5031" s="87">
        <f t="shared" si="11"/>
        <v>149976</v>
      </c>
      <c r="P5031" s="102" t="str">
        <f t="shared" si="2"/>
        <v>Rp24,996-6 LSN-0.00%</v>
      </c>
      <c r="Q5031" s="92">
        <v>45434.0</v>
      </c>
      <c r="R5031" s="76"/>
      <c r="S5031" s="92">
        <v>45437.0</v>
      </c>
      <c r="T5031" s="49"/>
      <c r="V5031" s="21" t="s">
        <v>208</v>
      </c>
    </row>
    <row r="5032">
      <c r="A5032" s="93">
        <v>39.0</v>
      </c>
      <c r="B5032" s="77" t="s">
        <v>58</v>
      </c>
      <c r="C5032" s="77" t="s">
        <v>2602</v>
      </c>
      <c r="D5032" s="77" t="s">
        <v>306</v>
      </c>
      <c r="E5032" s="41" t="str">
        <f>IFERROR(__xludf.DUMMYFUNCTION("IFNA(vlookup(D5032,IMPORTRANGE(""https://docs.google.com/spreadsheets/d/1swGwZOEqYlTEUCJLY-eeJM1911Kvaei5oySBIxdgtNo/edit?pli=1#gid=257618397"",""stock untanna!B:C""),2,false),V:V)"),"BP TF-2037 6W")</f>
        <v>BP TF-2037 6W</v>
      </c>
      <c r="F5032" s="49"/>
      <c r="G5032" s="71"/>
      <c r="H5032" s="41"/>
      <c r="I5032" s="42"/>
      <c r="J5032" s="85" t="s">
        <v>1319</v>
      </c>
      <c r="K5032" s="93">
        <v>1.0</v>
      </c>
      <c r="L5032" s="112" t="s">
        <v>62</v>
      </c>
      <c r="M5032" s="113">
        <v>51000.0</v>
      </c>
      <c r="N5032" s="74"/>
      <c r="O5032" s="87">
        <f t="shared" si="11"/>
        <v>51000</v>
      </c>
      <c r="P5032" s="102" t="str">
        <f t="shared" si="2"/>
        <v>Rp51,000-1 LSN-0.00%</v>
      </c>
      <c r="Q5032" s="92">
        <v>45434.0</v>
      </c>
      <c r="R5032" s="76"/>
      <c r="S5032" s="92">
        <v>45437.0</v>
      </c>
      <c r="T5032" s="49"/>
      <c r="V5032" s="21" t="s">
        <v>307</v>
      </c>
    </row>
    <row r="5033">
      <c r="A5033" s="93">
        <v>39.0</v>
      </c>
      <c r="B5033" s="77" t="s">
        <v>58</v>
      </c>
      <c r="C5033" s="77" t="s">
        <v>2602</v>
      </c>
      <c r="D5033" s="77" t="s">
        <v>1868</v>
      </c>
      <c r="E5033" s="41" t="str">
        <f>IFERROR(__xludf.DUMMYFUNCTION("IFNA(vlookup(D5033,IMPORTRANGE(""https://docs.google.com/spreadsheets/d/1swGwZOEqYlTEUCJLY-eeJM1911Kvaei5oySBIxdgtNo/edit?pli=1#gid=257618397"",""stock untanna!B:C""),2,false),V:V)"),"BP 4W TOZCHA 8401")</f>
        <v>BP 4W TOZCHA 8401</v>
      </c>
      <c r="F5033" s="49"/>
      <c r="G5033" s="71"/>
      <c r="H5033" s="41"/>
      <c r="I5033" s="42"/>
      <c r="J5033" s="85" t="s">
        <v>1319</v>
      </c>
      <c r="K5033" s="93">
        <v>1.0</v>
      </c>
      <c r="L5033" s="112" t="s">
        <v>62</v>
      </c>
      <c r="M5033" s="113">
        <v>30000.0</v>
      </c>
      <c r="N5033" s="74"/>
      <c r="O5033" s="87">
        <f t="shared" si="11"/>
        <v>30000</v>
      </c>
      <c r="P5033" s="102" t="str">
        <f t="shared" si="2"/>
        <v>Rp30,000-1 LSN-0.00%</v>
      </c>
      <c r="Q5033" s="92">
        <v>45434.0</v>
      </c>
      <c r="R5033" s="76"/>
      <c r="S5033" s="92">
        <v>45437.0</v>
      </c>
      <c r="T5033" s="49"/>
      <c r="V5033" s="21" t="s">
        <v>1869</v>
      </c>
    </row>
    <row r="5034">
      <c r="A5034" s="93">
        <v>39.0</v>
      </c>
      <c r="B5034" s="77" t="s">
        <v>58</v>
      </c>
      <c r="C5034" s="77" t="s">
        <v>2602</v>
      </c>
      <c r="D5034" s="77" t="s">
        <v>4131</v>
      </c>
      <c r="E5034" s="41" t="str">
        <f>IFERROR(__xludf.DUMMYFUNCTION("IFNA(vlookup(D5034,IMPORTRANGE(""https://docs.google.com/spreadsheets/d/1swGwZOEqYlTEUCJLY-eeJM1911Kvaei5oySBIxdgtNo/edit?pli=1#gid=257618397"",""stock untanna!B:C""),2,false),V:V)"),"BP DEBOZZ DB G 028 CLICK")</f>
        <v>BP DEBOZZ DB G 028 CLICK</v>
      </c>
      <c r="F5034" s="49"/>
      <c r="G5034" s="71"/>
      <c r="H5034" s="41"/>
      <c r="I5034" s="42"/>
      <c r="J5034" s="85" t="s">
        <v>1319</v>
      </c>
      <c r="K5034" s="93">
        <v>6.0</v>
      </c>
      <c r="L5034" s="112" t="s">
        <v>62</v>
      </c>
      <c r="M5034" s="113">
        <v>25500.0</v>
      </c>
      <c r="N5034" s="74"/>
      <c r="O5034" s="87">
        <f t="shared" si="11"/>
        <v>153000</v>
      </c>
      <c r="P5034" s="102" t="str">
        <f t="shared" si="2"/>
        <v>Rp25,500-6 LSN-0.00%</v>
      </c>
      <c r="Q5034" s="92">
        <v>45434.0</v>
      </c>
      <c r="R5034" s="76"/>
      <c r="S5034" s="92">
        <v>45437.0</v>
      </c>
      <c r="T5034" s="49"/>
      <c r="V5034" s="21" t="s">
        <v>4132</v>
      </c>
    </row>
    <row r="5035">
      <c r="A5035" s="93">
        <v>39.0</v>
      </c>
      <c r="B5035" s="77" t="s">
        <v>58</v>
      </c>
      <c r="C5035" s="77" t="s">
        <v>2602</v>
      </c>
      <c r="D5035" s="77" t="s">
        <v>4133</v>
      </c>
      <c r="E5035" s="41" t="str">
        <f>IFERROR(__xludf.DUMMYFUNCTION("IFNA(vlookup(D5035,IMPORTRANGE(""https://docs.google.com/spreadsheets/d/1swGwZOEqYlTEUCJLY-eeJM1911Kvaei5oySBIxdgtNo/edit?pli=1#gid=257618397"",""stock untanna!B:C""),2,false),V:V)"),"ISI STAPLER NOVUS NO.10")</f>
        <v>ISI STAPLER NOVUS NO.10</v>
      </c>
      <c r="F5035" s="49"/>
      <c r="G5035" s="71"/>
      <c r="H5035" s="41"/>
      <c r="I5035" s="42"/>
      <c r="J5035" s="85" t="s">
        <v>1319</v>
      </c>
      <c r="K5035" s="93">
        <v>40.0</v>
      </c>
      <c r="L5035" s="112" t="s">
        <v>69</v>
      </c>
      <c r="M5035" s="113">
        <v>1000.0</v>
      </c>
      <c r="N5035" s="74"/>
      <c r="O5035" s="87">
        <f t="shared" si="11"/>
        <v>40000</v>
      </c>
      <c r="P5035" s="102" t="str">
        <f t="shared" si="2"/>
        <v>Rp1,000-40 PCS-0.00%</v>
      </c>
      <c r="Q5035" s="92">
        <v>45434.0</v>
      </c>
      <c r="R5035" s="76"/>
      <c r="S5035" s="92">
        <v>45437.0</v>
      </c>
      <c r="T5035" s="77" t="s">
        <v>100</v>
      </c>
      <c r="V5035" s="21" t="s">
        <v>4134</v>
      </c>
    </row>
    <row r="5036">
      <c r="A5036" s="93">
        <v>40.0</v>
      </c>
      <c r="B5036" s="77" t="s">
        <v>58</v>
      </c>
      <c r="C5036" s="77" t="s">
        <v>2602</v>
      </c>
      <c r="D5036" s="77" t="s">
        <v>4135</v>
      </c>
      <c r="E5036" s="41" t="str">
        <f>IFERROR(__xludf.DUMMYFUNCTION("IFNA(vlookup(D5036,IMPORTRANGE(""https://docs.google.com/spreadsheets/d/1swGwZOEqYlTEUCJLY-eeJM1911Kvaei5oySBIxdgtNo/edit?pli=1#gid=257618397"",""stock untanna!B:C""),2,false),V:V)"),"GARISAN 984")</f>
        <v>GARISAN 984</v>
      </c>
      <c r="F5036" s="49"/>
      <c r="G5036" s="71"/>
      <c r="H5036" s="41"/>
      <c r="I5036" s="42"/>
      <c r="J5036" s="85" t="s">
        <v>1319</v>
      </c>
      <c r="K5036" s="93">
        <v>12.0</v>
      </c>
      <c r="L5036" s="112" t="s">
        <v>69</v>
      </c>
      <c r="M5036" s="113">
        <v>3750.0</v>
      </c>
      <c r="N5036" s="74"/>
      <c r="O5036" s="87">
        <f t="shared" si="11"/>
        <v>45000</v>
      </c>
      <c r="P5036" s="102" t="str">
        <f t="shared" si="2"/>
        <v>Rp3,750-12 PCS-0.00%</v>
      </c>
      <c r="Q5036" s="92">
        <v>45434.0</v>
      </c>
      <c r="R5036" s="76"/>
      <c r="S5036" s="92">
        <v>45437.0</v>
      </c>
      <c r="T5036" s="49"/>
      <c r="V5036" s="21" t="s">
        <v>4136</v>
      </c>
    </row>
    <row r="5037">
      <c r="A5037" s="93">
        <v>40.0</v>
      </c>
      <c r="B5037" s="77" t="s">
        <v>58</v>
      </c>
      <c r="C5037" s="77" t="s">
        <v>2602</v>
      </c>
      <c r="D5037" s="77" t="s">
        <v>385</v>
      </c>
      <c r="E5037" s="41" t="str">
        <f>IFERROR(__xludf.DUMMYFUNCTION("IFNA(vlookup(D5037,IMPORTRANGE(""https://docs.google.com/spreadsheets/d/1swGwZOEqYlTEUCJLY-eeJM1911Kvaei5oySBIxdgtNo/edit?pli=1#gid=257618397"",""stock untanna!B:C""),2,false),V:V)"),"GARISAN KM-8833")</f>
        <v>GARISAN KM-8833</v>
      </c>
      <c r="F5037" s="49"/>
      <c r="G5037" s="71"/>
      <c r="H5037" s="41"/>
      <c r="I5037" s="42"/>
      <c r="J5037" s="85" t="s">
        <v>1319</v>
      </c>
      <c r="K5037" s="93">
        <v>12.0</v>
      </c>
      <c r="L5037" s="112" t="s">
        <v>69</v>
      </c>
      <c r="M5037" s="113">
        <v>2291.0</v>
      </c>
      <c r="N5037" s="74"/>
      <c r="O5037" s="87">
        <f t="shared" si="11"/>
        <v>27492</v>
      </c>
      <c r="P5037" s="102" t="str">
        <f t="shared" si="2"/>
        <v>Rp2,291-12 PCS-0.00%</v>
      </c>
      <c r="Q5037" s="92">
        <v>45434.0</v>
      </c>
      <c r="R5037" s="76"/>
      <c r="S5037" s="92">
        <v>45437.0</v>
      </c>
      <c r="T5037" s="49"/>
      <c r="V5037" s="21" t="s">
        <v>386</v>
      </c>
    </row>
    <row r="5038">
      <c r="A5038" s="93">
        <v>40.0</v>
      </c>
      <c r="B5038" s="77" t="s">
        <v>58</v>
      </c>
      <c r="C5038" s="77" t="s">
        <v>2602</v>
      </c>
      <c r="D5038" s="91"/>
      <c r="E5038" s="41" t="str">
        <f>IFERROR(__xludf.DUMMYFUNCTION("IFNA(vlookup(D5038,IMPORTRANGE(""https://docs.google.com/spreadsheets/d/1swGwZOEqYlTEUCJLY-eeJM1911Kvaei5oySBIxdgtNo/edit?pli=1#gid=257618397"",""stock untanna!B:C""),2,false),V:V)"),"GARISAN ABC 250")</f>
        <v>GARISAN ABC 250</v>
      </c>
      <c r="F5038" s="49"/>
      <c r="G5038" s="71"/>
      <c r="H5038" s="41"/>
      <c r="I5038" s="42"/>
      <c r="J5038" s="85" t="s">
        <v>3190</v>
      </c>
      <c r="K5038" s="93">
        <v>12.0</v>
      </c>
      <c r="L5038" s="112" t="s">
        <v>69</v>
      </c>
      <c r="M5038" s="113">
        <v>1550.0</v>
      </c>
      <c r="N5038" s="74"/>
      <c r="O5038" s="87">
        <f t="shared" si="11"/>
        <v>18600</v>
      </c>
      <c r="P5038" s="102" t="str">
        <f t="shared" si="2"/>
        <v>Rp1,550-12 PCS-0.00%</v>
      </c>
      <c r="Q5038" s="92">
        <v>45434.0</v>
      </c>
      <c r="R5038" s="76"/>
      <c r="S5038" s="92">
        <v>45437.0</v>
      </c>
      <c r="T5038" s="49"/>
      <c r="V5038" s="21" t="s">
        <v>1579</v>
      </c>
    </row>
    <row r="5039">
      <c r="A5039" s="93">
        <v>40.0</v>
      </c>
      <c r="B5039" s="77" t="s">
        <v>58</v>
      </c>
      <c r="C5039" s="77" t="s">
        <v>2602</v>
      </c>
      <c r="D5039" s="91"/>
      <c r="E5039" s="41" t="str">
        <f>IFERROR(__xludf.DUMMYFUNCTION("IFNA(vlookup(D5039,IMPORTRANGE(""https://docs.google.com/spreadsheets/d/1swGwZOEqYlTEUCJLY-eeJM1911Kvaei5oySBIxdgtNo/edit?pli=1#gid=257618397"",""stock untanna!B:C""),2,false),V:V)"),"GARISAN ABC 270")</f>
        <v>GARISAN ABC 270</v>
      </c>
      <c r="F5039" s="49"/>
      <c r="G5039" s="71"/>
      <c r="H5039" s="41"/>
      <c r="I5039" s="42"/>
      <c r="J5039" s="85" t="s">
        <v>3190</v>
      </c>
      <c r="K5039" s="93">
        <v>12.0</v>
      </c>
      <c r="L5039" s="112" t="s">
        <v>69</v>
      </c>
      <c r="M5039" s="113">
        <v>2375.0</v>
      </c>
      <c r="N5039" s="74"/>
      <c r="O5039" s="87">
        <f t="shared" si="11"/>
        <v>28500</v>
      </c>
      <c r="P5039" s="102" t="str">
        <f t="shared" si="2"/>
        <v>Rp2,375-12 PCS-0.00%</v>
      </c>
      <c r="Q5039" s="92">
        <v>45434.0</v>
      </c>
      <c r="R5039" s="76"/>
      <c r="S5039" s="92">
        <v>45437.0</v>
      </c>
      <c r="T5039" s="49"/>
      <c r="V5039" s="21" t="s">
        <v>2524</v>
      </c>
    </row>
    <row r="5040">
      <c r="A5040" s="93">
        <v>40.0</v>
      </c>
      <c r="B5040" s="77" t="s">
        <v>58</v>
      </c>
      <c r="C5040" s="77" t="s">
        <v>2602</v>
      </c>
      <c r="D5040" s="91"/>
      <c r="E5040" s="41" t="str">
        <f>IFERROR(__xludf.DUMMYFUNCTION("IFNA(vlookup(D5040,IMPORTRANGE(""https://docs.google.com/spreadsheets/d/1swGwZOEqYlTEUCJLY-eeJM1911Kvaei5oySBIxdgtNo/edit?pli=1#gid=257618397"",""stock untanna!B:C""),2,false),V:V)"),"GARISAN ABC 280")</f>
        <v>GARISAN ABC 280</v>
      </c>
      <c r="F5040" s="49"/>
      <c r="G5040" s="71"/>
      <c r="H5040" s="41"/>
      <c r="I5040" s="42"/>
      <c r="J5040" s="85" t="s">
        <v>3190</v>
      </c>
      <c r="K5040" s="93">
        <v>12.0</v>
      </c>
      <c r="L5040" s="112" t="s">
        <v>69</v>
      </c>
      <c r="M5040" s="113">
        <v>2625.0</v>
      </c>
      <c r="N5040" s="74"/>
      <c r="O5040" s="87">
        <f t="shared" si="11"/>
        <v>31500</v>
      </c>
      <c r="P5040" s="102" t="str">
        <f t="shared" si="2"/>
        <v>Rp2,625-12 PCS-0.00%</v>
      </c>
      <c r="Q5040" s="92">
        <v>45434.0</v>
      </c>
      <c r="R5040" s="76"/>
      <c r="S5040" s="92">
        <v>45437.0</v>
      </c>
      <c r="T5040" s="49"/>
      <c r="V5040" s="21" t="s">
        <v>2525</v>
      </c>
    </row>
    <row r="5041">
      <c r="A5041" s="93">
        <v>40.0</v>
      </c>
      <c r="B5041" s="77" t="s">
        <v>58</v>
      </c>
      <c r="C5041" s="77" t="s">
        <v>2602</v>
      </c>
      <c r="D5041" s="77" t="s">
        <v>769</v>
      </c>
      <c r="E5041" s="41" t="str">
        <f>IFERROR(__xludf.DUMMYFUNCTION("IFNA(vlookup(D5041,IMPORTRANGE(""https://docs.google.com/spreadsheets/d/1swGwZOEqYlTEUCJLY-eeJM1911Kvaei5oySBIxdgtNo/edit?pli=1#gid=257618397"",""stock untanna!B:C""),2,false),V:V)"),"GARISAN BESI TF 100 CM")</f>
        <v>GARISAN BESI TF 100 CM</v>
      </c>
      <c r="F5041" s="49"/>
      <c r="G5041" s="71"/>
      <c r="H5041" s="41"/>
      <c r="I5041" s="42"/>
      <c r="J5041" s="85" t="s">
        <v>1319</v>
      </c>
      <c r="K5041" s="93">
        <v>2.0</v>
      </c>
      <c r="L5041" s="112" t="s">
        <v>62</v>
      </c>
      <c r="M5041" s="113">
        <v>22500.0</v>
      </c>
      <c r="N5041" s="74"/>
      <c r="O5041" s="87">
        <f t="shared" si="11"/>
        <v>45000</v>
      </c>
      <c r="P5041" s="102" t="str">
        <f t="shared" si="2"/>
        <v>Rp22,500-2 LSN-0.00%</v>
      </c>
      <c r="Q5041" s="92">
        <v>45434.0</v>
      </c>
      <c r="R5041" s="76"/>
      <c r="S5041" s="92">
        <v>45437.0</v>
      </c>
      <c r="T5041" s="49"/>
      <c r="V5041" s="21" t="s">
        <v>770</v>
      </c>
    </row>
    <row r="5042">
      <c r="A5042" s="93">
        <v>40.0</v>
      </c>
      <c r="B5042" s="77" t="s">
        <v>58</v>
      </c>
      <c r="C5042" s="77" t="s">
        <v>2602</v>
      </c>
      <c r="D5042" s="77" t="s">
        <v>976</v>
      </c>
      <c r="E5042" s="41" t="str">
        <f>IFERROR(__xludf.DUMMYFUNCTION("IFNA(vlookup(D5042,IMPORTRANGE(""https://docs.google.com/spreadsheets/d/1swGwZOEqYlTEUCJLY-eeJM1911Kvaei5oySBIxdgtNo/edit?pli=1#gid=257618397"",""stock untanna!B:C""),2,false),V:V)"),"GUNTING JUNIOR J 100")</f>
        <v>GUNTING JUNIOR J 100</v>
      </c>
      <c r="F5042" s="49"/>
      <c r="G5042" s="71"/>
      <c r="H5042" s="41"/>
      <c r="I5042" s="42"/>
      <c r="J5042" s="85" t="s">
        <v>1319</v>
      </c>
      <c r="K5042" s="93">
        <v>1.0</v>
      </c>
      <c r="L5042" s="112" t="s">
        <v>62</v>
      </c>
      <c r="M5042" s="113">
        <v>42500.4</v>
      </c>
      <c r="N5042" s="74"/>
      <c r="O5042" s="87">
        <f t="shared" si="11"/>
        <v>42500.4</v>
      </c>
      <c r="P5042" s="102" t="str">
        <f t="shared" si="2"/>
        <v>Rp42,500-1 LSN-0.00%</v>
      </c>
      <c r="Q5042" s="92">
        <v>45434.0</v>
      </c>
      <c r="R5042" s="76"/>
      <c r="S5042" s="92">
        <v>45437.0</v>
      </c>
      <c r="T5042" s="49"/>
      <c r="V5042" s="21" t="s">
        <v>977</v>
      </c>
    </row>
    <row r="5043">
      <c r="A5043" s="93">
        <v>40.0</v>
      </c>
      <c r="B5043" s="77" t="s">
        <v>58</v>
      </c>
      <c r="C5043" s="77" t="s">
        <v>2602</v>
      </c>
      <c r="D5043" s="77" t="s">
        <v>1960</v>
      </c>
      <c r="E5043" s="41" t="str">
        <f>IFERROR(__xludf.DUMMYFUNCTION("IFNA(vlookup(D5043,IMPORTRANGE(""https://docs.google.com/spreadsheets/d/1swGwZOEqYlTEUCJLY-eeJM1911Kvaei5oySBIxdgtNo/edit?pli=1#gid=257618397"",""stock untanna!B:C""),2,false),V:V)"),"GUNTING JUNIOR J 200")</f>
        <v>GUNTING JUNIOR J 200</v>
      </c>
      <c r="F5043" s="49"/>
      <c r="G5043" s="71"/>
      <c r="H5043" s="41"/>
      <c r="I5043" s="42"/>
      <c r="J5043" s="85" t="s">
        <v>1319</v>
      </c>
      <c r="K5043" s="93">
        <v>1.0</v>
      </c>
      <c r="L5043" s="112" t="s">
        <v>62</v>
      </c>
      <c r="M5043" s="113">
        <v>45600.0</v>
      </c>
      <c r="N5043" s="74"/>
      <c r="O5043" s="87">
        <f t="shared" si="11"/>
        <v>45600</v>
      </c>
      <c r="P5043" s="102" t="str">
        <f t="shared" si="2"/>
        <v>Rp45,600-1 LSN-0.00%</v>
      </c>
      <c r="Q5043" s="92">
        <v>45434.0</v>
      </c>
      <c r="R5043" s="76"/>
      <c r="S5043" s="92">
        <v>45437.0</v>
      </c>
      <c r="T5043" s="49"/>
      <c r="V5043" s="21" t="s">
        <v>1961</v>
      </c>
    </row>
    <row r="5044">
      <c r="A5044" s="93">
        <v>40.0</v>
      </c>
      <c r="B5044" s="77" t="s">
        <v>58</v>
      </c>
      <c r="C5044" s="77" t="s">
        <v>2602</v>
      </c>
      <c r="D5044" s="77" t="s">
        <v>2712</v>
      </c>
      <c r="E5044" s="41" t="str">
        <f>IFERROR(__xludf.DUMMYFUNCTION("IFNA(vlookup(D5044,IMPORTRANGE(""https://docs.google.com/spreadsheets/d/1swGwZOEqYlTEUCJLY-eeJM1911Kvaei5oySBIxdgtNo/edit?pli=1#gid=257618397"",""stock untanna!B:C""),2,false),V:V)"),"GUNTING JUNIOR J 400")</f>
        <v>GUNTING JUNIOR J 400</v>
      </c>
      <c r="F5044" s="49"/>
      <c r="G5044" s="71"/>
      <c r="H5044" s="41"/>
      <c r="I5044" s="42"/>
      <c r="J5044" s="85" t="s">
        <v>1319</v>
      </c>
      <c r="K5044" s="93">
        <v>1.0</v>
      </c>
      <c r="L5044" s="112" t="s">
        <v>62</v>
      </c>
      <c r="M5044" s="113">
        <v>59796.0</v>
      </c>
      <c r="N5044" s="74"/>
      <c r="O5044" s="87">
        <f t="shared" si="11"/>
        <v>59796</v>
      </c>
      <c r="P5044" s="102" t="str">
        <f t="shared" si="2"/>
        <v>Rp59,796-1 LSN-0.00%</v>
      </c>
      <c r="Q5044" s="92">
        <v>45434.0</v>
      </c>
      <c r="R5044" s="76"/>
      <c r="S5044" s="92">
        <v>45437.0</v>
      </c>
      <c r="T5044" s="49"/>
      <c r="V5044" s="21" t="s">
        <v>2713</v>
      </c>
    </row>
    <row r="5045">
      <c r="A5045" s="93">
        <v>40.0</v>
      </c>
      <c r="B5045" s="77" t="s">
        <v>58</v>
      </c>
      <c r="C5045" s="77" t="s">
        <v>2602</v>
      </c>
      <c r="D5045" s="77" t="s">
        <v>2126</v>
      </c>
      <c r="E5045" s="41" t="str">
        <f>IFERROR(__xludf.DUMMYFUNCTION("IFNA(vlookup(D5045,IMPORTRANGE(""https://docs.google.com/spreadsheets/d/1swGwZOEqYlTEUCJLY-eeJM1911Kvaei5oySBIxdgtNo/edit?pli=1#gid=257618397"",""stock untanna!B:C""),2,false),V:V)"),"GUNTING JUNIOR J-500")</f>
        <v>GUNTING JUNIOR J-500</v>
      </c>
      <c r="F5045" s="49"/>
      <c r="G5045" s="71"/>
      <c r="H5045" s="41"/>
      <c r="I5045" s="42"/>
      <c r="J5045" s="85" t="s">
        <v>1319</v>
      </c>
      <c r="K5045" s="93">
        <v>1.0</v>
      </c>
      <c r="L5045" s="112" t="s">
        <v>62</v>
      </c>
      <c r="M5045" s="113">
        <v>81636.0</v>
      </c>
      <c r="N5045" s="74"/>
      <c r="O5045" s="87">
        <f t="shared" si="11"/>
        <v>81636</v>
      </c>
      <c r="P5045" s="102" t="str">
        <f t="shared" si="2"/>
        <v>Rp81,636-1 LSN-0.00%</v>
      </c>
      <c r="Q5045" s="92">
        <v>45434.0</v>
      </c>
      <c r="R5045" s="76"/>
      <c r="S5045" s="92">
        <v>45437.0</v>
      </c>
      <c r="T5045" s="49"/>
      <c r="V5045" s="21" t="s">
        <v>2127</v>
      </c>
    </row>
    <row r="5046">
      <c r="A5046" s="93">
        <v>40.0</v>
      </c>
      <c r="B5046" s="77" t="s">
        <v>58</v>
      </c>
      <c r="C5046" s="77" t="s">
        <v>2602</v>
      </c>
      <c r="D5046" s="77" t="s">
        <v>3692</v>
      </c>
      <c r="E5046" s="41" t="str">
        <f>IFERROR(__xludf.DUMMYFUNCTION("IFNA(vlookup(D5046,IMPORTRANGE(""https://docs.google.com/spreadsheets/d/1swGwZOEqYlTEUCJLY-eeJM1911Kvaei5oySBIxdgtNo/edit?pli=1#gid=257618397"",""stock untanna!B:C""),2,false),V:V)"),"BP TIZO TG 31590F FANCY")</f>
        <v>BP TIZO TG 31590F FANCY</v>
      </c>
      <c r="F5046" s="49"/>
      <c r="G5046" s="71"/>
      <c r="H5046" s="41"/>
      <c r="I5046" s="42"/>
      <c r="J5046" s="85" t="s">
        <v>1319</v>
      </c>
      <c r="K5046" s="93">
        <v>3.0</v>
      </c>
      <c r="L5046" s="112" t="s">
        <v>62</v>
      </c>
      <c r="M5046" s="113">
        <v>19500.0</v>
      </c>
      <c r="N5046" s="74"/>
      <c r="O5046" s="87">
        <f t="shared" si="11"/>
        <v>58500</v>
      </c>
      <c r="P5046" s="102" t="str">
        <f t="shared" si="2"/>
        <v>Rp19,500-3 LSN-0.00%</v>
      </c>
      <c r="Q5046" s="92">
        <v>45434.0</v>
      </c>
      <c r="R5046" s="76"/>
      <c r="S5046" s="92">
        <v>45437.0</v>
      </c>
      <c r="T5046" s="49"/>
      <c r="V5046" s="21" t="s">
        <v>3693</v>
      </c>
    </row>
    <row r="5047">
      <c r="A5047" s="93">
        <v>40.0</v>
      </c>
      <c r="B5047" s="77" t="s">
        <v>58</v>
      </c>
      <c r="C5047" s="77" t="s">
        <v>2602</v>
      </c>
      <c r="D5047" s="77" t="s">
        <v>633</v>
      </c>
      <c r="E5047" s="41" t="str">
        <f>IFERROR(__xludf.DUMMYFUNCTION("IFNA(vlookup(D5047,IMPORTRANGE(""https://docs.google.com/spreadsheets/d/1swGwZOEqYlTEUCJLY-eeJM1911Kvaei5oySBIxdgtNo/edit?pli=1#gid=257618397"",""stock untanna!B:C""),2,false),V:V)"),"BP GEL TIZO 30734F FANCY")</f>
        <v>BP GEL TIZO 30734F FANCY</v>
      </c>
      <c r="F5047" s="49"/>
      <c r="G5047" s="71"/>
      <c r="H5047" s="41"/>
      <c r="I5047" s="42"/>
      <c r="J5047" s="85" t="s">
        <v>1319</v>
      </c>
      <c r="K5047" s="93">
        <v>3.0</v>
      </c>
      <c r="L5047" s="112" t="s">
        <v>62</v>
      </c>
      <c r="M5047" s="113">
        <v>19500.0</v>
      </c>
      <c r="N5047" s="74"/>
      <c r="O5047" s="87">
        <f t="shared" si="11"/>
        <v>58500</v>
      </c>
      <c r="P5047" s="102" t="str">
        <f t="shared" si="2"/>
        <v>Rp19,500-3 LSN-0.00%</v>
      </c>
      <c r="Q5047" s="92">
        <v>45434.0</v>
      </c>
      <c r="R5047" s="76"/>
      <c r="S5047" s="92">
        <v>45437.0</v>
      </c>
      <c r="T5047" s="49"/>
      <c r="V5047" s="21" t="s">
        <v>634</v>
      </c>
    </row>
    <row r="5048">
      <c r="A5048" s="93">
        <v>40.0</v>
      </c>
      <c r="B5048" s="77" t="s">
        <v>58</v>
      </c>
      <c r="C5048" s="77" t="s">
        <v>2602</v>
      </c>
      <c r="D5048" s="77" t="s">
        <v>951</v>
      </c>
      <c r="E5048" s="41" t="str">
        <f>IFERROR(__xludf.DUMMYFUNCTION("IFNA(vlookup(D5048,IMPORTRANGE(""https://docs.google.com/spreadsheets/d/1swGwZOEqYlTEUCJLY-eeJM1911Kvaei5oySBIxdgtNo/edit?pli=1#gid=257618397"",""stock untanna!B:C""),2,false),V:V)"),"BP D TIAN 108")</f>
        <v>BP D TIAN 108</v>
      </c>
      <c r="F5048" s="49"/>
      <c r="G5048" s="71"/>
      <c r="H5048" s="41"/>
      <c r="I5048" s="42"/>
      <c r="J5048" s="85" t="s">
        <v>1319</v>
      </c>
      <c r="K5048" s="93">
        <v>6.0</v>
      </c>
      <c r="L5048" s="112" t="s">
        <v>62</v>
      </c>
      <c r="M5048" s="113">
        <v>12000.0</v>
      </c>
      <c r="N5048" s="74"/>
      <c r="O5048" s="87">
        <f t="shared" si="11"/>
        <v>72000</v>
      </c>
      <c r="P5048" s="102" t="str">
        <f t="shared" si="2"/>
        <v>Rp12,000-6 LSN-0.00%</v>
      </c>
      <c r="Q5048" s="92">
        <v>45434.0</v>
      </c>
      <c r="R5048" s="76"/>
      <c r="S5048" s="92">
        <v>45437.0</v>
      </c>
      <c r="T5048" s="49"/>
      <c r="V5048" s="21" t="s">
        <v>952</v>
      </c>
    </row>
    <row r="5049">
      <c r="A5049" s="93">
        <v>40.0</v>
      </c>
      <c r="B5049" s="77" t="s">
        <v>58</v>
      </c>
      <c r="C5049" s="77" t="s">
        <v>2602</v>
      </c>
      <c r="D5049" s="77" t="s">
        <v>1848</v>
      </c>
      <c r="E5049" s="41" t="str">
        <f>IFERROR(__xludf.DUMMYFUNCTION("IFNA(vlookup(D5049,IMPORTRANGE(""https://docs.google.com/spreadsheets/d/1swGwZOEqYlTEUCJLY-eeJM1911Kvaei5oySBIxdgtNo/edit?pli=1#gid=257618397"",""stock untanna!B:C""),2,false),V:V)"),"BP DEBOZZ DB-530")</f>
        <v>BP DEBOZZ DB-530</v>
      </c>
      <c r="F5049" s="49"/>
      <c r="G5049" s="71"/>
      <c r="H5049" s="41"/>
      <c r="I5049" s="42"/>
      <c r="J5049" s="85" t="s">
        <v>1319</v>
      </c>
      <c r="K5049" s="93">
        <v>3.0</v>
      </c>
      <c r="L5049" s="112" t="s">
        <v>62</v>
      </c>
      <c r="M5049" s="113">
        <v>23000.0</v>
      </c>
      <c r="N5049" s="74"/>
      <c r="O5049" s="87">
        <f t="shared" si="11"/>
        <v>69000</v>
      </c>
      <c r="P5049" s="102" t="str">
        <f t="shared" si="2"/>
        <v>Rp23,000-3 LSN-0.00%</v>
      </c>
      <c r="Q5049" s="92">
        <v>45434.0</v>
      </c>
      <c r="R5049" s="76"/>
      <c r="S5049" s="92">
        <v>45437.0</v>
      </c>
      <c r="T5049" s="49"/>
      <c r="V5049" s="21" t="s">
        <v>1849</v>
      </c>
    </row>
    <row r="5050">
      <c r="A5050" s="93">
        <v>40.0</v>
      </c>
      <c r="B5050" s="77" t="s">
        <v>58</v>
      </c>
      <c r="C5050" s="77" t="s">
        <v>2602</v>
      </c>
      <c r="D5050" s="77" t="s">
        <v>4137</v>
      </c>
      <c r="E5050" s="41" t="str">
        <f>IFERROR(__xludf.DUMMYFUNCTION("IFNA(vlookup(D5050,IMPORTRANGE(""https://docs.google.com/spreadsheets/d/1swGwZOEqYlTEUCJLY-eeJM1911Kvaei5oySBIxdgtNo/edit?pli=1#gid=257618397"",""stock untanna!B:C""),2,false),V:V)"),"BP 7022 KUNCI")</f>
        <v>BP 7022 KUNCI</v>
      </c>
      <c r="F5050" s="49"/>
      <c r="G5050" s="71"/>
      <c r="H5050" s="41"/>
      <c r="I5050" s="42"/>
      <c r="J5050" s="85" t="s">
        <v>1319</v>
      </c>
      <c r="K5050" s="93">
        <v>2.0</v>
      </c>
      <c r="L5050" s="112" t="s">
        <v>62</v>
      </c>
      <c r="M5050" s="113">
        <v>13500.0</v>
      </c>
      <c r="N5050" s="74"/>
      <c r="O5050" s="87">
        <f t="shared" si="11"/>
        <v>27000</v>
      </c>
      <c r="P5050" s="102" t="str">
        <f t="shared" si="2"/>
        <v>Rp13,500-2 LSN-0.00%</v>
      </c>
      <c r="Q5050" s="92">
        <v>45434.0</v>
      </c>
      <c r="R5050" s="76"/>
      <c r="S5050" s="92">
        <v>45437.0</v>
      </c>
      <c r="T5050" s="49"/>
      <c r="V5050" s="21" t="s">
        <v>4138</v>
      </c>
    </row>
    <row r="5051">
      <c r="A5051" s="93">
        <v>40.0</v>
      </c>
      <c r="B5051" s="77" t="s">
        <v>58</v>
      </c>
      <c r="C5051" s="77" t="s">
        <v>2602</v>
      </c>
      <c r="D5051" s="77" t="s">
        <v>2881</v>
      </c>
      <c r="E5051" s="41" t="str">
        <f>IFERROR(__xludf.DUMMYFUNCTION("IFNA(vlookup(D5051,IMPORTRANGE(""https://docs.google.com/spreadsheets/d/1swGwZOEqYlTEUCJLY-eeJM1911Kvaei5oySBIxdgtNo/edit?pli=1#gid=257618397"",""stock untanna!B:C""),2,false),V:V)"),"BP GELL 585")</f>
        <v>BP GELL 585</v>
      </c>
      <c r="F5051" s="49"/>
      <c r="G5051" s="71"/>
      <c r="H5051" s="41"/>
      <c r="I5051" s="42"/>
      <c r="J5051" s="85" t="s">
        <v>1319</v>
      </c>
      <c r="K5051" s="93">
        <v>3.0</v>
      </c>
      <c r="L5051" s="112" t="s">
        <v>62</v>
      </c>
      <c r="M5051" s="113">
        <v>16500.0</v>
      </c>
      <c r="N5051" s="74"/>
      <c r="O5051" s="87">
        <f t="shared" si="11"/>
        <v>49500</v>
      </c>
      <c r="P5051" s="102" t="str">
        <f t="shared" si="2"/>
        <v>Rp16,500-3 LSN-0.00%</v>
      </c>
      <c r="Q5051" s="92">
        <v>45434.0</v>
      </c>
      <c r="R5051" s="76"/>
      <c r="S5051" s="92">
        <v>45437.0</v>
      </c>
      <c r="T5051" s="49"/>
      <c r="V5051" s="21" t="s">
        <v>2882</v>
      </c>
    </row>
    <row r="5052">
      <c r="A5052" s="93">
        <v>41.0</v>
      </c>
      <c r="B5052" s="77" t="s">
        <v>58</v>
      </c>
      <c r="C5052" s="77" t="s">
        <v>2602</v>
      </c>
      <c r="D5052" s="77" t="s">
        <v>458</v>
      </c>
      <c r="E5052" s="41" t="str">
        <f>IFERROR(__xludf.DUMMYFUNCTION("IFNA(vlookup(D5052,IMPORTRANGE(""https://docs.google.com/spreadsheets/d/1swGwZOEqYlTEUCJLY-eeJM1911Kvaei5oySBIxdgtNo/edit?pli=1#gid=257618397"",""stock untanna!B:C""),2,false),V:V)"),"BP GEL + GANTUNGAN A931")</f>
        <v>BP GEL + GANTUNGAN A931</v>
      </c>
      <c r="F5052" s="49"/>
      <c r="G5052" s="71"/>
      <c r="H5052" s="41"/>
      <c r="I5052" s="42"/>
      <c r="J5052" s="85" t="s">
        <v>1319</v>
      </c>
      <c r="K5052" s="93">
        <v>3.0</v>
      </c>
      <c r="L5052" s="112" t="s">
        <v>62</v>
      </c>
      <c r="M5052" s="113">
        <v>27500.0</v>
      </c>
      <c r="N5052" s="74"/>
      <c r="O5052" s="87">
        <f t="shared" si="11"/>
        <v>82500</v>
      </c>
      <c r="P5052" s="102" t="str">
        <f t="shared" si="2"/>
        <v>Rp27,500-3 LSN-0.00%</v>
      </c>
      <c r="Q5052" s="92">
        <v>45434.0</v>
      </c>
      <c r="R5052" s="76"/>
      <c r="S5052" s="92">
        <v>45437.0</v>
      </c>
      <c r="T5052" s="49"/>
      <c r="V5052" s="21" t="s">
        <v>459</v>
      </c>
    </row>
    <row r="5053">
      <c r="A5053" s="93">
        <v>41.0</v>
      </c>
      <c r="B5053" s="77" t="s">
        <v>58</v>
      </c>
      <c r="C5053" s="77" t="s">
        <v>2602</v>
      </c>
      <c r="D5053" s="77" t="s">
        <v>1669</v>
      </c>
      <c r="E5053" s="41" t="str">
        <f>IFERROR(__xludf.DUMMYFUNCTION("IFNA(vlookup(D5053,IMPORTRANGE(""https://docs.google.com/spreadsheets/d/1swGwZOEqYlTEUCJLY-eeJM1911Kvaei5oySBIxdgtNo/edit?pli=1#gid=257618397"",""stock untanna!B:C""),2,false),V:V)"),"BP GEL + GANTUNGAN 9169")</f>
        <v>BP GEL + GANTUNGAN 9169</v>
      </c>
      <c r="F5053" s="49"/>
      <c r="G5053" s="71"/>
      <c r="H5053" s="41"/>
      <c r="I5053" s="42"/>
      <c r="J5053" s="85" t="s">
        <v>1319</v>
      </c>
      <c r="K5053" s="93">
        <v>3.0</v>
      </c>
      <c r="L5053" s="112" t="s">
        <v>62</v>
      </c>
      <c r="M5053" s="113">
        <v>27500.0</v>
      </c>
      <c r="N5053" s="74"/>
      <c r="O5053" s="87">
        <f t="shared" si="11"/>
        <v>82500</v>
      </c>
      <c r="P5053" s="102" t="str">
        <f t="shared" si="2"/>
        <v>Rp27,500-3 LSN-0.00%</v>
      </c>
      <c r="Q5053" s="92">
        <v>45434.0</v>
      </c>
      <c r="R5053" s="76"/>
      <c r="S5053" s="92">
        <v>45437.0</v>
      </c>
      <c r="T5053" s="49"/>
      <c r="V5053" s="21" t="s">
        <v>1670</v>
      </c>
    </row>
    <row r="5054">
      <c r="A5054" s="93">
        <v>41.0</v>
      </c>
      <c r="B5054" s="77" t="s">
        <v>58</v>
      </c>
      <c r="C5054" s="77" t="s">
        <v>2602</v>
      </c>
      <c r="D5054" s="77" t="s">
        <v>2104</v>
      </c>
      <c r="E5054" s="41" t="str">
        <f>IFERROR(__xludf.DUMMYFUNCTION("IFNA(vlookup(D5054,IMPORTRANGE(""https://docs.google.com/spreadsheets/d/1swGwZOEqYlTEUCJLY-eeJM1911Kvaei5oySBIxdgtNo/edit?pli=1#gid=257618397"",""stock untanna!B:C""),2,false),V:V)"),"BP GEL + GANTUNGAN 9166")</f>
        <v>BP GEL + GANTUNGAN 9166</v>
      </c>
      <c r="F5054" s="49"/>
      <c r="G5054" s="71"/>
      <c r="H5054" s="41"/>
      <c r="I5054" s="42"/>
      <c r="J5054" s="85" t="s">
        <v>1319</v>
      </c>
      <c r="K5054" s="93">
        <v>3.0</v>
      </c>
      <c r="L5054" s="112" t="s">
        <v>62</v>
      </c>
      <c r="M5054" s="113">
        <v>27500.0</v>
      </c>
      <c r="N5054" s="74"/>
      <c r="O5054" s="87">
        <f t="shared" si="11"/>
        <v>82500</v>
      </c>
      <c r="P5054" s="102" t="str">
        <f t="shared" si="2"/>
        <v>Rp27,500-3 LSN-0.00%</v>
      </c>
      <c r="Q5054" s="92">
        <v>45434.0</v>
      </c>
      <c r="R5054" s="76"/>
      <c r="S5054" s="92">
        <v>45437.0</v>
      </c>
      <c r="T5054" s="49"/>
      <c r="V5054" s="21" t="s">
        <v>2105</v>
      </c>
    </row>
    <row r="5055">
      <c r="A5055" s="93">
        <v>41.0</v>
      </c>
      <c r="B5055" s="77" t="s">
        <v>58</v>
      </c>
      <c r="C5055" s="77" t="s">
        <v>2602</v>
      </c>
      <c r="D5055" s="77" t="s">
        <v>672</v>
      </c>
      <c r="E5055" s="41" t="str">
        <f>IFERROR(__xludf.DUMMYFUNCTION("IFNA(vlookup(D5055,IMPORTRANGE(""https://docs.google.com/spreadsheets/d/1swGwZOEqYlTEUCJLY-eeJM1911Kvaei5oySBIxdgtNo/edit?pli=1#gid=257618397"",""stock untanna!B:C""),2,false),V:V)"),"BP GEL DT 9906")</f>
        <v>BP GEL DT 9906</v>
      </c>
      <c r="F5055" s="49"/>
      <c r="G5055" s="71"/>
      <c r="H5055" s="41"/>
      <c r="I5055" s="42"/>
      <c r="J5055" s="85" t="s">
        <v>1319</v>
      </c>
      <c r="K5055" s="93">
        <v>3.0</v>
      </c>
      <c r="L5055" s="112" t="s">
        <v>62</v>
      </c>
      <c r="M5055" s="113">
        <v>13500.0</v>
      </c>
      <c r="N5055" s="74"/>
      <c r="O5055" s="87">
        <f t="shared" si="11"/>
        <v>40500</v>
      </c>
      <c r="P5055" s="102" t="str">
        <f t="shared" si="2"/>
        <v>Rp13,500-3 LSN-0.00%</v>
      </c>
      <c r="Q5055" s="92">
        <v>45434.0</v>
      </c>
      <c r="R5055" s="76"/>
      <c r="S5055" s="92">
        <v>45437.0</v>
      </c>
      <c r="T5055" s="49"/>
      <c r="V5055" s="21" t="s">
        <v>673</v>
      </c>
    </row>
    <row r="5056">
      <c r="A5056" s="93">
        <v>41.0</v>
      </c>
      <c r="B5056" s="77" t="s">
        <v>58</v>
      </c>
      <c r="C5056" s="77" t="s">
        <v>2602</v>
      </c>
      <c r="D5056" s="77" t="s">
        <v>3905</v>
      </c>
      <c r="E5056" s="41" t="str">
        <f>IFERROR(__xludf.DUMMYFUNCTION("IFNA(vlookup(D5056,IMPORTRANGE(""https://docs.google.com/spreadsheets/d/1swGwZOEqYlTEUCJLY-eeJM1911Kvaei5oySBIxdgtNo/edit?pli=1#gid=257618397"",""stock untanna!B:C""),2,false),V:V)"),"BP GEL 955")</f>
        <v>BP GEL 955</v>
      </c>
      <c r="F5056" s="49"/>
      <c r="G5056" s="71"/>
      <c r="H5056" s="41"/>
      <c r="I5056" s="42"/>
      <c r="J5056" s="85" t="s">
        <v>1319</v>
      </c>
      <c r="K5056" s="93">
        <v>24.0</v>
      </c>
      <c r="L5056" s="112" t="s">
        <v>69</v>
      </c>
      <c r="M5056" s="113">
        <v>1125.0</v>
      </c>
      <c r="N5056" s="74"/>
      <c r="O5056" s="87">
        <f t="shared" si="11"/>
        <v>27000</v>
      </c>
      <c r="P5056" s="102" t="str">
        <f t="shared" si="2"/>
        <v>Rp1,125-24 PCS-0.00%</v>
      </c>
      <c r="Q5056" s="92">
        <v>45434.0</v>
      </c>
      <c r="R5056" s="76"/>
      <c r="S5056" s="92">
        <v>45437.0</v>
      </c>
      <c r="T5056" s="49"/>
      <c r="V5056" s="21" t="s">
        <v>3906</v>
      </c>
    </row>
    <row r="5057">
      <c r="A5057" s="93">
        <v>41.0</v>
      </c>
      <c r="B5057" s="77" t="s">
        <v>58</v>
      </c>
      <c r="C5057" s="77" t="s">
        <v>2602</v>
      </c>
      <c r="D5057" s="77" t="s">
        <v>1648</v>
      </c>
      <c r="E5057" s="41" t="str">
        <f>IFERROR(__xludf.DUMMYFUNCTION("IFNA(vlookup(D5057,IMPORTRANGE(""https://docs.google.com/spreadsheets/d/1swGwZOEqYlTEUCJLY-eeJM1911Kvaei5oySBIxdgtNo/edit?pli=1#gid=257618397"",""stock untanna!B:C""),2,false),V:V)"),"BP GEL DTIAN DT-222")</f>
        <v>BP GEL DTIAN DT-222</v>
      </c>
      <c r="F5057" s="49"/>
      <c r="G5057" s="71"/>
      <c r="H5057" s="41"/>
      <c r="I5057" s="42"/>
      <c r="J5057" s="85" t="s">
        <v>1319</v>
      </c>
      <c r="K5057" s="93">
        <v>3.0</v>
      </c>
      <c r="L5057" s="112" t="s">
        <v>62</v>
      </c>
      <c r="M5057" s="113">
        <v>22500.0</v>
      </c>
      <c r="N5057" s="74"/>
      <c r="O5057" s="87">
        <f t="shared" si="11"/>
        <v>67500</v>
      </c>
      <c r="P5057" s="102" t="str">
        <f t="shared" si="2"/>
        <v>Rp22,500-3 LSN-0.00%</v>
      </c>
      <c r="Q5057" s="92">
        <v>45434.0</v>
      </c>
      <c r="R5057" s="76"/>
      <c r="S5057" s="92">
        <v>45437.0</v>
      </c>
      <c r="T5057" s="49"/>
      <c r="V5057" s="21" t="s">
        <v>1649</v>
      </c>
    </row>
    <row r="5058">
      <c r="A5058" s="93">
        <v>41.0</v>
      </c>
      <c r="B5058" s="77" t="s">
        <v>58</v>
      </c>
      <c r="C5058" s="77" t="s">
        <v>2602</v>
      </c>
      <c r="D5058" s="77" t="s">
        <v>2108</v>
      </c>
      <c r="E5058" s="41" t="str">
        <f>IFERROR(__xludf.DUMMYFUNCTION("IFNA(vlookup(D5058,IMPORTRANGE(""https://docs.google.com/spreadsheets/d/1swGwZOEqYlTEUCJLY-eeJM1911Kvaei5oySBIxdgtNo/edit?pli=1#gid=257618397"",""stock untanna!B:C""),2,false),V:V)"),"BP GEL DTIAN DT-221")</f>
        <v>BP GEL DTIAN DT-221</v>
      </c>
      <c r="F5058" s="49"/>
      <c r="G5058" s="71"/>
      <c r="H5058" s="41"/>
      <c r="I5058" s="42"/>
      <c r="J5058" s="85" t="s">
        <v>1319</v>
      </c>
      <c r="K5058" s="93">
        <v>3.0</v>
      </c>
      <c r="L5058" s="112" t="s">
        <v>62</v>
      </c>
      <c r="M5058" s="113">
        <v>27500.0</v>
      </c>
      <c r="N5058" s="74"/>
      <c r="O5058" s="87">
        <f t="shared" si="11"/>
        <v>82500</v>
      </c>
      <c r="P5058" s="102" t="str">
        <f t="shared" si="2"/>
        <v>Rp27,500-3 LSN-0.00%</v>
      </c>
      <c r="Q5058" s="92">
        <v>45434.0</v>
      </c>
      <c r="R5058" s="76"/>
      <c r="S5058" s="92">
        <v>45437.0</v>
      </c>
      <c r="T5058" s="49"/>
      <c r="V5058" s="21" t="s">
        <v>2109</v>
      </c>
    </row>
    <row r="5059">
      <c r="A5059" s="93">
        <v>41.0</v>
      </c>
      <c r="B5059" s="77" t="s">
        <v>58</v>
      </c>
      <c r="C5059" s="77" t="s">
        <v>2602</v>
      </c>
      <c r="D5059" s="77" t="s">
        <v>686</v>
      </c>
      <c r="E5059" s="41" t="str">
        <f>IFERROR(__xludf.DUMMYFUNCTION("IFNA(vlookup(D5059,IMPORTRANGE(""https://docs.google.com/spreadsheets/d/1swGwZOEqYlTEUCJLY-eeJM1911Kvaei5oySBIxdgtNo/edit?pli=1#gid=257618397"",""stock untanna!B:C""),2,false),V:V)"),"BP GEL DTIAN BIASA 9908")</f>
        <v>BP GEL DTIAN BIASA 9908</v>
      </c>
      <c r="F5059" s="49"/>
      <c r="G5059" s="71"/>
      <c r="H5059" s="41"/>
      <c r="I5059" s="42"/>
      <c r="J5059" s="85" t="s">
        <v>1319</v>
      </c>
      <c r="K5059" s="93">
        <v>2.0</v>
      </c>
      <c r="L5059" s="112" t="s">
        <v>62</v>
      </c>
      <c r="M5059" s="113">
        <v>13500.0</v>
      </c>
      <c r="N5059" s="74"/>
      <c r="O5059" s="87">
        <f t="shared" si="11"/>
        <v>27000</v>
      </c>
      <c r="P5059" s="102" t="str">
        <f t="shared" si="2"/>
        <v>Rp13,500-2 LSN-0.00%</v>
      </c>
      <c r="Q5059" s="92">
        <v>45434.0</v>
      </c>
      <c r="R5059" s="76"/>
      <c r="S5059" s="92">
        <v>45437.0</v>
      </c>
      <c r="T5059" s="49"/>
      <c r="V5059" s="21" t="s">
        <v>687</v>
      </c>
    </row>
    <row r="5060">
      <c r="A5060" s="93">
        <v>41.0</v>
      </c>
      <c r="B5060" s="77" t="s">
        <v>58</v>
      </c>
      <c r="C5060" s="77" t="s">
        <v>2602</v>
      </c>
      <c r="D5060" s="77" t="s">
        <v>949</v>
      </c>
      <c r="E5060" s="41" t="str">
        <f>IFERROR(__xludf.DUMMYFUNCTION("IFNA(vlookup(D5060,IMPORTRANGE(""https://docs.google.com/spreadsheets/d/1swGwZOEqYlTEUCJLY-eeJM1911Kvaei5oySBIxdgtNo/edit?pli=1#gid=257618397"",""stock untanna!B:C""),2,false),V:V)"),"BP GEL DT-236")</f>
        <v>BP GEL DT-236</v>
      </c>
      <c r="F5060" s="49"/>
      <c r="G5060" s="71"/>
      <c r="H5060" s="41"/>
      <c r="I5060" s="42"/>
      <c r="J5060" s="85" t="s">
        <v>1319</v>
      </c>
      <c r="K5060" s="93">
        <v>24.0</v>
      </c>
      <c r="L5060" s="112" t="s">
        <v>69</v>
      </c>
      <c r="M5060" s="113">
        <v>1875.0</v>
      </c>
      <c r="N5060" s="74"/>
      <c r="O5060" s="87">
        <f t="shared" si="11"/>
        <v>45000</v>
      </c>
      <c r="P5060" s="102" t="str">
        <f t="shared" si="2"/>
        <v>Rp1,875-24 PCS-0.00%</v>
      </c>
      <c r="Q5060" s="92">
        <v>45434.0</v>
      </c>
      <c r="R5060" s="76"/>
      <c r="S5060" s="92">
        <v>45437.0</v>
      </c>
      <c r="T5060" s="49"/>
      <c r="V5060" s="21" t="s">
        <v>950</v>
      </c>
    </row>
    <row r="5061">
      <c r="A5061" s="93">
        <v>41.0</v>
      </c>
      <c r="B5061" s="77" t="s">
        <v>58</v>
      </c>
      <c r="C5061" s="77" t="s">
        <v>2602</v>
      </c>
      <c r="D5061" s="77" t="s">
        <v>964</v>
      </c>
      <c r="E5061" s="41" t="str">
        <f>IFERROR(__xludf.DUMMYFUNCTION("IFNA(vlookup(D5061,IMPORTRANGE(""https://docs.google.com/spreadsheets/d/1swGwZOEqYlTEUCJLY-eeJM1911Kvaei5oySBIxdgtNo/edit?pli=1#gid=257618397"",""stock untanna!B:C""),2,false),V:V)"),"BP GEL DTIAN DT-233")</f>
        <v>BP GEL DTIAN DT-233</v>
      </c>
      <c r="F5061" s="49"/>
      <c r="G5061" s="71"/>
      <c r="H5061" s="41"/>
      <c r="I5061" s="42"/>
      <c r="J5061" s="85" t="s">
        <v>1319</v>
      </c>
      <c r="K5061" s="93">
        <v>3.0</v>
      </c>
      <c r="L5061" s="112" t="s">
        <v>62</v>
      </c>
      <c r="M5061" s="113">
        <v>22500.0</v>
      </c>
      <c r="N5061" s="74"/>
      <c r="O5061" s="87">
        <f t="shared" si="11"/>
        <v>67500</v>
      </c>
      <c r="P5061" s="102" t="str">
        <f t="shared" si="2"/>
        <v>Rp22,500-3 LSN-0.00%</v>
      </c>
      <c r="Q5061" s="92">
        <v>45434.0</v>
      </c>
      <c r="R5061" s="76"/>
      <c r="S5061" s="92">
        <v>45437.0</v>
      </c>
      <c r="T5061" s="49"/>
      <c r="V5061" s="21" t="s">
        <v>965</v>
      </c>
    </row>
    <row r="5062">
      <c r="A5062" s="93">
        <v>41.0</v>
      </c>
      <c r="B5062" s="77" t="s">
        <v>58</v>
      </c>
      <c r="C5062" s="77" t="s">
        <v>2602</v>
      </c>
      <c r="D5062" s="77" t="s">
        <v>4139</v>
      </c>
      <c r="E5062" s="41" t="str">
        <f>IFERROR(__xludf.DUMMYFUNCTION("IFNA(vlookup(D5062,IMPORTRANGE(""https://docs.google.com/spreadsheets/d/1swGwZOEqYlTEUCJLY-eeJM1911Kvaei5oySBIxdgtNo/edit?pli=1#gid=257618397"",""stock untanna!B:C""),2,false),V:V)"),"BP GEL DTIAN DT 956")</f>
        <v>BP GEL DTIAN DT 956</v>
      </c>
      <c r="F5062" s="49"/>
      <c r="G5062" s="71"/>
      <c r="H5062" s="41"/>
      <c r="I5062" s="42"/>
      <c r="J5062" s="85" t="s">
        <v>1319</v>
      </c>
      <c r="K5062" s="93">
        <v>2.0</v>
      </c>
      <c r="L5062" s="112" t="s">
        <v>62</v>
      </c>
      <c r="M5062" s="113">
        <v>13500.0</v>
      </c>
      <c r="N5062" s="74"/>
      <c r="O5062" s="87">
        <f t="shared" si="11"/>
        <v>27000</v>
      </c>
      <c r="P5062" s="102" t="str">
        <f t="shared" si="2"/>
        <v>Rp13,500-2 LSN-0.00%</v>
      </c>
      <c r="Q5062" s="92">
        <v>45434.0</v>
      </c>
      <c r="R5062" s="76"/>
      <c r="S5062" s="92">
        <v>45437.0</v>
      </c>
      <c r="T5062" s="49"/>
      <c r="V5062" s="21" t="s">
        <v>4140</v>
      </c>
    </row>
    <row r="5063">
      <c r="A5063" s="93">
        <v>41.0</v>
      </c>
      <c r="B5063" s="77" t="s">
        <v>58</v>
      </c>
      <c r="C5063" s="77" t="s">
        <v>2602</v>
      </c>
      <c r="D5063" s="77" t="s">
        <v>2110</v>
      </c>
      <c r="E5063" s="41" t="str">
        <f>IFERROR(__xludf.DUMMYFUNCTION("IFNA(vlookup(D5063,IMPORTRANGE(""https://docs.google.com/spreadsheets/d/1swGwZOEqYlTEUCJLY-eeJM1911Kvaei5oySBIxdgtNo/edit?pli=1#gid=257618397"",""stock untanna!B:C""),2,false),V:V)"),"BP GEL DTIAN DT-225")</f>
        <v>BP GEL DTIAN DT-225</v>
      </c>
      <c r="F5063" s="49"/>
      <c r="G5063" s="71"/>
      <c r="H5063" s="41"/>
      <c r="I5063" s="42"/>
      <c r="J5063" s="85" t="s">
        <v>1319</v>
      </c>
      <c r="K5063" s="93">
        <v>2.0</v>
      </c>
      <c r="L5063" s="112" t="s">
        <v>62</v>
      </c>
      <c r="M5063" s="113">
        <v>22500.0</v>
      </c>
      <c r="N5063" s="74"/>
      <c r="O5063" s="87">
        <f t="shared" si="11"/>
        <v>45000</v>
      </c>
      <c r="P5063" s="102" t="str">
        <f t="shared" si="2"/>
        <v>Rp22,500-2 LSN-0.00%</v>
      </c>
      <c r="Q5063" s="92">
        <v>45434.0</v>
      </c>
      <c r="R5063" s="76"/>
      <c r="S5063" s="92">
        <v>45437.0</v>
      </c>
      <c r="T5063" s="49"/>
      <c r="V5063" s="21" t="s">
        <v>2111</v>
      </c>
    </row>
    <row r="5064">
      <c r="A5064" s="93">
        <v>41.0</v>
      </c>
      <c r="B5064" s="77" t="s">
        <v>58</v>
      </c>
      <c r="C5064" s="77" t="s">
        <v>2602</v>
      </c>
      <c r="D5064" s="77" t="s">
        <v>966</v>
      </c>
      <c r="E5064" s="41" t="str">
        <f>IFERROR(__xludf.DUMMYFUNCTION("IFNA(vlookup(D5064,IMPORTRANGE(""https://docs.google.com/spreadsheets/d/1swGwZOEqYlTEUCJLY-eeJM1911Kvaei5oySBIxdgtNo/edit?pli=1#gid=257618397"",""stock untanna!B:C""),2,false),V:V)"),"BP GEL DT-238")</f>
        <v>BP GEL DT-238</v>
      </c>
      <c r="F5064" s="49"/>
      <c r="G5064" s="71"/>
      <c r="H5064" s="41"/>
      <c r="I5064" s="42"/>
      <c r="J5064" s="85" t="s">
        <v>1319</v>
      </c>
      <c r="K5064" s="93">
        <v>24.0</v>
      </c>
      <c r="L5064" s="112" t="s">
        <v>69</v>
      </c>
      <c r="M5064" s="113">
        <v>1875.0</v>
      </c>
      <c r="N5064" s="74"/>
      <c r="O5064" s="87">
        <f t="shared" si="11"/>
        <v>45000</v>
      </c>
      <c r="P5064" s="102" t="str">
        <f t="shared" si="2"/>
        <v>Rp1,875-24 PCS-0.00%</v>
      </c>
      <c r="Q5064" s="92">
        <v>45434.0</v>
      </c>
      <c r="R5064" s="76"/>
      <c r="S5064" s="92">
        <v>45437.0</v>
      </c>
      <c r="T5064" s="49"/>
      <c r="V5064" s="21" t="s">
        <v>967</v>
      </c>
    </row>
    <row r="5065">
      <c r="A5065" s="93">
        <v>41.0</v>
      </c>
      <c r="B5065" s="77" t="s">
        <v>58</v>
      </c>
      <c r="C5065" s="77" t="s">
        <v>2602</v>
      </c>
      <c r="D5065" s="77" t="s">
        <v>962</v>
      </c>
      <c r="E5065" s="41" t="str">
        <f>IFERROR(__xludf.DUMMYFUNCTION("IFNA(vlookup(D5065,IMPORTRANGE(""https://docs.google.com/spreadsheets/d/1swGwZOEqYlTEUCJLY-eeJM1911Kvaei5oySBIxdgtNo/edit?pli=1#gid=257618397"",""stock untanna!B:C""),2,false),V:V)"),"BP GEL DT-239")</f>
        <v>BP GEL DT-239</v>
      </c>
      <c r="F5065" s="49"/>
      <c r="G5065" s="71"/>
      <c r="H5065" s="41"/>
      <c r="I5065" s="42"/>
      <c r="J5065" s="85" t="s">
        <v>1319</v>
      </c>
      <c r="K5065" s="93">
        <v>24.0</v>
      </c>
      <c r="L5065" s="112" t="s">
        <v>69</v>
      </c>
      <c r="M5065" s="113">
        <v>1875.0</v>
      </c>
      <c r="N5065" s="74"/>
      <c r="O5065" s="87">
        <f t="shared" si="11"/>
        <v>45000</v>
      </c>
      <c r="P5065" s="102" t="str">
        <f t="shared" si="2"/>
        <v>Rp1,875-24 PCS-0.00%</v>
      </c>
      <c r="Q5065" s="92">
        <v>45434.0</v>
      </c>
      <c r="R5065" s="76"/>
      <c r="S5065" s="92">
        <v>45437.0</v>
      </c>
      <c r="T5065" s="49"/>
      <c r="V5065" s="21" t="s">
        <v>963</v>
      </c>
    </row>
    <row r="5066">
      <c r="A5066" s="93">
        <v>41.0</v>
      </c>
      <c r="B5066" s="77" t="s">
        <v>58</v>
      </c>
      <c r="C5066" s="77" t="s">
        <v>2602</v>
      </c>
      <c r="D5066" s="77" t="s">
        <v>1650</v>
      </c>
      <c r="E5066" s="41" t="str">
        <f>IFERROR(__xludf.DUMMYFUNCTION("IFNA(vlookup(D5066,IMPORTRANGE(""https://docs.google.com/spreadsheets/d/1swGwZOEqYlTEUCJLY-eeJM1911Kvaei5oySBIxdgtNo/edit?pli=1#gid=257618397"",""stock untanna!B:C""),2,false),V:V)"),"BP GEL DTIAN DT-227")</f>
        <v>BP GEL DTIAN DT-227</v>
      </c>
      <c r="F5066" s="49"/>
      <c r="G5066" s="71"/>
      <c r="H5066" s="41"/>
      <c r="I5066" s="42"/>
      <c r="J5066" s="85" t="s">
        <v>1319</v>
      </c>
      <c r="K5066" s="93">
        <v>2.0</v>
      </c>
      <c r="L5066" s="112" t="s">
        <v>62</v>
      </c>
      <c r="M5066" s="113">
        <v>22500.0</v>
      </c>
      <c r="N5066" s="74"/>
      <c r="O5066" s="87">
        <f t="shared" si="11"/>
        <v>45000</v>
      </c>
      <c r="P5066" s="102" t="str">
        <f t="shared" si="2"/>
        <v>Rp22,500-2 LSN-0.00%</v>
      </c>
      <c r="Q5066" s="92">
        <v>45434.0</v>
      </c>
      <c r="R5066" s="76"/>
      <c r="S5066" s="92">
        <v>45437.0</v>
      </c>
      <c r="T5066" s="49"/>
      <c r="V5066" s="21" t="s">
        <v>1651</v>
      </c>
    </row>
    <row r="5067">
      <c r="A5067" s="93">
        <v>41.0</v>
      </c>
      <c r="B5067" s="77" t="s">
        <v>58</v>
      </c>
      <c r="C5067" s="77" t="s">
        <v>2602</v>
      </c>
      <c r="D5067" s="77" t="s">
        <v>2178</v>
      </c>
      <c r="E5067" s="41" t="str">
        <f>IFERROR(__xludf.DUMMYFUNCTION("IFNA(vlookup(D5067,IMPORTRANGE(""https://docs.google.com/spreadsheets/d/1swGwZOEqYlTEUCJLY-eeJM1911Kvaei5oySBIxdgtNo/edit?pli=1#gid=257618397"",""stock untanna!B:C""),2,false),V:V)"),"MESIN LEM TEMBAK BOSCO 5538")</f>
        <v>MESIN LEM TEMBAK BOSCO 5538</v>
      </c>
      <c r="F5067" s="49"/>
      <c r="G5067" s="71"/>
      <c r="H5067" s="41"/>
      <c r="I5067" s="42"/>
      <c r="J5067" s="85" t="s">
        <v>1319</v>
      </c>
      <c r="K5067" s="93">
        <v>6.0</v>
      </c>
      <c r="L5067" s="112" t="s">
        <v>69</v>
      </c>
      <c r="M5067" s="113">
        <v>10000.0</v>
      </c>
      <c r="N5067" s="74"/>
      <c r="O5067" s="87">
        <f t="shared" si="11"/>
        <v>60000</v>
      </c>
      <c r="P5067" s="102" t="str">
        <f t="shared" si="2"/>
        <v>Rp10,000-6 PCS-0.00%</v>
      </c>
      <c r="Q5067" s="92">
        <v>45434.0</v>
      </c>
      <c r="R5067" s="76"/>
      <c r="S5067" s="92">
        <v>45437.0</v>
      </c>
      <c r="T5067" s="49"/>
      <c r="V5067" s="21" t="s">
        <v>2179</v>
      </c>
    </row>
    <row r="5068">
      <c r="A5068" s="93">
        <v>42.0</v>
      </c>
      <c r="B5068" s="77" t="s">
        <v>58</v>
      </c>
      <c r="C5068" s="77" t="s">
        <v>2602</v>
      </c>
      <c r="D5068" s="77" t="s">
        <v>3957</v>
      </c>
      <c r="E5068" s="41" t="str">
        <f>IFERROR(__xludf.DUMMYFUNCTION("IFNA(vlookup(D5068,IMPORTRANGE(""https://docs.google.com/spreadsheets/d/1swGwZOEqYlTEUCJLY-eeJM1911Kvaei5oySBIxdgtNo/edit?pli=1#gid=257618397"",""stock untanna!B:C""),2,false),V:V)"),"ASAHAN HC2907")</f>
        <v>ASAHAN HC2907</v>
      </c>
      <c r="F5068" s="49"/>
      <c r="G5068" s="71"/>
      <c r="H5068" s="41"/>
      <c r="I5068" s="42"/>
      <c r="J5068" s="85" t="s">
        <v>1319</v>
      </c>
      <c r="K5068" s="93">
        <v>3.0</v>
      </c>
      <c r="L5068" s="112" t="s">
        <v>69</v>
      </c>
      <c r="M5068" s="113">
        <v>15000.0</v>
      </c>
      <c r="N5068" s="74"/>
      <c r="O5068" s="87">
        <f t="shared" si="11"/>
        <v>45000</v>
      </c>
      <c r="P5068" s="102" t="str">
        <f t="shared" si="2"/>
        <v>Rp15,000-3 PCS-0.00%</v>
      </c>
      <c r="Q5068" s="92">
        <v>45434.0</v>
      </c>
      <c r="R5068" s="76"/>
      <c r="S5068" s="92">
        <v>45437.0</v>
      </c>
      <c r="T5068" s="49"/>
      <c r="V5068" s="21" t="s">
        <v>3958</v>
      </c>
    </row>
    <row r="5069">
      <c r="A5069" s="93">
        <v>42.0</v>
      </c>
      <c r="B5069" s="77" t="s">
        <v>58</v>
      </c>
      <c r="C5069" s="77" t="s">
        <v>2602</v>
      </c>
      <c r="D5069" s="77" t="s">
        <v>2202</v>
      </c>
      <c r="E5069" s="41" t="str">
        <f>IFERROR(__xludf.DUMMYFUNCTION("IFNA(vlookup(D5069,IMPORTRANGE(""https://docs.google.com/spreadsheets/d/1swGwZOEqYlTEUCJLY-eeJM1911Kvaei5oySBIxdgtNo/edit?pli=1#gid=257618397"",""stock untanna!B:C""),2,false),V:V)"),"ASAHAN 9022")</f>
        <v>ASAHAN 9022</v>
      </c>
      <c r="F5069" s="49"/>
      <c r="G5069" s="71"/>
      <c r="H5069" s="41"/>
      <c r="I5069" s="42"/>
      <c r="J5069" s="85" t="s">
        <v>1319</v>
      </c>
      <c r="K5069" s="93">
        <v>3.0</v>
      </c>
      <c r="L5069" s="112" t="s">
        <v>69</v>
      </c>
      <c r="M5069" s="113">
        <v>18000.0</v>
      </c>
      <c r="N5069" s="74"/>
      <c r="O5069" s="87">
        <f t="shared" si="11"/>
        <v>54000</v>
      </c>
      <c r="P5069" s="102" t="str">
        <f t="shared" si="2"/>
        <v>Rp18,000-3 PCS-0.00%</v>
      </c>
      <c r="Q5069" s="92">
        <v>45434.0</v>
      </c>
      <c r="R5069" s="76"/>
      <c r="S5069" s="92">
        <v>45437.0</v>
      </c>
      <c r="T5069" s="49"/>
      <c r="V5069" s="21" t="s">
        <v>2203</v>
      </c>
    </row>
    <row r="5070">
      <c r="A5070" s="93">
        <v>42.0</v>
      </c>
      <c r="B5070" s="77" t="s">
        <v>58</v>
      </c>
      <c r="C5070" s="77" t="s">
        <v>2602</v>
      </c>
      <c r="D5070" s="77" t="s">
        <v>2064</v>
      </c>
      <c r="E5070" s="41" t="str">
        <f>IFERROR(__xludf.DUMMYFUNCTION("IFNA(vlookup(D5070,IMPORTRANGE(""https://docs.google.com/spreadsheets/d/1swGwZOEqYlTEUCJLY-eeJM1911Kvaei5oySBIxdgtNo/edit?pli=1#gid=257618397"",""stock untanna!B:C""),2,false),V:V)"),"COIN BANK M")</f>
        <v>COIN BANK M</v>
      </c>
      <c r="F5070" s="49"/>
      <c r="G5070" s="71"/>
      <c r="H5070" s="41"/>
      <c r="I5070" s="42"/>
      <c r="J5070" s="85" t="s">
        <v>1319</v>
      </c>
      <c r="K5070" s="93">
        <v>1.0</v>
      </c>
      <c r="L5070" s="112" t="s">
        <v>62</v>
      </c>
      <c r="M5070" s="113">
        <v>81000.0</v>
      </c>
      <c r="N5070" s="74"/>
      <c r="O5070" s="87">
        <f t="shared" si="11"/>
        <v>81000</v>
      </c>
      <c r="P5070" s="102" t="str">
        <f t="shared" si="2"/>
        <v>Rp81,000-1 LSN-0.00%</v>
      </c>
      <c r="Q5070" s="92">
        <v>45434.0</v>
      </c>
      <c r="R5070" s="76"/>
      <c r="S5070" s="92">
        <v>45437.0</v>
      </c>
      <c r="T5070" s="49"/>
      <c r="V5070" s="21" t="s">
        <v>2065</v>
      </c>
    </row>
    <row r="5071">
      <c r="A5071" s="93">
        <v>42.0</v>
      </c>
      <c r="B5071" s="77" t="s">
        <v>58</v>
      </c>
      <c r="C5071" s="77" t="s">
        <v>2602</v>
      </c>
      <c r="D5071" s="77" t="s">
        <v>2066</v>
      </c>
      <c r="E5071" s="41" t="str">
        <f>IFERROR(__xludf.DUMMYFUNCTION("IFNA(vlookup(D5071,IMPORTRANGE(""https://docs.google.com/spreadsheets/d/1swGwZOEqYlTEUCJLY-eeJM1911Kvaei5oySBIxdgtNo/edit?pli=1#gid=257618397"",""stock untanna!B:C""),2,false),V:V)"),"COIN BANK L")</f>
        <v>COIN BANK L</v>
      </c>
      <c r="F5071" s="49"/>
      <c r="G5071" s="71"/>
      <c r="H5071" s="41"/>
      <c r="I5071" s="42"/>
      <c r="J5071" s="85" t="s">
        <v>1319</v>
      </c>
      <c r="K5071" s="93">
        <v>1.0</v>
      </c>
      <c r="L5071" s="112" t="s">
        <v>62</v>
      </c>
      <c r="M5071" s="113">
        <v>93996.0</v>
      </c>
      <c r="N5071" s="74"/>
      <c r="O5071" s="87">
        <f t="shared" si="11"/>
        <v>93996</v>
      </c>
      <c r="P5071" s="102" t="str">
        <f t="shared" si="2"/>
        <v>Rp93,996-1 LSN-0.00%</v>
      </c>
      <c r="Q5071" s="92">
        <v>45434.0</v>
      </c>
      <c r="R5071" s="76"/>
      <c r="S5071" s="92">
        <v>45437.0</v>
      </c>
      <c r="T5071" s="49"/>
      <c r="V5071" s="21" t="s">
        <v>2067</v>
      </c>
    </row>
    <row r="5072">
      <c r="A5072" s="93">
        <v>42.0</v>
      </c>
      <c r="B5072" s="77" t="s">
        <v>58</v>
      </c>
      <c r="C5072" s="77" t="s">
        <v>2602</v>
      </c>
      <c r="D5072" s="77" t="s">
        <v>2062</v>
      </c>
      <c r="E5072" s="41" t="str">
        <f>IFERROR(__xludf.DUMMYFUNCTION("IFNA(vlookup(D5072,IMPORTRANGE(""https://docs.google.com/spreadsheets/d/1swGwZOEqYlTEUCJLY-eeJM1911Kvaei5oySBIxdgtNo/edit?pli=1#gid=257618397"",""stock untanna!B:C""),2,false),V:V)"),"COIN BANK S")</f>
        <v>COIN BANK S</v>
      </c>
      <c r="F5072" s="49"/>
      <c r="G5072" s="71"/>
      <c r="H5072" s="41"/>
      <c r="I5072" s="42"/>
      <c r="J5072" s="85" t="s">
        <v>1319</v>
      </c>
      <c r="K5072" s="93">
        <v>1.0</v>
      </c>
      <c r="L5072" s="112" t="s">
        <v>62</v>
      </c>
      <c r="M5072" s="113">
        <v>66000.0</v>
      </c>
      <c r="N5072" s="74"/>
      <c r="O5072" s="87">
        <f t="shared" si="11"/>
        <v>66000</v>
      </c>
      <c r="P5072" s="102" t="str">
        <f t="shared" si="2"/>
        <v>Rp66,000-1 LSN-0.00%</v>
      </c>
      <c r="Q5072" s="92">
        <v>45434.0</v>
      </c>
      <c r="R5072" s="76"/>
      <c r="S5072" s="92">
        <v>45437.0</v>
      </c>
      <c r="T5072" s="49"/>
      <c r="V5072" s="21" t="s">
        <v>2063</v>
      </c>
    </row>
    <row r="5073">
      <c r="A5073" s="93">
        <v>42.0</v>
      </c>
      <c r="B5073" s="77" t="s">
        <v>58</v>
      </c>
      <c r="C5073" s="77" t="s">
        <v>2602</v>
      </c>
      <c r="D5073" s="77" t="s">
        <v>2176</v>
      </c>
      <c r="E5073" s="41" t="str">
        <f>IFERROR(__xludf.DUMMYFUNCTION("IFNA(vlookup(D5073,IMPORTRANGE(""https://docs.google.com/spreadsheets/d/1swGwZOEqYlTEUCJLY-eeJM1911Kvaei5oySBIxdgtNo/edit?pli=1#gid=257618397"",""stock untanna!B:C""),2,false),V:V)"),"LEM TEMBAK K PUTIH MS")</f>
        <v>LEM TEMBAK K PUTIH MS</v>
      </c>
      <c r="F5073" s="49"/>
      <c r="G5073" s="71"/>
      <c r="H5073" s="41"/>
      <c r="I5073" s="42"/>
      <c r="J5073" s="85" t="s">
        <v>1319</v>
      </c>
      <c r="K5073" s="93">
        <v>1.0</v>
      </c>
      <c r="L5073" s="112" t="s">
        <v>114</v>
      </c>
      <c r="M5073" s="113">
        <v>50000.0</v>
      </c>
      <c r="N5073" s="74"/>
      <c r="O5073" s="87">
        <f t="shared" si="11"/>
        <v>50000</v>
      </c>
      <c r="P5073" s="102" t="str">
        <f t="shared" si="2"/>
        <v>Rp50,000-1 PAK-0.00%</v>
      </c>
      <c r="Q5073" s="92">
        <v>45434.0</v>
      </c>
      <c r="R5073" s="76"/>
      <c r="S5073" s="92">
        <v>45437.0</v>
      </c>
      <c r="T5073" s="49"/>
      <c r="V5073" s="21" t="s">
        <v>2177</v>
      </c>
    </row>
    <row r="5074">
      <c r="A5074" s="93">
        <v>42.0</v>
      </c>
      <c r="B5074" s="77" t="s">
        <v>58</v>
      </c>
      <c r="C5074" s="77" t="s">
        <v>2602</v>
      </c>
      <c r="D5074" s="77" t="s">
        <v>547</v>
      </c>
      <c r="E5074" s="41" t="str">
        <f>IFERROR(__xludf.DUMMYFUNCTION("IFNA(vlookup(D5074,IMPORTRANGE(""https://docs.google.com/spreadsheets/d/1swGwZOEqYlTEUCJLY-eeJM1911Kvaei5oySBIxdgtNo/edit?pli=1#gid=257618397"",""stock untanna!B:C""),2,false),V:V)"),"PALET 21839-12")</f>
        <v>PALET 21839-12</v>
      </c>
      <c r="F5074" s="49"/>
      <c r="G5074" s="71"/>
      <c r="H5074" s="41"/>
      <c r="I5074" s="42"/>
      <c r="J5074" s="85" t="s">
        <v>1319</v>
      </c>
      <c r="K5074" s="93">
        <v>12.0</v>
      </c>
      <c r="L5074" s="112" t="s">
        <v>69</v>
      </c>
      <c r="M5074" s="113">
        <v>2250.0</v>
      </c>
      <c r="N5074" s="74"/>
      <c r="O5074" s="87">
        <f t="shared" si="11"/>
        <v>27000</v>
      </c>
      <c r="P5074" s="102" t="str">
        <f t="shared" si="2"/>
        <v>Rp2,250-12 PCS-0.00%</v>
      </c>
      <c r="Q5074" s="92">
        <v>45434.0</v>
      </c>
      <c r="R5074" s="76"/>
      <c r="S5074" s="92">
        <v>45437.0</v>
      </c>
      <c r="T5074" s="49"/>
      <c r="V5074" s="21" t="s">
        <v>548</v>
      </c>
    </row>
    <row r="5075">
      <c r="A5075" s="93">
        <v>42.0</v>
      </c>
      <c r="B5075" s="77" t="s">
        <v>58</v>
      </c>
      <c r="C5075" s="77" t="s">
        <v>2602</v>
      </c>
      <c r="D5075" s="77" t="s">
        <v>1448</v>
      </c>
      <c r="E5075" s="41" t="str">
        <f>IFERROR(__xludf.DUMMYFUNCTION("IFNA(vlookup(D5075,IMPORTRANGE(""https://docs.google.com/spreadsheets/d/1swGwZOEqYlTEUCJLY-eeJM1911Kvaei5oySBIxdgtNo/edit?pli=1#gid=257618397"",""stock untanna!B:C""),2,false),V:V)"),"PALET ANGGUR")</f>
        <v>PALET ANGGUR</v>
      </c>
      <c r="F5075" s="49"/>
      <c r="G5075" s="71"/>
      <c r="H5075" s="41"/>
      <c r="I5075" s="42"/>
      <c r="J5075" s="85" t="s">
        <v>1319</v>
      </c>
      <c r="K5075" s="93">
        <v>1.0</v>
      </c>
      <c r="L5075" s="112" t="s">
        <v>62</v>
      </c>
      <c r="M5075" s="113">
        <v>10992.0</v>
      </c>
      <c r="N5075" s="74"/>
      <c r="O5075" s="87">
        <f t="shared" si="11"/>
        <v>10992</v>
      </c>
      <c r="P5075" s="102" t="str">
        <f t="shared" si="2"/>
        <v>Rp10,992-1 LSN-0.00%</v>
      </c>
      <c r="Q5075" s="92">
        <v>45434.0</v>
      </c>
      <c r="R5075" s="76"/>
      <c r="S5075" s="92">
        <v>45437.0</v>
      </c>
      <c r="T5075" s="49"/>
      <c r="V5075" s="21" t="s">
        <v>1449</v>
      </c>
    </row>
    <row r="5076">
      <c r="A5076" s="93">
        <v>42.0</v>
      </c>
      <c r="B5076" s="77" t="s">
        <v>58</v>
      </c>
      <c r="C5076" s="77" t="s">
        <v>2602</v>
      </c>
      <c r="D5076" s="77" t="s">
        <v>1450</v>
      </c>
      <c r="E5076" s="41" t="str">
        <f>IFERROR(__xludf.DUMMYFUNCTION("IFNA(vlookup(D5076,IMPORTRANGE(""https://docs.google.com/spreadsheets/d/1swGwZOEqYlTEUCJLY-eeJM1911Kvaei5oySBIxdgtNo/edit?pli=1#gid=257618397"",""stock untanna!B:C""),2,false),V:V)"),"PALET APEL")</f>
        <v>PALET APEL</v>
      </c>
      <c r="F5076" s="49"/>
      <c r="G5076" s="71"/>
      <c r="H5076" s="41"/>
      <c r="I5076" s="42"/>
      <c r="J5076" s="85" t="s">
        <v>1319</v>
      </c>
      <c r="K5076" s="93">
        <v>1.0</v>
      </c>
      <c r="L5076" s="112" t="s">
        <v>62</v>
      </c>
      <c r="M5076" s="113">
        <v>10992.0</v>
      </c>
      <c r="N5076" s="74"/>
      <c r="O5076" s="87">
        <f t="shared" si="11"/>
        <v>10992</v>
      </c>
      <c r="P5076" s="102" t="str">
        <f t="shared" si="2"/>
        <v>Rp10,992-1 LSN-0.00%</v>
      </c>
      <c r="Q5076" s="92">
        <v>45434.0</v>
      </c>
      <c r="R5076" s="76"/>
      <c r="S5076" s="92">
        <v>45437.0</v>
      </c>
      <c r="T5076" s="49"/>
      <c r="V5076" s="21" t="s">
        <v>1451</v>
      </c>
    </row>
    <row r="5077">
      <c r="A5077" s="93">
        <v>42.0</v>
      </c>
      <c r="B5077" s="77" t="s">
        <v>58</v>
      </c>
      <c r="C5077" s="77" t="s">
        <v>2602</v>
      </c>
      <c r="D5077" s="91"/>
      <c r="E5077" s="41" t="str">
        <f>IFERROR(__xludf.DUMMYFUNCTION("IFNA(vlookup(D5077,IMPORTRANGE(""https://docs.google.com/spreadsheets/d/1swGwZOEqYlTEUCJLY-eeJM1911Kvaei5oySBIxdgtNo/edit?pli=1#gid=257618397"",""stock untanna!B:C""),2,false),V:V)"),"P CASE SH 10")</f>
        <v>P CASE SH 10</v>
      </c>
      <c r="F5077" s="49"/>
      <c r="G5077" s="71"/>
      <c r="H5077" s="41"/>
      <c r="I5077" s="42"/>
      <c r="J5077" s="85" t="s">
        <v>3190</v>
      </c>
      <c r="K5077" s="93">
        <v>1.0</v>
      </c>
      <c r="L5077" s="112" t="s">
        <v>62</v>
      </c>
      <c r="M5077" s="113">
        <v>162000.0</v>
      </c>
      <c r="N5077" s="74"/>
      <c r="O5077" s="87">
        <f t="shared" si="11"/>
        <v>162000</v>
      </c>
      <c r="P5077" s="102" t="str">
        <f t="shared" si="2"/>
        <v>Rp162,000-1 LSN-0.00%</v>
      </c>
      <c r="Q5077" s="92">
        <v>45434.0</v>
      </c>
      <c r="R5077" s="76"/>
      <c r="S5077" s="92">
        <v>45437.0</v>
      </c>
      <c r="T5077" s="49"/>
      <c r="V5077" s="21" t="s">
        <v>4141</v>
      </c>
    </row>
    <row r="5078">
      <c r="A5078" s="93">
        <v>42.0</v>
      </c>
      <c r="B5078" s="77" t="s">
        <v>58</v>
      </c>
      <c r="C5078" s="77" t="s">
        <v>2602</v>
      </c>
      <c r="D5078" s="77" t="s">
        <v>1141</v>
      </c>
      <c r="E5078" s="41" t="str">
        <f>IFERROR(__xludf.DUMMYFUNCTION("IFNA(vlookup(D5078,IMPORTRANGE(""https://docs.google.com/spreadsheets/d/1swGwZOEqYlTEUCJLY-eeJM1911Kvaei5oySBIxdgtNo/edit?pli=1#gid=257618397"",""stock untanna!B:C""),2,false),V:V)"),"PENSIL CASE SH-04")</f>
        <v>PENSIL CASE SH-04</v>
      </c>
      <c r="F5078" s="49"/>
      <c r="G5078" s="71"/>
      <c r="H5078" s="41"/>
      <c r="I5078" s="42"/>
      <c r="J5078" s="85" t="s">
        <v>1319</v>
      </c>
      <c r="K5078" s="93">
        <v>12.0</v>
      </c>
      <c r="L5078" s="112" t="s">
        <v>69</v>
      </c>
      <c r="M5078" s="113">
        <v>13500.0</v>
      </c>
      <c r="N5078" s="74"/>
      <c r="O5078" s="87">
        <f t="shared" si="11"/>
        <v>162000</v>
      </c>
      <c r="P5078" s="102" t="str">
        <f t="shared" si="2"/>
        <v>Rp13,500-12 PCS-0.00%</v>
      </c>
      <c r="Q5078" s="92">
        <v>45434.0</v>
      </c>
      <c r="R5078" s="76"/>
      <c r="S5078" s="92">
        <v>45437.0</v>
      </c>
      <c r="T5078" s="49"/>
      <c r="V5078" s="21" t="s">
        <v>1143</v>
      </c>
    </row>
    <row r="5079">
      <c r="A5079" s="93">
        <v>42.0</v>
      </c>
      <c r="B5079" s="77" t="s">
        <v>58</v>
      </c>
      <c r="C5079" s="77" t="s">
        <v>2602</v>
      </c>
      <c r="D5079" s="77" t="s">
        <v>2742</v>
      </c>
      <c r="E5079" s="41" t="str">
        <f>IFERROR(__xludf.DUMMYFUNCTION("IFNA(vlookup(D5079,IMPORTRANGE(""https://docs.google.com/spreadsheets/d/1swGwZOEqYlTEUCJLY-eeJM1911Kvaei5oySBIxdgtNo/edit?pli=1#gid=257618397"",""stock untanna!B:C""),2,false),V:V)"),"PENSIL CASE BX-3971")</f>
        <v>PENSIL CASE BX-3971</v>
      </c>
      <c r="F5079" s="49"/>
      <c r="G5079" s="71"/>
      <c r="H5079" s="41"/>
      <c r="I5079" s="42"/>
      <c r="J5079" s="85" t="s">
        <v>1319</v>
      </c>
      <c r="K5079" s="93">
        <v>12.0</v>
      </c>
      <c r="L5079" s="112" t="s">
        <v>69</v>
      </c>
      <c r="M5079" s="113">
        <v>15500.0</v>
      </c>
      <c r="N5079" s="74"/>
      <c r="O5079" s="87">
        <f t="shared" si="11"/>
        <v>186000</v>
      </c>
      <c r="P5079" s="102" t="str">
        <f t="shared" si="2"/>
        <v>Rp15,500-12 PCS-0.00%</v>
      </c>
      <c r="Q5079" s="92">
        <v>45434.0</v>
      </c>
      <c r="R5079" s="76"/>
      <c r="S5079" s="92">
        <v>45437.0</v>
      </c>
      <c r="T5079" s="49"/>
      <c r="V5079" s="21" t="s">
        <v>2743</v>
      </c>
    </row>
    <row r="5080">
      <c r="A5080" s="93">
        <v>42.0</v>
      </c>
      <c r="B5080" s="77" t="s">
        <v>58</v>
      </c>
      <c r="C5080" s="77" t="s">
        <v>2602</v>
      </c>
      <c r="D5080" s="77" t="s">
        <v>3811</v>
      </c>
      <c r="E5080" s="41" t="str">
        <f>IFERROR(__xludf.DUMMYFUNCTION("IFNA(vlookup(D5080,IMPORTRANGE(""https://docs.google.com/spreadsheets/d/1swGwZOEqYlTEUCJLY-eeJM1911Kvaei5oySBIxdgtNo/edit?pli=1#gid=257618397"",""stock untanna!B:C""),2,false),V:V)"),"PENCIL CASE 588-181-1 MAGNET")</f>
        <v>PENCIL CASE 588-181-1 MAGNET</v>
      </c>
      <c r="F5080" s="49"/>
      <c r="G5080" s="71"/>
      <c r="H5080" s="41"/>
      <c r="I5080" s="42"/>
      <c r="J5080" s="85" t="s">
        <v>1319</v>
      </c>
      <c r="K5080" s="93">
        <v>12.0</v>
      </c>
      <c r="L5080" s="112" t="s">
        <v>69</v>
      </c>
      <c r="M5080" s="113">
        <v>18750.0</v>
      </c>
      <c r="N5080" s="74"/>
      <c r="O5080" s="87">
        <f t="shared" si="11"/>
        <v>225000</v>
      </c>
      <c r="P5080" s="102" t="str">
        <f t="shared" si="2"/>
        <v>Rp18,750-12 PCS-0.00%</v>
      </c>
      <c r="Q5080" s="92">
        <v>45434.0</v>
      </c>
      <c r="R5080" s="76"/>
      <c r="S5080" s="92">
        <v>45437.0</v>
      </c>
      <c r="T5080" s="49"/>
      <c r="V5080" s="21" t="s">
        <v>3812</v>
      </c>
    </row>
    <row r="5081">
      <c r="A5081" s="93">
        <v>42.0</v>
      </c>
      <c r="B5081" s="77" t="s">
        <v>58</v>
      </c>
      <c r="C5081" s="77" t="s">
        <v>2602</v>
      </c>
      <c r="D5081" s="91"/>
      <c r="E5081" s="41" t="str">
        <f>IFERROR(__xludf.DUMMYFUNCTION("IFNA(vlookup(D5081,IMPORTRANGE(""https://docs.google.com/spreadsheets/d/1swGwZOEqYlTEUCJLY-eeJM1911Kvaei5oySBIxdgtNo/edit?pli=1#gid=257618397"",""stock untanna!B:C""),2,false),V:V)"),"PC M XU 0080")</f>
        <v>PC M XU 0080</v>
      </c>
      <c r="F5081" s="49"/>
      <c r="G5081" s="71"/>
      <c r="H5081" s="41"/>
      <c r="I5081" s="42"/>
      <c r="J5081" s="85" t="s">
        <v>1319</v>
      </c>
      <c r="K5081" s="93">
        <v>1.0</v>
      </c>
      <c r="L5081" s="112" t="s">
        <v>62</v>
      </c>
      <c r="M5081" s="113">
        <v>225000.0</v>
      </c>
      <c r="N5081" s="74"/>
      <c r="O5081" s="87">
        <f t="shared" si="11"/>
        <v>225000</v>
      </c>
      <c r="P5081" s="102" t="str">
        <f t="shared" si="2"/>
        <v>Rp225,000-1 LSN-0.00%</v>
      </c>
      <c r="Q5081" s="92">
        <v>45434.0</v>
      </c>
      <c r="R5081" s="76"/>
      <c r="S5081" s="92">
        <v>45437.0</v>
      </c>
      <c r="T5081" s="77" t="s">
        <v>280</v>
      </c>
      <c r="V5081" s="21" t="s">
        <v>4142</v>
      </c>
    </row>
    <row r="5082">
      <c r="A5082" s="93">
        <v>42.0</v>
      </c>
      <c r="B5082" s="77" t="s">
        <v>58</v>
      </c>
      <c r="C5082" s="77" t="s">
        <v>2602</v>
      </c>
      <c r="D5082" s="77" t="s">
        <v>1148</v>
      </c>
      <c r="E5082" s="41" t="str">
        <f>IFERROR(__xludf.DUMMYFUNCTION("IFNA(vlookup(D5082,IMPORTRANGE(""https://docs.google.com/spreadsheets/d/1swGwZOEqYlTEUCJLY-eeJM1911Kvaei5oySBIxdgtNo/edit?pli=1#gid=257618397"",""stock untanna!B:C""),2,false),V:V)"),"PENSIL CASE 5813")</f>
        <v>PENSIL CASE 5813</v>
      </c>
      <c r="F5082" s="49"/>
      <c r="G5082" s="71"/>
      <c r="H5082" s="41"/>
      <c r="I5082" s="42"/>
      <c r="J5082" s="85" t="s">
        <v>1319</v>
      </c>
      <c r="K5082" s="93">
        <v>12.0</v>
      </c>
      <c r="L5082" s="112" t="s">
        <v>69</v>
      </c>
      <c r="M5082" s="113">
        <v>25000.0</v>
      </c>
      <c r="N5082" s="74"/>
      <c r="O5082" s="87">
        <f t="shared" si="11"/>
        <v>300000</v>
      </c>
      <c r="P5082" s="102" t="str">
        <f t="shared" si="2"/>
        <v>Rp25,000-12 PCS-0.00%</v>
      </c>
      <c r="Q5082" s="92">
        <v>45434.0</v>
      </c>
      <c r="R5082" s="76"/>
      <c r="S5082" s="92">
        <v>45437.0</v>
      </c>
      <c r="T5082" s="49"/>
      <c r="V5082" s="21" t="s">
        <v>1149</v>
      </c>
    </row>
    <row r="5083">
      <c r="A5083" s="93">
        <v>42.0</v>
      </c>
      <c r="B5083" s="77" t="s">
        <v>58</v>
      </c>
      <c r="C5083" s="77" t="s">
        <v>2602</v>
      </c>
      <c r="D5083" s="77" t="s">
        <v>2086</v>
      </c>
      <c r="E5083" s="41" t="str">
        <f>IFERROR(__xludf.DUMMYFUNCTION("IFNA(vlookup(D5083,IMPORTRANGE(""https://docs.google.com/spreadsheets/d/1swGwZOEqYlTEUCJLY-eeJM1911Kvaei5oySBIxdgtNo/edit?pli=1#gid=257618397"",""stock untanna!B:C""),2,false),V:V)"),"PC MAGNIT CC 7806 + CALL")</f>
        <v>PC MAGNIT CC 7806 + CALL</v>
      </c>
      <c r="F5083" s="49"/>
      <c r="G5083" s="71"/>
      <c r="H5083" s="41"/>
      <c r="I5083" s="42"/>
      <c r="J5083" s="85" t="s">
        <v>1319</v>
      </c>
      <c r="K5083" s="93">
        <v>1.0</v>
      </c>
      <c r="L5083" s="112" t="s">
        <v>62</v>
      </c>
      <c r="M5083" s="113">
        <v>210000.0</v>
      </c>
      <c r="N5083" s="74"/>
      <c r="O5083" s="87">
        <f t="shared" si="11"/>
        <v>210000</v>
      </c>
      <c r="P5083" s="102" t="str">
        <f t="shared" si="2"/>
        <v>Rp210,000-1 LSN-0.00%</v>
      </c>
      <c r="Q5083" s="92">
        <v>45434.0</v>
      </c>
      <c r="R5083" s="76"/>
      <c r="S5083" s="92">
        <v>45437.0</v>
      </c>
      <c r="T5083" s="77" t="s">
        <v>280</v>
      </c>
      <c r="V5083" s="21" t="s">
        <v>2087</v>
      </c>
    </row>
    <row r="5084">
      <c r="A5084" s="93">
        <v>43.0</v>
      </c>
      <c r="B5084" s="77" t="s">
        <v>58</v>
      </c>
      <c r="C5084" s="77" t="s">
        <v>2602</v>
      </c>
      <c r="D5084" s="91"/>
      <c r="E5084" s="41" t="str">
        <f>IFERROR(__xludf.DUMMYFUNCTION("IFNA(vlookup(D5084,IMPORTRANGE(""https://docs.google.com/spreadsheets/d/1swGwZOEqYlTEUCJLY-eeJM1911Kvaei5oySBIxdgtNo/edit?pli=1#gid=257618397"",""stock untanna!B:C""),2,false),V:V)"),"P CASE B133 OFF ROAD")</f>
        <v>P CASE B133 OFF ROAD</v>
      </c>
      <c r="F5084" s="49"/>
      <c r="G5084" s="71"/>
      <c r="H5084" s="41"/>
      <c r="I5084" s="42"/>
      <c r="J5084" s="85" t="s">
        <v>3190</v>
      </c>
      <c r="K5084" s="93">
        <v>1.0</v>
      </c>
      <c r="L5084" s="112" t="s">
        <v>62</v>
      </c>
      <c r="M5084" s="113">
        <v>135000.0</v>
      </c>
      <c r="N5084" s="74"/>
      <c r="O5084" s="87">
        <f t="shared" si="11"/>
        <v>135000</v>
      </c>
      <c r="P5084" s="102" t="str">
        <f t="shared" si="2"/>
        <v>Rp135,000-1 LSN-0.00%</v>
      </c>
      <c r="Q5084" s="92">
        <v>45434.0</v>
      </c>
      <c r="R5084" s="76"/>
      <c r="S5084" s="92">
        <v>45437.0</v>
      </c>
      <c r="T5084" s="49"/>
      <c r="V5084" s="21" t="s">
        <v>4143</v>
      </c>
    </row>
    <row r="5085">
      <c r="A5085" s="93">
        <v>43.0</v>
      </c>
      <c r="B5085" s="77" t="s">
        <v>58</v>
      </c>
      <c r="C5085" s="77" t="s">
        <v>2602</v>
      </c>
      <c r="D5085" s="77" t="s">
        <v>584</v>
      </c>
      <c r="E5085" s="41" t="str">
        <f>IFERROR(__xludf.DUMMYFUNCTION("IFNA(vlookup(D5085,IMPORTRANGE(""https://docs.google.com/spreadsheets/d/1swGwZOEqYlTEUCJLY-eeJM1911Kvaei5oySBIxdgtNo/edit?pli=1#gid=257618397"",""stock untanna!B:C""),2,false),V:V)"),"PENSIL CASE 8300AV TIMBUL")</f>
        <v>PENSIL CASE 8300AV TIMBUL</v>
      </c>
      <c r="F5085" s="49"/>
      <c r="G5085" s="71"/>
      <c r="H5085" s="41"/>
      <c r="I5085" s="42"/>
      <c r="J5085" s="85" t="s">
        <v>1319</v>
      </c>
      <c r="K5085" s="93">
        <v>12.0</v>
      </c>
      <c r="L5085" s="112" t="s">
        <v>69</v>
      </c>
      <c r="M5085" s="113">
        <v>33333.3</v>
      </c>
      <c r="N5085" s="74"/>
      <c r="O5085" s="87">
        <f t="shared" si="11"/>
        <v>399999.6</v>
      </c>
      <c r="P5085" s="102" t="str">
        <f t="shared" si="2"/>
        <v>Rp33,333-12 PCS-0.00%</v>
      </c>
      <c r="Q5085" s="92">
        <v>45434.0</v>
      </c>
      <c r="R5085" s="76"/>
      <c r="S5085" s="92">
        <v>45437.0</v>
      </c>
      <c r="T5085" s="49"/>
      <c r="V5085" s="21" t="s">
        <v>585</v>
      </c>
    </row>
    <row r="5086">
      <c r="A5086" s="93">
        <v>43.0</v>
      </c>
      <c r="B5086" s="77" t="s">
        <v>58</v>
      </c>
      <c r="C5086" s="77" t="s">
        <v>2602</v>
      </c>
      <c r="D5086" s="77" t="s">
        <v>3193</v>
      </c>
      <c r="E5086" s="41" t="str">
        <f>IFERROR(__xludf.DUMMYFUNCTION("IFNA(vlookup(D5086,IMPORTRANGE(""https://docs.google.com/spreadsheets/d/1swGwZOEqYlTEUCJLY-eeJM1911Kvaei5oySBIxdgtNo/edit?pli=1#gid=257618397"",""stock untanna!B:C""),2,false),V:V)"),"PENCIL CASE RET KY 6159")</f>
        <v>PENCIL CASE RET KY 6159</v>
      </c>
      <c r="F5086" s="49"/>
      <c r="G5086" s="71"/>
      <c r="H5086" s="41"/>
      <c r="I5086" s="42"/>
      <c r="J5086" s="85" t="s">
        <v>1319</v>
      </c>
      <c r="K5086" s="93">
        <v>12.0</v>
      </c>
      <c r="L5086" s="112" t="s">
        <v>69</v>
      </c>
      <c r="M5086" s="113">
        <v>25000.0</v>
      </c>
      <c r="N5086" s="74"/>
      <c r="O5086" s="87">
        <f t="shared" si="11"/>
        <v>300000</v>
      </c>
      <c r="P5086" s="102" t="str">
        <f t="shared" si="2"/>
        <v>Rp25,000-12 PCS-0.00%</v>
      </c>
      <c r="Q5086" s="92">
        <v>45434.0</v>
      </c>
      <c r="R5086" s="76"/>
      <c r="S5086" s="92">
        <v>45437.0</v>
      </c>
      <c r="T5086" s="49"/>
      <c r="V5086" s="21" t="s">
        <v>3194</v>
      </c>
    </row>
    <row r="5087">
      <c r="A5087" s="93">
        <v>43.0</v>
      </c>
      <c r="B5087" s="77" t="s">
        <v>58</v>
      </c>
      <c r="C5087" s="77" t="s">
        <v>2602</v>
      </c>
      <c r="D5087" s="91"/>
      <c r="E5087" s="41" t="str">
        <f>IFERROR(__xludf.DUMMYFUNCTION("IFNA(vlookup(D5087,IMPORTRANGE(""https://docs.google.com/spreadsheets/d/1swGwZOEqYlTEUCJLY-eeJM1911Kvaei5oySBIxdgtNo/edit?pli=1#gid=257618397"",""stock untanna!B:C""),2,false),V:V)"),"B NOTE A5 FANCY 1603")</f>
        <v>B NOTE A5 FANCY 1603</v>
      </c>
      <c r="F5087" s="49"/>
      <c r="G5087" s="71"/>
      <c r="H5087" s="41"/>
      <c r="I5087" s="42"/>
      <c r="J5087" s="85" t="s">
        <v>3190</v>
      </c>
      <c r="K5087" s="93">
        <v>12.0</v>
      </c>
      <c r="L5087" s="112" t="s">
        <v>69</v>
      </c>
      <c r="M5087" s="113">
        <v>10500.0</v>
      </c>
      <c r="N5087" s="74"/>
      <c r="O5087" s="87">
        <f t="shared" si="11"/>
        <v>126000</v>
      </c>
      <c r="P5087" s="102" t="str">
        <f t="shared" si="2"/>
        <v>Rp10,500-12 PCS-0.00%</v>
      </c>
      <c r="Q5087" s="92">
        <v>45434.0</v>
      </c>
      <c r="R5087" s="76"/>
      <c r="S5087" s="92">
        <v>45437.0</v>
      </c>
      <c r="T5087" s="49"/>
      <c r="V5087" s="21" t="s">
        <v>4144</v>
      </c>
    </row>
    <row r="5088">
      <c r="A5088" s="93">
        <v>43.0</v>
      </c>
      <c r="B5088" s="77" t="s">
        <v>58</v>
      </c>
      <c r="C5088" s="77" t="s">
        <v>2602</v>
      </c>
      <c r="D5088" s="91"/>
      <c r="E5088" s="41" t="str">
        <f>IFERROR(__xludf.DUMMYFUNCTION("IFNA(vlookup(D5088,IMPORTRANGE(""https://docs.google.com/spreadsheets/d/1swGwZOEqYlTEUCJLY-eeJM1911Kvaei5oySBIxdgtNo/edit?pli=1#gid=257618397"",""stock untanna!B:C""),2,false),V:V)"),"L LEAF A5 FANCY")</f>
        <v>L LEAF A5 FANCY</v>
      </c>
      <c r="F5088" s="49"/>
      <c r="G5088" s="71"/>
      <c r="H5088" s="41"/>
      <c r="I5088" s="42"/>
      <c r="J5088" s="85" t="s">
        <v>3190</v>
      </c>
      <c r="K5088" s="93">
        <v>20.0</v>
      </c>
      <c r="L5088" s="112" t="s">
        <v>69</v>
      </c>
      <c r="M5088" s="113">
        <v>2500.0</v>
      </c>
      <c r="N5088" s="74"/>
      <c r="O5088" s="87">
        <f t="shared" si="11"/>
        <v>50000</v>
      </c>
      <c r="P5088" s="102" t="str">
        <f t="shared" si="2"/>
        <v>Rp2,500-20 PCS-0.00%</v>
      </c>
      <c r="Q5088" s="92">
        <v>45434.0</v>
      </c>
      <c r="R5088" s="76"/>
      <c r="S5088" s="92">
        <v>45437.0</v>
      </c>
      <c r="T5088" s="49"/>
      <c r="V5088" s="21" t="s">
        <v>4145</v>
      </c>
    </row>
    <row r="5089">
      <c r="A5089" s="93">
        <v>43.0</v>
      </c>
      <c r="B5089" s="77" t="s">
        <v>58</v>
      </c>
      <c r="C5089" s="77" t="s">
        <v>2602</v>
      </c>
      <c r="D5089" s="77" t="s">
        <v>2392</v>
      </c>
      <c r="E5089" s="41" t="str">
        <f>IFERROR(__xludf.DUMMYFUNCTION("IFNA(vlookup(D5089,IMPORTRANGE(""https://docs.google.com/spreadsheets/d/1swGwZOEqYlTEUCJLY-eeJM1911Kvaei5oySBIxdgtNo/edit?pli=1#gid=257618397"",""stock untanna!B:C""),2,false),V:V)"),"NOTEBOOK 70100-2")</f>
        <v>NOTEBOOK 70100-2</v>
      </c>
      <c r="F5089" s="49"/>
      <c r="G5089" s="71"/>
      <c r="H5089" s="41"/>
      <c r="I5089" s="42"/>
      <c r="J5089" s="85" t="s">
        <v>1319</v>
      </c>
      <c r="K5089" s="93">
        <v>0.5</v>
      </c>
      <c r="L5089" s="112" t="s">
        <v>62</v>
      </c>
      <c r="M5089" s="113">
        <v>57500.0</v>
      </c>
      <c r="N5089" s="74"/>
      <c r="O5089" s="87">
        <f t="shared" si="11"/>
        <v>28750</v>
      </c>
      <c r="P5089" s="102" t="str">
        <f t="shared" si="2"/>
        <v>Rp57,500-0.5 LSN-0.00%</v>
      </c>
      <c r="Q5089" s="92">
        <v>45434.0</v>
      </c>
      <c r="R5089" s="76"/>
      <c r="S5089" s="92">
        <v>45437.0</v>
      </c>
      <c r="T5089" s="49"/>
      <c r="V5089" s="21" t="s">
        <v>2393</v>
      </c>
    </row>
    <row r="5090">
      <c r="A5090" s="93">
        <v>43.0</v>
      </c>
      <c r="B5090" s="77" t="s">
        <v>58</v>
      </c>
      <c r="C5090" s="77" t="s">
        <v>2602</v>
      </c>
      <c r="D5090" s="77" t="s">
        <v>3028</v>
      </c>
      <c r="E5090" s="41" t="str">
        <f>IFERROR(__xludf.DUMMYFUNCTION("IFNA(vlookup(D5090,IMPORTRANGE(""https://docs.google.com/spreadsheets/d/1swGwZOEqYlTEUCJLY-eeJM1911Kvaei5oySBIxdgtNo/edit?pli=1#gid=257618397"",""stock untanna!B:C""),2,false),V:V)"),"NOTEBOOK 7050-2")</f>
        <v>NOTEBOOK 7050-2</v>
      </c>
      <c r="F5090" s="49"/>
      <c r="G5090" s="71"/>
      <c r="H5090" s="41"/>
      <c r="I5090" s="42"/>
      <c r="J5090" s="85" t="s">
        <v>1319</v>
      </c>
      <c r="K5090" s="93">
        <v>6.0</v>
      </c>
      <c r="L5090" s="112" t="s">
        <v>69</v>
      </c>
      <c r="M5090" s="113">
        <v>7500.0</v>
      </c>
      <c r="N5090" s="74"/>
      <c r="O5090" s="87">
        <f t="shared" si="11"/>
        <v>45000</v>
      </c>
      <c r="P5090" s="102" t="str">
        <f t="shared" si="2"/>
        <v>Rp7,500-6 PCS-0.00%</v>
      </c>
      <c r="Q5090" s="92">
        <v>45434.0</v>
      </c>
      <c r="R5090" s="76"/>
      <c r="S5090" s="92">
        <v>45437.0</v>
      </c>
      <c r="T5090" s="49"/>
      <c r="V5090" s="21" t="s">
        <v>3029</v>
      </c>
    </row>
    <row r="5091">
      <c r="A5091" s="93">
        <v>43.0</v>
      </c>
      <c r="B5091" s="77" t="s">
        <v>58</v>
      </c>
      <c r="C5091" s="77" t="s">
        <v>2602</v>
      </c>
      <c r="D5091" s="77" t="s">
        <v>185</v>
      </c>
      <c r="E5091" s="41" t="str">
        <f>IFERROR(__xludf.DUMMYFUNCTION("IFNA(vlookup(D5091,IMPORTRANGE(""https://docs.google.com/spreadsheets/d/1swGwZOEqYlTEUCJLY-eeJM1911Kvaei5oySBIxdgtNo/edit?pli=1#gid=257618397"",""stock untanna!B:C""),2,false),V:V)"),"NOTEBOOK SPIRAL 50100-71")</f>
        <v>NOTEBOOK SPIRAL 50100-71</v>
      </c>
      <c r="F5091" s="49"/>
      <c r="G5091" s="71"/>
      <c r="H5091" s="41"/>
      <c r="I5091" s="42"/>
      <c r="J5091" s="85" t="s">
        <v>1319</v>
      </c>
      <c r="K5091" s="93">
        <v>1.0</v>
      </c>
      <c r="L5091" s="112" t="s">
        <v>62</v>
      </c>
      <c r="M5091" s="113">
        <v>90000.0</v>
      </c>
      <c r="N5091" s="74"/>
      <c r="O5091" s="87">
        <f t="shared" si="11"/>
        <v>90000</v>
      </c>
      <c r="P5091" s="102" t="str">
        <f t="shared" si="2"/>
        <v>Rp90,000-1 LSN-0.00%</v>
      </c>
      <c r="Q5091" s="92">
        <v>45434.0</v>
      </c>
      <c r="R5091" s="76"/>
      <c r="S5091" s="92">
        <v>45437.0</v>
      </c>
      <c r="T5091" s="49"/>
      <c r="V5091" s="21" t="s">
        <v>186</v>
      </c>
    </row>
    <row r="5092">
      <c r="A5092" s="93">
        <v>43.0</v>
      </c>
      <c r="B5092" s="77" t="s">
        <v>58</v>
      </c>
      <c r="C5092" s="77" t="s">
        <v>2602</v>
      </c>
      <c r="D5092" s="91"/>
      <c r="E5092" s="41" t="str">
        <f>IFERROR(__xludf.DUMMYFUNCTION("IFNA(vlookup(D5092,IMPORTRANGE(""https://docs.google.com/spreadsheets/d/1swGwZOEqYlTEUCJLY-eeJM1911Kvaei5oySBIxdgtNo/edit?pli=1#gid=257618397"",""stock untanna!B:C""),2,false),V:V)"),"STICKER NAMA")</f>
        <v>STICKER NAMA</v>
      </c>
      <c r="F5092" s="49"/>
      <c r="G5092" s="71"/>
      <c r="H5092" s="41"/>
      <c r="I5092" s="42"/>
      <c r="J5092" s="85" t="s">
        <v>3190</v>
      </c>
      <c r="K5092" s="93">
        <v>12.0</v>
      </c>
      <c r="L5092" s="112" t="s">
        <v>69</v>
      </c>
      <c r="M5092" s="113">
        <v>2250.0</v>
      </c>
      <c r="N5092" s="74"/>
      <c r="O5092" s="87">
        <f t="shared" si="11"/>
        <v>27000</v>
      </c>
      <c r="P5092" s="102" t="str">
        <f t="shared" si="2"/>
        <v>Rp2,250-12 PCS-0.00%</v>
      </c>
      <c r="Q5092" s="92">
        <v>45434.0</v>
      </c>
      <c r="R5092" s="76"/>
      <c r="S5092" s="92">
        <v>45437.0</v>
      </c>
      <c r="T5092" s="49"/>
      <c r="V5092" s="21" t="s">
        <v>4146</v>
      </c>
    </row>
    <row r="5093">
      <c r="A5093" s="93">
        <v>43.0</v>
      </c>
      <c r="B5093" s="77" t="s">
        <v>58</v>
      </c>
      <c r="C5093" s="77" t="s">
        <v>2602</v>
      </c>
      <c r="D5093" s="77" t="s">
        <v>1467</v>
      </c>
      <c r="E5093" s="41" t="str">
        <f>IFERROR(__xludf.DUMMYFUNCTION("IFNA(vlookup(D5093,IMPORTRANGE(""https://docs.google.com/spreadsheets/d/1swGwZOEqYlTEUCJLY-eeJM1911Kvaei5oySBIxdgtNo/edit?pli=1#gid=257618397"",""stock untanna!B:C""),2,false),V:V)"),"BK TABUNGAN ENTER")</f>
        <v>BK TABUNGAN ENTER</v>
      </c>
      <c r="F5093" s="49"/>
      <c r="G5093" s="71"/>
      <c r="H5093" s="41"/>
      <c r="I5093" s="42"/>
      <c r="J5093" s="85" t="s">
        <v>1319</v>
      </c>
      <c r="K5093" s="93">
        <v>50.0</v>
      </c>
      <c r="L5093" s="112" t="s">
        <v>69</v>
      </c>
      <c r="M5093" s="113">
        <v>750.0</v>
      </c>
      <c r="N5093" s="74"/>
      <c r="O5093" s="87">
        <f t="shared" si="11"/>
        <v>37500</v>
      </c>
      <c r="P5093" s="102" t="str">
        <f t="shared" si="2"/>
        <v>Rp750-50 PCS-0.00%</v>
      </c>
      <c r="Q5093" s="92">
        <v>45434.0</v>
      </c>
      <c r="R5093" s="76"/>
      <c r="S5093" s="92">
        <v>45437.0</v>
      </c>
      <c r="T5093" s="49"/>
      <c r="V5093" s="21" t="s">
        <v>1468</v>
      </c>
    </row>
    <row r="5094">
      <c r="A5094" s="93">
        <v>43.0</v>
      </c>
      <c r="B5094" s="77" t="s">
        <v>58</v>
      </c>
      <c r="C5094" s="77" t="s">
        <v>2602</v>
      </c>
      <c r="D5094" s="77" t="s">
        <v>871</v>
      </c>
      <c r="E5094" s="41" t="str">
        <f>IFERROR(__xludf.DUMMYFUNCTION("IFNA(vlookup(D5094,IMPORTRANGE(""https://docs.google.com/spreadsheets/d/1swGwZOEqYlTEUCJLY-eeJM1911Kvaei5oySBIxdgtNo/edit?pli=1#gid=257618397"",""stock untanna!B:C""),2,false),V:V)"),"CLIPBOARD SQ FANCY HOLO 2 MUKA")</f>
        <v>CLIPBOARD SQ FANCY HOLO 2 MUKA</v>
      </c>
      <c r="F5094" s="49"/>
      <c r="G5094" s="71"/>
      <c r="H5094" s="41"/>
      <c r="I5094" s="42"/>
      <c r="J5094" s="85" t="s">
        <v>1319</v>
      </c>
      <c r="K5094" s="93">
        <v>1.0</v>
      </c>
      <c r="L5094" s="112" t="s">
        <v>62</v>
      </c>
      <c r="M5094" s="113">
        <v>79992.0</v>
      </c>
      <c r="N5094" s="74"/>
      <c r="O5094" s="87">
        <f t="shared" si="11"/>
        <v>79992</v>
      </c>
      <c r="P5094" s="102" t="str">
        <f t="shared" si="2"/>
        <v>Rp79,992-1 LSN-0.00%</v>
      </c>
      <c r="Q5094" s="92">
        <v>45434.0</v>
      </c>
      <c r="R5094" s="76"/>
      <c r="S5094" s="92">
        <v>45437.0</v>
      </c>
      <c r="T5094" s="49"/>
      <c r="V5094" s="21" t="s">
        <v>872</v>
      </c>
    </row>
    <row r="5095">
      <c r="A5095" s="93">
        <v>43.0</v>
      </c>
      <c r="B5095" s="77" t="s">
        <v>58</v>
      </c>
      <c r="C5095" s="77" t="s">
        <v>2602</v>
      </c>
      <c r="D5095" s="77" t="s">
        <v>868</v>
      </c>
      <c r="E5095" s="41" t="str">
        <f>IFERROR(__xludf.DUMMYFUNCTION("IFNA(vlookup(D5095,IMPORTRANGE(""https://docs.google.com/spreadsheets/d/1swGwZOEqYlTEUCJLY-eeJM1911Kvaei5oySBIxdgtNo/edit?pli=1#gid=257618397"",""stock untanna!B:C""),2,false),V:V)"),"CLIP BOARD 6688-TR TRANSP KOALA")</f>
        <v>CLIP BOARD 6688-TR TRANSP KOALA</v>
      </c>
      <c r="F5095" s="49"/>
      <c r="G5095" s="71"/>
      <c r="H5095" s="41"/>
      <c r="I5095" s="42"/>
      <c r="J5095" s="85" t="s">
        <v>1319</v>
      </c>
      <c r="K5095" s="93">
        <v>1.0</v>
      </c>
      <c r="L5095" s="112" t="s">
        <v>62</v>
      </c>
      <c r="M5095" s="113">
        <v>102000.0</v>
      </c>
      <c r="N5095" s="74"/>
      <c r="O5095" s="87">
        <f t="shared" si="11"/>
        <v>102000</v>
      </c>
      <c r="P5095" s="102" t="str">
        <f t="shared" si="2"/>
        <v>Rp102,000-1 LSN-0.00%</v>
      </c>
      <c r="Q5095" s="92">
        <v>45434.0</v>
      </c>
      <c r="R5095" s="76"/>
      <c r="S5095" s="92">
        <v>45437.0</v>
      </c>
      <c r="T5095" s="49"/>
      <c r="V5095" s="21" t="s">
        <v>870</v>
      </c>
    </row>
    <row r="5096">
      <c r="A5096" s="93">
        <v>43.0</v>
      </c>
      <c r="B5096" s="77" t="s">
        <v>58</v>
      </c>
      <c r="C5096" s="77" t="s">
        <v>2602</v>
      </c>
      <c r="D5096" s="77" t="s">
        <v>4147</v>
      </c>
      <c r="E5096" s="41" t="str">
        <f>IFERROR(__xludf.DUMMYFUNCTION("IFNA(vlookup(D5096,IMPORTRANGE(""https://docs.google.com/spreadsheets/d/1swGwZOEqYlTEUCJLY-eeJM1911Kvaei5oySBIxdgtNo/edit?pli=1#gid=257618397"",""stock untanna!B:C""),2,false),V:V)"),"MALAM SHINTOENG 1W POLOS K")</f>
        <v>MALAM SHINTOENG 1W POLOS K</v>
      </c>
      <c r="F5096" s="49"/>
      <c r="G5096" s="71"/>
      <c r="H5096" s="41"/>
      <c r="I5096" s="42"/>
      <c r="J5096" s="85" t="s">
        <v>1319</v>
      </c>
      <c r="K5096" s="93">
        <v>12.0</v>
      </c>
      <c r="L5096" s="112" t="s">
        <v>69</v>
      </c>
      <c r="M5096" s="113">
        <v>1925.0</v>
      </c>
      <c r="N5096" s="74"/>
      <c r="O5096" s="87">
        <f t="shared" si="11"/>
        <v>23100</v>
      </c>
      <c r="P5096" s="102" t="str">
        <f t="shared" si="2"/>
        <v>Rp1,925-12 PCS-0.00%</v>
      </c>
      <c r="Q5096" s="92">
        <v>45434.0</v>
      </c>
      <c r="R5096" s="76"/>
      <c r="S5096" s="92">
        <v>45437.0</v>
      </c>
      <c r="T5096" s="49"/>
      <c r="V5096" s="21" t="s">
        <v>4148</v>
      </c>
    </row>
    <row r="5097">
      <c r="A5097" s="93">
        <v>43.0</v>
      </c>
      <c r="B5097" s="77" t="s">
        <v>58</v>
      </c>
      <c r="C5097" s="77" t="s">
        <v>2602</v>
      </c>
      <c r="D5097" s="77" t="s">
        <v>4149</v>
      </c>
      <c r="E5097" s="41" t="str">
        <f>IFERROR(__xludf.DUMMYFUNCTION("IFNA(vlookup(D5097,IMPORTRANGE(""https://docs.google.com/spreadsheets/d/1swGwZOEqYlTEUCJLY-eeJM1911Kvaei5oySBIxdgtNo/edit?pli=1#gid=257618397"",""stock untanna!B:C""),2,false),V:V)"),"MALAM SHINTOENG 6-12W K")</f>
        <v>MALAM SHINTOENG 6-12W K</v>
      </c>
      <c r="F5097" s="49"/>
      <c r="G5097" s="71"/>
      <c r="H5097" s="41"/>
      <c r="I5097" s="42"/>
      <c r="J5097" s="85" t="s">
        <v>1319</v>
      </c>
      <c r="K5097" s="93">
        <v>36.0</v>
      </c>
      <c r="L5097" s="112" t="s">
        <v>69</v>
      </c>
      <c r="M5097" s="113">
        <v>1925.0</v>
      </c>
      <c r="N5097" s="74"/>
      <c r="O5097" s="87">
        <f t="shared" si="11"/>
        <v>69300</v>
      </c>
      <c r="P5097" s="102" t="str">
        <f t="shared" si="2"/>
        <v>Rp1,925-36 PCS-0.00%</v>
      </c>
      <c r="Q5097" s="92">
        <v>45434.0</v>
      </c>
      <c r="R5097" s="76"/>
      <c r="S5097" s="92">
        <v>45437.0</v>
      </c>
      <c r="T5097" s="49"/>
      <c r="V5097" s="21" t="s">
        <v>4150</v>
      </c>
    </row>
    <row r="5098">
      <c r="A5098" s="93">
        <v>43.0</v>
      </c>
      <c r="B5098" s="77" t="s">
        <v>58</v>
      </c>
      <c r="C5098" s="77" t="s">
        <v>2602</v>
      </c>
      <c r="D5098" s="77" t="s">
        <v>3844</v>
      </c>
      <c r="E5098" s="41" t="str">
        <f>IFERROR(__xludf.DUMMYFUNCTION("IFNA(vlookup(D5098,IMPORTRANGE(""https://docs.google.com/spreadsheets/d/1swGwZOEqYlTEUCJLY-eeJM1911Kvaei5oySBIxdgtNo/edit?pli=1#gid=257618397"",""stock untanna!B:C""),2,false),V:V)"),"NOTEBOOK 50100-67")</f>
        <v>NOTEBOOK 50100-67</v>
      </c>
      <c r="F5098" s="49"/>
      <c r="G5098" s="71"/>
      <c r="H5098" s="41"/>
      <c r="I5098" s="42"/>
      <c r="J5098" s="85" t="s">
        <v>1319</v>
      </c>
      <c r="K5098" s="93">
        <v>1.0</v>
      </c>
      <c r="L5098" s="112" t="s">
        <v>62</v>
      </c>
      <c r="M5098" s="113">
        <v>90000.0</v>
      </c>
      <c r="N5098" s="74"/>
      <c r="O5098" s="87">
        <f t="shared" si="11"/>
        <v>90000</v>
      </c>
      <c r="P5098" s="102" t="str">
        <f t="shared" si="2"/>
        <v>Rp90,000-1 LSN-0.00%</v>
      </c>
      <c r="Q5098" s="92">
        <v>45434.0</v>
      </c>
      <c r="R5098" s="76"/>
      <c r="S5098" s="92">
        <v>45437.0</v>
      </c>
      <c r="T5098" s="49"/>
      <c r="V5098" s="21" t="s">
        <v>3845</v>
      </c>
    </row>
    <row r="5099">
      <c r="A5099" s="93">
        <v>43.0</v>
      </c>
      <c r="B5099" s="77" t="s">
        <v>58</v>
      </c>
      <c r="C5099" s="77" t="s">
        <v>2602</v>
      </c>
      <c r="D5099" s="77" t="s">
        <v>4006</v>
      </c>
      <c r="E5099" s="41" t="str">
        <f>IFERROR(__xludf.DUMMYFUNCTION("IFNA(vlookup(D5099,IMPORTRANGE(""https://docs.google.com/spreadsheets/d/1swGwZOEqYlTEUCJLY-eeJM1911Kvaei5oySBIxdgtNo/edit?pli=1#gid=257618397"",""stock untanna!B:C""),2,false),V:V)"),"NOTEBOOK SPIRAL 28825-65")</f>
        <v>NOTEBOOK SPIRAL 28825-65</v>
      </c>
      <c r="F5099" s="49"/>
      <c r="G5099" s="71"/>
      <c r="H5099" s="41"/>
      <c r="I5099" s="42"/>
      <c r="J5099" s="85" t="s">
        <v>1319</v>
      </c>
      <c r="K5099" s="93">
        <v>12.0</v>
      </c>
      <c r="L5099" s="112" t="s">
        <v>69</v>
      </c>
      <c r="M5099" s="113">
        <v>12500.0</v>
      </c>
      <c r="N5099" s="74"/>
      <c r="O5099" s="87">
        <f t="shared" si="11"/>
        <v>150000</v>
      </c>
      <c r="P5099" s="102" t="str">
        <f t="shared" si="2"/>
        <v>Rp12,500-12 PCS-0.00%</v>
      </c>
      <c r="Q5099" s="92">
        <v>45434.0</v>
      </c>
      <c r="R5099" s="76"/>
      <c r="S5099" s="92">
        <v>45437.0</v>
      </c>
      <c r="T5099" s="49"/>
      <c r="V5099" s="21" t="s">
        <v>4007</v>
      </c>
    </row>
    <row r="5100">
      <c r="A5100" s="93">
        <v>44.0</v>
      </c>
      <c r="B5100" s="77" t="s">
        <v>58</v>
      </c>
      <c r="C5100" s="77" t="s">
        <v>2602</v>
      </c>
      <c r="D5100" s="77" t="s">
        <v>925</v>
      </c>
      <c r="E5100" s="41" t="str">
        <f>IFERROR(__xludf.DUMMYFUNCTION("IFNA(vlookup(D5100,IMPORTRANGE(""https://docs.google.com/spreadsheets/d/1swGwZOEqYlTEUCJLY-eeJM1911Kvaei5oySBIxdgtNo/edit?pli=1#gid=257618397"",""stock untanna!B:C""),2,false),V:V)"),"NOTEBOOK 18100-61")</f>
        <v>NOTEBOOK 18100-61</v>
      </c>
      <c r="F5100" s="49"/>
      <c r="G5100" s="71"/>
      <c r="H5100" s="41"/>
      <c r="I5100" s="42"/>
      <c r="J5100" s="85" t="s">
        <v>1319</v>
      </c>
      <c r="K5100" s="93">
        <v>1.0</v>
      </c>
      <c r="L5100" s="112" t="s">
        <v>62</v>
      </c>
      <c r="M5100" s="113">
        <v>225000.0</v>
      </c>
      <c r="N5100" s="74"/>
      <c r="O5100" s="87">
        <f t="shared" si="11"/>
        <v>225000</v>
      </c>
      <c r="P5100" s="102" t="str">
        <f t="shared" si="2"/>
        <v>Rp225,000-1 LSN-0.00%</v>
      </c>
      <c r="Q5100" s="92">
        <v>45434.0</v>
      </c>
      <c r="R5100" s="76"/>
      <c r="S5100" s="92">
        <v>45437.0</v>
      </c>
      <c r="T5100" s="49"/>
      <c r="V5100" s="21" t="s">
        <v>926</v>
      </c>
    </row>
    <row r="5101">
      <c r="A5101" s="93">
        <v>44.0</v>
      </c>
      <c r="B5101" s="77" t="s">
        <v>58</v>
      </c>
      <c r="C5101" s="77" t="s">
        <v>2602</v>
      </c>
      <c r="D5101" s="77" t="s">
        <v>1368</v>
      </c>
      <c r="E5101" s="41" t="str">
        <f>IFERROR(__xludf.DUMMYFUNCTION("IFNA(vlookup(D5101,IMPORTRANGE(""https://docs.google.com/spreadsheets/d/1swGwZOEqYlTEUCJLY-eeJM1911Kvaei5oySBIxdgtNo/edit?pli=1#gid=257618397"",""stock untanna!B:C""),2,false),V:V)"),"NOTEBOOK SPIRAL 28850-68")</f>
        <v>NOTEBOOK SPIRAL 28850-68</v>
      </c>
      <c r="F5101" s="49"/>
      <c r="G5101" s="71"/>
      <c r="H5101" s="41"/>
      <c r="I5101" s="42"/>
      <c r="J5101" s="85" t="s">
        <v>1319</v>
      </c>
      <c r="K5101" s="93">
        <v>1.0</v>
      </c>
      <c r="L5101" s="112" t="s">
        <v>62</v>
      </c>
      <c r="M5101" s="113">
        <v>90000.0</v>
      </c>
      <c r="N5101" s="74"/>
      <c r="O5101" s="87">
        <f t="shared" si="11"/>
        <v>90000</v>
      </c>
      <c r="P5101" s="102" t="str">
        <f t="shared" si="2"/>
        <v>Rp90,000-1 LSN-0.00%</v>
      </c>
      <c r="Q5101" s="92">
        <v>45434.0</v>
      </c>
      <c r="R5101" s="76"/>
      <c r="S5101" s="92">
        <v>45437.0</v>
      </c>
      <c r="T5101" s="49"/>
      <c r="V5101" s="21" t="s">
        <v>1369</v>
      </c>
    </row>
    <row r="5102">
      <c r="A5102" s="117">
        <v>4282.0</v>
      </c>
      <c r="B5102" s="51" t="s">
        <v>65</v>
      </c>
      <c r="C5102" s="51" t="s">
        <v>3050</v>
      </c>
      <c r="D5102" s="118"/>
      <c r="E5102" s="41" t="str">
        <f>IFERROR(__xludf.DUMMYFUNCTION("IFNA(vlookup(D5102,IMPORTRANGE(""https://docs.google.com/spreadsheets/d/1swGwZOEqYlTEUCJLY-eeJM1911Kvaei5oySBIxdgtNo/edit?pli=1#gid=257618397"",""stock untanna!B:C""),2,false),V:V)"),"BP TIZO TG 346 B")</f>
        <v>BP TIZO TG 346 B</v>
      </c>
      <c r="F5102" s="49"/>
      <c r="G5102" s="71"/>
      <c r="H5102" s="41"/>
      <c r="I5102" s="42"/>
      <c r="J5102" s="85" t="s">
        <v>3190</v>
      </c>
      <c r="K5102" s="93">
        <v>8.0</v>
      </c>
      <c r="L5102" s="112" t="s">
        <v>62</v>
      </c>
      <c r="M5102" s="101">
        <v>28500.0</v>
      </c>
      <c r="N5102" s="74"/>
      <c r="O5102" s="87">
        <f t="shared" si="11"/>
        <v>228000</v>
      </c>
      <c r="P5102" s="102" t="str">
        <f t="shared" si="2"/>
        <v>Rp28,500-8 LSN-0.00%</v>
      </c>
      <c r="Q5102" s="92">
        <v>45432.0</v>
      </c>
      <c r="R5102" s="76"/>
      <c r="S5102" s="92">
        <v>45439.0</v>
      </c>
      <c r="T5102" s="49"/>
      <c r="V5102" s="21" t="s">
        <v>1852</v>
      </c>
    </row>
    <row r="5103">
      <c r="A5103" s="117">
        <v>4282.0</v>
      </c>
      <c r="B5103" s="51" t="s">
        <v>65</v>
      </c>
      <c r="C5103" s="51" t="s">
        <v>3050</v>
      </c>
      <c r="D5103" s="51" t="s">
        <v>31</v>
      </c>
      <c r="E5103" s="41" t="str">
        <f>IFERROR(__xludf.DUMMYFUNCTION("IFNA(vlookup(D5103,IMPORTRANGE(""https://docs.google.com/spreadsheets/d/1swGwZOEqYlTEUCJLY-eeJM1911Kvaei5oySBIxdgtNo/edit?pli=1#gid=257618397"",""stock untanna!B:C""),2,false),V:V)"),"ISI STAPLER 13/8 JOSS")</f>
        <v>ISI STAPLER 13/8 JOSS</v>
      </c>
      <c r="F5103" s="49"/>
      <c r="G5103" s="71"/>
      <c r="H5103" s="41"/>
      <c r="I5103" s="42"/>
      <c r="J5103" s="85" t="s">
        <v>1319</v>
      </c>
      <c r="K5103" s="93">
        <v>100.0</v>
      </c>
      <c r="L5103" s="112" t="s">
        <v>114</v>
      </c>
      <c r="M5103" s="101">
        <v>18500.0</v>
      </c>
      <c r="N5103" s="74"/>
      <c r="O5103" s="87">
        <f t="shared" si="11"/>
        <v>1850000</v>
      </c>
      <c r="P5103" s="102" t="str">
        <f t="shared" si="2"/>
        <v>Rp18,500-100 PAK-0.00%</v>
      </c>
      <c r="Q5103" s="92">
        <v>45432.0</v>
      </c>
      <c r="R5103" s="76"/>
      <c r="S5103" s="92">
        <v>45439.0</v>
      </c>
      <c r="T5103" s="49"/>
      <c r="V5103" s="21" t="s">
        <v>113</v>
      </c>
    </row>
    <row r="5104">
      <c r="A5104" s="117">
        <v>4282.0</v>
      </c>
      <c r="B5104" s="51" t="s">
        <v>65</v>
      </c>
      <c r="C5104" s="51" t="s">
        <v>3050</v>
      </c>
      <c r="D5104" s="51" t="s">
        <v>3473</v>
      </c>
      <c r="E5104" s="41" t="str">
        <f>IFERROR(__xludf.DUMMYFUNCTION("IFNA(vlookup(D5104,IMPORTRANGE(""https://docs.google.com/spreadsheets/d/1swGwZOEqYlTEUCJLY-eeJM1911Kvaei5oySBIxdgtNo/edit?pli=1#gid=257618397"",""stock untanna!B:C""),2,false),V:V)"),"ASAHAN MEJA 9040 A RUMAH")</f>
        <v>ASAHAN MEJA 9040 A RUMAH</v>
      </c>
      <c r="F5104" s="49"/>
      <c r="G5104" s="71"/>
      <c r="H5104" s="41"/>
      <c r="I5104" s="42"/>
      <c r="J5104" s="85" t="s">
        <v>1319</v>
      </c>
      <c r="K5104" s="93">
        <v>36.0</v>
      </c>
      <c r="L5104" s="112" t="s">
        <v>69</v>
      </c>
      <c r="M5104" s="101">
        <v>24000.0</v>
      </c>
      <c r="N5104" s="74"/>
      <c r="O5104" s="87">
        <f t="shared" si="11"/>
        <v>864000</v>
      </c>
      <c r="P5104" s="102" t="str">
        <f t="shared" si="2"/>
        <v>Rp24,000-36 PCS-0.00%</v>
      </c>
      <c r="Q5104" s="92">
        <v>45432.0</v>
      </c>
      <c r="R5104" s="76"/>
      <c r="S5104" s="92">
        <v>45439.0</v>
      </c>
      <c r="T5104" s="49"/>
      <c r="V5104" s="21" t="s">
        <v>3474</v>
      </c>
    </row>
    <row r="5105">
      <c r="A5105" s="117">
        <v>4282.0</v>
      </c>
      <c r="B5105" s="51" t="s">
        <v>65</v>
      </c>
      <c r="C5105" s="51" t="s">
        <v>3050</v>
      </c>
      <c r="D5105" s="51" t="s">
        <v>3302</v>
      </c>
      <c r="E5105" s="41" t="str">
        <f>IFERROR(__xludf.DUMMYFUNCTION("IFNA(vlookup(D5105,IMPORTRANGE(""https://docs.google.com/spreadsheets/d/1swGwZOEqYlTEUCJLY-eeJM1911Kvaei5oySBIxdgtNo/edit?pli=1#gid=257618397"",""stock untanna!B:C""),2,false),V:V)"),"ASAHAN 906")</f>
        <v>ASAHAN 906</v>
      </c>
      <c r="F5105" s="49"/>
      <c r="G5105" s="71"/>
      <c r="H5105" s="41"/>
      <c r="I5105" s="42"/>
      <c r="J5105" s="85" t="s">
        <v>1319</v>
      </c>
      <c r="K5105" s="93">
        <v>36.0</v>
      </c>
      <c r="L5105" s="112" t="s">
        <v>69</v>
      </c>
      <c r="M5105" s="101">
        <v>17000.0</v>
      </c>
      <c r="N5105" s="74"/>
      <c r="O5105" s="87">
        <f t="shared" si="11"/>
        <v>612000</v>
      </c>
      <c r="P5105" s="102" t="str">
        <f t="shared" si="2"/>
        <v>Rp17,000-36 PCS-0.00%</v>
      </c>
      <c r="Q5105" s="92">
        <v>45432.0</v>
      </c>
      <c r="R5105" s="76"/>
      <c r="S5105" s="92">
        <v>45439.0</v>
      </c>
      <c r="T5105" s="49"/>
      <c r="V5105" s="21" t="s">
        <v>3303</v>
      </c>
    </row>
    <row r="5106">
      <c r="A5106" s="117">
        <v>4282.0</v>
      </c>
      <c r="B5106" s="51" t="s">
        <v>65</v>
      </c>
      <c r="C5106" s="51" t="s">
        <v>3050</v>
      </c>
      <c r="D5106" s="51" t="s">
        <v>4101</v>
      </c>
      <c r="E5106" s="41" t="str">
        <f>IFERROR(__xludf.DUMMYFUNCTION("IFNA(vlookup(D5106,IMPORTRANGE(""https://docs.google.com/spreadsheets/d/1swGwZOEqYlTEUCJLY-eeJM1911Kvaei5oySBIxdgtNo/edit?pli=1#gid=257618397"",""stock untanna!B:C""),2,false),V:V)"),"ASAHAN MEJA S 5227")</f>
        <v>ASAHAN MEJA S 5227</v>
      </c>
      <c r="F5106" s="49"/>
      <c r="G5106" s="71"/>
      <c r="H5106" s="41"/>
      <c r="I5106" s="42"/>
      <c r="J5106" s="85" t="s">
        <v>1319</v>
      </c>
      <c r="K5106" s="93">
        <v>36.0</v>
      </c>
      <c r="L5106" s="112" t="s">
        <v>69</v>
      </c>
      <c r="M5106" s="101">
        <v>16000.0</v>
      </c>
      <c r="N5106" s="74"/>
      <c r="O5106" s="87">
        <f t="shared" si="11"/>
        <v>576000</v>
      </c>
      <c r="P5106" s="102" t="str">
        <f t="shared" si="2"/>
        <v>Rp16,000-36 PCS-0.00%</v>
      </c>
      <c r="Q5106" s="92">
        <v>45432.0</v>
      </c>
      <c r="R5106" s="76"/>
      <c r="S5106" s="92">
        <v>45439.0</v>
      </c>
      <c r="T5106" s="49"/>
      <c r="V5106" s="21" t="s">
        <v>4102</v>
      </c>
    </row>
    <row r="5107">
      <c r="A5107" s="117">
        <v>4282.0</v>
      </c>
      <c r="B5107" s="51" t="s">
        <v>65</v>
      </c>
      <c r="C5107" s="51" t="s">
        <v>3050</v>
      </c>
      <c r="D5107" s="51" t="s">
        <v>3471</v>
      </c>
      <c r="E5107" s="41" t="str">
        <f>IFERROR(__xludf.DUMMYFUNCTION("IFNA(vlookup(D5107,IMPORTRANGE(""https://docs.google.com/spreadsheets/d/1swGwZOEqYlTEUCJLY-eeJM1911Kvaei5oySBIxdgtNo/edit?pli=1#gid=257618397"",""stock untanna!B:C""),2,false),V:V)"),"ASAHAN 717A")</f>
        <v>ASAHAN 717A</v>
      </c>
      <c r="F5107" s="49"/>
      <c r="G5107" s="71"/>
      <c r="H5107" s="41"/>
      <c r="I5107" s="42"/>
      <c r="J5107" s="85" t="s">
        <v>1319</v>
      </c>
      <c r="K5107" s="93">
        <v>36.0</v>
      </c>
      <c r="L5107" s="112" t="s">
        <v>69</v>
      </c>
      <c r="M5107" s="101">
        <v>15000.0</v>
      </c>
      <c r="N5107" s="74"/>
      <c r="O5107" s="87">
        <f t="shared" si="11"/>
        <v>540000</v>
      </c>
      <c r="P5107" s="102" t="str">
        <f t="shared" si="2"/>
        <v>Rp15,000-36 PCS-0.00%</v>
      </c>
      <c r="Q5107" s="92">
        <v>45432.0</v>
      </c>
      <c r="R5107" s="76"/>
      <c r="S5107" s="92">
        <v>45439.0</v>
      </c>
      <c r="T5107" s="49"/>
      <c r="V5107" s="21" t="s">
        <v>3472</v>
      </c>
    </row>
    <row r="5108">
      <c r="A5108" s="117">
        <v>4282.0</v>
      </c>
      <c r="B5108" s="51" t="s">
        <v>65</v>
      </c>
      <c r="C5108" s="51" t="s">
        <v>3050</v>
      </c>
      <c r="D5108" s="51" t="s">
        <v>1328</v>
      </c>
      <c r="E5108" s="41" t="str">
        <f>IFERROR(__xludf.DUMMYFUNCTION("IFNA(vlookup(D5108,IMPORTRANGE(""https://docs.google.com/spreadsheets/d/1swGwZOEqYlTEUCJLY-eeJM1911Kvaei5oySBIxdgtNo/edit?pli=1#gid=257618397"",""stock untanna!B:C""),2,false),V:V)"),"ASAHAN 007")</f>
        <v>ASAHAN 007</v>
      </c>
      <c r="F5108" s="49"/>
      <c r="G5108" s="71"/>
      <c r="H5108" s="41"/>
      <c r="I5108" s="42"/>
      <c r="J5108" s="85" t="s">
        <v>1319</v>
      </c>
      <c r="K5108" s="93">
        <v>36.0</v>
      </c>
      <c r="L5108" s="112" t="s">
        <v>69</v>
      </c>
      <c r="M5108" s="101">
        <v>21000.0</v>
      </c>
      <c r="N5108" s="74"/>
      <c r="O5108" s="87">
        <f t="shared" si="11"/>
        <v>756000</v>
      </c>
      <c r="P5108" s="102" t="str">
        <f t="shared" si="2"/>
        <v>Rp21,000-36 PCS-0.00%</v>
      </c>
      <c r="Q5108" s="92">
        <v>45432.0</v>
      </c>
      <c r="R5108" s="76"/>
      <c r="S5108" s="92">
        <v>45439.0</v>
      </c>
      <c r="T5108" s="49"/>
      <c r="V5108" s="21" t="s">
        <v>1329</v>
      </c>
    </row>
    <row r="5109">
      <c r="A5109" s="117">
        <v>4282.0</v>
      </c>
      <c r="B5109" s="51" t="s">
        <v>65</v>
      </c>
      <c r="C5109" s="51" t="s">
        <v>3050</v>
      </c>
      <c r="D5109" s="118"/>
      <c r="E5109" s="41" t="str">
        <f>IFERROR(__xludf.DUMMYFUNCTION("IFNA(vlookup(D5109,IMPORTRANGE(""https://docs.google.com/spreadsheets/d/1swGwZOEqYlTEUCJLY-eeJM1911Kvaei5oySBIxdgtNo/edit?pli=1#gid=257618397"",""stock untanna!B:C""),2,false),V:V)"),"ASAHAN 9910")</f>
        <v>ASAHAN 9910</v>
      </c>
      <c r="F5109" s="49"/>
      <c r="G5109" s="71"/>
      <c r="H5109" s="41"/>
      <c r="I5109" s="42"/>
      <c r="J5109" s="85" t="s">
        <v>1319</v>
      </c>
      <c r="K5109" s="93">
        <v>30.0</v>
      </c>
      <c r="L5109" s="112" t="s">
        <v>69</v>
      </c>
      <c r="M5109" s="101">
        <v>25000.0</v>
      </c>
      <c r="N5109" s="74"/>
      <c r="O5109" s="87">
        <f t="shared" si="11"/>
        <v>750000</v>
      </c>
      <c r="P5109" s="102" t="str">
        <f t="shared" si="2"/>
        <v>Rp25,000-30 PCS-0.00%</v>
      </c>
      <c r="Q5109" s="92">
        <v>45432.0</v>
      </c>
      <c r="R5109" s="76"/>
      <c r="S5109" s="92">
        <v>45439.0</v>
      </c>
      <c r="T5109" s="77" t="s">
        <v>280</v>
      </c>
      <c r="V5109" s="21" t="s">
        <v>4151</v>
      </c>
    </row>
    <row r="5110">
      <c r="A5110" s="117">
        <v>4282.0</v>
      </c>
      <c r="B5110" s="51" t="s">
        <v>65</v>
      </c>
      <c r="C5110" s="51" t="s">
        <v>3050</v>
      </c>
      <c r="D5110" s="51" t="s">
        <v>4152</v>
      </c>
      <c r="E5110" s="41" t="str">
        <f>IFERROR(__xludf.DUMMYFUNCTION("IFNA(vlookup(D5110,IMPORTRANGE(""https://docs.google.com/spreadsheets/d/1swGwZOEqYlTEUCJLY-eeJM1911Kvaei5oySBIxdgtNo/edit?pli=1#gid=257618397"",""stock untanna!B:C""),2,false),V:V)"),"CAT ACRYLIC MARRIES 812/ 12W BIASA (BT)")</f>
        <v>CAT ACRYLIC MARRIES 812/ 12W BIASA (BT)</v>
      </c>
      <c r="F5110" s="49"/>
      <c r="G5110" s="71"/>
      <c r="H5110" s="41"/>
      <c r="I5110" s="42"/>
      <c r="J5110" s="85" t="s">
        <v>1319</v>
      </c>
      <c r="K5110" s="93">
        <v>3.0</v>
      </c>
      <c r="L5110" s="112" t="s">
        <v>62</v>
      </c>
      <c r="M5110" s="101">
        <v>575000.0</v>
      </c>
      <c r="N5110" s="74"/>
      <c r="O5110" s="87">
        <f t="shared" si="11"/>
        <v>1725000</v>
      </c>
      <c r="P5110" s="102" t="str">
        <f t="shared" si="2"/>
        <v>Rp575,000-3 LSN-0.00%</v>
      </c>
      <c r="Q5110" s="92">
        <v>45432.0</v>
      </c>
      <c r="R5110" s="76"/>
      <c r="S5110" s="92">
        <v>45439.0</v>
      </c>
      <c r="T5110" s="49"/>
      <c r="V5110" s="21" t="s">
        <v>4153</v>
      </c>
    </row>
    <row r="5111">
      <c r="A5111" s="117">
        <v>4282.0</v>
      </c>
      <c r="B5111" s="51" t="s">
        <v>65</v>
      </c>
      <c r="C5111" s="51" t="s">
        <v>3050</v>
      </c>
      <c r="D5111" s="51" t="s">
        <v>3114</v>
      </c>
      <c r="E5111" s="41" t="str">
        <f>IFERROR(__xludf.DUMMYFUNCTION("IFNA(vlookup(D5111,IMPORTRANGE(""https://docs.google.com/spreadsheets/d/1swGwZOEqYlTEUCJLY-eeJM1911Kvaei5oySBIxdgtNo/edit?pli=1#gid=257618397"",""stock untanna!B:C""),2,false),V:V)"),"CAT AIR MARRIES 1325 12W GM &amp; BT")</f>
        <v>CAT AIR MARRIES 1325 12W GM &amp; BT</v>
      </c>
      <c r="F5111" s="49"/>
      <c r="G5111" s="71"/>
      <c r="H5111" s="41"/>
      <c r="I5111" s="42"/>
      <c r="J5111" s="85" t="s">
        <v>1319</v>
      </c>
      <c r="K5111" s="93">
        <v>5.0</v>
      </c>
      <c r="L5111" s="112" t="s">
        <v>62</v>
      </c>
      <c r="M5111" s="101">
        <v>235000.0</v>
      </c>
      <c r="N5111" s="74"/>
      <c r="O5111" s="87">
        <f t="shared" si="11"/>
        <v>1175000</v>
      </c>
      <c r="P5111" s="102" t="str">
        <f t="shared" si="2"/>
        <v>Rp235,000-5 LSN-0.00%</v>
      </c>
      <c r="Q5111" s="92">
        <v>45432.0</v>
      </c>
      <c r="R5111" s="76"/>
      <c r="S5111" s="92">
        <v>45439.0</v>
      </c>
      <c r="T5111" s="49"/>
      <c r="V5111" s="21" t="s">
        <v>3115</v>
      </c>
    </row>
    <row r="5112">
      <c r="A5112" s="117">
        <v>4282.0</v>
      </c>
      <c r="B5112" s="51" t="s">
        <v>65</v>
      </c>
      <c r="C5112" s="51" t="s">
        <v>3050</v>
      </c>
      <c r="D5112" s="51" t="s">
        <v>503</v>
      </c>
      <c r="E5112" s="41" t="str">
        <f>IFERROR(__xludf.DUMMYFUNCTION("IFNA(vlookup(D5112,IMPORTRANGE(""https://docs.google.com/spreadsheets/d/1swGwZOEqYlTEUCJLY-eeJM1911Kvaei5oySBIxdgtNo/edit?pli=1#gid=257618397"",""stock untanna!B:C""),2,false),V:V)"),"CUTTER TACO 78 KECIL TRANSPARAN")</f>
        <v>CUTTER TACO 78 KECIL TRANSPARAN</v>
      </c>
      <c r="F5112" s="49"/>
      <c r="G5112" s="71"/>
      <c r="H5112" s="41"/>
      <c r="I5112" s="42"/>
      <c r="J5112" s="85" t="s">
        <v>1319</v>
      </c>
      <c r="K5112" s="93">
        <v>30.0</v>
      </c>
      <c r="L5112" s="112" t="s">
        <v>62</v>
      </c>
      <c r="M5112" s="101">
        <v>23000.0</v>
      </c>
      <c r="N5112" s="74"/>
      <c r="O5112" s="87">
        <f t="shared" si="11"/>
        <v>690000</v>
      </c>
      <c r="P5112" s="102" t="str">
        <f t="shared" si="2"/>
        <v>Rp23,000-30 LSN-0.00%</v>
      </c>
      <c r="Q5112" s="92">
        <v>45432.0</v>
      </c>
      <c r="R5112" s="76"/>
      <c r="S5112" s="92">
        <v>45439.0</v>
      </c>
      <c r="T5112" s="49"/>
      <c r="V5112" s="21" t="s">
        <v>504</v>
      </c>
    </row>
    <row r="5113">
      <c r="A5113" s="117">
        <v>4282.0</v>
      </c>
      <c r="B5113" s="51" t="s">
        <v>65</v>
      </c>
      <c r="C5113" s="51" t="s">
        <v>3050</v>
      </c>
      <c r="D5113" s="51" t="s">
        <v>2075</v>
      </c>
      <c r="E5113" s="41" t="str">
        <f>IFERROR(__xludf.DUMMYFUNCTION("IFNA(vlookup(D5113,IMPORTRANGE(""https://docs.google.com/spreadsheets/d/1swGwZOEqYlTEUCJLY-eeJM1911Kvaei5oySBIxdgtNo/edit?pli=1#gid=257618397"",""stock untanna!B:C""),2,false),V:V)"),"PC MAGNIT JUMBO 3575-19")</f>
        <v>PC MAGNIT JUMBO 3575-19</v>
      </c>
      <c r="F5113" s="49"/>
      <c r="G5113" s="71"/>
      <c r="H5113" s="41"/>
      <c r="I5113" s="42"/>
      <c r="J5113" s="85" t="s">
        <v>1319</v>
      </c>
      <c r="K5113" s="93">
        <v>5.0</v>
      </c>
      <c r="L5113" s="112" t="s">
        <v>62</v>
      </c>
      <c r="M5113" s="101">
        <v>570000.0</v>
      </c>
      <c r="N5113" s="74"/>
      <c r="O5113" s="87">
        <f t="shared" si="11"/>
        <v>2850000</v>
      </c>
      <c r="P5113" s="102" t="str">
        <f t="shared" si="2"/>
        <v>Rp570,000-5 LSN-0.00%</v>
      </c>
      <c r="Q5113" s="92">
        <v>45432.0</v>
      </c>
      <c r="R5113" s="76"/>
      <c r="S5113" s="92">
        <v>45439.0</v>
      </c>
      <c r="T5113" s="77" t="s">
        <v>280</v>
      </c>
      <c r="V5113" s="21" t="s">
        <v>2076</v>
      </c>
    </row>
    <row r="5114">
      <c r="A5114" s="117">
        <v>4281.0</v>
      </c>
      <c r="B5114" s="51" t="s">
        <v>65</v>
      </c>
      <c r="C5114" s="51" t="s">
        <v>842</v>
      </c>
      <c r="D5114" s="118"/>
      <c r="E5114" s="41" t="str">
        <f>IFERROR(__xludf.DUMMYFUNCTION("IFNA(vlookup(D5114,IMPORTRANGE(""https://docs.google.com/spreadsheets/d/1swGwZOEqYlTEUCJLY-eeJM1911Kvaei5oySBIxdgtNo/edit?pli=1#gid=257618397"",""stock untanna!B:C""),2,false),V:V)"),"N BOOK SPIRAL A6 MIX")</f>
        <v>N BOOK SPIRAL A6 MIX</v>
      </c>
      <c r="F5114" s="49"/>
      <c r="G5114" s="71"/>
      <c r="H5114" s="41"/>
      <c r="I5114" s="42"/>
      <c r="J5114" s="85" t="s">
        <v>3190</v>
      </c>
      <c r="K5114" s="93">
        <v>20.0</v>
      </c>
      <c r="L5114" s="112" t="s">
        <v>62</v>
      </c>
      <c r="M5114" s="101">
        <v>80000.0</v>
      </c>
      <c r="N5114" s="74"/>
      <c r="O5114" s="87">
        <f t="shared" si="11"/>
        <v>1600000</v>
      </c>
      <c r="P5114" s="102" t="str">
        <f t="shared" si="2"/>
        <v>Rp80,000-20 LSN-0.00%</v>
      </c>
      <c r="Q5114" s="92">
        <v>45432.0</v>
      </c>
      <c r="R5114" s="76"/>
      <c r="S5114" s="92">
        <v>45439.0</v>
      </c>
      <c r="T5114" s="49"/>
      <c r="V5114" s="21" t="s">
        <v>4154</v>
      </c>
    </row>
    <row r="5115">
      <c r="A5115" s="117">
        <v>4281.0</v>
      </c>
      <c r="B5115" s="51" t="s">
        <v>65</v>
      </c>
      <c r="C5115" s="51" t="s">
        <v>842</v>
      </c>
      <c r="D5115" s="51" t="s">
        <v>592</v>
      </c>
      <c r="E5115" s="41" t="str">
        <f>IFERROR(__xludf.DUMMYFUNCTION("IFNA(vlookup(D5115,IMPORTRANGE(""https://docs.google.com/spreadsheets/d/1swGwZOEqYlTEUCJLY-eeJM1911Kvaei5oySBIxdgtNo/edit?pli=1#gid=257618397"",""stock untanna!B:C""),2,false),V:V)"),"PENSIL CASE A-1037 + CAL")</f>
        <v>PENSIL CASE A-1037 + CAL</v>
      </c>
      <c r="F5115" s="49"/>
      <c r="G5115" s="71"/>
      <c r="H5115" s="41"/>
      <c r="I5115" s="42"/>
      <c r="J5115" s="85" t="s">
        <v>1319</v>
      </c>
      <c r="K5115" s="93">
        <v>160.0</v>
      </c>
      <c r="L5115" s="112" t="s">
        <v>69</v>
      </c>
      <c r="M5115" s="101">
        <v>14000.0</v>
      </c>
      <c r="N5115" s="74"/>
      <c r="O5115" s="87">
        <f t="shared" si="11"/>
        <v>2240000</v>
      </c>
      <c r="P5115" s="102" t="str">
        <f t="shared" si="2"/>
        <v>Rp14,000-160 PCS-0.00%</v>
      </c>
      <c r="Q5115" s="92">
        <v>45432.0</v>
      </c>
      <c r="R5115" s="76"/>
      <c r="S5115" s="92">
        <v>45439.0</v>
      </c>
      <c r="T5115" s="49"/>
      <c r="V5115" s="21" t="s">
        <v>593</v>
      </c>
    </row>
    <row r="5116">
      <c r="A5116" s="117">
        <v>140.0</v>
      </c>
      <c r="B5116" s="51" t="s">
        <v>65</v>
      </c>
      <c r="C5116" s="51" t="s">
        <v>842</v>
      </c>
      <c r="D5116" s="51" t="s">
        <v>4152</v>
      </c>
      <c r="E5116" s="41" t="str">
        <f>IFERROR(__xludf.DUMMYFUNCTION("IFNA(vlookup(D5116,IMPORTRANGE(""https://docs.google.com/spreadsheets/d/1swGwZOEqYlTEUCJLY-eeJM1911Kvaei5oySBIxdgtNo/edit?pli=1#gid=257618397"",""stock untanna!B:C""),2,false),V:V)"),"CAT ACRYLIC MARRIES 812/ 12W BIASA (BT)")</f>
        <v>CAT ACRYLIC MARRIES 812/ 12W BIASA (BT)</v>
      </c>
      <c r="F5116" s="49"/>
      <c r="G5116" s="71"/>
      <c r="H5116" s="41"/>
      <c r="I5116" s="42"/>
      <c r="J5116" s="85" t="s">
        <v>1319</v>
      </c>
      <c r="K5116" s="93">
        <v>3.0</v>
      </c>
      <c r="L5116" s="112" t="s">
        <v>62</v>
      </c>
      <c r="M5116" s="101">
        <v>575000.0</v>
      </c>
      <c r="N5116" s="74"/>
      <c r="O5116" s="87">
        <f t="shared" si="11"/>
        <v>1725000</v>
      </c>
      <c r="P5116" s="102" t="str">
        <f t="shared" si="2"/>
        <v>Rp575,000-3 LSN-0.00%</v>
      </c>
      <c r="Q5116" s="92">
        <v>45432.0</v>
      </c>
      <c r="R5116" s="76"/>
      <c r="S5116" s="92">
        <v>45439.0</v>
      </c>
      <c r="T5116" s="49"/>
      <c r="V5116" s="21" t="s">
        <v>4153</v>
      </c>
    </row>
    <row r="5117">
      <c r="A5117" s="117">
        <v>140.0</v>
      </c>
      <c r="B5117" s="51" t="s">
        <v>65</v>
      </c>
      <c r="C5117" s="51" t="s">
        <v>842</v>
      </c>
      <c r="D5117" s="118"/>
      <c r="E5117" s="41" t="str">
        <f>IFERROR(__xludf.DUMMYFUNCTION("IFNA(vlookup(D5117,IMPORTRANGE(""https://docs.google.com/spreadsheets/d/1swGwZOEqYlTEUCJLY-eeJM1911Kvaei5oySBIxdgtNo/edit?pli=1#gid=257618397"",""stock untanna!B:C""),2,false),V:V)"),"WC 110N/ 120 OSAMA")</f>
        <v>WC 110N/ 120 OSAMA</v>
      </c>
      <c r="F5117" s="49"/>
      <c r="G5117" s="71"/>
      <c r="H5117" s="41"/>
      <c r="I5117" s="42"/>
      <c r="J5117" s="85" t="s">
        <v>1319</v>
      </c>
      <c r="K5117" s="93">
        <v>3.0</v>
      </c>
      <c r="L5117" s="112" t="s">
        <v>62</v>
      </c>
      <c r="M5117" s="101">
        <v>450000.0</v>
      </c>
      <c r="N5117" s="74"/>
      <c r="O5117" s="87">
        <f t="shared" si="11"/>
        <v>1350000</v>
      </c>
      <c r="P5117" s="102" t="str">
        <f t="shared" si="2"/>
        <v>Rp450,000-3 LSN-0.00%</v>
      </c>
      <c r="Q5117" s="92">
        <v>45432.0</v>
      </c>
      <c r="R5117" s="76"/>
      <c r="S5117" s="92">
        <v>45439.0</v>
      </c>
      <c r="T5117" s="77" t="s">
        <v>280</v>
      </c>
      <c r="V5117" s="21" t="s">
        <v>4155</v>
      </c>
    </row>
    <row r="5118">
      <c r="A5118" s="117">
        <v>140.0</v>
      </c>
      <c r="B5118" s="51" t="s">
        <v>65</v>
      </c>
      <c r="C5118" s="51" t="s">
        <v>842</v>
      </c>
      <c r="D5118" s="51" t="s">
        <v>3114</v>
      </c>
      <c r="E5118" s="41" t="str">
        <f>IFERROR(__xludf.DUMMYFUNCTION("IFNA(vlookup(D5118,IMPORTRANGE(""https://docs.google.com/spreadsheets/d/1swGwZOEqYlTEUCJLY-eeJM1911Kvaei5oySBIxdgtNo/edit?pli=1#gid=257618397"",""stock untanna!B:C""),2,false),V:V)"),"CAT AIR MARRIES 1325 12W GM &amp; BT")</f>
        <v>CAT AIR MARRIES 1325 12W GM &amp; BT</v>
      </c>
      <c r="F5118" s="49"/>
      <c r="G5118" s="71"/>
      <c r="H5118" s="41"/>
      <c r="I5118" s="42"/>
      <c r="J5118" s="85" t="s">
        <v>1319</v>
      </c>
      <c r="K5118" s="93">
        <v>3.0</v>
      </c>
      <c r="L5118" s="112" t="s">
        <v>62</v>
      </c>
      <c r="M5118" s="101">
        <v>235000.0</v>
      </c>
      <c r="N5118" s="74"/>
      <c r="O5118" s="87">
        <f t="shared" si="11"/>
        <v>705000</v>
      </c>
      <c r="P5118" s="102" t="str">
        <f t="shared" si="2"/>
        <v>Rp235,000-3 LSN-0.00%</v>
      </c>
      <c r="Q5118" s="92">
        <v>45432.0</v>
      </c>
      <c r="R5118" s="76"/>
      <c r="S5118" s="92">
        <v>45439.0</v>
      </c>
      <c r="T5118" s="49"/>
      <c r="V5118" s="21" t="s">
        <v>3115</v>
      </c>
    </row>
    <row r="5119">
      <c r="A5119" s="117">
        <v>4283.0</v>
      </c>
      <c r="B5119" s="51" t="s">
        <v>65</v>
      </c>
      <c r="C5119" s="51" t="s">
        <v>4156</v>
      </c>
      <c r="D5119" s="51" t="s">
        <v>868</v>
      </c>
      <c r="E5119" s="41" t="str">
        <f>IFERROR(__xludf.DUMMYFUNCTION("IFNA(vlookup(D5119,IMPORTRANGE(""https://docs.google.com/spreadsheets/d/1swGwZOEqYlTEUCJLY-eeJM1911Kvaei5oySBIxdgtNo/edit?pli=1#gid=257618397"",""stock untanna!B:C""),2,false),V:V)"),"CLIP BOARD 6688-TR TRANSP KOALA")</f>
        <v>CLIP BOARD 6688-TR TRANSP KOALA</v>
      </c>
      <c r="F5119" s="49"/>
      <c r="G5119" s="71"/>
      <c r="H5119" s="41"/>
      <c r="I5119" s="42"/>
      <c r="J5119" s="85" t="s">
        <v>1319</v>
      </c>
      <c r="K5119" s="93">
        <v>12.0</v>
      </c>
      <c r="L5119" s="112" t="s">
        <v>62</v>
      </c>
      <c r="M5119" s="101">
        <v>96000.0</v>
      </c>
      <c r="N5119" s="74"/>
      <c r="O5119" s="87">
        <f t="shared" si="11"/>
        <v>1152000</v>
      </c>
      <c r="P5119" s="102" t="str">
        <f t="shared" si="2"/>
        <v>Rp96,000-12 LSN-0.00%</v>
      </c>
      <c r="Q5119" s="92">
        <v>45432.0</v>
      </c>
      <c r="R5119" s="76"/>
      <c r="S5119" s="92">
        <v>45439.0</v>
      </c>
      <c r="T5119" s="49"/>
      <c r="V5119" s="21" t="s">
        <v>870</v>
      </c>
    </row>
    <row r="5120">
      <c r="A5120" s="117">
        <v>4283.0</v>
      </c>
      <c r="B5120" s="51" t="s">
        <v>65</v>
      </c>
      <c r="C5120" s="51" t="s">
        <v>4156</v>
      </c>
      <c r="D5120" s="51" t="s">
        <v>1378</v>
      </c>
      <c r="E5120" s="41" t="str">
        <f>IFERROR(__xludf.DUMMYFUNCTION("IFNA(vlookup(D5120,IMPORTRANGE(""https://docs.google.com/spreadsheets/d/1swGwZOEqYlTEUCJLY-eeJM1911Kvaei5oySBIxdgtNo/edit?pli=1#gid=257618397"",""stock untanna!B:C""),2,false),V:V)"),"ASAHAN TOPLES KITTY R-5842")</f>
        <v>ASAHAN TOPLES KITTY R-5842</v>
      </c>
      <c r="F5120" s="49"/>
      <c r="G5120" s="71"/>
      <c r="H5120" s="41"/>
      <c r="I5120" s="42"/>
      <c r="J5120" s="85" t="s">
        <v>1319</v>
      </c>
      <c r="K5120" s="93">
        <v>10.0</v>
      </c>
      <c r="L5120" s="112" t="s">
        <v>1380</v>
      </c>
      <c r="M5120" s="101">
        <v>70000.0</v>
      </c>
      <c r="N5120" s="74"/>
      <c r="O5120" s="87">
        <f t="shared" si="11"/>
        <v>700000</v>
      </c>
      <c r="P5120" s="102" t="str">
        <f t="shared" si="2"/>
        <v>Rp70,000-10 TOP-0.00%</v>
      </c>
      <c r="Q5120" s="92">
        <v>45432.0</v>
      </c>
      <c r="R5120" s="76"/>
      <c r="S5120" s="92">
        <v>45439.0</v>
      </c>
      <c r="T5120" s="49"/>
      <c r="V5120" s="21" t="s">
        <v>1379</v>
      </c>
    </row>
    <row r="5121">
      <c r="A5121" s="117">
        <v>286.0</v>
      </c>
      <c r="B5121" s="51" t="s">
        <v>29</v>
      </c>
      <c r="C5121" s="51" t="s">
        <v>1452</v>
      </c>
      <c r="D5121" s="51" t="s">
        <v>653</v>
      </c>
      <c r="E5121" s="41" t="str">
        <f>IFERROR(__xludf.DUMMYFUNCTION("IFNA(vlookup(D5121,IMPORTRANGE(""https://docs.google.com/spreadsheets/d/1swGwZOEqYlTEUCJLY-eeJM1911Kvaei5oySBIxdgtNo/edit?pli=1#gid=257618397"",""stock untanna!B:C""),2,false),V:V)"),"TAS TALI GG-03 BESAR GILAP")</f>
        <v>TAS TALI GG-03 BESAR GILAP</v>
      </c>
      <c r="F5121" s="49"/>
      <c r="G5121" s="71"/>
      <c r="H5121" s="41"/>
      <c r="I5121" s="42"/>
      <c r="J5121" s="85" t="s">
        <v>1319</v>
      </c>
      <c r="K5121" s="93">
        <v>3.0</v>
      </c>
      <c r="L5121" s="112" t="s">
        <v>62</v>
      </c>
      <c r="M5121" s="101">
        <v>120000.0</v>
      </c>
      <c r="N5121" s="115">
        <v>0.15</v>
      </c>
      <c r="O5121" s="87">
        <f t="shared" si="11"/>
        <v>306000</v>
      </c>
      <c r="P5121" s="102" t="str">
        <f t="shared" si="2"/>
        <v>Rp120,000-3 LSN-15.00%</v>
      </c>
      <c r="Q5121" s="92">
        <v>45436.0</v>
      </c>
      <c r="R5121" s="76"/>
      <c r="S5121" s="92">
        <v>45439.0</v>
      </c>
      <c r="T5121" s="49"/>
      <c r="V5121" s="21" t="s">
        <v>654</v>
      </c>
    </row>
    <row r="5122">
      <c r="A5122" s="117">
        <v>286.0</v>
      </c>
      <c r="B5122" s="51" t="s">
        <v>29</v>
      </c>
      <c r="C5122" s="51" t="s">
        <v>1452</v>
      </c>
      <c r="D5122" s="51" t="s">
        <v>880</v>
      </c>
      <c r="E5122" s="41" t="str">
        <f>IFERROR(__xludf.DUMMYFUNCTION("IFNA(vlookup(D5122,IMPORTRANGE(""https://docs.google.com/spreadsheets/d/1swGwZOEqYlTEUCJLY-eeJM1911Kvaei5oySBIxdgtNo/edit?pli=1#gid=257618397"",""stock untanna!B:C""),2,false),V:V)"),"TAS TUTUP PITA KADO FG-301 BESAR")</f>
        <v>TAS TUTUP PITA KADO FG-301 BESAR</v>
      </c>
      <c r="F5122" s="49"/>
      <c r="G5122" s="71"/>
      <c r="H5122" s="41"/>
      <c r="I5122" s="42"/>
      <c r="J5122" s="85" t="s">
        <v>1319</v>
      </c>
      <c r="K5122" s="93">
        <v>2.0</v>
      </c>
      <c r="L5122" s="112" t="s">
        <v>62</v>
      </c>
      <c r="M5122" s="101">
        <v>106000.0</v>
      </c>
      <c r="N5122" s="115">
        <v>0.15</v>
      </c>
      <c r="O5122" s="87">
        <f t="shared" si="11"/>
        <v>180200</v>
      </c>
      <c r="P5122" s="102" t="str">
        <f t="shared" si="2"/>
        <v>Rp106,000-2 LSN-15.00%</v>
      </c>
      <c r="Q5122" s="92">
        <v>45436.0</v>
      </c>
      <c r="R5122" s="76"/>
      <c r="S5122" s="92">
        <v>45439.0</v>
      </c>
      <c r="T5122" s="49"/>
      <c r="V5122" s="21" t="s">
        <v>881</v>
      </c>
    </row>
    <row r="5123">
      <c r="A5123" s="117">
        <v>286.0</v>
      </c>
      <c r="B5123" s="51" t="s">
        <v>29</v>
      </c>
      <c r="C5123" s="51" t="s">
        <v>1452</v>
      </c>
      <c r="D5123" s="51" t="s">
        <v>880</v>
      </c>
      <c r="E5123" s="41" t="str">
        <f>IFERROR(__xludf.DUMMYFUNCTION("IFNA(vlookup(D5123,IMPORTRANGE(""https://docs.google.com/spreadsheets/d/1swGwZOEqYlTEUCJLY-eeJM1911Kvaei5oySBIxdgtNo/edit?pli=1#gid=257618397"",""stock untanna!B:C""),2,false),V:V)"),"TAS TUTUP PITA KADO FG-301 BESAR")</f>
        <v>TAS TUTUP PITA KADO FG-301 BESAR</v>
      </c>
      <c r="F5123" s="49"/>
      <c r="G5123" s="71"/>
      <c r="H5123" s="41"/>
      <c r="I5123" s="42"/>
      <c r="J5123" s="85" t="s">
        <v>1319</v>
      </c>
      <c r="K5123" s="93">
        <v>2.0</v>
      </c>
      <c r="L5123" s="112" t="s">
        <v>62</v>
      </c>
      <c r="M5123" s="101">
        <v>106000.0</v>
      </c>
      <c r="N5123" s="115">
        <v>0.15</v>
      </c>
      <c r="O5123" s="87">
        <f t="shared" si="11"/>
        <v>180200</v>
      </c>
      <c r="P5123" s="102" t="str">
        <f t="shared" si="2"/>
        <v>Rp106,000-2 LSN-15.00%</v>
      </c>
      <c r="Q5123" s="92">
        <v>45436.0</v>
      </c>
      <c r="R5123" s="76"/>
      <c r="S5123" s="92">
        <v>45439.0</v>
      </c>
      <c r="T5123" s="49"/>
      <c r="V5123" s="21" t="s">
        <v>881</v>
      </c>
    </row>
    <row r="5124">
      <c r="A5124" s="117">
        <v>286.0</v>
      </c>
      <c r="B5124" s="51" t="s">
        <v>29</v>
      </c>
      <c r="C5124" s="51" t="s">
        <v>1452</v>
      </c>
      <c r="D5124" s="118"/>
      <c r="E5124" s="41" t="str">
        <f>IFERROR(__xludf.DUMMYFUNCTION("IFNA(vlookup(D5124,IMPORTRANGE(""https://docs.google.com/spreadsheets/d/1swGwZOEqYlTEUCJLY-eeJM1911Kvaei5oySBIxdgtNo/edit?pli=1#gid=257618397"",""stock untanna!B:C""),2,false),V:V)"),"TAS GG 03 SM 1865 MIX")</f>
        <v>TAS GG 03 SM 1865 MIX</v>
      </c>
      <c r="F5124" s="49"/>
      <c r="G5124" s="71"/>
      <c r="H5124" s="41"/>
      <c r="I5124" s="42"/>
      <c r="J5124" s="85" t="s">
        <v>3190</v>
      </c>
      <c r="K5124" s="93">
        <v>2.0</v>
      </c>
      <c r="L5124" s="112" t="s">
        <v>62</v>
      </c>
      <c r="M5124" s="101">
        <v>120000.0</v>
      </c>
      <c r="N5124" s="115">
        <v>0.15</v>
      </c>
      <c r="O5124" s="87">
        <f t="shared" si="11"/>
        <v>204000</v>
      </c>
      <c r="P5124" s="102" t="str">
        <f t="shared" si="2"/>
        <v>Rp120,000-2 LSN-15.00%</v>
      </c>
      <c r="Q5124" s="92">
        <v>45436.0</v>
      </c>
      <c r="R5124" s="76"/>
      <c r="S5124" s="92">
        <v>45439.0</v>
      </c>
      <c r="T5124" s="49"/>
      <c r="V5124" s="21" t="s">
        <v>4157</v>
      </c>
    </row>
    <row r="5125">
      <c r="A5125" s="117">
        <v>286.0</v>
      </c>
      <c r="B5125" s="51" t="s">
        <v>29</v>
      </c>
      <c r="C5125" s="51" t="s">
        <v>1452</v>
      </c>
      <c r="D5125" s="118"/>
      <c r="E5125" s="41" t="str">
        <f>IFERROR(__xludf.DUMMYFUNCTION("IFNA(vlookup(D5125,IMPORTRANGE(""https://docs.google.com/spreadsheets/d/1swGwZOEqYlTEUCJLY-eeJM1911Kvaei5oySBIxdgtNo/edit?pli=1#gid=257618397"",""stock untanna!B:C""),2,false),V:V)"),"TAS KADO MINI MIX TUTUP")</f>
        <v>TAS KADO MINI MIX TUTUP</v>
      </c>
      <c r="F5125" s="49"/>
      <c r="G5125" s="71"/>
      <c r="H5125" s="41"/>
      <c r="I5125" s="42"/>
      <c r="J5125" s="85" t="s">
        <v>3190</v>
      </c>
      <c r="K5125" s="93">
        <v>3.0</v>
      </c>
      <c r="L5125" s="112" t="s">
        <v>62</v>
      </c>
      <c r="M5125" s="101">
        <v>25000.0</v>
      </c>
      <c r="N5125" s="115">
        <v>0.15</v>
      </c>
      <c r="O5125" s="87">
        <f t="shared" si="11"/>
        <v>63750</v>
      </c>
      <c r="P5125" s="102" t="str">
        <f t="shared" si="2"/>
        <v>Rp25,000-3 LSN-15.00%</v>
      </c>
      <c r="Q5125" s="92">
        <v>45436.0</v>
      </c>
      <c r="R5125" s="76"/>
      <c r="S5125" s="92">
        <v>45439.0</v>
      </c>
      <c r="T5125" s="49"/>
      <c r="V5125" s="21" t="s">
        <v>4158</v>
      </c>
    </row>
    <row r="5126">
      <c r="A5126" s="117">
        <v>286.0</v>
      </c>
      <c r="B5126" s="51" t="s">
        <v>29</v>
      </c>
      <c r="C5126" s="51" t="s">
        <v>1452</v>
      </c>
      <c r="D5126" s="118"/>
      <c r="E5126" s="41" t="str">
        <f>IFERROR(__xludf.DUMMYFUNCTION("IFNA(vlookup(D5126,IMPORTRANGE(""https://docs.google.com/spreadsheets/d/1swGwZOEqYlTEUCJLY-eeJM1911Kvaei5oySBIxdgtNo/edit?pli=1#gid=257618397"",""stock untanna!B:C""),2,false),V:V)"),"TAS KADO GILAP 804 EMAS")</f>
        <v>TAS KADO GILAP 804 EMAS</v>
      </c>
      <c r="F5126" s="49"/>
      <c r="G5126" s="71"/>
      <c r="H5126" s="41"/>
      <c r="I5126" s="42"/>
      <c r="J5126" s="85" t="s">
        <v>3190</v>
      </c>
      <c r="K5126" s="93">
        <v>3.0</v>
      </c>
      <c r="L5126" s="112" t="s">
        <v>62</v>
      </c>
      <c r="M5126" s="101">
        <v>60000.0</v>
      </c>
      <c r="N5126" s="115">
        <v>0.15</v>
      </c>
      <c r="O5126" s="87">
        <f t="shared" si="11"/>
        <v>153000</v>
      </c>
      <c r="P5126" s="102" t="str">
        <f t="shared" si="2"/>
        <v>Rp60,000-3 LSN-15.00%</v>
      </c>
      <c r="Q5126" s="92">
        <v>45436.0</v>
      </c>
      <c r="R5126" s="76"/>
      <c r="S5126" s="92">
        <v>45439.0</v>
      </c>
      <c r="T5126" s="49"/>
      <c r="V5126" s="21" t="s">
        <v>4159</v>
      </c>
    </row>
    <row r="5127">
      <c r="A5127" s="117">
        <v>286.0</v>
      </c>
      <c r="B5127" s="51" t="s">
        <v>29</v>
      </c>
      <c r="C5127" s="51" t="s">
        <v>1452</v>
      </c>
      <c r="D5127" s="51" t="s">
        <v>3167</v>
      </c>
      <c r="E5127" s="41" t="str">
        <f>IFERROR(__xludf.DUMMYFUNCTION("IFNA(vlookup(D5127,IMPORTRANGE(""https://docs.google.com/spreadsheets/d/1swGwZOEqYlTEUCJLY-eeJM1911Kvaei5oySBIxdgtNo/edit?pli=1#gid=257618397"",""stock untanna!B:C""),2,false),V:V)"),"TAS TALI GG-01 KECIL GLITTER")</f>
        <v>TAS TALI GG-01 KECIL GLITTER</v>
      </c>
      <c r="F5127" s="49"/>
      <c r="G5127" s="71"/>
      <c r="H5127" s="41"/>
      <c r="I5127" s="42"/>
      <c r="J5127" s="85" t="s">
        <v>1319</v>
      </c>
      <c r="K5127" s="93">
        <v>3.0</v>
      </c>
      <c r="L5127" s="112" t="s">
        <v>62</v>
      </c>
      <c r="M5127" s="101">
        <v>65000.0</v>
      </c>
      <c r="N5127" s="115">
        <v>0.15</v>
      </c>
      <c r="O5127" s="87">
        <f t="shared" si="11"/>
        <v>165750</v>
      </c>
      <c r="P5127" s="102" t="str">
        <f t="shared" si="2"/>
        <v>Rp65,000-3 LSN-15.00%</v>
      </c>
      <c r="Q5127" s="92">
        <v>45436.0</v>
      </c>
      <c r="R5127" s="76"/>
      <c r="S5127" s="92">
        <v>45439.0</v>
      </c>
      <c r="T5127" s="49"/>
      <c r="V5127" s="21" t="s">
        <v>3168</v>
      </c>
    </row>
    <row r="5128">
      <c r="A5128" s="117">
        <v>286.0</v>
      </c>
      <c r="B5128" s="51" t="s">
        <v>29</v>
      </c>
      <c r="C5128" s="51" t="s">
        <v>1452</v>
      </c>
      <c r="D5128" s="51" t="s">
        <v>3167</v>
      </c>
      <c r="E5128" s="41" t="str">
        <f>IFERROR(__xludf.DUMMYFUNCTION("IFNA(vlookup(D5128,IMPORTRANGE(""https://docs.google.com/spreadsheets/d/1swGwZOEqYlTEUCJLY-eeJM1911Kvaei5oySBIxdgtNo/edit?pli=1#gid=257618397"",""stock untanna!B:C""),2,false),V:V)"),"TAS TALI GG-01 KECIL GLITTER")</f>
        <v>TAS TALI GG-01 KECIL GLITTER</v>
      </c>
      <c r="F5128" s="49"/>
      <c r="G5128" s="71"/>
      <c r="H5128" s="41"/>
      <c r="I5128" s="42"/>
      <c r="J5128" s="85" t="s">
        <v>1319</v>
      </c>
      <c r="K5128" s="93">
        <v>3.0</v>
      </c>
      <c r="L5128" s="112" t="s">
        <v>62</v>
      </c>
      <c r="M5128" s="101">
        <v>65000.0</v>
      </c>
      <c r="N5128" s="115">
        <v>0.15</v>
      </c>
      <c r="O5128" s="87">
        <f t="shared" si="11"/>
        <v>165750</v>
      </c>
      <c r="P5128" s="102" t="str">
        <f t="shared" si="2"/>
        <v>Rp65,000-3 LSN-15.00%</v>
      </c>
      <c r="Q5128" s="92">
        <v>45436.0</v>
      </c>
      <c r="R5128" s="76"/>
      <c r="S5128" s="92">
        <v>45439.0</v>
      </c>
      <c r="T5128" s="49"/>
      <c r="V5128" s="21" t="s">
        <v>3168</v>
      </c>
    </row>
    <row r="5129">
      <c r="A5129" s="117">
        <v>286.0</v>
      </c>
      <c r="B5129" s="51" t="s">
        <v>29</v>
      </c>
      <c r="C5129" s="51" t="s">
        <v>1452</v>
      </c>
      <c r="D5129" s="51" t="s">
        <v>651</v>
      </c>
      <c r="E5129" s="41" t="str">
        <f>IFERROR(__xludf.DUMMYFUNCTION("IFNA(vlookup(D5129,IMPORTRANGE(""https://docs.google.com/spreadsheets/d/1swGwZOEqYlTEUCJLY-eeJM1911Kvaei5oySBIxdgtNo/edit?pli=1#gid=257618397"",""stock untanna!B:C""),2,false),V:V)"),"TAS TALI GG-02 TANGGUNG GILAP")</f>
        <v>TAS TALI GG-02 TANGGUNG GILAP</v>
      </c>
      <c r="F5129" s="49"/>
      <c r="G5129" s="71"/>
      <c r="H5129" s="41"/>
      <c r="I5129" s="42"/>
      <c r="J5129" s="85" t="s">
        <v>1319</v>
      </c>
      <c r="K5129" s="93">
        <v>2.0</v>
      </c>
      <c r="L5129" s="112" t="s">
        <v>62</v>
      </c>
      <c r="M5129" s="101">
        <v>100000.0</v>
      </c>
      <c r="N5129" s="115">
        <v>0.15</v>
      </c>
      <c r="O5129" s="87">
        <f t="shared" si="11"/>
        <v>170000</v>
      </c>
      <c r="P5129" s="102" t="str">
        <f t="shared" si="2"/>
        <v>Rp100,000-2 LSN-15.00%</v>
      </c>
      <c r="Q5129" s="92">
        <v>45436.0</v>
      </c>
      <c r="R5129" s="76"/>
      <c r="S5129" s="92">
        <v>45439.0</v>
      </c>
      <c r="T5129" s="49"/>
      <c r="V5129" s="21" t="s">
        <v>652</v>
      </c>
    </row>
    <row r="5130">
      <c r="A5130" s="117">
        <v>286.0</v>
      </c>
      <c r="B5130" s="51" t="s">
        <v>29</v>
      </c>
      <c r="C5130" s="51" t="s">
        <v>1452</v>
      </c>
      <c r="D5130" s="51" t="s">
        <v>1249</v>
      </c>
      <c r="E5130" s="41" t="str">
        <f>IFERROR(__xludf.DUMMYFUNCTION("IFNA(vlookup(D5130,IMPORTRANGE(""https://docs.google.com/spreadsheets/d/1swGwZOEqYlTEUCJLY-eeJM1911Kvaei5oySBIxdgtNo/edit?pli=1#gid=257618397"",""stock untanna!B:C""),2,false),V:V)"),"TAS XM-2019-L GLITTER TANGGUNG")</f>
        <v>TAS XM-2019-L GLITTER TANGGUNG</v>
      </c>
      <c r="F5130" s="49"/>
      <c r="G5130" s="71"/>
      <c r="H5130" s="41"/>
      <c r="I5130" s="42"/>
      <c r="J5130" s="85" t="s">
        <v>1319</v>
      </c>
      <c r="K5130" s="93">
        <v>24.0</v>
      </c>
      <c r="L5130" s="112" t="s">
        <v>69</v>
      </c>
      <c r="M5130" s="101">
        <v>8750.0</v>
      </c>
      <c r="N5130" s="115">
        <v>0.15</v>
      </c>
      <c r="O5130" s="87">
        <f t="shared" si="11"/>
        <v>178500</v>
      </c>
      <c r="P5130" s="102" t="str">
        <f t="shared" si="2"/>
        <v>Rp8,750-24 PCS-15.00%</v>
      </c>
      <c r="Q5130" s="92">
        <v>45436.0</v>
      </c>
      <c r="R5130" s="76"/>
      <c r="S5130" s="92">
        <v>45439.0</v>
      </c>
      <c r="T5130" s="49"/>
      <c r="V5130" s="21" t="s">
        <v>1250</v>
      </c>
    </row>
    <row r="5131">
      <c r="A5131" s="117">
        <v>286.0</v>
      </c>
      <c r="B5131" s="51" t="s">
        <v>29</v>
      </c>
      <c r="C5131" s="51" t="s">
        <v>1452</v>
      </c>
      <c r="D5131" s="51" t="s">
        <v>651</v>
      </c>
      <c r="E5131" s="41" t="str">
        <f>IFERROR(__xludf.DUMMYFUNCTION("IFNA(vlookup(D5131,IMPORTRANGE(""https://docs.google.com/spreadsheets/d/1swGwZOEqYlTEUCJLY-eeJM1911Kvaei5oySBIxdgtNo/edit?pli=1#gid=257618397"",""stock untanna!B:C""),2,false),V:V)"),"TAS TALI GG-02 TANGGUNG GILAP")</f>
        <v>TAS TALI GG-02 TANGGUNG GILAP</v>
      </c>
      <c r="F5131" s="49"/>
      <c r="G5131" s="71"/>
      <c r="H5131" s="41"/>
      <c r="I5131" s="42"/>
      <c r="J5131" s="85" t="s">
        <v>1319</v>
      </c>
      <c r="K5131" s="93">
        <v>2.0</v>
      </c>
      <c r="L5131" s="112" t="s">
        <v>62</v>
      </c>
      <c r="M5131" s="101">
        <v>100000.0</v>
      </c>
      <c r="N5131" s="115">
        <v>0.15</v>
      </c>
      <c r="O5131" s="87">
        <f t="shared" si="11"/>
        <v>170000</v>
      </c>
      <c r="P5131" s="102" t="str">
        <f t="shared" si="2"/>
        <v>Rp100,000-2 LSN-15.00%</v>
      </c>
      <c r="Q5131" s="92">
        <v>45436.0</v>
      </c>
      <c r="R5131" s="76"/>
      <c r="S5131" s="92">
        <v>45439.0</v>
      </c>
      <c r="T5131" s="49"/>
      <c r="V5131" s="21" t="s">
        <v>652</v>
      </c>
    </row>
    <row r="5132">
      <c r="A5132" s="117">
        <v>286.0</v>
      </c>
      <c r="B5132" s="51" t="s">
        <v>29</v>
      </c>
      <c r="C5132" s="51" t="s">
        <v>1452</v>
      </c>
      <c r="D5132" s="118"/>
      <c r="E5132" s="41" t="str">
        <f>IFERROR(__xludf.DUMMYFUNCTION("IFNA(vlookup(D5132,IMPORTRANGE(""https://docs.google.com/spreadsheets/d/1swGwZOEqYlTEUCJLY-eeJM1911Kvaei5oySBIxdgtNo/edit?pli=1#gid=257618397"",""stock untanna!B:C""),2,false),V:V)"),"TAS KAIN POLOS 38 X 45")</f>
        <v>TAS KAIN POLOS 38 X 45</v>
      </c>
      <c r="F5132" s="49"/>
      <c r="G5132" s="71"/>
      <c r="H5132" s="41"/>
      <c r="I5132" s="42"/>
      <c r="J5132" s="85" t="s">
        <v>3190</v>
      </c>
      <c r="K5132" s="93">
        <v>3.0</v>
      </c>
      <c r="L5132" s="112" t="s">
        <v>62</v>
      </c>
      <c r="M5132" s="101">
        <v>20000.0</v>
      </c>
      <c r="N5132" s="74"/>
      <c r="O5132" s="87">
        <f t="shared" si="11"/>
        <v>60000</v>
      </c>
      <c r="P5132" s="102" t="str">
        <f t="shared" si="2"/>
        <v>Rp20,000-3 LSN-0.00%</v>
      </c>
      <c r="Q5132" s="92">
        <v>45436.0</v>
      </c>
      <c r="R5132" s="76"/>
      <c r="S5132" s="92">
        <v>45439.0</v>
      </c>
      <c r="T5132" s="49"/>
      <c r="V5132" s="21" t="s">
        <v>4160</v>
      </c>
    </row>
    <row r="5133">
      <c r="A5133" s="117">
        <v>286.0</v>
      </c>
      <c r="B5133" s="51" t="s">
        <v>29</v>
      </c>
      <c r="C5133" s="51" t="s">
        <v>1452</v>
      </c>
      <c r="D5133" s="118"/>
      <c r="E5133" s="41" t="str">
        <f>IFERROR(__xludf.DUMMYFUNCTION("IFNA(vlookup(D5133,IMPORTRANGE(""https://docs.google.com/spreadsheets/d/1swGwZOEqYlTEUCJLY-eeJM1911Kvaei5oySBIxdgtNo/edit?pli=1#gid=257618397"",""stock untanna!B:C""),2,false),V:V)"),"TAS KAIN POLOS 30 X 40")</f>
        <v>TAS KAIN POLOS 30 X 40</v>
      </c>
      <c r="F5133" s="49"/>
      <c r="G5133" s="71"/>
      <c r="H5133" s="41"/>
      <c r="I5133" s="42"/>
      <c r="J5133" s="85" t="s">
        <v>3190</v>
      </c>
      <c r="K5133" s="93">
        <v>3.0</v>
      </c>
      <c r="L5133" s="112" t="s">
        <v>62</v>
      </c>
      <c r="M5133" s="101">
        <v>16000.0</v>
      </c>
      <c r="N5133" s="74"/>
      <c r="O5133" s="87">
        <f t="shared" si="11"/>
        <v>48000</v>
      </c>
      <c r="P5133" s="102" t="str">
        <f t="shared" si="2"/>
        <v>Rp16,000-3 LSN-0.00%</v>
      </c>
      <c r="Q5133" s="92">
        <v>45436.0</v>
      </c>
      <c r="R5133" s="76"/>
      <c r="S5133" s="92">
        <v>45439.0</v>
      </c>
      <c r="T5133" s="49"/>
      <c r="V5133" s="21" t="s">
        <v>4161</v>
      </c>
    </row>
    <row r="5134">
      <c r="A5134" s="117">
        <v>286.0</v>
      </c>
      <c r="B5134" s="51" t="s">
        <v>29</v>
      </c>
      <c r="C5134" s="51" t="s">
        <v>1452</v>
      </c>
      <c r="D5134" s="51" t="s">
        <v>247</v>
      </c>
      <c r="E5134" s="41" t="str">
        <f>IFERROR(__xludf.DUMMYFUNCTION("IFNA(vlookup(D5134,IMPORTRANGE(""https://docs.google.com/spreadsheets/d/1swGwZOEqYlTEUCJLY-eeJM1911Kvaei5oySBIxdgtNo/edit?pli=1#gid=257618397"",""stock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5134" s="49"/>
      <c r="G5134" s="71"/>
      <c r="H5134" s="41"/>
      <c r="I5134" s="42"/>
      <c r="J5134" s="85" t="s">
        <v>1319</v>
      </c>
      <c r="K5134" s="93">
        <v>2.0</v>
      </c>
      <c r="L5134" s="112" t="s">
        <v>62</v>
      </c>
      <c r="M5134" s="101">
        <v>95000.0</v>
      </c>
      <c r="N5134" s="115">
        <v>0.15</v>
      </c>
      <c r="O5134" s="87">
        <f t="shared" si="11"/>
        <v>161500</v>
      </c>
      <c r="P5134" s="102" t="str">
        <f t="shared" si="2"/>
        <v>Rp95,000-2 LSN-15.00%</v>
      </c>
      <c r="Q5134" s="92">
        <v>45436.0</v>
      </c>
      <c r="R5134" s="76"/>
      <c r="S5134" s="92">
        <v>45439.0</v>
      </c>
      <c r="T5134" s="49"/>
      <c r="V5134" s="21" t="s">
        <v>248</v>
      </c>
    </row>
    <row r="5135">
      <c r="A5135" s="117">
        <v>286.0</v>
      </c>
      <c r="B5135" s="51" t="s">
        <v>29</v>
      </c>
      <c r="C5135" s="51" t="s">
        <v>1452</v>
      </c>
      <c r="D5135" s="51" t="s">
        <v>2693</v>
      </c>
      <c r="E5135" s="41" t="str">
        <f>IFERROR(__xludf.DUMMYFUNCTION("IFNA(vlookup(D5135,IMPORTRANGE(""https://docs.google.com/spreadsheets/d/1swGwZOEqYlTEUCJLY-eeJM1911Kvaei5oySBIxdgtNo/edit?pli=1#gid=257618397"",""stock untanna!B:C""),2,false),V:V)"),"STICKER JN-H")</f>
        <v>STICKER JN-H</v>
      </c>
      <c r="F5135" s="49"/>
      <c r="G5135" s="71"/>
      <c r="H5135" s="41"/>
      <c r="I5135" s="42"/>
      <c r="J5135" s="85" t="s">
        <v>1319</v>
      </c>
      <c r="K5135" s="93">
        <v>50.0</v>
      </c>
      <c r="L5135" s="112" t="s">
        <v>69</v>
      </c>
      <c r="M5135" s="101">
        <v>5500.0</v>
      </c>
      <c r="N5135" s="74"/>
      <c r="O5135" s="87">
        <f t="shared" si="11"/>
        <v>275000</v>
      </c>
      <c r="P5135" s="102" t="str">
        <f t="shared" si="2"/>
        <v>Rp5,500-50 PCS-0.00%</v>
      </c>
      <c r="Q5135" s="92">
        <v>45436.0</v>
      </c>
      <c r="R5135" s="76"/>
      <c r="S5135" s="92">
        <v>45439.0</v>
      </c>
      <c r="T5135" s="49"/>
      <c r="V5135" s="21" t="s">
        <v>2694</v>
      </c>
    </row>
    <row r="5136">
      <c r="A5136" s="117">
        <v>286.0</v>
      </c>
      <c r="B5136" s="51" t="s">
        <v>29</v>
      </c>
      <c r="C5136" s="51" t="s">
        <v>1452</v>
      </c>
      <c r="D5136" s="51" t="s">
        <v>4162</v>
      </c>
      <c r="E5136" s="41" t="str">
        <f>IFERROR(__xludf.DUMMYFUNCTION("IFNA(vlookup(D5136,IMPORTRANGE(""https://docs.google.com/spreadsheets/d/1swGwZOEqYlTEUCJLY-eeJM1911Kvaei5oySBIxdgtNo/edit?pli=1#gid=257618397"",""stock untanna!B:C""),2,false),V:V)"),"BINDER NOTE JHYB - 03306 B5")</f>
        <v>BINDER NOTE JHYB - 03306 B5</v>
      </c>
      <c r="F5136" s="49"/>
      <c r="G5136" s="71"/>
      <c r="H5136" s="41"/>
      <c r="I5136" s="42"/>
      <c r="J5136" s="85" t="s">
        <v>1319</v>
      </c>
      <c r="K5136" s="93">
        <v>24.0</v>
      </c>
      <c r="L5136" s="112" t="s">
        <v>69</v>
      </c>
      <c r="M5136" s="101">
        <v>30000.0</v>
      </c>
      <c r="N5136" s="74"/>
      <c r="O5136" s="87">
        <f t="shared" si="11"/>
        <v>720000</v>
      </c>
      <c r="P5136" s="102" t="str">
        <f t="shared" si="2"/>
        <v>Rp30,000-24 PCS-0.00%</v>
      </c>
      <c r="Q5136" s="92">
        <v>45436.0</v>
      </c>
      <c r="R5136" s="76"/>
      <c r="S5136" s="92">
        <v>45439.0</v>
      </c>
      <c r="T5136" s="49"/>
      <c r="V5136" s="21" t="s">
        <v>4163</v>
      </c>
    </row>
    <row r="5137">
      <c r="A5137" s="117">
        <v>287.0</v>
      </c>
      <c r="B5137" s="51" t="s">
        <v>29</v>
      </c>
      <c r="C5137" s="51" t="s">
        <v>1452</v>
      </c>
      <c r="D5137" s="51" t="s">
        <v>4164</v>
      </c>
      <c r="E5137" s="41" t="str">
        <f>IFERROR(__xludf.DUMMYFUNCTION("IFNA(vlookup(D5137,IMPORTRANGE(""https://docs.google.com/spreadsheets/d/1swGwZOEqYlTEUCJLY-eeJM1911Kvaei5oySBIxdgtNo/edit?pli=1#gid=257618397"",""stock untanna!B:C""),2,false),V:V)"),"BINDER NOTE HYB - 86803 A5")</f>
        <v>BINDER NOTE HYB - 86803 A5</v>
      </c>
      <c r="F5137" s="49"/>
      <c r="G5137" s="71"/>
      <c r="H5137" s="41"/>
      <c r="I5137" s="42"/>
      <c r="J5137" s="85" t="s">
        <v>1319</v>
      </c>
      <c r="K5137" s="93">
        <v>24.0</v>
      </c>
      <c r="L5137" s="112" t="s">
        <v>69</v>
      </c>
      <c r="M5137" s="101">
        <v>22500.0</v>
      </c>
      <c r="N5137" s="74"/>
      <c r="O5137" s="87">
        <f t="shared" si="11"/>
        <v>540000</v>
      </c>
      <c r="P5137" s="102" t="str">
        <f t="shared" si="2"/>
        <v>Rp22,500-24 PCS-0.00%</v>
      </c>
      <c r="Q5137" s="92">
        <v>45436.0</v>
      </c>
      <c r="R5137" s="76"/>
      <c r="S5137" s="92">
        <v>45439.0</v>
      </c>
      <c r="T5137" s="49"/>
      <c r="V5137" s="21" t="s">
        <v>4165</v>
      </c>
    </row>
    <row r="5138">
      <c r="A5138" s="117">
        <v>287.0</v>
      </c>
      <c r="B5138" s="51" t="s">
        <v>29</v>
      </c>
      <c r="C5138" s="51" t="s">
        <v>1452</v>
      </c>
      <c r="D5138" s="118"/>
      <c r="E5138" s="41" t="str">
        <f>IFERROR(__xludf.DUMMYFUNCTION("IFNA(vlookup(D5138,IMPORTRANGE(""https://docs.google.com/spreadsheets/d/1swGwZOEqYlTEUCJLY-eeJM1911Kvaei5oySBIxdgtNo/edit?pli=1#gid=257618397"",""stock untanna!B:C""),2,false),V:V)"),"ID CARD 501 PUTIH")</f>
        <v>ID CARD 501 PUTIH</v>
      </c>
      <c r="F5138" s="49"/>
      <c r="G5138" s="71"/>
      <c r="H5138" s="41"/>
      <c r="I5138" s="42"/>
      <c r="J5138" s="85" t="s">
        <v>3190</v>
      </c>
      <c r="K5138" s="93">
        <v>100.0</v>
      </c>
      <c r="L5138" s="112" t="s">
        <v>69</v>
      </c>
      <c r="M5138" s="101">
        <v>1400.0</v>
      </c>
      <c r="N5138" s="74"/>
      <c r="O5138" s="87">
        <f t="shared" si="11"/>
        <v>140000</v>
      </c>
      <c r="P5138" s="102" t="str">
        <f t="shared" si="2"/>
        <v>Rp1,400-100 PCS-0.00%</v>
      </c>
      <c r="Q5138" s="92">
        <v>45436.0</v>
      </c>
      <c r="R5138" s="76"/>
      <c r="S5138" s="92">
        <v>45439.0</v>
      </c>
      <c r="T5138" s="49"/>
      <c r="V5138" s="21" t="s">
        <v>2409</v>
      </c>
    </row>
    <row r="5139">
      <c r="A5139" s="117">
        <v>287.0</v>
      </c>
      <c r="B5139" s="51" t="s">
        <v>29</v>
      </c>
      <c r="C5139" s="51" t="s">
        <v>1452</v>
      </c>
      <c r="D5139" s="51" t="s">
        <v>2697</v>
      </c>
      <c r="E5139" s="41" t="str">
        <f>IFERROR(__xludf.DUMMYFUNCTION("IFNA(vlookup(D5139,IMPORTRANGE(""https://docs.google.com/spreadsheets/d/1swGwZOEqYlTEUCJLY-eeJM1911Kvaei5oySBIxdgtNo/edit?pli=1#gid=257618397"",""stock untanna!B:C""),2,false),V:V)"),"DISPENSER PLAKBAND BESI A 806 MOSHI-MOSHI")</f>
        <v>DISPENSER PLAKBAND BESI A 806 MOSHI-MOSHI</v>
      </c>
      <c r="F5139" s="49"/>
      <c r="G5139" s="71"/>
      <c r="H5139" s="41"/>
      <c r="I5139" s="42"/>
      <c r="J5139" s="85" t="s">
        <v>1319</v>
      </c>
      <c r="K5139" s="93">
        <v>36.0</v>
      </c>
      <c r="L5139" s="112" t="s">
        <v>69</v>
      </c>
      <c r="M5139" s="101">
        <v>13000.0</v>
      </c>
      <c r="N5139" s="74"/>
      <c r="O5139" s="87">
        <f t="shared" si="11"/>
        <v>468000</v>
      </c>
      <c r="P5139" s="102" t="str">
        <f t="shared" si="2"/>
        <v>Rp13,000-36 PCS-0.00%</v>
      </c>
      <c r="Q5139" s="92">
        <v>45436.0</v>
      </c>
      <c r="R5139" s="76"/>
      <c r="S5139" s="92">
        <v>45439.0</v>
      </c>
      <c r="T5139" s="49"/>
      <c r="V5139" s="21" t="s">
        <v>2698</v>
      </c>
    </row>
    <row r="5140">
      <c r="A5140" s="117">
        <v>287.0</v>
      </c>
      <c r="B5140" s="51" t="s">
        <v>29</v>
      </c>
      <c r="C5140" s="51" t="s">
        <v>1452</v>
      </c>
      <c r="D5140" s="118"/>
      <c r="E5140" s="41" t="str">
        <f>IFERROR(__xludf.DUMMYFUNCTION("IFNA(vlookup(D5140,IMPORTRANGE(""https://docs.google.com/spreadsheets/d/1swGwZOEqYlTEUCJLY-eeJM1911Kvaei5oySBIxdgtNo/edit?pli=1#gid=257618397"",""stock untanna!B:C""),2,false),V:V)"),"KAWAT MIX")</f>
        <v>KAWAT MIX</v>
      </c>
      <c r="F5140" s="49"/>
      <c r="G5140" s="71"/>
      <c r="H5140" s="41"/>
      <c r="I5140" s="42"/>
      <c r="J5140" s="85" t="s">
        <v>3190</v>
      </c>
      <c r="K5140" s="93">
        <v>50.0</v>
      </c>
      <c r="L5140" s="112" t="s">
        <v>69</v>
      </c>
      <c r="M5140" s="101">
        <v>3000.0</v>
      </c>
      <c r="N5140" s="74"/>
      <c r="O5140" s="87">
        <f t="shared" si="11"/>
        <v>150000</v>
      </c>
      <c r="P5140" s="102" t="str">
        <f t="shared" si="2"/>
        <v>Rp3,000-50 PCS-0.00%</v>
      </c>
      <c r="Q5140" s="92">
        <v>45436.0</v>
      </c>
      <c r="R5140" s="76"/>
      <c r="S5140" s="92">
        <v>45439.0</v>
      </c>
      <c r="T5140" s="49"/>
      <c r="V5140" s="21" t="s">
        <v>3454</v>
      </c>
    </row>
    <row r="5141">
      <c r="A5141" s="117">
        <v>287.0</v>
      </c>
      <c r="B5141" s="51" t="s">
        <v>29</v>
      </c>
      <c r="C5141" s="51" t="s">
        <v>1452</v>
      </c>
      <c r="D5141" s="118"/>
      <c r="E5141" s="41" t="str">
        <f>IFERROR(__xludf.DUMMYFUNCTION("IFNA(vlookup(D5141,IMPORTRANGE(""https://docs.google.com/spreadsheets/d/1swGwZOEqYlTEUCJLY-eeJM1911Kvaei5oySBIxdgtNo/edit?pli=1#gid=257618397"",""stock untanna!B:C""),2,false),V:V)"),"ACARRY FILE TOPLA 8830 MIX")</f>
        <v>ACARRY FILE TOPLA 8830 MIX</v>
      </c>
      <c r="F5141" s="49"/>
      <c r="G5141" s="71"/>
      <c r="H5141" s="41"/>
      <c r="I5141" s="42"/>
      <c r="J5141" s="85" t="s">
        <v>3190</v>
      </c>
      <c r="K5141" s="93">
        <v>30.0</v>
      </c>
      <c r="L5141" s="112" t="s">
        <v>69</v>
      </c>
      <c r="M5141" s="101">
        <v>13500.0</v>
      </c>
      <c r="N5141" s="74"/>
      <c r="O5141" s="87">
        <f t="shared" si="11"/>
        <v>405000</v>
      </c>
      <c r="P5141" s="102" t="str">
        <f t="shared" si="2"/>
        <v>Rp13,500-30 PCS-0.00%</v>
      </c>
      <c r="Q5141" s="92">
        <v>45436.0</v>
      </c>
      <c r="R5141" s="76"/>
      <c r="S5141" s="92">
        <v>45439.0</v>
      </c>
      <c r="T5141" s="49"/>
      <c r="V5141" s="21" t="s">
        <v>4166</v>
      </c>
    </row>
    <row r="5142">
      <c r="A5142" s="117">
        <v>287.0</v>
      </c>
      <c r="B5142" s="51" t="s">
        <v>29</v>
      </c>
      <c r="C5142" s="51" t="s">
        <v>1452</v>
      </c>
      <c r="D5142" s="118"/>
      <c r="E5142" s="41" t="str">
        <f>IFERROR(__xludf.DUMMYFUNCTION("IFNA(vlookup(D5142,IMPORTRANGE(""https://docs.google.com/spreadsheets/d/1swGwZOEqYlTEUCJLY-eeJM1911Kvaei5oySBIxdgtNo/edit?pli=1#gid=257618397"",""stock untanna!B:C""),2,false),V:V)"),"PC M XU 0080")</f>
        <v>PC M XU 0080</v>
      </c>
      <c r="F5142" s="49"/>
      <c r="G5142" s="71"/>
      <c r="H5142" s="41"/>
      <c r="I5142" s="42"/>
      <c r="J5142" s="85" t="s">
        <v>1319</v>
      </c>
      <c r="K5142" s="93">
        <v>2.0</v>
      </c>
      <c r="L5142" s="112" t="s">
        <v>62</v>
      </c>
      <c r="M5142" s="101">
        <v>225000.0</v>
      </c>
      <c r="N5142" s="74"/>
      <c r="O5142" s="87">
        <f t="shared" si="11"/>
        <v>450000</v>
      </c>
      <c r="P5142" s="102" t="str">
        <f t="shared" si="2"/>
        <v>Rp225,000-2 LSN-0.00%</v>
      </c>
      <c r="Q5142" s="92">
        <v>45436.0</v>
      </c>
      <c r="R5142" s="76"/>
      <c r="S5142" s="92">
        <v>45439.0</v>
      </c>
      <c r="T5142" s="77" t="s">
        <v>280</v>
      </c>
      <c r="V5142" s="21" t="s">
        <v>4142</v>
      </c>
    </row>
    <row r="5143">
      <c r="A5143" s="117">
        <v>287.0</v>
      </c>
      <c r="B5143" s="51" t="s">
        <v>29</v>
      </c>
      <c r="C5143" s="51" t="s">
        <v>1452</v>
      </c>
      <c r="D5143" s="51" t="s">
        <v>95</v>
      </c>
      <c r="E5143" s="41" t="str">
        <f>IFERROR(__xludf.DUMMYFUNCTION("IFNA(vlookup(D5143,IMPORTRANGE(""https://docs.google.com/spreadsheets/d/1swGwZOEqYlTEUCJLY-eeJM1911Kvaei5oySBIxdgtNo/edit?pli=1#gid=257618397"",""stock untanna!B:C""),2,false),V:V)"),"PENCIL CASE MAGNET 8631 + CALL")</f>
        <v>PENCIL CASE MAGNET 8631 + CALL</v>
      </c>
      <c r="F5143" s="49"/>
      <c r="G5143" s="71"/>
      <c r="H5143" s="41"/>
      <c r="I5143" s="42"/>
      <c r="J5143" s="85" t="s">
        <v>1319</v>
      </c>
      <c r="K5143" s="93">
        <v>36.0</v>
      </c>
      <c r="L5143" s="112" t="s">
        <v>69</v>
      </c>
      <c r="M5143" s="101">
        <v>13750.0</v>
      </c>
      <c r="N5143" s="74"/>
      <c r="O5143" s="87">
        <f t="shared" si="11"/>
        <v>495000</v>
      </c>
      <c r="P5143" s="102" t="str">
        <f t="shared" si="2"/>
        <v>Rp13,750-36 PCS-0.00%</v>
      </c>
      <c r="Q5143" s="92">
        <v>45436.0</v>
      </c>
      <c r="R5143" s="76"/>
      <c r="S5143" s="92">
        <v>45439.0</v>
      </c>
      <c r="T5143" s="49"/>
      <c r="V5143" s="21" t="s">
        <v>96</v>
      </c>
    </row>
    <row r="5144">
      <c r="A5144" s="117">
        <v>287.0</v>
      </c>
      <c r="B5144" s="51" t="s">
        <v>29</v>
      </c>
      <c r="C5144" s="51" t="s">
        <v>1452</v>
      </c>
      <c r="D5144" s="51" t="s">
        <v>566</v>
      </c>
      <c r="E5144" s="41" t="str">
        <f>IFERROR(__xludf.DUMMYFUNCTION("IFNA(vlookup(D5144,IMPORTRANGE(""https://docs.google.com/spreadsheets/d/1swGwZOEqYlTEUCJLY-eeJM1911Kvaei5oySBIxdgtNo/edit?pli=1#gid=257618397"",""stock untanna!B:C""),2,false),V:V)"),"PENCIL CASE XLG BD194-B")</f>
        <v>PENCIL CASE XLG BD194-B</v>
      </c>
      <c r="F5144" s="49"/>
      <c r="G5144" s="71"/>
      <c r="H5144" s="41"/>
      <c r="I5144" s="42"/>
      <c r="J5144" s="85" t="s">
        <v>1319</v>
      </c>
      <c r="K5144" s="93">
        <v>24.0</v>
      </c>
      <c r="L5144" s="112" t="s">
        <v>69</v>
      </c>
      <c r="M5144" s="101">
        <v>18750.0</v>
      </c>
      <c r="N5144" s="74"/>
      <c r="O5144" s="87">
        <f t="shared" si="11"/>
        <v>450000</v>
      </c>
      <c r="P5144" s="102" t="str">
        <f t="shared" si="2"/>
        <v>Rp18,750-24 PCS-0.00%</v>
      </c>
      <c r="Q5144" s="92">
        <v>45436.0</v>
      </c>
      <c r="R5144" s="76"/>
      <c r="S5144" s="92">
        <v>45439.0</v>
      </c>
      <c r="T5144" s="49"/>
      <c r="V5144" s="21" t="s">
        <v>567</v>
      </c>
    </row>
    <row r="5145">
      <c r="A5145" s="117">
        <v>287.0</v>
      </c>
      <c r="B5145" s="51" t="s">
        <v>29</v>
      </c>
      <c r="C5145" s="51" t="s">
        <v>1452</v>
      </c>
      <c r="D5145" s="51" t="s">
        <v>1417</v>
      </c>
      <c r="E5145" s="41" t="str">
        <f>IFERROR(__xludf.DUMMYFUNCTION("IFNA(vlookup(D5145,IMPORTRANGE(""https://docs.google.com/spreadsheets/d/1swGwZOEqYlTEUCJLY-eeJM1911Kvaei5oySBIxdgtNo/edit?pli=1#gid=257618397"",""stock untanna!B:C""),2,false),V:V)"),"PENCIL CASE B-126")</f>
        <v>PENCIL CASE B-126</v>
      </c>
      <c r="F5145" s="49"/>
      <c r="G5145" s="71"/>
      <c r="H5145" s="41"/>
      <c r="I5145" s="42"/>
      <c r="J5145" s="85" t="s">
        <v>1319</v>
      </c>
      <c r="K5145" s="93">
        <v>3.0</v>
      </c>
      <c r="L5145" s="112" t="s">
        <v>62</v>
      </c>
      <c r="M5145" s="101">
        <v>110000.0</v>
      </c>
      <c r="N5145" s="74"/>
      <c r="O5145" s="87">
        <f t="shared" si="11"/>
        <v>330000</v>
      </c>
      <c r="P5145" s="102" t="str">
        <f t="shared" si="2"/>
        <v>Rp110,000-3 LSN-0.00%</v>
      </c>
      <c r="Q5145" s="92">
        <v>45436.0</v>
      </c>
      <c r="R5145" s="76"/>
      <c r="S5145" s="92">
        <v>45439.0</v>
      </c>
      <c r="T5145" s="49"/>
      <c r="V5145" s="21" t="s">
        <v>1418</v>
      </c>
    </row>
    <row r="5146">
      <c r="A5146" s="117">
        <v>287.0</v>
      </c>
      <c r="B5146" s="51" t="s">
        <v>29</v>
      </c>
      <c r="C5146" s="51" t="s">
        <v>1452</v>
      </c>
      <c r="D5146" s="51" t="s">
        <v>1102</v>
      </c>
      <c r="E5146" s="41" t="str">
        <f>IFERROR(__xludf.DUMMYFUNCTION("IFNA(vlookup(D5146,IMPORTRANGE(""https://docs.google.com/spreadsheets/d/1swGwZOEqYlTEUCJLY-eeJM1911Kvaei5oySBIxdgtNo/edit?pli=1#gid=257618397"",""stock untanna!B:C""),2,false),V:V)"),"PENCIL CASE XLG BD860")</f>
        <v>PENCIL CASE XLG BD860</v>
      </c>
      <c r="F5146" s="49"/>
      <c r="G5146" s="71"/>
      <c r="H5146" s="41"/>
      <c r="I5146" s="42"/>
      <c r="J5146" s="85" t="s">
        <v>1319</v>
      </c>
      <c r="K5146" s="93">
        <v>12.0</v>
      </c>
      <c r="L5146" s="112" t="s">
        <v>69</v>
      </c>
      <c r="M5146" s="101">
        <v>25000.0</v>
      </c>
      <c r="N5146" s="74"/>
      <c r="O5146" s="87">
        <f t="shared" si="11"/>
        <v>300000</v>
      </c>
      <c r="P5146" s="102" t="str">
        <f t="shared" si="2"/>
        <v>Rp25,000-12 PCS-0.00%</v>
      </c>
      <c r="Q5146" s="92">
        <v>45436.0</v>
      </c>
      <c r="R5146" s="76"/>
      <c r="S5146" s="92">
        <v>45439.0</v>
      </c>
      <c r="T5146" s="49"/>
      <c r="V5146" s="21" t="s">
        <v>1103</v>
      </c>
    </row>
    <row r="5147">
      <c r="A5147" s="117">
        <v>287.0</v>
      </c>
      <c r="B5147" s="51" t="s">
        <v>29</v>
      </c>
      <c r="C5147" s="51" t="s">
        <v>1452</v>
      </c>
      <c r="D5147" s="51" t="s">
        <v>1141</v>
      </c>
      <c r="E5147" s="41" t="str">
        <f>IFERROR(__xludf.DUMMYFUNCTION("IFNA(vlookup(D5147,IMPORTRANGE(""https://docs.google.com/spreadsheets/d/1swGwZOEqYlTEUCJLY-eeJM1911Kvaei5oySBIxdgtNo/edit?pli=1#gid=257618397"",""stock untanna!B:C""),2,false),V:V)"),"PENSIL CASE SH-04")</f>
        <v>PENSIL CASE SH-04</v>
      </c>
      <c r="F5147" s="49"/>
      <c r="G5147" s="71"/>
      <c r="H5147" s="41"/>
      <c r="I5147" s="42"/>
      <c r="J5147" s="85" t="s">
        <v>1319</v>
      </c>
      <c r="K5147" s="93">
        <v>12.0</v>
      </c>
      <c r="L5147" s="112" t="s">
        <v>69</v>
      </c>
      <c r="M5147" s="101">
        <v>12500.0</v>
      </c>
      <c r="N5147" s="115">
        <v>0.1</v>
      </c>
      <c r="O5147" s="87">
        <f t="shared" si="11"/>
        <v>135000</v>
      </c>
      <c r="P5147" s="102" t="str">
        <f t="shared" si="2"/>
        <v>Rp12,500-12 PCS-10.00%</v>
      </c>
      <c r="Q5147" s="92">
        <v>45436.0</v>
      </c>
      <c r="R5147" s="76"/>
      <c r="S5147" s="92">
        <v>45439.0</v>
      </c>
      <c r="T5147" s="49"/>
      <c r="V5147" s="21" t="s">
        <v>1143</v>
      </c>
    </row>
    <row r="5148">
      <c r="A5148" s="117">
        <v>287.0</v>
      </c>
      <c r="B5148" s="51" t="s">
        <v>29</v>
      </c>
      <c r="C5148" s="51" t="s">
        <v>1452</v>
      </c>
      <c r="D5148" s="51" t="s">
        <v>1115</v>
      </c>
      <c r="E5148" s="41" t="str">
        <f>IFERROR(__xludf.DUMMYFUNCTION("IFNA(vlookup(D5148,IMPORTRANGE(""https://docs.google.com/spreadsheets/d/1swGwZOEqYlTEUCJLY-eeJM1911Kvaei5oySBIxdgtNo/edit?pli=1#gid=257618397"",""stock untanna!B:C""),2,false),V:V)"),"PENSIL CASE SH-02 (HARUS DIPISAH, ADA 6 MACAM)")</f>
        <v>PENSIL CASE SH-02 (HARUS DIPISAH, ADA 6 MACAM)</v>
      </c>
      <c r="F5148" s="49"/>
      <c r="G5148" s="71"/>
      <c r="H5148" s="41"/>
      <c r="I5148" s="42"/>
      <c r="J5148" s="85" t="s">
        <v>1319</v>
      </c>
      <c r="K5148" s="93">
        <v>12.0</v>
      </c>
      <c r="L5148" s="112" t="s">
        <v>69</v>
      </c>
      <c r="M5148" s="101">
        <v>12500.0</v>
      </c>
      <c r="N5148" s="115">
        <v>0.1</v>
      </c>
      <c r="O5148" s="87">
        <f t="shared" si="11"/>
        <v>135000</v>
      </c>
      <c r="P5148" s="102" t="str">
        <f t="shared" si="2"/>
        <v>Rp12,500-12 PCS-10.00%</v>
      </c>
      <c r="Q5148" s="92">
        <v>45436.0</v>
      </c>
      <c r="R5148" s="76"/>
      <c r="S5148" s="92">
        <v>45439.0</v>
      </c>
      <c r="T5148" s="49"/>
      <c r="V5148" s="21" t="s">
        <v>1116</v>
      </c>
    </row>
    <row r="5149">
      <c r="A5149" s="117">
        <v>287.0</v>
      </c>
      <c r="B5149" s="51" t="s">
        <v>29</v>
      </c>
      <c r="C5149" s="51" t="s">
        <v>1452</v>
      </c>
      <c r="D5149" s="118"/>
      <c r="E5149" s="41" t="str">
        <f>IFERROR(__xludf.DUMMYFUNCTION("IFNA(vlookup(D5149,IMPORTRANGE(""https://docs.google.com/spreadsheets/d/1swGwZOEqYlTEUCJLY-eeJM1911Kvaei5oySBIxdgtNo/edit?pli=1#gid=257618397"",""stock untanna!B:C""),2,false),V:V)"),"P CASE REST SH 08")</f>
        <v>P CASE REST SH 08</v>
      </c>
      <c r="F5149" s="49"/>
      <c r="G5149" s="71"/>
      <c r="H5149" s="41"/>
      <c r="I5149" s="42"/>
      <c r="J5149" s="85" t="s">
        <v>3190</v>
      </c>
      <c r="K5149" s="93">
        <v>1.0</v>
      </c>
      <c r="L5149" s="112" t="s">
        <v>62</v>
      </c>
      <c r="M5149" s="101">
        <v>150000.0</v>
      </c>
      <c r="N5149" s="115">
        <v>0.1</v>
      </c>
      <c r="O5149" s="87">
        <f t="shared" si="11"/>
        <v>135000</v>
      </c>
      <c r="P5149" s="102" t="str">
        <f t="shared" si="2"/>
        <v>Rp150,000-1 LSN-10.00%</v>
      </c>
      <c r="Q5149" s="92">
        <v>45436.0</v>
      </c>
      <c r="R5149" s="76"/>
      <c r="S5149" s="92">
        <v>45439.0</v>
      </c>
      <c r="T5149" s="49"/>
      <c r="V5149" s="21" t="s">
        <v>3846</v>
      </c>
    </row>
    <row r="5150">
      <c r="A5150" s="117">
        <v>287.0</v>
      </c>
      <c r="B5150" s="51" t="s">
        <v>29</v>
      </c>
      <c r="C5150" s="51" t="s">
        <v>1452</v>
      </c>
      <c r="D5150" s="118"/>
      <c r="E5150" s="41" t="str">
        <f>IFERROR(__xludf.DUMMYFUNCTION("IFNA(vlookup(D5150,IMPORTRANGE(""https://docs.google.com/spreadsheets/d/1swGwZOEqYlTEUCJLY-eeJM1911Kvaei5oySBIxdgtNo/edit?pli=1#gid=257618397"",""stock untanna!B:C""),2,false),V:V)"),"P CASE REST SH 10")</f>
        <v>P CASE REST SH 10</v>
      </c>
      <c r="F5150" s="49"/>
      <c r="G5150" s="71"/>
      <c r="H5150" s="41"/>
      <c r="I5150" s="42"/>
      <c r="J5150" s="85" t="s">
        <v>3190</v>
      </c>
      <c r="K5150" s="93">
        <v>1.0</v>
      </c>
      <c r="L5150" s="112" t="s">
        <v>62</v>
      </c>
      <c r="M5150" s="101">
        <v>150000.0</v>
      </c>
      <c r="N5150" s="115">
        <v>0.1</v>
      </c>
      <c r="O5150" s="87">
        <f t="shared" si="11"/>
        <v>135000</v>
      </c>
      <c r="P5150" s="102" t="str">
        <f t="shared" si="2"/>
        <v>Rp150,000-1 LSN-10.00%</v>
      </c>
      <c r="Q5150" s="92">
        <v>45436.0</v>
      </c>
      <c r="R5150" s="76"/>
      <c r="S5150" s="92">
        <v>45439.0</v>
      </c>
      <c r="T5150" s="49"/>
      <c r="V5150" s="21" t="s">
        <v>1138</v>
      </c>
    </row>
    <row r="5151">
      <c r="A5151" s="117">
        <v>274.0</v>
      </c>
      <c r="B5151" s="51" t="s">
        <v>29</v>
      </c>
      <c r="C5151" s="51" t="s">
        <v>2434</v>
      </c>
      <c r="D5151" s="118"/>
      <c r="E5151" s="41" t="str">
        <f>IFERROR(__xludf.DUMMYFUNCTION("IFNA(vlookup(D5151,IMPORTRANGE(""https://docs.google.com/spreadsheets/d/1swGwZOEqYlTEUCJLY-eeJM1911Kvaei5oySBIxdgtNo/edit?pli=1#gid=257618397"",""stock untanna!B:C""),2,false),V:V)"),"PITA KADO METALIK 15/ 8 MERAH TUA")</f>
        <v>PITA KADO METALIK 15/ 8 MERAH TUA</v>
      </c>
      <c r="F5151" s="49"/>
      <c r="G5151" s="71"/>
      <c r="H5151" s="41"/>
      <c r="I5151" s="42"/>
      <c r="J5151" s="85" t="s">
        <v>3190</v>
      </c>
      <c r="K5151" s="93">
        <v>20.0</v>
      </c>
      <c r="L5151" s="112" t="s">
        <v>69</v>
      </c>
      <c r="M5151" s="101">
        <v>3250.0</v>
      </c>
      <c r="N5151" s="74"/>
      <c r="O5151" s="87">
        <f t="shared" si="11"/>
        <v>65000</v>
      </c>
      <c r="P5151" s="102" t="str">
        <f t="shared" si="2"/>
        <v>Rp3,250-20 PCS-0.00%</v>
      </c>
      <c r="Q5151" s="92">
        <v>45436.0</v>
      </c>
      <c r="R5151" s="76"/>
      <c r="S5151" s="92">
        <v>45439.0</v>
      </c>
      <c r="T5151" s="49"/>
      <c r="V5151" s="21" t="s">
        <v>4167</v>
      </c>
    </row>
    <row r="5152">
      <c r="A5152" s="117">
        <v>274.0</v>
      </c>
      <c r="B5152" s="51" t="s">
        <v>29</v>
      </c>
      <c r="C5152" s="51" t="s">
        <v>2434</v>
      </c>
      <c r="D5152" s="118"/>
      <c r="E5152" s="41" t="str">
        <f>IFERROR(__xludf.DUMMYFUNCTION("IFNA(vlookup(D5152,IMPORTRANGE(""https://docs.google.com/spreadsheets/d/1swGwZOEqYlTEUCJLY-eeJM1911Kvaei5oySBIxdgtNo/edit?pli=1#gid=257618397"",""stock untanna!B:C""),2,false),V:V)"),"PITA KADO METALIK 15/ 8 PUTIH")</f>
        <v>PITA KADO METALIK 15/ 8 PUTIH</v>
      </c>
      <c r="F5152" s="49"/>
      <c r="G5152" s="71"/>
      <c r="H5152" s="41"/>
      <c r="I5152" s="42"/>
      <c r="J5152" s="85" t="s">
        <v>3190</v>
      </c>
      <c r="K5152" s="93">
        <v>8.0</v>
      </c>
      <c r="L5152" s="112" t="s">
        <v>69</v>
      </c>
      <c r="M5152" s="101">
        <v>3250.0</v>
      </c>
      <c r="N5152" s="74"/>
      <c r="O5152" s="87">
        <f t="shared" si="11"/>
        <v>26000</v>
      </c>
      <c r="P5152" s="102" t="str">
        <f t="shared" si="2"/>
        <v>Rp3,250-8 PCS-0.00%</v>
      </c>
      <c r="Q5152" s="92">
        <v>45436.0</v>
      </c>
      <c r="R5152" s="76"/>
      <c r="S5152" s="92">
        <v>45439.0</v>
      </c>
      <c r="T5152" s="49"/>
      <c r="V5152" s="21" t="s">
        <v>4168</v>
      </c>
    </row>
    <row r="5153">
      <c r="A5153" s="117">
        <v>274.0</v>
      </c>
      <c r="B5153" s="51" t="s">
        <v>29</v>
      </c>
      <c r="C5153" s="51" t="s">
        <v>2434</v>
      </c>
      <c r="D5153" s="118"/>
      <c r="E5153" s="41" t="str">
        <f>IFERROR(__xludf.DUMMYFUNCTION("IFNA(vlookup(D5153,IMPORTRANGE(""https://docs.google.com/spreadsheets/d/1swGwZOEqYlTEUCJLY-eeJM1911Kvaei5oySBIxdgtNo/edit?pli=1#gid=257618397"",""stock untanna!B:C""),2,false),V:V)"),"PITA KADO METALIK 15/ 8 UNGU")</f>
        <v>PITA KADO METALIK 15/ 8 UNGU</v>
      </c>
      <c r="F5153" s="49"/>
      <c r="G5153" s="71"/>
      <c r="H5153" s="41"/>
      <c r="I5153" s="42"/>
      <c r="J5153" s="85" t="s">
        <v>3190</v>
      </c>
      <c r="K5153" s="93">
        <v>7.0</v>
      </c>
      <c r="L5153" s="112" t="s">
        <v>69</v>
      </c>
      <c r="M5153" s="101">
        <v>3250.0</v>
      </c>
      <c r="N5153" s="74"/>
      <c r="O5153" s="87">
        <f t="shared" si="11"/>
        <v>22750</v>
      </c>
      <c r="P5153" s="102" t="str">
        <f t="shared" si="2"/>
        <v>Rp3,250-7 PCS-0.00%</v>
      </c>
      <c r="Q5153" s="92">
        <v>45436.0</v>
      </c>
      <c r="R5153" s="76"/>
      <c r="S5153" s="92">
        <v>45439.0</v>
      </c>
      <c r="T5153" s="49"/>
      <c r="V5153" s="21" t="s">
        <v>4169</v>
      </c>
    </row>
    <row r="5154">
      <c r="A5154" s="117">
        <v>274.0</v>
      </c>
      <c r="B5154" s="51" t="s">
        <v>29</v>
      </c>
      <c r="C5154" s="51" t="s">
        <v>2434</v>
      </c>
      <c r="D5154" s="118"/>
      <c r="E5154" s="41" t="str">
        <f>IFERROR(__xludf.DUMMYFUNCTION("IFNA(vlookup(D5154,IMPORTRANGE(""https://docs.google.com/spreadsheets/d/1swGwZOEqYlTEUCJLY-eeJM1911Kvaei5oySBIxdgtNo/edit?pli=1#gid=257618397"",""stock untanna!B:C""),2,false),V:V)"),"PITA KADO METALIK 15/ 8 BIRU")</f>
        <v>PITA KADO METALIK 15/ 8 BIRU</v>
      </c>
      <c r="F5154" s="49"/>
      <c r="G5154" s="71"/>
      <c r="H5154" s="41"/>
      <c r="I5154" s="42"/>
      <c r="J5154" s="85" t="s">
        <v>3190</v>
      </c>
      <c r="K5154" s="93">
        <v>8.0</v>
      </c>
      <c r="L5154" s="112" t="s">
        <v>69</v>
      </c>
      <c r="M5154" s="101">
        <v>3250.0</v>
      </c>
      <c r="N5154" s="74"/>
      <c r="O5154" s="87">
        <f t="shared" si="11"/>
        <v>26000</v>
      </c>
      <c r="P5154" s="102" t="str">
        <f t="shared" si="2"/>
        <v>Rp3,250-8 PCS-0.00%</v>
      </c>
      <c r="Q5154" s="92">
        <v>45436.0</v>
      </c>
      <c r="R5154" s="76"/>
      <c r="S5154" s="92">
        <v>45439.0</v>
      </c>
      <c r="T5154" s="49"/>
      <c r="V5154" s="21" t="s">
        <v>4170</v>
      </c>
    </row>
    <row r="5155">
      <c r="A5155" s="117">
        <v>274.0</v>
      </c>
      <c r="B5155" s="51" t="s">
        <v>29</v>
      </c>
      <c r="C5155" s="51" t="s">
        <v>2434</v>
      </c>
      <c r="D5155" s="118"/>
      <c r="E5155" s="41" t="str">
        <f>IFERROR(__xludf.DUMMYFUNCTION("IFNA(vlookup(D5155,IMPORTRANGE(""https://docs.google.com/spreadsheets/d/1swGwZOEqYlTEUCJLY-eeJM1911Kvaei5oySBIxdgtNo/edit?pli=1#gid=257618397"",""stock untanna!B:C""),2,false),V:V)"),"PITA KADO METALIK 15/ 8 EMAS")</f>
        <v>PITA KADO METALIK 15/ 8 EMAS</v>
      </c>
      <c r="F5155" s="49"/>
      <c r="G5155" s="71"/>
      <c r="H5155" s="41"/>
      <c r="I5155" s="42"/>
      <c r="J5155" s="85" t="s">
        <v>3190</v>
      </c>
      <c r="K5155" s="93">
        <v>7.0</v>
      </c>
      <c r="L5155" s="112" t="s">
        <v>69</v>
      </c>
      <c r="M5155" s="101">
        <v>3250.0</v>
      </c>
      <c r="N5155" s="74"/>
      <c r="O5155" s="87">
        <f t="shared" si="11"/>
        <v>22750</v>
      </c>
      <c r="P5155" s="102" t="str">
        <f t="shared" si="2"/>
        <v>Rp3,250-7 PCS-0.00%</v>
      </c>
      <c r="Q5155" s="92">
        <v>45436.0</v>
      </c>
      <c r="R5155" s="76"/>
      <c r="S5155" s="92">
        <v>45439.0</v>
      </c>
      <c r="T5155" s="49"/>
      <c r="V5155" s="21" t="s">
        <v>4171</v>
      </c>
    </row>
    <row r="5156">
      <c r="A5156" s="117">
        <v>274.0</v>
      </c>
      <c r="B5156" s="51" t="s">
        <v>29</v>
      </c>
      <c r="C5156" s="51" t="s">
        <v>2434</v>
      </c>
      <c r="D5156" s="118"/>
      <c r="E5156" s="41" t="str">
        <f>IFERROR(__xludf.DUMMYFUNCTION("IFNA(vlookup(D5156,IMPORTRANGE(""https://docs.google.com/spreadsheets/d/1swGwZOEqYlTEUCJLY-eeJM1911Kvaei5oySBIxdgtNo/edit?pli=1#gid=257618397"",""stock untanna!B:C""),2,false),V:V)"),"COLOURING PAPER THTS-06 MIX")</f>
        <v>COLOURING PAPER THTS-06 MIX</v>
      </c>
      <c r="F5156" s="49"/>
      <c r="G5156" s="71"/>
      <c r="H5156" s="41"/>
      <c r="I5156" s="42"/>
      <c r="J5156" s="85" t="s">
        <v>3190</v>
      </c>
      <c r="K5156" s="93">
        <v>60.0</v>
      </c>
      <c r="L5156" s="112" t="s">
        <v>69</v>
      </c>
      <c r="M5156" s="101">
        <v>7500.0</v>
      </c>
      <c r="N5156" s="74"/>
      <c r="O5156" s="87">
        <f t="shared" si="11"/>
        <v>450000</v>
      </c>
      <c r="P5156" s="102" t="str">
        <f t="shared" si="2"/>
        <v>Rp7,500-60 PCS-0.00%</v>
      </c>
      <c r="Q5156" s="92">
        <v>45436.0</v>
      </c>
      <c r="R5156" s="76"/>
      <c r="S5156" s="92">
        <v>45439.0</v>
      </c>
      <c r="T5156" s="49"/>
      <c r="V5156" s="21" t="s">
        <v>4172</v>
      </c>
    </row>
    <row r="5157">
      <c r="A5157" s="117">
        <v>274.0</v>
      </c>
      <c r="B5157" s="51" t="s">
        <v>29</v>
      </c>
      <c r="C5157" s="51" t="s">
        <v>2434</v>
      </c>
      <c r="D5157" s="118"/>
      <c r="E5157" s="41" t="str">
        <f>IFERROR(__xludf.DUMMYFUNCTION("IFNA(vlookup(D5157,IMPORTRANGE(""https://docs.google.com/spreadsheets/d/1swGwZOEqYlTEUCJLY-eeJM1911Kvaei5oySBIxdgtNo/edit?pli=1#gid=257618397"",""stock untanna!B:C""),2,false),V:V)"),"COLOURING PAPER CP-01 MIX")</f>
        <v>COLOURING PAPER CP-01 MIX</v>
      </c>
      <c r="F5157" s="49"/>
      <c r="G5157" s="71"/>
      <c r="H5157" s="41"/>
      <c r="I5157" s="42"/>
      <c r="J5157" s="85" t="s">
        <v>3190</v>
      </c>
      <c r="K5157" s="93">
        <v>60.0</v>
      </c>
      <c r="L5157" s="112" t="s">
        <v>69</v>
      </c>
      <c r="M5157" s="101">
        <v>5500.0</v>
      </c>
      <c r="N5157" s="74"/>
      <c r="O5157" s="87">
        <f t="shared" si="11"/>
        <v>330000</v>
      </c>
      <c r="P5157" s="102" t="str">
        <f t="shared" si="2"/>
        <v>Rp5,500-60 PCS-0.00%</v>
      </c>
      <c r="Q5157" s="92">
        <v>45436.0</v>
      </c>
      <c r="R5157" s="76"/>
      <c r="S5157" s="92">
        <v>45439.0</v>
      </c>
      <c r="T5157" s="49"/>
      <c r="V5157" s="21" t="s">
        <v>4173</v>
      </c>
    </row>
    <row r="5158">
      <c r="A5158" s="117">
        <v>274.0</v>
      </c>
      <c r="B5158" s="51" t="s">
        <v>29</v>
      </c>
      <c r="C5158" s="51" t="s">
        <v>2434</v>
      </c>
      <c r="D5158" s="51" t="s">
        <v>4174</v>
      </c>
      <c r="E5158" s="41" t="str">
        <f>IFERROR(__xludf.DUMMYFUNCTION("IFNA(vlookup(D5158,IMPORTRANGE(""https://docs.google.com/spreadsheets/d/1swGwZOEqYlTEUCJLY-eeJM1911Kvaei5oySBIxdgtNo/edit?pli=1#gid=257618397"",""stock untanna!B:C""),2,false),V:V)"),"BINDER NOTE HYB - 15802 B5")</f>
        <v>BINDER NOTE HYB - 15802 B5</v>
      </c>
      <c r="F5158" s="49"/>
      <c r="G5158" s="71"/>
      <c r="H5158" s="41"/>
      <c r="I5158" s="42"/>
      <c r="J5158" s="85" t="s">
        <v>1319</v>
      </c>
      <c r="K5158" s="93">
        <v>12.0</v>
      </c>
      <c r="L5158" s="112" t="s">
        <v>69</v>
      </c>
      <c r="M5158" s="101">
        <v>32500.0</v>
      </c>
      <c r="N5158" s="74"/>
      <c r="O5158" s="87">
        <f t="shared" si="11"/>
        <v>390000</v>
      </c>
      <c r="P5158" s="102" t="str">
        <f t="shared" si="2"/>
        <v>Rp32,500-12 PCS-0.00%</v>
      </c>
      <c r="Q5158" s="92">
        <v>45436.0</v>
      </c>
      <c r="R5158" s="76"/>
      <c r="S5158" s="92">
        <v>45439.0</v>
      </c>
      <c r="T5158" s="49"/>
      <c r="V5158" s="21" t="s">
        <v>4175</v>
      </c>
    </row>
    <row r="5159">
      <c r="A5159" s="117">
        <v>274.0</v>
      </c>
      <c r="B5159" s="51" t="s">
        <v>29</v>
      </c>
      <c r="C5159" s="51" t="s">
        <v>2434</v>
      </c>
      <c r="D5159" s="51" t="s">
        <v>4176</v>
      </c>
      <c r="E5159" s="41" t="str">
        <f>IFERROR(__xludf.DUMMYFUNCTION("IFNA(vlookup(D5159,IMPORTRANGE(""https://docs.google.com/spreadsheets/d/1swGwZOEqYlTEUCJLY-eeJM1911Kvaei5oySBIxdgtNo/edit?pli=1#gid=257618397"",""stock untanna!B:C""),2,false),V:V)"),"BINDER NOTE HYB - 86804 A5")</f>
        <v>BINDER NOTE HYB - 86804 A5</v>
      </c>
      <c r="F5159" s="49"/>
      <c r="G5159" s="71"/>
      <c r="H5159" s="41"/>
      <c r="I5159" s="42"/>
      <c r="J5159" s="85" t="s">
        <v>1319</v>
      </c>
      <c r="K5159" s="93">
        <v>12.0</v>
      </c>
      <c r="L5159" s="112" t="s">
        <v>69</v>
      </c>
      <c r="M5159" s="101">
        <v>25000.0</v>
      </c>
      <c r="N5159" s="74"/>
      <c r="O5159" s="87">
        <f t="shared" si="11"/>
        <v>300000</v>
      </c>
      <c r="P5159" s="102" t="str">
        <f t="shared" si="2"/>
        <v>Rp25,000-12 PCS-0.00%</v>
      </c>
      <c r="Q5159" s="92">
        <v>45436.0</v>
      </c>
      <c r="R5159" s="76"/>
      <c r="S5159" s="92">
        <v>45439.0</v>
      </c>
      <c r="T5159" s="49"/>
      <c r="V5159" s="21" t="s">
        <v>4177</v>
      </c>
    </row>
    <row r="5160">
      <c r="A5160" s="117">
        <v>274.0</v>
      </c>
      <c r="B5160" s="51" t="s">
        <v>29</v>
      </c>
      <c r="C5160" s="51" t="s">
        <v>2434</v>
      </c>
      <c r="D5160" s="51" t="s">
        <v>4164</v>
      </c>
      <c r="E5160" s="41" t="str">
        <f>IFERROR(__xludf.DUMMYFUNCTION("IFNA(vlookup(D5160,IMPORTRANGE(""https://docs.google.com/spreadsheets/d/1swGwZOEqYlTEUCJLY-eeJM1911Kvaei5oySBIxdgtNo/edit?pli=1#gid=257618397"",""stock untanna!B:C""),2,false),V:V)"),"BINDER NOTE HYB - 86803 A5")</f>
        <v>BINDER NOTE HYB - 86803 A5</v>
      </c>
      <c r="F5160" s="49"/>
      <c r="G5160" s="71"/>
      <c r="H5160" s="41"/>
      <c r="I5160" s="42"/>
      <c r="J5160" s="85" t="s">
        <v>1319</v>
      </c>
      <c r="K5160" s="93">
        <v>12.0</v>
      </c>
      <c r="L5160" s="112" t="s">
        <v>69</v>
      </c>
      <c r="M5160" s="101">
        <v>25000.0</v>
      </c>
      <c r="N5160" s="74"/>
      <c r="O5160" s="87">
        <f t="shared" si="11"/>
        <v>300000</v>
      </c>
      <c r="P5160" s="102" t="str">
        <f t="shared" si="2"/>
        <v>Rp25,000-12 PCS-0.00%</v>
      </c>
      <c r="Q5160" s="92">
        <v>45436.0</v>
      </c>
      <c r="R5160" s="76"/>
      <c r="S5160" s="92">
        <v>45439.0</v>
      </c>
      <c r="T5160" s="49"/>
      <c r="V5160" s="21" t="s">
        <v>4165</v>
      </c>
    </row>
    <row r="5161">
      <c r="A5161" s="117">
        <v>274.0</v>
      </c>
      <c r="B5161" s="51" t="s">
        <v>29</v>
      </c>
      <c r="C5161" s="51" t="s">
        <v>2434</v>
      </c>
      <c r="D5161" s="51" t="s">
        <v>1885</v>
      </c>
      <c r="E5161" s="41" t="str">
        <f>IFERROR(__xludf.DUMMYFUNCTION("IFNA(vlookup(D5161,IMPORTRANGE(""https://docs.google.com/spreadsheets/d/1swGwZOEqYlTEUCJLY-eeJM1911Kvaei5oySBIxdgtNo/edit?pli=1#gid=257618397"",""stock untanna!B:C""),2,false),V:V)"),"NOTEBOOK  707-24")</f>
        <v>NOTEBOOK  707-24</v>
      </c>
      <c r="F5161" s="49"/>
      <c r="G5161" s="71"/>
      <c r="H5161" s="41"/>
      <c r="I5161" s="42"/>
      <c r="J5161" s="85" t="s">
        <v>1319</v>
      </c>
      <c r="K5161" s="93">
        <v>12.0</v>
      </c>
      <c r="L5161" s="112" t="s">
        <v>69</v>
      </c>
      <c r="M5161" s="101">
        <v>25000.0</v>
      </c>
      <c r="N5161" s="74"/>
      <c r="O5161" s="87">
        <f t="shared" si="11"/>
        <v>300000</v>
      </c>
      <c r="P5161" s="102" t="str">
        <f t="shared" si="2"/>
        <v>Rp25,000-12 PCS-0.00%</v>
      </c>
      <c r="Q5161" s="92">
        <v>45436.0</v>
      </c>
      <c r="R5161" s="76"/>
      <c r="S5161" s="92">
        <v>45439.0</v>
      </c>
      <c r="T5161" s="77" t="s">
        <v>4178</v>
      </c>
      <c r="V5161" s="21" t="s">
        <v>4179</v>
      </c>
    </row>
    <row r="5162">
      <c r="A5162" s="117">
        <v>274.0</v>
      </c>
      <c r="B5162" s="51" t="s">
        <v>29</v>
      </c>
      <c r="C5162" s="51" t="s">
        <v>2434</v>
      </c>
      <c r="D5162" s="51" t="s">
        <v>757</v>
      </c>
      <c r="E5162" s="41" t="str">
        <f>IFERROR(__xludf.DUMMYFUNCTION("IFNA(vlookup(D5162,IMPORTRANGE(""https://docs.google.com/spreadsheets/d/1swGwZOEqYlTEUCJLY-eeJM1911Kvaei5oySBIxdgtNo/edit?pli=1#gid=257618397"",""stock untanna!B:C""),2,false),V:V)"),"TIPEX MICROTOP MT 737")</f>
        <v>TIPEX MICROTOP MT 737</v>
      </c>
      <c r="F5162" s="49"/>
      <c r="G5162" s="71"/>
      <c r="H5162" s="41"/>
      <c r="I5162" s="42"/>
      <c r="J5162" s="85" t="s">
        <v>1319</v>
      </c>
      <c r="K5162" s="93">
        <v>10.0</v>
      </c>
      <c r="L5162" s="112" t="s">
        <v>62</v>
      </c>
      <c r="M5162" s="101">
        <v>90000.0</v>
      </c>
      <c r="N5162" s="74"/>
      <c r="O5162" s="87">
        <f t="shared" si="11"/>
        <v>900000</v>
      </c>
      <c r="P5162" s="102" t="str">
        <f t="shared" si="2"/>
        <v>Rp90,000-10 LSN-0.00%</v>
      </c>
      <c r="Q5162" s="92">
        <v>45436.0</v>
      </c>
      <c r="R5162" s="76"/>
      <c r="S5162" s="92">
        <v>45439.0</v>
      </c>
      <c r="T5162" s="49"/>
      <c r="V5162" s="21" t="s">
        <v>758</v>
      </c>
    </row>
    <row r="5163">
      <c r="A5163" s="117">
        <v>274.0</v>
      </c>
      <c r="B5163" s="51" t="s">
        <v>29</v>
      </c>
      <c r="C5163" s="51" t="s">
        <v>2434</v>
      </c>
      <c r="D5163" s="51" t="s">
        <v>880</v>
      </c>
      <c r="E5163" s="41" t="str">
        <f>IFERROR(__xludf.DUMMYFUNCTION("IFNA(vlookup(D5163,IMPORTRANGE(""https://docs.google.com/spreadsheets/d/1swGwZOEqYlTEUCJLY-eeJM1911Kvaei5oySBIxdgtNo/edit?pli=1#gid=257618397"",""stock untanna!B:C""),2,false),V:V)"),"TAS TUTUP PITA KADO FG-301 BESAR")</f>
        <v>TAS TUTUP PITA KADO FG-301 BESAR</v>
      </c>
      <c r="F5163" s="49"/>
      <c r="G5163" s="71"/>
      <c r="H5163" s="41"/>
      <c r="I5163" s="42"/>
      <c r="J5163" s="85" t="s">
        <v>1319</v>
      </c>
      <c r="K5163" s="93">
        <v>1.0</v>
      </c>
      <c r="L5163" s="112" t="s">
        <v>62</v>
      </c>
      <c r="M5163" s="101">
        <v>106000.0</v>
      </c>
      <c r="N5163" s="74"/>
      <c r="O5163" s="87">
        <f t="shared" si="11"/>
        <v>106000</v>
      </c>
      <c r="P5163" s="102" t="str">
        <f t="shared" si="2"/>
        <v>Rp106,000-1 LSN-0.00%</v>
      </c>
      <c r="Q5163" s="92">
        <v>45436.0</v>
      </c>
      <c r="R5163" s="76"/>
      <c r="S5163" s="92">
        <v>45439.0</v>
      </c>
      <c r="T5163" s="49"/>
      <c r="V5163" s="21" t="s">
        <v>881</v>
      </c>
    </row>
    <row r="5164">
      <c r="A5164" s="117">
        <v>274.0</v>
      </c>
      <c r="B5164" s="51" t="s">
        <v>29</v>
      </c>
      <c r="C5164" s="51" t="s">
        <v>2434</v>
      </c>
      <c r="D5164" s="51" t="s">
        <v>880</v>
      </c>
      <c r="E5164" s="41" t="str">
        <f>IFERROR(__xludf.DUMMYFUNCTION("IFNA(vlookup(D5164,IMPORTRANGE(""https://docs.google.com/spreadsheets/d/1swGwZOEqYlTEUCJLY-eeJM1911Kvaei5oySBIxdgtNo/edit?pli=1#gid=257618397"",""stock untanna!B:C""),2,false),V:V)"),"TAS TUTUP PITA KADO FG-301 BESAR")</f>
        <v>TAS TUTUP PITA KADO FG-301 BESAR</v>
      </c>
      <c r="F5164" s="49"/>
      <c r="G5164" s="71"/>
      <c r="H5164" s="41"/>
      <c r="I5164" s="42"/>
      <c r="J5164" s="85" t="s">
        <v>1319</v>
      </c>
      <c r="K5164" s="93">
        <v>1.0</v>
      </c>
      <c r="L5164" s="112" t="s">
        <v>62</v>
      </c>
      <c r="M5164" s="101">
        <v>106000.0</v>
      </c>
      <c r="N5164" s="74"/>
      <c r="O5164" s="87">
        <f t="shared" si="11"/>
        <v>106000</v>
      </c>
      <c r="P5164" s="102" t="str">
        <f t="shared" si="2"/>
        <v>Rp106,000-1 LSN-0.00%</v>
      </c>
      <c r="Q5164" s="92">
        <v>45436.0</v>
      </c>
      <c r="R5164" s="76"/>
      <c r="S5164" s="92">
        <v>45439.0</v>
      </c>
      <c r="T5164" s="49"/>
      <c r="V5164" s="21" t="s">
        <v>881</v>
      </c>
    </row>
    <row r="5165">
      <c r="A5165" s="117">
        <v>274.0</v>
      </c>
      <c r="B5165" s="51" t="s">
        <v>29</v>
      </c>
      <c r="C5165" s="51" t="s">
        <v>2434</v>
      </c>
      <c r="D5165" s="51" t="s">
        <v>880</v>
      </c>
      <c r="E5165" s="41" t="str">
        <f>IFERROR(__xludf.DUMMYFUNCTION("IFNA(vlookup(D5165,IMPORTRANGE(""https://docs.google.com/spreadsheets/d/1swGwZOEqYlTEUCJLY-eeJM1911Kvaei5oySBIxdgtNo/edit?pli=1#gid=257618397"",""stock untanna!B:C""),2,false),V:V)"),"TAS TUTUP PITA KADO FG-301 BESAR")</f>
        <v>TAS TUTUP PITA KADO FG-301 BESAR</v>
      </c>
      <c r="F5165" s="49"/>
      <c r="G5165" s="71"/>
      <c r="H5165" s="41"/>
      <c r="I5165" s="42"/>
      <c r="J5165" s="85" t="s">
        <v>1319</v>
      </c>
      <c r="K5165" s="93">
        <v>1.0</v>
      </c>
      <c r="L5165" s="112" t="s">
        <v>62</v>
      </c>
      <c r="M5165" s="101">
        <v>106000.0</v>
      </c>
      <c r="N5165" s="74"/>
      <c r="O5165" s="87">
        <f t="shared" si="11"/>
        <v>106000</v>
      </c>
      <c r="P5165" s="102" t="str">
        <f t="shared" si="2"/>
        <v>Rp106,000-1 LSN-0.00%</v>
      </c>
      <c r="Q5165" s="92">
        <v>45436.0</v>
      </c>
      <c r="R5165" s="76"/>
      <c r="S5165" s="92">
        <v>45439.0</v>
      </c>
      <c r="T5165" s="49"/>
      <c r="V5165" s="21" t="s">
        <v>881</v>
      </c>
    </row>
    <row r="5166">
      <c r="A5166" s="117">
        <v>274.0</v>
      </c>
      <c r="B5166" s="51" t="s">
        <v>29</v>
      </c>
      <c r="C5166" s="51" t="s">
        <v>2434</v>
      </c>
      <c r="D5166" s="51" t="s">
        <v>880</v>
      </c>
      <c r="E5166" s="41" t="str">
        <f>IFERROR(__xludf.DUMMYFUNCTION("IFNA(vlookup(D5166,IMPORTRANGE(""https://docs.google.com/spreadsheets/d/1swGwZOEqYlTEUCJLY-eeJM1911Kvaei5oySBIxdgtNo/edit?pli=1#gid=257618397"",""stock untanna!B:C""),2,false),V:V)"),"TAS TUTUP PITA KADO FG-301 BESAR")</f>
        <v>TAS TUTUP PITA KADO FG-301 BESAR</v>
      </c>
      <c r="F5166" s="49"/>
      <c r="G5166" s="71"/>
      <c r="H5166" s="41"/>
      <c r="I5166" s="42"/>
      <c r="J5166" s="85" t="s">
        <v>1319</v>
      </c>
      <c r="K5166" s="93">
        <v>1.0</v>
      </c>
      <c r="L5166" s="112" t="s">
        <v>62</v>
      </c>
      <c r="M5166" s="101">
        <v>106000.0</v>
      </c>
      <c r="N5166" s="74"/>
      <c r="O5166" s="87">
        <f t="shared" si="11"/>
        <v>106000</v>
      </c>
      <c r="P5166" s="102" t="str">
        <f t="shared" si="2"/>
        <v>Rp106,000-1 LSN-0.00%</v>
      </c>
      <c r="Q5166" s="92">
        <v>45436.0</v>
      </c>
      <c r="R5166" s="76"/>
      <c r="S5166" s="92">
        <v>45439.0</v>
      </c>
      <c r="T5166" s="49"/>
      <c r="V5166" s="21" t="s">
        <v>881</v>
      </c>
    </row>
    <row r="5167">
      <c r="A5167" s="117">
        <v>218.0</v>
      </c>
      <c r="B5167" s="51" t="s">
        <v>29</v>
      </c>
      <c r="C5167" s="51" t="s">
        <v>2434</v>
      </c>
      <c r="D5167" s="51" t="s">
        <v>2062</v>
      </c>
      <c r="E5167" s="41" t="str">
        <f>IFERROR(__xludf.DUMMYFUNCTION("IFNA(vlookup(D5167,IMPORTRANGE(""https://docs.google.com/spreadsheets/d/1swGwZOEqYlTEUCJLY-eeJM1911Kvaei5oySBIxdgtNo/edit?pli=1#gid=257618397"",""stock untanna!B:C""),2,false),V:V)"),"COIN BANK S")</f>
        <v>COIN BANK S</v>
      </c>
      <c r="F5167" s="49"/>
      <c r="G5167" s="71"/>
      <c r="H5167" s="41"/>
      <c r="I5167" s="42"/>
      <c r="J5167" s="85" t="s">
        <v>1319</v>
      </c>
      <c r="K5167" s="93">
        <v>2.0</v>
      </c>
      <c r="L5167" s="112" t="s">
        <v>62</v>
      </c>
      <c r="M5167" s="101">
        <v>65000.0</v>
      </c>
      <c r="N5167" s="74"/>
      <c r="O5167" s="87">
        <f t="shared" si="11"/>
        <v>130000</v>
      </c>
      <c r="P5167" s="102" t="str">
        <f t="shared" si="2"/>
        <v>Rp65,000-2 LSN-0.00%</v>
      </c>
      <c r="Q5167" s="92">
        <v>45436.0</v>
      </c>
      <c r="R5167" s="76"/>
      <c r="S5167" s="92">
        <v>45439.0</v>
      </c>
      <c r="T5167" s="49"/>
      <c r="V5167" s="21" t="s">
        <v>2063</v>
      </c>
    </row>
    <row r="5168">
      <c r="A5168" s="117">
        <v>218.0</v>
      </c>
      <c r="B5168" s="51" t="s">
        <v>29</v>
      </c>
      <c r="C5168" s="51" t="s">
        <v>2434</v>
      </c>
      <c r="D5168" s="51" t="s">
        <v>2064</v>
      </c>
      <c r="E5168" s="41" t="str">
        <f>IFERROR(__xludf.DUMMYFUNCTION("IFNA(vlookup(D5168,IMPORTRANGE(""https://docs.google.com/spreadsheets/d/1swGwZOEqYlTEUCJLY-eeJM1911Kvaei5oySBIxdgtNo/edit?pli=1#gid=257618397"",""stock untanna!B:C""),2,false),V:V)"),"COIN BANK M")</f>
        <v>COIN BANK M</v>
      </c>
      <c r="F5168" s="49"/>
      <c r="G5168" s="71"/>
      <c r="H5168" s="41"/>
      <c r="I5168" s="42"/>
      <c r="J5168" s="85" t="s">
        <v>1319</v>
      </c>
      <c r="K5168" s="93">
        <v>2.0</v>
      </c>
      <c r="L5168" s="112" t="s">
        <v>62</v>
      </c>
      <c r="M5168" s="101">
        <v>80000.0</v>
      </c>
      <c r="N5168" s="74"/>
      <c r="O5168" s="87">
        <f t="shared" si="11"/>
        <v>160000</v>
      </c>
      <c r="P5168" s="102" t="str">
        <f t="shared" si="2"/>
        <v>Rp80,000-2 LSN-0.00%</v>
      </c>
      <c r="Q5168" s="92">
        <v>45436.0</v>
      </c>
      <c r="R5168" s="76"/>
      <c r="S5168" s="92">
        <v>45439.0</v>
      </c>
      <c r="T5168" s="49"/>
      <c r="V5168" s="21" t="s">
        <v>2065</v>
      </c>
    </row>
    <row r="5169">
      <c r="A5169" s="117">
        <v>218.0</v>
      </c>
      <c r="B5169" s="51" t="s">
        <v>29</v>
      </c>
      <c r="C5169" s="51" t="s">
        <v>2434</v>
      </c>
      <c r="D5169" s="51" t="s">
        <v>2066</v>
      </c>
      <c r="E5169" s="41" t="str">
        <f>IFERROR(__xludf.DUMMYFUNCTION("IFNA(vlookup(D5169,IMPORTRANGE(""https://docs.google.com/spreadsheets/d/1swGwZOEqYlTEUCJLY-eeJM1911Kvaei5oySBIxdgtNo/edit?pli=1#gid=257618397"",""stock untanna!B:C""),2,false),V:V)"),"COIN BANK L")</f>
        <v>COIN BANK L</v>
      </c>
      <c r="F5169" s="49"/>
      <c r="G5169" s="71"/>
      <c r="H5169" s="41"/>
      <c r="I5169" s="42"/>
      <c r="J5169" s="85" t="s">
        <v>1319</v>
      </c>
      <c r="K5169" s="93">
        <v>2.0</v>
      </c>
      <c r="L5169" s="112" t="s">
        <v>62</v>
      </c>
      <c r="M5169" s="101">
        <v>90000.0</v>
      </c>
      <c r="N5169" s="74"/>
      <c r="O5169" s="87">
        <f t="shared" si="11"/>
        <v>180000</v>
      </c>
      <c r="P5169" s="102" t="str">
        <f t="shared" si="2"/>
        <v>Rp90,000-2 LSN-0.00%</v>
      </c>
      <c r="Q5169" s="92">
        <v>45436.0</v>
      </c>
      <c r="R5169" s="76"/>
      <c r="S5169" s="92">
        <v>45439.0</v>
      </c>
      <c r="T5169" s="49"/>
      <c r="V5169" s="21" t="s">
        <v>2067</v>
      </c>
    </row>
    <row r="5170">
      <c r="A5170" s="117">
        <v>193.0</v>
      </c>
      <c r="B5170" s="51" t="s">
        <v>29</v>
      </c>
      <c r="C5170" s="51" t="s">
        <v>4180</v>
      </c>
      <c r="D5170" s="51" t="s">
        <v>2697</v>
      </c>
      <c r="E5170" s="41" t="str">
        <f>IFERROR(__xludf.DUMMYFUNCTION("IFNA(vlookup(D5170,IMPORTRANGE(""https://docs.google.com/spreadsheets/d/1swGwZOEqYlTEUCJLY-eeJM1911Kvaei5oySBIxdgtNo/edit?pli=1#gid=257618397"",""stock untanna!B:C""),2,false),V:V)"),"DISPENSER PLAKBAND BESI A 806 MOSHI-MOSHI")</f>
        <v>DISPENSER PLAKBAND BESI A 806 MOSHI-MOSHI</v>
      </c>
      <c r="F5170" s="49"/>
      <c r="G5170" s="71"/>
      <c r="H5170" s="41"/>
      <c r="I5170" s="42"/>
      <c r="J5170" s="85" t="s">
        <v>1319</v>
      </c>
      <c r="K5170" s="93">
        <v>6.0</v>
      </c>
      <c r="L5170" s="112" t="s">
        <v>69</v>
      </c>
      <c r="M5170" s="101">
        <v>13500.0</v>
      </c>
      <c r="N5170" s="74"/>
      <c r="O5170" s="87">
        <f t="shared" si="11"/>
        <v>81000</v>
      </c>
      <c r="P5170" s="102" t="str">
        <f t="shared" si="2"/>
        <v>Rp13,500-6 PCS-0.00%</v>
      </c>
      <c r="Q5170" s="92">
        <v>45436.0</v>
      </c>
      <c r="R5170" s="76"/>
      <c r="S5170" s="92">
        <v>45439.0</v>
      </c>
      <c r="T5170" s="49"/>
      <c r="V5170" s="21" t="s">
        <v>2698</v>
      </c>
    </row>
    <row r="5171">
      <c r="A5171" s="117">
        <v>193.0</v>
      </c>
      <c r="B5171" s="51" t="s">
        <v>29</v>
      </c>
      <c r="C5171" s="51" t="s">
        <v>4180</v>
      </c>
      <c r="D5171" s="51" t="s">
        <v>2253</v>
      </c>
      <c r="E5171" s="41" t="str">
        <f>IFERROR(__xludf.DUMMYFUNCTION("IFNA(vlookup(D5171,IMPORTRANGE(""https://docs.google.com/spreadsheets/d/1swGwZOEqYlTEUCJLY-eeJM1911Kvaei5oySBIxdgtNo/edit?pli=1#gid=257618397"",""stock untanna!B:C""),2,false),V:V)"),"BP TIZO TG 31475F FANCY")</f>
        <v>BP TIZO TG 31475F FANCY</v>
      </c>
      <c r="F5171" s="49"/>
      <c r="G5171" s="71"/>
      <c r="H5171" s="41"/>
      <c r="I5171" s="42"/>
      <c r="J5171" s="85" t="s">
        <v>1319</v>
      </c>
      <c r="K5171" s="93">
        <v>1.0</v>
      </c>
      <c r="L5171" s="112" t="s">
        <v>62</v>
      </c>
      <c r="M5171" s="101">
        <v>19000.0</v>
      </c>
      <c r="N5171" s="74"/>
      <c r="O5171" s="87">
        <f t="shared" si="11"/>
        <v>19000</v>
      </c>
      <c r="P5171" s="102" t="str">
        <f t="shared" si="2"/>
        <v>Rp19,000-1 LSN-0.00%</v>
      </c>
      <c r="Q5171" s="92">
        <v>45436.0</v>
      </c>
      <c r="R5171" s="76"/>
      <c r="S5171" s="92">
        <v>45439.0</v>
      </c>
      <c r="T5171" s="49"/>
      <c r="V5171" s="21" t="s">
        <v>2254</v>
      </c>
    </row>
    <row r="5172">
      <c r="A5172" s="117">
        <v>193.0</v>
      </c>
      <c r="B5172" s="51" t="s">
        <v>29</v>
      </c>
      <c r="C5172" s="51" t="s">
        <v>4180</v>
      </c>
      <c r="D5172" s="51" t="s">
        <v>4065</v>
      </c>
      <c r="E5172" s="41" t="str">
        <f>IFERROR(__xludf.DUMMYFUNCTION("IFNA(vlookup(D5172,IMPORTRANGE(""https://docs.google.com/spreadsheets/d/1swGwZOEqYlTEUCJLY-eeJM1911Kvaei5oySBIxdgtNo/edit?pli=1#gid=257618397"",""stock untanna!B:C""),2,false),V:V)"),"BP GEL TIZO TG 31780F")</f>
        <v>BP GEL TIZO TG 31780F</v>
      </c>
      <c r="F5172" s="49"/>
      <c r="G5172" s="71"/>
      <c r="H5172" s="41"/>
      <c r="I5172" s="42"/>
      <c r="J5172" s="85" t="s">
        <v>1319</v>
      </c>
      <c r="K5172" s="93">
        <v>1.0</v>
      </c>
      <c r="L5172" s="112" t="s">
        <v>62</v>
      </c>
      <c r="M5172" s="101">
        <v>19000.0</v>
      </c>
      <c r="N5172" s="74"/>
      <c r="O5172" s="87">
        <f t="shared" si="11"/>
        <v>19000</v>
      </c>
      <c r="P5172" s="102" t="str">
        <f t="shared" si="2"/>
        <v>Rp19,000-1 LSN-0.00%</v>
      </c>
      <c r="Q5172" s="92">
        <v>45436.0</v>
      </c>
      <c r="R5172" s="76"/>
      <c r="S5172" s="92">
        <v>45439.0</v>
      </c>
      <c r="T5172" s="49"/>
      <c r="V5172" s="21" t="s">
        <v>4066</v>
      </c>
    </row>
    <row r="5173">
      <c r="A5173" s="117">
        <v>193.0</v>
      </c>
      <c r="B5173" s="51" t="s">
        <v>29</v>
      </c>
      <c r="C5173" s="51" t="s">
        <v>4180</v>
      </c>
      <c r="D5173" s="51" t="s">
        <v>4063</v>
      </c>
      <c r="E5173" s="41" t="str">
        <f>IFERROR(__xludf.DUMMYFUNCTION("IFNA(vlookup(D5173,IMPORTRANGE(""https://docs.google.com/spreadsheets/d/1swGwZOEqYlTEUCJLY-eeJM1911Kvaei5oySBIxdgtNo/edit?pli=1#gid=257618397"",""stock untanna!B:C""),2,false),V:V)"),"BP GEL TIZO 31037F FANCY")</f>
        <v>BP GEL TIZO 31037F FANCY</v>
      </c>
      <c r="F5173" s="49"/>
      <c r="G5173" s="71"/>
      <c r="H5173" s="41"/>
      <c r="I5173" s="42"/>
      <c r="J5173" s="85" t="s">
        <v>1319</v>
      </c>
      <c r="K5173" s="93">
        <v>1.0</v>
      </c>
      <c r="L5173" s="112" t="s">
        <v>62</v>
      </c>
      <c r="M5173" s="101">
        <v>19000.0</v>
      </c>
      <c r="N5173" s="74"/>
      <c r="O5173" s="87">
        <f t="shared" si="11"/>
        <v>19000</v>
      </c>
      <c r="P5173" s="102" t="str">
        <f t="shared" si="2"/>
        <v>Rp19,000-1 LSN-0.00%</v>
      </c>
      <c r="Q5173" s="92">
        <v>45436.0</v>
      </c>
      <c r="R5173" s="76"/>
      <c r="S5173" s="92">
        <v>45439.0</v>
      </c>
      <c r="T5173" s="49"/>
      <c r="V5173" s="21" t="s">
        <v>4064</v>
      </c>
    </row>
    <row r="5174">
      <c r="A5174" s="117">
        <v>193.0</v>
      </c>
      <c r="B5174" s="51" t="s">
        <v>29</v>
      </c>
      <c r="C5174" s="51" t="s">
        <v>4180</v>
      </c>
      <c r="D5174" s="51" t="s">
        <v>627</v>
      </c>
      <c r="E5174" s="41" t="str">
        <f>IFERROR(__xludf.DUMMYFUNCTION("IFNA(vlookup(D5174,IMPORTRANGE(""https://docs.google.com/spreadsheets/d/1swGwZOEqYlTEUCJLY-eeJM1911Kvaei5oySBIxdgtNo/edit?pli=1#gid=257618397"",""stock untanna!B:C""),2,false),V:V)"),"BP TIZO TG 30541F FANCY")</f>
        <v>BP TIZO TG 30541F FANCY</v>
      </c>
      <c r="F5174" s="49"/>
      <c r="G5174" s="71"/>
      <c r="H5174" s="41"/>
      <c r="I5174" s="42"/>
      <c r="J5174" s="85" t="s">
        <v>1319</v>
      </c>
      <c r="K5174" s="93">
        <v>1.0</v>
      </c>
      <c r="L5174" s="112" t="s">
        <v>62</v>
      </c>
      <c r="M5174" s="101">
        <v>19000.0</v>
      </c>
      <c r="N5174" s="74"/>
      <c r="O5174" s="87">
        <f t="shared" si="11"/>
        <v>19000</v>
      </c>
      <c r="P5174" s="102" t="str">
        <f t="shared" si="2"/>
        <v>Rp19,000-1 LSN-0.00%</v>
      </c>
      <c r="Q5174" s="92">
        <v>45436.0</v>
      </c>
      <c r="R5174" s="76"/>
      <c r="S5174" s="92">
        <v>45439.0</v>
      </c>
      <c r="T5174" s="49"/>
      <c r="V5174" s="21" t="s">
        <v>628</v>
      </c>
    </row>
    <row r="5175">
      <c r="A5175" s="117">
        <v>193.0</v>
      </c>
      <c r="B5175" s="51" t="s">
        <v>29</v>
      </c>
      <c r="C5175" s="51" t="s">
        <v>4180</v>
      </c>
      <c r="D5175" s="51" t="s">
        <v>2256</v>
      </c>
      <c r="E5175" s="41" t="str">
        <f>IFERROR(__xludf.DUMMYFUNCTION("IFNA(vlookup(D5175,IMPORTRANGE(""https://docs.google.com/spreadsheets/d/1swGwZOEqYlTEUCJLY-eeJM1911Kvaei5oySBIxdgtNo/edit?pli=1#gid=257618397"",""stock untanna!B:C""),2,false),V:V)"),"BP GEL TIZO 30900F FANCY")</f>
        <v>BP GEL TIZO 30900F FANCY</v>
      </c>
      <c r="F5175" s="49"/>
      <c r="G5175" s="71"/>
      <c r="H5175" s="41"/>
      <c r="I5175" s="42"/>
      <c r="J5175" s="85" t="s">
        <v>1319</v>
      </c>
      <c r="K5175" s="93">
        <v>1.0</v>
      </c>
      <c r="L5175" s="112" t="s">
        <v>62</v>
      </c>
      <c r="M5175" s="101">
        <v>19000.0</v>
      </c>
      <c r="N5175" s="74"/>
      <c r="O5175" s="87">
        <f t="shared" si="11"/>
        <v>19000</v>
      </c>
      <c r="P5175" s="102" t="str">
        <f t="shared" si="2"/>
        <v>Rp19,000-1 LSN-0.00%</v>
      </c>
      <c r="Q5175" s="92">
        <v>45436.0</v>
      </c>
      <c r="R5175" s="76"/>
      <c r="S5175" s="92">
        <v>45439.0</v>
      </c>
      <c r="T5175" s="49"/>
      <c r="V5175" s="21" t="s">
        <v>2257</v>
      </c>
    </row>
    <row r="5176">
      <c r="A5176" s="117">
        <v>284.0</v>
      </c>
      <c r="B5176" s="51" t="s">
        <v>29</v>
      </c>
      <c r="C5176" s="51" t="s">
        <v>2595</v>
      </c>
      <c r="D5176" s="51" t="s">
        <v>1441</v>
      </c>
      <c r="E5176" s="41" t="str">
        <f>IFERROR(__xludf.DUMMYFUNCTION("IFNA(vlookup(D5176,IMPORTRANGE(""https://docs.google.com/spreadsheets/d/1swGwZOEqYlTEUCJLY-eeJM1911Kvaei5oySBIxdgtNo/edit?pli=1#gid=257618397"",""stock untanna!B:C""),2,false),V:V)"),"PELNA LAPTOP TABLE")</f>
        <v>PELNA LAPTOP TABLE</v>
      </c>
      <c r="F5176" s="49"/>
      <c r="G5176" s="71"/>
      <c r="H5176" s="41"/>
      <c r="I5176" s="42"/>
      <c r="J5176" s="85" t="s">
        <v>1319</v>
      </c>
      <c r="K5176" s="93">
        <v>10.0</v>
      </c>
      <c r="L5176" s="112" t="s">
        <v>69</v>
      </c>
      <c r="M5176" s="101">
        <v>65000.0</v>
      </c>
      <c r="N5176" s="74"/>
      <c r="O5176" s="87">
        <f t="shared" si="11"/>
        <v>650000</v>
      </c>
      <c r="P5176" s="102" t="str">
        <f t="shared" si="2"/>
        <v>Rp65,000-10 PCS-0.00%</v>
      </c>
      <c r="Q5176" s="92">
        <v>45436.0</v>
      </c>
      <c r="R5176" s="76"/>
      <c r="S5176" s="92">
        <v>45439.0</v>
      </c>
      <c r="T5176" s="49"/>
      <c r="V5176" s="21" t="s">
        <v>1442</v>
      </c>
    </row>
    <row r="5177">
      <c r="A5177" s="117">
        <v>288.0</v>
      </c>
      <c r="B5177" s="51" t="s">
        <v>29</v>
      </c>
      <c r="C5177" s="51" t="s">
        <v>1452</v>
      </c>
      <c r="D5177" s="51" t="s">
        <v>1166</v>
      </c>
      <c r="E5177" s="41" t="str">
        <f>IFERROR(__xludf.DUMMYFUNCTION("IFNA(vlookup(D5177,IMPORTRANGE(""https://docs.google.com/spreadsheets/d/1swGwZOEqYlTEUCJLY-eeJM1911Kvaei5oySBIxdgtNo/edit?pli=1#gid=257618397"",""stock untanna!B:C""),2,false),V:V)"),"PC MAGNIT A 6682")</f>
        <v>PC MAGNIT A 6682</v>
      </c>
      <c r="F5177" s="49"/>
      <c r="G5177" s="71"/>
      <c r="H5177" s="41"/>
      <c r="I5177" s="42"/>
      <c r="J5177" s="85" t="s">
        <v>1319</v>
      </c>
      <c r="K5177" s="93">
        <v>24.0</v>
      </c>
      <c r="L5177" s="112" t="s">
        <v>69</v>
      </c>
      <c r="M5177" s="101">
        <v>25000.0</v>
      </c>
      <c r="N5177" s="74"/>
      <c r="O5177" s="87">
        <f t="shared" si="11"/>
        <v>600000</v>
      </c>
      <c r="P5177" s="102" t="str">
        <f t="shared" si="2"/>
        <v>Rp25,000-24 PCS-0.00%</v>
      </c>
      <c r="Q5177" s="92">
        <v>45436.0</v>
      </c>
      <c r="R5177" s="76"/>
      <c r="S5177" s="92">
        <v>45439.0</v>
      </c>
      <c r="T5177" s="49"/>
      <c r="V5177" s="21" t="s">
        <v>587</v>
      </c>
    </row>
    <row r="5178">
      <c r="A5178" s="117">
        <v>288.0</v>
      </c>
      <c r="B5178" s="51" t="s">
        <v>29</v>
      </c>
      <c r="C5178" s="51" t="s">
        <v>1452</v>
      </c>
      <c r="D5178" s="51" t="s">
        <v>1047</v>
      </c>
      <c r="E5178" s="41" t="str">
        <f>IFERROR(__xludf.DUMMYFUNCTION("IFNA(vlookup(D5178,IMPORTRANGE(""https://docs.google.com/spreadsheets/d/1swGwZOEqYlTEUCJLY-eeJM1911Kvaei5oySBIxdgtNo/edit?pli=1#gid=257618397"",""stock untanna!B:C""),2,false),V:V)"),"PENSIL CASE 5871")</f>
        <v>PENSIL CASE 5871</v>
      </c>
      <c r="F5178" s="49"/>
      <c r="G5178" s="71"/>
      <c r="H5178" s="41"/>
      <c r="I5178" s="42"/>
      <c r="J5178" s="85" t="s">
        <v>1319</v>
      </c>
      <c r="K5178" s="93">
        <v>12.0</v>
      </c>
      <c r="L5178" s="112" t="s">
        <v>69</v>
      </c>
      <c r="M5178" s="101">
        <v>22916.7</v>
      </c>
      <c r="N5178" s="74"/>
      <c r="O5178" s="87">
        <f t="shared" si="11"/>
        <v>275000.4</v>
      </c>
      <c r="P5178" s="102" t="str">
        <f t="shared" si="2"/>
        <v>Rp22,917-12 PCS-0.00%</v>
      </c>
      <c r="Q5178" s="92">
        <v>45436.0</v>
      </c>
      <c r="R5178" s="76"/>
      <c r="S5178" s="92">
        <v>45439.0</v>
      </c>
      <c r="T5178" s="49"/>
      <c r="V5178" s="21" t="s">
        <v>1048</v>
      </c>
    </row>
    <row r="5179">
      <c r="A5179" s="117">
        <v>4473.0</v>
      </c>
      <c r="B5179" s="51" t="s">
        <v>58</v>
      </c>
      <c r="C5179" s="51" t="s">
        <v>837</v>
      </c>
      <c r="D5179" s="51" t="s">
        <v>197</v>
      </c>
      <c r="E5179" s="41" t="str">
        <f>IFERROR(__xludf.DUMMYFUNCTION("IFNA(vlookup(D5179,IMPORTRANGE(""https://docs.google.com/spreadsheets/d/1swGwZOEqYlTEUCJLY-eeJM1911Kvaei5oySBIxdgtNo/edit?pli=1#gid=257618397"",""stock untanna!B:C""),2,false),V:V)"),"BP TF G-3114 0.3MM HIGHTECH KNOCK")</f>
        <v>BP TF G-3114 0.3MM HIGHTECH KNOCK</v>
      </c>
      <c r="F5179" s="49"/>
      <c r="G5179" s="71"/>
      <c r="H5179" s="41"/>
      <c r="I5179" s="42"/>
      <c r="J5179" s="85" t="s">
        <v>1319</v>
      </c>
      <c r="K5179" s="93">
        <v>288.0</v>
      </c>
      <c r="L5179" s="112" t="s">
        <v>62</v>
      </c>
      <c r="M5179" s="101">
        <v>34500.0</v>
      </c>
      <c r="N5179" s="74"/>
      <c r="O5179" s="87">
        <f t="shared" si="11"/>
        <v>9936000</v>
      </c>
      <c r="P5179" s="102" t="str">
        <f t="shared" si="2"/>
        <v>Rp34,500-288 LSN-0.00%</v>
      </c>
      <c r="Q5179" s="92">
        <v>45436.0</v>
      </c>
      <c r="R5179" s="76"/>
      <c r="S5179" s="92">
        <v>45439.0</v>
      </c>
      <c r="T5179" s="49"/>
      <c r="V5179" s="21" t="s">
        <v>198</v>
      </c>
    </row>
    <row r="5180">
      <c r="A5180" s="117">
        <v>4473.0</v>
      </c>
      <c r="B5180" s="51" t="s">
        <v>58</v>
      </c>
      <c r="C5180" s="51" t="s">
        <v>837</v>
      </c>
      <c r="D5180" s="51" t="s">
        <v>2470</v>
      </c>
      <c r="E5180" s="41" t="str">
        <f>IFERROR(__xludf.DUMMYFUNCTION("IFNA(vlookup(D5180,IMPORTRANGE(""https://docs.google.com/spreadsheets/d/1swGwZOEqYlTEUCJLY-eeJM1911Kvaei5oySBIxdgtNo/edit?pli=1#gid=257618397"",""stock untanna!B:C""),2,false),V:V)"),"CAT ACRYLIC COLOUR TF AC-004N NEON")</f>
        <v>CAT ACRYLIC COLOUR TF AC-004N NEON</v>
      </c>
      <c r="F5180" s="49"/>
      <c r="G5180" s="71"/>
      <c r="H5180" s="41"/>
      <c r="I5180" s="42"/>
      <c r="J5180" s="85" t="s">
        <v>1319</v>
      </c>
      <c r="K5180" s="93">
        <v>8.75</v>
      </c>
      <c r="L5180" s="112" t="s">
        <v>62</v>
      </c>
      <c r="M5180" s="101">
        <v>225000.0</v>
      </c>
      <c r="N5180" s="74"/>
      <c r="O5180" s="87">
        <f t="shared" si="11"/>
        <v>1968750</v>
      </c>
      <c r="P5180" s="102" t="str">
        <f t="shared" si="2"/>
        <v>Rp225,000-8.75 LSN-0.00%</v>
      </c>
      <c r="Q5180" s="92">
        <v>45436.0</v>
      </c>
      <c r="R5180" s="76"/>
      <c r="S5180" s="92">
        <v>45439.0</v>
      </c>
      <c r="T5180" s="49"/>
      <c r="V5180" s="21" t="s">
        <v>2471</v>
      </c>
    </row>
    <row r="5181">
      <c r="A5181" s="117">
        <v>4473.0</v>
      </c>
      <c r="B5181" s="51" t="s">
        <v>58</v>
      </c>
      <c r="C5181" s="51" t="s">
        <v>837</v>
      </c>
      <c r="D5181" s="51" t="s">
        <v>430</v>
      </c>
      <c r="E5181" s="41" t="str">
        <f>IFERROR(__xludf.DUMMYFUNCTION("IFNA(vlookup(D5181,IMPORTRANGE(""https://docs.google.com/spreadsheets/d/1swGwZOEqYlTEUCJLY-eeJM1911Kvaei5oySBIxdgtNo/edit?pli=1#gid=257618397"",""stock untanna!B:C""),2,false),V:V)"),"CAT ACRYLIC COLOUR TF AC-006M METALIC")</f>
        <v>CAT ACRYLIC COLOUR TF AC-006M METALIC</v>
      </c>
      <c r="F5181" s="49"/>
      <c r="G5181" s="71"/>
      <c r="H5181" s="41"/>
      <c r="I5181" s="42"/>
      <c r="J5181" s="85" t="s">
        <v>1319</v>
      </c>
      <c r="K5181" s="93">
        <v>12.0</v>
      </c>
      <c r="L5181" s="112" t="s">
        <v>62</v>
      </c>
      <c r="M5181" s="101">
        <v>225000.0</v>
      </c>
      <c r="N5181" s="74"/>
      <c r="O5181" s="87">
        <f t="shared" si="11"/>
        <v>2700000</v>
      </c>
      <c r="P5181" s="102" t="str">
        <f t="shared" si="2"/>
        <v>Rp225,000-12 LSN-0.00%</v>
      </c>
      <c r="Q5181" s="92">
        <v>45436.0</v>
      </c>
      <c r="R5181" s="76"/>
      <c r="S5181" s="92">
        <v>45439.0</v>
      </c>
      <c r="T5181" s="49"/>
      <c r="V5181" s="21" t="s">
        <v>431</v>
      </c>
    </row>
    <row r="5182">
      <c r="A5182" s="117">
        <v>4473.0</v>
      </c>
      <c r="B5182" s="51" t="s">
        <v>58</v>
      </c>
      <c r="C5182" s="51" t="s">
        <v>837</v>
      </c>
      <c r="D5182" s="51" t="s">
        <v>432</v>
      </c>
      <c r="E5182" s="41" t="str">
        <f>IFERROR(__xludf.DUMMYFUNCTION("IFNA(vlookup(D5182,IMPORTRANGE(""https://docs.google.com/spreadsheets/d/1swGwZOEqYlTEUCJLY-eeJM1911Kvaei5oySBIxdgtNo/edit?pli=1#gid=257618397"",""stock untanna!B:C""),2,false),V:V)"),"CAT ACRYLIC COLOUR TF AC-005P PASTEL")</f>
        <v>CAT ACRYLIC COLOUR TF AC-005P PASTEL</v>
      </c>
      <c r="F5182" s="49"/>
      <c r="G5182" s="71"/>
      <c r="H5182" s="41"/>
      <c r="I5182" s="42"/>
      <c r="J5182" s="85" t="s">
        <v>1319</v>
      </c>
      <c r="K5182" s="93">
        <v>12.0</v>
      </c>
      <c r="L5182" s="112" t="s">
        <v>62</v>
      </c>
      <c r="M5182" s="101">
        <v>225000.0</v>
      </c>
      <c r="N5182" s="74"/>
      <c r="O5182" s="87">
        <f t="shared" si="11"/>
        <v>2700000</v>
      </c>
      <c r="P5182" s="102" t="str">
        <f t="shared" si="2"/>
        <v>Rp225,000-12 LSN-0.00%</v>
      </c>
      <c r="Q5182" s="92">
        <v>45436.0</v>
      </c>
      <c r="R5182" s="76"/>
      <c r="S5182" s="92">
        <v>45439.0</v>
      </c>
      <c r="T5182" s="49"/>
      <c r="V5182" s="21" t="s">
        <v>433</v>
      </c>
    </row>
    <row r="5183">
      <c r="A5183" s="117">
        <v>4476.0</v>
      </c>
      <c r="B5183" s="51" t="s">
        <v>58</v>
      </c>
      <c r="C5183" s="51" t="s">
        <v>3808</v>
      </c>
      <c r="D5183" s="51" t="s">
        <v>835</v>
      </c>
      <c r="E5183" s="41" t="str">
        <f>IFERROR(__xludf.DUMMYFUNCTION("IFNA(vlookup(D5183,IMPORTRANGE(""https://docs.google.com/spreadsheets/d/1swGwZOEqYlTEUCJLY-eeJM1911Kvaei5oySBIxdgtNo/edit?pli=1#gid=257618397"",""stock untanna!B:C""),2,false),V:V)"),"MEKANIK PENSIL 2.0 TIZO TM01800")</f>
        <v>MEKANIK PENSIL 2.0 TIZO TM01800</v>
      </c>
      <c r="F5183" s="49"/>
      <c r="G5183" s="71"/>
      <c r="H5183" s="41"/>
      <c r="I5183" s="42"/>
      <c r="J5183" s="85" t="s">
        <v>1319</v>
      </c>
      <c r="K5183" s="93">
        <v>192.0</v>
      </c>
      <c r="L5183" s="112" t="s">
        <v>62</v>
      </c>
      <c r="M5183" s="101">
        <v>30500.0</v>
      </c>
      <c r="N5183" s="74"/>
      <c r="O5183" s="87">
        <f t="shared" si="11"/>
        <v>5856000</v>
      </c>
      <c r="P5183" s="102" t="str">
        <f t="shared" si="2"/>
        <v>Rp30,500-192 LSN-0.00%</v>
      </c>
      <c r="Q5183" s="92">
        <v>45436.0</v>
      </c>
      <c r="R5183" s="76"/>
      <c r="S5183" s="92">
        <v>45439.0</v>
      </c>
      <c r="T5183" s="49"/>
      <c r="V5183" s="21" t="s">
        <v>836</v>
      </c>
    </row>
    <row r="5184">
      <c r="A5184" s="117">
        <v>4476.0</v>
      </c>
      <c r="B5184" s="51" t="s">
        <v>58</v>
      </c>
      <c r="C5184" s="51" t="s">
        <v>3808</v>
      </c>
      <c r="D5184" s="51" t="s">
        <v>833</v>
      </c>
      <c r="E5184" s="41" t="str">
        <f>IFERROR(__xludf.DUMMYFUNCTION("IFNA(vlookup(D5184,IMPORTRANGE(""https://docs.google.com/spreadsheets/d/1swGwZOEqYlTEUCJLY-eeJM1911Kvaei5oySBIxdgtNo/edit?pli=1#gid=257618397"",""stock untanna!B:C""),2,false),V:V)"),"MECHPEN TIZO TM 030-C")</f>
        <v>MECHPEN TIZO TM 030-C</v>
      </c>
      <c r="F5184" s="49"/>
      <c r="G5184" s="71"/>
      <c r="H5184" s="41"/>
      <c r="I5184" s="42"/>
      <c r="J5184" s="85" t="s">
        <v>1319</v>
      </c>
      <c r="K5184" s="93">
        <v>192.0</v>
      </c>
      <c r="L5184" s="112" t="s">
        <v>62</v>
      </c>
      <c r="M5184" s="101">
        <v>30500.0</v>
      </c>
      <c r="N5184" s="74"/>
      <c r="O5184" s="87">
        <f t="shared" si="11"/>
        <v>5856000</v>
      </c>
      <c r="P5184" s="102" t="str">
        <f t="shared" si="2"/>
        <v>Rp30,500-192 LSN-0.00%</v>
      </c>
      <c r="Q5184" s="92">
        <v>45436.0</v>
      </c>
      <c r="R5184" s="76"/>
      <c r="S5184" s="92">
        <v>45439.0</v>
      </c>
      <c r="T5184" s="49"/>
      <c r="V5184" s="21" t="s">
        <v>834</v>
      </c>
    </row>
    <row r="5185">
      <c r="A5185" s="117">
        <v>282.0</v>
      </c>
      <c r="B5185" s="51" t="s">
        <v>29</v>
      </c>
      <c r="C5185" s="51" t="s">
        <v>2476</v>
      </c>
      <c r="D5185" s="118"/>
      <c r="E5185" s="41" t="str">
        <f>IFERROR(__xludf.DUMMYFUNCTION("IFNA(vlookup(D5185,IMPORTRANGE(""https://docs.google.com/spreadsheets/d/1swGwZOEqYlTEUCJLY-eeJM1911Kvaei5oySBIxdgtNo/edit?pli=1#gid=257618397"",""stock untanna!B:C""),2,false),V:V)"),"CLIP BOARD KAYU")</f>
        <v>CLIP BOARD KAYU</v>
      </c>
      <c r="F5185" s="49"/>
      <c r="G5185" s="71"/>
      <c r="H5185" s="41"/>
      <c r="I5185" s="42"/>
      <c r="J5185" s="85" t="s">
        <v>3190</v>
      </c>
      <c r="K5185" s="93">
        <v>60.0</v>
      </c>
      <c r="L5185" s="112" t="s">
        <v>62</v>
      </c>
      <c r="M5185" s="101">
        <v>37500.0</v>
      </c>
      <c r="N5185" s="74"/>
      <c r="O5185" s="87">
        <f t="shared" si="11"/>
        <v>2250000</v>
      </c>
      <c r="P5185" s="102" t="str">
        <f t="shared" si="2"/>
        <v>Rp37,500-60 LSN-0.00%</v>
      </c>
      <c r="Q5185" s="92">
        <v>45436.0</v>
      </c>
      <c r="R5185" s="76"/>
      <c r="S5185" s="92">
        <v>45439.0</v>
      </c>
      <c r="T5185" s="49"/>
      <c r="V5185" s="21" t="s">
        <v>4181</v>
      </c>
    </row>
    <row r="5186">
      <c r="A5186" s="117">
        <v>4293.0</v>
      </c>
      <c r="B5186" s="51" t="s">
        <v>65</v>
      </c>
      <c r="C5186" s="51" t="s">
        <v>4182</v>
      </c>
      <c r="D5186" s="51" t="s">
        <v>4131</v>
      </c>
      <c r="E5186" s="41" t="str">
        <f>IFERROR(__xludf.DUMMYFUNCTION("IFNA(vlookup(D5186,IMPORTRANGE(""https://docs.google.com/spreadsheets/d/1swGwZOEqYlTEUCJLY-eeJM1911Kvaei5oySBIxdgtNo/edit?pli=1#gid=257618397"",""stock untanna!B:C""),2,false),V:V)"),"BP DEBOZZ DB G 028 CLICK")</f>
        <v>BP DEBOZZ DB G 028 CLICK</v>
      </c>
      <c r="F5186" s="49"/>
      <c r="G5186" s="71"/>
      <c r="H5186" s="41"/>
      <c r="I5186" s="42"/>
      <c r="J5186" s="85" t="s">
        <v>1319</v>
      </c>
      <c r="K5186" s="93">
        <v>6.0</v>
      </c>
      <c r="L5186" s="112" t="s">
        <v>62</v>
      </c>
      <c r="M5186" s="101">
        <v>33500.0</v>
      </c>
      <c r="N5186" s="74"/>
      <c r="O5186" s="87">
        <f t="shared" si="11"/>
        <v>201000</v>
      </c>
      <c r="P5186" s="102" t="str">
        <f t="shared" si="2"/>
        <v>Rp33,500-6 LSN-0.00%</v>
      </c>
      <c r="Q5186" s="92">
        <v>45436.0</v>
      </c>
      <c r="R5186" s="76"/>
      <c r="S5186" s="92">
        <v>45439.0</v>
      </c>
      <c r="T5186" s="49"/>
      <c r="V5186" s="21" t="s">
        <v>4132</v>
      </c>
    </row>
    <row r="5187">
      <c r="A5187" s="117">
        <v>4293.0</v>
      </c>
      <c r="B5187" s="51" t="s">
        <v>65</v>
      </c>
      <c r="C5187" s="51" t="s">
        <v>4182</v>
      </c>
      <c r="D5187" s="51" t="s">
        <v>3217</v>
      </c>
      <c r="E5187" s="41" t="str">
        <f>IFERROR(__xludf.DUMMYFUNCTION("IFNA(vlookup(D5187,IMPORTRANGE(""https://docs.google.com/spreadsheets/d/1swGwZOEqYlTEUCJLY-eeJM1911Kvaei5oySBIxdgtNo/edit?pli=1#gid=257618397"",""stock untanna!B:C""),2,false),V:V)"),"BP GEL CS-H764 6WR + STABILLO")</f>
        <v>BP GEL CS-H764 6WR + STABILLO</v>
      </c>
      <c r="F5187" s="49"/>
      <c r="G5187" s="71"/>
      <c r="H5187" s="41"/>
      <c r="I5187" s="42"/>
      <c r="J5187" s="85" t="s">
        <v>1319</v>
      </c>
      <c r="K5187" s="93">
        <v>12.0</v>
      </c>
      <c r="L5187" s="112" t="s">
        <v>84</v>
      </c>
      <c r="M5187" s="101">
        <v>16500.0</v>
      </c>
      <c r="N5187" s="74"/>
      <c r="O5187" s="87">
        <f t="shared" si="11"/>
        <v>198000</v>
      </c>
      <c r="P5187" s="102" t="str">
        <f t="shared" si="2"/>
        <v>Rp16,500-12 SET-0.00%</v>
      </c>
      <c r="Q5187" s="92">
        <v>45436.0</v>
      </c>
      <c r="R5187" s="76"/>
      <c r="S5187" s="92">
        <v>45439.0</v>
      </c>
      <c r="T5187" s="49"/>
      <c r="V5187" s="21" t="s">
        <v>3218</v>
      </c>
    </row>
    <row r="5188">
      <c r="A5188" s="117">
        <v>4293.0</v>
      </c>
      <c r="B5188" s="51" t="s">
        <v>65</v>
      </c>
      <c r="C5188" s="51" t="s">
        <v>4182</v>
      </c>
      <c r="D5188" s="51" t="s">
        <v>698</v>
      </c>
      <c r="E5188" s="41" t="str">
        <f>IFERROR(__xludf.DUMMYFUNCTION("IFNA(vlookup(D5188,IMPORTRANGE(""https://docs.google.com/spreadsheets/d/1swGwZOEqYlTEUCJLY-eeJM1911Kvaei5oySBIxdgtNo/edit?pli=1#gid=257618397"",""stock untanna!B:C""),2,false),V:V)"),"BP GEL TIZO 1.0 TG630-A")</f>
        <v>BP GEL TIZO 1.0 TG630-A</v>
      </c>
      <c r="F5188" s="49"/>
      <c r="G5188" s="71"/>
      <c r="H5188" s="41"/>
      <c r="I5188" s="42"/>
      <c r="J5188" s="85" t="s">
        <v>1319</v>
      </c>
      <c r="K5188" s="93">
        <v>3.0</v>
      </c>
      <c r="L5188" s="112" t="s">
        <v>62</v>
      </c>
      <c r="M5188" s="101">
        <v>50000.0</v>
      </c>
      <c r="N5188" s="74"/>
      <c r="O5188" s="87">
        <f t="shared" si="11"/>
        <v>150000</v>
      </c>
      <c r="P5188" s="102" t="str">
        <f t="shared" si="2"/>
        <v>Rp50,000-3 LSN-0.00%</v>
      </c>
      <c r="Q5188" s="92">
        <v>45436.0</v>
      </c>
      <c r="R5188" s="76"/>
      <c r="S5188" s="92">
        <v>45439.0</v>
      </c>
      <c r="T5188" s="49"/>
      <c r="V5188" s="21" t="s">
        <v>699</v>
      </c>
    </row>
    <row r="5189">
      <c r="A5189" s="117">
        <v>4293.0</v>
      </c>
      <c r="B5189" s="51" t="s">
        <v>65</v>
      </c>
      <c r="C5189" s="51" t="s">
        <v>4182</v>
      </c>
      <c r="D5189" s="51" t="s">
        <v>1602</v>
      </c>
      <c r="E5189" s="41" t="str">
        <f>IFERROR(__xludf.DUMMYFUNCTION("IFNA(vlookup(D5189,IMPORTRANGE(""https://docs.google.com/spreadsheets/d/1swGwZOEqYlTEUCJLY-eeJM1911Kvaei5oySBIxdgtNo/edit?pli=1#gid=257618397"",""stock untanna!B:C""),2,false),V:V)"),"TIPEX KERTAS NO.9304")</f>
        <v>TIPEX KERTAS NO.9304</v>
      </c>
      <c r="F5189" s="49"/>
      <c r="G5189" s="71"/>
      <c r="H5189" s="41"/>
      <c r="I5189" s="42"/>
      <c r="J5189" s="85" t="s">
        <v>1319</v>
      </c>
      <c r="K5189" s="93">
        <v>2.0</v>
      </c>
      <c r="L5189" s="112" t="s">
        <v>62</v>
      </c>
      <c r="M5189" s="101">
        <v>50000.0</v>
      </c>
      <c r="N5189" s="74"/>
      <c r="O5189" s="87">
        <f t="shared" si="11"/>
        <v>100000</v>
      </c>
      <c r="P5189" s="102" t="str">
        <f t="shared" si="2"/>
        <v>Rp50,000-2 LSN-0.00%</v>
      </c>
      <c r="Q5189" s="92">
        <v>45436.0</v>
      </c>
      <c r="R5189" s="76"/>
      <c r="S5189" s="92">
        <v>45439.0</v>
      </c>
      <c r="T5189" s="49"/>
      <c r="V5189" s="21" t="s">
        <v>1603</v>
      </c>
    </row>
    <row r="5190">
      <c r="A5190" s="117">
        <v>4293.0</v>
      </c>
      <c r="B5190" s="51" t="s">
        <v>65</v>
      </c>
      <c r="C5190" s="51" t="s">
        <v>4182</v>
      </c>
      <c r="D5190" s="51" t="s">
        <v>2858</v>
      </c>
      <c r="E5190" s="41" t="str">
        <f>IFERROR(__xludf.DUMMYFUNCTION("IFNA(vlookup(D5190,IMPORTRANGE(""https://docs.google.com/spreadsheets/d/1swGwZOEqYlTEUCJLY-eeJM1911Kvaei5oySBIxdgtNo/edit?pli=1#gid=257618397"",""stock untanna!B:C""),2,false),V:V)"),"TIPEX KERTAS NO.9461")</f>
        <v>TIPEX KERTAS NO.9461</v>
      </c>
      <c r="F5190" s="49"/>
      <c r="G5190" s="71"/>
      <c r="H5190" s="41"/>
      <c r="I5190" s="42"/>
      <c r="J5190" s="85" t="s">
        <v>1319</v>
      </c>
      <c r="K5190" s="93">
        <v>2.0</v>
      </c>
      <c r="L5190" s="112" t="s">
        <v>62</v>
      </c>
      <c r="M5190" s="101">
        <v>50000.0</v>
      </c>
      <c r="N5190" s="74"/>
      <c r="O5190" s="87">
        <f t="shared" si="11"/>
        <v>100000</v>
      </c>
      <c r="P5190" s="102" t="str">
        <f t="shared" si="2"/>
        <v>Rp50,000-2 LSN-0.00%</v>
      </c>
      <c r="Q5190" s="92">
        <v>45436.0</v>
      </c>
      <c r="R5190" s="76"/>
      <c r="S5190" s="92">
        <v>45439.0</v>
      </c>
      <c r="T5190" s="49"/>
      <c r="V5190" s="21" t="s">
        <v>2859</v>
      </c>
    </row>
    <row r="5191">
      <c r="A5191" s="117">
        <v>4293.0</v>
      </c>
      <c r="B5191" s="51" t="s">
        <v>65</v>
      </c>
      <c r="C5191" s="51" t="s">
        <v>4182</v>
      </c>
      <c r="D5191" s="51" t="s">
        <v>3189</v>
      </c>
      <c r="E5191" s="41" t="str">
        <f>IFERROR(__xludf.DUMMYFUNCTION("IFNA(vlookup(D5191,IMPORTRANGE(""https://docs.google.com/spreadsheets/d/1swGwZOEqYlTEUCJLY-eeJM1911Kvaei5oySBIxdgtNo/edit?pli=1#gid=257618397"",""stock untanna!B:C""),2,false),V:V)"),"TIPEX KERTAS NO.9462")</f>
        <v>TIPEX KERTAS NO.9462</v>
      </c>
      <c r="F5191" s="49"/>
      <c r="G5191" s="71"/>
      <c r="H5191" s="41"/>
      <c r="I5191" s="42"/>
      <c r="J5191" s="85" t="s">
        <v>1319</v>
      </c>
      <c r="K5191" s="93">
        <v>2.0</v>
      </c>
      <c r="L5191" s="112" t="s">
        <v>62</v>
      </c>
      <c r="M5191" s="101">
        <v>50000.0</v>
      </c>
      <c r="N5191" s="74"/>
      <c r="O5191" s="87">
        <f t="shared" si="11"/>
        <v>100000</v>
      </c>
      <c r="P5191" s="102" t="str">
        <f t="shared" si="2"/>
        <v>Rp50,000-2 LSN-0.00%</v>
      </c>
      <c r="Q5191" s="92">
        <v>45436.0</v>
      </c>
      <c r="R5191" s="76"/>
      <c r="S5191" s="92">
        <v>45439.0</v>
      </c>
      <c r="T5191" s="49"/>
      <c r="V5191" s="21" t="s">
        <v>1607</v>
      </c>
    </row>
    <row r="5192">
      <c r="A5192" s="117">
        <v>4293.0</v>
      </c>
      <c r="B5192" s="51" t="s">
        <v>65</v>
      </c>
      <c r="C5192" s="51" t="s">
        <v>4182</v>
      </c>
      <c r="D5192" s="51" t="s">
        <v>700</v>
      </c>
      <c r="E5192" s="41" t="str">
        <f>IFERROR(__xludf.DUMMYFUNCTION("IFNA(vlookup(D5192,IMPORTRANGE(""https://docs.google.com/spreadsheets/d/1swGwZOEqYlTEUCJLY-eeJM1911Kvaei5oySBIxdgtNo/edit?pli=1#gid=257618397"",""stock untanna!B:C""),2,false),V:V)"),"BP TIZO KLIK TG 3300")</f>
        <v>BP TIZO KLIK TG 3300</v>
      </c>
      <c r="F5192" s="49"/>
      <c r="G5192" s="71"/>
      <c r="H5192" s="41"/>
      <c r="I5192" s="42"/>
      <c r="J5192" s="85" t="s">
        <v>1319</v>
      </c>
      <c r="K5192" s="93">
        <v>12.0</v>
      </c>
      <c r="L5192" s="112" t="s">
        <v>62</v>
      </c>
      <c r="M5192" s="101">
        <v>26500.0</v>
      </c>
      <c r="N5192" s="74"/>
      <c r="O5192" s="87">
        <f t="shared" si="11"/>
        <v>318000</v>
      </c>
      <c r="P5192" s="102" t="str">
        <f t="shared" si="2"/>
        <v>Rp26,500-12 LSN-0.00%</v>
      </c>
      <c r="Q5192" s="92">
        <v>45436.0</v>
      </c>
      <c r="R5192" s="76"/>
      <c r="S5192" s="92">
        <v>45439.0</v>
      </c>
      <c r="T5192" s="49"/>
      <c r="V5192" s="21" t="s">
        <v>701</v>
      </c>
    </row>
    <row r="5193">
      <c r="A5193" s="117">
        <v>4293.0</v>
      </c>
      <c r="B5193" s="51" t="s">
        <v>65</v>
      </c>
      <c r="C5193" s="51" t="s">
        <v>4182</v>
      </c>
      <c r="D5193" s="51" t="s">
        <v>4183</v>
      </c>
      <c r="E5193" s="41" t="str">
        <f>IFERROR(__xludf.DUMMYFUNCTION("IFNA(vlookup(D5193,IMPORTRANGE(""https://docs.google.com/spreadsheets/d/1swGwZOEqYlTEUCJLY-eeJM1911Kvaei5oySBIxdgtNo/edit?pli=1#gid=257618397"",""stock untanna!B:C""),2,false),V:V)"),"EXPANDING FILE 8LFQB - 55333 + GANTUNGAN")</f>
        <v>EXPANDING FILE 8LFQB - 55333 + GANTUNGAN</v>
      </c>
      <c r="F5193" s="49"/>
      <c r="G5193" s="71"/>
      <c r="H5193" s="41"/>
      <c r="I5193" s="42"/>
      <c r="J5193" s="85" t="s">
        <v>1319</v>
      </c>
      <c r="K5193" s="93">
        <v>12.0</v>
      </c>
      <c r="L5193" s="112" t="s">
        <v>69</v>
      </c>
      <c r="M5193" s="101">
        <v>29166.7</v>
      </c>
      <c r="N5193" s="74"/>
      <c r="O5193" s="87">
        <f t="shared" si="11"/>
        <v>350000.4</v>
      </c>
      <c r="P5193" s="102" t="str">
        <f t="shared" si="2"/>
        <v>Rp29,167-12 PCS-0.00%</v>
      </c>
      <c r="Q5193" s="92">
        <v>45436.0</v>
      </c>
      <c r="R5193" s="76"/>
      <c r="S5193" s="92">
        <v>45439.0</v>
      </c>
      <c r="T5193" s="49"/>
      <c r="V5193" s="21" t="s">
        <v>4184</v>
      </c>
    </row>
    <row r="5194">
      <c r="A5194" s="117">
        <v>4293.0</v>
      </c>
      <c r="B5194" s="51" t="s">
        <v>65</v>
      </c>
      <c r="C5194" s="51" t="s">
        <v>4182</v>
      </c>
      <c r="D5194" s="51" t="s">
        <v>4185</v>
      </c>
      <c r="E5194" s="41" t="str">
        <f>IFERROR(__xludf.DUMMYFUNCTION("IFNA(vlookup(D5194,IMPORTRANGE(""https://docs.google.com/spreadsheets/d/1swGwZOEqYlTEUCJLY-eeJM1911Kvaei5oySBIxdgtNo/edit?pli=1#gid=257618397"",""stock untanna!B:C""),2,false),V:V)"),"EXPANDING FILE DKFQB-5901")</f>
        <v>EXPANDING FILE DKFQB-5901</v>
      </c>
      <c r="F5194" s="49"/>
      <c r="G5194" s="71"/>
      <c r="H5194" s="41"/>
      <c r="I5194" s="42"/>
      <c r="J5194" s="85" t="s">
        <v>1319</v>
      </c>
      <c r="K5194" s="93">
        <v>12.0</v>
      </c>
      <c r="L5194" s="112" t="s">
        <v>69</v>
      </c>
      <c r="M5194" s="101">
        <v>25000.0</v>
      </c>
      <c r="N5194" s="74"/>
      <c r="O5194" s="87">
        <f t="shared" si="11"/>
        <v>300000</v>
      </c>
      <c r="P5194" s="102" t="str">
        <f t="shared" si="2"/>
        <v>Rp25,000-12 PCS-0.00%</v>
      </c>
      <c r="Q5194" s="92">
        <v>45436.0</v>
      </c>
      <c r="R5194" s="76"/>
      <c r="S5194" s="92">
        <v>45439.0</v>
      </c>
      <c r="T5194" s="49"/>
      <c r="V5194" s="21" t="s">
        <v>3993</v>
      </c>
    </row>
    <row r="5195">
      <c r="A5195" s="117">
        <v>4293.0</v>
      </c>
      <c r="B5195" s="51" t="s">
        <v>65</v>
      </c>
      <c r="C5195" s="51" t="s">
        <v>4182</v>
      </c>
      <c r="D5195" s="51" t="s">
        <v>4186</v>
      </c>
      <c r="E5195" s="41" t="str">
        <f>IFERROR(__xludf.DUMMYFUNCTION("IFNA(vlookup(D5195,IMPORTRANGE(""https://docs.google.com/spreadsheets/d/1swGwZOEqYlTEUCJLY-eeJM1911Kvaei5oySBIxdgtNo/edit?pli=1#gid=257618397"",""stock untanna!B:C""),2,false),V:V)"),"EXPANDING FILE FQB-95308")</f>
        <v>EXPANDING FILE FQB-95308</v>
      </c>
      <c r="F5195" s="49"/>
      <c r="G5195" s="71"/>
      <c r="H5195" s="41"/>
      <c r="I5195" s="42"/>
      <c r="J5195" s="85" t="s">
        <v>1319</v>
      </c>
      <c r="K5195" s="93">
        <v>6.0</v>
      </c>
      <c r="L5195" s="112" t="s">
        <v>69</v>
      </c>
      <c r="M5195" s="101">
        <v>40000.0</v>
      </c>
      <c r="N5195" s="74"/>
      <c r="O5195" s="87">
        <f t="shared" si="11"/>
        <v>240000</v>
      </c>
      <c r="P5195" s="102" t="str">
        <f t="shared" si="2"/>
        <v>Rp40,000-6 PCS-0.00%</v>
      </c>
      <c r="Q5195" s="92">
        <v>45436.0</v>
      </c>
      <c r="R5195" s="76"/>
      <c r="S5195" s="92">
        <v>45439.0</v>
      </c>
      <c r="T5195" s="49"/>
      <c r="V5195" s="21" t="s">
        <v>3994</v>
      </c>
    </row>
    <row r="5196">
      <c r="A5196" s="117">
        <v>4293.0</v>
      </c>
      <c r="B5196" s="51" t="s">
        <v>65</v>
      </c>
      <c r="C5196" s="51" t="s">
        <v>4182</v>
      </c>
      <c r="D5196" s="51" t="s">
        <v>4187</v>
      </c>
      <c r="E5196" s="41" t="str">
        <f>IFERROR(__xludf.DUMMYFUNCTION("IFNA(vlookup(D5196,IMPORTRANGE(""https://docs.google.com/spreadsheets/d/1swGwZOEqYlTEUCJLY-eeJM1911Kvaei5oySBIxdgtNo/edit?pli=1#gid=257618397"",""stock untanna!B:C""),2,false),V:V)"),"KERTAS MEWARNAI COLORING PAPER CP-1")</f>
        <v>KERTAS MEWARNAI COLORING PAPER CP-1</v>
      </c>
      <c r="F5196" s="49"/>
      <c r="G5196" s="71"/>
      <c r="H5196" s="41"/>
      <c r="I5196" s="42"/>
      <c r="J5196" s="85" t="s">
        <v>1319</v>
      </c>
      <c r="K5196" s="93">
        <v>48.0</v>
      </c>
      <c r="L5196" s="112" t="s">
        <v>69</v>
      </c>
      <c r="M5196" s="101">
        <v>5500.0</v>
      </c>
      <c r="N5196" s="74"/>
      <c r="O5196" s="87">
        <f t="shared" si="11"/>
        <v>264000</v>
      </c>
      <c r="P5196" s="102" t="str">
        <f t="shared" si="2"/>
        <v>Rp5,500-48 PCS-0.00%</v>
      </c>
      <c r="Q5196" s="92">
        <v>45436.0</v>
      </c>
      <c r="R5196" s="76"/>
      <c r="S5196" s="92">
        <v>45439.0</v>
      </c>
      <c r="T5196" s="49"/>
      <c r="V5196" s="21" t="s">
        <v>4188</v>
      </c>
    </row>
    <row r="5197">
      <c r="A5197" s="117">
        <v>4293.0</v>
      </c>
      <c r="B5197" s="51" t="s">
        <v>65</v>
      </c>
      <c r="C5197" s="51" t="s">
        <v>4182</v>
      </c>
      <c r="D5197" s="51" t="s">
        <v>4176</v>
      </c>
      <c r="E5197" s="41" t="str">
        <f>IFERROR(__xludf.DUMMYFUNCTION("IFNA(vlookup(D5197,IMPORTRANGE(""https://docs.google.com/spreadsheets/d/1swGwZOEqYlTEUCJLY-eeJM1911Kvaei5oySBIxdgtNo/edit?pli=1#gid=257618397"",""stock untanna!B:C""),2,false),V:V)"),"BINDER NOTE HYB - 86804 A5")</f>
        <v>BINDER NOTE HYB - 86804 A5</v>
      </c>
      <c r="F5197" s="49"/>
      <c r="G5197" s="71"/>
      <c r="H5197" s="41"/>
      <c r="I5197" s="42"/>
      <c r="J5197" s="85" t="s">
        <v>1319</v>
      </c>
      <c r="K5197" s="93">
        <v>12.0</v>
      </c>
      <c r="L5197" s="112" t="s">
        <v>69</v>
      </c>
      <c r="M5197" s="101">
        <v>25000.0</v>
      </c>
      <c r="N5197" s="74"/>
      <c r="O5197" s="87">
        <f t="shared" si="11"/>
        <v>300000</v>
      </c>
      <c r="P5197" s="102" t="str">
        <f t="shared" si="2"/>
        <v>Rp25,000-12 PCS-0.00%</v>
      </c>
      <c r="Q5197" s="92">
        <v>45436.0</v>
      </c>
      <c r="R5197" s="76"/>
      <c r="S5197" s="92">
        <v>45439.0</v>
      </c>
      <c r="T5197" s="49"/>
      <c r="V5197" s="21" t="s">
        <v>4177</v>
      </c>
    </row>
    <row r="5198">
      <c r="A5198" s="117">
        <v>4293.0</v>
      </c>
      <c r="B5198" s="51" t="s">
        <v>65</v>
      </c>
      <c r="C5198" s="51" t="s">
        <v>4182</v>
      </c>
      <c r="D5198" s="51" t="s">
        <v>880</v>
      </c>
      <c r="E5198" s="41" t="str">
        <f>IFERROR(__xludf.DUMMYFUNCTION("IFNA(vlookup(D5198,IMPORTRANGE(""https://docs.google.com/spreadsheets/d/1swGwZOEqYlTEUCJLY-eeJM1911Kvaei5oySBIxdgtNo/edit?pli=1#gid=257618397"",""stock untanna!B:C""),2,false),V:V)"),"TAS TUTUP PITA KADO FG-301 BESAR")</f>
        <v>TAS TUTUP PITA KADO FG-301 BESAR</v>
      </c>
      <c r="F5198" s="49"/>
      <c r="G5198" s="71"/>
      <c r="H5198" s="41"/>
      <c r="I5198" s="42"/>
      <c r="J5198" s="85" t="s">
        <v>1319</v>
      </c>
      <c r="K5198" s="93">
        <v>2.0</v>
      </c>
      <c r="L5198" s="112" t="s">
        <v>62</v>
      </c>
      <c r="M5198" s="101">
        <v>106000.0</v>
      </c>
      <c r="N5198" s="74"/>
      <c r="O5198" s="87">
        <f t="shared" si="11"/>
        <v>212000</v>
      </c>
      <c r="P5198" s="102" t="str">
        <f t="shared" si="2"/>
        <v>Rp106,000-2 LSN-0.00%</v>
      </c>
      <c r="Q5198" s="92">
        <v>45436.0</v>
      </c>
      <c r="R5198" s="76"/>
      <c r="S5198" s="92">
        <v>45439.0</v>
      </c>
      <c r="T5198" s="49"/>
      <c r="V5198" s="21" t="s">
        <v>881</v>
      </c>
    </row>
    <row r="5199">
      <c r="A5199" s="117">
        <v>4293.0</v>
      </c>
      <c r="B5199" s="51" t="s">
        <v>65</v>
      </c>
      <c r="C5199" s="51" t="s">
        <v>4182</v>
      </c>
      <c r="D5199" s="51" t="s">
        <v>880</v>
      </c>
      <c r="E5199" s="41" t="str">
        <f>IFERROR(__xludf.DUMMYFUNCTION("IFNA(vlookup(D5199,IMPORTRANGE(""https://docs.google.com/spreadsheets/d/1swGwZOEqYlTEUCJLY-eeJM1911Kvaei5oySBIxdgtNo/edit?pli=1#gid=257618397"",""stock untanna!B:C""),2,false),V:V)"),"TAS TUTUP PITA KADO FG-301 BESAR")</f>
        <v>TAS TUTUP PITA KADO FG-301 BESAR</v>
      </c>
      <c r="F5199" s="49"/>
      <c r="G5199" s="71"/>
      <c r="H5199" s="41"/>
      <c r="I5199" s="42"/>
      <c r="J5199" s="85" t="s">
        <v>1319</v>
      </c>
      <c r="K5199" s="93">
        <v>2.0</v>
      </c>
      <c r="L5199" s="112" t="s">
        <v>62</v>
      </c>
      <c r="M5199" s="101">
        <v>106000.0</v>
      </c>
      <c r="N5199" s="74"/>
      <c r="O5199" s="87">
        <f t="shared" si="11"/>
        <v>212000</v>
      </c>
      <c r="P5199" s="102" t="str">
        <f t="shared" si="2"/>
        <v>Rp106,000-2 LSN-0.00%</v>
      </c>
      <c r="Q5199" s="92">
        <v>45436.0</v>
      </c>
      <c r="R5199" s="76"/>
      <c r="S5199" s="92">
        <v>45439.0</v>
      </c>
      <c r="T5199" s="49"/>
      <c r="V5199" s="21" t="s">
        <v>881</v>
      </c>
    </row>
    <row r="5200">
      <c r="A5200" s="117">
        <v>4293.0</v>
      </c>
      <c r="B5200" s="51" t="s">
        <v>65</v>
      </c>
      <c r="C5200" s="51" t="s">
        <v>4182</v>
      </c>
      <c r="D5200" s="51" t="s">
        <v>880</v>
      </c>
      <c r="E5200" s="41" t="str">
        <f>IFERROR(__xludf.DUMMYFUNCTION("IFNA(vlookup(D5200,IMPORTRANGE(""https://docs.google.com/spreadsheets/d/1swGwZOEqYlTEUCJLY-eeJM1911Kvaei5oySBIxdgtNo/edit?pli=1#gid=257618397"",""stock untanna!B:C""),2,false),V:V)"),"TAS TUTUP PITA KADO FG-301 BESAR")</f>
        <v>TAS TUTUP PITA KADO FG-301 BESAR</v>
      </c>
      <c r="F5200" s="49"/>
      <c r="G5200" s="71"/>
      <c r="H5200" s="41"/>
      <c r="I5200" s="42"/>
      <c r="J5200" s="85" t="s">
        <v>1319</v>
      </c>
      <c r="K5200" s="93">
        <v>2.0</v>
      </c>
      <c r="L5200" s="112" t="s">
        <v>62</v>
      </c>
      <c r="M5200" s="101">
        <v>106000.0</v>
      </c>
      <c r="N5200" s="74"/>
      <c r="O5200" s="87">
        <f t="shared" si="11"/>
        <v>212000</v>
      </c>
      <c r="P5200" s="102" t="str">
        <f t="shared" si="2"/>
        <v>Rp106,000-2 LSN-0.00%</v>
      </c>
      <c r="Q5200" s="92">
        <v>45436.0</v>
      </c>
      <c r="R5200" s="76"/>
      <c r="S5200" s="92">
        <v>45439.0</v>
      </c>
      <c r="T5200" s="49"/>
      <c r="V5200" s="21" t="s">
        <v>881</v>
      </c>
    </row>
    <row r="5201">
      <c r="A5201" s="117">
        <v>4293.0</v>
      </c>
      <c r="B5201" s="51" t="s">
        <v>65</v>
      </c>
      <c r="C5201" s="51" t="s">
        <v>4182</v>
      </c>
      <c r="D5201" s="51" t="s">
        <v>880</v>
      </c>
      <c r="E5201" s="41" t="str">
        <f>IFERROR(__xludf.DUMMYFUNCTION("IFNA(vlookup(D5201,IMPORTRANGE(""https://docs.google.com/spreadsheets/d/1swGwZOEqYlTEUCJLY-eeJM1911Kvaei5oySBIxdgtNo/edit?pli=1#gid=257618397"",""stock untanna!B:C""),2,false),V:V)"),"TAS TUTUP PITA KADO FG-301 BESAR")</f>
        <v>TAS TUTUP PITA KADO FG-301 BESAR</v>
      </c>
      <c r="F5201" s="49"/>
      <c r="G5201" s="71"/>
      <c r="H5201" s="41"/>
      <c r="I5201" s="42"/>
      <c r="J5201" s="85" t="s">
        <v>1319</v>
      </c>
      <c r="K5201" s="93">
        <v>2.0</v>
      </c>
      <c r="L5201" s="112" t="s">
        <v>62</v>
      </c>
      <c r="M5201" s="101">
        <v>106000.0</v>
      </c>
      <c r="N5201" s="74"/>
      <c r="O5201" s="87">
        <f t="shared" si="11"/>
        <v>212000</v>
      </c>
      <c r="P5201" s="102" t="str">
        <f t="shared" si="2"/>
        <v>Rp106,000-2 LSN-0.00%</v>
      </c>
      <c r="Q5201" s="92">
        <v>45436.0</v>
      </c>
      <c r="R5201" s="76"/>
      <c r="S5201" s="92">
        <v>45439.0</v>
      </c>
      <c r="T5201" s="49"/>
      <c r="V5201" s="21" t="s">
        <v>881</v>
      </c>
    </row>
    <row r="5202">
      <c r="A5202" s="117">
        <v>4294.0</v>
      </c>
      <c r="B5202" s="51" t="s">
        <v>65</v>
      </c>
      <c r="C5202" s="51" t="s">
        <v>4182</v>
      </c>
      <c r="D5202" s="51" t="s">
        <v>247</v>
      </c>
      <c r="E5202" s="41" t="str">
        <f>IFERROR(__xludf.DUMMYFUNCTION("IFNA(vlookup(D5202,IMPORTRANGE(""https://docs.google.com/spreadsheets/d/1swGwZOEqYlTEUCJLY-eeJM1911Kvaei5oySBIxdgtNo/edit?pli=1#gid=257618397"",""stock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5202" s="49"/>
      <c r="G5202" s="71"/>
      <c r="H5202" s="41"/>
      <c r="I5202" s="42"/>
      <c r="J5202" s="85" t="s">
        <v>1319</v>
      </c>
      <c r="K5202" s="93">
        <v>1.0</v>
      </c>
      <c r="L5202" s="112" t="s">
        <v>62</v>
      </c>
      <c r="M5202" s="101">
        <v>95000.0</v>
      </c>
      <c r="N5202" s="74"/>
      <c r="O5202" s="87">
        <f t="shared" si="11"/>
        <v>95000</v>
      </c>
      <c r="P5202" s="102" t="str">
        <f t="shared" si="2"/>
        <v>Rp95,000-1 LSN-0.00%</v>
      </c>
      <c r="Q5202" s="92">
        <v>45436.0</v>
      </c>
      <c r="R5202" s="76"/>
      <c r="S5202" s="92">
        <v>45439.0</v>
      </c>
      <c r="T5202" s="49"/>
      <c r="V5202" s="21" t="s">
        <v>248</v>
      </c>
    </row>
    <row r="5203">
      <c r="A5203" s="117">
        <v>4294.0</v>
      </c>
      <c r="B5203" s="51" t="s">
        <v>65</v>
      </c>
      <c r="C5203" s="51" t="s">
        <v>4182</v>
      </c>
      <c r="D5203" s="51" t="s">
        <v>2327</v>
      </c>
      <c r="E5203" s="41" t="str">
        <f>IFERROR(__xludf.DUMMYFUNCTION("IFNA(vlookup(D5203,IMPORTRANGE(""https://docs.google.com/spreadsheets/d/1swGwZOEqYlTEUCJLY-eeJM1911Kvaei5oySBIxdgtNo/edit?pli=1#gid=257618397"",""stock untanna!B:C""),2,false),V:V)"),"STICK NOTE TF 654 5C")</f>
        <v>STICK NOTE TF 654 5C</v>
      </c>
      <c r="F5203" s="49"/>
      <c r="G5203" s="71"/>
      <c r="H5203" s="41"/>
      <c r="I5203" s="42"/>
      <c r="J5203" s="85" t="s">
        <v>1319</v>
      </c>
      <c r="K5203" s="93">
        <v>40.0</v>
      </c>
      <c r="L5203" s="112" t="s">
        <v>69</v>
      </c>
      <c r="M5203" s="101">
        <v>4000.0</v>
      </c>
      <c r="N5203" s="74"/>
      <c r="O5203" s="87">
        <f t="shared" si="11"/>
        <v>160000</v>
      </c>
      <c r="P5203" s="102" t="str">
        <f t="shared" si="2"/>
        <v>Rp4,000-40 PCS-0.00%</v>
      </c>
      <c r="Q5203" s="92">
        <v>45436.0</v>
      </c>
      <c r="R5203" s="76"/>
      <c r="S5203" s="92">
        <v>45439.0</v>
      </c>
      <c r="T5203" s="49"/>
      <c r="V5203" s="21" t="s">
        <v>2328</v>
      </c>
    </row>
    <row r="5204">
      <c r="A5204" s="117">
        <v>4294.0</v>
      </c>
      <c r="B5204" s="51" t="s">
        <v>65</v>
      </c>
      <c r="C5204" s="51" t="s">
        <v>4182</v>
      </c>
      <c r="D5204" s="51" t="s">
        <v>4189</v>
      </c>
      <c r="E5204" s="41" t="str">
        <f>IFERROR(__xludf.DUMMYFUNCTION("IFNA(vlookup(D5204,IMPORTRANGE(""https://docs.google.com/spreadsheets/d/1swGwZOEqYlTEUCJLY-eeJM1911Kvaei5oySBIxdgtNo/edit?pli=1#gid=257618397"",""stock untanna!B:C""),2,false),V:V)"),"GANTUNGAN KUNCI + AIR GLITER 706-1")</f>
        <v>GANTUNGAN KUNCI + AIR GLITER 706-1</v>
      </c>
      <c r="F5204" s="49"/>
      <c r="G5204" s="71"/>
      <c r="H5204" s="41"/>
      <c r="I5204" s="42"/>
      <c r="J5204" s="85" t="s">
        <v>1319</v>
      </c>
      <c r="K5204" s="93">
        <v>12.0</v>
      </c>
      <c r="L5204" s="112" t="s">
        <v>69</v>
      </c>
      <c r="M5204" s="101">
        <v>25000.0</v>
      </c>
      <c r="N5204" s="74"/>
      <c r="O5204" s="87">
        <f t="shared" si="11"/>
        <v>300000</v>
      </c>
      <c r="P5204" s="102" t="str">
        <f t="shared" si="2"/>
        <v>Rp25,000-12 PCS-0.00%</v>
      </c>
      <c r="Q5204" s="92">
        <v>45436.0</v>
      </c>
      <c r="R5204" s="76"/>
      <c r="S5204" s="92">
        <v>45439.0</v>
      </c>
      <c r="T5204" s="49"/>
      <c r="V5204" s="21" t="s">
        <v>4190</v>
      </c>
    </row>
    <row r="5205">
      <c r="A5205" s="117">
        <v>4294.0</v>
      </c>
      <c r="B5205" s="51" t="s">
        <v>65</v>
      </c>
      <c r="C5205" s="51" t="s">
        <v>4182</v>
      </c>
      <c r="D5205" s="51" t="s">
        <v>2241</v>
      </c>
      <c r="E5205" s="41" t="str">
        <f>IFERROR(__xludf.DUMMYFUNCTION("IFNA(vlookup(D5205,IMPORTRANGE(""https://docs.google.com/spreadsheets/d/1swGwZOEqYlTEUCJLY-eeJM1911Kvaei5oySBIxdgtNo/edit?pli=1#gid=257618397"",""stock untanna!B:C""),2,false),V:V)"),"DIARY CK64-6031 HAHA (112LBR)")</f>
        <v>DIARY CK64-6031 HAHA (112LBR)</v>
      </c>
      <c r="F5205" s="49"/>
      <c r="G5205" s="71"/>
      <c r="H5205" s="41"/>
      <c r="I5205" s="42"/>
      <c r="J5205" s="85" t="s">
        <v>1319</v>
      </c>
      <c r="K5205" s="93">
        <v>24.0</v>
      </c>
      <c r="L5205" s="112" t="s">
        <v>69</v>
      </c>
      <c r="M5205" s="101">
        <v>15000.0</v>
      </c>
      <c r="N5205" s="74"/>
      <c r="O5205" s="87">
        <f t="shared" si="11"/>
        <v>360000</v>
      </c>
      <c r="P5205" s="102" t="str">
        <f t="shared" si="2"/>
        <v>Rp15,000-24 PCS-0.00%</v>
      </c>
      <c r="Q5205" s="92">
        <v>45436.0</v>
      </c>
      <c r="R5205" s="76"/>
      <c r="S5205" s="92">
        <v>45439.0</v>
      </c>
      <c r="T5205" s="49"/>
      <c r="V5205" s="21" t="s">
        <v>2242</v>
      </c>
    </row>
    <row r="5206">
      <c r="A5206" s="117">
        <v>148.0</v>
      </c>
      <c r="B5206" s="51" t="s">
        <v>65</v>
      </c>
      <c r="C5206" s="51" t="s">
        <v>97</v>
      </c>
      <c r="D5206" s="51" t="s">
        <v>757</v>
      </c>
      <c r="E5206" s="41" t="str">
        <f>IFERROR(__xludf.DUMMYFUNCTION("IFNA(vlookup(D5206,IMPORTRANGE(""https://docs.google.com/spreadsheets/d/1swGwZOEqYlTEUCJLY-eeJM1911Kvaei5oySBIxdgtNo/edit?pli=1#gid=257618397"",""stock untanna!B:C""),2,false),V:V)"),"TIPEX MICROTOP MT 737")</f>
        <v>TIPEX MICROTOP MT 737</v>
      </c>
      <c r="F5206" s="49"/>
      <c r="G5206" s="71"/>
      <c r="H5206" s="41"/>
      <c r="I5206" s="42"/>
      <c r="J5206" s="85" t="s">
        <v>1319</v>
      </c>
      <c r="K5206" s="93">
        <v>144.0</v>
      </c>
      <c r="L5206" s="112" t="s">
        <v>62</v>
      </c>
      <c r="M5206" s="101">
        <v>88000.0</v>
      </c>
      <c r="N5206" s="74"/>
      <c r="O5206" s="87">
        <f t="shared" si="11"/>
        <v>12672000</v>
      </c>
      <c r="P5206" s="102" t="str">
        <f t="shared" si="2"/>
        <v>Rp88,000-144 LSN-0.00%</v>
      </c>
      <c r="Q5206" s="92">
        <v>45436.0</v>
      </c>
      <c r="R5206" s="76"/>
      <c r="S5206" s="92">
        <v>45439.0</v>
      </c>
      <c r="T5206" s="49"/>
      <c r="V5206" s="21" t="s">
        <v>758</v>
      </c>
    </row>
    <row r="5207">
      <c r="A5207" s="117">
        <v>148.0</v>
      </c>
      <c r="B5207" s="51" t="s">
        <v>65</v>
      </c>
      <c r="C5207" s="51" t="s">
        <v>97</v>
      </c>
      <c r="D5207" s="51" t="s">
        <v>746</v>
      </c>
      <c r="E5207" s="41" t="str">
        <f>IFERROR(__xludf.DUMMYFUNCTION("IFNA(vlookup(D5207,IMPORTRANGE(""https://docs.google.com/spreadsheets/d/1swGwZOEqYlTEUCJLY-eeJM1911Kvaei5oySBIxdgtNo/edit?pli=1#gid=257618397"",""stock untanna!B:C""),2,false),V:V)"),"STAMP PAD HERO K")</f>
        <v>STAMP PAD HERO K</v>
      </c>
      <c r="F5207" s="49"/>
      <c r="G5207" s="71"/>
      <c r="H5207" s="41"/>
      <c r="I5207" s="42"/>
      <c r="J5207" s="85" t="s">
        <v>1319</v>
      </c>
      <c r="K5207" s="93">
        <v>48.0</v>
      </c>
      <c r="L5207" s="112" t="s">
        <v>62</v>
      </c>
      <c r="M5207" s="101">
        <v>62500.0</v>
      </c>
      <c r="N5207" s="74"/>
      <c r="O5207" s="87">
        <f t="shared" si="11"/>
        <v>3000000</v>
      </c>
      <c r="P5207" s="102" t="str">
        <f t="shared" si="2"/>
        <v>Rp62,500-48 LSN-0.00%</v>
      </c>
      <c r="Q5207" s="92">
        <v>45436.0</v>
      </c>
      <c r="R5207" s="76"/>
      <c r="S5207" s="92">
        <v>45439.0</v>
      </c>
      <c r="T5207" s="49"/>
      <c r="V5207" s="21" t="s">
        <v>747</v>
      </c>
    </row>
    <row r="5208">
      <c r="A5208" s="117">
        <v>148.0</v>
      </c>
      <c r="B5208" s="51" t="s">
        <v>65</v>
      </c>
      <c r="C5208" s="51" t="s">
        <v>97</v>
      </c>
      <c r="D5208" s="51" t="s">
        <v>4191</v>
      </c>
      <c r="E5208" s="41" t="str">
        <f>IFERROR(__xludf.DUMMYFUNCTION("IFNA(vlookup(D5208,IMPORTRANGE(""https://docs.google.com/spreadsheets/d/1swGwZOEqYlTEUCJLY-eeJM1911Kvaei5oySBIxdgtNo/edit?pli=1#gid=257618397"",""stock untanna!B:C""),2,false),V:V)"),"ID CARD A2")</f>
        <v>ID CARD A2</v>
      </c>
      <c r="F5208" s="49"/>
      <c r="G5208" s="71"/>
      <c r="H5208" s="41"/>
      <c r="I5208" s="42"/>
      <c r="J5208" s="85" t="s">
        <v>1319</v>
      </c>
      <c r="K5208" s="93">
        <v>4000.0</v>
      </c>
      <c r="L5208" s="112" t="s">
        <v>69</v>
      </c>
      <c r="M5208" s="101">
        <v>475.0</v>
      </c>
      <c r="N5208" s="74"/>
      <c r="O5208" s="87">
        <f t="shared" si="11"/>
        <v>1900000</v>
      </c>
      <c r="P5208" s="102" t="str">
        <f t="shared" si="2"/>
        <v>Rp475-4000 PCS-0.00%</v>
      </c>
      <c r="Q5208" s="92">
        <v>45436.0</v>
      </c>
      <c r="R5208" s="76"/>
      <c r="S5208" s="92">
        <v>45439.0</v>
      </c>
      <c r="T5208" s="49"/>
      <c r="V5208" s="21" t="s">
        <v>3129</v>
      </c>
    </row>
    <row r="5209">
      <c r="A5209" s="117">
        <v>148.0</v>
      </c>
      <c r="B5209" s="51" t="s">
        <v>65</v>
      </c>
      <c r="C5209" s="51" t="s">
        <v>97</v>
      </c>
      <c r="D5209" s="51" t="s">
        <v>3721</v>
      </c>
      <c r="E5209" s="41" t="str">
        <f>IFERROR(__xludf.DUMMYFUNCTION("IFNA(vlookup(D5209,IMPORTRANGE(""https://docs.google.com/spreadsheets/d/1swGwZOEqYlTEUCJLY-eeJM1911Kvaei5oySBIxdgtNo/edit?pli=1#gid=257618397"",""stock untanna!B:C""),2,false),V:V)"),"ACRYLIC PLASTIK KOALA 8X30")</f>
        <v>ACRYLIC PLASTIK KOALA 8X30</v>
      </c>
      <c r="F5209" s="49"/>
      <c r="G5209" s="71"/>
      <c r="H5209" s="41"/>
      <c r="I5209" s="42"/>
      <c r="J5209" s="85" t="s">
        <v>1319</v>
      </c>
      <c r="K5209" s="93">
        <v>144.0</v>
      </c>
      <c r="L5209" s="112" t="s">
        <v>69</v>
      </c>
      <c r="M5209" s="101">
        <v>20000.0</v>
      </c>
      <c r="N5209" s="74"/>
      <c r="O5209" s="87">
        <f t="shared" si="11"/>
        <v>2880000</v>
      </c>
      <c r="P5209" s="102" t="str">
        <f t="shared" si="2"/>
        <v>Rp20,000-144 PCS-0.00%</v>
      </c>
      <c r="Q5209" s="92">
        <v>45436.0</v>
      </c>
      <c r="R5209" s="76"/>
      <c r="S5209" s="92">
        <v>45439.0</v>
      </c>
      <c r="T5209" s="49"/>
      <c r="V5209" s="21" t="s">
        <v>3722</v>
      </c>
    </row>
    <row r="5210">
      <c r="A5210" s="117">
        <v>148.0</v>
      </c>
      <c r="B5210" s="51" t="s">
        <v>65</v>
      </c>
      <c r="C5210" s="51" t="s">
        <v>97</v>
      </c>
      <c r="D5210" s="51" t="s">
        <v>3602</v>
      </c>
      <c r="E5210" s="41" t="str">
        <f>IFERROR(__xludf.DUMMYFUNCTION("IFNA(vlookup(D5210,IMPORTRANGE(""https://docs.google.com/spreadsheets/d/1swGwZOEqYlTEUCJLY-eeJM1911Kvaei5oySBIxdgtNo/edit?pli=1#gid=257618397"",""stock untanna!B:C""),2,false),V:V)"),"ACRYLIC 8 X 25")</f>
        <v>ACRYLIC 8 X 25</v>
      </c>
      <c r="F5210" s="49"/>
      <c r="G5210" s="71"/>
      <c r="H5210" s="41"/>
      <c r="I5210" s="42"/>
      <c r="J5210" s="85" t="s">
        <v>1319</v>
      </c>
      <c r="K5210" s="93">
        <v>144.0</v>
      </c>
      <c r="L5210" s="112" t="s">
        <v>69</v>
      </c>
      <c r="M5210" s="101">
        <v>19000.0</v>
      </c>
      <c r="N5210" s="74"/>
      <c r="O5210" s="87">
        <f t="shared" si="11"/>
        <v>2736000</v>
      </c>
      <c r="P5210" s="102" t="str">
        <f t="shared" si="2"/>
        <v>Rp19,000-144 PCS-0.00%</v>
      </c>
      <c r="Q5210" s="92">
        <v>45436.0</v>
      </c>
      <c r="R5210" s="76"/>
      <c r="S5210" s="92">
        <v>45439.0</v>
      </c>
      <c r="T5210" s="49"/>
      <c r="V5210" s="21" t="s">
        <v>3603</v>
      </c>
    </row>
    <row r="5211">
      <c r="A5211" s="117">
        <v>148.0</v>
      </c>
      <c r="B5211" s="51" t="s">
        <v>65</v>
      </c>
      <c r="C5211" s="51" t="s">
        <v>97</v>
      </c>
      <c r="D5211" s="51" t="s">
        <v>247</v>
      </c>
      <c r="E5211" s="41" t="str">
        <f>IFERROR(__xludf.DUMMYFUNCTION("IFNA(vlookup(D5211,IMPORTRANGE(""https://docs.google.com/spreadsheets/d/1swGwZOEqYlTEUCJLY-eeJM1911Kvaei5oySBIxdgtNo/edit?pli=1#gid=257618397"",""stock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5211" s="49"/>
      <c r="G5211" s="71"/>
      <c r="H5211" s="41"/>
      <c r="I5211" s="42"/>
      <c r="J5211" s="85" t="s">
        <v>1319</v>
      </c>
      <c r="K5211" s="93">
        <v>40.0</v>
      </c>
      <c r="L5211" s="112" t="s">
        <v>62</v>
      </c>
      <c r="M5211" s="101">
        <v>95000.0</v>
      </c>
      <c r="N5211" s="115">
        <v>0.1</v>
      </c>
      <c r="O5211" s="87">
        <f t="shared" si="11"/>
        <v>3420000</v>
      </c>
      <c r="P5211" s="102" t="str">
        <f t="shared" si="2"/>
        <v>Rp95,000-40 LSN-10.00%</v>
      </c>
      <c r="Q5211" s="92">
        <v>45436.0</v>
      </c>
      <c r="R5211" s="76"/>
      <c r="S5211" s="92">
        <v>45439.0</v>
      </c>
      <c r="T5211" s="49"/>
      <c r="V5211" s="21" t="s">
        <v>248</v>
      </c>
    </row>
    <row r="5212">
      <c r="A5212" s="117">
        <v>148.0</v>
      </c>
      <c r="B5212" s="51" t="s">
        <v>65</v>
      </c>
      <c r="C5212" s="51" t="s">
        <v>97</v>
      </c>
      <c r="D5212" s="51" t="s">
        <v>880</v>
      </c>
      <c r="E5212" s="41" t="str">
        <f>IFERROR(__xludf.DUMMYFUNCTION("IFNA(vlookup(D5212,IMPORTRANGE(""https://docs.google.com/spreadsheets/d/1swGwZOEqYlTEUCJLY-eeJM1911Kvaei5oySBIxdgtNo/edit?pli=1#gid=257618397"",""stock untanna!B:C""),2,false),V:V)"),"TAS TUTUP PITA KADO FG-301 BESAR")</f>
        <v>TAS TUTUP PITA KADO FG-301 BESAR</v>
      </c>
      <c r="F5212" s="49"/>
      <c r="G5212" s="71"/>
      <c r="H5212" s="41"/>
      <c r="I5212" s="42"/>
      <c r="J5212" s="85" t="s">
        <v>1319</v>
      </c>
      <c r="K5212" s="93">
        <v>30.0</v>
      </c>
      <c r="L5212" s="112" t="s">
        <v>62</v>
      </c>
      <c r="M5212" s="101">
        <v>106000.0</v>
      </c>
      <c r="N5212" s="115">
        <v>0.1</v>
      </c>
      <c r="O5212" s="87">
        <f t="shared" si="11"/>
        <v>2862000</v>
      </c>
      <c r="P5212" s="102" t="str">
        <f t="shared" si="2"/>
        <v>Rp106,000-30 LSN-10.00%</v>
      </c>
      <c r="Q5212" s="92">
        <v>45436.0</v>
      </c>
      <c r="R5212" s="76"/>
      <c r="S5212" s="92">
        <v>45439.0</v>
      </c>
      <c r="T5212" s="49"/>
      <c r="V5212" s="21" t="s">
        <v>881</v>
      </c>
    </row>
    <row r="5213">
      <c r="A5213" s="117">
        <v>148.0</v>
      </c>
      <c r="B5213" s="51" t="s">
        <v>65</v>
      </c>
      <c r="C5213" s="51" t="s">
        <v>97</v>
      </c>
      <c r="D5213" s="51" t="s">
        <v>651</v>
      </c>
      <c r="E5213" s="41" t="str">
        <f>IFERROR(__xludf.DUMMYFUNCTION("IFNA(vlookup(D5213,IMPORTRANGE(""https://docs.google.com/spreadsheets/d/1swGwZOEqYlTEUCJLY-eeJM1911Kvaei5oySBIxdgtNo/edit?pli=1#gid=257618397"",""stock untanna!B:C""),2,false),V:V)"),"TAS TALI GG-02 TANGGUNG GILAP")</f>
        <v>TAS TALI GG-02 TANGGUNG GILAP</v>
      </c>
      <c r="F5213" s="49"/>
      <c r="G5213" s="71"/>
      <c r="H5213" s="41"/>
      <c r="I5213" s="42"/>
      <c r="J5213" s="85" t="s">
        <v>1319</v>
      </c>
      <c r="K5213" s="93">
        <v>40.0</v>
      </c>
      <c r="L5213" s="112" t="s">
        <v>62</v>
      </c>
      <c r="M5213" s="101">
        <v>100000.0</v>
      </c>
      <c r="N5213" s="115">
        <v>0.1</v>
      </c>
      <c r="O5213" s="87">
        <f t="shared" si="11"/>
        <v>3600000</v>
      </c>
      <c r="P5213" s="102" t="str">
        <f t="shared" si="2"/>
        <v>Rp100,000-40 LSN-10.00%</v>
      </c>
      <c r="Q5213" s="92">
        <v>45436.0</v>
      </c>
      <c r="R5213" s="76"/>
      <c r="S5213" s="92">
        <v>45439.0</v>
      </c>
      <c r="T5213" s="49"/>
      <c r="V5213" s="21" t="s">
        <v>652</v>
      </c>
    </row>
    <row r="5214">
      <c r="A5214" s="117">
        <v>148.0</v>
      </c>
      <c r="B5214" s="51" t="s">
        <v>65</v>
      </c>
      <c r="C5214" s="51" t="s">
        <v>97</v>
      </c>
      <c r="D5214" s="51" t="s">
        <v>653</v>
      </c>
      <c r="E5214" s="41" t="str">
        <f>IFERROR(__xludf.DUMMYFUNCTION("IFNA(vlookup(D5214,IMPORTRANGE(""https://docs.google.com/spreadsheets/d/1swGwZOEqYlTEUCJLY-eeJM1911Kvaei5oySBIxdgtNo/edit?pli=1#gid=257618397"",""stock untanna!B:C""),2,false),V:V)"),"TAS TALI GG-03 BESAR GILAP")</f>
        <v>TAS TALI GG-03 BESAR GILAP</v>
      </c>
      <c r="F5214" s="49"/>
      <c r="G5214" s="71"/>
      <c r="H5214" s="41"/>
      <c r="I5214" s="42"/>
      <c r="J5214" s="85" t="s">
        <v>1319</v>
      </c>
      <c r="K5214" s="93">
        <v>30.0</v>
      </c>
      <c r="L5214" s="112" t="s">
        <v>62</v>
      </c>
      <c r="M5214" s="101">
        <v>120000.0</v>
      </c>
      <c r="N5214" s="115">
        <v>0.1</v>
      </c>
      <c r="O5214" s="87">
        <f t="shared" si="11"/>
        <v>3240000</v>
      </c>
      <c r="P5214" s="102" t="str">
        <f t="shared" si="2"/>
        <v>Rp120,000-30 LSN-10.00%</v>
      </c>
      <c r="Q5214" s="92">
        <v>45436.0</v>
      </c>
      <c r="R5214" s="76"/>
      <c r="S5214" s="92">
        <v>45439.0</v>
      </c>
      <c r="T5214" s="49"/>
      <c r="V5214" s="21" t="s">
        <v>654</v>
      </c>
    </row>
    <row r="5215">
      <c r="A5215" s="117">
        <v>148.0</v>
      </c>
      <c r="B5215" s="51" t="s">
        <v>65</v>
      </c>
      <c r="C5215" s="51" t="s">
        <v>97</v>
      </c>
      <c r="D5215" s="118"/>
      <c r="E5215" s="41" t="str">
        <f>IFERROR(__xludf.DUMMYFUNCTION("IFNA(vlookup(D5215,IMPORTRANGE(""https://docs.google.com/spreadsheets/d/1swGwZOEqYlTEUCJLY-eeJM1911Kvaei5oySBIxdgtNo/edit?pli=1#gid=257618397"",""stock untanna!B:C""),2,false),V:V)"),"KEMOCHENG KOMPUTER")</f>
        <v>KEMOCHENG KOMPUTER</v>
      </c>
      <c r="F5215" s="49"/>
      <c r="G5215" s="71"/>
      <c r="H5215" s="41"/>
      <c r="I5215" s="42"/>
      <c r="J5215" s="85" t="s">
        <v>3190</v>
      </c>
      <c r="K5215" s="93">
        <v>100.0</v>
      </c>
      <c r="L5215" s="112" t="s">
        <v>62</v>
      </c>
      <c r="M5215" s="101">
        <v>57500.0</v>
      </c>
      <c r="N5215" s="74"/>
      <c r="O5215" s="87">
        <f t="shared" si="11"/>
        <v>5750000</v>
      </c>
      <c r="P5215" s="102" t="str">
        <f t="shared" si="2"/>
        <v>Rp57,500-100 LSN-0.00%</v>
      </c>
      <c r="Q5215" s="92">
        <v>45436.0</v>
      </c>
      <c r="R5215" s="76"/>
      <c r="S5215" s="92">
        <v>45439.0</v>
      </c>
      <c r="T5215" s="49"/>
      <c r="V5215" s="21" t="s">
        <v>1200</v>
      </c>
    </row>
    <row r="5216">
      <c r="A5216" s="117">
        <v>4295.0</v>
      </c>
      <c r="B5216" s="51" t="s">
        <v>65</v>
      </c>
      <c r="C5216" s="51" t="s">
        <v>4192</v>
      </c>
      <c r="D5216" s="51" t="s">
        <v>4193</v>
      </c>
      <c r="E5216" s="41" t="str">
        <f>IFERROR(__xludf.DUMMYFUNCTION("IFNA(vlookup(D5216,IMPORTRANGE(""https://docs.google.com/spreadsheets/d/1swGwZOEqYlTEUCJLY-eeJM1911Kvaei5oySBIxdgtNo/edit?pli=1#gid=257618397"",""stock untanna!B:C""),2,false),V:V)"),"GARISAN SEGITIGA KOJIKO NO.6")</f>
        <v>GARISAN SEGITIGA KOJIKO NO.6</v>
      </c>
      <c r="F5216" s="49"/>
      <c r="G5216" s="71"/>
      <c r="H5216" s="41"/>
      <c r="I5216" s="42"/>
      <c r="J5216" s="85" t="s">
        <v>1319</v>
      </c>
      <c r="K5216" s="93">
        <v>20.0</v>
      </c>
      <c r="L5216" s="112" t="s">
        <v>62</v>
      </c>
      <c r="M5216" s="101">
        <v>30000.0</v>
      </c>
      <c r="N5216" s="74"/>
      <c r="O5216" s="87">
        <f t="shared" si="11"/>
        <v>600000</v>
      </c>
      <c r="P5216" s="102" t="str">
        <f t="shared" si="2"/>
        <v>Rp30,000-20 LSN-0.00%</v>
      </c>
      <c r="Q5216" s="92">
        <v>45436.0</v>
      </c>
      <c r="R5216" s="76"/>
      <c r="S5216" s="92">
        <v>45439.0</v>
      </c>
      <c r="T5216" s="49"/>
      <c r="V5216" s="21" t="s">
        <v>4194</v>
      </c>
    </row>
    <row r="5217">
      <c r="A5217" s="117">
        <v>4295.0</v>
      </c>
      <c r="B5217" s="51" t="s">
        <v>65</v>
      </c>
      <c r="C5217" s="51" t="s">
        <v>4192</v>
      </c>
      <c r="D5217" s="51" t="s">
        <v>2576</v>
      </c>
      <c r="E5217" s="41" t="str">
        <f>IFERROR(__xludf.DUMMYFUNCTION("IFNA(vlookup(D5217,IMPORTRANGE(""https://docs.google.com/spreadsheets/d/1swGwZOEqYlTEUCJLY-eeJM1911Kvaei5oySBIxdgtNo/edit?pli=1#gid=257618397"",""stock untanna!B:C""),2,false),V:V)"),"STIP W/B ENTER 823 K")</f>
        <v>STIP W/B ENTER 823 K</v>
      </c>
      <c r="F5217" s="49"/>
      <c r="G5217" s="71"/>
      <c r="H5217" s="41"/>
      <c r="I5217" s="42"/>
      <c r="J5217" s="85" t="s">
        <v>1319</v>
      </c>
      <c r="K5217" s="93">
        <v>19.0</v>
      </c>
      <c r="L5217" s="112" t="s">
        <v>62</v>
      </c>
      <c r="M5217" s="101">
        <v>20000.0</v>
      </c>
      <c r="N5217" s="74"/>
      <c r="O5217" s="87">
        <f t="shared" si="11"/>
        <v>380000</v>
      </c>
      <c r="P5217" s="102" t="str">
        <f t="shared" si="2"/>
        <v>Rp20,000-19 LSN-0.00%</v>
      </c>
      <c r="Q5217" s="92">
        <v>45436.0</v>
      </c>
      <c r="R5217" s="76"/>
      <c r="S5217" s="92">
        <v>45439.0</v>
      </c>
      <c r="T5217" s="77" t="s">
        <v>280</v>
      </c>
      <c r="V5217" s="21" t="s">
        <v>708</v>
      </c>
    </row>
    <row r="5218">
      <c r="A5218" s="117">
        <v>4295.0</v>
      </c>
      <c r="B5218" s="51" t="s">
        <v>65</v>
      </c>
      <c r="C5218" s="51" t="s">
        <v>4192</v>
      </c>
      <c r="D5218" s="51" t="s">
        <v>606</v>
      </c>
      <c r="E5218" s="41" t="str">
        <f>IFERROR(__xludf.DUMMYFUNCTION("IFNA(vlookup(D5218,IMPORTRANGE(""https://docs.google.com/spreadsheets/d/1swGwZOEqYlTEUCJLY-eeJM1911Kvaei5oySBIxdgtNo/edit?pli=1#gid=257618397"",""stock untanna!B:C""),2,false),V:V)"),"GLITTER POWDER 15GR CC888")</f>
        <v>GLITTER POWDER 15GR CC888</v>
      </c>
      <c r="F5218" s="49"/>
      <c r="G5218" s="71"/>
      <c r="H5218" s="41"/>
      <c r="I5218" s="42"/>
      <c r="J5218" s="85" t="s">
        <v>1319</v>
      </c>
      <c r="K5218" s="93">
        <v>5.0</v>
      </c>
      <c r="L5218" s="112" t="s">
        <v>62</v>
      </c>
      <c r="M5218" s="101">
        <v>50000.0</v>
      </c>
      <c r="N5218" s="74"/>
      <c r="O5218" s="87">
        <f t="shared" si="11"/>
        <v>250000</v>
      </c>
      <c r="P5218" s="102" t="str">
        <f t="shared" si="2"/>
        <v>Rp50,000-5 LSN-0.00%</v>
      </c>
      <c r="Q5218" s="92">
        <v>45436.0</v>
      </c>
      <c r="R5218" s="76"/>
      <c r="S5218" s="92">
        <v>45439.0</v>
      </c>
      <c r="T5218" s="49"/>
      <c r="V5218" s="21" t="s">
        <v>4195</v>
      </c>
    </row>
    <row r="5219">
      <c r="A5219" s="117">
        <v>4295.0</v>
      </c>
      <c r="B5219" s="51" t="s">
        <v>65</v>
      </c>
      <c r="C5219" s="51" t="s">
        <v>4192</v>
      </c>
      <c r="D5219" s="51" t="s">
        <v>2241</v>
      </c>
      <c r="E5219" s="41" t="str">
        <f>IFERROR(__xludf.DUMMYFUNCTION("IFNA(vlookup(D5219,IMPORTRANGE(""https://docs.google.com/spreadsheets/d/1swGwZOEqYlTEUCJLY-eeJM1911Kvaei5oySBIxdgtNo/edit?pli=1#gid=257618397"",""stock untanna!B:C""),2,false),V:V)"),"DIARY CK64-6031 HAHA (112LBR)")</f>
        <v>DIARY CK64-6031 HAHA (112LBR)</v>
      </c>
      <c r="F5219" s="49"/>
      <c r="G5219" s="71"/>
      <c r="H5219" s="41"/>
      <c r="I5219" s="42"/>
      <c r="J5219" s="85" t="s">
        <v>1319</v>
      </c>
      <c r="K5219" s="93">
        <v>48.0</v>
      </c>
      <c r="L5219" s="112" t="s">
        <v>69</v>
      </c>
      <c r="M5219" s="101">
        <v>15000.0</v>
      </c>
      <c r="N5219" s="74"/>
      <c r="O5219" s="87">
        <f t="shared" si="11"/>
        <v>720000</v>
      </c>
      <c r="P5219" s="102" t="str">
        <f t="shared" si="2"/>
        <v>Rp15,000-48 PCS-0.00%</v>
      </c>
      <c r="Q5219" s="92">
        <v>45436.0</v>
      </c>
      <c r="R5219" s="76"/>
      <c r="S5219" s="92">
        <v>45439.0</v>
      </c>
      <c r="T5219" s="49"/>
      <c r="V5219" s="21" t="s">
        <v>2242</v>
      </c>
    </row>
    <row r="5220">
      <c r="A5220" s="117">
        <v>4295.0</v>
      </c>
      <c r="B5220" s="51" t="s">
        <v>65</v>
      </c>
      <c r="C5220" s="51" t="s">
        <v>4192</v>
      </c>
      <c r="D5220" s="51" t="s">
        <v>1557</v>
      </c>
      <c r="E5220" s="41" t="str">
        <f>IFERROR(__xludf.DUMMYFUNCTION("IFNA(vlookup(D5220,IMPORTRANGE(""https://docs.google.com/spreadsheets/d/1swGwZOEqYlTEUCJLY-eeJM1911Kvaei5oySBIxdgtNo/edit?pli=1#gid=257618397"",""stock untanna!B:C""),2,false),V:V)"),"NOTEBOOK  A5-103")</f>
        <v>NOTEBOOK  A5-103</v>
      </c>
      <c r="F5220" s="49"/>
      <c r="G5220" s="71"/>
      <c r="H5220" s="41"/>
      <c r="I5220" s="42"/>
      <c r="J5220" s="85" t="s">
        <v>1319</v>
      </c>
      <c r="K5220" s="93">
        <v>1.0</v>
      </c>
      <c r="L5220" s="112" t="s">
        <v>62</v>
      </c>
      <c r="M5220" s="101">
        <v>198000.0</v>
      </c>
      <c r="N5220" s="74"/>
      <c r="O5220" s="87">
        <f t="shared" si="11"/>
        <v>198000</v>
      </c>
      <c r="P5220" s="102" t="str">
        <f t="shared" si="2"/>
        <v>Rp198,000-1 LSN-0.00%</v>
      </c>
      <c r="Q5220" s="92">
        <v>45436.0</v>
      </c>
      <c r="R5220" s="76"/>
      <c r="S5220" s="92">
        <v>45439.0</v>
      </c>
      <c r="T5220" s="49"/>
      <c r="V5220" s="21" t="s">
        <v>1558</v>
      </c>
    </row>
    <row r="5221">
      <c r="A5221" s="117">
        <v>4295.0</v>
      </c>
      <c r="B5221" s="51" t="s">
        <v>65</v>
      </c>
      <c r="C5221" s="51" t="s">
        <v>4192</v>
      </c>
      <c r="D5221" s="51" t="s">
        <v>1374</v>
      </c>
      <c r="E5221" s="41" t="str">
        <f>IFERROR(__xludf.DUMMYFUNCTION("IFNA(vlookup(D5221,IMPORTRANGE(""https://docs.google.com/spreadsheets/d/1swGwZOEqYlTEUCJLY-eeJM1911Kvaei5oySBIxdgtNo/edit?pli=1#gid=257618397"",""stock untanna!B:C""),2,false),V:V)"),"NOTEBOOK  A5-106")</f>
        <v>NOTEBOOK  A5-106</v>
      </c>
      <c r="F5221" s="49"/>
      <c r="G5221" s="71"/>
      <c r="H5221" s="41"/>
      <c r="I5221" s="42"/>
      <c r="J5221" s="85" t="s">
        <v>1319</v>
      </c>
      <c r="K5221" s="93">
        <v>12.0</v>
      </c>
      <c r="L5221" s="112" t="s">
        <v>69</v>
      </c>
      <c r="M5221" s="101">
        <v>16500.0</v>
      </c>
      <c r="N5221" s="74"/>
      <c r="O5221" s="87">
        <f t="shared" si="11"/>
        <v>198000</v>
      </c>
      <c r="P5221" s="102" t="str">
        <f t="shared" si="2"/>
        <v>Rp16,500-12 PCS-0.00%</v>
      </c>
      <c r="Q5221" s="92">
        <v>45436.0</v>
      </c>
      <c r="R5221" s="76"/>
      <c r="S5221" s="92">
        <v>45439.0</v>
      </c>
      <c r="T5221" s="49"/>
      <c r="V5221" s="21" t="s">
        <v>1375</v>
      </c>
    </row>
    <row r="5222">
      <c r="A5222" s="117">
        <v>4295.0</v>
      </c>
      <c r="B5222" s="51" t="s">
        <v>65</v>
      </c>
      <c r="C5222" s="51" t="s">
        <v>4192</v>
      </c>
      <c r="D5222" s="51" t="s">
        <v>1792</v>
      </c>
      <c r="E5222" s="41" t="str">
        <f>IFERROR(__xludf.DUMMYFUNCTION("IFNA(vlookup(D5222,IMPORTRANGE(""https://docs.google.com/spreadsheets/d/1swGwZOEqYlTEUCJLY-eeJM1911Kvaei5oySBIxdgtNo/edit?pli=1#gid=257618397"",""stock untanna!B:C""),2,false),V:V)"),"NOTEBOOK  A5-105")</f>
        <v>NOTEBOOK  A5-105</v>
      </c>
      <c r="F5222" s="49"/>
      <c r="G5222" s="71"/>
      <c r="H5222" s="41"/>
      <c r="I5222" s="42"/>
      <c r="J5222" s="85" t="s">
        <v>1319</v>
      </c>
      <c r="K5222" s="93">
        <v>1.0</v>
      </c>
      <c r="L5222" s="112" t="s">
        <v>62</v>
      </c>
      <c r="M5222" s="101">
        <v>198000.0</v>
      </c>
      <c r="N5222" s="74"/>
      <c r="O5222" s="87">
        <f t="shared" si="11"/>
        <v>198000</v>
      </c>
      <c r="P5222" s="102" t="str">
        <f t="shared" si="2"/>
        <v>Rp198,000-1 LSN-0.00%</v>
      </c>
      <c r="Q5222" s="92">
        <v>45436.0</v>
      </c>
      <c r="R5222" s="76"/>
      <c r="S5222" s="92">
        <v>45439.0</v>
      </c>
      <c r="T5222" s="49"/>
      <c r="V5222" s="21" t="s">
        <v>1793</v>
      </c>
    </row>
    <row r="5223">
      <c r="A5223" s="117">
        <v>4295.0</v>
      </c>
      <c r="B5223" s="51" t="s">
        <v>65</v>
      </c>
      <c r="C5223" s="51" t="s">
        <v>4192</v>
      </c>
      <c r="D5223" s="51" t="s">
        <v>2398</v>
      </c>
      <c r="E5223" s="41" t="str">
        <f>IFERROR(__xludf.DUMMYFUNCTION("IFNA(vlookup(D5223,IMPORTRANGE(""https://docs.google.com/spreadsheets/d/1swGwZOEqYlTEUCJLY-eeJM1911Kvaei5oySBIxdgtNo/edit?pli=1#gid=257618397"",""stock untanna!B:C""),2,false),V:V)"),"NOTEBOOK  A5-508")</f>
        <v>NOTEBOOK  A5-508</v>
      </c>
      <c r="F5223" s="49"/>
      <c r="G5223" s="71"/>
      <c r="H5223" s="41"/>
      <c r="I5223" s="42"/>
      <c r="J5223" s="85" t="s">
        <v>1319</v>
      </c>
      <c r="K5223" s="93">
        <v>1.0</v>
      </c>
      <c r="L5223" s="112" t="s">
        <v>62</v>
      </c>
      <c r="M5223" s="101">
        <v>198000.0</v>
      </c>
      <c r="N5223" s="74"/>
      <c r="O5223" s="87">
        <f t="shared" si="11"/>
        <v>198000</v>
      </c>
      <c r="P5223" s="102" t="str">
        <f t="shared" si="2"/>
        <v>Rp198,000-1 LSN-0.00%</v>
      </c>
      <c r="Q5223" s="92">
        <v>45436.0</v>
      </c>
      <c r="R5223" s="76"/>
      <c r="S5223" s="92">
        <v>45439.0</v>
      </c>
      <c r="T5223" s="49"/>
      <c r="V5223" s="21" t="s">
        <v>2399</v>
      </c>
    </row>
    <row r="5224">
      <c r="A5224" s="117">
        <v>4295.0</v>
      </c>
      <c r="B5224" s="51" t="s">
        <v>65</v>
      </c>
      <c r="C5224" s="51" t="s">
        <v>4192</v>
      </c>
      <c r="D5224" s="51" t="s">
        <v>2400</v>
      </c>
      <c r="E5224" s="41" t="str">
        <f>IFERROR(__xludf.DUMMYFUNCTION("IFNA(vlookup(D5224,IMPORTRANGE(""https://docs.google.com/spreadsheets/d/1swGwZOEqYlTEUCJLY-eeJM1911Kvaei5oySBIxdgtNo/edit?pli=1#gid=257618397"",""stock untanna!B:C""),2,false),V:V)"),"NOTEBOOK  A5-104")</f>
        <v>NOTEBOOK  A5-104</v>
      </c>
      <c r="F5224" s="49"/>
      <c r="G5224" s="71"/>
      <c r="H5224" s="41"/>
      <c r="I5224" s="42"/>
      <c r="J5224" s="85" t="s">
        <v>1319</v>
      </c>
      <c r="K5224" s="93">
        <v>12.0</v>
      </c>
      <c r="L5224" s="112" t="s">
        <v>69</v>
      </c>
      <c r="M5224" s="101">
        <v>16500.0</v>
      </c>
      <c r="N5224" s="74"/>
      <c r="O5224" s="87">
        <f t="shared" si="11"/>
        <v>198000</v>
      </c>
      <c r="P5224" s="102" t="str">
        <f t="shared" si="2"/>
        <v>Rp16,500-12 PCS-0.00%</v>
      </c>
      <c r="Q5224" s="92">
        <v>45436.0</v>
      </c>
      <c r="R5224" s="76"/>
      <c r="S5224" s="92">
        <v>45439.0</v>
      </c>
      <c r="T5224" s="49"/>
      <c r="V5224" s="21" t="s">
        <v>2401</v>
      </c>
    </row>
    <row r="5225">
      <c r="A5225" s="117">
        <v>4295.0</v>
      </c>
      <c r="B5225" s="51" t="s">
        <v>65</v>
      </c>
      <c r="C5225" s="51" t="s">
        <v>4192</v>
      </c>
      <c r="D5225" s="118"/>
      <c r="E5225" s="41" t="str">
        <f>IFERROR(__xludf.DUMMYFUNCTION("IFNA(vlookup(D5225,IMPORTRANGE(""https://docs.google.com/spreadsheets/d/1swGwZOEqYlTEUCJLY-eeJM1911Kvaei5oySBIxdgtNo/edit?pli=1#gid=257618397"",""stock untanna!B:C""),2,false),V:V)"),"N BOOK TALI A7 AA 0321")</f>
        <v>N BOOK TALI A7 AA 0321</v>
      </c>
      <c r="F5225" s="49"/>
      <c r="G5225" s="71"/>
      <c r="H5225" s="41"/>
      <c r="I5225" s="42"/>
      <c r="J5225" s="85" t="s">
        <v>3190</v>
      </c>
      <c r="K5225" s="93">
        <v>5.0</v>
      </c>
      <c r="L5225" s="112" t="s">
        <v>62</v>
      </c>
      <c r="M5225" s="101">
        <v>90000.0</v>
      </c>
      <c r="N5225" s="74"/>
      <c r="O5225" s="87">
        <f t="shared" si="11"/>
        <v>450000</v>
      </c>
      <c r="P5225" s="102" t="str">
        <f t="shared" si="2"/>
        <v>Rp90,000-5 LSN-0.00%</v>
      </c>
      <c r="Q5225" s="92">
        <v>45436.0</v>
      </c>
      <c r="R5225" s="76"/>
      <c r="S5225" s="92">
        <v>45439.0</v>
      </c>
      <c r="T5225" s="49"/>
      <c r="V5225" s="21" t="s">
        <v>4196</v>
      </c>
    </row>
    <row r="5226">
      <c r="A5226" s="117">
        <v>4295.0</v>
      </c>
      <c r="B5226" s="51" t="s">
        <v>65</v>
      </c>
      <c r="C5226" s="51" t="s">
        <v>4192</v>
      </c>
      <c r="D5226" s="118"/>
      <c r="E5226" s="41" t="str">
        <f>IFERROR(__xludf.DUMMYFUNCTION("IFNA(vlookup(D5226,IMPORTRANGE(""https://docs.google.com/spreadsheets/d/1swGwZOEqYlTEUCJLY-eeJM1911Kvaei5oySBIxdgtNo/edit?pli=1#gid=257618397"",""stock untanna!B:C""),2,false),V:V)"),"TAS BATIK BESAR")</f>
        <v>TAS BATIK BESAR</v>
      </c>
      <c r="F5226" s="49"/>
      <c r="G5226" s="71"/>
      <c r="H5226" s="41"/>
      <c r="I5226" s="42"/>
      <c r="J5226" s="85" t="s">
        <v>3190</v>
      </c>
      <c r="K5226" s="93">
        <v>10.0</v>
      </c>
      <c r="L5226" s="112" t="s">
        <v>62</v>
      </c>
      <c r="M5226" s="101">
        <v>32500.0</v>
      </c>
      <c r="N5226" s="74"/>
      <c r="O5226" s="87">
        <f t="shared" si="11"/>
        <v>325000</v>
      </c>
      <c r="P5226" s="102" t="str">
        <f t="shared" si="2"/>
        <v>Rp32,500-10 LSN-0.00%</v>
      </c>
      <c r="Q5226" s="92">
        <v>45436.0</v>
      </c>
      <c r="R5226" s="76"/>
      <c r="S5226" s="92">
        <v>45439.0</v>
      </c>
      <c r="T5226" s="49"/>
      <c r="V5226" s="21" t="s">
        <v>3508</v>
      </c>
    </row>
    <row r="5227">
      <c r="A5227" s="117">
        <v>4295.0</v>
      </c>
      <c r="B5227" s="51" t="s">
        <v>65</v>
      </c>
      <c r="C5227" s="51" t="s">
        <v>4192</v>
      </c>
      <c r="D5227" s="51" t="s">
        <v>4197</v>
      </c>
      <c r="E5227" s="41" t="str">
        <f>IFERROR(__xludf.DUMMYFUNCTION("IFNA(vlookup(D5227,IMPORTRANGE(""https://docs.google.com/spreadsheets/d/1swGwZOEqYlTEUCJLY-eeJM1911Kvaei5oySBIxdgtNo/edit?pli=1#gid=257618397"",""stock untanna!B:C""),2,false),V:V)"),"JARUM PENTOL BUNGA NO.1 (SERUNI)")</f>
        <v>JARUM PENTOL BUNGA NO.1 (SERUNI)</v>
      </c>
      <c r="F5227" s="49"/>
      <c r="G5227" s="71"/>
      <c r="H5227" s="41"/>
      <c r="I5227" s="42"/>
      <c r="J5227" s="85" t="s">
        <v>3190</v>
      </c>
      <c r="K5227" s="93">
        <v>50.0</v>
      </c>
      <c r="L5227" s="112" t="s">
        <v>69</v>
      </c>
      <c r="M5227" s="101">
        <v>1600.0</v>
      </c>
      <c r="N5227" s="74"/>
      <c r="O5227" s="87">
        <f t="shared" si="11"/>
        <v>80000</v>
      </c>
      <c r="P5227" s="102" t="str">
        <f t="shared" si="2"/>
        <v>Rp1,600-50 PCS-0.00%</v>
      </c>
      <c r="Q5227" s="92">
        <v>45436.0</v>
      </c>
      <c r="R5227" s="76"/>
      <c r="S5227" s="92">
        <v>45439.0</v>
      </c>
      <c r="T5227" s="49"/>
      <c r="V5227" s="21" t="s">
        <v>4198</v>
      </c>
    </row>
    <row r="5228">
      <c r="A5228" s="117">
        <v>4295.0</v>
      </c>
      <c r="B5228" s="51" t="s">
        <v>65</v>
      </c>
      <c r="C5228" s="51" t="s">
        <v>4192</v>
      </c>
      <c r="D5228" s="51" t="s">
        <v>3114</v>
      </c>
      <c r="E5228" s="41" t="str">
        <f>IFERROR(__xludf.DUMMYFUNCTION("IFNA(vlookup(D5228,IMPORTRANGE(""https://docs.google.com/spreadsheets/d/1swGwZOEqYlTEUCJLY-eeJM1911Kvaei5oySBIxdgtNo/edit?pli=1#gid=257618397"",""stock untanna!B:C""),2,false),V:V)"),"CAT AIR MARRIES 1325 12W GM &amp; BT")</f>
        <v>CAT AIR MARRIES 1325 12W GM &amp; BT</v>
      </c>
      <c r="F5228" s="49"/>
      <c r="G5228" s="71"/>
      <c r="H5228" s="41"/>
      <c r="I5228" s="42"/>
      <c r="J5228" s="85" t="s">
        <v>1319</v>
      </c>
      <c r="K5228" s="93">
        <v>5.0</v>
      </c>
      <c r="L5228" s="112" t="s">
        <v>62</v>
      </c>
      <c r="M5228" s="101">
        <v>235000.0</v>
      </c>
      <c r="N5228" s="74"/>
      <c r="O5228" s="87">
        <f t="shared" si="11"/>
        <v>1175000</v>
      </c>
      <c r="P5228" s="102" t="str">
        <f t="shared" si="2"/>
        <v>Rp235,000-5 LSN-0.00%</v>
      </c>
      <c r="Q5228" s="92">
        <v>45436.0</v>
      </c>
      <c r="R5228" s="76"/>
      <c r="S5228" s="92">
        <v>45439.0</v>
      </c>
      <c r="T5228" s="49"/>
      <c r="V5228" s="21" t="s">
        <v>3115</v>
      </c>
    </row>
    <row r="5229">
      <c r="A5229" s="117">
        <v>4295.0</v>
      </c>
      <c r="B5229" s="51" t="s">
        <v>65</v>
      </c>
      <c r="C5229" s="51" t="s">
        <v>4192</v>
      </c>
      <c r="D5229" s="118"/>
      <c r="E5229" s="41" t="str">
        <f>IFERROR(__xludf.DUMMYFUNCTION("IFNA(vlookup(D5229,IMPORTRANGE(""https://docs.google.com/spreadsheets/d/1swGwZOEqYlTEUCJLY-eeJM1911Kvaei5oySBIxdgtNo/edit?pli=1#gid=257618397"",""stock untanna!B:C""),2,false),V:V)"),"AGENDA MB 35-50 50K")</f>
        <v>AGENDA MB 35-50 50K</v>
      </c>
      <c r="F5229" s="49"/>
      <c r="G5229" s="71"/>
      <c r="H5229" s="41"/>
      <c r="I5229" s="42"/>
      <c r="J5229" s="85" t="s">
        <v>3190</v>
      </c>
      <c r="K5229" s="93">
        <v>36.0</v>
      </c>
      <c r="L5229" s="112" t="s">
        <v>69</v>
      </c>
      <c r="M5229" s="101">
        <v>12500.0</v>
      </c>
      <c r="N5229" s="74"/>
      <c r="O5229" s="87">
        <f t="shared" si="11"/>
        <v>450000</v>
      </c>
      <c r="P5229" s="102" t="str">
        <f t="shared" si="2"/>
        <v>Rp12,500-36 PCS-0.00%</v>
      </c>
      <c r="Q5229" s="92">
        <v>45436.0</v>
      </c>
      <c r="R5229" s="76"/>
      <c r="S5229" s="92">
        <v>45439.0</v>
      </c>
      <c r="T5229" s="49"/>
      <c r="V5229" s="21" t="s">
        <v>4199</v>
      </c>
    </row>
    <row r="5230">
      <c r="A5230" s="117">
        <v>146.0</v>
      </c>
      <c r="B5230" s="51" t="s">
        <v>65</v>
      </c>
      <c r="C5230" s="51" t="s">
        <v>2680</v>
      </c>
      <c r="D5230" s="51" t="s">
        <v>774</v>
      </c>
      <c r="E5230" s="41" t="str">
        <f>IFERROR(__xludf.DUMMYFUNCTION("IFNA(vlookup(D5230,IMPORTRANGE(""https://docs.google.com/spreadsheets/d/1swGwZOEqYlTEUCJLY-eeJM1911Kvaei5oySBIxdgtNo/edit?pli=1#gid=257618397"",""stock untanna!B:C""),2,false),V:V)"),"MECHPEN TIZO G 9001 A")</f>
        <v>MECHPEN TIZO G 9001 A</v>
      </c>
      <c r="F5230" s="49"/>
      <c r="G5230" s="71"/>
      <c r="H5230" s="41"/>
      <c r="I5230" s="42"/>
      <c r="J5230" s="85" t="s">
        <v>1319</v>
      </c>
      <c r="K5230" s="93">
        <v>36.0</v>
      </c>
      <c r="L5230" s="112" t="s">
        <v>62</v>
      </c>
      <c r="M5230" s="101">
        <v>15000.0</v>
      </c>
      <c r="N5230" s="74"/>
      <c r="O5230" s="87">
        <f t="shared" si="11"/>
        <v>540000</v>
      </c>
      <c r="P5230" s="102" t="str">
        <f t="shared" si="2"/>
        <v>Rp15,000-36 LSN-0.00%</v>
      </c>
      <c r="Q5230" s="92">
        <v>45436.0</v>
      </c>
      <c r="R5230" s="76"/>
      <c r="S5230" s="92">
        <v>45439.0</v>
      </c>
      <c r="T5230" s="49"/>
      <c r="V5230" s="21" t="s">
        <v>775</v>
      </c>
    </row>
    <row r="5231">
      <c r="A5231" s="117">
        <v>146.0</v>
      </c>
      <c r="B5231" s="51" t="s">
        <v>65</v>
      </c>
      <c r="C5231" s="51" t="s">
        <v>2680</v>
      </c>
      <c r="D5231" s="51" t="s">
        <v>4200</v>
      </c>
      <c r="E5231" s="41" t="str">
        <f>IFERROR(__xludf.DUMMYFUNCTION("IFNA(vlookup(D5231,IMPORTRANGE(""https://docs.google.com/spreadsheets/d/1swGwZOEqYlTEUCJLY-eeJM1911Kvaei5oySBIxdgtNo/edit?pli=1#gid=257618397"",""stock untanna!B:C""),2,false),V:V)"),"MECHPEN TIZO G 9005 A")</f>
        <v>MECHPEN TIZO G 9005 A</v>
      </c>
      <c r="F5231" s="49"/>
      <c r="G5231" s="71"/>
      <c r="H5231" s="41"/>
      <c r="I5231" s="42"/>
      <c r="J5231" s="85" t="s">
        <v>1319</v>
      </c>
      <c r="K5231" s="93">
        <v>36.0</v>
      </c>
      <c r="L5231" s="112" t="s">
        <v>62</v>
      </c>
      <c r="M5231" s="101">
        <v>15000.0</v>
      </c>
      <c r="N5231" s="74"/>
      <c r="O5231" s="87">
        <f t="shared" si="11"/>
        <v>540000</v>
      </c>
      <c r="P5231" s="102" t="str">
        <f t="shared" si="2"/>
        <v>Rp15,000-36 LSN-0.00%</v>
      </c>
      <c r="Q5231" s="92">
        <v>45436.0</v>
      </c>
      <c r="R5231" s="76"/>
      <c r="S5231" s="92">
        <v>45439.0</v>
      </c>
      <c r="T5231" s="49"/>
      <c r="V5231" s="21" t="s">
        <v>2132</v>
      </c>
    </row>
    <row r="5232">
      <c r="A5232" s="117">
        <v>146.0</v>
      </c>
      <c r="B5232" s="51" t="s">
        <v>65</v>
      </c>
      <c r="C5232" s="51" t="s">
        <v>2680</v>
      </c>
      <c r="D5232" s="51" t="s">
        <v>4201</v>
      </c>
      <c r="E5232" s="41" t="str">
        <f>IFERROR(__xludf.DUMMYFUNCTION("IFNA(vlookup(D5232,IMPORTRANGE(""https://docs.google.com/spreadsheets/d/1swGwZOEqYlTEUCJLY-eeJM1911Kvaei5oySBIxdgtNo/edit?pli=1#gid=257618397"",""stock untanna!B:C""),2,false),V:V)"),"MECHPEN TIZO G 9006 A")</f>
        <v>MECHPEN TIZO G 9006 A</v>
      </c>
      <c r="F5232" s="49"/>
      <c r="G5232" s="71"/>
      <c r="H5232" s="41"/>
      <c r="I5232" s="42"/>
      <c r="J5232" s="85" t="s">
        <v>3190</v>
      </c>
      <c r="K5232" s="93">
        <v>36.0</v>
      </c>
      <c r="L5232" s="112" t="s">
        <v>62</v>
      </c>
      <c r="M5232" s="101">
        <v>15000.0</v>
      </c>
      <c r="N5232" s="74"/>
      <c r="O5232" s="87">
        <f t="shared" si="11"/>
        <v>540000</v>
      </c>
      <c r="P5232" s="102" t="str">
        <f t="shared" si="2"/>
        <v>Rp15,000-36 LSN-0.00%</v>
      </c>
      <c r="Q5232" s="92">
        <v>45436.0</v>
      </c>
      <c r="R5232" s="76"/>
      <c r="S5232" s="92">
        <v>45439.0</v>
      </c>
      <c r="T5232" s="49"/>
      <c r="V5232" s="21" t="s">
        <v>2129</v>
      </c>
    </row>
    <row r="5233">
      <c r="A5233" s="117">
        <v>146.0</v>
      </c>
      <c r="B5233" s="51" t="s">
        <v>65</v>
      </c>
      <c r="C5233" s="51" t="s">
        <v>2680</v>
      </c>
      <c r="D5233" s="51" t="s">
        <v>4202</v>
      </c>
      <c r="E5233" s="41" t="str">
        <f>IFERROR(__xludf.DUMMYFUNCTION("IFNA(vlookup(D5233,IMPORTRANGE(""https://docs.google.com/spreadsheets/d/1swGwZOEqYlTEUCJLY-eeJM1911Kvaei5oySBIxdgtNo/edit?pli=1#gid=257618397"",""stock untanna!B:C""),2,false),V:V)"),"MECHPEN TIZO G 9009 A")</f>
        <v>MECHPEN TIZO G 9009 A</v>
      </c>
      <c r="F5233" s="49"/>
      <c r="G5233" s="71"/>
      <c r="H5233" s="41"/>
      <c r="I5233" s="42"/>
      <c r="J5233" s="85" t="s">
        <v>3190</v>
      </c>
      <c r="K5233" s="93">
        <v>10.0</v>
      </c>
      <c r="L5233" s="112" t="s">
        <v>62</v>
      </c>
      <c r="M5233" s="101">
        <v>15000.0</v>
      </c>
      <c r="N5233" s="74"/>
      <c r="O5233" s="87">
        <f t="shared" si="11"/>
        <v>150000</v>
      </c>
      <c r="P5233" s="102" t="str">
        <f t="shared" si="2"/>
        <v>Rp15,000-10 LSN-0.00%</v>
      </c>
      <c r="Q5233" s="92">
        <v>45436.0</v>
      </c>
      <c r="R5233" s="76"/>
      <c r="S5233" s="92">
        <v>45439.0</v>
      </c>
      <c r="T5233" s="49"/>
      <c r="V5233" s="21" t="s">
        <v>2133</v>
      </c>
    </row>
    <row r="5234">
      <c r="A5234" s="117">
        <v>146.0</v>
      </c>
      <c r="B5234" s="51" t="s">
        <v>65</v>
      </c>
      <c r="C5234" s="51" t="s">
        <v>2680</v>
      </c>
      <c r="D5234" s="51" t="s">
        <v>4203</v>
      </c>
      <c r="E5234" s="41" t="str">
        <f>IFERROR(__xludf.DUMMYFUNCTION("IFNA(vlookup(D5234,IMPORTRANGE(""https://docs.google.com/spreadsheets/d/1swGwZOEqYlTEUCJLY-eeJM1911Kvaei5oySBIxdgtNo/edit?pli=1#gid=257618397"",""stock untanna!B:C""),2,false),V:V)"),"MECHPEN TIZO G 9008 A")</f>
        <v>MECHPEN TIZO G 9008 A</v>
      </c>
      <c r="F5234" s="49"/>
      <c r="G5234" s="71"/>
      <c r="H5234" s="41"/>
      <c r="I5234" s="42"/>
      <c r="J5234" s="85" t="s">
        <v>3190</v>
      </c>
      <c r="K5234" s="93">
        <v>4.0</v>
      </c>
      <c r="L5234" s="112" t="s">
        <v>62</v>
      </c>
      <c r="M5234" s="101">
        <v>15000.0</v>
      </c>
      <c r="N5234" s="74"/>
      <c r="O5234" s="87">
        <f t="shared" si="11"/>
        <v>60000</v>
      </c>
      <c r="P5234" s="102" t="str">
        <f t="shared" si="2"/>
        <v>Rp15,000-4 LSN-0.00%</v>
      </c>
      <c r="Q5234" s="92">
        <v>45436.0</v>
      </c>
      <c r="R5234" s="76"/>
      <c r="S5234" s="92">
        <v>45439.0</v>
      </c>
      <c r="T5234" s="49"/>
      <c r="V5234" s="21" t="s">
        <v>2130</v>
      </c>
    </row>
    <row r="5235">
      <c r="A5235" s="117">
        <v>4229.0</v>
      </c>
      <c r="B5235" s="51" t="s">
        <v>29</v>
      </c>
      <c r="C5235" s="51" t="s">
        <v>4204</v>
      </c>
      <c r="D5235" s="51" t="s">
        <v>2304</v>
      </c>
      <c r="E5235" s="41" t="str">
        <f>IFERROR(__xludf.DUMMYFUNCTION("IFNA(vlookup(D5235,IMPORTRANGE(""https://docs.google.com/spreadsheets/d/1swGwZOEqYlTEUCJLY-eeJM1911Kvaei5oySBIxdgtNo/edit?pli=1#gid=257618397"",""stock untanna!B:C""),2,false),V:V)"),"GARISAN SET ZX-022 20 CM")</f>
        <v>GARISAN SET ZX-022 20 CM</v>
      </c>
      <c r="F5235" s="49"/>
      <c r="G5235" s="71"/>
      <c r="H5235" s="41"/>
      <c r="I5235" s="42"/>
      <c r="J5235" s="85" t="s">
        <v>1319</v>
      </c>
      <c r="K5235" s="93">
        <v>1450.0</v>
      </c>
      <c r="L5235" s="112" t="s">
        <v>69</v>
      </c>
      <c r="M5235" s="101">
        <v>1550.0</v>
      </c>
      <c r="N5235" s="74"/>
      <c r="O5235" s="87">
        <f t="shared" si="11"/>
        <v>2247500</v>
      </c>
      <c r="P5235" s="102" t="str">
        <f t="shared" si="2"/>
        <v>Rp1,550-1450 PCS-0.00%</v>
      </c>
      <c r="Q5235" s="92">
        <v>45436.0</v>
      </c>
      <c r="R5235" s="76"/>
      <c r="S5235" s="92">
        <v>45439.0</v>
      </c>
      <c r="T5235" s="49"/>
      <c r="V5235" s="21" t="s">
        <v>2305</v>
      </c>
    </row>
    <row r="5236">
      <c r="A5236" s="117">
        <v>276.0</v>
      </c>
      <c r="B5236" s="51" t="s">
        <v>29</v>
      </c>
      <c r="C5236" s="51" t="s">
        <v>625</v>
      </c>
      <c r="D5236" s="51" t="s">
        <v>732</v>
      </c>
      <c r="E5236" s="41" t="str">
        <f>IFERROR(__xludf.DUMMYFUNCTION("IFNA(vlookup(D5236,IMPORTRANGE(""https://docs.google.com/spreadsheets/d/1swGwZOEqYlTEUCJLY-eeJM1911Kvaei5oySBIxdgtNo/edit?pli=1#gid=257618397"",""stock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5236" s="49"/>
      <c r="G5236" s="71"/>
      <c r="H5236" s="41"/>
      <c r="I5236" s="42"/>
      <c r="J5236" s="85" t="s">
        <v>1319</v>
      </c>
      <c r="K5236" s="93">
        <v>24.0</v>
      </c>
      <c r="L5236" s="112" t="s">
        <v>69</v>
      </c>
      <c r="M5236" s="101">
        <v>26000.0</v>
      </c>
      <c r="N5236" s="74"/>
      <c r="O5236" s="87">
        <f t="shared" si="11"/>
        <v>624000</v>
      </c>
      <c r="P5236" s="102" t="str">
        <f t="shared" si="2"/>
        <v>Rp26,000-24 PCS-0.00%</v>
      </c>
      <c r="Q5236" s="92">
        <v>45436.0</v>
      </c>
      <c r="R5236" s="76"/>
      <c r="S5236" s="92">
        <v>45439.0</v>
      </c>
      <c r="T5236" s="49"/>
      <c r="V5236" s="21" t="s">
        <v>733</v>
      </c>
    </row>
    <row r="5237">
      <c r="A5237" s="117">
        <v>276.0</v>
      </c>
      <c r="B5237" s="51" t="s">
        <v>29</v>
      </c>
      <c r="C5237" s="51" t="s">
        <v>625</v>
      </c>
      <c r="D5237" s="51" t="s">
        <v>505</v>
      </c>
      <c r="E5237" s="41" t="str">
        <f>IFERROR(__xludf.DUMMYFUNCTION("IFNA(vlookup(D5237,IMPORTRANGE(""https://docs.google.com/spreadsheets/d/1swGwZOEqYlTEUCJLY-eeJM1911Kvaei5oySBIxdgtNo/edit?pli=1#gid=257618397"",""stock untanna!B:C""),2,false),V:V)"),"CUTTER TACO 88 BESAR")</f>
        <v>CUTTER TACO 88 BESAR</v>
      </c>
      <c r="F5237" s="49"/>
      <c r="G5237" s="71"/>
      <c r="H5237" s="41"/>
      <c r="I5237" s="42"/>
      <c r="J5237" s="85" t="s">
        <v>1319</v>
      </c>
      <c r="K5237" s="93">
        <v>5.0</v>
      </c>
      <c r="L5237" s="112" t="s">
        <v>62</v>
      </c>
      <c r="M5237" s="101">
        <v>33000.0</v>
      </c>
      <c r="N5237" s="115">
        <v>0.1</v>
      </c>
      <c r="O5237" s="87">
        <f t="shared" si="11"/>
        <v>148500</v>
      </c>
      <c r="P5237" s="102" t="str">
        <f t="shared" si="2"/>
        <v>Rp33,000-5 LSN-10.00%</v>
      </c>
      <c r="Q5237" s="92">
        <v>45436.0</v>
      </c>
      <c r="R5237" s="76"/>
      <c r="S5237" s="92">
        <v>45439.0</v>
      </c>
      <c r="T5237" s="49"/>
      <c r="V5237" s="21" t="s">
        <v>506</v>
      </c>
    </row>
    <row r="5238">
      <c r="A5238" s="117">
        <v>4475.0</v>
      </c>
      <c r="B5238" s="51" t="s">
        <v>58</v>
      </c>
      <c r="C5238" s="51" t="s">
        <v>1430</v>
      </c>
      <c r="D5238" s="77" t="s">
        <v>4205</v>
      </c>
      <c r="E5238" s="41" t="str">
        <f>IFERROR(__xludf.DUMMYFUNCTION("IFNA(vlookup(D5238,IMPORTRANGE(""https://docs.google.com/spreadsheets/d/1swGwZOEqYlTEUCJLY-eeJM1911Kvaei5oySBIxdgtNo/edit?pli=1#gid=257618397"",""stock untanna!B:C""),2,false),V:V)"),"MECHPEN TIZO G 09308 24PCS")</f>
        <v>MECHPEN TIZO G 09308 24PCS</v>
      </c>
      <c r="F5238" s="49"/>
      <c r="G5238" s="71"/>
      <c r="H5238" s="41"/>
      <c r="I5238" s="42"/>
      <c r="J5238" s="85" t="s">
        <v>3190</v>
      </c>
      <c r="K5238" s="93">
        <v>144.0</v>
      </c>
      <c r="L5238" s="112" t="s">
        <v>62</v>
      </c>
      <c r="M5238" s="101">
        <v>27000.0</v>
      </c>
      <c r="N5238" s="74"/>
      <c r="O5238" s="87">
        <f t="shared" si="11"/>
        <v>3888000</v>
      </c>
      <c r="P5238" s="102" t="str">
        <f t="shared" si="2"/>
        <v>Rp27,000-144 LSN-0.00%</v>
      </c>
      <c r="Q5238" s="92">
        <v>45436.0</v>
      </c>
      <c r="R5238" s="76"/>
      <c r="S5238" s="92">
        <v>45439.0</v>
      </c>
      <c r="T5238" s="49"/>
      <c r="V5238" s="21" t="s">
        <v>4206</v>
      </c>
    </row>
    <row r="5239">
      <c r="A5239" s="117">
        <v>4475.0</v>
      </c>
      <c r="B5239" s="51" t="s">
        <v>58</v>
      </c>
      <c r="C5239" s="51" t="s">
        <v>1430</v>
      </c>
      <c r="D5239" s="51" t="s">
        <v>4207</v>
      </c>
      <c r="E5239" s="41" t="str">
        <f>IFERROR(__xludf.DUMMYFUNCTION("IFNA(vlookup(D5239,IMPORTRANGE(""https://docs.google.com/spreadsheets/d/1swGwZOEqYlTEUCJLY-eeJM1911Kvaei5oySBIxdgtNo/edit?pli=1#gid=257618397"",""stock untanna!B:C""),2,false),V:V)"),"MECHPEN TIZO G 09309 24PCS")</f>
        <v>MECHPEN TIZO G 09309 24PCS</v>
      </c>
      <c r="F5239" s="49"/>
      <c r="G5239" s="71"/>
      <c r="H5239" s="41"/>
      <c r="I5239" s="42"/>
      <c r="J5239" s="85" t="s">
        <v>3190</v>
      </c>
      <c r="K5239" s="93">
        <v>144.0</v>
      </c>
      <c r="L5239" s="112" t="s">
        <v>62</v>
      </c>
      <c r="M5239" s="101">
        <v>27000.0</v>
      </c>
      <c r="N5239" s="74"/>
      <c r="O5239" s="87">
        <f t="shared" si="11"/>
        <v>3888000</v>
      </c>
      <c r="P5239" s="102" t="str">
        <f t="shared" si="2"/>
        <v>Rp27,000-144 LSN-0.00%</v>
      </c>
      <c r="Q5239" s="92">
        <v>45436.0</v>
      </c>
      <c r="R5239" s="76"/>
      <c r="S5239" s="92">
        <v>45439.0</v>
      </c>
      <c r="T5239" s="49"/>
      <c r="V5239" s="21" t="s">
        <v>4208</v>
      </c>
    </row>
    <row r="5240">
      <c r="A5240" s="117">
        <v>4475.0</v>
      </c>
      <c r="B5240" s="51" t="s">
        <v>58</v>
      </c>
      <c r="C5240" s="51" t="s">
        <v>1430</v>
      </c>
      <c r="D5240" s="51" t="s">
        <v>754</v>
      </c>
      <c r="E5240" s="41" t="str">
        <f>IFERROR(__xludf.DUMMYFUNCTION("IFNA(vlookup(D5240,IMPORTRANGE(""https://docs.google.com/spreadsheets/d/1swGwZOEqYlTEUCJLY-eeJM1911Kvaei5oySBIxdgtNo/edit?pli=1#gid=257618397"",""stock untanna!B:C""),2,false),V:V)"),"GARISAN 30 CM ENTER 675")</f>
        <v>GARISAN 30 CM ENTER 675</v>
      </c>
      <c r="F5240" s="49"/>
      <c r="G5240" s="71"/>
      <c r="H5240" s="41"/>
      <c r="I5240" s="42"/>
      <c r="J5240" s="85" t="s">
        <v>1319</v>
      </c>
      <c r="K5240" s="93">
        <v>1400.0</v>
      </c>
      <c r="L5240" s="112" t="s">
        <v>62</v>
      </c>
      <c r="M5240" s="101">
        <v>8750.0</v>
      </c>
      <c r="N5240" s="74"/>
      <c r="O5240" s="87">
        <f t="shared" si="11"/>
        <v>12250000</v>
      </c>
      <c r="P5240" s="102" t="str">
        <f t="shared" si="2"/>
        <v>Rp8,750-1400 LSN-0.00%</v>
      </c>
      <c r="Q5240" s="92">
        <v>45436.0</v>
      </c>
      <c r="R5240" s="76"/>
      <c r="S5240" s="92">
        <v>45439.0</v>
      </c>
      <c r="T5240" s="49"/>
      <c r="V5240" s="21" t="s">
        <v>4209</v>
      </c>
    </row>
    <row r="5241">
      <c r="A5241" s="117">
        <v>283.0</v>
      </c>
      <c r="B5241" s="51" t="s">
        <v>29</v>
      </c>
      <c r="C5241" s="51" t="s">
        <v>155</v>
      </c>
      <c r="D5241" s="51" t="s">
        <v>1441</v>
      </c>
      <c r="E5241" s="41" t="str">
        <f>IFERROR(__xludf.DUMMYFUNCTION("IFNA(vlookup(D5241,IMPORTRANGE(""https://docs.google.com/spreadsheets/d/1swGwZOEqYlTEUCJLY-eeJM1911Kvaei5oySBIxdgtNo/edit?pli=1#gid=257618397"",""stock untanna!B:C""),2,false),V:V)"),"PELNA LAPTOP TABLE")</f>
        <v>PELNA LAPTOP TABLE</v>
      </c>
      <c r="F5241" s="49"/>
      <c r="G5241" s="71"/>
      <c r="H5241" s="41"/>
      <c r="I5241" s="42"/>
      <c r="J5241" s="85" t="s">
        <v>1319</v>
      </c>
      <c r="K5241" s="93">
        <v>10.0</v>
      </c>
      <c r="L5241" s="112" t="s">
        <v>69</v>
      </c>
      <c r="M5241" s="101">
        <v>70000.0</v>
      </c>
      <c r="N5241" s="74"/>
      <c r="O5241" s="87">
        <f t="shared" si="11"/>
        <v>700000</v>
      </c>
      <c r="P5241" s="102" t="str">
        <f t="shared" si="2"/>
        <v>Rp70,000-10 PCS-0.00%</v>
      </c>
      <c r="Q5241" s="92">
        <v>45436.0</v>
      </c>
      <c r="R5241" s="76"/>
      <c r="S5241" s="92">
        <v>45439.0</v>
      </c>
      <c r="T5241" s="49"/>
      <c r="V5241" s="21" t="s">
        <v>1442</v>
      </c>
    </row>
    <row r="5242">
      <c r="A5242" s="117">
        <v>145.0</v>
      </c>
      <c r="B5242" s="51" t="s">
        <v>65</v>
      </c>
      <c r="C5242" s="51" t="s">
        <v>3274</v>
      </c>
      <c r="D5242" s="51" t="s">
        <v>774</v>
      </c>
      <c r="E5242" s="41" t="str">
        <f>IFERROR(__xludf.DUMMYFUNCTION("IFNA(vlookup(D5242,IMPORTRANGE(""https://docs.google.com/spreadsheets/d/1swGwZOEqYlTEUCJLY-eeJM1911Kvaei5oySBIxdgtNo/edit?pli=1#gid=257618397"",""stock untanna!B:C""),2,false),V:V)"),"MECHPEN TIZO G 9001 A")</f>
        <v>MECHPEN TIZO G 9001 A</v>
      </c>
      <c r="F5242" s="49"/>
      <c r="G5242" s="71"/>
      <c r="H5242" s="41"/>
      <c r="I5242" s="42"/>
      <c r="J5242" s="85" t="s">
        <v>1319</v>
      </c>
      <c r="K5242" s="93">
        <v>36.0</v>
      </c>
      <c r="L5242" s="112" t="s">
        <v>62</v>
      </c>
      <c r="M5242" s="101">
        <v>15000.0</v>
      </c>
      <c r="N5242" s="74"/>
      <c r="O5242" s="87">
        <f t="shared" si="11"/>
        <v>540000</v>
      </c>
      <c r="P5242" s="102" t="str">
        <f t="shared" si="2"/>
        <v>Rp15,000-36 LSN-0.00%</v>
      </c>
      <c r="Q5242" s="92">
        <v>45436.0</v>
      </c>
      <c r="R5242" s="76"/>
      <c r="S5242" s="92">
        <v>45439.0</v>
      </c>
      <c r="T5242" s="49"/>
      <c r="V5242" s="21" t="s">
        <v>775</v>
      </c>
    </row>
    <row r="5243">
      <c r="A5243" s="117">
        <v>145.0</v>
      </c>
      <c r="B5243" s="51" t="s">
        <v>65</v>
      </c>
      <c r="C5243" s="51" t="s">
        <v>3274</v>
      </c>
      <c r="D5243" s="51" t="s">
        <v>4200</v>
      </c>
      <c r="E5243" s="41" t="str">
        <f>IFERROR(__xludf.DUMMYFUNCTION("IFNA(vlookup(D5243,IMPORTRANGE(""https://docs.google.com/spreadsheets/d/1swGwZOEqYlTEUCJLY-eeJM1911Kvaei5oySBIxdgtNo/edit?pli=1#gid=257618397"",""stock untanna!B:C""),2,false),V:V)"),"MECHPEN TIZO G 9005 A")</f>
        <v>MECHPEN TIZO G 9005 A</v>
      </c>
      <c r="F5243" s="49"/>
      <c r="G5243" s="71"/>
      <c r="H5243" s="41"/>
      <c r="I5243" s="42"/>
      <c r="J5243" s="85" t="s">
        <v>1319</v>
      </c>
      <c r="K5243" s="93">
        <v>36.0</v>
      </c>
      <c r="L5243" s="112" t="s">
        <v>62</v>
      </c>
      <c r="M5243" s="101">
        <v>15000.0</v>
      </c>
      <c r="N5243" s="74"/>
      <c r="O5243" s="87">
        <f t="shared" si="11"/>
        <v>540000</v>
      </c>
      <c r="P5243" s="102" t="str">
        <f t="shared" si="2"/>
        <v>Rp15,000-36 LSN-0.00%</v>
      </c>
      <c r="Q5243" s="92">
        <v>45436.0</v>
      </c>
      <c r="R5243" s="76"/>
      <c r="S5243" s="92">
        <v>45439.0</v>
      </c>
      <c r="T5243" s="49"/>
      <c r="V5243" s="21" t="s">
        <v>2132</v>
      </c>
    </row>
    <row r="5244">
      <c r="A5244" s="117">
        <v>145.0</v>
      </c>
      <c r="B5244" s="51" t="s">
        <v>65</v>
      </c>
      <c r="C5244" s="51" t="s">
        <v>3274</v>
      </c>
      <c r="D5244" s="51" t="s">
        <v>4202</v>
      </c>
      <c r="E5244" s="41" t="str">
        <f>IFERROR(__xludf.DUMMYFUNCTION("IFNA(vlookup(D5244,IMPORTRANGE(""https://docs.google.com/spreadsheets/d/1swGwZOEqYlTEUCJLY-eeJM1911Kvaei5oySBIxdgtNo/edit?pli=1#gid=257618397"",""stock untanna!B:C""),2,false),V:V)"),"MECHPEN TIZO G 9009 A")</f>
        <v>MECHPEN TIZO G 9009 A</v>
      </c>
      <c r="F5244" s="49"/>
      <c r="G5244" s="71"/>
      <c r="H5244" s="41"/>
      <c r="I5244" s="42"/>
      <c r="J5244" s="85" t="s">
        <v>3190</v>
      </c>
      <c r="K5244" s="93">
        <v>36.0</v>
      </c>
      <c r="L5244" s="112" t="s">
        <v>62</v>
      </c>
      <c r="M5244" s="101">
        <v>15000.0</v>
      </c>
      <c r="N5244" s="74"/>
      <c r="O5244" s="87">
        <f t="shared" si="11"/>
        <v>540000</v>
      </c>
      <c r="P5244" s="102" t="str">
        <f t="shared" si="2"/>
        <v>Rp15,000-36 LSN-0.00%</v>
      </c>
      <c r="Q5244" s="92">
        <v>45436.0</v>
      </c>
      <c r="R5244" s="76"/>
      <c r="S5244" s="92">
        <v>45439.0</v>
      </c>
      <c r="T5244" s="49"/>
      <c r="V5244" s="21" t="s">
        <v>2133</v>
      </c>
    </row>
    <row r="5245">
      <c r="A5245" s="119">
        <v>2993.0</v>
      </c>
      <c r="B5245" s="118" t="s">
        <v>58</v>
      </c>
      <c r="C5245" s="118" t="s">
        <v>1430</v>
      </c>
      <c r="D5245" s="56" t="s">
        <v>4210</v>
      </c>
      <c r="E5245" s="41" t="s">
        <v>3895</v>
      </c>
      <c r="F5245" s="49" t="s">
        <v>4211</v>
      </c>
      <c r="G5245" s="71"/>
      <c r="H5245" s="41" t="s">
        <v>4212</v>
      </c>
      <c r="I5245" s="42" t="s">
        <v>4213</v>
      </c>
      <c r="J5245" s="120" t="s">
        <v>1319</v>
      </c>
      <c r="K5245" s="72">
        <v>100.0</v>
      </c>
      <c r="L5245" s="53" t="s">
        <v>62</v>
      </c>
      <c r="M5245" s="101">
        <v>147600.0</v>
      </c>
      <c r="N5245" s="74">
        <v>0.125</v>
      </c>
      <c r="O5245" s="102">
        <v>1.2915E7</v>
      </c>
      <c r="P5245" s="102" t="s">
        <v>4214</v>
      </c>
      <c r="Q5245" s="57">
        <v>45419.0</v>
      </c>
      <c r="R5245" s="58"/>
      <c r="S5245" s="57">
        <v>45420.0</v>
      </c>
      <c r="T5245" s="77" t="s">
        <v>4215</v>
      </c>
    </row>
    <row r="5246">
      <c r="A5246" s="117">
        <v>4221.0</v>
      </c>
      <c r="B5246" s="51" t="s">
        <v>29</v>
      </c>
      <c r="C5246" s="51" t="s">
        <v>2355</v>
      </c>
      <c r="D5246" s="51" t="s">
        <v>1256</v>
      </c>
      <c r="E5246" s="41" t="str">
        <f>IFERROR(__xludf.DUMMYFUNCTION("IFNA(vlookup(D5246,IMPORTRANGE(""https://docs.google.com/spreadsheets/d/1swGwZOEqYlTEUCJLY-eeJM1911Kvaei5oySBIxdgtNo/edit?pli=1#gid=257618397"",""stock untanna!B:C""),2,false),V:V)"),"TAS KARUNG TIDUR 40X30")</f>
        <v>TAS KARUNG TIDUR 40X30</v>
      </c>
      <c r="F5246" s="49"/>
      <c r="G5246" s="71"/>
      <c r="H5246" s="41"/>
      <c r="I5246" s="42"/>
      <c r="J5246" s="85" t="s">
        <v>1319</v>
      </c>
      <c r="K5246" s="93">
        <v>2.0</v>
      </c>
      <c r="L5246" s="112" t="s">
        <v>62</v>
      </c>
      <c r="M5246" s="101">
        <v>120000.0</v>
      </c>
      <c r="N5246" s="74"/>
      <c r="O5246" s="87">
        <f t="shared" ref="O5246:O5411" si="18">M:M*K:K*(100%-N:N)</f>
        <v>240000</v>
      </c>
      <c r="P5246" s="102" t="str">
        <f t="shared" ref="P5246:P5411" si="19">CONCATENATE(TEXT(M5246, "Rp#,##0"), "-", K5246, " ", L5246, "-", TEXT(N5246, "0.00%"))</f>
        <v>Rp120,000-2 LSN-0.00%</v>
      </c>
      <c r="Q5246" s="121">
        <v>45428.0</v>
      </c>
      <c r="R5246" s="58"/>
      <c r="S5246" s="121">
        <v>45439.0</v>
      </c>
      <c r="T5246" s="77"/>
      <c r="V5246" s="51" t="s">
        <v>1257</v>
      </c>
    </row>
    <row r="5247">
      <c r="A5247" s="117">
        <v>4393.0</v>
      </c>
      <c r="B5247" s="51" t="s">
        <v>58</v>
      </c>
      <c r="C5247" s="51" t="s">
        <v>110</v>
      </c>
      <c r="D5247" s="51" t="s">
        <v>782</v>
      </c>
      <c r="E5247" s="41" t="str">
        <f>IFERROR(__xludf.DUMMYFUNCTION("IFNA(vlookup(D5247,IMPORTRANGE(""https://docs.google.com/spreadsheets/d/1swGwZOEqYlTEUCJLY-eeJM1911Kvaei5oySBIxdgtNo/edit?pli=1#gid=257618397"",""stock untanna!B:C""),2,false),V:V)"),"CRAYON PUTAR FANCY 1011/2011 PENDEK CEWEK COWOK 12W")</f>
        <v>CRAYON PUTAR FANCY 1011/2011 PENDEK CEWEK COWOK 12W</v>
      </c>
      <c r="F5247" s="49"/>
      <c r="G5247" s="71"/>
      <c r="H5247" s="41"/>
      <c r="I5247" s="42"/>
      <c r="J5247" s="85" t="s">
        <v>1319</v>
      </c>
      <c r="K5247" s="93">
        <v>16.0</v>
      </c>
      <c r="L5247" s="112" t="s">
        <v>62</v>
      </c>
      <c r="M5247" s="101">
        <v>150000.0</v>
      </c>
      <c r="N5247" s="74"/>
      <c r="O5247" s="87">
        <f t="shared" si="18"/>
        <v>2400000</v>
      </c>
      <c r="P5247" s="102" t="str">
        <f t="shared" si="19"/>
        <v>Rp150,000-16 LSN-0.00%</v>
      </c>
      <c r="Q5247" s="121">
        <v>45434.0</v>
      </c>
      <c r="R5247" s="58"/>
      <c r="S5247" s="121">
        <v>45439.0</v>
      </c>
      <c r="T5247" s="77"/>
      <c r="V5247" s="51" t="s">
        <v>1591</v>
      </c>
    </row>
    <row r="5248">
      <c r="A5248" s="117">
        <v>220.0</v>
      </c>
      <c r="B5248" s="51" t="s">
        <v>29</v>
      </c>
      <c r="C5248" s="51" t="s">
        <v>761</v>
      </c>
      <c r="D5248" s="51" t="s">
        <v>957</v>
      </c>
      <c r="E5248" s="41" t="str">
        <f>IFERROR(__xludf.DUMMYFUNCTION("IFNA(vlookup(D5248,IMPORTRANGE(""https://docs.google.com/spreadsheets/d/1swGwZOEqYlTEUCJLY-eeJM1911Kvaei5oySBIxdgtNo/edit?pli=1#gid=257618397"",""stock untanna!B:C""),2,false),V:V)"),"PENSIL 2B KAYAGI 3056")</f>
        <v>PENSIL 2B KAYAGI 3056</v>
      </c>
      <c r="F5248" s="49"/>
      <c r="G5248" s="71"/>
      <c r="H5248" s="41"/>
      <c r="I5248" s="42"/>
      <c r="J5248" s="85" t="s">
        <v>1319</v>
      </c>
      <c r="K5248" s="93">
        <v>1.0</v>
      </c>
      <c r="L5248" s="112" t="s">
        <v>131</v>
      </c>
      <c r="M5248" s="101">
        <v>100000.0</v>
      </c>
      <c r="N5248" s="74"/>
      <c r="O5248" s="87">
        <f t="shared" si="18"/>
        <v>100000</v>
      </c>
      <c r="P5248" s="102" t="str">
        <f t="shared" si="19"/>
        <v>Rp100,000-1 GRS-0.00%</v>
      </c>
      <c r="Q5248" s="121">
        <v>45436.0</v>
      </c>
      <c r="R5248" s="58"/>
      <c r="S5248" s="121">
        <v>45441.0</v>
      </c>
      <c r="T5248" s="91"/>
      <c r="V5248" s="51" t="s">
        <v>958</v>
      </c>
    </row>
    <row r="5249">
      <c r="A5249" s="117">
        <v>220.0</v>
      </c>
      <c r="B5249" s="51" t="s">
        <v>29</v>
      </c>
      <c r="C5249" s="51" t="s">
        <v>761</v>
      </c>
      <c r="D5249" s="51" t="s">
        <v>2178</v>
      </c>
      <c r="E5249" s="41" t="str">
        <f>IFERROR(__xludf.DUMMYFUNCTION("IFNA(vlookup(D5249,IMPORTRANGE(""https://docs.google.com/spreadsheets/d/1swGwZOEqYlTEUCJLY-eeJM1911Kvaei5oySBIxdgtNo/edit?pli=1#gid=257618397"",""stock untanna!B:C""),2,false),V:V)"),"MESIN LEM TEMBAK BOSCO 5538")</f>
        <v>MESIN LEM TEMBAK BOSCO 5538</v>
      </c>
      <c r="F5249" s="49"/>
      <c r="G5249" s="71"/>
      <c r="H5249" s="41"/>
      <c r="I5249" s="42"/>
      <c r="J5249" s="85" t="s">
        <v>1319</v>
      </c>
      <c r="K5249" s="93">
        <v>288.0</v>
      </c>
      <c r="L5249" s="112" t="s">
        <v>69</v>
      </c>
      <c r="M5249" s="101">
        <v>694.444</v>
      </c>
      <c r="N5249" s="74"/>
      <c r="O5249" s="87">
        <f t="shared" si="18"/>
        <v>199999.872</v>
      </c>
      <c r="P5249" s="102" t="str">
        <f t="shared" si="19"/>
        <v>Rp694-288 PCS-0.00%</v>
      </c>
      <c r="Q5249" s="121">
        <v>45436.0</v>
      </c>
      <c r="R5249" s="58"/>
      <c r="S5249" s="121">
        <v>45441.0</v>
      </c>
      <c r="T5249" s="91"/>
      <c r="V5249" s="51" t="s">
        <v>2179</v>
      </c>
    </row>
    <row r="5250">
      <c r="A5250" s="117">
        <v>220.0</v>
      </c>
      <c r="B5250" s="51" t="s">
        <v>29</v>
      </c>
      <c r="C5250" s="51" t="s">
        <v>761</v>
      </c>
      <c r="D5250" s="51" t="s">
        <v>524</v>
      </c>
      <c r="E5250" s="41" t="str">
        <f>IFERROR(__xludf.DUMMYFUNCTION("IFNA(vlookup(D5250,IMPORTRANGE(""https://docs.google.com/spreadsheets/d/1swGwZOEqYlTEUCJLY-eeJM1911Kvaei5oySBIxdgtNo/edit?pli=1#gid=257618397"",""stock untanna!B:C""),2,false),V:V)"),"ASAHAN PAYU 823 AYAM")</f>
        <v>ASAHAN PAYU 823 AYAM</v>
      </c>
      <c r="F5250" s="49"/>
      <c r="G5250" s="71"/>
      <c r="H5250" s="41"/>
      <c r="I5250" s="42"/>
      <c r="J5250" s="85" t="s">
        <v>1319</v>
      </c>
      <c r="K5250" s="93">
        <v>12.0</v>
      </c>
      <c r="L5250" s="112" t="s">
        <v>69</v>
      </c>
      <c r="M5250" s="101">
        <v>10000.0</v>
      </c>
      <c r="N5250" s="74"/>
      <c r="O5250" s="87">
        <f t="shared" si="18"/>
        <v>120000</v>
      </c>
      <c r="P5250" s="102" t="str">
        <f t="shared" si="19"/>
        <v>Rp10,000-12 PCS-0.00%</v>
      </c>
      <c r="Q5250" s="121">
        <v>45436.0</v>
      </c>
      <c r="R5250" s="58"/>
      <c r="S5250" s="121">
        <v>45441.0</v>
      </c>
      <c r="T5250" s="77" t="s">
        <v>100</v>
      </c>
      <c r="V5250" s="51" t="s">
        <v>525</v>
      </c>
    </row>
    <row r="5251">
      <c r="A5251" s="117">
        <v>220.0</v>
      </c>
      <c r="B5251" s="51" t="s">
        <v>29</v>
      </c>
      <c r="C5251" s="51" t="s">
        <v>761</v>
      </c>
      <c r="D5251" s="51" t="s">
        <v>1118</v>
      </c>
      <c r="E5251" s="41" t="str">
        <f>IFERROR(__xludf.DUMMYFUNCTION("IFNA(vlookup(D5251,IMPORTRANGE(""https://docs.google.com/spreadsheets/d/1swGwZOEqYlTEUCJLY-eeJM1911Kvaei5oySBIxdgtNo/edit?pli=1#gid=257618397"",""stock untanna!B:C""),2,false),V:V)"),"ASAHAN PAYU 827 ANGSA")</f>
        <v>ASAHAN PAYU 827 ANGSA</v>
      </c>
      <c r="F5251" s="49"/>
      <c r="G5251" s="71"/>
      <c r="H5251" s="41"/>
      <c r="I5251" s="42"/>
      <c r="J5251" s="85" t="s">
        <v>1319</v>
      </c>
      <c r="K5251" s="93">
        <v>2.0</v>
      </c>
      <c r="L5251" s="112" t="s">
        <v>88</v>
      </c>
      <c r="M5251" s="101">
        <v>12500.0</v>
      </c>
      <c r="N5251" s="74"/>
      <c r="O5251" s="87">
        <f t="shared" si="18"/>
        <v>25000</v>
      </c>
      <c r="P5251" s="102" t="str">
        <f t="shared" si="19"/>
        <v>Rp12,500-2 BOX-0.00%</v>
      </c>
      <c r="Q5251" s="121">
        <v>45436.0</v>
      </c>
      <c r="R5251" s="58"/>
      <c r="S5251" s="121">
        <v>45441.0</v>
      </c>
      <c r="T5251" s="91"/>
      <c r="V5251" s="51" t="s">
        <v>1119</v>
      </c>
    </row>
    <row r="5252">
      <c r="A5252" s="117">
        <v>220.0</v>
      </c>
      <c r="B5252" s="51" t="s">
        <v>29</v>
      </c>
      <c r="C5252" s="51" t="s">
        <v>761</v>
      </c>
      <c r="D5252" s="51" t="s">
        <v>1740</v>
      </c>
      <c r="E5252" s="41" t="str">
        <f>IFERROR(__xludf.DUMMYFUNCTION("IFNA(vlookup(D5252,IMPORTRANGE(""https://docs.google.com/spreadsheets/d/1swGwZOEqYlTEUCJLY-eeJM1911Kvaei5oySBIxdgtNo/edit?pli=1#gid=257618397"",""stock untanna!B:C""),2,false),V:V)"),"ASAHAN TIKO 0531")</f>
        <v>ASAHAN TIKO 0531</v>
      </c>
      <c r="F5252" s="49"/>
      <c r="G5252" s="71"/>
      <c r="H5252" s="41"/>
      <c r="I5252" s="42"/>
      <c r="J5252" s="85" t="s">
        <v>1319</v>
      </c>
      <c r="K5252" s="93">
        <v>4.0</v>
      </c>
      <c r="L5252" s="112" t="s">
        <v>62</v>
      </c>
      <c r="M5252" s="101">
        <v>6250.0</v>
      </c>
      <c r="N5252" s="74"/>
      <c r="O5252" s="87">
        <f t="shared" si="18"/>
        <v>25000</v>
      </c>
      <c r="P5252" s="102" t="str">
        <f t="shared" si="19"/>
        <v>Rp6,250-4 LSN-0.00%</v>
      </c>
      <c r="Q5252" s="121">
        <v>45436.0</v>
      </c>
      <c r="R5252" s="58"/>
      <c r="S5252" s="121">
        <v>45441.0</v>
      </c>
      <c r="T5252" s="91"/>
      <c r="V5252" s="51" t="s">
        <v>1741</v>
      </c>
    </row>
    <row r="5253">
      <c r="A5253" s="117">
        <v>220.0</v>
      </c>
      <c r="B5253" s="51" t="s">
        <v>29</v>
      </c>
      <c r="C5253" s="51" t="s">
        <v>761</v>
      </c>
      <c r="D5253" s="56"/>
      <c r="E5253" s="41" t="str">
        <f>IFERROR(__xludf.DUMMYFUNCTION("IFNA(vlookup(D5253,IMPORTRANGE(""https://docs.google.com/spreadsheets/d/1swGwZOEqYlTEUCJLY-eeJM1911Kvaei5oySBIxdgtNo/edit?pli=1#gid=257618397"",""stock untanna!B:C""),2,false),V:V)"),"KEMUCHING KOMPUTER")</f>
        <v>KEMUCHING KOMPUTER</v>
      </c>
      <c r="F5253" s="49"/>
      <c r="G5253" s="71"/>
      <c r="H5253" s="41"/>
      <c r="I5253" s="42"/>
      <c r="J5253" s="85" t="s">
        <v>3190</v>
      </c>
      <c r="K5253" s="93">
        <v>1.0</v>
      </c>
      <c r="L5253" s="112" t="s">
        <v>88</v>
      </c>
      <c r="M5253" s="101">
        <v>250000.0</v>
      </c>
      <c r="N5253" s="74"/>
      <c r="O5253" s="87">
        <f t="shared" si="18"/>
        <v>250000</v>
      </c>
      <c r="P5253" s="102" t="str">
        <f t="shared" si="19"/>
        <v>Rp250,000-1 BOX-0.00%</v>
      </c>
      <c r="Q5253" s="121">
        <v>45436.0</v>
      </c>
      <c r="R5253" s="58"/>
      <c r="S5253" s="121">
        <v>45441.0</v>
      </c>
      <c r="T5253" s="91"/>
      <c r="V5253" s="51" t="s">
        <v>4216</v>
      </c>
    </row>
    <row r="5254">
      <c r="A5254" s="117">
        <v>220.0</v>
      </c>
      <c r="B5254" s="51" t="s">
        <v>29</v>
      </c>
      <c r="C5254" s="51" t="s">
        <v>761</v>
      </c>
      <c r="D5254" s="51" t="s">
        <v>2214</v>
      </c>
      <c r="E5254" s="41" t="str">
        <f>IFERROR(__xludf.DUMMYFUNCTION("IFNA(vlookup(D5254,IMPORTRANGE(""https://docs.google.com/spreadsheets/d/1swGwZOEqYlTEUCJLY-eeJM1911Kvaei5oySBIxdgtNo/edit?pli=1#gid=257618397"",""stock untanna!B:C""),2,false),V:V)"),"LEM BAKAR K 7X29 H 538 A POLOS")</f>
        <v>LEM BAKAR K 7X29 H 538 A POLOS</v>
      </c>
      <c r="F5254" s="49"/>
      <c r="G5254" s="71"/>
      <c r="H5254" s="41"/>
      <c r="I5254" s="42"/>
      <c r="J5254" s="85" t="s">
        <v>1319</v>
      </c>
      <c r="K5254" s="93">
        <v>1.0</v>
      </c>
      <c r="L5254" s="112" t="s">
        <v>62</v>
      </c>
      <c r="M5254" s="101">
        <v>57500.0</v>
      </c>
      <c r="N5254" s="74"/>
      <c r="O5254" s="87">
        <f t="shared" si="18"/>
        <v>57500</v>
      </c>
      <c r="P5254" s="102" t="str">
        <f t="shared" si="19"/>
        <v>Rp57,500-1 LSN-0.00%</v>
      </c>
      <c r="Q5254" s="121">
        <v>45436.0</v>
      </c>
      <c r="R5254" s="58"/>
      <c r="S5254" s="121">
        <v>45441.0</v>
      </c>
      <c r="T5254" s="77" t="s">
        <v>100</v>
      </c>
      <c r="V5254" s="51" t="s">
        <v>2215</v>
      </c>
    </row>
    <row r="5255">
      <c r="A5255" s="117">
        <v>220.0</v>
      </c>
      <c r="B5255" s="51" t="s">
        <v>29</v>
      </c>
      <c r="C5255" s="51" t="s">
        <v>761</v>
      </c>
      <c r="D5255" s="51" t="s">
        <v>503</v>
      </c>
      <c r="E5255" s="41" t="str">
        <f>IFERROR(__xludf.DUMMYFUNCTION("IFNA(vlookup(D5255,IMPORTRANGE(""https://docs.google.com/spreadsheets/d/1swGwZOEqYlTEUCJLY-eeJM1911Kvaei5oySBIxdgtNo/edit?pli=1#gid=257618397"",""stock untanna!B:C""),2,false),V:V)"),"CUTTER TACO 78 KECIL TRANSPARAN")</f>
        <v>CUTTER TACO 78 KECIL TRANSPARAN</v>
      </c>
      <c r="F5255" s="49"/>
      <c r="G5255" s="71"/>
      <c r="H5255" s="41"/>
      <c r="I5255" s="42"/>
      <c r="J5255" s="85" t="s">
        <v>1319</v>
      </c>
      <c r="K5255" s="93">
        <v>5.0</v>
      </c>
      <c r="L5255" s="112" t="s">
        <v>62</v>
      </c>
      <c r="M5255" s="101">
        <v>47500.0</v>
      </c>
      <c r="N5255" s="74"/>
      <c r="O5255" s="87">
        <f t="shared" si="18"/>
        <v>237500</v>
      </c>
      <c r="P5255" s="102" t="str">
        <f t="shared" si="19"/>
        <v>Rp47,500-5 LSN-0.00%</v>
      </c>
      <c r="Q5255" s="121">
        <v>45436.0</v>
      </c>
      <c r="R5255" s="58"/>
      <c r="S5255" s="121">
        <v>45441.0</v>
      </c>
      <c r="T5255" s="91"/>
      <c r="V5255" s="51" t="s">
        <v>504</v>
      </c>
    </row>
    <row r="5256">
      <c r="A5256" s="117">
        <v>220.0</v>
      </c>
      <c r="B5256" s="51" t="s">
        <v>29</v>
      </c>
      <c r="C5256" s="51" t="s">
        <v>761</v>
      </c>
      <c r="D5256" s="51" t="s">
        <v>505</v>
      </c>
      <c r="E5256" s="41" t="str">
        <f>IFERROR(__xludf.DUMMYFUNCTION("IFNA(vlookup(D5256,IMPORTRANGE(""https://docs.google.com/spreadsheets/d/1swGwZOEqYlTEUCJLY-eeJM1911Kvaei5oySBIxdgtNo/edit?pli=1#gid=257618397"",""stock untanna!B:C""),2,false),V:V)"),"CUTTER TACO 88 BESAR")</f>
        <v>CUTTER TACO 88 BESAR</v>
      </c>
      <c r="F5256" s="49"/>
      <c r="G5256" s="71"/>
      <c r="H5256" s="41"/>
      <c r="I5256" s="42"/>
      <c r="J5256" s="85" t="s">
        <v>1319</v>
      </c>
      <c r="K5256" s="93">
        <v>5.0</v>
      </c>
      <c r="L5256" s="112" t="s">
        <v>62</v>
      </c>
      <c r="M5256" s="101">
        <v>23000.0</v>
      </c>
      <c r="N5256" s="115">
        <v>0.1</v>
      </c>
      <c r="O5256" s="87">
        <f t="shared" si="18"/>
        <v>103500</v>
      </c>
      <c r="P5256" s="102" t="str">
        <f t="shared" si="19"/>
        <v>Rp23,000-5 LSN-10.00%</v>
      </c>
      <c r="Q5256" s="121">
        <v>45436.0</v>
      </c>
      <c r="R5256" s="58"/>
      <c r="S5256" s="121">
        <v>45441.0</v>
      </c>
      <c r="T5256" s="91"/>
      <c r="V5256" s="51" t="s">
        <v>506</v>
      </c>
    </row>
    <row r="5257">
      <c r="A5257" s="117">
        <v>220.0</v>
      </c>
      <c r="B5257" s="51" t="s">
        <v>29</v>
      </c>
      <c r="C5257" s="51" t="s">
        <v>761</v>
      </c>
      <c r="D5257" s="51" t="s">
        <v>4217</v>
      </c>
      <c r="E5257" s="41" t="str">
        <f>IFERROR(__xludf.DUMMYFUNCTION("IFNA(vlookup(D5257,IMPORTRANGE(""https://docs.google.com/spreadsheets/d/1swGwZOEqYlTEUCJLY-eeJM1911Kvaei5oySBIxdgtNo/edit?pli=1#gid=257618397"",""stock untanna!B:C""),2,false),V:V)"),"HOOKS 4.5CM GANTUNGAN BAJU")</f>
        <v>HOOKS 4.5CM GANTUNGAN BAJU</v>
      </c>
      <c r="F5257" s="49"/>
      <c r="G5257" s="71"/>
      <c r="H5257" s="41"/>
      <c r="I5257" s="42"/>
      <c r="J5257" s="85" t="s">
        <v>1319</v>
      </c>
      <c r="K5257" s="93">
        <v>0.416666667</v>
      </c>
      <c r="L5257" s="112" t="s">
        <v>131</v>
      </c>
      <c r="M5257" s="101">
        <v>396000.0</v>
      </c>
      <c r="N5257" s="115">
        <v>0.1</v>
      </c>
      <c r="O5257" s="87">
        <f t="shared" si="18"/>
        <v>148500.0001</v>
      </c>
      <c r="P5257" s="102" t="str">
        <f t="shared" si="19"/>
        <v>Rp396,000-0.416666667 GRS-10.00%</v>
      </c>
      <c r="Q5257" s="121">
        <v>45436.0</v>
      </c>
      <c r="R5257" s="58"/>
      <c r="S5257" s="121">
        <v>45441.0</v>
      </c>
      <c r="T5257" s="91"/>
      <c r="V5257" s="51" t="s">
        <v>4218</v>
      </c>
    </row>
    <row r="5258">
      <c r="A5258" s="117">
        <v>220.0</v>
      </c>
      <c r="B5258" s="51" t="s">
        <v>29</v>
      </c>
      <c r="C5258" s="51" t="s">
        <v>761</v>
      </c>
      <c r="D5258" s="51" t="s">
        <v>4217</v>
      </c>
      <c r="E5258" s="41" t="str">
        <f>IFERROR(__xludf.DUMMYFUNCTION("IFNA(vlookup(D5258,IMPORTRANGE(""https://docs.google.com/spreadsheets/d/1swGwZOEqYlTEUCJLY-eeJM1911Kvaei5oySBIxdgtNo/edit?pli=1#gid=257618397"",""stock untanna!B:C""),2,false),V:V)"),"HOOKS 4.5CM GANTUNGAN BAJU")</f>
        <v>HOOKS 4.5CM GANTUNGAN BAJU</v>
      </c>
      <c r="F5258" s="49"/>
      <c r="G5258" s="71"/>
      <c r="H5258" s="41"/>
      <c r="I5258" s="42"/>
      <c r="J5258" s="85" t="s">
        <v>1319</v>
      </c>
      <c r="K5258" s="93">
        <v>1.0</v>
      </c>
      <c r="L5258" s="112" t="s">
        <v>131</v>
      </c>
      <c r="M5258" s="101">
        <v>240000.0</v>
      </c>
      <c r="N5258" s="74"/>
      <c r="O5258" s="87">
        <f t="shared" si="18"/>
        <v>240000</v>
      </c>
      <c r="P5258" s="102" t="str">
        <f t="shared" si="19"/>
        <v>Rp240,000-1 GRS-0.00%</v>
      </c>
      <c r="Q5258" s="121">
        <v>45436.0</v>
      </c>
      <c r="R5258" s="58"/>
      <c r="S5258" s="121">
        <v>45441.0</v>
      </c>
      <c r="T5258" s="91"/>
      <c r="V5258" s="51" t="s">
        <v>4218</v>
      </c>
    </row>
    <row r="5259">
      <c r="A5259" s="117">
        <v>220.0</v>
      </c>
      <c r="B5259" s="51" t="s">
        <v>29</v>
      </c>
      <c r="C5259" s="51" t="s">
        <v>761</v>
      </c>
      <c r="D5259" s="51" t="s">
        <v>2503</v>
      </c>
      <c r="E5259" s="41" t="str">
        <f>IFERROR(__xludf.DUMMYFUNCTION("IFNA(vlookup(D5259,IMPORTRANGE(""https://docs.google.com/spreadsheets/d/1swGwZOEqYlTEUCJLY-eeJM1911Kvaei5oySBIxdgtNo/edit?pli=1#gid=257618397"",""stock untanna!B:C""),2,false),V:V)"),"MAGNET 2010T")</f>
        <v>MAGNET 2010T</v>
      </c>
      <c r="F5259" s="49"/>
      <c r="G5259" s="71"/>
      <c r="H5259" s="41"/>
      <c r="I5259" s="42"/>
      <c r="J5259" s="85" t="s">
        <v>1319</v>
      </c>
      <c r="K5259" s="93">
        <v>12.0</v>
      </c>
      <c r="L5259" s="112" t="s">
        <v>69</v>
      </c>
      <c r="M5259" s="101">
        <v>8333.33</v>
      </c>
      <c r="N5259" s="74"/>
      <c r="O5259" s="87">
        <f t="shared" si="18"/>
        <v>99999.96</v>
      </c>
      <c r="P5259" s="102" t="str">
        <f t="shared" si="19"/>
        <v>Rp8,333-12 PCS-0.00%</v>
      </c>
      <c r="Q5259" s="121">
        <v>45436.0</v>
      </c>
      <c r="R5259" s="58"/>
      <c r="S5259" s="121">
        <v>45441.0</v>
      </c>
      <c r="T5259" s="91"/>
      <c r="V5259" s="51" t="s">
        <v>2504</v>
      </c>
    </row>
    <row r="5260">
      <c r="A5260" s="117">
        <v>220.0</v>
      </c>
      <c r="B5260" s="51" t="s">
        <v>29</v>
      </c>
      <c r="C5260" s="51" t="s">
        <v>761</v>
      </c>
      <c r="D5260" s="51" t="s">
        <v>2965</v>
      </c>
      <c r="E5260" s="41" t="str">
        <f>IFERROR(__xludf.DUMMYFUNCTION("IFNA(vlookup(D5260,IMPORTRANGE(""https://docs.google.com/spreadsheets/d/1swGwZOEqYlTEUCJLY-eeJM1911Kvaei5oySBIxdgtNo/edit?pli=1#gid=257618397"",""stock untanna!B:C""),2,false),V:V)"),"MAGNET 2008")</f>
        <v>MAGNET 2008</v>
      </c>
      <c r="F5260" s="49"/>
      <c r="G5260" s="71"/>
      <c r="H5260" s="41"/>
      <c r="I5260" s="42"/>
      <c r="J5260" s="85" t="s">
        <v>1319</v>
      </c>
      <c r="K5260" s="93">
        <v>12.0</v>
      </c>
      <c r="L5260" s="112" t="s">
        <v>69</v>
      </c>
      <c r="M5260" s="101">
        <v>9166.67</v>
      </c>
      <c r="N5260" s="74"/>
      <c r="O5260" s="87">
        <f t="shared" si="18"/>
        <v>110000.04</v>
      </c>
      <c r="P5260" s="102" t="str">
        <f t="shared" si="19"/>
        <v>Rp9,167-12 PCS-0.00%</v>
      </c>
      <c r="Q5260" s="121">
        <v>45436.0</v>
      </c>
      <c r="R5260" s="58"/>
      <c r="S5260" s="121">
        <v>45441.0</v>
      </c>
      <c r="T5260" s="91"/>
      <c r="V5260" s="51" t="s">
        <v>2512</v>
      </c>
    </row>
    <row r="5261">
      <c r="A5261" s="117">
        <v>220.0</v>
      </c>
      <c r="B5261" s="51" t="s">
        <v>29</v>
      </c>
      <c r="C5261" s="51" t="s">
        <v>761</v>
      </c>
      <c r="D5261" s="51" t="s">
        <v>4219</v>
      </c>
      <c r="E5261" s="41" t="str">
        <f>IFERROR(__xludf.DUMMYFUNCTION("IFNA(vlookup(D5261,IMPORTRANGE(""https://docs.google.com/spreadsheets/d/1swGwZOEqYlTEUCJLY-eeJM1911Kvaei5oySBIxdgtNo/edit?pli=1#gid=257618397"",""stock untanna!B:C""),2,false),V:V)"),"NAME TAG DUS MERAH 301")</f>
        <v>NAME TAG DUS MERAH 301</v>
      </c>
      <c r="F5261" s="49"/>
      <c r="G5261" s="71"/>
      <c r="H5261" s="41"/>
      <c r="I5261" s="42"/>
      <c r="J5261" s="85" t="s">
        <v>1319</v>
      </c>
      <c r="K5261" s="93">
        <v>250.0</v>
      </c>
      <c r="L5261" s="112" t="s">
        <v>69</v>
      </c>
      <c r="M5261" s="101">
        <v>700.0</v>
      </c>
      <c r="N5261" s="74"/>
      <c r="O5261" s="87">
        <f t="shared" si="18"/>
        <v>175000</v>
      </c>
      <c r="P5261" s="102" t="str">
        <f t="shared" si="19"/>
        <v>Rp700-250 PCS-0.00%</v>
      </c>
      <c r="Q5261" s="121">
        <v>45436.0</v>
      </c>
      <c r="R5261" s="58"/>
      <c r="S5261" s="121">
        <v>45441.0</v>
      </c>
      <c r="T5261" s="91"/>
      <c r="V5261" s="51" t="s">
        <v>4220</v>
      </c>
    </row>
    <row r="5262">
      <c r="A5262" s="117">
        <v>220.0</v>
      </c>
      <c r="B5262" s="51" t="s">
        <v>29</v>
      </c>
      <c r="C5262" s="51" t="s">
        <v>761</v>
      </c>
      <c r="D5262" s="51" t="s">
        <v>588</v>
      </c>
      <c r="E5262" s="41" t="str">
        <f>IFERROR(__xludf.DUMMYFUNCTION("IFNA(vlookup(D5262,IMPORTRANGE(""https://docs.google.com/spreadsheets/d/1swGwZOEqYlTEUCJLY-eeJM1911Kvaei5oySBIxdgtNo/edit?pli=1#gid=257618397"",""stock untanna!B:C""),2,false),V:V)"),"PENSIL CASE 8300D TIMBUL")</f>
        <v>PENSIL CASE 8300D TIMBUL</v>
      </c>
      <c r="F5262" s="49"/>
      <c r="G5262" s="71"/>
      <c r="H5262" s="41"/>
      <c r="I5262" s="42"/>
      <c r="J5262" s="85" t="s">
        <v>1319</v>
      </c>
      <c r="K5262" s="93">
        <v>12.0</v>
      </c>
      <c r="L5262" s="112" t="s">
        <v>69</v>
      </c>
      <c r="M5262" s="101">
        <v>31250.0</v>
      </c>
      <c r="N5262" s="74"/>
      <c r="O5262" s="87">
        <f t="shared" si="18"/>
        <v>375000</v>
      </c>
      <c r="P5262" s="102" t="str">
        <f t="shared" si="19"/>
        <v>Rp31,250-12 PCS-0.00%</v>
      </c>
      <c r="Q5262" s="121">
        <v>45436.0</v>
      </c>
      <c r="R5262" s="58"/>
      <c r="S5262" s="121">
        <v>45441.0</v>
      </c>
      <c r="T5262" s="91"/>
      <c r="V5262" s="51" t="s">
        <v>589</v>
      </c>
    </row>
    <row r="5263">
      <c r="A5263" s="117">
        <v>220.0</v>
      </c>
      <c r="B5263" s="51" t="s">
        <v>29</v>
      </c>
      <c r="C5263" s="51" t="s">
        <v>761</v>
      </c>
      <c r="D5263" s="51" t="s">
        <v>1404</v>
      </c>
      <c r="E5263" s="41" t="str">
        <f>IFERROR(__xludf.DUMMYFUNCTION("IFNA(vlookup(D5263,IMPORTRANGE(""https://docs.google.com/spreadsheets/d/1swGwZOEqYlTEUCJLY-eeJM1911Kvaei5oySBIxdgtNo/edit?pli=1#gid=257618397"",""stock untanna!B:C""),2,false),V:V)"),"PENSIL CASE 8300SG TIMBUL")</f>
        <v>PENSIL CASE 8300SG TIMBUL</v>
      </c>
      <c r="F5263" s="49"/>
      <c r="G5263" s="71"/>
      <c r="H5263" s="41"/>
      <c r="I5263" s="42"/>
      <c r="J5263" s="85" t="s">
        <v>1319</v>
      </c>
      <c r="K5263" s="93">
        <v>12.0</v>
      </c>
      <c r="L5263" s="112" t="s">
        <v>69</v>
      </c>
      <c r="M5263" s="101">
        <v>31250.0</v>
      </c>
      <c r="N5263" s="74"/>
      <c r="O5263" s="87">
        <f t="shared" si="18"/>
        <v>375000</v>
      </c>
      <c r="P5263" s="102" t="str">
        <f t="shared" si="19"/>
        <v>Rp31,250-12 PCS-0.00%</v>
      </c>
      <c r="Q5263" s="121">
        <v>45436.0</v>
      </c>
      <c r="R5263" s="58"/>
      <c r="S5263" s="121">
        <v>45441.0</v>
      </c>
      <c r="T5263" s="91"/>
      <c r="V5263" s="51" t="s">
        <v>1405</v>
      </c>
    </row>
    <row r="5264">
      <c r="A5264" s="117">
        <v>221.0</v>
      </c>
      <c r="B5264" s="51" t="s">
        <v>29</v>
      </c>
      <c r="C5264" s="51" t="s">
        <v>761</v>
      </c>
      <c r="D5264" s="56"/>
      <c r="E5264" s="41" t="str">
        <f>IFERROR(__xludf.DUMMYFUNCTION("IFNA(vlookup(D5264,IMPORTRANGE(""https://docs.google.com/spreadsheets/d/1swGwZOEqYlTEUCJLY-eeJM1911Kvaei5oySBIxdgtNo/edit?pli=1#gid=257618397"",""stock untanna!B:C""),2,false),V:V)"),"P CASE MAGNIT CC 7810")</f>
        <v>P CASE MAGNIT CC 7810</v>
      </c>
      <c r="F5264" s="49"/>
      <c r="G5264" s="71"/>
      <c r="H5264" s="41"/>
      <c r="I5264" s="42"/>
      <c r="J5264" s="85" t="s">
        <v>3190</v>
      </c>
      <c r="K5264" s="93">
        <v>1.0</v>
      </c>
      <c r="L5264" s="112" t="s">
        <v>62</v>
      </c>
      <c r="M5264" s="101">
        <v>175000.0</v>
      </c>
      <c r="N5264" s="74"/>
      <c r="O5264" s="87">
        <f t="shared" si="18"/>
        <v>175000</v>
      </c>
      <c r="P5264" s="102" t="str">
        <f t="shared" si="19"/>
        <v>Rp175,000-1 LSN-0.00%</v>
      </c>
      <c r="Q5264" s="121">
        <v>45436.0</v>
      </c>
      <c r="R5264" s="58"/>
      <c r="S5264" s="121">
        <v>45441.0</v>
      </c>
      <c r="T5264" s="91"/>
      <c r="V5264" s="51" t="s">
        <v>4221</v>
      </c>
    </row>
    <row r="5265">
      <c r="A5265" s="117">
        <v>221.0</v>
      </c>
      <c r="B5265" s="51" t="s">
        <v>29</v>
      </c>
      <c r="C5265" s="51" t="s">
        <v>761</v>
      </c>
      <c r="D5265" s="51" t="s">
        <v>2096</v>
      </c>
      <c r="E5265" s="41" t="str">
        <f>IFERROR(__xludf.DUMMYFUNCTION("IFNA(vlookup(D5265,IMPORTRANGE(""https://docs.google.com/spreadsheets/d/1swGwZOEqYlTEUCJLY-eeJM1911Kvaei5oySBIxdgtNo/edit?pli=1#gid=257618397"",""stock untanna!B:C""),2,false),V:V)"),"PENSIL CASE AC-2860-3")</f>
        <v>PENSIL CASE AC-2860-3</v>
      </c>
      <c r="F5265" s="49"/>
      <c r="G5265" s="71"/>
      <c r="H5265" s="41"/>
      <c r="I5265" s="42"/>
      <c r="J5265" s="85" t="s">
        <v>1319</v>
      </c>
      <c r="K5265" s="93">
        <v>12.0</v>
      </c>
      <c r="L5265" s="112" t="s">
        <v>69</v>
      </c>
      <c r="M5265" s="101">
        <v>12500.0</v>
      </c>
      <c r="N5265" s="74"/>
      <c r="O5265" s="87">
        <f t="shared" si="18"/>
        <v>150000</v>
      </c>
      <c r="P5265" s="102" t="str">
        <f t="shared" si="19"/>
        <v>Rp12,500-12 PCS-0.00%</v>
      </c>
      <c r="Q5265" s="121">
        <v>45436.0</v>
      </c>
      <c r="R5265" s="58"/>
      <c r="S5265" s="121">
        <v>45441.0</v>
      </c>
      <c r="T5265" s="91"/>
      <c r="V5265" s="51" t="s">
        <v>2097</v>
      </c>
    </row>
    <row r="5266">
      <c r="A5266" s="117">
        <v>221.0</v>
      </c>
      <c r="B5266" s="51" t="s">
        <v>29</v>
      </c>
      <c r="C5266" s="51" t="s">
        <v>761</v>
      </c>
      <c r="D5266" s="56"/>
      <c r="E5266" s="41" t="str">
        <f>IFERROR(__xludf.DUMMYFUNCTION("IFNA(vlookup(D5266,IMPORTRANGE(""https://docs.google.com/spreadsheets/d/1swGwZOEqYlTEUCJLY-eeJM1911Kvaei5oySBIxdgtNo/edit?pli=1#gid=257618397"",""stock untanna!B:C""),2,false),V:V)"),"PC MAGNIT + CALL 7806")</f>
        <v>PC MAGNIT + CALL 7806</v>
      </c>
      <c r="F5266" s="49"/>
      <c r="G5266" s="71"/>
      <c r="H5266" s="41"/>
      <c r="I5266" s="42"/>
      <c r="J5266" s="85" t="s">
        <v>3190</v>
      </c>
      <c r="K5266" s="93">
        <v>1.0</v>
      </c>
      <c r="L5266" s="112" t="s">
        <v>62</v>
      </c>
      <c r="M5266" s="101">
        <v>175000.0</v>
      </c>
      <c r="N5266" s="74"/>
      <c r="O5266" s="87">
        <f t="shared" si="18"/>
        <v>175000</v>
      </c>
      <c r="P5266" s="102" t="str">
        <f t="shared" si="19"/>
        <v>Rp175,000-1 LSN-0.00%</v>
      </c>
      <c r="Q5266" s="121">
        <v>45436.0</v>
      </c>
      <c r="R5266" s="58"/>
      <c r="S5266" s="121">
        <v>45441.0</v>
      </c>
      <c r="T5266" s="91"/>
      <c r="V5266" s="51" t="s">
        <v>3463</v>
      </c>
    </row>
    <row r="5267">
      <c r="A5267" s="117">
        <v>221.0</v>
      </c>
      <c r="B5267" s="51" t="s">
        <v>29</v>
      </c>
      <c r="C5267" s="51" t="s">
        <v>761</v>
      </c>
      <c r="D5267" s="51" t="s">
        <v>592</v>
      </c>
      <c r="E5267" s="41" t="str">
        <f>IFERROR(__xludf.DUMMYFUNCTION("IFNA(vlookup(D5267,IMPORTRANGE(""https://docs.google.com/spreadsheets/d/1swGwZOEqYlTEUCJLY-eeJM1911Kvaei5oySBIxdgtNo/edit?pli=1#gid=257618397"",""stock untanna!B:C""),2,false),V:V)"),"PENSIL CASE A-1037 + CAL")</f>
        <v>PENSIL CASE A-1037 + CAL</v>
      </c>
      <c r="F5267" s="49"/>
      <c r="G5267" s="71"/>
      <c r="H5267" s="41"/>
      <c r="I5267" s="42"/>
      <c r="J5267" s="85" t="s">
        <v>1319</v>
      </c>
      <c r="K5267" s="93">
        <v>12.0</v>
      </c>
      <c r="L5267" s="112" t="s">
        <v>69</v>
      </c>
      <c r="M5267" s="101">
        <v>14583.3</v>
      </c>
      <c r="N5267" s="74"/>
      <c r="O5267" s="87">
        <f t="shared" si="18"/>
        <v>174999.6</v>
      </c>
      <c r="P5267" s="102" t="str">
        <f t="shared" si="19"/>
        <v>Rp14,583-12 PCS-0.00%</v>
      </c>
      <c r="Q5267" s="121">
        <v>45436.0</v>
      </c>
      <c r="R5267" s="58"/>
      <c r="S5267" s="121">
        <v>45441.0</v>
      </c>
      <c r="T5267" s="91"/>
      <c r="V5267" s="51" t="s">
        <v>593</v>
      </c>
    </row>
    <row r="5268">
      <c r="A5268" s="117">
        <v>221.0</v>
      </c>
      <c r="B5268" s="51" t="s">
        <v>29</v>
      </c>
      <c r="C5268" s="51" t="s">
        <v>761</v>
      </c>
      <c r="D5268" s="51" t="s">
        <v>1098</v>
      </c>
      <c r="E5268" s="41" t="str">
        <f>IFERROR(__xludf.DUMMYFUNCTION("IFNA(vlookup(D5268,IMPORTRANGE(""https://docs.google.com/spreadsheets/d/1swGwZOEqYlTEUCJLY-eeJM1911Kvaei5oySBIxdgtNo/edit?pli=1#gid=257618397"",""stock untanna!B:C""),2,false),V:V)"),"PENCIL CASE B-136")</f>
        <v>PENCIL CASE B-136</v>
      </c>
      <c r="F5268" s="49"/>
      <c r="G5268" s="71"/>
      <c r="H5268" s="41"/>
      <c r="I5268" s="42"/>
      <c r="J5268" s="85" t="s">
        <v>1319</v>
      </c>
      <c r="K5268" s="93">
        <v>1.0</v>
      </c>
      <c r="L5268" s="112" t="s">
        <v>62</v>
      </c>
      <c r="M5268" s="101">
        <v>110000.0</v>
      </c>
      <c r="N5268" s="74"/>
      <c r="O5268" s="87">
        <f t="shared" si="18"/>
        <v>110000</v>
      </c>
      <c r="P5268" s="102" t="str">
        <f t="shared" si="19"/>
        <v>Rp110,000-1 LSN-0.00%</v>
      </c>
      <c r="Q5268" s="121">
        <v>45436.0</v>
      </c>
      <c r="R5268" s="58"/>
      <c r="S5268" s="121">
        <v>45441.0</v>
      </c>
      <c r="T5268" s="91"/>
      <c r="V5268" s="51" t="s">
        <v>1099</v>
      </c>
    </row>
    <row r="5269">
      <c r="A5269" s="117">
        <v>221.0</v>
      </c>
      <c r="B5269" s="51" t="s">
        <v>29</v>
      </c>
      <c r="C5269" s="51" t="s">
        <v>761</v>
      </c>
      <c r="D5269" s="51" t="s">
        <v>1417</v>
      </c>
      <c r="E5269" s="41" t="str">
        <f>IFERROR(__xludf.DUMMYFUNCTION("IFNA(vlookup(D5269,IMPORTRANGE(""https://docs.google.com/spreadsheets/d/1swGwZOEqYlTEUCJLY-eeJM1911Kvaei5oySBIxdgtNo/edit?pli=1#gid=257618397"",""stock untanna!B:C""),2,false),V:V)"),"PENCIL CASE B-126")</f>
        <v>PENCIL CASE B-126</v>
      </c>
      <c r="F5269" s="49"/>
      <c r="G5269" s="71"/>
      <c r="H5269" s="41"/>
      <c r="I5269" s="42"/>
      <c r="J5269" s="85" t="s">
        <v>1319</v>
      </c>
      <c r="K5269" s="93">
        <v>1.0</v>
      </c>
      <c r="L5269" s="112" t="s">
        <v>62</v>
      </c>
      <c r="M5269" s="101">
        <v>110000.0</v>
      </c>
      <c r="N5269" s="74"/>
      <c r="O5269" s="87">
        <f t="shared" si="18"/>
        <v>110000</v>
      </c>
      <c r="P5269" s="102" t="str">
        <f t="shared" si="19"/>
        <v>Rp110,000-1 LSN-0.00%</v>
      </c>
      <c r="Q5269" s="121">
        <v>45436.0</v>
      </c>
      <c r="R5269" s="58"/>
      <c r="S5269" s="121">
        <v>45441.0</v>
      </c>
      <c r="T5269" s="91"/>
      <c r="V5269" s="51" t="s">
        <v>1418</v>
      </c>
    </row>
    <row r="5270">
      <c r="A5270" s="117">
        <v>221.0</v>
      </c>
      <c r="B5270" s="51" t="s">
        <v>29</v>
      </c>
      <c r="C5270" s="51" t="s">
        <v>761</v>
      </c>
      <c r="D5270" s="51" t="s">
        <v>1047</v>
      </c>
      <c r="E5270" s="41" t="str">
        <f>IFERROR(__xludf.DUMMYFUNCTION("IFNA(vlookup(D5270,IMPORTRANGE(""https://docs.google.com/spreadsheets/d/1swGwZOEqYlTEUCJLY-eeJM1911Kvaei5oySBIxdgtNo/edit?pli=1#gid=257618397"",""stock untanna!B:C""),2,false),V:V)"),"PENSIL CASE 5871")</f>
        <v>PENSIL CASE 5871</v>
      </c>
      <c r="F5270" s="49"/>
      <c r="G5270" s="71"/>
      <c r="H5270" s="41"/>
      <c r="I5270" s="42"/>
      <c r="J5270" s="85" t="s">
        <v>1319</v>
      </c>
      <c r="K5270" s="93">
        <v>12.0</v>
      </c>
      <c r="L5270" s="112" t="s">
        <v>69</v>
      </c>
      <c r="M5270" s="101">
        <v>25000.0</v>
      </c>
      <c r="N5270" s="74"/>
      <c r="O5270" s="87">
        <f t="shared" si="18"/>
        <v>300000</v>
      </c>
      <c r="P5270" s="102" t="str">
        <f t="shared" si="19"/>
        <v>Rp25,000-12 PCS-0.00%</v>
      </c>
      <c r="Q5270" s="121">
        <v>45436.0</v>
      </c>
      <c r="R5270" s="58"/>
      <c r="S5270" s="121">
        <v>45441.0</v>
      </c>
      <c r="T5270" s="91"/>
      <c r="V5270" s="51" t="s">
        <v>1048</v>
      </c>
    </row>
    <row r="5271">
      <c r="A5271" s="117">
        <v>221.0</v>
      </c>
      <c r="B5271" s="51" t="s">
        <v>29</v>
      </c>
      <c r="C5271" s="51" t="s">
        <v>761</v>
      </c>
      <c r="D5271" s="51" t="s">
        <v>1415</v>
      </c>
      <c r="E5271" s="41" t="str">
        <f>IFERROR(__xludf.DUMMYFUNCTION("IFNA(vlookup(D5271,IMPORTRANGE(""https://docs.google.com/spreadsheets/d/1swGwZOEqYlTEUCJLY-eeJM1911Kvaei5oySBIxdgtNo/edit?pli=1#gid=257618397"",""stock untanna!B:C""),2,false),V:V)"),"PENCIL CASE B-118")</f>
        <v>PENCIL CASE B-118</v>
      </c>
      <c r="F5271" s="49"/>
      <c r="G5271" s="71"/>
      <c r="H5271" s="41"/>
      <c r="I5271" s="42"/>
      <c r="J5271" s="85" t="s">
        <v>1319</v>
      </c>
      <c r="K5271" s="93">
        <v>2.0</v>
      </c>
      <c r="L5271" s="112" t="s">
        <v>62</v>
      </c>
      <c r="M5271" s="101">
        <v>110000.0</v>
      </c>
      <c r="N5271" s="74"/>
      <c r="O5271" s="87">
        <f t="shared" si="18"/>
        <v>220000</v>
      </c>
      <c r="P5271" s="102" t="str">
        <f t="shared" si="19"/>
        <v>Rp110,000-2 LSN-0.00%</v>
      </c>
      <c r="Q5271" s="121">
        <v>45436.0</v>
      </c>
      <c r="R5271" s="58"/>
      <c r="S5271" s="121">
        <v>45441.0</v>
      </c>
      <c r="T5271" s="91"/>
      <c r="V5271" s="51" t="s">
        <v>1416</v>
      </c>
    </row>
    <row r="5272">
      <c r="A5272" s="117">
        <v>221.0</v>
      </c>
      <c r="B5272" s="51" t="s">
        <v>29</v>
      </c>
      <c r="C5272" s="51" t="s">
        <v>761</v>
      </c>
      <c r="D5272" s="56"/>
      <c r="E5272" s="41" t="str">
        <f>IFERROR(__xludf.DUMMYFUNCTION("IFNA(vlookup(D5272,IMPORTRANGE(""https://docs.google.com/spreadsheets/d/1swGwZOEqYlTEUCJLY-eeJM1911Kvaei5oySBIxdgtNo/edit?pli=1#gid=257618397"",""stock untanna!B:C""),2,false),V:V)"),"PENCIL CASE B-122")</f>
        <v>PENCIL CASE B-122</v>
      </c>
      <c r="F5272" s="49"/>
      <c r="G5272" s="71"/>
      <c r="H5272" s="41"/>
      <c r="I5272" s="42"/>
      <c r="J5272" s="85" t="s">
        <v>3190</v>
      </c>
      <c r="K5272" s="93">
        <v>2.0</v>
      </c>
      <c r="L5272" s="112" t="s">
        <v>62</v>
      </c>
      <c r="M5272" s="101">
        <v>110000.0</v>
      </c>
      <c r="N5272" s="74"/>
      <c r="O5272" s="87">
        <f t="shared" si="18"/>
        <v>220000</v>
      </c>
      <c r="P5272" s="102" t="str">
        <f t="shared" si="19"/>
        <v>Rp110,000-2 LSN-0.00%</v>
      </c>
      <c r="Q5272" s="121">
        <v>45436.0</v>
      </c>
      <c r="R5272" s="58"/>
      <c r="S5272" s="121">
        <v>45441.0</v>
      </c>
      <c r="T5272" s="91"/>
      <c r="V5272" s="51" t="s">
        <v>4222</v>
      </c>
    </row>
    <row r="5273">
      <c r="A5273" s="117">
        <v>221.0</v>
      </c>
      <c r="B5273" s="51" t="s">
        <v>29</v>
      </c>
      <c r="C5273" s="51" t="s">
        <v>761</v>
      </c>
      <c r="D5273" s="56"/>
      <c r="E5273" s="41" t="str">
        <f>IFERROR(__xludf.DUMMYFUNCTION("IFNA(vlookup(D5273,IMPORTRANGE(""https://docs.google.com/spreadsheets/d/1swGwZOEqYlTEUCJLY-eeJM1911Kvaei5oySBIxdgtNo/edit?pli=1#gid=257618397"",""stock untanna!B:C""),2,false),V:V)"),"P CASE SH-10")</f>
        <v>P CASE SH-10</v>
      </c>
      <c r="F5273" s="49"/>
      <c r="G5273" s="71"/>
      <c r="H5273" s="41"/>
      <c r="I5273" s="42"/>
      <c r="J5273" s="85" t="s">
        <v>3190</v>
      </c>
      <c r="K5273" s="93">
        <v>1.0</v>
      </c>
      <c r="L5273" s="112" t="s">
        <v>62</v>
      </c>
      <c r="M5273" s="101">
        <v>150000.0</v>
      </c>
      <c r="N5273" s="74"/>
      <c r="O5273" s="87">
        <f t="shared" si="18"/>
        <v>150000</v>
      </c>
      <c r="P5273" s="102" t="str">
        <f t="shared" si="19"/>
        <v>Rp150,000-1 LSN-0.00%</v>
      </c>
      <c r="Q5273" s="121">
        <v>45436.0</v>
      </c>
      <c r="R5273" s="58"/>
      <c r="S5273" s="121">
        <v>45441.0</v>
      </c>
      <c r="T5273" s="91"/>
      <c r="V5273" s="51" t="s">
        <v>4223</v>
      </c>
    </row>
    <row r="5274">
      <c r="A5274" s="117">
        <v>221.0</v>
      </c>
      <c r="B5274" s="51" t="s">
        <v>29</v>
      </c>
      <c r="C5274" s="51" t="s">
        <v>761</v>
      </c>
      <c r="D5274" s="56"/>
      <c r="E5274" s="41" t="str">
        <f>IFERROR(__xludf.DUMMYFUNCTION("IFNA(vlookup(D5274,IMPORTRANGE(""https://docs.google.com/spreadsheets/d/1swGwZOEqYlTEUCJLY-eeJM1911Kvaei5oySBIxdgtNo/edit?pli=1#gid=257618397"",""stock untanna!B:C""),2,false),V:V)"),"P CASE SH-06")</f>
        <v>P CASE SH-06</v>
      </c>
      <c r="F5274" s="49"/>
      <c r="G5274" s="71"/>
      <c r="H5274" s="41"/>
      <c r="I5274" s="42"/>
      <c r="J5274" s="85" t="s">
        <v>3190</v>
      </c>
      <c r="K5274" s="93">
        <v>1.0</v>
      </c>
      <c r="L5274" s="112" t="s">
        <v>62</v>
      </c>
      <c r="M5274" s="101">
        <v>150000.0</v>
      </c>
      <c r="N5274" s="74"/>
      <c r="O5274" s="87">
        <f t="shared" si="18"/>
        <v>150000</v>
      </c>
      <c r="P5274" s="102" t="str">
        <f t="shared" si="19"/>
        <v>Rp150,000-1 LSN-0.00%</v>
      </c>
      <c r="Q5274" s="121">
        <v>45436.0</v>
      </c>
      <c r="R5274" s="58"/>
      <c r="S5274" s="121">
        <v>45441.0</v>
      </c>
      <c r="T5274" s="91"/>
      <c r="V5274" s="51" t="s">
        <v>4224</v>
      </c>
    </row>
    <row r="5275">
      <c r="A5275" s="117">
        <v>221.0</v>
      </c>
      <c r="B5275" s="51" t="s">
        <v>29</v>
      </c>
      <c r="C5275" s="51" t="s">
        <v>761</v>
      </c>
      <c r="D5275" s="56"/>
      <c r="E5275" s="41" t="str">
        <f>IFERROR(__xludf.DUMMYFUNCTION("IFNA(vlookup(D5275,IMPORTRANGE(""https://docs.google.com/spreadsheets/d/1swGwZOEqYlTEUCJLY-eeJM1911Kvaei5oySBIxdgtNo/edit?pli=1#gid=257618397"",""stock untanna!B:C""),2,false),V:V)"),"P CASE SH-02")</f>
        <v>P CASE SH-02</v>
      </c>
      <c r="F5275" s="49"/>
      <c r="G5275" s="71"/>
      <c r="H5275" s="41"/>
      <c r="I5275" s="42"/>
      <c r="J5275" s="85" t="s">
        <v>3190</v>
      </c>
      <c r="K5275" s="93">
        <v>1.0</v>
      </c>
      <c r="L5275" s="112" t="s">
        <v>62</v>
      </c>
      <c r="M5275" s="101">
        <v>150000.0</v>
      </c>
      <c r="N5275" s="74"/>
      <c r="O5275" s="87">
        <f t="shared" si="18"/>
        <v>150000</v>
      </c>
      <c r="P5275" s="102" t="str">
        <f t="shared" si="19"/>
        <v>Rp150,000-1 LSN-0.00%</v>
      </c>
      <c r="Q5275" s="121">
        <v>45436.0</v>
      </c>
      <c r="R5275" s="58"/>
      <c r="S5275" s="121">
        <v>45441.0</v>
      </c>
      <c r="T5275" s="91"/>
      <c r="V5275" s="51" t="s">
        <v>4225</v>
      </c>
    </row>
    <row r="5276">
      <c r="A5276" s="117">
        <v>221.0</v>
      </c>
      <c r="B5276" s="51" t="s">
        <v>29</v>
      </c>
      <c r="C5276" s="51" t="s">
        <v>761</v>
      </c>
      <c r="D5276" s="56"/>
      <c r="E5276" s="41" t="str">
        <f>IFERROR(__xludf.DUMMYFUNCTION("IFNA(vlookup(D5276,IMPORTRANGE(""https://docs.google.com/spreadsheets/d/1swGwZOEqYlTEUCJLY-eeJM1911Kvaei5oySBIxdgtNo/edit?pli=1#gid=257618397"",""stock untanna!B:C""),2,false),V:V)"),"P CASE SH-08")</f>
        <v>P CASE SH-08</v>
      </c>
      <c r="F5276" s="49"/>
      <c r="G5276" s="71"/>
      <c r="H5276" s="41"/>
      <c r="I5276" s="42"/>
      <c r="J5276" s="85" t="s">
        <v>3190</v>
      </c>
      <c r="K5276" s="93">
        <v>1.0</v>
      </c>
      <c r="L5276" s="112" t="s">
        <v>62</v>
      </c>
      <c r="M5276" s="101">
        <v>150000.0</v>
      </c>
      <c r="N5276" s="74"/>
      <c r="O5276" s="87">
        <f t="shared" si="18"/>
        <v>150000</v>
      </c>
      <c r="P5276" s="102" t="str">
        <f t="shared" si="19"/>
        <v>Rp150,000-1 LSN-0.00%</v>
      </c>
      <c r="Q5276" s="121">
        <v>45436.0</v>
      </c>
      <c r="R5276" s="58"/>
      <c r="S5276" s="121">
        <v>45441.0</v>
      </c>
      <c r="T5276" s="91"/>
      <c r="V5276" s="51" t="s">
        <v>4226</v>
      </c>
    </row>
    <row r="5277">
      <c r="A5277" s="117">
        <v>221.0</v>
      </c>
      <c r="B5277" s="51" t="s">
        <v>29</v>
      </c>
      <c r="C5277" s="51" t="s">
        <v>761</v>
      </c>
      <c r="D5277" s="56"/>
      <c r="E5277" s="41" t="str">
        <f>IFERROR(__xludf.DUMMYFUNCTION("IFNA(vlookup(D5277,IMPORTRANGE(""https://docs.google.com/spreadsheets/d/1swGwZOEqYlTEUCJLY-eeJM1911Kvaei5oySBIxdgtNo/edit?pli=1#gid=257618397"",""stock untanna!B:C""),2,false),V:V)"),"BINDER NOTE JHYB - 89706 A5")</f>
        <v>BINDER NOTE JHYB - 89706 A5</v>
      </c>
      <c r="F5277" s="49"/>
      <c r="G5277" s="71"/>
      <c r="H5277" s="41"/>
      <c r="I5277" s="42"/>
      <c r="J5277" s="85" t="s">
        <v>3190</v>
      </c>
      <c r="K5277" s="93">
        <v>12.0</v>
      </c>
      <c r="L5277" s="112" t="s">
        <v>69</v>
      </c>
      <c r="M5277" s="101">
        <v>25000.0</v>
      </c>
      <c r="N5277" s="74"/>
      <c r="O5277" s="87">
        <f t="shared" si="18"/>
        <v>300000</v>
      </c>
      <c r="P5277" s="102" t="str">
        <f t="shared" si="19"/>
        <v>Rp25,000-12 PCS-0.00%</v>
      </c>
      <c r="Q5277" s="121">
        <v>45436.0</v>
      </c>
      <c r="R5277" s="58"/>
      <c r="S5277" s="121">
        <v>45441.0</v>
      </c>
      <c r="T5277" s="91"/>
      <c r="V5277" s="51" t="s">
        <v>4227</v>
      </c>
    </row>
    <row r="5278">
      <c r="A5278" s="117">
        <v>221.0</v>
      </c>
      <c r="B5278" s="51" t="s">
        <v>29</v>
      </c>
      <c r="C5278" s="51" t="s">
        <v>761</v>
      </c>
      <c r="D5278" s="51" t="s">
        <v>4176</v>
      </c>
      <c r="E5278" s="41" t="str">
        <f>IFERROR(__xludf.DUMMYFUNCTION("IFNA(vlookup(D5278,IMPORTRANGE(""https://docs.google.com/spreadsheets/d/1swGwZOEqYlTEUCJLY-eeJM1911Kvaei5oySBIxdgtNo/edit?pli=1#gid=257618397"",""stock untanna!B:C""),2,false),V:V)"),"BINDER NOTE HYB - 86804 A5")</f>
        <v>BINDER NOTE HYB - 86804 A5</v>
      </c>
      <c r="F5278" s="49"/>
      <c r="G5278" s="71"/>
      <c r="H5278" s="41"/>
      <c r="I5278" s="42"/>
      <c r="J5278" s="85" t="s">
        <v>1319</v>
      </c>
      <c r="K5278" s="93">
        <v>12.0</v>
      </c>
      <c r="L5278" s="112" t="s">
        <v>69</v>
      </c>
      <c r="M5278" s="101">
        <v>25000.0</v>
      </c>
      <c r="N5278" s="74"/>
      <c r="O5278" s="87">
        <f t="shared" si="18"/>
        <v>300000</v>
      </c>
      <c r="P5278" s="102" t="str">
        <f t="shared" si="19"/>
        <v>Rp25,000-12 PCS-0.00%</v>
      </c>
      <c r="Q5278" s="121">
        <v>45436.0</v>
      </c>
      <c r="R5278" s="58"/>
      <c r="S5278" s="121">
        <v>45441.0</v>
      </c>
      <c r="T5278" s="91"/>
      <c r="V5278" s="51" t="s">
        <v>4177</v>
      </c>
    </row>
    <row r="5279">
      <c r="A5279" s="117">
        <v>221.0</v>
      </c>
      <c r="B5279" s="51" t="s">
        <v>29</v>
      </c>
      <c r="C5279" s="51" t="s">
        <v>761</v>
      </c>
      <c r="D5279" s="56"/>
      <c r="E5279" s="41" t="str">
        <f>IFERROR(__xludf.DUMMYFUNCTION("IFNA(vlookup(D5279,IMPORTRANGE(""https://docs.google.com/spreadsheets/d/1swGwZOEqYlTEUCJLY-eeJM1911Kvaei5oySBIxdgtNo/edit?pli=1#gid=257618397"",""stock untanna!B:C""),2,false),V:V)"),"MAP ZIPPER A5-16C 5 MACAM")</f>
        <v>MAP ZIPPER A5-16C 5 MACAM</v>
      </c>
      <c r="F5279" s="49"/>
      <c r="G5279" s="71"/>
      <c r="H5279" s="41"/>
      <c r="I5279" s="42"/>
      <c r="J5279" s="85" t="s">
        <v>3190</v>
      </c>
      <c r="K5279" s="93">
        <v>10.0</v>
      </c>
      <c r="L5279" s="112" t="s">
        <v>62</v>
      </c>
      <c r="M5279" s="101">
        <v>21000.0</v>
      </c>
      <c r="N5279" s="74"/>
      <c r="O5279" s="87">
        <f t="shared" si="18"/>
        <v>210000</v>
      </c>
      <c r="P5279" s="102" t="str">
        <f t="shared" si="19"/>
        <v>Rp21,000-10 LSN-0.00%</v>
      </c>
      <c r="Q5279" s="121">
        <v>45436.0</v>
      </c>
      <c r="R5279" s="58"/>
      <c r="S5279" s="121">
        <v>45441.0</v>
      </c>
      <c r="T5279" s="91"/>
      <c r="V5279" s="51" t="s">
        <v>4228</v>
      </c>
    </row>
    <row r="5280">
      <c r="A5280" s="117">
        <v>222.0</v>
      </c>
      <c r="B5280" s="51" t="s">
        <v>29</v>
      </c>
      <c r="C5280" s="51" t="s">
        <v>761</v>
      </c>
      <c r="D5280" s="51" t="s">
        <v>240</v>
      </c>
      <c r="E5280" s="41" t="str">
        <f>IFERROR(__xludf.DUMMYFUNCTION("IFNA(vlookup(D5280,IMPORTRANGE(""https://docs.google.com/spreadsheets/d/1swGwZOEqYlTEUCJLY-eeJM1911Kvaei5oySBIxdgtNo/edit?pli=1#gid=257618397"",""stock untanna!B:C""),2,false),V:V)"),"TAS LYSD 229 K")</f>
        <v>TAS LYSD 229 K</v>
      </c>
      <c r="F5280" s="49"/>
      <c r="G5280" s="71"/>
      <c r="H5280" s="41"/>
      <c r="I5280" s="42"/>
      <c r="J5280" s="85" t="s">
        <v>1319</v>
      </c>
      <c r="K5280" s="93">
        <v>12.0</v>
      </c>
      <c r="L5280" s="112" t="s">
        <v>69</v>
      </c>
      <c r="M5280" s="101">
        <v>5000.0</v>
      </c>
      <c r="N5280" s="115">
        <v>0.1</v>
      </c>
      <c r="O5280" s="87">
        <f t="shared" si="18"/>
        <v>54000</v>
      </c>
      <c r="P5280" s="102" t="str">
        <f t="shared" si="19"/>
        <v>Rp5,000-12 PCS-10.00%</v>
      </c>
      <c r="Q5280" s="121">
        <v>45436.0</v>
      </c>
      <c r="R5280" s="58"/>
      <c r="S5280" s="121">
        <v>45441.0</v>
      </c>
      <c r="T5280" s="91"/>
      <c r="V5280" s="51" t="s">
        <v>241</v>
      </c>
    </row>
    <row r="5281">
      <c r="A5281" s="117">
        <v>222.0</v>
      </c>
      <c r="B5281" s="51" t="s">
        <v>29</v>
      </c>
      <c r="C5281" s="51" t="s">
        <v>761</v>
      </c>
      <c r="D5281" s="56"/>
      <c r="E5281" s="41" t="str">
        <f>IFERROR(__xludf.DUMMYFUNCTION("IFNA(vlookup(D5281,IMPORTRANGE(""https://docs.google.com/spreadsheets/d/1swGwZOEqYlTEUCJLY-eeJM1911Kvaei5oySBIxdgtNo/edit?pli=1#gid=257618397"",""stock untanna!B:C""),2,false),V:V)"),"TAS GMS 2904-5 GLITTER KECIL")</f>
        <v>TAS GMS 2904-5 GLITTER KECIL</v>
      </c>
      <c r="F5281" s="49"/>
      <c r="G5281" s="71"/>
      <c r="H5281" s="41"/>
      <c r="I5281" s="42"/>
      <c r="J5281" s="85" t="s">
        <v>3190</v>
      </c>
      <c r="K5281" s="93">
        <v>1.0</v>
      </c>
      <c r="L5281" s="112" t="s">
        <v>62</v>
      </c>
      <c r="M5281" s="101">
        <v>65000.0</v>
      </c>
      <c r="N5281" s="115">
        <v>0.1</v>
      </c>
      <c r="O5281" s="87">
        <f t="shared" si="18"/>
        <v>58500</v>
      </c>
      <c r="P5281" s="102" t="str">
        <f t="shared" si="19"/>
        <v>Rp65,000-1 LSN-10.00%</v>
      </c>
      <c r="Q5281" s="121">
        <v>45436.0</v>
      </c>
      <c r="R5281" s="58"/>
      <c r="S5281" s="121">
        <v>45441.0</v>
      </c>
      <c r="T5281" s="91"/>
      <c r="V5281" s="51" t="s">
        <v>4229</v>
      </c>
    </row>
    <row r="5282">
      <c r="A5282" s="117">
        <v>222.0</v>
      </c>
      <c r="B5282" s="51" t="s">
        <v>29</v>
      </c>
      <c r="C5282" s="51" t="s">
        <v>761</v>
      </c>
      <c r="D5282" s="51" t="s">
        <v>262</v>
      </c>
      <c r="E5282" s="41" t="str">
        <f>IFERROR(__xludf.DUMMYFUNCTION("IFNA(vlookup(D5282,IMPORTRANGE(""https://docs.google.com/spreadsheets/d/1swGwZOEqYlTEUCJLY-eeJM1911Kvaei5oySBIxdgtNo/edit?pli=1#gid=257618397"",""stock untanna!B:C""),2,false),V:V)"),"TAS LYSD 154 K")</f>
        <v>TAS LYSD 154 K</v>
      </c>
      <c r="F5282" s="49"/>
      <c r="G5282" s="71"/>
      <c r="H5282" s="41"/>
      <c r="I5282" s="42"/>
      <c r="J5282" s="85" t="s">
        <v>1319</v>
      </c>
      <c r="K5282" s="93">
        <v>12.0</v>
      </c>
      <c r="L5282" s="112" t="s">
        <v>69</v>
      </c>
      <c r="M5282" s="101">
        <v>5000.0</v>
      </c>
      <c r="N5282" s="115">
        <v>0.1</v>
      </c>
      <c r="O5282" s="87">
        <f t="shared" si="18"/>
        <v>54000</v>
      </c>
      <c r="P5282" s="102" t="str">
        <f t="shared" si="19"/>
        <v>Rp5,000-12 PCS-10.00%</v>
      </c>
      <c r="Q5282" s="121">
        <v>45436.0</v>
      </c>
      <c r="R5282" s="58"/>
      <c r="S5282" s="121">
        <v>45441.0</v>
      </c>
      <c r="T5282" s="91"/>
      <c r="V5282" s="51" t="s">
        <v>263</v>
      </c>
    </row>
    <row r="5283">
      <c r="A5283" s="117">
        <v>222.0</v>
      </c>
      <c r="B5283" s="51" t="s">
        <v>29</v>
      </c>
      <c r="C5283" s="51" t="s">
        <v>761</v>
      </c>
      <c r="D5283" s="51" t="s">
        <v>270</v>
      </c>
      <c r="E5283" s="41" t="str">
        <f>IFERROR(__xludf.DUMMYFUNCTION("IFNA(vlookup(D5283,IMPORTRANGE(""https://docs.google.com/spreadsheets/d/1swGwZOEqYlTEUCJLY-eeJM1911Kvaei5oySBIxdgtNo/edit?pli=1#gid=257618397"",""stock untanna!B:C""),2,false),V:V)"),"TAS POLOS 131 K")</f>
        <v>TAS POLOS 131 K</v>
      </c>
      <c r="F5283" s="49"/>
      <c r="G5283" s="71"/>
      <c r="H5283" s="41"/>
      <c r="I5283" s="42"/>
      <c r="J5283" s="85" t="s">
        <v>1319</v>
      </c>
      <c r="K5283" s="93">
        <v>12.0</v>
      </c>
      <c r="L5283" s="112" t="s">
        <v>69</v>
      </c>
      <c r="M5283" s="101">
        <v>5000.0</v>
      </c>
      <c r="N5283" s="115">
        <v>0.1</v>
      </c>
      <c r="O5283" s="87">
        <f t="shared" si="18"/>
        <v>54000</v>
      </c>
      <c r="P5283" s="102" t="str">
        <f t="shared" si="19"/>
        <v>Rp5,000-12 PCS-10.00%</v>
      </c>
      <c r="Q5283" s="121">
        <v>45436.0</v>
      </c>
      <c r="R5283" s="58"/>
      <c r="S5283" s="121">
        <v>45441.0</v>
      </c>
      <c r="T5283" s="91"/>
      <c r="V5283" s="51" t="s">
        <v>271</v>
      </c>
    </row>
    <row r="5284">
      <c r="A5284" s="117">
        <v>222.0</v>
      </c>
      <c r="B5284" s="51" t="s">
        <v>29</v>
      </c>
      <c r="C5284" s="51" t="s">
        <v>761</v>
      </c>
      <c r="D5284" s="56"/>
      <c r="E5284" s="41" t="str">
        <f>IFERROR(__xludf.DUMMYFUNCTION("IFNA(vlookup(D5284,IMPORTRANGE(""https://docs.google.com/spreadsheets/d/1swGwZOEqYlTEUCJLY-eeJM1911Kvaei5oySBIxdgtNo/edit?pli=1#gid=257618397"",""stock untanna!B:C""),2,false),V:V)"),"TAS KADO 804 GUCI KECIL")</f>
        <v>TAS KADO 804 GUCI KECIL</v>
      </c>
      <c r="F5284" s="49"/>
      <c r="G5284" s="71"/>
      <c r="H5284" s="41"/>
      <c r="I5284" s="42"/>
      <c r="J5284" s="85" t="s">
        <v>3190</v>
      </c>
      <c r="K5284" s="93">
        <v>1.0</v>
      </c>
      <c r="L5284" s="112" t="s">
        <v>62</v>
      </c>
      <c r="M5284" s="101">
        <v>60000.0</v>
      </c>
      <c r="N5284" s="115">
        <v>0.1</v>
      </c>
      <c r="O5284" s="87">
        <f t="shared" si="18"/>
        <v>54000</v>
      </c>
      <c r="P5284" s="102" t="str">
        <f t="shared" si="19"/>
        <v>Rp60,000-1 LSN-10.00%</v>
      </c>
      <c r="Q5284" s="121">
        <v>45436.0</v>
      </c>
      <c r="R5284" s="58"/>
      <c r="S5284" s="121">
        <v>45441.0</v>
      </c>
      <c r="T5284" s="91"/>
      <c r="V5284" s="51" t="s">
        <v>2824</v>
      </c>
    </row>
    <row r="5285">
      <c r="A5285" s="117">
        <v>222.0</v>
      </c>
      <c r="B5285" s="51" t="s">
        <v>29</v>
      </c>
      <c r="C5285" s="51" t="s">
        <v>761</v>
      </c>
      <c r="D5285" s="56"/>
      <c r="E5285" s="41" t="str">
        <f>IFERROR(__xludf.DUMMYFUNCTION("IFNA(vlookup(D5285,IMPORTRANGE(""https://docs.google.com/spreadsheets/d/1swGwZOEqYlTEUCJLY-eeJM1911Kvaei5oySBIxdgtNo/edit?pli=1#gid=257618397"",""stock untanna!B:C""),2,false),V:V)"),"TAS KADO 804 EMAS KECIL")</f>
        <v>TAS KADO 804 EMAS KECIL</v>
      </c>
      <c r="F5285" s="49"/>
      <c r="G5285" s="71"/>
      <c r="H5285" s="41"/>
      <c r="I5285" s="42"/>
      <c r="J5285" s="85" t="s">
        <v>3190</v>
      </c>
      <c r="K5285" s="93">
        <v>1.0</v>
      </c>
      <c r="L5285" s="112" t="s">
        <v>62</v>
      </c>
      <c r="M5285" s="101">
        <v>60000.0</v>
      </c>
      <c r="N5285" s="115">
        <v>0.1</v>
      </c>
      <c r="O5285" s="87">
        <f t="shared" si="18"/>
        <v>54000</v>
      </c>
      <c r="P5285" s="102" t="str">
        <f t="shared" si="19"/>
        <v>Rp60,000-1 LSN-10.00%</v>
      </c>
      <c r="Q5285" s="121">
        <v>45436.0</v>
      </c>
      <c r="R5285" s="58"/>
      <c r="S5285" s="121">
        <v>45441.0</v>
      </c>
      <c r="T5285" s="91"/>
      <c r="V5285" s="51" t="s">
        <v>4230</v>
      </c>
    </row>
    <row r="5286">
      <c r="A5286" s="117">
        <v>222.0</v>
      </c>
      <c r="B5286" s="51" t="s">
        <v>29</v>
      </c>
      <c r="C5286" s="51" t="s">
        <v>761</v>
      </c>
      <c r="D5286" s="56"/>
      <c r="E5286" s="41" t="str">
        <f>IFERROR(__xludf.DUMMYFUNCTION("IFNA(vlookup(D5286,IMPORTRANGE(""https://docs.google.com/spreadsheets/d/1swGwZOEqYlTEUCJLY-eeJM1911Kvaei5oySBIxdgtNo/edit?pli=1#gid=257618397"",""stock untanna!B:C""),2,false),V:V)"),"TAS C 808 GLITTER KECIL")</f>
        <v>TAS C 808 GLITTER KECIL</v>
      </c>
      <c r="F5286" s="49"/>
      <c r="G5286" s="71"/>
      <c r="H5286" s="41"/>
      <c r="I5286" s="42"/>
      <c r="J5286" s="85" t="s">
        <v>3190</v>
      </c>
      <c r="K5286" s="93">
        <v>1.0</v>
      </c>
      <c r="L5286" s="112" t="s">
        <v>62</v>
      </c>
      <c r="M5286" s="101">
        <v>65000.0</v>
      </c>
      <c r="N5286" s="115">
        <v>0.1</v>
      </c>
      <c r="O5286" s="87">
        <f t="shared" si="18"/>
        <v>58500</v>
      </c>
      <c r="P5286" s="102" t="str">
        <f t="shared" si="19"/>
        <v>Rp65,000-1 LSN-10.00%</v>
      </c>
      <c r="Q5286" s="121">
        <v>45436.0</v>
      </c>
      <c r="R5286" s="58"/>
      <c r="S5286" s="121">
        <v>45441.0</v>
      </c>
      <c r="T5286" s="91"/>
      <c r="V5286" s="51" t="s">
        <v>4231</v>
      </c>
    </row>
    <row r="5287">
      <c r="A5287" s="117">
        <v>222.0</v>
      </c>
      <c r="B5287" s="51" t="s">
        <v>29</v>
      </c>
      <c r="C5287" s="51" t="s">
        <v>761</v>
      </c>
      <c r="D5287" s="51" t="s">
        <v>4232</v>
      </c>
      <c r="E5287" s="41" t="str">
        <f>IFERROR(__xludf.DUMMYFUNCTION("IFNA(vlookup(D5287,IMPORTRANGE(""https://docs.google.com/spreadsheets/d/1swGwZOEqYlTEUCJLY-eeJM1911Kvaei5oySBIxdgtNo/edit?pli=1#gid=257618397"",""stock untanna!B:C""),2,false),V:V)"),"TAS NO-3026-M GLITTER KECIL")</f>
        <v>TAS NO-3026-M GLITTER KECIL</v>
      </c>
      <c r="F5287" s="49"/>
      <c r="G5287" s="71"/>
      <c r="H5287" s="41"/>
      <c r="I5287" s="42"/>
      <c r="J5287" s="85" t="s">
        <v>1319</v>
      </c>
      <c r="K5287" s="93">
        <v>12.0</v>
      </c>
      <c r="L5287" s="112" t="s">
        <v>69</v>
      </c>
      <c r="M5287" s="101">
        <v>5416.67</v>
      </c>
      <c r="N5287" s="115">
        <v>0.1</v>
      </c>
      <c r="O5287" s="87">
        <f t="shared" si="18"/>
        <v>58500.036</v>
      </c>
      <c r="P5287" s="102" t="str">
        <f t="shared" si="19"/>
        <v>Rp5,417-12 PCS-10.00%</v>
      </c>
      <c r="Q5287" s="121">
        <v>45436.0</v>
      </c>
      <c r="R5287" s="58"/>
      <c r="S5287" s="121">
        <v>45441.0</v>
      </c>
      <c r="T5287" s="91"/>
      <c r="V5287" s="51" t="s">
        <v>4233</v>
      </c>
    </row>
    <row r="5288">
      <c r="A5288" s="117">
        <v>222.0</v>
      </c>
      <c r="B5288" s="51" t="s">
        <v>29</v>
      </c>
      <c r="C5288" s="51" t="s">
        <v>761</v>
      </c>
      <c r="D5288" s="51" t="s">
        <v>247</v>
      </c>
      <c r="E5288" s="41" t="str">
        <f>IFERROR(__xludf.DUMMYFUNCTION("IFNA(vlookup(D5288,IMPORTRANGE(""https://docs.google.com/spreadsheets/d/1swGwZOEqYlTEUCJLY-eeJM1911Kvaei5oySBIxdgtNo/edit?pli=1#gid=257618397"",""stock untanna!B:C""),2,false),V:V)"),"TAS TUTUP PITA KADO FG-201 TANGGUNG")</f>
        <v>TAS TUTUP PITA KADO FG-201 TANGGUNG</v>
      </c>
      <c r="F5288" s="49"/>
      <c r="G5288" s="71"/>
      <c r="H5288" s="41"/>
      <c r="I5288" s="42"/>
      <c r="J5288" s="85" t="s">
        <v>1319</v>
      </c>
      <c r="K5288" s="93">
        <v>1.0</v>
      </c>
      <c r="L5288" s="112" t="s">
        <v>62</v>
      </c>
      <c r="M5288" s="101">
        <v>95000.0</v>
      </c>
      <c r="N5288" s="115">
        <v>0.1</v>
      </c>
      <c r="O5288" s="87">
        <f t="shared" si="18"/>
        <v>85500</v>
      </c>
      <c r="P5288" s="102" t="str">
        <f t="shared" si="19"/>
        <v>Rp95,000-1 LSN-10.00%</v>
      </c>
      <c r="Q5288" s="121">
        <v>45436.0</v>
      </c>
      <c r="R5288" s="58"/>
      <c r="S5288" s="121">
        <v>45441.0</v>
      </c>
      <c r="T5288" s="91"/>
      <c r="V5288" s="51" t="s">
        <v>248</v>
      </c>
    </row>
    <row r="5289">
      <c r="A5289" s="117">
        <v>222.0</v>
      </c>
      <c r="B5289" s="51" t="s">
        <v>29</v>
      </c>
      <c r="C5289" s="51" t="s">
        <v>761</v>
      </c>
      <c r="D5289" s="51" t="s">
        <v>214</v>
      </c>
      <c r="E5289" s="41" t="str">
        <f>IFERROR(__xludf.DUMMYFUNCTION("IFNA(vlookup(D5289,IMPORTRANGE(""https://docs.google.com/spreadsheets/d/1swGwZOEqYlTEUCJLY-eeJM1911Kvaei5oySBIxdgtNo/edit?pli=1#gid=257618397"",""stock untanna!B:C""),2,false),V:V)"),"TAS COKLAT TEBAL KECIL ")</f>
        <v>TAS COKLAT TEBAL KECIL </v>
      </c>
      <c r="F5289" s="49"/>
      <c r="G5289" s="71"/>
      <c r="H5289" s="41"/>
      <c r="I5289" s="42"/>
      <c r="J5289" s="85" t="s">
        <v>1319</v>
      </c>
      <c r="K5289" s="93">
        <v>10.0</v>
      </c>
      <c r="L5289" s="112" t="s">
        <v>62</v>
      </c>
      <c r="M5289" s="101">
        <v>17500.0</v>
      </c>
      <c r="N5289" s="74"/>
      <c r="O5289" s="87">
        <f t="shared" si="18"/>
        <v>175000</v>
      </c>
      <c r="P5289" s="102" t="str">
        <f t="shared" si="19"/>
        <v>Rp17,500-10 LSN-0.00%</v>
      </c>
      <c r="Q5289" s="121">
        <v>45436.0</v>
      </c>
      <c r="R5289" s="58"/>
      <c r="S5289" s="121">
        <v>45441.0</v>
      </c>
      <c r="T5289" s="91"/>
      <c r="V5289" s="51" t="s">
        <v>215</v>
      </c>
    </row>
    <row r="5290">
      <c r="A5290" s="117">
        <v>222.0</v>
      </c>
      <c r="B5290" s="51" t="s">
        <v>29</v>
      </c>
      <c r="C5290" s="51" t="s">
        <v>761</v>
      </c>
      <c r="D5290" s="51" t="s">
        <v>2360</v>
      </c>
      <c r="E5290" s="41" t="str">
        <f>IFERROR(__xludf.DUMMYFUNCTION("IFNA(vlookup(D5290,IMPORTRANGE(""https://docs.google.com/spreadsheets/d/1swGwZOEqYlTEUCJLY-eeJM1911Kvaei5oySBIxdgtNo/edit?pli=1#gid=257618397"",""stock untanna!B:C""),2,false),V:V)"),"LOOSE LEAF HOLO BEE SMART A5 MIX")</f>
        <v>LOOSE LEAF HOLO BEE SMART A5 MIX</v>
      </c>
      <c r="F5290" s="49"/>
      <c r="G5290" s="71"/>
      <c r="H5290" s="41"/>
      <c r="I5290" s="42"/>
      <c r="J5290" s="85" t="s">
        <v>1319</v>
      </c>
      <c r="K5290" s="93">
        <v>25.0</v>
      </c>
      <c r="L5290" s="112" t="s">
        <v>114</v>
      </c>
      <c r="M5290" s="101">
        <v>3000.0</v>
      </c>
      <c r="N5290" s="74"/>
      <c r="O5290" s="87">
        <f t="shared" si="18"/>
        <v>75000</v>
      </c>
      <c r="P5290" s="102" t="str">
        <f t="shared" si="19"/>
        <v>Rp3,000-25 PAK-0.00%</v>
      </c>
      <c r="Q5290" s="121">
        <v>45436.0</v>
      </c>
      <c r="R5290" s="58"/>
      <c r="S5290" s="121">
        <v>45441.0</v>
      </c>
      <c r="T5290" s="91"/>
      <c r="V5290" s="51" t="s">
        <v>2361</v>
      </c>
    </row>
    <row r="5291">
      <c r="A5291" s="117">
        <v>222.0</v>
      </c>
      <c r="B5291" s="51" t="s">
        <v>29</v>
      </c>
      <c r="C5291" s="51" t="s">
        <v>761</v>
      </c>
      <c r="D5291" s="51" t="s">
        <v>2978</v>
      </c>
      <c r="E5291" s="41" t="str">
        <f>IFERROR(__xludf.DUMMYFUNCTION("IFNA(vlookup(D5291,IMPORTRANGE(""https://docs.google.com/spreadsheets/d/1swGwZOEqYlTEUCJLY-eeJM1911Kvaei5oySBIxdgtNo/edit?pli=1#gid=257618397"",""stock untanna!B:C""),2,false),V:V)"),"LOOSE LEAF BIASA A5 HELLO KITTY + PUZZLE DINO")</f>
        <v>LOOSE LEAF BIASA A5 HELLO KITTY + PUZZLE DINO</v>
      </c>
      <c r="F5291" s="49"/>
      <c r="G5291" s="71"/>
      <c r="H5291" s="41"/>
      <c r="I5291" s="42"/>
      <c r="J5291" s="85" t="s">
        <v>1319</v>
      </c>
      <c r="K5291" s="93">
        <v>25.0</v>
      </c>
      <c r="L5291" s="112" t="s">
        <v>114</v>
      </c>
      <c r="M5291" s="101">
        <v>2250.0</v>
      </c>
      <c r="N5291" s="74"/>
      <c r="O5291" s="87">
        <f t="shared" si="18"/>
        <v>56250</v>
      </c>
      <c r="P5291" s="102" t="str">
        <f t="shared" si="19"/>
        <v>Rp2,250-25 PAK-0.00%</v>
      </c>
      <c r="Q5291" s="121">
        <v>45436.0</v>
      </c>
      <c r="R5291" s="58"/>
      <c r="S5291" s="121">
        <v>45441.0</v>
      </c>
      <c r="T5291" s="77" t="s">
        <v>100</v>
      </c>
      <c r="V5291" s="51" t="s">
        <v>2979</v>
      </c>
    </row>
    <row r="5292">
      <c r="A5292" s="117">
        <v>222.0</v>
      </c>
      <c r="B5292" s="51" t="s">
        <v>29</v>
      </c>
      <c r="C5292" s="51" t="s">
        <v>761</v>
      </c>
      <c r="D5292" s="56"/>
      <c r="E5292" s="41" t="str">
        <f>IFERROR(__xludf.DUMMYFUNCTION("IFNA(vlookup(D5292,IMPORTRANGE(""https://docs.google.com/spreadsheets/d/1swGwZOEqYlTEUCJLY-eeJM1911Kvaei5oySBIxdgtNo/edit?pli=1#gid=257618397"",""stock untanna!B:C""),2,false),V:V)"),"LLP HOLO PUZZLE")</f>
        <v>LLP HOLO PUZZLE</v>
      </c>
      <c r="F5292" s="49"/>
      <c r="G5292" s="71"/>
      <c r="H5292" s="41"/>
      <c r="I5292" s="42"/>
      <c r="J5292" s="85" t="s">
        <v>3190</v>
      </c>
      <c r="K5292" s="93">
        <v>25.0</v>
      </c>
      <c r="L5292" s="112" t="s">
        <v>114</v>
      </c>
      <c r="M5292" s="101">
        <v>2250.0</v>
      </c>
      <c r="N5292" s="74"/>
      <c r="O5292" s="87">
        <f t="shared" si="18"/>
        <v>56250</v>
      </c>
      <c r="P5292" s="102" t="str">
        <f t="shared" si="19"/>
        <v>Rp2,250-25 PAK-0.00%</v>
      </c>
      <c r="Q5292" s="121">
        <v>45436.0</v>
      </c>
      <c r="R5292" s="58"/>
      <c r="S5292" s="121">
        <v>45441.0</v>
      </c>
      <c r="T5292" s="91"/>
      <c r="V5292" s="51" t="s">
        <v>4234</v>
      </c>
    </row>
    <row r="5293">
      <c r="A5293" s="117">
        <v>222.0</v>
      </c>
      <c r="B5293" s="51" t="s">
        <v>29</v>
      </c>
      <c r="C5293" s="51" t="s">
        <v>761</v>
      </c>
      <c r="D5293" s="56"/>
      <c r="E5293" s="41" t="str">
        <f>IFERROR(__xludf.DUMMYFUNCTION("IFNA(vlookup(D5293,IMPORTRANGE(""https://docs.google.com/spreadsheets/d/1swGwZOEqYlTEUCJLY-eeJM1911Kvaei5oySBIxdgtNo/edit?pli=1#gid=257618397"",""stock untanna!B:C""),2,false),V:V)"),"LLP HOLO CEWEK")</f>
        <v>LLP HOLO CEWEK</v>
      </c>
      <c r="F5293" s="49"/>
      <c r="G5293" s="71"/>
      <c r="H5293" s="41"/>
      <c r="I5293" s="42"/>
      <c r="J5293" s="85" t="s">
        <v>3190</v>
      </c>
      <c r="K5293" s="93">
        <v>25.0</v>
      </c>
      <c r="L5293" s="112" t="s">
        <v>114</v>
      </c>
      <c r="M5293" s="101">
        <v>2250.0</v>
      </c>
      <c r="N5293" s="74"/>
      <c r="O5293" s="87">
        <f t="shared" si="18"/>
        <v>56250</v>
      </c>
      <c r="P5293" s="102" t="str">
        <f t="shared" si="19"/>
        <v>Rp2,250-25 PAK-0.00%</v>
      </c>
      <c r="Q5293" s="121">
        <v>45436.0</v>
      </c>
      <c r="R5293" s="58"/>
      <c r="S5293" s="121">
        <v>45441.0</v>
      </c>
      <c r="T5293" s="91"/>
      <c r="V5293" s="51" t="s">
        <v>4235</v>
      </c>
    </row>
    <row r="5294">
      <c r="A5294" s="117">
        <v>222.0</v>
      </c>
      <c r="B5294" s="51" t="s">
        <v>29</v>
      </c>
      <c r="C5294" s="51" t="s">
        <v>761</v>
      </c>
      <c r="D5294" s="56"/>
      <c r="E5294" s="41" t="str">
        <f>IFERROR(__xludf.DUMMYFUNCTION("IFNA(vlookup(D5294,IMPORTRANGE(""https://docs.google.com/spreadsheets/d/1swGwZOEqYlTEUCJLY-eeJM1911Kvaei5oySBIxdgtNo/edit?pli=1#gid=257618397"",""stock untanna!B:C""),2,false),V:V)"),"LOOSE LEAF A5100 MIX")</f>
        <v>LOOSE LEAF A5100 MIX</v>
      </c>
      <c r="F5294" s="49"/>
      <c r="G5294" s="71"/>
      <c r="H5294" s="41"/>
      <c r="I5294" s="42"/>
      <c r="J5294" s="85" t="s">
        <v>3190</v>
      </c>
      <c r="K5294" s="93">
        <v>25.0</v>
      </c>
      <c r="L5294" s="112" t="s">
        <v>114</v>
      </c>
      <c r="M5294" s="101">
        <v>3000.0</v>
      </c>
      <c r="N5294" s="74"/>
      <c r="O5294" s="87">
        <f t="shared" si="18"/>
        <v>75000</v>
      </c>
      <c r="P5294" s="102" t="str">
        <f t="shared" si="19"/>
        <v>Rp3,000-25 PAK-0.00%</v>
      </c>
      <c r="Q5294" s="121">
        <v>45436.0</v>
      </c>
      <c r="R5294" s="58"/>
      <c r="S5294" s="121">
        <v>45441.0</v>
      </c>
      <c r="T5294" s="91"/>
      <c r="V5294" s="51" t="s">
        <v>4236</v>
      </c>
    </row>
    <row r="5295">
      <c r="A5295" s="117">
        <v>223.0</v>
      </c>
      <c r="B5295" s="51" t="s">
        <v>29</v>
      </c>
      <c r="C5295" s="51" t="s">
        <v>761</v>
      </c>
      <c r="D5295" s="51" t="s">
        <v>4237</v>
      </c>
      <c r="E5295" s="41" t="str">
        <f>IFERROR(__xludf.DUMMYFUNCTION("IFNA(vlookup(D5295,IMPORTRANGE(""https://docs.google.com/spreadsheets/d/1swGwZOEqYlTEUCJLY-eeJM1911Kvaei5oySBIxdgtNo/edit?pli=1#gid=257618397"",""stock untanna!B:C""),2,false),V:V)"),"STICK NOTE TF 0243")</f>
        <v>STICK NOTE TF 0243</v>
      </c>
      <c r="F5295" s="49"/>
      <c r="G5295" s="71"/>
      <c r="H5295" s="41"/>
      <c r="I5295" s="42"/>
      <c r="J5295" s="85" t="s">
        <v>1319</v>
      </c>
      <c r="K5295" s="93">
        <v>24.0</v>
      </c>
      <c r="L5295" s="112" t="s">
        <v>69</v>
      </c>
      <c r="M5295" s="101">
        <v>15000.0</v>
      </c>
      <c r="N5295" s="74"/>
      <c r="O5295" s="87">
        <f t="shared" si="18"/>
        <v>360000</v>
      </c>
      <c r="P5295" s="102" t="str">
        <f t="shared" si="19"/>
        <v>Rp15,000-24 PCS-0.00%</v>
      </c>
      <c r="Q5295" s="121">
        <v>45436.0</v>
      </c>
      <c r="R5295" s="58"/>
      <c r="S5295" s="121">
        <v>45441.0</v>
      </c>
      <c r="T5295" s="91"/>
      <c r="V5295" s="51" t="s">
        <v>4238</v>
      </c>
    </row>
    <row r="5296">
      <c r="A5296" s="117">
        <v>223.0</v>
      </c>
      <c r="B5296" s="51" t="s">
        <v>29</v>
      </c>
      <c r="C5296" s="51" t="s">
        <v>761</v>
      </c>
      <c r="D5296" s="51" t="s">
        <v>3354</v>
      </c>
      <c r="E5296" s="41" t="str">
        <f>IFERROR(__xludf.DUMMYFUNCTION("IFNA(vlookup(D5296,IMPORTRANGE(""https://docs.google.com/spreadsheets/d/1swGwZOEqYlTEUCJLY-eeJM1911Kvaei5oySBIxdgtNo/edit?pli=1#gid=257618397"",""stock untanna!B:C""),2,false),V:V)"),"POST IT WALITO WLT-8909")</f>
        <v>POST IT WALITO WLT-8909</v>
      </c>
      <c r="F5296" s="49"/>
      <c r="G5296" s="71"/>
      <c r="H5296" s="41"/>
      <c r="I5296" s="42"/>
      <c r="J5296" s="85" t="s">
        <v>1319</v>
      </c>
      <c r="K5296" s="93">
        <v>12.0</v>
      </c>
      <c r="L5296" s="112" t="s">
        <v>69</v>
      </c>
      <c r="M5296" s="101">
        <v>6000.0</v>
      </c>
      <c r="N5296" s="74"/>
      <c r="O5296" s="87">
        <f t="shared" si="18"/>
        <v>72000</v>
      </c>
      <c r="P5296" s="102" t="str">
        <f t="shared" si="19"/>
        <v>Rp6,000-12 PCS-0.00%</v>
      </c>
      <c r="Q5296" s="121">
        <v>45436.0</v>
      </c>
      <c r="R5296" s="58"/>
      <c r="S5296" s="121">
        <v>45441.0</v>
      </c>
      <c r="T5296" s="91"/>
      <c r="V5296" s="51" t="s">
        <v>3355</v>
      </c>
    </row>
    <row r="5297">
      <c r="A5297" s="117">
        <v>223.0</v>
      </c>
      <c r="B5297" s="51" t="s">
        <v>29</v>
      </c>
      <c r="C5297" s="51" t="s">
        <v>761</v>
      </c>
      <c r="D5297" s="56"/>
      <c r="E5297" s="41" t="str">
        <f>IFERROR(__xludf.DUMMYFUNCTION("IFNA(vlookup(D5297,IMPORTRANGE(""https://docs.google.com/spreadsheets/d/1swGwZOEqYlTEUCJLY-eeJM1911Kvaei5oySBIxdgtNo/edit?pli=1#gid=257618397"",""stock untanna!B:C""),2,false),V:V)"),"MEJA BELAJAR FANCY")</f>
        <v>MEJA BELAJAR FANCY</v>
      </c>
      <c r="F5297" s="49"/>
      <c r="G5297" s="71"/>
      <c r="H5297" s="41"/>
      <c r="I5297" s="42"/>
      <c r="J5297" s="85" t="s">
        <v>3190</v>
      </c>
      <c r="K5297" s="93">
        <v>10.0</v>
      </c>
      <c r="L5297" s="112" t="s">
        <v>69</v>
      </c>
      <c r="M5297" s="101">
        <v>55000.0</v>
      </c>
      <c r="N5297" s="74"/>
      <c r="O5297" s="87">
        <f t="shared" si="18"/>
        <v>550000</v>
      </c>
      <c r="P5297" s="102" t="str">
        <f t="shared" si="19"/>
        <v>Rp55,000-10 PCS-0.00%</v>
      </c>
      <c r="Q5297" s="121">
        <v>45436.0</v>
      </c>
      <c r="R5297" s="58"/>
      <c r="S5297" s="121">
        <v>45441.0</v>
      </c>
      <c r="T5297" s="91"/>
      <c r="V5297" s="51" t="s">
        <v>2407</v>
      </c>
    </row>
    <row r="5298">
      <c r="A5298" s="117">
        <v>223.0</v>
      </c>
      <c r="B5298" s="51" t="s">
        <v>29</v>
      </c>
      <c r="C5298" s="51" t="s">
        <v>761</v>
      </c>
      <c r="D5298" s="56"/>
      <c r="E5298" s="41" t="str">
        <f>IFERROR(__xludf.DUMMYFUNCTION("IFNA(vlookup(D5298,IMPORTRANGE(""https://docs.google.com/spreadsheets/d/1swGwZOEqYlTEUCJLY-eeJM1911Kvaei5oySBIxdgtNo/edit?pli=1#gid=257618397"",""stock untanna!B:C""),2,false),V:V)"),"P CASE REST B 109")</f>
        <v>P CASE REST B 109</v>
      </c>
      <c r="F5298" s="49"/>
      <c r="G5298" s="71"/>
      <c r="H5298" s="41"/>
      <c r="I5298" s="42"/>
      <c r="J5298" s="85" t="s">
        <v>3190</v>
      </c>
      <c r="K5298" s="93">
        <v>0.916666667</v>
      </c>
      <c r="L5298" s="112" t="s">
        <v>62</v>
      </c>
      <c r="M5298" s="101">
        <v>100000.0</v>
      </c>
      <c r="N5298" s="74"/>
      <c r="O5298" s="87">
        <f t="shared" si="18"/>
        <v>91666.6667</v>
      </c>
      <c r="P5298" s="102" t="str">
        <f t="shared" si="19"/>
        <v>Rp100,000-0.916666667 LSN-0.00%</v>
      </c>
      <c r="Q5298" s="121">
        <v>45436.0</v>
      </c>
      <c r="R5298" s="58"/>
      <c r="S5298" s="121">
        <v>45441.0</v>
      </c>
      <c r="T5298" s="91"/>
      <c r="V5298" s="51" t="s">
        <v>3090</v>
      </c>
    </row>
    <row r="5299">
      <c r="A5299" s="117">
        <v>223.0</v>
      </c>
      <c r="B5299" s="51" t="s">
        <v>29</v>
      </c>
      <c r="C5299" s="51" t="s">
        <v>761</v>
      </c>
      <c r="D5299" s="51" t="s">
        <v>1150</v>
      </c>
      <c r="E5299" s="41" t="str">
        <f>IFERROR(__xludf.DUMMYFUNCTION("IFNA(vlookup(D5299,IMPORTRANGE(""https://docs.google.com/spreadsheets/d/1swGwZOEqYlTEUCJLY-eeJM1911Kvaei5oySBIxdgtNo/edit?pli=1#gid=257618397"",""stock untanna!B:C""),2,false),V:V)"),"PENCIL CASE B-135")</f>
        <v>PENCIL CASE B-135</v>
      </c>
      <c r="F5299" s="49"/>
      <c r="G5299" s="71"/>
      <c r="H5299" s="41"/>
      <c r="I5299" s="42"/>
      <c r="J5299" s="85" t="s">
        <v>1319</v>
      </c>
      <c r="K5299" s="93">
        <v>0.416666667</v>
      </c>
      <c r="L5299" s="112" t="s">
        <v>62</v>
      </c>
      <c r="M5299" s="101">
        <v>110000.0</v>
      </c>
      <c r="N5299" s="74"/>
      <c r="O5299" s="87">
        <f t="shared" si="18"/>
        <v>45833.33337</v>
      </c>
      <c r="P5299" s="102" t="str">
        <f t="shared" si="19"/>
        <v>Rp110,000-0.416666667 LSN-0.00%</v>
      </c>
      <c r="Q5299" s="121">
        <v>45436.0</v>
      </c>
      <c r="R5299" s="58"/>
      <c r="S5299" s="121">
        <v>45441.0</v>
      </c>
      <c r="T5299" s="91"/>
      <c r="V5299" s="51" t="s">
        <v>1151</v>
      </c>
    </row>
    <row r="5300">
      <c r="A5300" s="117">
        <v>301.0</v>
      </c>
      <c r="B5300" s="51" t="s">
        <v>65</v>
      </c>
      <c r="C5300" s="51" t="s">
        <v>4239</v>
      </c>
      <c r="D5300" s="51" t="s">
        <v>1025</v>
      </c>
      <c r="E5300" s="41" t="str">
        <f>IFERROR(__xludf.DUMMYFUNCTION("IFNA(vlookup(D5300,IMPORTRANGE(""https://docs.google.com/spreadsheets/d/1swGwZOEqYlTEUCJLY-eeJM1911Kvaei5oySBIxdgtNo/edit?pli=1#gid=257618397"",""stock untanna!B:C""),2,false),V:V)"),"TIPEX KERTAS XB-B255")</f>
        <v>TIPEX KERTAS XB-B255</v>
      </c>
      <c r="F5300" s="49"/>
      <c r="G5300" s="71"/>
      <c r="H5300" s="41"/>
      <c r="I5300" s="42"/>
      <c r="J5300" s="85" t="s">
        <v>1319</v>
      </c>
      <c r="K5300" s="93">
        <v>24.0</v>
      </c>
      <c r="L5300" s="112" t="s">
        <v>69</v>
      </c>
      <c r="M5300" s="101">
        <v>10000.0</v>
      </c>
      <c r="N5300" s="74"/>
      <c r="O5300" s="87">
        <f t="shared" si="18"/>
        <v>240000</v>
      </c>
      <c r="P5300" s="102" t="str">
        <f t="shared" si="19"/>
        <v>Rp10,000-24 PCS-0.00%</v>
      </c>
      <c r="Q5300" s="121">
        <v>45437.0</v>
      </c>
      <c r="R5300" s="58"/>
      <c r="S5300" s="121">
        <v>45442.0</v>
      </c>
      <c r="T5300" s="91"/>
      <c r="V5300" s="51" t="s">
        <v>1026</v>
      </c>
    </row>
    <row r="5301">
      <c r="A5301" s="117">
        <v>301.0</v>
      </c>
      <c r="B5301" s="51" t="s">
        <v>65</v>
      </c>
      <c r="C5301" s="51" t="s">
        <v>4239</v>
      </c>
      <c r="D5301" s="51" t="s">
        <v>465</v>
      </c>
      <c r="E5301" s="41" t="str">
        <f>IFERROR(__xludf.DUMMYFUNCTION("IFNA(vlookup(D5301,IMPORTRANGE(""https://docs.google.com/spreadsheets/d/1swGwZOEqYlTEUCJLY-eeJM1911Kvaei5oySBIxdgtNo/edit?pli=1#gid=257618397"",""stock untanna!B:C""),2,false),V:V)"),"TIPEX KERTAS 8525")</f>
        <v>TIPEX KERTAS 8525</v>
      </c>
      <c r="F5301" s="49"/>
      <c r="G5301" s="71"/>
      <c r="H5301" s="41"/>
      <c r="I5301" s="42"/>
      <c r="J5301" s="85" t="s">
        <v>1319</v>
      </c>
      <c r="K5301" s="93">
        <v>2.0</v>
      </c>
      <c r="L5301" s="112" t="s">
        <v>62</v>
      </c>
      <c r="M5301" s="101">
        <v>132000.0</v>
      </c>
      <c r="N5301" s="74"/>
      <c r="O5301" s="87">
        <f t="shared" si="18"/>
        <v>264000</v>
      </c>
      <c r="P5301" s="102" t="str">
        <f t="shared" si="19"/>
        <v>Rp132,000-2 LSN-0.00%</v>
      </c>
      <c r="Q5301" s="121">
        <v>45437.0</v>
      </c>
      <c r="R5301" s="58"/>
      <c r="S5301" s="121">
        <v>45442.0</v>
      </c>
      <c r="T5301" s="91"/>
      <c r="V5301" s="51" t="s">
        <v>466</v>
      </c>
    </row>
    <row r="5302">
      <c r="A5302" s="117">
        <v>301.0</v>
      </c>
      <c r="B5302" s="51" t="s">
        <v>65</v>
      </c>
      <c r="C5302" s="51" t="s">
        <v>4239</v>
      </c>
      <c r="D5302" s="51" t="s">
        <v>2860</v>
      </c>
      <c r="E5302" s="41" t="str">
        <f>IFERROR(__xludf.DUMMYFUNCTION("IFNA(vlookup(D5302,IMPORTRANGE(""https://docs.google.com/spreadsheets/d/1swGwZOEqYlTEUCJLY-eeJM1911Kvaei5oySBIxdgtNo/edit?pli=1#gid=257618397"",""stock untanna!B:C""),2,false),V:V)"),"TIPEX KERTAS NO.9459")</f>
        <v>TIPEX KERTAS NO.9459</v>
      </c>
      <c r="F5302" s="49"/>
      <c r="G5302" s="71"/>
      <c r="H5302" s="41"/>
      <c r="I5302" s="42"/>
      <c r="J5302" s="85" t="s">
        <v>1319</v>
      </c>
      <c r="K5302" s="93">
        <v>2.0</v>
      </c>
      <c r="L5302" s="112" t="s">
        <v>62</v>
      </c>
      <c r="M5302" s="101">
        <v>55000.0</v>
      </c>
      <c r="N5302" s="74"/>
      <c r="O5302" s="87">
        <f t="shared" si="18"/>
        <v>110000</v>
      </c>
      <c r="P5302" s="102" t="str">
        <f t="shared" si="19"/>
        <v>Rp55,000-2 LSN-0.00%</v>
      </c>
      <c r="Q5302" s="121">
        <v>45437.0</v>
      </c>
      <c r="R5302" s="58"/>
      <c r="S5302" s="121">
        <v>45442.0</v>
      </c>
      <c r="T5302" s="91"/>
      <c r="V5302" s="51" t="s">
        <v>2861</v>
      </c>
    </row>
    <row r="5303">
      <c r="A5303" s="117">
        <v>301.0</v>
      </c>
      <c r="B5303" s="51" t="s">
        <v>65</v>
      </c>
      <c r="C5303" s="51" t="s">
        <v>4239</v>
      </c>
      <c r="D5303" s="51" t="s">
        <v>118</v>
      </c>
      <c r="E5303" s="41" t="str">
        <f>IFERROR(__xludf.DUMMYFUNCTION("IFNA(vlookup(D5303,IMPORTRANGE(""https://docs.google.com/spreadsheets/d/1swGwZOEqYlTEUCJLY-eeJM1911Kvaei5oySBIxdgtNo/edit?pli=1#gid=257618397"",""stock untanna!B:C""),2,false),V:V)"),"TIPEX KERTAS NO.9443")</f>
        <v>TIPEX KERTAS NO.9443</v>
      </c>
      <c r="F5303" s="49"/>
      <c r="G5303" s="71"/>
      <c r="H5303" s="41"/>
      <c r="I5303" s="42"/>
      <c r="J5303" s="85" t="s">
        <v>1319</v>
      </c>
      <c r="K5303" s="93">
        <v>2.0</v>
      </c>
      <c r="L5303" s="112" t="s">
        <v>62</v>
      </c>
      <c r="M5303" s="101">
        <v>55000.0</v>
      </c>
      <c r="N5303" s="74"/>
      <c r="O5303" s="87">
        <f t="shared" si="18"/>
        <v>110000</v>
      </c>
      <c r="P5303" s="102" t="str">
        <f t="shared" si="19"/>
        <v>Rp55,000-2 LSN-0.00%</v>
      </c>
      <c r="Q5303" s="121">
        <v>45437.0</v>
      </c>
      <c r="R5303" s="58"/>
      <c r="S5303" s="121">
        <v>45442.0</v>
      </c>
      <c r="T5303" s="91"/>
      <c r="V5303" s="51" t="s">
        <v>119</v>
      </c>
    </row>
    <row r="5304">
      <c r="A5304" s="117">
        <v>301.0</v>
      </c>
      <c r="B5304" s="51" t="s">
        <v>65</v>
      </c>
      <c r="C5304" s="51" t="s">
        <v>4239</v>
      </c>
      <c r="D5304" s="51" t="s">
        <v>2864</v>
      </c>
      <c r="E5304" s="41" t="str">
        <f>IFERROR(__xludf.DUMMYFUNCTION("IFNA(vlookup(D5304,IMPORTRANGE(""https://docs.google.com/spreadsheets/d/1swGwZOEqYlTEUCJLY-eeJM1911Kvaei5oySBIxdgtNo/edit?pli=1#gid=257618397"",""stock untanna!B:C""),2,false),V:V)"),"TIPEX KERTAS NO.9473")</f>
        <v>TIPEX KERTAS NO.9473</v>
      </c>
      <c r="F5304" s="49"/>
      <c r="G5304" s="71"/>
      <c r="H5304" s="41"/>
      <c r="I5304" s="42"/>
      <c r="J5304" s="85" t="s">
        <v>1319</v>
      </c>
      <c r="K5304" s="93">
        <v>2.0</v>
      </c>
      <c r="L5304" s="112" t="s">
        <v>62</v>
      </c>
      <c r="M5304" s="101">
        <v>55000.0</v>
      </c>
      <c r="N5304" s="74"/>
      <c r="O5304" s="87">
        <f t="shared" si="18"/>
        <v>110000</v>
      </c>
      <c r="P5304" s="102" t="str">
        <f t="shared" si="19"/>
        <v>Rp55,000-2 LSN-0.00%</v>
      </c>
      <c r="Q5304" s="121">
        <v>45437.0</v>
      </c>
      <c r="R5304" s="58"/>
      <c r="S5304" s="121">
        <v>45442.0</v>
      </c>
      <c r="T5304" s="91"/>
      <c r="V5304" s="51" t="s">
        <v>2865</v>
      </c>
    </row>
    <row r="5305">
      <c r="A5305" s="117">
        <v>301.0</v>
      </c>
      <c r="B5305" s="51" t="s">
        <v>65</v>
      </c>
      <c r="C5305" s="51" t="s">
        <v>4239</v>
      </c>
      <c r="D5305" s="51" t="s">
        <v>2858</v>
      </c>
      <c r="E5305" s="41" t="str">
        <f>IFERROR(__xludf.DUMMYFUNCTION("IFNA(vlookup(D5305,IMPORTRANGE(""https://docs.google.com/spreadsheets/d/1swGwZOEqYlTEUCJLY-eeJM1911Kvaei5oySBIxdgtNo/edit?pli=1#gid=257618397"",""stock untanna!B:C""),2,false),V:V)"),"TIPEX KERTAS NO.9461")</f>
        <v>TIPEX KERTAS NO.9461</v>
      </c>
      <c r="F5305" s="49"/>
      <c r="G5305" s="71"/>
      <c r="H5305" s="41"/>
      <c r="I5305" s="42"/>
      <c r="J5305" s="85" t="s">
        <v>1319</v>
      </c>
      <c r="K5305" s="93">
        <v>2.0</v>
      </c>
      <c r="L5305" s="112" t="s">
        <v>62</v>
      </c>
      <c r="M5305" s="101">
        <v>55000.0</v>
      </c>
      <c r="N5305" s="74"/>
      <c r="O5305" s="87">
        <f t="shared" si="18"/>
        <v>110000</v>
      </c>
      <c r="P5305" s="102" t="str">
        <f t="shared" si="19"/>
        <v>Rp55,000-2 LSN-0.00%</v>
      </c>
      <c r="Q5305" s="121">
        <v>45437.0</v>
      </c>
      <c r="R5305" s="58"/>
      <c r="S5305" s="121">
        <v>45442.0</v>
      </c>
      <c r="T5305" s="91"/>
      <c r="V5305" s="51" t="s">
        <v>2859</v>
      </c>
    </row>
    <row r="5306">
      <c r="A5306" s="117">
        <v>301.0</v>
      </c>
      <c r="B5306" s="51" t="s">
        <v>65</v>
      </c>
      <c r="C5306" s="51" t="s">
        <v>4239</v>
      </c>
      <c r="D5306" s="51" t="s">
        <v>3018</v>
      </c>
      <c r="E5306" s="41" t="str">
        <f>IFERROR(__xludf.DUMMYFUNCTION("IFNA(vlookup(D5306,IMPORTRANGE(""https://docs.google.com/spreadsheets/d/1swGwZOEqYlTEUCJLY-eeJM1911Kvaei5oySBIxdgtNo/edit?pli=1#gid=257618397"",""stock untanna!B:C""),2,false),V:V)"),"TIPEX KERTAS 91040HG")</f>
        <v>TIPEX KERTAS 91040HG</v>
      </c>
      <c r="F5306" s="49"/>
      <c r="G5306" s="71"/>
      <c r="H5306" s="41"/>
      <c r="I5306" s="42"/>
      <c r="J5306" s="85" t="s">
        <v>1319</v>
      </c>
      <c r="K5306" s="93">
        <v>2.0</v>
      </c>
      <c r="L5306" s="112" t="s">
        <v>62</v>
      </c>
      <c r="M5306" s="101">
        <v>55000.0</v>
      </c>
      <c r="N5306" s="74"/>
      <c r="O5306" s="87">
        <f t="shared" si="18"/>
        <v>110000</v>
      </c>
      <c r="P5306" s="102" t="str">
        <f t="shared" si="19"/>
        <v>Rp55,000-2 LSN-0.00%</v>
      </c>
      <c r="Q5306" s="121">
        <v>45437.0</v>
      </c>
      <c r="R5306" s="58"/>
      <c r="S5306" s="121">
        <v>45442.0</v>
      </c>
      <c r="T5306" s="77"/>
      <c r="V5306" s="51" t="s">
        <v>3019</v>
      </c>
    </row>
    <row r="5307">
      <c r="A5307" s="117">
        <v>301.0</v>
      </c>
      <c r="B5307" s="51" t="s">
        <v>65</v>
      </c>
      <c r="C5307" s="51" t="s">
        <v>4239</v>
      </c>
      <c r="D5307" s="51" t="s">
        <v>3632</v>
      </c>
      <c r="E5307" s="41" t="str">
        <f>IFERROR(__xludf.DUMMYFUNCTION("IFNA(vlookup(D5307,IMPORTRANGE(""https://docs.google.com/spreadsheets/d/1swGwZOEqYlTEUCJLY-eeJM1911Kvaei5oySBIxdgtNo/edit?pli=1#gid=257618397"",""stock untanna!B:C""),2,false),V:V)"),"TIPEX KERTAS NO.5037")</f>
        <v>TIPEX KERTAS NO.5037</v>
      </c>
      <c r="F5307" s="49"/>
      <c r="G5307" s="71"/>
      <c r="H5307" s="41"/>
      <c r="I5307" s="42"/>
      <c r="J5307" s="85" t="s">
        <v>1319</v>
      </c>
      <c r="K5307" s="93">
        <v>2.0</v>
      </c>
      <c r="L5307" s="112" t="s">
        <v>62</v>
      </c>
      <c r="M5307" s="101">
        <v>60000.0</v>
      </c>
      <c r="N5307" s="74"/>
      <c r="O5307" s="87">
        <f t="shared" si="18"/>
        <v>120000</v>
      </c>
      <c r="P5307" s="102" t="str">
        <f t="shared" si="19"/>
        <v>Rp60,000-2 LSN-0.00%</v>
      </c>
      <c r="Q5307" s="121">
        <v>45437.0</v>
      </c>
      <c r="R5307" s="58"/>
      <c r="S5307" s="121">
        <v>45442.0</v>
      </c>
      <c r="T5307" s="91"/>
      <c r="V5307" s="51" t="s">
        <v>3633</v>
      </c>
    </row>
    <row r="5308">
      <c r="A5308" s="117">
        <v>301.0</v>
      </c>
      <c r="B5308" s="51" t="s">
        <v>65</v>
      </c>
      <c r="C5308" s="51" t="s">
        <v>4239</v>
      </c>
      <c r="D5308" s="51" t="s">
        <v>1039</v>
      </c>
      <c r="E5308" s="41" t="str">
        <f>IFERROR(__xludf.DUMMYFUNCTION("IFNA(vlookup(D5308,IMPORTRANGE(""https://docs.google.com/spreadsheets/d/1swGwZOEqYlTEUCJLY-eeJM1911Kvaei5oySBIxdgtNo/edit?pli=1#gid=257618397"",""stock untanna!B:C""),2,false),V:V)"),"TIPEX KERTAS NO.5031")</f>
        <v>TIPEX KERTAS NO.5031</v>
      </c>
      <c r="F5308" s="49"/>
      <c r="G5308" s="71"/>
      <c r="H5308" s="41"/>
      <c r="I5308" s="42"/>
      <c r="J5308" s="85" t="s">
        <v>1319</v>
      </c>
      <c r="K5308" s="93">
        <v>2.0</v>
      </c>
      <c r="L5308" s="112" t="s">
        <v>62</v>
      </c>
      <c r="M5308" s="101">
        <v>60000.0</v>
      </c>
      <c r="N5308" s="74"/>
      <c r="O5308" s="87">
        <f t="shared" si="18"/>
        <v>120000</v>
      </c>
      <c r="P5308" s="102" t="str">
        <f t="shared" si="19"/>
        <v>Rp60,000-2 LSN-0.00%</v>
      </c>
      <c r="Q5308" s="121">
        <v>45437.0</v>
      </c>
      <c r="R5308" s="58"/>
      <c r="S5308" s="121">
        <v>45442.0</v>
      </c>
      <c r="T5308" s="91"/>
      <c r="V5308" s="51" t="s">
        <v>1040</v>
      </c>
    </row>
    <row r="5309">
      <c r="A5309" s="117">
        <v>301.0</v>
      </c>
      <c r="B5309" s="51" t="s">
        <v>65</v>
      </c>
      <c r="C5309" s="51" t="s">
        <v>4239</v>
      </c>
      <c r="D5309" s="51" t="s">
        <v>1043</v>
      </c>
      <c r="E5309" s="41" t="str">
        <f>IFERROR(__xludf.DUMMYFUNCTION("IFNA(vlookup(D5309,IMPORTRANGE(""https://docs.google.com/spreadsheets/d/1swGwZOEqYlTEUCJLY-eeJM1911Kvaei5oySBIxdgtNo/edit?pli=1#gid=257618397"",""stock untanna!B:C""),2,false),V:V)"),"TIPEX KERTAS NO.6080")</f>
        <v>TIPEX KERTAS NO.6080</v>
      </c>
      <c r="F5309" s="49"/>
      <c r="G5309" s="71"/>
      <c r="H5309" s="41"/>
      <c r="I5309" s="42"/>
      <c r="J5309" s="85" t="s">
        <v>1319</v>
      </c>
      <c r="K5309" s="93">
        <v>2.0</v>
      </c>
      <c r="L5309" s="112" t="s">
        <v>62</v>
      </c>
      <c r="M5309" s="101">
        <v>60000.0</v>
      </c>
      <c r="N5309" s="74"/>
      <c r="O5309" s="87">
        <f t="shared" si="18"/>
        <v>120000</v>
      </c>
      <c r="P5309" s="102" t="str">
        <f t="shared" si="19"/>
        <v>Rp60,000-2 LSN-0.00%</v>
      </c>
      <c r="Q5309" s="121">
        <v>45437.0</v>
      </c>
      <c r="R5309" s="58"/>
      <c r="S5309" s="121">
        <v>45442.0</v>
      </c>
      <c r="T5309" s="91"/>
      <c r="V5309" s="51" t="s">
        <v>1044</v>
      </c>
    </row>
    <row r="5310">
      <c r="A5310" s="117">
        <v>301.0</v>
      </c>
      <c r="B5310" s="51" t="s">
        <v>65</v>
      </c>
      <c r="C5310" s="51" t="s">
        <v>4239</v>
      </c>
      <c r="D5310" s="51" t="s">
        <v>2161</v>
      </c>
      <c r="E5310" s="41" t="str">
        <f>IFERROR(__xludf.DUMMYFUNCTION("IFNA(vlookup(D5310,IMPORTRANGE(""https://docs.google.com/spreadsheets/d/1swGwZOEqYlTEUCJLY-eeJM1911Kvaei5oySBIxdgtNo/edit?pli=1#gid=257618397"",""stock untanna!B:C""),2,false),V:V)"),"TIPEX KERTAS DP-902")</f>
        <v>TIPEX KERTAS DP-902</v>
      </c>
      <c r="F5310" s="49"/>
      <c r="G5310" s="71"/>
      <c r="H5310" s="41"/>
      <c r="I5310" s="42"/>
      <c r="J5310" s="85" t="s">
        <v>1319</v>
      </c>
      <c r="K5310" s="93">
        <v>2.0</v>
      </c>
      <c r="L5310" s="112" t="s">
        <v>62</v>
      </c>
      <c r="M5310" s="101">
        <v>66000.0</v>
      </c>
      <c r="N5310" s="74"/>
      <c r="O5310" s="87">
        <f t="shared" si="18"/>
        <v>132000</v>
      </c>
      <c r="P5310" s="102" t="str">
        <f t="shared" si="19"/>
        <v>Rp66,000-2 LSN-0.00%</v>
      </c>
      <c r="Q5310" s="121">
        <v>45437.0</v>
      </c>
      <c r="R5310" s="58"/>
      <c r="S5310" s="121">
        <v>45442.0</v>
      </c>
      <c r="T5310" s="91"/>
      <c r="V5310" s="51" t="s">
        <v>2162</v>
      </c>
    </row>
    <row r="5311">
      <c r="A5311" s="117">
        <v>301.0</v>
      </c>
      <c r="B5311" s="51" t="s">
        <v>65</v>
      </c>
      <c r="C5311" s="51" t="s">
        <v>4239</v>
      </c>
      <c r="D5311" s="51" t="s">
        <v>2218</v>
      </c>
      <c r="E5311" s="41" t="str">
        <f>IFERROR(__xludf.DUMMYFUNCTION("IFNA(vlookup(D5311,IMPORTRANGE(""https://docs.google.com/spreadsheets/d/1swGwZOEqYlTEUCJLY-eeJM1911Kvaei5oySBIxdgtNo/edit?pli=1#gid=257618397"",""stock untanna!B:C""),2,false),V:V)"),"HIGHLIGHTER Q1313 STAR-STAMP ISI 5")</f>
        <v>HIGHLIGHTER Q1313 STAR-STAMP ISI 5</v>
      </c>
      <c r="F5311" s="49"/>
      <c r="G5311" s="71"/>
      <c r="H5311" s="41"/>
      <c r="I5311" s="42"/>
      <c r="J5311" s="85" t="s">
        <v>1319</v>
      </c>
      <c r="K5311" s="93">
        <v>6.0</v>
      </c>
      <c r="L5311" s="112" t="s">
        <v>84</v>
      </c>
      <c r="M5311" s="101">
        <v>20500.0</v>
      </c>
      <c r="N5311" s="74"/>
      <c r="O5311" s="87">
        <f t="shared" si="18"/>
        <v>123000</v>
      </c>
      <c r="P5311" s="102" t="str">
        <f t="shared" si="19"/>
        <v>Rp20,500-6 SET-0.00%</v>
      </c>
      <c r="Q5311" s="121">
        <v>45437.0</v>
      </c>
      <c r="R5311" s="58"/>
      <c r="S5311" s="121">
        <v>45442.0</v>
      </c>
      <c r="T5311" s="91"/>
      <c r="V5311" s="51" t="s">
        <v>2219</v>
      </c>
    </row>
    <row r="5312">
      <c r="A5312" s="117">
        <v>301.0</v>
      </c>
      <c r="B5312" s="51" t="s">
        <v>65</v>
      </c>
      <c r="C5312" s="51" t="s">
        <v>4239</v>
      </c>
      <c r="D5312" s="51" t="s">
        <v>419</v>
      </c>
      <c r="E5312" s="41" t="str">
        <f>IFERROR(__xludf.DUMMYFUNCTION("IFNA(vlookup(D5312,IMPORTRANGE(""https://docs.google.com/spreadsheets/d/1swGwZOEqYlTEUCJLY-eeJM1911Kvaei5oySBIxdgtNo/edit?pli=1#gid=257618397"",""stock untanna!B:C""),2,false),V:V)"),"BP GEL ZUI XUA HY-1020 HITAM")</f>
        <v>BP GEL ZUI XUA HY-1020 HITAM</v>
      </c>
      <c r="F5312" s="49"/>
      <c r="G5312" s="71"/>
      <c r="H5312" s="41"/>
      <c r="I5312" s="42"/>
      <c r="J5312" s="85" t="s">
        <v>1319</v>
      </c>
      <c r="K5312" s="93">
        <v>12.0</v>
      </c>
      <c r="L5312" s="112" t="s">
        <v>62</v>
      </c>
      <c r="M5312" s="101">
        <v>18500.0</v>
      </c>
      <c r="N5312" s="74"/>
      <c r="O5312" s="87">
        <f t="shared" si="18"/>
        <v>222000</v>
      </c>
      <c r="P5312" s="102" t="str">
        <f t="shared" si="19"/>
        <v>Rp18,500-12 LSN-0.00%</v>
      </c>
      <c r="Q5312" s="121">
        <v>45437.0</v>
      </c>
      <c r="R5312" s="58"/>
      <c r="S5312" s="121">
        <v>45442.0</v>
      </c>
      <c r="T5312" s="91"/>
      <c r="V5312" s="51" t="s">
        <v>3281</v>
      </c>
    </row>
    <row r="5313">
      <c r="A5313" s="117">
        <v>301.0</v>
      </c>
      <c r="B5313" s="51" t="s">
        <v>65</v>
      </c>
      <c r="C5313" s="51" t="s">
        <v>4239</v>
      </c>
      <c r="D5313" s="51" t="s">
        <v>3220</v>
      </c>
      <c r="E5313" s="41" t="str">
        <f>IFERROR(__xludf.DUMMYFUNCTION("IFNA(vlookup(D5313,IMPORTRANGE(""https://docs.google.com/spreadsheets/d/1swGwZOEqYlTEUCJLY-eeJM1911Kvaei5oySBIxdgtNo/edit?pli=1#gid=257618397"",""stock untanna!B:C""),2,false),V:V)"),"BP GEL 708")</f>
        <v>BP GEL 708</v>
      </c>
      <c r="F5313" s="49"/>
      <c r="G5313" s="71"/>
      <c r="H5313" s="41"/>
      <c r="I5313" s="42"/>
      <c r="J5313" s="85" t="s">
        <v>1319</v>
      </c>
      <c r="K5313" s="93">
        <v>3.0</v>
      </c>
      <c r="L5313" s="112" t="s">
        <v>62</v>
      </c>
      <c r="M5313" s="101">
        <v>30000.0</v>
      </c>
      <c r="N5313" s="74"/>
      <c r="O5313" s="87">
        <f t="shared" si="18"/>
        <v>90000</v>
      </c>
      <c r="P5313" s="102" t="str">
        <f t="shared" si="19"/>
        <v>Rp30,000-3 LSN-0.00%</v>
      </c>
      <c r="Q5313" s="121">
        <v>45437.0</v>
      </c>
      <c r="R5313" s="58"/>
      <c r="S5313" s="121">
        <v>45442.0</v>
      </c>
      <c r="T5313" s="91"/>
      <c r="V5313" s="51" t="s">
        <v>3221</v>
      </c>
    </row>
    <row r="5314">
      <c r="A5314" s="117">
        <v>301.0</v>
      </c>
      <c r="B5314" s="51" t="s">
        <v>65</v>
      </c>
      <c r="C5314" s="51" t="s">
        <v>4239</v>
      </c>
      <c r="D5314" s="51" t="s">
        <v>2567</v>
      </c>
      <c r="E5314" s="41" t="str">
        <f>IFERROR(__xludf.DUMMYFUNCTION("IFNA(vlookup(D5314,IMPORTRANGE(""https://docs.google.com/spreadsheets/d/1swGwZOEqYlTEUCJLY-eeJM1911Kvaei5oySBIxdgtNo/edit?pli=1#gid=257618397"",""stock untanna!B:C""),2,false),V:V)"),"BP GEL WM-7200 CETEK2")</f>
        <v>BP GEL WM-7200 CETEK2</v>
      </c>
      <c r="F5314" s="49"/>
      <c r="G5314" s="71"/>
      <c r="H5314" s="41"/>
      <c r="I5314" s="42"/>
      <c r="J5314" s="85" t="s">
        <v>1319</v>
      </c>
      <c r="K5314" s="93">
        <v>3.0</v>
      </c>
      <c r="L5314" s="112" t="s">
        <v>62</v>
      </c>
      <c r="M5314" s="101">
        <v>56500.0</v>
      </c>
      <c r="N5314" s="74"/>
      <c r="O5314" s="87">
        <f t="shared" si="18"/>
        <v>169500</v>
      </c>
      <c r="P5314" s="102" t="str">
        <f t="shared" si="19"/>
        <v>Rp56,500-3 LSN-0.00%</v>
      </c>
      <c r="Q5314" s="121">
        <v>45437.0</v>
      </c>
      <c r="R5314" s="58"/>
      <c r="S5314" s="121">
        <v>45442.0</v>
      </c>
      <c r="T5314" s="91"/>
      <c r="V5314" s="51" t="s">
        <v>2568</v>
      </c>
    </row>
    <row r="5315">
      <c r="A5315" s="117">
        <v>301.0</v>
      </c>
      <c r="B5315" s="51" t="s">
        <v>65</v>
      </c>
      <c r="C5315" s="51" t="s">
        <v>4239</v>
      </c>
      <c r="D5315" s="56"/>
      <c r="E5315" s="41" t="str">
        <f>IFERROR(__xludf.DUMMYFUNCTION("IFNA(vlookup(D5315,IMPORTRANGE(""https://docs.google.com/spreadsheets/d/1swGwZOEqYlTEUCJLY-eeJM1911Kvaei5oySBIxdgtNo/edit?pli=1#gid=257618397"",""stock untanna!B:C""),2,false),V:V)"),"BP GEL GP 303 KOALA")</f>
        <v>BP GEL GP 303 KOALA</v>
      </c>
      <c r="F5315" s="49"/>
      <c r="G5315" s="71"/>
      <c r="H5315" s="41"/>
      <c r="I5315" s="42"/>
      <c r="J5315" s="85" t="s">
        <v>3190</v>
      </c>
      <c r="K5315" s="93">
        <v>3.0</v>
      </c>
      <c r="L5315" s="112" t="s">
        <v>62</v>
      </c>
      <c r="M5315" s="101">
        <v>28000.0</v>
      </c>
      <c r="N5315" s="74"/>
      <c r="O5315" s="87">
        <f t="shared" si="18"/>
        <v>84000</v>
      </c>
      <c r="P5315" s="102" t="str">
        <f t="shared" si="19"/>
        <v>Rp28,000-3 LSN-0.00%</v>
      </c>
      <c r="Q5315" s="121">
        <v>45437.0</v>
      </c>
      <c r="R5315" s="58"/>
      <c r="S5315" s="121">
        <v>45442.0</v>
      </c>
      <c r="T5315" s="91"/>
      <c r="V5315" s="51" t="s">
        <v>4240</v>
      </c>
    </row>
    <row r="5316">
      <c r="A5316" s="117">
        <v>302.0</v>
      </c>
      <c r="B5316" s="51" t="s">
        <v>65</v>
      </c>
      <c r="C5316" s="51" t="s">
        <v>4239</v>
      </c>
      <c r="D5316" s="51" t="s">
        <v>700</v>
      </c>
      <c r="E5316" s="41" t="str">
        <f>IFERROR(__xludf.DUMMYFUNCTION("IFNA(vlookup(D5316,IMPORTRANGE(""https://docs.google.com/spreadsheets/d/1swGwZOEqYlTEUCJLY-eeJM1911Kvaei5oySBIxdgtNo/edit?pli=1#gid=257618397"",""stock untanna!B:C""),2,false),V:V)"),"BP TIZO KLIK TG 3300")</f>
        <v>BP TIZO KLIK TG 3300</v>
      </c>
      <c r="F5316" s="49"/>
      <c r="G5316" s="71"/>
      <c r="H5316" s="41"/>
      <c r="I5316" s="42"/>
      <c r="J5316" s="85" t="s">
        <v>1319</v>
      </c>
      <c r="K5316" s="93">
        <v>3.0</v>
      </c>
      <c r="L5316" s="112" t="s">
        <v>62</v>
      </c>
      <c r="M5316" s="101">
        <v>36000.0</v>
      </c>
      <c r="N5316" s="74"/>
      <c r="O5316" s="87">
        <f t="shared" si="18"/>
        <v>108000</v>
      </c>
      <c r="P5316" s="102" t="str">
        <f t="shared" si="19"/>
        <v>Rp36,000-3 LSN-0.00%</v>
      </c>
      <c r="Q5316" s="121">
        <v>45437.0</v>
      </c>
      <c r="R5316" s="58"/>
      <c r="S5316" s="121">
        <v>45442.0</v>
      </c>
      <c r="T5316" s="91"/>
      <c r="V5316" s="51" t="s">
        <v>701</v>
      </c>
    </row>
    <row r="5317">
      <c r="A5317" s="117">
        <v>302.0</v>
      </c>
      <c r="B5317" s="51" t="s">
        <v>65</v>
      </c>
      <c r="C5317" s="51" t="s">
        <v>4239</v>
      </c>
      <c r="D5317" s="51" t="s">
        <v>2538</v>
      </c>
      <c r="E5317" s="41" t="str">
        <f>IFERROR(__xludf.DUMMYFUNCTION("IFNA(vlookup(D5317,IMPORTRANGE(""https://docs.google.com/spreadsheets/d/1swGwZOEqYlTEUCJLY-eeJM1911Kvaei5oySBIxdgtNo/edit?pli=1#gid=257618397"",""stock untanna!B:C""),2,false),V:V)"),"BP GEL CS-G208")</f>
        <v>BP GEL CS-G208</v>
      </c>
      <c r="F5317" s="49"/>
      <c r="G5317" s="71"/>
      <c r="H5317" s="41"/>
      <c r="I5317" s="42"/>
      <c r="J5317" s="85" t="s">
        <v>1319</v>
      </c>
      <c r="K5317" s="93">
        <v>3.0</v>
      </c>
      <c r="L5317" s="112" t="s">
        <v>62</v>
      </c>
      <c r="M5317" s="101">
        <v>36000.0</v>
      </c>
      <c r="N5317" s="74"/>
      <c r="O5317" s="87">
        <f t="shared" si="18"/>
        <v>108000</v>
      </c>
      <c r="P5317" s="102" t="str">
        <f t="shared" si="19"/>
        <v>Rp36,000-3 LSN-0.00%</v>
      </c>
      <c r="Q5317" s="121">
        <v>45437.0</v>
      </c>
      <c r="R5317" s="58"/>
      <c r="S5317" s="121">
        <v>45442.0</v>
      </c>
      <c r="T5317" s="91"/>
      <c r="V5317" s="51" t="s">
        <v>2539</v>
      </c>
    </row>
    <row r="5318">
      <c r="A5318" s="117">
        <v>302.0</v>
      </c>
      <c r="B5318" s="51" t="s">
        <v>65</v>
      </c>
      <c r="C5318" s="51" t="s">
        <v>4239</v>
      </c>
      <c r="D5318" s="51" t="s">
        <v>479</v>
      </c>
      <c r="E5318" s="41" t="str">
        <f>IFERROR(__xludf.DUMMYFUNCTION("IFNA(vlookup(D5318,IMPORTRANGE(""https://docs.google.com/spreadsheets/d/1swGwZOEqYlTEUCJLY-eeJM1911Kvaei5oySBIxdgtNo/edit?pli=1#gid=257618397"",""stock untanna!B:C""),2,false),V:V)"),"BP GEL DTIAN A 93")</f>
        <v>BP GEL DTIAN A 93</v>
      </c>
      <c r="F5318" s="49"/>
      <c r="G5318" s="71"/>
      <c r="H5318" s="41"/>
      <c r="I5318" s="42"/>
      <c r="J5318" s="85" t="s">
        <v>1319</v>
      </c>
      <c r="K5318" s="93">
        <v>12.0</v>
      </c>
      <c r="L5318" s="112" t="s">
        <v>62</v>
      </c>
      <c r="M5318" s="101">
        <v>17500.0</v>
      </c>
      <c r="N5318" s="74"/>
      <c r="O5318" s="87">
        <f t="shared" si="18"/>
        <v>210000</v>
      </c>
      <c r="P5318" s="102" t="str">
        <f t="shared" si="19"/>
        <v>Rp17,500-12 LSN-0.00%</v>
      </c>
      <c r="Q5318" s="121">
        <v>45437.0</v>
      </c>
      <c r="R5318" s="58"/>
      <c r="S5318" s="121">
        <v>45442.0</v>
      </c>
      <c r="T5318" s="91"/>
      <c r="V5318" s="51" t="s">
        <v>480</v>
      </c>
    </row>
    <row r="5319">
      <c r="A5319" s="117">
        <v>302.0</v>
      </c>
      <c r="B5319" s="51" t="s">
        <v>65</v>
      </c>
      <c r="C5319" s="51" t="s">
        <v>4239</v>
      </c>
      <c r="D5319" s="51" t="s">
        <v>1690</v>
      </c>
      <c r="E5319" s="41" t="str">
        <f>IFERROR(__xludf.DUMMYFUNCTION("IFNA(vlookup(D5319,IMPORTRANGE(""https://docs.google.com/spreadsheets/d/1swGwZOEqYlTEUCJLY-eeJM1911Kvaei5oySBIxdgtNo/edit?pli=1#gid=257618397"",""stock untanna!B:C""),2,false),V:V)"),"BP SIKA GP 002 HT")</f>
        <v>BP SIKA GP 002 HT</v>
      </c>
      <c r="F5319" s="49"/>
      <c r="G5319" s="71"/>
      <c r="H5319" s="41"/>
      <c r="I5319" s="42"/>
      <c r="J5319" s="85" t="s">
        <v>1319</v>
      </c>
      <c r="K5319" s="93">
        <v>12.0</v>
      </c>
      <c r="L5319" s="112" t="s">
        <v>62</v>
      </c>
      <c r="M5319" s="101">
        <v>25000.0</v>
      </c>
      <c r="N5319" s="74"/>
      <c r="O5319" s="87">
        <f t="shared" si="18"/>
        <v>300000</v>
      </c>
      <c r="P5319" s="102" t="str">
        <f t="shared" si="19"/>
        <v>Rp25,000-12 LSN-0.00%</v>
      </c>
      <c r="Q5319" s="121">
        <v>45437.0</v>
      </c>
      <c r="R5319" s="58"/>
      <c r="S5319" s="121">
        <v>45442.0</v>
      </c>
      <c r="T5319" s="91"/>
      <c r="V5319" s="51" t="s">
        <v>1691</v>
      </c>
    </row>
    <row r="5320">
      <c r="A5320" s="117">
        <v>302.0</v>
      </c>
      <c r="B5320" s="51" t="s">
        <v>65</v>
      </c>
      <c r="C5320" s="51" t="s">
        <v>4239</v>
      </c>
      <c r="D5320" s="51" t="s">
        <v>1848</v>
      </c>
      <c r="E5320" s="41" t="str">
        <f>IFERROR(__xludf.DUMMYFUNCTION("IFNA(vlookup(D5320,IMPORTRANGE(""https://docs.google.com/spreadsheets/d/1swGwZOEqYlTEUCJLY-eeJM1911Kvaei5oySBIxdgtNo/edit?pli=1#gid=257618397"",""stock untanna!B:C""),2,false),V:V)"),"BP DEBOZZ DB-530")</f>
        <v>BP DEBOZZ DB-530</v>
      </c>
      <c r="F5320" s="49"/>
      <c r="G5320" s="71"/>
      <c r="H5320" s="41"/>
      <c r="I5320" s="42"/>
      <c r="J5320" s="85" t="s">
        <v>1319</v>
      </c>
      <c r="K5320" s="93">
        <v>12.0</v>
      </c>
      <c r="L5320" s="112" t="s">
        <v>62</v>
      </c>
      <c r="M5320" s="101">
        <v>28500.0</v>
      </c>
      <c r="N5320" s="74"/>
      <c r="O5320" s="87">
        <f t="shared" si="18"/>
        <v>342000</v>
      </c>
      <c r="P5320" s="102" t="str">
        <f t="shared" si="19"/>
        <v>Rp28,500-12 LSN-0.00%</v>
      </c>
      <c r="Q5320" s="121">
        <v>45437.0</v>
      </c>
      <c r="R5320" s="58"/>
      <c r="S5320" s="121">
        <v>45442.0</v>
      </c>
      <c r="T5320" s="91"/>
      <c r="V5320" s="51" t="s">
        <v>1849</v>
      </c>
    </row>
    <row r="5321">
      <c r="A5321" s="117">
        <v>302.0</v>
      </c>
      <c r="B5321" s="51" t="s">
        <v>65</v>
      </c>
      <c r="C5321" s="51" t="s">
        <v>4239</v>
      </c>
      <c r="D5321" s="56"/>
      <c r="E5321" s="41" t="str">
        <f>IFERROR(__xludf.DUMMYFUNCTION("IFNA(vlookup(D5321,IMPORTRANGE(""https://docs.google.com/spreadsheets/d/1swGwZOEqYlTEUCJLY-eeJM1911Kvaei5oySBIxdgtNo/edit?pli=1#gid=257618397"",""stock untanna!B:C""),2,false),V:V)"),"N BOOK MAGNIT A6 CK64")</f>
        <v>N BOOK MAGNIT A6 CK64</v>
      </c>
      <c r="F5321" s="49"/>
      <c r="G5321" s="71"/>
      <c r="H5321" s="41"/>
      <c r="I5321" s="42"/>
      <c r="J5321" s="85" t="s">
        <v>3190</v>
      </c>
      <c r="K5321" s="93">
        <v>12.0</v>
      </c>
      <c r="L5321" s="112" t="s">
        <v>69</v>
      </c>
      <c r="M5321" s="101">
        <v>18000.0</v>
      </c>
      <c r="N5321" s="74"/>
      <c r="O5321" s="87">
        <f t="shared" si="18"/>
        <v>216000</v>
      </c>
      <c r="P5321" s="102" t="str">
        <f t="shared" si="19"/>
        <v>Rp18,000-12 PCS-0.00%</v>
      </c>
      <c r="Q5321" s="121">
        <v>45437.0</v>
      </c>
      <c r="R5321" s="58"/>
      <c r="S5321" s="121">
        <v>45442.0</v>
      </c>
      <c r="T5321" s="91"/>
      <c r="V5321" s="51" t="s">
        <v>4241</v>
      </c>
    </row>
    <row r="5322">
      <c r="A5322" s="117">
        <v>302.0</v>
      </c>
      <c r="B5322" s="51" t="s">
        <v>65</v>
      </c>
      <c r="C5322" s="51" t="s">
        <v>4239</v>
      </c>
      <c r="D5322" s="56"/>
      <c r="E5322" s="41" t="str">
        <f>IFERROR(__xludf.DUMMYFUNCTION("IFNA(vlookup(D5322,IMPORTRANGE(""https://docs.google.com/spreadsheets/d/1swGwZOEqYlTEUCJLY-eeJM1911Kvaei5oySBIxdgtNo/edit?pli=1#gid=257618397"",""stock untanna!B:C""),2,false),V:V)"),"N BOOK 005 STICKER")</f>
        <v>N BOOK 005 STICKER</v>
      </c>
      <c r="F5322" s="49"/>
      <c r="G5322" s="71"/>
      <c r="H5322" s="41"/>
      <c r="I5322" s="42"/>
      <c r="J5322" s="85" t="s">
        <v>3190</v>
      </c>
      <c r="K5322" s="93">
        <v>16.0</v>
      </c>
      <c r="L5322" s="112" t="s">
        <v>69</v>
      </c>
      <c r="M5322" s="101">
        <v>22000.0</v>
      </c>
      <c r="N5322" s="74"/>
      <c r="O5322" s="87">
        <f t="shared" si="18"/>
        <v>352000</v>
      </c>
      <c r="P5322" s="102" t="str">
        <f t="shared" si="19"/>
        <v>Rp22,000-16 PCS-0.00%</v>
      </c>
      <c r="Q5322" s="121">
        <v>45437.0</v>
      </c>
      <c r="R5322" s="58"/>
      <c r="S5322" s="121">
        <v>45442.0</v>
      </c>
      <c r="T5322" s="91"/>
      <c r="V5322" s="51" t="s">
        <v>2240</v>
      </c>
    </row>
    <row r="5323">
      <c r="A5323" s="117">
        <v>302.0</v>
      </c>
      <c r="B5323" s="51" t="s">
        <v>65</v>
      </c>
      <c r="C5323" s="51" t="s">
        <v>4239</v>
      </c>
      <c r="D5323" s="51" t="s">
        <v>2449</v>
      </c>
      <c r="E5323" s="41" t="str">
        <f>IFERROR(__xludf.DUMMYFUNCTION("IFNA(vlookup(D5323,IMPORTRANGE(""https://docs.google.com/spreadsheets/d/1swGwZOEqYlTEUCJLY-eeJM1911Kvaei5oySBIxdgtNo/edit?pli=1#gid=257618397"",""stock untanna!B:C""),2,false),V:V)"),"STICK NOTE TF 0246")</f>
        <v>STICK NOTE TF 0246</v>
      </c>
      <c r="F5323" s="49"/>
      <c r="G5323" s="71"/>
      <c r="H5323" s="41"/>
      <c r="I5323" s="42"/>
      <c r="J5323" s="85" t="s">
        <v>1319</v>
      </c>
      <c r="K5323" s="93">
        <v>12.0</v>
      </c>
      <c r="L5323" s="112" t="s">
        <v>69</v>
      </c>
      <c r="M5323" s="101">
        <v>18750.0</v>
      </c>
      <c r="N5323" s="74"/>
      <c r="O5323" s="87">
        <f t="shared" si="18"/>
        <v>225000</v>
      </c>
      <c r="P5323" s="102" t="str">
        <f t="shared" si="19"/>
        <v>Rp18,750-12 PCS-0.00%</v>
      </c>
      <c r="Q5323" s="121">
        <v>45437.0</v>
      </c>
      <c r="R5323" s="58"/>
      <c r="S5323" s="121">
        <v>45442.0</v>
      </c>
      <c r="T5323" s="91"/>
      <c r="V5323" s="51" t="s">
        <v>2450</v>
      </c>
    </row>
    <row r="5324">
      <c r="A5324" s="117">
        <v>302.0</v>
      </c>
      <c r="B5324" s="51" t="s">
        <v>65</v>
      </c>
      <c r="C5324" s="51" t="s">
        <v>4239</v>
      </c>
      <c r="D5324" s="51" t="s">
        <v>2327</v>
      </c>
      <c r="E5324" s="41" t="str">
        <f>IFERROR(__xludf.DUMMYFUNCTION("IFNA(vlookup(D5324,IMPORTRANGE(""https://docs.google.com/spreadsheets/d/1swGwZOEqYlTEUCJLY-eeJM1911Kvaei5oySBIxdgtNo/edit?pli=1#gid=257618397"",""stock untanna!B:C""),2,false),V:V)"),"STICK NOTE TF 654 5C")</f>
        <v>STICK NOTE TF 654 5C</v>
      </c>
      <c r="F5324" s="49"/>
      <c r="G5324" s="71"/>
      <c r="H5324" s="41"/>
      <c r="I5324" s="42"/>
      <c r="J5324" s="85" t="s">
        <v>1319</v>
      </c>
      <c r="K5324" s="93">
        <v>20.0</v>
      </c>
      <c r="L5324" s="112" t="s">
        <v>69</v>
      </c>
      <c r="M5324" s="101">
        <v>5000.0</v>
      </c>
      <c r="N5324" s="74"/>
      <c r="O5324" s="87">
        <f t="shared" si="18"/>
        <v>100000</v>
      </c>
      <c r="P5324" s="102" t="str">
        <f t="shared" si="19"/>
        <v>Rp5,000-20 PCS-0.00%</v>
      </c>
      <c r="Q5324" s="121">
        <v>45437.0</v>
      </c>
      <c r="R5324" s="58"/>
      <c r="S5324" s="121">
        <v>45442.0</v>
      </c>
      <c r="T5324" s="91"/>
      <c r="V5324" s="51" t="s">
        <v>2328</v>
      </c>
    </row>
    <row r="5325">
      <c r="A5325" s="117">
        <v>302.0</v>
      </c>
      <c r="B5325" s="51" t="s">
        <v>65</v>
      </c>
      <c r="C5325" s="51" t="s">
        <v>4239</v>
      </c>
      <c r="D5325" s="51" t="s">
        <v>2907</v>
      </c>
      <c r="E5325" s="41" t="str">
        <f>IFERROR(__xludf.DUMMYFUNCTION("IFNA(vlookup(D5325,IMPORTRANGE(""https://docs.google.com/spreadsheets/d/1swGwZOEqYlTEUCJLY-eeJM1911Kvaei5oySBIxdgtNo/edit?pli=1#gid=257618397"",""stock untanna!B:C""),2,false),V:V)"),"STICK NOTE TF 654-8C")</f>
        <v>STICK NOTE TF 654-8C</v>
      </c>
      <c r="F5325" s="49"/>
      <c r="G5325" s="71"/>
      <c r="H5325" s="41"/>
      <c r="I5325" s="42"/>
      <c r="J5325" s="85" t="s">
        <v>1319</v>
      </c>
      <c r="K5325" s="93">
        <v>10.0</v>
      </c>
      <c r="L5325" s="112" t="s">
        <v>69</v>
      </c>
      <c r="M5325" s="101">
        <v>10500.0</v>
      </c>
      <c r="N5325" s="74"/>
      <c r="O5325" s="87">
        <f t="shared" si="18"/>
        <v>105000</v>
      </c>
      <c r="P5325" s="102" t="str">
        <f t="shared" si="19"/>
        <v>Rp10,500-10 PCS-0.00%</v>
      </c>
      <c r="Q5325" s="121">
        <v>45437.0</v>
      </c>
      <c r="R5325" s="58"/>
      <c r="S5325" s="121">
        <v>45442.0</v>
      </c>
      <c r="T5325" s="91"/>
      <c r="V5325" s="51" t="s">
        <v>2908</v>
      </c>
    </row>
    <row r="5326">
      <c r="A5326" s="117">
        <v>302.0</v>
      </c>
      <c r="B5326" s="51" t="s">
        <v>65</v>
      </c>
      <c r="C5326" s="51" t="s">
        <v>4239</v>
      </c>
      <c r="D5326" s="51" t="s">
        <v>2681</v>
      </c>
      <c r="E5326" s="41" t="str">
        <f>IFERROR(__xludf.DUMMYFUNCTION("IFNA(vlookup(D5326,IMPORTRANGE(""https://docs.google.com/spreadsheets/d/1swGwZOEqYlTEUCJLY-eeJM1911Kvaei5oySBIxdgtNo/edit?pli=1#gid=257618397"",""stock untanna!B:C""),2,false),V:V)"),"STICK NOTE TF 654-8C-M")</f>
        <v>STICK NOTE TF 654-8C-M</v>
      </c>
      <c r="F5326" s="49"/>
      <c r="G5326" s="71"/>
      <c r="H5326" s="41"/>
      <c r="I5326" s="42"/>
      <c r="J5326" s="85" t="s">
        <v>1319</v>
      </c>
      <c r="K5326" s="93">
        <v>10.0</v>
      </c>
      <c r="L5326" s="112" t="s">
        <v>69</v>
      </c>
      <c r="M5326" s="101">
        <v>10500.0</v>
      </c>
      <c r="N5326" s="74"/>
      <c r="O5326" s="87">
        <f t="shared" si="18"/>
        <v>105000</v>
      </c>
      <c r="P5326" s="102" t="str">
        <f t="shared" si="19"/>
        <v>Rp10,500-10 PCS-0.00%</v>
      </c>
      <c r="Q5326" s="121">
        <v>45437.0</v>
      </c>
      <c r="R5326" s="58"/>
      <c r="S5326" s="121">
        <v>45442.0</v>
      </c>
      <c r="T5326" s="91"/>
      <c r="V5326" s="51" t="s">
        <v>2682</v>
      </c>
    </row>
    <row r="5327">
      <c r="A5327" s="117">
        <v>302.0</v>
      </c>
      <c r="B5327" s="51" t="s">
        <v>65</v>
      </c>
      <c r="C5327" s="51" t="s">
        <v>4239</v>
      </c>
      <c r="D5327" s="51" t="s">
        <v>4237</v>
      </c>
      <c r="E5327" s="41" t="str">
        <f>IFERROR(__xludf.DUMMYFUNCTION("IFNA(vlookup(D5327,IMPORTRANGE(""https://docs.google.com/spreadsheets/d/1swGwZOEqYlTEUCJLY-eeJM1911Kvaei5oySBIxdgtNo/edit?pli=1#gid=257618397"",""stock untanna!B:C""),2,false),V:V)"),"STICK NOTE TF 0243")</f>
        <v>STICK NOTE TF 0243</v>
      </c>
      <c r="F5327" s="49"/>
      <c r="G5327" s="71"/>
      <c r="H5327" s="41"/>
      <c r="I5327" s="42"/>
      <c r="J5327" s="85" t="s">
        <v>1319</v>
      </c>
      <c r="K5327" s="93">
        <v>12.0</v>
      </c>
      <c r="L5327" s="112" t="s">
        <v>69</v>
      </c>
      <c r="M5327" s="101">
        <v>18750.0</v>
      </c>
      <c r="N5327" s="74"/>
      <c r="O5327" s="87">
        <f t="shared" si="18"/>
        <v>225000</v>
      </c>
      <c r="P5327" s="102" t="str">
        <f t="shared" si="19"/>
        <v>Rp18,750-12 PCS-0.00%</v>
      </c>
      <c r="Q5327" s="121">
        <v>45437.0</v>
      </c>
      <c r="R5327" s="58"/>
      <c r="S5327" s="121">
        <v>45442.0</v>
      </c>
      <c r="T5327" s="91"/>
      <c r="V5327" s="51" t="s">
        <v>4238</v>
      </c>
    </row>
    <row r="5328">
      <c r="A5328" s="117">
        <v>302.0</v>
      </c>
      <c r="B5328" s="51" t="s">
        <v>65</v>
      </c>
      <c r="C5328" s="51" t="s">
        <v>4239</v>
      </c>
      <c r="D5328" s="51" t="s">
        <v>4164</v>
      </c>
      <c r="E5328" s="41" t="str">
        <f>IFERROR(__xludf.DUMMYFUNCTION("IFNA(vlookup(D5328,IMPORTRANGE(""https://docs.google.com/spreadsheets/d/1swGwZOEqYlTEUCJLY-eeJM1911Kvaei5oySBIxdgtNo/edit?pli=1#gid=257618397"",""stock untanna!B:C""),2,false),V:V)"),"BINDER NOTE HYB - 86803 A5")</f>
        <v>BINDER NOTE HYB - 86803 A5</v>
      </c>
      <c r="F5328" s="49"/>
      <c r="G5328" s="71"/>
      <c r="H5328" s="41"/>
      <c r="I5328" s="42"/>
      <c r="J5328" s="85" t="s">
        <v>1319</v>
      </c>
      <c r="K5328" s="93">
        <v>6.0</v>
      </c>
      <c r="L5328" s="112" t="s">
        <v>69</v>
      </c>
      <c r="M5328" s="101">
        <v>27500.0</v>
      </c>
      <c r="N5328" s="74"/>
      <c r="O5328" s="87">
        <f t="shared" si="18"/>
        <v>165000</v>
      </c>
      <c r="P5328" s="102" t="str">
        <f t="shared" si="19"/>
        <v>Rp27,500-6 PCS-0.00%</v>
      </c>
      <c r="Q5328" s="121">
        <v>45437.0</v>
      </c>
      <c r="R5328" s="58"/>
      <c r="S5328" s="121">
        <v>45442.0</v>
      </c>
      <c r="T5328" s="91"/>
      <c r="V5328" s="51" t="s">
        <v>4165</v>
      </c>
    </row>
    <row r="5329">
      <c r="A5329" s="117">
        <v>302.0</v>
      </c>
      <c r="B5329" s="51" t="s">
        <v>65</v>
      </c>
      <c r="C5329" s="51" t="s">
        <v>4239</v>
      </c>
      <c r="D5329" s="51" t="s">
        <v>1897</v>
      </c>
      <c r="E5329" s="41" t="str">
        <f>IFERROR(__xludf.DUMMYFUNCTION("IFNA(vlookup(D5329,IMPORTRANGE(""https://docs.google.com/spreadsheets/d/1swGwZOEqYlTEUCJLY-eeJM1911Kvaei5oySBIxdgtNo/edit?pli=1#gid=257618397"",""stock untanna!B:C""),2,false),V:V)"),"NOTEBOOK 18100-67")</f>
        <v>NOTEBOOK 18100-67</v>
      </c>
      <c r="F5329" s="49"/>
      <c r="G5329" s="71"/>
      <c r="H5329" s="41"/>
      <c r="I5329" s="42"/>
      <c r="J5329" s="85" t="s">
        <v>1319</v>
      </c>
      <c r="K5329" s="93">
        <v>6.0</v>
      </c>
      <c r="L5329" s="112" t="s">
        <v>69</v>
      </c>
      <c r="M5329" s="101">
        <v>27500.0</v>
      </c>
      <c r="N5329" s="74"/>
      <c r="O5329" s="87">
        <f t="shared" si="18"/>
        <v>165000</v>
      </c>
      <c r="P5329" s="102" t="str">
        <f t="shared" si="19"/>
        <v>Rp27,500-6 PCS-0.00%</v>
      </c>
      <c r="Q5329" s="121">
        <v>45437.0</v>
      </c>
      <c r="R5329" s="58"/>
      <c r="S5329" s="121">
        <v>45442.0</v>
      </c>
      <c r="T5329" s="77" t="s">
        <v>4242</v>
      </c>
      <c r="V5329" s="51" t="s">
        <v>4179</v>
      </c>
    </row>
    <row r="5330">
      <c r="A5330" s="117">
        <v>302.0</v>
      </c>
      <c r="B5330" s="51" t="s">
        <v>65</v>
      </c>
      <c r="C5330" s="51" t="s">
        <v>4239</v>
      </c>
      <c r="D5330" s="51" t="s">
        <v>1885</v>
      </c>
      <c r="E5330" s="41" t="str">
        <f>IFERROR(__xludf.DUMMYFUNCTION("IFNA(vlookup(D5330,IMPORTRANGE(""https://docs.google.com/spreadsheets/d/1swGwZOEqYlTEUCJLY-eeJM1911Kvaei5oySBIxdgtNo/edit?pli=1#gid=257618397"",""stock untanna!B:C""),2,false),V:V)"),"NOTEBOOK  707-24")</f>
        <v>NOTEBOOK  707-24</v>
      </c>
      <c r="F5330" s="49"/>
      <c r="G5330" s="71"/>
      <c r="H5330" s="41"/>
      <c r="I5330" s="42"/>
      <c r="J5330" s="85" t="s">
        <v>1319</v>
      </c>
      <c r="K5330" s="93">
        <v>6.0</v>
      </c>
      <c r="L5330" s="112" t="s">
        <v>69</v>
      </c>
      <c r="M5330" s="101">
        <v>27500.0</v>
      </c>
      <c r="N5330" s="74"/>
      <c r="O5330" s="87">
        <f t="shared" si="18"/>
        <v>165000</v>
      </c>
      <c r="P5330" s="102" t="str">
        <f t="shared" si="19"/>
        <v>Rp27,500-6 PCS-0.00%</v>
      </c>
      <c r="Q5330" s="121">
        <v>45437.0</v>
      </c>
      <c r="R5330" s="58"/>
      <c r="S5330" s="121">
        <v>45442.0</v>
      </c>
      <c r="T5330" s="77" t="s">
        <v>4243</v>
      </c>
      <c r="V5330" s="51" t="s">
        <v>4165</v>
      </c>
    </row>
    <row r="5331">
      <c r="A5331" s="117">
        <v>302.0</v>
      </c>
      <c r="B5331" s="51" t="s">
        <v>65</v>
      </c>
      <c r="C5331" s="51" t="s">
        <v>4239</v>
      </c>
      <c r="D5331" s="51" t="s">
        <v>4176</v>
      </c>
      <c r="E5331" s="41" t="str">
        <f>IFERROR(__xludf.DUMMYFUNCTION("IFNA(vlookup(D5331,IMPORTRANGE(""https://docs.google.com/spreadsheets/d/1swGwZOEqYlTEUCJLY-eeJM1911Kvaei5oySBIxdgtNo/edit?pli=1#gid=257618397"",""stock untanna!B:C""),2,false),V:V)"),"BINDER NOTE HYB - 86804 A5")</f>
        <v>BINDER NOTE HYB - 86804 A5</v>
      </c>
      <c r="F5331" s="49"/>
      <c r="G5331" s="71"/>
      <c r="H5331" s="41"/>
      <c r="I5331" s="42"/>
      <c r="J5331" s="85" t="s">
        <v>1319</v>
      </c>
      <c r="K5331" s="93">
        <v>6.0</v>
      </c>
      <c r="L5331" s="112" t="s">
        <v>69</v>
      </c>
      <c r="M5331" s="101">
        <v>27500.0</v>
      </c>
      <c r="N5331" s="74"/>
      <c r="O5331" s="87">
        <f t="shared" si="18"/>
        <v>165000</v>
      </c>
      <c r="P5331" s="102" t="str">
        <f t="shared" si="19"/>
        <v>Rp27,500-6 PCS-0.00%</v>
      </c>
      <c r="Q5331" s="121">
        <v>45437.0</v>
      </c>
      <c r="R5331" s="58"/>
      <c r="S5331" s="121">
        <v>45442.0</v>
      </c>
      <c r="T5331" s="91"/>
      <c r="V5331" s="51" t="s">
        <v>4177</v>
      </c>
    </row>
    <row r="5332">
      <c r="A5332" s="117">
        <v>303.0</v>
      </c>
      <c r="B5332" s="51" t="s">
        <v>65</v>
      </c>
      <c r="C5332" s="51" t="s">
        <v>4239</v>
      </c>
      <c r="D5332" s="51" t="s">
        <v>4244</v>
      </c>
      <c r="E5332" s="41" t="str">
        <f>IFERROR(__xludf.DUMMYFUNCTION("IFNA(vlookup(D5332,IMPORTRANGE(""https://docs.google.com/spreadsheets/d/1swGwZOEqYlTEUCJLY-eeJM1911Kvaei5oySBIxdgtNo/edit?pli=1#gid=257618397"",""stock untanna!B:C""),2,false),V:V)"),"BINDER NOTE JHYB - 03303 B5")</f>
        <v>BINDER NOTE JHYB - 03303 B5</v>
      </c>
      <c r="F5332" s="49"/>
      <c r="G5332" s="71"/>
      <c r="H5332" s="41"/>
      <c r="I5332" s="42"/>
      <c r="J5332" s="85" t="s">
        <v>1319</v>
      </c>
      <c r="K5332" s="93">
        <v>6.0</v>
      </c>
      <c r="L5332" s="112" t="s">
        <v>69</v>
      </c>
      <c r="M5332" s="101">
        <v>35750.0</v>
      </c>
      <c r="N5332" s="74"/>
      <c r="O5332" s="87">
        <f t="shared" si="18"/>
        <v>214500</v>
      </c>
      <c r="P5332" s="102" t="str">
        <f t="shared" si="19"/>
        <v>Rp35,750-6 PCS-0.00%</v>
      </c>
      <c r="Q5332" s="121">
        <v>45437.0</v>
      </c>
      <c r="R5332" s="58"/>
      <c r="S5332" s="121">
        <v>45442.0</v>
      </c>
      <c r="T5332" s="91"/>
      <c r="V5332" s="51" t="s">
        <v>4245</v>
      </c>
    </row>
    <row r="5333">
      <c r="A5333" s="117">
        <v>303.0</v>
      </c>
      <c r="B5333" s="51" t="s">
        <v>65</v>
      </c>
      <c r="C5333" s="51" t="s">
        <v>4239</v>
      </c>
      <c r="D5333" s="51" t="s">
        <v>4162</v>
      </c>
      <c r="E5333" s="41" t="str">
        <f>IFERROR(__xludf.DUMMYFUNCTION("IFNA(vlookup(D5333,IMPORTRANGE(""https://docs.google.com/spreadsheets/d/1swGwZOEqYlTEUCJLY-eeJM1911Kvaei5oySBIxdgtNo/edit?pli=1#gid=257618397"",""stock untanna!B:C""),2,false),V:V)"),"BINDER NOTE JHYB - 03306 B5")</f>
        <v>BINDER NOTE JHYB - 03306 B5</v>
      </c>
      <c r="F5333" s="49"/>
      <c r="G5333" s="71"/>
      <c r="H5333" s="41"/>
      <c r="I5333" s="42"/>
      <c r="J5333" s="85" t="s">
        <v>1319</v>
      </c>
      <c r="K5333" s="93">
        <v>6.0</v>
      </c>
      <c r="L5333" s="112" t="s">
        <v>69</v>
      </c>
      <c r="M5333" s="101">
        <v>35750.0</v>
      </c>
      <c r="N5333" s="74"/>
      <c r="O5333" s="87">
        <f t="shared" si="18"/>
        <v>214500</v>
      </c>
      <c r="P5333" s="102" t="str">
        <f t="shared" si="19"/>
        <v>Rp35,750-6 PCS-0.00%</v>
      </c>
      <c r="Q5333" s="121">
        <v>45437.0</v>
      </c>
      <c r="R5333" s="58"/>
      <c r="S5333" s="121">
        <v>45442.0</v>
      </c>
      <c r="T5333" s="91"/>
      <c r="V5333" s="51" t="s">
        <v>4163</v>
      </c>
    </row>
    <row r="5334">
      <c r="A5334" s="117">
        <v>303.0</v>
      </c>
      <c r="B5334" s="51" t="s">
        <v>65</v>
      </c>
      <c r="C5334" s="51" t="s">
        <v>4239</v>
      </c>
      <c r="D5334" s="51" t="s">
        <v>4246</v>
      </c>
      <c r="E5334" s="41" t="str">
        <f>IFERROR(__xludf.DUMMYFUNCTION("IFNA(vlookup(D5334,IMPORTRANGE(""https://docs.google.com/spreadsheets/d/1swGwZOEqYlTEUCJLY-eeJM1911Kvaei5oySBIxdgtNo/edit?pli=1#gid=257618397"",""stock untanna!B:C""),2,false),V:V)"),"BINDER NOTE HYB - 15803 B5")</f>
        <v>BINDER NOTE HYB - 15803 B5</v>
      </c>
      <c r="F5334" s="49"/>
      <c r="G5334" s="71"/>
      <c r="H5334" s="41"/>
      <c r="I5334" s="42"/>
      <c r="J5334" s="85" t="s">
        <v>1319</v>
      </c>
      <c r="K5334" s="93">
        <v>6.0</v>
      </c>
      <c r="L5334" s="112" t="s">
        <v>69</v>
      </c>
      <c r="M5334" s="101">
        <v>35750.0</v>
      </c>
      <c r="N5334" s="74"/>
      <c r="O5334" s="87">
        <f t="shared" si="18"/>
        <v>214500</v>
      </c>
      <c r="P5334" s="102" t="str">
        <f t="shared" si="19"/>
        <v>Rp35,750-6 PCS-0.00%</v>
      </c>
      <c r="Q5334" s="121">
        <v>45437.0</v>
      </c>
      <c r="R5334" s="58"/>
      <c r="S5334" s="121">
        <v>45442.0</v>
      </c>
      <c r="T5334" s="91"/>
      <c r="V5334" s="51" t="s">
        <v>4247</v>
      </c>
    </row>
    <row r="5335">
      <c r="A5335" s="117">
        <v>303.0</v>
      </c>
      <c r="B5335" s="51" t="s">
        <v>65</v>
      </c>
      <c r="C5335" s="51" t="s">
        <v>4239</v>
      </c>
      <c r="D5335" s="51" t="s">
        <v>4185</v>
      </c>
      <c r="E5335" s="41" t="str">
        <f>IFERROR(__xludf.DUMMYFUNCTION("IFNA(vlookup(D5335,IMPORTRANGE(""https://docs.google.com/spreadsheets/d/1swGwZOEqYlTEUCJLY-eeJM1911Kvaei5oySBIxdgtNo/edit?pli=1#gid=257618397"",""stock untanna!B:C""),2,false),V:V)"),"EXPANDING FILE DKFQB-5901")</f>
        <v>EXPANDING FILE DKFQB-5901</v>
      </c>
      <c r="F5335" s="49"/>
      <c r="G5335" s="71"/>
      <c r="H5335" s="41"/>
      <c r="I5335" s="42"/>
      <c r="J5335" s="85" t="s">
        <v>1319</v>
      </c>
      <c r="K5335" s="93">
        <v>12.0</v>
      </c>
      <c r="L5335" s="112" t="s">
        <v>69</v>
      </c>
      <c r="M5335" s="101">
        <v>27500.0</v>
      </c>
      <c r="N5335" s="74"/>
      <c r="O5335" s="87">
        <f t="shared" si="18"/>
        <v>330000</v>
      </c>
      <c r="P5335" s="102" t="str">
        <f t="shared" si="19"/>
        <v>Rp27,500-12 PCS-0.00%</v>
      </c>
      <c r="Q5335" s="121">
        <v>45437.0</v>
      </c>
      <c r="R5335" s="58"/>
      <c r="S5335" s="121">
        <v>45442.0</v>
      </c>
      <c r="T5335" s="91"/>
      <c r="V5335" s="51" t="s">
        <v>3993</v>
      </c>
    </row>
    <row r="5336">
      <c r="A5336" s="117">
        <v>303.0</v>
      </c>
      <c r="B5336" s="51" t="s">
        <v>65</v>
      </c>
      <c r="C5336" s="51" t="s">
        <v>4239</v>
      </c>
      <c r="D5336" s="51" t="s">
        <v>4183</v>
      </c>
      <c r="E5336" s="41" t="str">
        <f>IFERROR(__xludf.DUMMYFUNCTION("IFNA(vlookup(D5336,IMPORTRANGE(""https://docs.google.com/spreadsheets/d/1swGwZOEqYlTEUCJLY-eeJM1911Kvaei5oySBIxdgtNo/edit?pli=1#gid=257618397"",""stock untanna!B:C""),2,false),V:V)"),"EXPANDING FILE 8LFQB - 55333 + GANTUNGAN")</f>
        <v>EXPANDING FILE 8LFQB - 55333 + GANTUNGAN</v>
      </c>
      <c r="F5336" s="49"/>
      <c r="G5336" s="71"/>
      <c r="H5336" s="41"/>
      <c r="I5336" s="42"/>
      <c r="J5336" s="85" t="s">
        <v>1319</v>
      </c>
      <c r="K5336" s="93">
        <v>3.0</v>
      </c>
      <c r="L5336" s="112" t="s">
        <v>69</v>
      </c>
      <c r="M5336" s="101">
        <v>32083.3</v>
      </c>
      <c r="N5336" s="74"/>
      <c r="O5336" s="87">
        <f t="shared" si="18"/>
        <v>96249.9</v>
      </c>
      <c r="P5336" s="102" t="str">
        <f t="shared" si="19"/>
        <v>Rp32,083-3 PCS-0.00%</v>
      </c>
      <c r="Q5336" s="121">
        <v>45437.0</v>
      </c>
      <c r="R5336" s="58"/>
      <c r="S5336" s="121">
        <v>45442.0</v>
      </c>
      <c r="T5336" s="91"/>
      <c r="V5336" s="51" t="s">
        <v>4184</v>
      </c>
    </row>
    <row r="5337">
      <c r="A5337" s="117">
        <v>303.0</v>
      </c>
      <c r="B5337" s="51" t="s">
        <v>65</v>
      </c>
      <c r="C5337" s="51" t="s">
        <v>4239</v>
      </c>
      <c r="D5337" s="51" t="s">
        <v>4248</v>
      </c>
      <c r="E5337" s="41" t="str">
        <f>IFERROR(__xludf.DUMMYFUNCTION("IFNA(vlookup(D5337,IMPORTRANGE(""https://docs.google.com/spreadsheets/d/1swGwZOEqYlTEUCJLY-eeJM1911Kvaei5oySBIxdgtNo/edit?pli=1#gid=257618397"",""stock untanna!B:C""),2,false),V:V)"),"EXPANDING FILE FQB-38710")</f>
        <v>EXPANDING FILE FQB-38710</v>
      </c>
      <c r="F5337" s="49"/>
      <c r="G5337" s="71"/>
      <c r="H5337" s="41"/>
      <c r="I5337" s="42"/>
      <c r="J5337" s="85" t="s">
        <v>1319</v>
      </c>
      <c r="K5337" s="93">
        <v>3.0</v>
      </c>
      <c r="L5337" s="112" t="s">
        <v>69</v>
      </c>
      <c r="M5337" s="101">
        <v>45833.3</v>
      </c>
      <c r="N5337" s="74"/>
      <c r="O5337" s="87">
        <f t="shared" si="18"/>
        <v>137499.9</v>
      </c>
      <c r="P5337" s="102" t="str">
        <f t="shared" si="19"/>
        <v>Rp45,833-3 PCS-0.00%</v>
      </c>
      <c r="Q5337" s="121">
        <v>45437.0</v>
      </c>
      <c r="R5337" s="58"/>
      <c r="S5337" s="121">
        <v>45442.0</v>
      </c>
      <c r="T5337" s="91"/>
      <c r="V5337" s="51" t="s">
        <v>3996</v>
      </c>
    </row>
    <row r="5338">
      <c r="A5338" s="117">
        <v>303.0</v>
      </c>
      <c r="B5338" s="51" t="s">
        <v>65</v>
      </c>
      <c r="C5338" s="51" t="s">
        <v>4239</v>
      </c>
      <c r="D5338" s="51" t="s">
        <v>4186</v>
      </c>
      <c r="E5338" s="41" t="str">
        <f>IFERROR(__xludf.DUMMYFUNCTION("IFNA(vlookup(D5338,IMPORTRANGE(""https://docs.google.com/spreadsheets/d/1swGwZOEqYlTEUCJLY-eeJM1911Kvaei5oySBIxdgtNo/edit?pli=1#gid=257618397"",""stock untanna!B:C""),2,false),V:V)"),"EXPANDING FILE FQB-95308")</f>
        <v>EXPANDING FILE FQB-95308</v>
      </c>
      <c r="F5338" s="49"/>
      <c r="G5338" s="71"/>
      <c r="H5338" s="41"/>
      <c r="I5338" s="42"/>
      <c r="J5338" s="85" t="s">
        <v>1319</v>
      </c>
      <c r="K5338" s="93">
        <v>3.0</v>
      </c>
      <c r="L5338" s="112" t="s">
        <v>69</v>
      </c>
      <c r="M5338" s="101">
        <v>45833.3</v>
      </c>
      <c r="N5338" s="74"/>
      <c r="O5338" s="87">
        <f t="shared" si="18"/>
        <v>137499.9</v>
      </c>
      <c r="P5338" s="102" t="str">
        <f t="shared" si="19"/>
        <v>Rp45,833-3 PCS-0.00%</v>
      </c>
      <c r="Q5338" s="121">
        <v>45437.0</v>
      </c>
      <c r="R5338" s="58"/>
      <c r="S5338" s="121">
        <v>45442.0</v>
      </c>
      <c r="T5338" s="91"/>
      <c r="V5338" s="51" t="s">
        <v>3994</v>
      </c>
    </row>
    <row r="5339">
      <c r="A5339" s="117">
        <v>303.0</v>
      </c>
      <c r="B5339" s="51" t="s">
        <v>65</v>
      </c>
      <c r="C5339" s="51" t="s">
        <v>4239</v>
      </c>
      <c r="D5339" s="51" t="s">
        <v>4249</v>
      </c>
      <c r="E5339" s="41" t="str">
        <f>IFERROR(__xludf.DUMMYFUNCTION("IFNA(vlookup(D5339,IMPORTRANGE(""https://docs.google.com/spreadsheets/d/1swGwZOEqYlTEUCJLY-eeJM1911Kvaei5oySBIxdgtNo/edit?pli=1#gid=257618397"",""stock untanna!B:C""),2,false),V:V)"),"EXPANDING FILE FQB-95309")</f>
        <v>EXPANDING FILE FQB-95309</v>
      </c>
      <c r="F5339" s="49"/>
      <c r="G5339" s="71"/>
      <c r="H5339" s="41"/>
      <c r="I5339" s="42"/>
      <c r="J5339" s="85" t="s">
        <v>1319</v>
      </c>
      <c r="K5339" s="93">
        <v>3.0</v>
      </c>
      <c r="L5339" s="112" t="s">
        <v>69</v>
      </c>
      <c r="M5339" s="101">
        <v>45833.3</v>
      </c>
      <c r="N5339" s="74"/>
      <c r="O5339" s="87">
        <f t="shared" si="18"/>
        <v>137499.9</v>
      </c>
      <c r="P5339" s="102" t="str">
        <f t="shared" si="19"/>
        <v>Rp45,833-3 PCS-0.00%</v>
      </c>
      <c r="Q5339" s="121">
        <v>45437.0</v>
      </c>
      <c r="R5339" s="58"/>
      <c r="S5339" s="121">
        <v>45442.0</v>
      </c>
      <c r="T5339" s="91"/>
      <c r="V5339" s="51" t="s">
        <v>3997</v>
      </c>
    </row>
    <row r="5340">
      <c r="A5340" s="117">
        <v>303.0</v>
      </c>
      <c r="B5340" s="51" t="s">
        <v>65</v>
      </c>
      <c r="C5340" s="51" t="s">
        <v>4239</v>
      </c>
      <c r="D5340" s="51" t="s">
        <v>93</v>
      </c>
      <c r="E5340" s="41" t="str">
        <f>IFERROR(__xludf.DUMMYFUNCTION("IFNA(vlookup(D5340,IMPORTRANGE(""https://docs.google.com/spreadsheets/d/1swGwZOEqYlTEUCJLY-eeJM1911Kvaei5oySBIxdgtNo/edit?pli=1#gid=257618397"",""stock untanna!B:C""),2,false),V:V)"),"CLIPBOARD SQ KAYU KOTAK")</f>
        <v>CLIPBOARD SQ KAYU KOTAK</v>
      </c>
      <c r="F5340" s="49"/>
      <c r="G5340" s="71"/>
      <c r="H5340" s="41"/>
      <c r="I5340" s="42"/>
      <c r="J5340" s="85" t="s">
        <v>1319</v>
      </c>
      <c r="K5340" s="93">
        <v>2.0</v>
      </c>
      <c r="L5340" s="112" t="s">
        <v>62</v>
      </c>
      <c r="M5340" s="101">
        <v>50000.0</v>
      </c>
      <c r="N5340" s="74"/>
      <c r="O5340" s="87">
        <f t="shared" si="18"/>
        <v>100000</v>
      </c>
      <c r="P5340" s="102" t="str">
        <f t="shared" si="19"/>
        <v>Rp50,000-2 LSN-0.00%</v>
      </c>
      <c r="Q5340" s="121">
        <v>45437.0</v>
      </c>
      <c r="R5340" s="58"/>
      <c r="S5340" s="121">
        <v>45442.0</v>
      </c>
      <c r="T5340" s="91"/>
      <c r="V5340" s="51" t="s">
        <v>94</v>
      </c>
    </row>
    <row r="5341">
      <c r="A5341" s="117">
        <v>303.0</v>
      </c>
      <c r="B5341" s="51" t="s">
        <v>65</v>
      </c>
      <c r="C5341" s="51" t="s">
        <v>4239</v>
      </c>
      <c r="D5341" s="51" t="s">
        <v>4250</v>
      </c>
      <c r="E5341" s="41" t="str">
        <f>IFERROR(__xludf.DUMMYFUNCTION("IFNA(vlookup(D5341,IMPORTRANGE(""https://docs.google.com/spreadsheets/d/1swGwZOEqYlTEUCJLY-eeJM1911Kvaei5oySBIxdgtNo/edit?pli=1#gid=257618397"",""stock untanna!B:C""),2,false),V:V)"),"NOTEBOOK SPIRAL JF-39A 001-003")</f>
        <v>NOTEBOOK SPIRAL JF-39A 001-003</v>
      </c>
      <c r="F5341" s="49"/>
      <c r="G5341" s="71"/>
      <c r="H5341" s="41"/>
      <c r="I5341" s="42"/>
      <c r="J5341" s="85" t="s">
        <v>1319</v>
      </c>
      <c r="K5341" s="93">
        <v>12.0</v>
      </c>
      <c r="L5341" s="112" t="s">
        <v>69</v>
      </c>
      <c r="M5341" s="101">
        <v>13750.0</v>
      </c>
      <c r="N5341" s="74"/>
      <c r="O5341" s="87">
        <f t="shared" si="18"/>
        <v>165000</v>
      </c>
      <c r="P5341" s="102" t="str">
        <f t="shared" si="19"/>
        <v>Rp13,750-12 PCS-0.00%</v>
      </c>
      <c r="Q5341" s="121">
        <v>45437.0</v>
      </c>
      <c r="R5341" s="58"/>
      <c r="S5341" s="121">
        <v>45442.0</v>
      </c>
      <c r="T5341" s="91"/>
      <c r="V5341" s="51" t="s">
        <v>4251</v>
      </c>
    </row>
    <row r="5342">
      <c r="A5342" s="117">
        <v>303.0</v>
      </c>
      <c r="B5342" s="51" t="s">
        <v>65</v>
      </c>
      <c r="C5342" s="51" t="s">
        <v>4239</v>
      </c>
      <c r="D5342" s="56"/>
      <c r="E5342" s="41" t="str">
        <f>IFERROR(__xludf.DUMMYFUNCTION("IFNA(vlookup(D5342,IMPORTRANGE(""https://docs.google.com/spreadsheets/d/1swGwZOEqYlTEUCJLY-eeJM1911Kvaei5oySBIxdgtNo/edit?pli=1#gid=257618397"",""stock untanna!B:C""),2,false),V:V)"),"PALET PLT 009")</f>
        <v>PALET PLT 009</v>
      </c>
      <c r="F5342" s="49"/>
      <c r="G5342" s="71"/>
      <c r="H5342" s="41"/>
      <c r="I5342" s="42"/>
      <c r="J5342" s="85" t="s">
        <v>3190</v>
      </c>
      <c r="K5342" s="93">
        <v>1.0</v>
      </c>
      <c r="L5342" s="112" t="s">
        <v>62</v>
      </c>
      <c r="M5342" s="101">
        <v>60000.0</v>
      </c>
      <c r="N5342" s="74"/>
      <c r="O5342" s="87">
        <f t="shared" si="18"/>
        <v>60000</v>
      </c>
      <c r="P5342" s="102" t="str">
        <f t="shared" si="19"/>
        <v>Rp60,000-1 LSN-0.00%</v>
      </c>
      <c r="Q5342" s="121">
        <v>45437.0</v>
      </c>
      <c r="R5342" s="58"/>
      <c r="S5342" s="121">
        <v>45442.0</v>
      </c>
      <c r="T5342" s="91"/>
      <c r="V5342" s="51" t="s">
        <v>4252</v>
      </c>
    </row>
    <row r="5343">
      <c r="A5343" s="117">
        <v>303.0</v>
      </c>
      <c r="B5343" s="51" t="s">
        <v>65</v>
      </c>
      <c r="C5343" s="51" t="s">
        <v>4239</v>
      </c>
      <c r="D5343" s="51" t="s">
        <v>541</v>
      </c>
      <c r="E5343" s="41" t="str">
        <f>IFERROR(__xludf.DUMMYFUNCTION("IFNA(vlookup(D5343,IMPORTRANGE(""https://docs.google.com/spreadsheets/d/1swGwZOEqYlTEUCJLY-eeJM1911Kvaei5oySBIxdgtNo/edit?pli=1#gid=257618397"",""stock untanna!B:C""),2,false),V:V)"),"PALET CAT AIR SAKURA TRANS")</f>
        <v>PALET CAT AIR SAKURA TRANS</v>
      </c>
      <c r="F5343" s="49"/>
      <c r="G5343" s="71"/>
      <c r="H5343" s="41"/>
      <c r="I5343" s="42"/>
      <c r="J5343" s="85" t="s">
        <v>1319</v>
      </c>
      <c r="K5343" s="93">
        <v>1.0</v>
      </c>
      <c r="L5343" s="112" t="s">
        <v>62</v>
      </c>
      <c r="M5343" s="101">
        <v>11500.0</v>
      </c>
      <c r="N5343" s="74"/>
      <c r="O5343" s="87">
        <f t="shared" si="18"/>
        <v>11500</v>
      </c>
      <c r="P5343" s="102" t="str">
        <f t="shared" si="19"/>
        <v>Rp11,500-1 LSN-0.00%</v>
      </c>
      <c r="Q5343" s="121">
        <v>45437.0</v>
      </c>
      <c r="R5343" s="58"/>
      <c r="S5343" s="121">
        <v>45442.0</v>
      </c>
      <c r="T5343" s="91"/>
      <c r="V5343" s="51" t="s">
        <v>542</v>
      </c>
    </row>
    <row r="5344">
      <c r="A5344" s="117">
        <v>303.0</v>
      </c>
      <c r="B5344" s="51" t="s">
        <v>65</v>
      </c>
      <c r="C5344" s="51" t="s">
        <v>4239</v>
      </c>
      <c r="D5344" s="51" t="s">
        <v>2073</v>
      </c>
      <c r="E5344" s="41" t="str">
        <f>IFERROR(__xludf.DUMMYFUNCTION("IFNA(vlookup(D5344,IMPORTRANGE(""https://docs.google.com/spreadsheets/d/1swGwZOEqYlTEUCJLY-eeJM1911Kvaei5oySBIxdgtNo/edit?pli=1#gid=257618397"",""stock untanna!B:C""),2,false),V:V)"),"PALET CAT AIR SAKURA BIASA DOF")</f>
        <v>PALET CAT AIR SAKURA BIASA DOF</v>
      </c>
      <c r="F5344" s="49"/>
      <c r="G5344" s="71"/>
      <c r="H5344" s="41"/>
      <c r="I5344" s="42"/>
      <c r="J5344" s="85" t="s">
        <v>1319</v>
      </c>
      <c r="K5344" s="93">
        <v>1.0</v>
      </c>
      <c r="L5344" s="112" t="s">
        <v>62</v>
      </c>
      <c r="M5344" s="101">
        <v>18000.0</v>
      </c>
      <c r="N5344" s="74"/>
      <c r="O5344" s="87">
        <f t="shared" si="18"/>
        <v>18000</v>
      </c>
      <c r="P5344" s="102" t="str">
        <f t="shared" si="19"/>
        <v>Rp18,000-1 LSN-0.00%</v>
      </c>
      <c r="Q5344" s="121">
        <v>45437.0</v>
      </c>
      <c r="R5344" s="58"/>
      <c r="S5344" s="121">
        <v>45442.0</v>
      </c>
      <c r="T5344" s="91"/>
      <c r="V5344" s="51" t="s">
        <v>2074</v>
      </c>
    </row>
    <row r="5345">
      <c r="A5345" s="117">
        <v>303.0</v>
      </c>
      <c r="B5345" s="51" t="s">
        <v>65</v>
      </c>
      <c r="C5345" s="51" t="s">
        <v>4239</v>
      </c>
      <c r="D5345" s="51" t="s">
        <v>1450</v>
      </c>
      <c r="E5345" s="41" t="str">
        <f>IFERROR(__xludf.DUMMYFUNCTION("IFNA(vlookup(D5345,IMPORTRANGE(""https://docs.google.com/spreadsheets/d/1swGwZOEqYlTEUCJLY-eeJM1911Kvaei5oySBIxdgtNo/edit?pli=1#gid=257618397"",""stock untanna!B:C""),2,false),V:V)"),"PALET APEL")</f>
        <v>PALET APEL</v>
      </c>
      <c r="F5345" s="49"/>
      <c r="G5345" s="71"/>
      <c r="H5345" s="41"/>
      <c r="I5345" s="42"/>
      <c r="J5345" s="85" t="s">
        <v>1319</v>
      </c>
      <c r="K5345" s="93">
        <v>1.0</v>
      </c>
      <c r="L5345" s="112" t="s">
        <v>62</v>
      </c>
      <c r="M5345" s="101">
        <v>14000.0</v>
      </c>
      <c r="N5345" s="74"/>
      <c r="O5345" s="87">
        <f t="shared" si="18"/>
        <v>14000</v>
      </c>
      <c r="P5345" s="102" t="str">
        <f t="shared" si="19"/>
        <v>Rp14,000-1 LSN-0.00%</v>
      </c>
      <c r="Q5345" s="121">
        <v>45437.0</v>
      </c>
      <c r="R5345" s="58"/>
      <c r="S5345" s="121">
        <v>45442.0</v>
      </c>
      <c r="T5345" s="91"/>
      <c r="V5345" s="51" t="s">
        <v>1451</v>
      </c>
    </row>
    <row r="5346">
      <c r="A5346" s="117">
        <v>303.0</v>
      </c>
      <c r="B5346" s="51" t="s">
        <v>65</v>
      </c>
      <c r="C5346" s="51" t="s">
        <v>4239</v>
      </c>
      <c r="D5346" s="51" t="s">
        <v>1448</v>
      </c>
      <c r="E5346" s="41" t="str">
        <f>IFERROR(__xludf.DUMMYFUNCTION("IFNA(vlookup(D5346,IMPORTRANGE(""https://docs.google.com/spreadsheets/d/1swGwZOEqYlTEUCJLY-eeJM1911Kvaei5oySBIxdgtNo/edit?pli=1#gid=257618397"",""stock untanna!B:C""),2,false),V:V)"),"PALET ANGGUR")</f>
        <v>PALET ANGGUR</v>
      </c>
      <c r="F5346" s="49"/>
      <c r="G5346" s="71"/>
      <c r="H5346" s="41"/>
      <c r="I5346" s="42"/>
      <c r="J5346" s="85" t="s">
        <v>1319</v>
      </c>
      <c r="K5346" s="93">
        <v>1.0</v>
      </c>
      <c r="L5346" s="112" t="s">
        <v>62</v>
      </c>
      <c r="M5346" s="101">
        <v>14000.0</v>
      </c>
      <c r="N5346" s="74"/>
      <c r="O5346" s="87">
        <f t="shared" si="18"/>
        <v>14000</v>
      </c>
      <c r="P5346" s="102" t="str">
        <f t="shared" si="19"/>
        <v>Rp14,000-1 LSN-0.00%</v>
      </c>
      <c r="Q5346" s="121">
        <v>45437.0</v>
      </c>
      <c r="R5346" s="58"/>
      <c r="S5346" s="121">
        <v>45442.0</v>
      </c>
      <c r="T5346" s="91"/>
      <c r="V5346" s="51" t="s">
        <v>1449</v>
      </c>
    </row>
    <row r="5347">
      <c r="A5347" s="117">
        <v>303.0</v>
      </c>
      <c r="B5347" s="51" t="s">
        <v>65</v>
      </c>
      <c r="C5347" s="51" t="s">
        <v>4239</v>
      </c>
      <c r="D5347" s="51" t="s">
        <v>547</v>
      </c>
      <c r="E5347" s="41" t="str">
        <f>IFERROR(__xludf.DUMMYFUNCTION("IFNA(vlookup(D5347,IMPORTRANGE(""https://docs.google.com/spreadsheets/d/1swGwZOEqYlTEUCJLY-eeJM1911Kvaei5oySBIxdgtNo/edit?pli=1#gid=257618397"",""stock untanna!B:C""),2,false),V:V)"),"PALET 21839-12")</f>
        <v>PALET 21839-12</v>
      </c>
      <c r="F5347" s="49"/>
      <c r="G5347" s="71"/>
      <c r="H5347" s="41"/>
      <c r="I5347" s="42"/>
      <c r="J5347" s="85" t="s">
        <v>1319</v>
      </c>
      <c r="K5347" s="93">
        <v>12.0</v>
      </c>
      <c r="L5347" s="112" t="s">
        <v>69</v>
      </c>
      <c r="M5347" s="101">
        <v>2500.0</v>
      </c>
      <c r="N5347" s="74"/>
      <c r="O5347" s="87">
        <f t="shared" si="18"/>
        <v>30000</v>
      </c>
      <c r="P5347" s="102" t="str">
        <f t="shared" si="19"/>
        <v>Rp2,500-12 PCS-0.00%</v>
      </c>
      <c r="Q5347" s="121">
        <v>45437.0</v>
      </c>
      <c r="R5347" s="58"/>
      <c r="S5347" s="121">
        <v>45442.0</v>
      </c>
      <c r="T5347" s="91"/>
      <c r="V5347" s="51" t="s">
        <v>548</v>
      </c>
    </row>
    <row r="5348">
      <c r="A5348" s="117">
        <v>304.0</v>
      </c>
      <c r="B5348" s="51" t="s">
        <v>65</v>
      </c>
      <c r="C5348" s="51" t="s">
        <v>4239</v>
      </c>
      <c r="D5348" s="51" t="s">
        <v>4253</v>
      </c>
      <c r="E5348" s="41" t="str">
        <f>IFERROR(__xludf.DUMMYFUNCTION("IFNA(vlookup(D5348,IMPORTRANGE(""https://docs.google.com/spreadsheets/d/1swGwZOEqYlTEUCJLY-eeJM1911Kvaei5oySBIxdgtNo/edit?pli=1#gid=257618397"",""stock untanna!B:C""),2,false),V:V)"),"PALET KUMBANG 1011")</f>
        <v>PALET KUMBANG 1011</v>
      </c>
      <c r="F5348" s="49"/>
      <c r="G5348" s="71"/>
      <c r="H5348" s="41"/>
      <c r="I5348" s="42"/>
      <c r="J5348" s="85" t="s">
        <v>1319</v>
      </c>
      <c r="K5348" s="93">
        <v>1.0</v>
      </c>
      <c r="L5348" s="112" t="s">
        <v>62</v>
      </c>
      <c r="M5348" s="101">
        <v>43000.0</v>
      </c>
      <c r="N5348" s="74"/>
      <c r="O5348" s="87">
        <f t="shared" si="18"/>
        <v>43000</v>
      </c>
      <c r="P5348" s="102" t="str">
        <f t="shared" si="19"/>
        <v>Rp43,000-1 LSN-0.00%</v>
      </c>
      <c r="Q5348" s="121">
        <v>45437.0</v>
      </c>
      <c r="R5348" s="58"/>
      <c r="S5348" s="121">
        <v>45442.0</v>
      </c>
      <c r="T5348" s="91"/>
      <c r="V5348" s="51" t="s">
        <v>4254</v>
      </c>
    </row>
    <row r="5349">
      <c r="A5349" s="117">
        <v>304.0</v>
      </c>
      <c r="B5349" s="51" t="s">
        <v>65</v>
      </c>
      <c r="C5349" s="51" t="s">
        <v>4239</v>
      </c>
      <c r="D5349" s="51" t="s">
        <v>4255</v>
      </c>
      <c r="E5349" s="41" t="str">
        <f>IFERROR(__xludf.DUMMYFUNCTION("IFNA(vlookup(D5349,IMPORTRANGE(""https://docs.google.com/spreadsheets/d/1swGwZOEqYlTEUCJLY-eeJM1911Kvaei5oySBIxdgtNo/edit?pli=1#gid=257618397"",""stock untanna!B:C""),2,false),V:V)"),"PITA KAIN GOLD 1CM-19/ GOLD GLITTER")</f>
        <v>PITA KAIN GOLD 1CM-19/ GOLD GLITTER</v>
      </c>
      <c r="F5349" s="49"/>
      <c r="G5349" s="71"/>
      <c r="H5349" s="41"/>
      <c r="I5349" s="42"/>
      <c r="J5349" s="85" t="s">
        <v>1319</v>
      </c>
      <c r="K5349" s="93">
        <v>1.0</v>
      </c>
      <c r="L5349" s="112" t="s">
        <v>1726</v>
      </c>
      <c r="M5349" s="101">
        <v>35000.0</v>
      </c>
      <c r="N5349" s="74"/>
      <c r="O5349" s="87">
        <f t="shared" si="18"/>
        <v>35000</v>
      </c>
      <c r="P5349" s="102" t="str">
        <f t="shared" si="19"/>
        <v>Rp35,000-1 SLOP-0.00%</v>
      </c>
      <c r="Q5349" s="121">
        <v>45437.0</v>
      </c>
      <c r="R5349" s="58"/>
      <c r="S5349" s="121">
        <v>45442.0</v>
      </c>
      <c r="T5349" s="77" t="s">
        <v>100</v>
      </c>
      <c r="V5349" s="51" t="s">
        <v>4256</v>
      </c>
    </row>
    <row r="5350">
      <c r="A5350" s="117">
        <v>304.0</v>
      </c>
      <c r="B5350" s="51" t="s">
        <v>65</v>
      </c>
      <c r="C5350" s="51" t="s">
        <v>4239</v>
      </c>
      <c r="D5350" s="51" t="s">
        <v>4257</v>
      </c>
      <c r="E5350" s="41" t="str">
        <f>IFERROR(__xludf.DUMMYFUNCTION("IFNA(vlookup(D5350,IMPORTRANGE(""https://docs.google.com/spreadsheets/d/1swGwZOEqYlTEUCJLY-eeJM1911Kvaei5oySBIxdgtNo/edit?pli=1#gid=257618397"",""stock untanna!B:C""),2,false),V:V)"),"PITA KAIN SILVER 1CM-19/ SILVER GLITTER")</f>
        <v>PITA KAIN SILVER 1CM-19/ SILVER GLITTER</v>
      </c>
      <c r="F5350" s="49"/>
      <c r="G5350" s="71"/>
      <c r="H5350" s="41"/>
      <c r="I5350" s="42"/>
      <c r="J5350" s="85" t="s">
        <v>1319</v>
      </c>
      <c r="K5350" s="93">
        <v>1.0</v>
      </c>
      <c r="L5350" s="112" t="s">
        <v>1726</v>
      </c>
      <c r="M5350" s="101">
        <v>35000.0</v>
      </c>
      <c r="N5350" s="74"/>
      <c r="O5350" s="87">
        <f t="shared" si="18"/>
        <v>35000</v>
      </c>
      <c r="P5350" s="102" t="str">
        <f t="shared" si="19"/>
        <v>Rp35,000-1 SLOP-0.00%</v>
      </c>
      <c r="Q5350" s="121">
        <v>45437.0</v>
      </c>
      <c r="R5350" s="58"/>
      <c r="S5350" s="121">
        <v>45442.0</v>
      </c>
      <c r="T5350" s="77" t="s">
        <v>100</v>
      </c>
      <c r="V5350" s="51" t="s">
        <v>4258</v>
      </c>
    </row>
    <row r="5351">
      <c r="A5351" s="117">
        <v>304.0</v>
      </c>
      <c r="B5351" s="51" t="s">
        <v>65</v>
      </c>
      <c r="C5351" s="51" t="s">
        <v>4239</v>
      </c>
      <c r="D5351" s="51" t="s">
        <v>519</v>
      </c>
      <c r="E5351" s="41" t="str">
        <f>IFERROR(__xludf.DUMMYFUNCTION("IFNA(vlookup(D5351,IMPORTRANGE(""https://docs.google.com/spreadsheets/d/1swGwZOEqYlTEUCJLY-eeJM1911Kvaei5oySBIxdgtNo/edit?pli=1#gid=257618397"",""stock untanna!B:C""),2,false),V:V)"),"ASAHAN PAYU 856 ANJING")</f>
        <v>ASAHAN PAYU 856 ANJING</v>
      </c>
      <c r="F5351" s="49"/>
      <c r="G5351" s="71"/>
      <c r="H5351" s="41"/>
      <c r="I5351" s="42"/>
      <c r="J5351" s="85" t="s">
        <v>1319</v>
      </c>
      <c r="K5351" s="93">
        <v>1.0</v>
      </c>
      <c r="L5351" s="112" t="s">
        <v>88</v>
      </c>
      <c r="M5351" s="101">
        <v>17000.0</v>
      </c>
      <c r="N5351" s="74"/>
      <c r="O5351" s="87">
        <f t="shared" si="18"/>
        <v>17000</v>
      </c>
      <c r="P5351" s="102" t="str">
        <f t="shared" si="19"/>
        <v>Rp17,000-1 BOX-0.00%</v>
      </c>
      <c r="Q5351" s="121">
        <v>45437.0</v>
      </c>
      <c r="R5351" s="58"/>
      <c r="S5351" s="121">
        <v>45442.0</v>
      </c>
      <c r="T5351" s="91"/>
      <c r="V5351" s="51" t="s">
        <v>520</v>
      </c>
    </row>
    <row r="5352">
      <c r="A5352" s="117">
        <v>304.0</v>
      </c>
      <c r="B5352" s="51" t="s">
        <v>65</v>
      </c>
      <c r="C5352" s="51" t="s">
        <v>4239</v>
      </c>
      <c r="D5352" s="51" t="s">
        <v>524</v>
      </c>
      <c r="E5352" s="41" t="str">
        <f>IFERROR(__xludf.DUMMYFUNCTION("IFNA(vlookup(D5352,IMPORTRANGE(""https://docs.google.com/spreadsheets/d/1swGwZOEqYlTEUCJLY-eeJM1911Kvaei5oySBIxdgtNo/edit?pli=1#gid=257618397"",""stock untanna!B:C""),2,false),V:V)"),"ASAHAN PAYU 823 AYAM")</f>
        <v>ASAHAN PAYU 823 AYAM</v>
      </c>
      <c r="F5352" s="49"/>
      <c r="G5352" s="71"/>
      <c r="H5352" s="41"/>
      <c r="I5352" s="42"/>
      <c r="J5352" s="85" t="s">
        <v>1319</v>
      </c>
      <c r="K5352" s="93">
        <v>1.0</v>
      </c>
      <c r="L5352" s="112" t="s">
        <v>88</v>
      </c>
      <c r="M5352" s="101">
        <v>17000.0</v>
      </c>
      <c r="N5352" s="74"/>
      <c r="O5352" s="87">
        <f t="shared" si="18"/>
        <v>17000</v>
      </c>
      <c r="P5352" s="102" t="str">
        <f t="shared" si="19"/>
        <v>Rp17,000-1 BOX-0.00%</v>
      </c>
      <c r="Q5352" s="121">
        <v>45437.0</v>
      </c>
      <c r="R5352" s="58"/>
      <c r="S5352" s="121">
        <v>45442.0</v>
      </c>
      <c r="T5352" s="91"/>
      <c r="V5352" s="51" t="s">
        <v>525</v>
      </c>
    </row>
    <row r="5353">
      <c r="A5353" s="117">
        <v>304.0</v>
      </c>
      <c r="B5353" s="51" t="s">
        <v>65</v>
      </c>
      <c r="C5353" s="51" t="s">
        <v>4239</v>
      </c>
      <c r="D5353" s="51" t="s">
        <v>4259</v>
      </c>
      <c r="E5353" s="41" t="str">
        <f>IFERROR(__xludf.DUMMYFUNCTION("IFNA(vlookup(D5353,IMPORTRANGE(""https://docs.google.com/spreadsheets/d/1swGwZOEqYlTEUCJLY-eeJM1911Kvaei5oySBIxdgtNo/edit?pli=1#gid=257618397"",""stock untanna!B:C""),2,false),V:V)"),"ASAHAN PAYU 847 KURA-KURA")</f>
        <v>ASAHAN PAYU 847 KURA-KURA</v>
      </c>
      <c r="F5353" s="49"/>
      <c r="G5353" s="71"/>
      <c r="H5353" s="41"/>
      <c r="I5353" s="42"/>
      <c r="J5353" s="85" t="s">
        <v>1319</v>
      </c>
      <c r="K5353" s="93">
        <v>1.0</v>
      </c>
      <c r="L5353" s="112" t="s">
        <v>88</v>
      </c>
      <c r="M5353" s="101">
        <v>17000.0</v>
      </c>
      <c r="N5353" s="74"/>
      <c r="O5353" s="87">
        <f t="shared" si="18"/>
        <v>17000</v>
      </c>
      <c r="P5353" s="102" t="str">
        <f t="shared" si="19"/>
        <v>Rp17,000-1 BOX-0.00%</v>
      </c>
      <c r="Q5353" s="121">
        <v>45437.0</v>
      </c>
      <c r="R5353" s="58"/>
      <c r="S5353" s="121">
        <v>45442.0</v>
      </c>
      <c r="T5353" s="91"/>
      <c r="V5353" s="51" t="s">
        <v>4260</v>
      </c>
    </row>
    <row r="5354">
      <c r="A5354" s="117">
        <v>304.0</v>
      </c>
      <c r="B5354" s="51" t="s">
        <v>65</v>
      </c>
      <c r="C5354" s="51" t="s">
        <v>4239</v>
      </c>
      <c r="D5354" s="51" t="s">
        <v>1118</v>
      </c>
      <c r="E5354" s="41" t="str">
        <f>IFERROR(__xludf.DUMMYFUNCTION("IFNA(vlookup(D5354,IMPORTRANGE(""https://docs.google.com/spreadsheets/d/1swGwZOEqYlTEUCJLY-eeJM1911Kvaei5oySBIxdgtNo/edit?pli=1#gid=257618397"",""stock untanna!B:C""),2,false),V:V)"),"ASAHAN PAYU 827 ANGSA")</f>
        <v>ASAHAN PAYU 827 ANGSA</v>
      </c>
      <c r="F5354" s="49"/>
      <c r="G5354" s="71"/>
      <c r="H5354" s="41"/>
      <c r="I5354" s="42"/>
      <c r="J5354" s="85" t="s">
        <v>1319</v>
      </c>
      <c r="K5354" s="93">
        <v>1.0</v>
      </c>
      <c r="L5354" s="112" t="s">
        <v>88</v>
      </c>
      <c r="M5354" s="101">
        <v>17000.0</v>
      </c>
      <c r="N5354" s="74"/>
      <c r="O5354" s="87">
        <f t="shared" si="18"/>
        <v>17000</v>
      </c>
      <c r="P5354" s="102" t="str">
        <f t="shared" si="19"/>
        <v>Rp17,000-1 BOX-0.00%</v>
      </c>
      <c r="Q5354" s="121">
        <v>45437.0</v>
      </c>
      <c r="R5354" s="58"/>
      <c r="S5354" s="121">
        <v>45442.0</v>
      </c>
      <c r="T5354" s="91"/>
      <c r="V5354" s="51" t="s">
        <v>1119</v>
      </c>
    </row>
    <row r="5355">
      <c r="A5355" s="117">
        <v>304.0</v>
      </c>
      <c r="B5355" s="51" t="s">
        <v>65</v>
      </c>
      <c r="C5355" s="51" t="s">
        <v>4239</v>
      </c>
      <c r="D5355" s="51" t="s">
        <v>1120</v>
      </c>
      <c r="E5355" s="41" t="str">
        <f>IFERROR(__xludf.DUMMYFUNCTION("IFNA(vlookup(D5355,IMPORTRANGE(""https://docs.google.com/spreadsheets/d/1swGwZOEqYlTEUCJLY-eeJM1911Kvaei5oySBIxdgtNo/edit?pli=1#gid=257618397"",""stock untanna!B:C""),2,false),V:V)"),"ASAHAN PAYU 849 STROBERI")</f>
        <v>ASAHAN PAYU 849 STROBERI</v>
      </c>
      <c r="F5355" s="49"/>
      <c r="G5355" s="71"/>
      <c r="H5355" s="41"/>
      <c r="I5355" s="42"/>
      <c r="J5355" s="85" t="s">
        <v>1319</v>
      </c>
      <c r="K5355" s="93">
        <v>1.0</v>
      </c>
      <c r="L5355" s="112" t="s">
        <v>88</v>
      </c>
      <c r="M5355" s="101">
        <v>17000.0</v>
      </c>
      <c r="N5355" s="74"/>
      <c r="O5355" s="87">
        <f t="shared" si="18"/>
        <v>17000</v>
      </c>
      <c r="P5355" s="102" t="str">
        <f t="shared" si="19"/>
        <v>Rp17,000-1 BOX-0.00%</v>
      </c>
      <c r="Q5355" s="121">
        <v>45437.0</v>
      </c>
      <c r="R5355" s="58"/>
      <c r="S5355" s="121">
        <v>45442.0</v>
      </c>
      <c r="T5355" s="91"/>
      <c r="V5355" s="51" t="s">
        <v>1121</v>
      </c>
    </row>
    <row r="5356">
      <c r="A5356" s="117">
        <v>290.0</v>
      </c>
      <c r="B5356" s="51" t="s">
        <v>29</v>
      </c>
      <c r="C5356" s="51" t="s">
        <v>3688</v>
      </c>
      <c r="D5356" s="51" t="s">
        <v>3962</v>
      </c>
      <c r="E5356" s="41" t="str">
        <f>IFERROR(__xludf.DUMMYFUNCTION("IFNA(vlookup(D5356,IMPORTRANGE(""https://docs.google.com/spreadsheets/d/1swGwZOEqYlTEUCJLY-eeJM1911Kvaei5oySBIxdgtNo/edit?pli=1#gid=257618397"",""stock untanna!B:C""),2,false),V:V)"),"SIPOA MOSHI-MOSHI K")</f>
        <v>SIPOA MOSHI-MOSHI K</v>
      </c>
      <c r="F5356" s="49"/>
      <c r="G5356" s="71"/>
      <c r="H5356" s="41"/>
      <c r="I5356" s="42"/>
      <c r="J5356" s="85" t="s">
        <v>1319</v>
      </c>
      <c r="K5356" s="93">
        <v>10.0</v>
      </c>
      <c r="L5356" s="112" t="s">
        <v>62</v>
      </c>
      <c r="M5356" s="101">
        <v>65000.0</v>
      </c>
      <c r="N5356" s="74"/>
      <c r="O5356" s="87">
        <f t="shared" si="18"/>
        <v>650000</v>
      </c>
      <c r="P5356" s="102" t="str">
        <f t="shared" si="19"/>
        <v>Rp65,000-10 LSN-0.00%</v>
      </c>
      <c r="Q5356" s="121">
        <v>45437.0</v>
      </c>
      <c r="R5356" s="58"/>
      <c r="S5356" s="121">
        <v>45442.0</v>
      </c>
      <c r="T5356" s="91"/>
      <c r="V5356" s="51" t="s">
        <v>3963</v>
      </c>
    </row>
    <row r="5357">
      <c r="A5357" s="117">
        <v>290.0</v>
      </c>
      <c r="B5357" s="51" t="s">
        <v>29</v>
      </c>
      <c r="C5357" s="51" t="s">
        <v>3688</v>
      </c>
      <c r="D5357" s="51" t="s">
        <v>3114</v>
      </c>
      <c r="E5357" s="41" t="str">
        <f>IFERROR(__xludf.DUMMYFUNCTION("IFNA(vlookup(D5357,IMPORTRANGE(""https://docs.google.com/spreadsheets/d/1swGwZOEqYlTEUCJLY-eeJM1911Kvaei5oySBIxdgtNo/edit?pli=1#gid=257618397"",""stock untanna!B:C""),2,false),V:V)"),"CAT AIR MARRIES 1325 12W GM &amp; BT")</f>
        <v>CAT AIR MARRIES 1325 12W GM &amp; BT</v>
      </c>
      <c r="F5357" s="49"/>
      <c r="G5357" s="71"/>
      <c r="H5357" s="41"/>
      <c r="I5357" s="42"/>
      <c r="J5357" s="85" t="s">
        <v>1319</v>
      </c>
      <c r="K5357" s="93">
        <v>12.0</v>
      </c>
      <c r="L5357" s="112" t="s">
        <v>62</v>
      </c>
      <c r="M5357" s="101">
        <v>225000.0</v>
      </c>
      <c r="N5357" s="74"/>
      <c r="O5357" s="87">
        <f t="shared" si="18"/>
        <v>2700000</v>
      </c>
      <c r="P5357" s="102" t="str">
        <f t="shared" si="19"/>
        <v>Rp225,000-12 LSN-0.00%</v>
      </c>
      <c r="Q5357" s="121">
        <v>45437.0</v>
      </c>
      <c r="R5357" s="58"/>
      <c r="S5357" s="121">
        <v>45442.0</v>
      </c>
      <c r="T5357" s="91"/>
      <c r="V5357" s="51" t="s">
        <v>3115</v>
      </c>
    </row>
    <row r="5358">
      <c r="A5358" s="117">
        <v>279.0</v>
      </c>
      <c r="B5358" s="51" t="s">
        <v>29</v>
      </c>
      <c r="C5358" s="51" t="s">
        <v>34</v>
      </c>
      <c r="D5358" s="51" t="s">
        <v>4261</v>
      </c>
      <c r="E5358" s="41" t="str">
        <f>IFERROR(__xludf.DUMMYFUNCTION("IFNA(vlookup(D5358,IMPORTRANGE(""https://docs.google.com/spreadsheets/d/1swGwZOEqYlTEUCJLY-eeJM1911Kvaei5oySBIxdgtNo/edit?pli=1#gid=257618397"",""stock untanna!B:C""),2,false),V:V)"),"BP TIZO TG340 HITAM")</f>
        <v>BP TIZO TG340 HITAM</v>
      </c>
      <c r="F5358" s="49"/>
      <c r="G5358" s="71"/>
      <c r="H5358" s="41"/>
      <c r="I5358" s="42"/>
      <c r="J5358" s="85" t="s">
        <v>1319</v>
      </c>
      <c r="K5358" s="93">
        <v>144.0</v>
      </c>
      <c r="L5358" s="112" t="s">
        <v>62</v>
      </c>
      <c r="M5358" s="101">
        <v>33000.0</v>
      </c>
      <c r="N5358" s="74"/>
      <c r="O5358" s="87">
        <f t="shared" si="18"/>
        <v>4752000</v>
      </c>
      <c r="P5358" s="102" t="str">
        <f t="shared" si="19"/>
        <v>Rp33,000-144 LSN-0.00%</v>
      </c>
      <c r="Q5358" s="121">
        <v>45437.0</v>
      </c>
      <c r="R5358" s="58"/>
      <c r="S5358" s="121">
        <v>45442.0</v>
      </c>
      <c r="T5358" s="91"/>
      <c r="V5358" s="51" t="s">
        <v>4262</v>
      </c>
    </row>
    <row r="5359">
      <c r="A5359" s="117">
        <v>4479.0</v>
      </c>
      <c r="B5359" s="51" t="s">
        <v>58</v>
      </c>
      <c r="C5359" s="51" t="s">
        <v>1430</v>
      </c>
      <c r="D5359" s="51" t="s">
        <v>4091</v>
      </c>
      <c r="E5359" s="41" t="str">
        <f>IFERROR(__xludf.DUMMYFUNCTION("IFNA(vlookup(D5359,IMPORTRANGE(""https://docs.google.com/spreadsheets/d/1swGwZOEqYlTEUCJLY-eeJM1911Kvaei5oySBIxdgtNo/edit?pli=1#gid=257618397"",""stock untanna!B:C""),2,false),V:V)"),"BINDER NOTE WENGU A5-60 FPHY 001")</f>
        <v>BINDER NOTE WENGU A5-60 FPHY 001</v>
      </c>
      <c r="F5359" s="49"/>
      <c r="G5359" s="71"/>
      <c r="H5359" s="41"/>
      <c r="I5359" s="42"/>
      <c r="J5359" s="85" t="s">
        <v>1319</v>
      </c>
      <c r="K5359" s="93">
        <v>480.0</v>
      </c>
      <c r="L5359" s="112" t="s">
        <v>69</v>
      </c>
      <c r="M5359" s="101">
        <v>22500.0</v>
      </c>
      <c r="N5359" s="74"/>
      <c r="O5359" s="87">
        <f t="shared" si="18"/>
        <v>10800000</v>
      </c>
      <c r="P5359" s="102" t="str">
        <f t="shared" si="19"/>
        <v>Rp22,500-480 PCS-0.00%</v>
      </c>
      <c r="Q5359" s="121">
        <v>45437.0</v>
      </c>
      <c r="R5359" s="58"/>
      <c r="S5359" s="121">
        <v>45442.0</v>
      </c>
      <c r="T5359" s="91"/>
      <c r="V5359" s="51" t="s">
        <v>4092</v>
      </c>
    </row>
    <row r="5360">
      <c r="A5360" s="117">
        <v>4479.0</v>
      </c>
      <c r="B5360" s="51" t="s">
        <v>58</v>
      </c>
      <c r="C5360" s="51" t="s">
        <v>1430</v>
      </c>
      <c r="D5360" s="51" t="s">
        <v>623</v>
      </c>
      <c r="E5360" s="41" t="str">
        <f>IFERROR(__xludf.DUMMYFUNCTION("IFNA(vlookup(D5360,IMPORTRANGE(""https://docs.google.com/spreadsheets/d/1swGwZOEqYlTEUCJLY-eeJM1911Kvaei5oySBIxdgtNo/edit?pli=1#gid=257618397"",""stock untanna!B:C""),2,false),V:V)"),"BP GEL TF-1190 0.3MM HIGHTECH (H)")</f>
        <v>BP GEL TF-1190 0.3MM HIGHTECH (H)</v>
      </c>
      <c r="F5360" s="49"/>
      <c r="G5360" s="71"/>
      <c r="H5360" s="41"/>
      <c r="I5360" s="42"/>
      <c r="J5360" s="85" t="s">
        <v>1319</v>
      </c>
      <c r="K5360" s="93">
        <v>432.0</v>
      </c>
      <c r="L5360" s="112" t="s">
        <v>62</v>
      </c>
      <c r="M5360" s="101">
        <v>28500.0</v>
      </c>
      <c r="N5360" s="74"/>
      <c r="O5360" s="87">
        <f t="shared" si="18"/>
        <v>12312000</v>
      </c>
      <c r="P5360" s="102" t="str">
        <f t="shared" si="19"/>
        <v>Rp28,500-432 LSN-0.00%</v>
      </c>
      <c r="Q5360" s="121">
        <v>45437.0</v>
      </c>
      <c r="R5360" s="58"/>
      <c r="S5360" s="121">
        <v>45442.0</v>
      </c>
      <c r="T5360" s="91"/>
      <c r="V5360" s="51" t="s">
        <v>624</v>
      </c>
    </row>
    <row r="5361">
      <c r="A5361" s="117">
        <v>4478.0</v>
      </c>
      <c r="B5361" s="51" t="s">
        <v>58</v>
      </c>
      <c r="C5361" s="51" t="s">
        <v>4263</v>
      </c>
      <c r="D5361" s="51" t="s">
        <v>4091</v>
      </c>
      <c r="E5361" s="41" t="str">
        <f>IFERROR(__xludf.DUMMYFUNCTION("IFNA(vlookup(D5361,IMPORTRANGE(""https://docs.google.com/spreadsheets/d/1swGwZOEqYlTEUCJLY-eeJM1911Kvaei5oySBIxdgtNo/edit?pli=1#gid=257618397"",""stock untanna!B:C""),2,false),V:V)"),"BINDER NOTE WENGU A5-60 FPHY 001")</f>
        <v>BINDER NOTE WENGU A5-60 FPHY 001</v>
      </c>
      <c r="F5361" s="49"/>
      <c r="G5361" s="71"/>
      <c r="H5361" s="41"/>
      <c r="I5361" s="42"/>
      <c r="J5361" s="85" t="s">
        <v>1319</v>
      </c>
      <c r="K5361" s="93">
        <v>96.0</v>
      </c>
      <c r="L5361" s="112" t="s">
        <v>69</v>
      </c>
      <c r="M5361" s="101">
        <v>23000.0</v>
      </c>
      <c r="N5361" s="74"/>
      <c r="O5361" s="87">
        <f t="shared" si="18"/>
        <v>2208000</v>
      </c>
      <c r="P5361" s="102" t="str">
        <f t="shared" si="19"/>
        <v>Rp23,000-96 PCS-0.00%</v>
      </c>
      <c r="Q5361" s="121">
        <v>45437.0</v>
      </c>
      <c r="R5361" s="58"/>
      <c r="S5361" s="121">
        <v>45442.0</v>
      </c>
      <c r="T5361" s="91"/>
      <c r="V5361" s="51" t="s">
        <v>4092</v>
      </c>
    </row>
    <row r="5362">
      <c r="A5362" s="117">
        <v>4478.0</v>
      </c>
      <c r="B5362" s="51" t="s">
        <v>58</v>
      </c>
      <c r="C5362" s="51" t="s">
        <v>4263</v>
      </c>
      <c r="D5362" s="51" t="s">
        <v>4093</v>
      </c>
      <c r="E5362" s="41" t="str">
        <f>IFERROR(__xludf.DUMMYFUNCTION("IFNA(vlookup(D5362,IMPORTRANGE(""https://docs.google.com/spreadsheets/d/1swGwZOEqYlTEUCJLY-eeJM1911Kvaei5oySBIxdgtNo/edit?pli=1#gid=257618397"",""stock untanna!B:C""),2,false),V:V)"),"BINDER NOTE B5-60 FPHY 001")</f>
        <v>BINDER NOTE B5-60 FPHY 001</v>
      </c>
      <c r="F5362" s="49"/>
      <c r="G5362" s="71"/>
      <c r="H5362" s="41"/>
      <c r="I5362" s="42"/>
      <c r="J5362" s="85" t="s">
        <v>1319</v>
      </c>
      <c r="K5362" s="93">
        <v>72.0</v>
      </c>
      <c r="L5362" s="112" t="s">
        <v>69</v>
      </c>
      <c r="M5362" s="101">
        <v>31000.0</v>
      </c>
      <c r="N5362" s="74"/>
      <c r="O5362" s="87">
        <f t="shared" si="18"/>
        <v>2232000</v>
      </c>
      <c r="P5362" s="102" t="str">
        <f t="shared" si="19"/>
        <v>Rp31,000-72 PCS-0.00%</v>
      </c>
      <c r="Q5362" s="121">
        <v>45437.0</v>
      </c>
      <c r="R5362" s="58"/>
      <c r="S5362" s="121">
        <v>45442.0</v>
      </c>
      <c r="T5362" s="91"/>
      <c r="V5362" s="51" t="s">
        <v>4094</v>
      </c>
    </row>
    <row r="5363">
      <c r="A5363" s="117">
        <v>4478.0</v>
      </c>
      <c r="B5363" s="51" t="s">
        <v>58</v>
      </c>
      <c r="C5363" s="51" t="s">
        <v>4263</v>
      </c>
      <c r="D5363" s="51" t="s">
        <v>880</v>
      </c>
      <c r="E5363" s="41" t="str">
        <f>IFERROR(__xludf.DUMMYFUNCTION("IFNA(vlookup(D5363,IMPORTRANGE(""https://docs.google.com/spreadsheets/d/1swGwZOEqYlTEUCJLY-eeJM1911Kvaei5oySBIxdgtNo/edit?pli=1#gid=257618397"",""stock untanna!B:C""),2,false),V:V)"),"TAS TUTUP PITA KADO FG-301 BESAR")</f>
        <v>TAS TUTUP PITA KADO FG-301 BESAR</v>
      </c>
      <c r="F5363" s="49"/>
      <c r="G5363" s="71"/>
      <c r="H5363" s="41"/>
      <c r="I5363" s="42"/>
      <c r="J5363" s="85" t="s">
        <v>1319</v>
      </c>
      <c r="K5363" s="93">
        <v>30.0</v>
      </c>
      <c r="L5363" s="112" t="s">
        <v>62</v>
      </c>
      <c r="M5363" s="101">
        <v>106000.0</v>
      </c>
      <c r="N5363" s="115">
        <v>0.15</v>
      </c>
      <c r="O5363" s="87">
        <f t="shared" si="18"/>
        <v>2703000</v>
      </c>
      <c r="P5363" s="102" t="str">
        <f t="shared" si="19"/>
        <v>Rp106,000-30 LSN-15.00%</v>
      </c>
      <c r="Q5363" s="121">
        <v>45437.0</v>
      </c>
      <c r="R5363" s="58"/>
      <c r="S5363" s="121">
        <v>45442.0</v>
      </c>
      <c r="T5363" s="91"/>
      <c r="V5363" s="51" t="s">
        <v>881</v>
      </c>
    </row>
    <row r="5364">
      <c r="A5364" s="117">
        <v>4480.0</v>
      </c>
      <c r="B5364" s="51" t="s">
        <v>58</v>
      </c>
      <c r="C5364" s="51" t="s">
        <v>2061</v>
      </c>
      <c r="D5364" s="51" t="s">
        <v>4093</v>
      </c>
      <c r="E5364" s="41" t="str">
        <f>IFERROR(__xludf.DUMMYFUNCTION("IFNA(vlookup(D5364,IMPORTRANGE(""https://docs.google.com/spreadsheets/d/1swGwZOEqYlTEUCJLY-eeJM1911Kvaei5oySBIxdgtNo/edit?pli=1#gid=257618397"",""stock untanna!B:C""),2,false),V:V)"),"BINDER NOTE B5-60 FPHY 001")</f>
        <v>BINDER NOTE B5-60 FPHY 001</v>
      </c>
      <c r="F5364" s="49"/>
      <c r="G5364" s="71"/>
      <c r="H5364" s="41"/>
      <c r="I5364" s="42"/>
      <c r="J5364" s="85" t="s">
        <v>1319</v>
      </c>
      <c r="K5364" s="93">
        <v>36.0</v>
      </c>
      <c r="L5364" s="112" t="s">
        <v>69</v>
      </c>
      <c r="M5364" s="101">
        <v>32500.0</v>
      </c>
      <c r="N5364" s="74"/>
      <c r="O5364" s="87">
        <f t="shared" si="18"/>
        <v>1170000</v>
      </c>
      <c r="P5364" s="102" t="str">
        <f t="shared" si="19"/>
        <v>Rp32,500-36 PCS-0.00%</v>
      </c>
      <c r="Q5364" s="121">
        <v>45437.0</v>
      </c>
      <c r="R5364" s="58"/>
      <c r="S5364" s="121">
        <v>45442.0</v>
      </c>
      <c r="T5364" s="91"/>
      <c r="V5364" s="51" t="s">
        <v>4094</v>
      </c>
    </row>
    <row r="5365">
      <c r="A5365" s="117">
        <v>4480.0</v>
      </c>
      <c r="B5365" s="51" t="s">
        <v>58</v>
      </c>
      <c r="C5365" s="51" t="s">
        <v>2061</v>
      </c>
      <c r="D5365" s="51" t="s">
        <v>4091</v>
      </c>
      <c r="E5365" s="41" t="str">
        <f>IFERROR(__xludf.DUMMYFUNCTION("IFNA(vlookup(D5365,IMPORTRANGE(""https://docs.google.com/spreadsheets/d/1swGwZOEqYlTEUCJLY-eeJM1911Kvaei5oySBIxdgtNo/edit?pli=1#gid=257618397"",""stock untanna!B:C""),2,false),V:V)"),"BINDER NOTE WENGU A5-60 FPHY 001")</f>
        <v>BINDER NOTE WENGU A5-60 FPHY 001</v>
      </c>
      <c r="F5365" s="49"/>
      <c r="G5365" s="71"/>
      <c r="H5365" s="41"/>
      <c r="I5365" s="42"/>
      <c r="J5365" s="85" t="s">
        <v>1319</v>
      </c>
      <c r="K5365" s="93">
        <v>36.0</v>
      </c>
      <c r="L5365" s="112" t="s">
        <v>69</v>
      </c>
      <c r="M5365" s="101">
        <v>24500.0</v>
      </c>
      <c r="N5365" s="74"/>
      <c r="O5365" s="87">
        <f t="shared" si="18"/>
        <v>882000</v>
      </c>
      <c r="P5365" s="102" t="str">
        <f t="shared" si="19"/>
        <v>Rp24,500-36 PCS-0.00%</v>
      </c>
      <c r="Q5365" s="121">
        <v>45437.0</v>
      </c>
      <c r="R5365" s="58"/>
      <c r="S5365" s="121">
        <v>45442.0</v>
      </c>
      <c r="T5365" s="91"/>
      <c r="V5365" s="51" t="s">
        <v>4092</v>
      </c>
    </row>
    <row r="5366">
      <c r="A5366" s="117">
        <v>321.0</v>
      </c>
      <c r="B5366" s="51" t="s">
        <v>65</v>
      </c>
      <c r="C5366" s="51" t="s">
        <v>2601</v>
      </c>
      <c r="D5366" s="51" t="s">
        <v>639</v>
      </c>
      <c r="E5366" s="41" t="str">
        <f>IFERROR(__xludf.DUMMYFUNCTION("IFNA(vlookup(D5366,IMPORTRANGE(""https://docs.google.com/spreadsheets/d/1swGwZOEqYlTEUCJLY-eeJM1911Kvaei5oySBIxdgtNo/edit?pli=1#gid=257618397"",""stock untanna!B:C""),2,false),V:V)"),"BP GEL TIZO 31035F FANCY")</f>
        <v>BP GEL TIZO 31035F FANCY</v>
      </c>
      <c r="F5366" s="49"/>
      <c r="G5366" s="71"/>
      <c r="H5366" s="41"/>
      <c r="I5366" s="42"/>
      <c r="J5366" s="85" t="s">
        <v>1319</v>
      </c>
      <c r="K5366" s="93">
        <v>12.0</v>
      </c>
      <c r="L5366" s="112" t="s">
        <v>62</v>
      </c>
      <c r="M5366" s="101">
        <v>18250.0</v>
      </c>
      <c r="N5366" s="74"/>
      <c r="O5366" s="87">
        <f t="shared" si="18"/>
        <v>219000</v>
      </c>
      <c r="P5366" s="102" t="str">
        <f t="shared" si="19"/>
        <v>Rp18,250-12 LSN-0.00%</v>
      </c>
      <c r="Q5366" s="121">
        <v>45437.0</v>
      </c>
      <c r="R5366" s="58"/>
      <c r="S5366" s="121">
        <v>45442.0</v>
      </c>
      <c r="T5366" s="91"/>
      <c r="V5366" s="51" t="s">
        <v>640</v>
      </c>
    </row>
    <row r="5367">
      <c r="A5367" s="117">
        <v>321.0</v>
      </c>
      <c r="B5367" s="51" t="s">
        <v>65</v>
      </c>
      <c r="C5367" s="51" t="s">
        <v>2601</v>
      </c>
      <c r="D5367" s="51" t="s">
        <v>641</v>
      </c>
      <c r="E5367" s="41" t="str">
        <f>IFERROR(__xludf.DUMMYFUNCTION("IFNA(vlookup(D5367,IMPORTRANGE(""https://docs.google.com/spreadsheets/d/1swGwZOEqYlTEUCJLY-eeJM1911Kvaei5oySBIxdgtNo/edit?pli=1#gid=257618397"",""stock untanna!B:C""),2,false),V:V)"),"BP GEL TIZO TG 348F FANCY")</f>
        <v>BP GEL TIZO TG 348F FANCY</v>
      </c>
      <c r="F5367" s="49"/>
      <c r="G5367" s="71"/>
      <c r="H5367" s="41"/>
      <c r="I5367" s="42"/>
      <c r="J5367" s="85" t="s">
        <v>1319</v>
      </c>
      <c r="K5367" s="93">
        <v>12.0</v>
      </c>
      <c r="L5367" s="112" t="s">
        <v>62</v>
      </c>
      <c r="M5367" s="101">
        <v>18250.0</v>
      </c>
      <c r="N5367" s="74"/>
      <c r="O5367" s="87">
        <f t="shared" si="18"/>
        <v>219000</v>
      </c>
      <c r="P5367" s="102" t="str">
        <f t="shared" si="19"/>
        <v>Rp18,250-12 LSN-0.00%</v>
      </c>
      <c r="Q5367" s="121">
        <v>45437.0</v>
      </c>
      <c r="R5367" s="58"/>
      <c r="S5367" s="121">
        <v>45442.0</v>
      </c>
      <c r="T5367" s="91"/>
      <c r="V5367" s="51" t="s">
        <v>2255</v>
      </c>
    </row>
    <row r="5368">
      <c r="A5368" s="117">
        <v>321.0</v>
      </c>
      <c r="B5368" s="51" t="s">
        <v>65</v>
      </c>
      <c r="C5368" s="51" t="s">
        <v>2601</v>
      </c>
      <c r="D5368" s="51" t="s">
        <v>631</v>
      </c>
      <c r="E5368" s="41" t="str">
        <f>IFERROR(__xludf.DUMMYFUNCTION("IFNA(vlookup(D5368,IMPORTRANGE(""https://docs.google.com/spreadsheets/d/1swGwZOEqYlTEUCJLY-eeJM1911Kvaei5oySBIxdgtNo/edit?pli=1#gid=257618397"",""stock untanna!B:C""),2,false),V:V)"),"BP TIZO 31810F FANCY")</f>
        <v>BP TIZO 31810F FANCY</v>
      </c>
      <c r="F5368" s="49"/>
      <c r="G5368" s="71"/>
      <c r="H5368" s="41"/>
      <c r="I5368" s="42"/>
      <c r="J5368" s="85" t="s">
        <v>1319</v>
      </c>
      <c r="K5368" s="93">
        <v>6.0</v>
      </c>
      <c r="L5368" s="112" t="s">
        <v>62</v>
      </c>
      <c r="M5368" s="101">
        <v>18250.0</v>
      </c>
      <c r="N5368" s="74"/>
      <c r="O5368" s="87">
        <f t="shared" si="18"/>
        <v>109500</v>
      </c>
      <c r="P5368" s="102" t="str">
        <f t="shared" si="19"/>
        <v>Rp18,250-6 LSN-0.00%</v>
      </c>
      <c r="Q5368" s="121">
        <v>45437.0</v>
      </c>
      <c r="R5368" s="58"/>
      <c r="S5368" s="121">
        <v>45442.0</v>
      </c>
      <c r="T5368" s="91"/>
      <c r="V5368" s="51" t="s">
        <v>632</v>
      </c>
    </row>
    <row r="5369">
      <c r="A5369" s="117">
        <v>321.0</v>
      </c>
      <c r="B5369" s="51" t="s">
        <v>65</v>
      </c>
      <c r="C5369" s="51" t="s">
        <v>2601</v>
      </c>
      <c r="D5369" s="51" t="s">
        <v>1341</v>
      </c>
      <c r="E5369" s="41" t="str">
        <f>IFERROR(__xludf.DUMMYFUNCTION("IFNA(vlookup(D5369,IMPORTRANGE(""https://docs.google.com/spreadsheets/d/1swGwZOEqYlTEUCJLY-eeJM1911Kvaei5oySBIxdgtNo/edit?pli=1#gid=257618397"",""stock untanna!B:C""),2,false),V:V)"),"STABILLO TF-1145 LIVE COLOUR PASTEL")</f>
        <v>STABILLO TF-1145 LIVE COLOUR PASTEL</v>
      </c>
      <c r="F5369" s="49"/>
      <c r="G5369" s="71"/>
      <c r="H5369" s="41"/>
      <c r="I5369" s="42"/>
      <c r="J5369" s="85" t="s">
        <v>1319</v>
      </c>
      <c r="K5369" s="93">
        <v>3.0</v>
      </c>
      <c r="L5369" s="112" t="s">
        <v>62</v>
      </c>
      <c r="M5369" s="101">
        <v>25000.0</v>
      </c>
      <c r="N5369" s="74"/>
      <c r="O5369" s="87">
        <f t="shared" si="18"/>
        <v>75000</v>
      </c>
      <c r="P5369" s="102" t="str">
        <f t="shared" si="19"/>
        <v>Rp25,000-3 LSN-0.00%</v>
      </c>
      <c r="Q5369" s="121">
        <v>45437.0</v>
      </c>
      <c r="R5369" s="58"/>
      <c r="S5369" s="121">
        <v>45442.0</v>
      </c>
      <c r="T5369" s="91"/>
      <c r="V5369" s="51" t="s">
        <v>1342</v>
      </c>
    </row>
    <row r="5370">
      <c r="A5370" s="117">
        <v>4394.0</v>
      </c>
      <c r="B5370" s="51" t="s">
        <v>58</v>
      </c>
      <c r="C5370" s="51" t="s">
        <v>4264</v>
      </c>
      <c r="D5370" s="51" t="s">
        <v>653</v>
      </c>
      <c r="E5370" s="41" t="str">
        <f>IFERROR(__xludf.DUMMYFUNCTION("IFNA(vlookup(D5370,IMPORTRANGE(""https://docs.google.com/spreadsheets/d/1swGwZOEqYlTEUCJLY-eeJM1911Kvaei5oySBIxdgtNo/edit?pli=1#gid=257618397"",""stock untanna!B:C""),2,false),V:V)"),"TAS TALI GG-03 BESAR GILAP")</f>
        <v>TAS TALI GG-03 BESAR GILAP</v>
      </c>
      <c r="F5370" s="49"/>
      <c r="G5370" s="71"/>
      <c r="H5370" s="41"/>
      <c r="I5370" s="42"/>
      <c r="J5370" s="85" t="s">
        <v>1319</v>
      </c>
      <c r="K5370" s="93">
        <v>30.0</v>
      </c>
      <c r="L5370" s="112" t="s">
        <v>62</v>
      </c>
      <c r="M5370" s="101">
        <v>120000.0</v>
      </c>
      <c r="N5370" s="115">
        <v>0.2</v>
      </c>
      <c r="O5370" s="87">
        <f t="shared" si="18"/>
        <v>2880000</v>
      </c>
      <c r="P5370" s="102" t="str">
        <f t="shared" si="19"/>
        <v>Rp120,000-30 LSN-20.00%</v>
      </c>
      <c r="Q5370" s="121">
        <v>45437.0</v>
      </c>
      <c r="R5370" s="58"/>
      <c r="S5370" s="121">
        <v>45442.0</v>
      </c>
      <c r="T5370" s="91"/>
      <c r="V5370" s="51" t="s">
        <v>654</v>
      </c>
    </row>
    <row r="5371">
      <c r="A5371" s="117">
        <v>4394.0</v>
      </c>
      <c r="B5371" s="51" t="s">
        <v>58</v>
      </c>
      <c r="C5371" s="51" t="s">
        <v>4264</v>
      </c>
      <c r="D5371" s="51" t="s">
        <v>653</v>
      </c>
      <c r="E5371" s="41" t="str">
        <f>IFERROR(__xludf.DUMMYFUNCTION("IFNA(vlookup(D5371,IMPORTRANGE(""https://docs.google.com/spreadsheets/d/1swGwZOEqYlTEUCJLY-eeJM1911Kvaei5oySBIxdgtNo/edit?pli=1#gid=257618397"",""stock untanna!B:C""),2,false),V:V)"),"TAS TALI GG-03 BESAR GILAP")</f>
        <v>TAS TALI GG-03 BESAR GILAP</v>
      </c>
      <c r="F5371" s="49"/>
      <c r="G5371" s="71"/>
      <c r="H5371" s="41"/>
      <c r="I5371" s="42"/>
      <c r="J5371" s="85" t="s">
        <v>1319</v>
      </c>
      <c r="K5371" s="93">
        <v>30.0</v>
      </c>
      <c r="L5371" s="112" t="s">
        <v>62</v>
      </c>
      <c r="M5371" s="101">
        <v>120000.0</v>
      </c>
      <c r="N5371" s="115">
        <v>0.2</v>
      </c>
      <c r="O5371" s="87">
        <f t="shared" si="18"/>
        <v>2880000</v>
      </c>
      <c r="P5371" s="102" t="str">
        <f t="shared" si="19"/>
        <v>Rp120,000-30 LSN-20.00%</v>
      </c>
      <c r="Q5371" s="121">
        <v>45437.0</v>
      </c>
      <c r="R5371" s="58"/>
      <c r="S5371" s="121">
        <v>45442.0</v>
      </c>
      <c r="T5371" s="91"/>
      <c r="V5371" s="51" t="s">
        <v>654</v>
      </c>
    </row>
    <row r="5372">
      <c r="A5372" s="117">
        <v>4394.0</v>
      </c>
      <c r="B5372" s="51" t="s">
        <v>58</v>
      </c>
      <c r="C5372" s="51" t="s">
        <v>4264</v>
      </c>
      <c r="D5372" s="51" t="s">
        <v>880</v>
      </c>
      <c r="E5372" s="41" t="str">
        <f>IFERROR(__xludf.DUMMYFUNCTION("IFNA(vlookup(D5372,IMPORTRANGE(""https://docs.google.com/spreadsheets/d/1swGwZOEqYlTEUCJLY-eeJM1911Kvaei5oySBIxdgtNo/edit?pli=1#gid=257618397"",""stock untanna!B:C""),2,false),V:V)"),"TAS TUTUP PITA KADO FG-301 BESAR")</f>
        <v>TAS TUTUP PITA KADO FG-301 BESAR</v>
      </c>
      <c r="F5372" s="49"/>
      <c r="G5372" s="71"/>
      <c r="H5372" s="41"/>
      <c r="I5372" s="42"/>
      <c r="J5372" s="85" t="s">
        <v>1319</v>
      </c>
      <c r="K5372" s="93">
        <v>30.0</v>
      </c>
      <c r="L5372" s="112" t="s">
        <v>62</v>
      </c>
      <c r="M5372" s="101">
        <v>106000.0</v>
      </c>
      <c r="N5372" s="115">
        <v>0.2</v>
      </c>
      <c r="O5372" s="87">
        <f t="shared" si="18"/>
        <v>2544000</v>
      </c>
      <c r="P5372" s="102" t="str">
        <f t="shared" si="19"/>
        <v>Rp106,000-30 LSN-20.00%</v>
      </c>
      <c r="Q5372" s="121">
        <v>45437.0</v>
      </c>
      <c r="R5372" s="58"/>
      <c r="S5372" s="121">
        <v>45442.0</v>
      </c>
      <c r="T5372" s="91"/>
      <c r="V5372" s="51" t="s">
        <v>881</v>
      </c>
    </row>
    <row r="5373">
      <c r="A5373" s="117">
        <v>4394.0</v>
      </c>
      <c r="B5373" s="51" t="s">
        <v>58</v>
      </c>
      <c r="C5373" s="51" t="s">
        <v>4264</v>
      </c>
      <c r="D5373" s="51" t="s">
        <v>880</v>
      </c>
      <c r="E5373" s="41" t="str">
        <f>IFERROR(__xludf.DUMMYFUNCTION("IFNA(vlookup(D5373,IMPORTRANGE(""https://docs.google.com/spreadsheets/d/1swGwZOEqYlTEUCJLY-eeJM1911Kvaei5oySBIxdgtNo/edit?pli=1#gid=257618397"",""stock untanna!B:C""),2,false),V:V)"),"TAS TUTUP PITA KADO FG-301 BESAR")</f>
        <v>TAS TUTUP PITA KADO FG-301 BESAR</v>
      </c>
      <c r="F5373" s="49"/>
      <c r="G5373" s="71"/>
      <c r="H5373" s="41"/>
      <c r="I5373" s="42"/>
      <c r="J5373" s="85" t="s">
        <v>1319</v>
      </c>
      <c r="K5373" s="93">
        <v>30.0</v>
      </c>
      <c r="L5373" s="112" t="s">
        <v>62</v>
      </c>
      <c r="M5373" s="101">
        <v>106000.0</v>
      </c>
      <c r="N5373" s="115">
        <v>0.2</v>
      </c>
      <c r="O5373" s="87">
        <f t="shared" si="18"/>
        <v>2544000</v>
      </c>
      <c r="P5373" s="102" t="str">
        <f t="shared" si="19"/>
        <v>Rp106,000-30 LSN-20.00%</v>
      </c>
      <c r="Q5373" s="121">
        <v>45437.0</v>
      </c>
      <c r="R5373" s="58"/>
      <c r="S5373" s="121">
        <v>45442.0</v>
      </c>
      <c r="T5373" s="91"/>
      <c r="V5373" s="51" t="s">
        <v>881</v>
      </c>
    </row>
    <row r="5374">
      <c r="A5374" s="117">
        <v>4394.0</v>
      </c>
      <c r="B5374" s="51" t="s">
        <v>58</v>
      </c>
      <c r="C5374" s="51" t="s">
        <v>4264</v>
      </c>
      <c r="D5374" s="51" t="s">
        <v>880</v>
      </c>
      <c r="E5374" s="41" t="str">
        <f>IFERROR(__xludf.DUMMYFUNCTION("IFNA(vlookup(D5374,IMPORTRANGE(""https://docs.google.com/spreadsheets/d/1swGwZOEqYlTEUCJLY-eeJM1911Kvaei5oySBIxdgtNo/edit?pli=1#gid=257618397"",""stock untanna!B:C""),2,false),V:V)"),"TAS TUTUP PITA KADO FG-301 BESAR")</f>
        <v>TAS TUTUP PITA KADO FG-301 BESAR</v>
      </c>
      <c r="F5374" s="49"/>
      <c r="G5374" s="71"/>
      <c r="H5374" s="41"/>
      <c r="I5374" s="42"/>
      <c r="J5374" s="85" t="s">
        <v>1319</v>
      </c>
      <c r="K5374" s="93">
        <v>30.0</v>
      </c>
      <c r="L5374" s="112" t="s">
        <v>62</v>
      </c>
      <c r="M5374" s="101">
        <v>106000.0</v>
      </c>
      <c r="N5374" s="115">
        <v>0.2</v>
      </c>
      <c r="O5374" s="87">
        <f t="shared" si="18"/>
        <v>2544000</v>
      </c>
      <c r="P5374" s="102" t="str">
        <f t="shared" si="19"/>
        <v>Rp106,000-30 LSN-20.00%</v>
      </c>
      <c r="Q5374" s="121">
        <v>45437.0</v>
      </c>
      <c r="R5374" s="58"/>
      <c r="S5374" s="121">
        <v>45442.0</v>
      </c>
      <c r="T5374" s="91"/>
      <c r="V5374" s="51" t="s">
        <v>881</v>
      </c>
    </row>
    <row r="5375">
      <c r="A5375" s="117">
        <v>4394.0</v>
      </c>
      <c r="B5375" s="51" t="s">
        <v>58</v>
      </c>
      <c r="C5375" s="51" t="s">
        <v>4264</v>
      </c>
      <c r="D5375" s="51" t="s">
        <v>249</v>
      </c>
      <c r="E5375" s="41" t="str">
        <f>IFERROR(__xludf.DUMMYFUNCTION("IFNA(vlookup(D5375,IMPORTRANGE(""https://docs.google.com/spreadsheets/d/1swGwZOEqYlTEUCJLY-eeJM1911Kvaei5oySBIxdgtNo/edit?pli=1#gid=257618397"",""stock untanna!B:C""),2,false),V:V)"),"TAS TUTUP PITA KADO FG-101 KECIL")</f>
        <v>TAS TUTUP PITA KADO FG-101 KECIL</v>
      </c>
      <c r="F5375" s="49"/>
      <c r="G5375" s="71"/>
      <c r="H5375" s="41"/>
      <c r="I5375" s="42"/>
      <c r="J5375" s="85" t="s">
        <v>1319</v>
      </c>
      <c r="K5375" s="93">
        <v>60.0</v>
      </c>
      <c r="L5375" s="112" t="s">
        <v>62</v>
      </c>
      <c r="M5375" s="101">
        <v>57500.0</v>
      </c>
      <c r="N5375" s="115">
        <v>0.2</v>
      </c>
      <c r="O5375" s="87">
        <f t="shared" si="18"/>
        <v>2760000</v>
      </c>
      <c r="P5375" s="102" t="str">
        <f t="shared" si="19"/>
        <v>Rp57,500-60 LSN-20.00%</v>
      </c>
      <c r="Q5375" s="121">
        <v>45437.0</v>
      </c>
      <c r="R5375" s="58"/>
      <c r="S5375" s="121">
        <v>45442.0</v>
      </c>
      <c r="T5375" s="91"/>
      <c r="V5375" s="51" t="s">
        <v>250</v>
      </c>
    </row>
    <row r="5376">
      <c r="A5376" s="117">
        <v>4394.0</v>
      </c>
      <c r="B5376" s="51" t="s">
        <v>58</v>
      </c>
      <c r="C5376" s="51" t="s">
        <v>4264</v>
      </c>
      <c r="D5376" s="51" t="s">
        <v>249</v>
      </c>
      <c r="E5376" s="41" t="str">
        <f>IFERROR(__xludf.DUMMYFUNCTION("IFNA(vlookup(D5376,IMPORTRANGE(""https://docs.google.com/spreadsheets/d/1swGwZOEqYlTEUCJLY-eeJM1911Kvaei5oySBIxdgtNo/edit?pli=1#gid=257618397"",""stock untanna!B:C""),2,false),V:V)"),"TAS TUTUP PITA KADO FG-101 KECIL")</f>
        <v>TAS TUTUP PITA KADO FG-101 KECIL</v>
      </c>
      <c r="F5376" s="49"/>
      <c r="G5376" s="71"/>
      <c r="H5376" s="41"/>
      <c r="I5376" s="42"/>
      <c r="J5376" s="85" t="s">
        <v>1319</v>
      </c>
      <c r="K5376" s="93">
        <v>60.0</v>
      </c>
      <c r="L5376" s="112" t="s">
        <v>62</v>
      </c>
      <c r="M5376" s="101">
        <v>57500.0</v>
      </c>
      <c r="N5376" s="115">
        <v>0.2</v>
      </c>
      <c r="O5376" s="87">
        <f t="shared" si="18"/>
        <v>2760000</v>
      </c>
      <c r="P5376" s="102" t="str">
        <f t="shared" si="19"/>
        <v>Rp57,500-60 LSN-20.00%</v>
      </c>
      <c r="Q5376" s="121">
        <v>45437.0</v>
      </c>
      <c r="R5376" s="58"/>
      <c r="S5376" s="121">
        <v>45442.0</v>
      </c>
      <c r="T5376" s="91"/>
      <c r="V5376" s="51" t="s">
        <v>250</v>
      </c>
    </row>
    <row r="5377">
      <c r="A5377" s="117">
        <v>4394.0</v>
      </c>
      <c r="B5377" s="51" t="s">
        <v>58</v>
      </c>
      <c r="C5377" s="51" t="s">
        <v>4264</v>
      </c>
      <c r="D5377" s="51" t="s">
        <v>249</v>
      </c>
      <c r="E5377" s="41" t="str">
        <f>IFERROR(__xludf.DUMMYFUNCTION("IFNA(vlookup(D5377,IMPORTRANGE(""https://docs.google.com/spreadsheets/d/1swGwZOEqYlTEUCJLY-eeJM1911Kvaei5oySBIxdgtNo/edit?pli=1#gid=257618397"",""stock untanna!B:C""),2,false),V:V)"),"TAS TUTUP PITA KADO FG-101 KECIL")</f>
        <v>TAS TUTUP PITA KADO FG-101 KECIL</v>
      </c>
      <c r="F5377" s="49"/>
      <c r="G5377" s="71"/>
      <c r="H5377" s="41"/>
      <c r="I5377" s="42"/>
      <c r="J5377" s="85" t="s">
        <v>1319</v>
      </c>
      <c r="K5377" s="93">
        <v>48.0</v>
      </c>
      <c r="L5377" s="112" t="s">
        <v>62</v>
      </c>
      <c r="M5377" s="101">
        <v>57500.0</v>
      </c>
      <c r="N5377" s="115">
        <v>0.2</v>
      </c>
      <c r="O5377" s="87">
        <f t="shared" si="18"/>
        <v>2208000</v>
      </c>
      <c r="P5377" s="102" t="str">
        <f t="shared" si="19"/>
        <v>Rp57,500-48 LSN-20.00%</v>
      </c>
      <c r="Q5377" s="121">
        <v>45437.0</v>
      </c>
      <c r="R5377" s="58"/>
      <c r="S5377" s="121">
        <v>45442.0</v>
      </c>
      <c r="T5377" s="91"/>
      <c r="V5377" s="51" t="s">
        <v>250</v>
      </c>
    </row>
    <row r="5378">
      <c r="A5378" s="117">
        <v>4394.0</v>
      </c>
      <c r="B5378" s="51" t="s">
        <v>58</v>
      </c>
      <c r="C5378" s="51" t="s">
        <v>4264</v>
      </c>
      <c r="D5378" s="51" t="s">
        <v>880</v>
      </c>
      <c r="E5378" s="41" t="str">
        <f>IFERROR(__xludf.DUMMYFUNCTION("IFNA(vlookup(D5378,IMPORTRANGE(""https://docs.google.com/spreadsheets/d/1swGwZOEqYlTEUCJLY-eeJM1911Kvaei5oySBIxdgtNo/edit?pli=1#gid=257618397"",""stock untanna!B:C""),2,false),V:V)"),"TAS TUTUP PITA KADO FG-301 BESAR")</f>
        <v>TAS TUTUP PITA KADO FG-301 BESAR</v>
      </c>
      <c r="F5378" s="49"/>
      <c r="G5378" s="71"/>
      <c r="H5378" s="41"/>
      <c r="I5378" s="42"/>
      <c r="J5378" s="85" t="s">
        <v>1319</v>
      </c>
      <c r="K5378" s="93">
        <v>24.0</v>
      </c>
      <c r="L5378" s="112" t="s">
        <v>62</v>
      </c>
      <c r="M5378" s="101">
        <v>106000.0</v>
      </c>
      <c r="N5378" s="115">
        <v>0.2</v>
      </c>
      <c r="O5378" s="87">
        <f t="shared" si="18"/>
        <v>2035200</v>
      </c>
      <c r="P5378" s="102" t="str">
        <f t="shared" si="19"/>
        <v>Rp106,000-24 LSN-20.00%</v>
      </c>
      <c r="Q5378" s="121">
        <v>45437.0</v>
      </c>
      <c r="R5378" s="58"/>
      <c r="S5378" s="121">
        <v>45442.0</v>
      </c>
      <c r="T5378" s="91"/>
      <c r="V5378" s="51" t="s">
        <v>881</v>
      </c>
    </row>
    <row r="5379">
      <c r="A5379" s="117">
        <v>4103.0</v>
      </c>
      <c r="B5379" s="51" t="s">
        <v>29</v>
      </c>
      <c r="C5379" s="51" t="s">
        <v>2134</v>
      </c>
      <c r="D5379" s="56"/>
      <c r="E5379" s="41" t="str">
        <f>IFERROR(__xludf.DUMMYFUNCTION("IFNA(vlookup(D5379,IMPORTRANGE(""https://docs.google.com/spreadsheets/d/1swGwZOEqYlTEUCJLY-eeJM1911Kvaei5oySBIxdgtNo/edit?pli=1#gid=257618397"",""stock untanna!B:C""),2,false),V:V)"),"GARISAN SABLON 270")</f>
        <v>GARISAN SABLON 270</v>
      </c>
      <c r="F5379" s="49"/>
      <c r="G5379" s="71"/>
      <c r="H5379" s="41"/>
      <c r="I5379" s="42"/>
      <c r="J5379" s="85" t="s">
        <v>3190</v>
      </c>
      <c r="K5379" s="93">
        <v>1.0</v>
      </c>
      <c r="L5379" s="112" t="s">
        <v>62</v>
      </c>
      <c r="M5379" s="101">
        <v>30000.0</v>
      </c>
      <c r="N5379" s="74"/>
      <c r="O5379" s="87">
        <f t="shared" si="18"/>
        <v>30000</v>
      </c>
      <c r="P5379" s="102" t="str">
        <f t="shared" si="19"/>
        <v>Rp30,000-1 LSN-0.00%</v>
      </c>
      <c r="Q5379" s="121">
        <v>45437.0</v>
      </c>
      <c r="R5379" s="58"/>
      <c r="S5379" s="121">
        <v>45442.0</v>
      </c>
      <c r="T5379" s="91"/>
      <c r="V5379" s="51" t="s">
        <v>4265</v>
      </c>
    </row>
    <row r="5380">
      <c r="A5380" s="117">
        <v>4103.0</v>
      </c>
      <c r="B5380" s="51" t="s">
        <v>29</v>
      </c>
      <c r="C5380" s="51" t="s">
        <v>2134</v>
      </c>
      <c r="D5380" s="56"/>
      <c r="E5380" s="41" t="str">
        <f>IFERROR(__xludf.DUMMYFUNCTION("IFNA(vlookup(D5380,IMPORTRANGE(""https://docs.google.com/spreadsheets/d/1swGwZOEqYlTEUCJLY-eeJM1911Kvaei5oySBIxdgtNo/edit?pli=1#gid=257618397"",""stock untanna!B:C""),2,false),V:V)"),"GARISAN SABLON 300")</f>
        <v>GARISAN SABLON 300</v>
      </c>
      <c r="F5380" s="49"/>
      <c r="G5380" s="71"/>
      <c r="H5380" s="41"/>
      <c r="I5380" s="42"/>
      <c r="J5380" s="85" t="s">
        <v>3190</v>
      </c>
      <c r="K5380" s="93">
        <v>1.0</v>
      </c>
      <c r="L5380" s="112" t="s">
        <v>62</v>
      </c>
      <c r="M5380" s="101">
        <v>12500.0</v>
      </c>
      <c r="N5380" s="74"/>
      <c r="O5380" s="87">
        <f t="shared" si="18"/>
        <v>12500</v>
      </c>
      <c r="P5380" s="102" t="str">
        <f t="shared" si="19"/>
        <v>Rp12,500-1 LSN-0.00%</v>
      </c>
      <c r="Q5380" s="121">
        <v>45437.0</v>
      </c>
      <c r="R5380" s="58"/>
      <c r="S5380" s="121">
        <v>45442.0</v>
      </c>
      <c r="T5380" s="91"/>
      <c r="V5380" s="51" t="s">
        <v>4266</v>
      </c>
    </row>
    <row r="5381">
      <c r="A5381" s="117">
        <v>4103.0</v>
      </c>
      <c r="B5381" s="51" t="s">
        <v>29</v>
      </c>
      <c r="C5381" s="51" t="s">
        <v>2134</v>
      </c>
      <c r="D5381" s="56"/>
      <c r="E5381" s="41" t="str">
        <f>IFERROR(__xludf.DUMMYFUNCTION("IFNA(vlookup(D5381,IMPORTRANGE(""https://docs.google.com/spreadsheets/d/1swGwZOEqYlTEUCJLY-eeJM1911Kvaei5oySBIxdgtNo/edit?pli=1#gid=257618397"",""stock untanna!B:C""),2,false),V:V)"),"GARISAN SABLON 380")</f>
        <v>GARISAN SABLON 380</v>
      </c>
      <c r="F5381" s="49"/>
      <c r="G5381" s="71"/>
      <c r="H5381" s="41"/>
      <c r="I5381" s="42"/>
      <c r="J5381" s="85" t="s">
        <v>3190</v>
      </c>
      <c r="K5381" s="93">
        <v>1.0</v>
      </c>
      <c r="L5381" s="112" t="s">
        <v>62</v>
      </c>
      <c r="M5381" s="101">
        <v>32000.0</v>
      </c>
      <c r="N5381" s="74"/>
      <c r="O5381" s="87">
        <f t="shared" si="18"/>
        <v>32000</v>
      </c>
      <c r="P5381" s="102" t="str">
        <f t="shared" si="19"/>
        <v>Rp32,000-1 LSN-0.00%</v>
      </c>
      <c r="Q5381" s="121">
        <v>45437.0</v>
      </c>
      <c r="R5381" s="58"/>
      <c r="S5381" s="121">
        <v>45442.0</v>
      </c>
      <c r="T5381" s="91"/>
      <c r="V5381" s="51" t="s">
        <v>4267</v>
      </c>
    </row>
    <row r="5382">
      <c r="A5382" s="117">
        <v>4103.0</v>
      </c>
      <c r="B5382" s="51" t="s">
        <v>29</v>
      </c>
      <c r="C5382" s="51" t="s">
        <v>2134</v>
      </c>
      <c r="D5382" s="51" t="s">
        <v>2167</v>
      </c>
      <c r="E5382" s="41" t="str">
        <f>IFERROR(__xludf.DUMMYFUNCTION("IFNA(vlookup(D5382,IMPORTRANGE(""https://docs.google.com/spreadsheets/d/1swGwZOEqYlTEUCJLY-eeJM1911Kvaei5oySBIxdgtNo/edit?pli=1#gid=257618397"",""stock untanna!B:C""),2,false),V:V)"),"CAT AIR OPINI 120")</f>
        <v>CAT AIR OPINI 120</v>
      </c>
      <c r="F5382" s="49"/>
      <c r="G5382" s="71"/>
      <c r="H5382" s="41"/>
      <c r="I5382" s="42"/>
      <c r="J5382" s="85" t="s">
        <v>1319</v>
      </c>
      <c r="K5382" s="93">
        <v>3.0</v>
      </c>
      <c r="L5382" s="112" t="s">
        <v>62</v>
      </c>
      <c r="M5382" s="101">
        <v>120000.0</v>
      </c>
      <c r="N5382" s="74"/>
      <c r="O5382" s="87">
        <f t="shared" si="18"/>
        <v>360000</v>
      </c>
      <c r="P5382" s="102" t="str">
        <f t="shared" si="19"/>
        <v>Rp120,000-3 LSN-0.00%</v>
      </c>
      <c r="Q5382" s="121">
        <v>45437.0</v>
      </c>
      <c r="R5382" s="58"/>
      <c r="S5382" s="121">
        <v>45442.0</v>
      </c>
      <c r="T5382" s="91"/>
      <c r="V5382" s="51" t="s">
        <v>2168</v>
      </c>
    </row>
    <row r="5383">
      <c r="A5383" s="117">
        <v>4103.0</v>
      </c>
      <c r="B5383" s="51" t="s">
        <v>29</v>
      </c>
      <c r="C5383" s="51" t="s">
        <v>2134</v>
      </c>
      <c r="D5383" s="51" t="s">
        <v>31</v>
      </c>
      <c r="E5383" s="41" t="str">
        <f>IFERROR(__xludf.DUMMYFUNCTION("IFNA(vlookup(D5383,IMPORTRANGE(""https://docs.google.com/spreadsheets/d/1swGwZOEqYlTEUCJLY-eeJM1911Kvaei5oySBIxdgtNo/edit?pli=1#gid=257618397"",""stock untanna!B:C""),2,false),V:V)"),"ISI STAPLER 13/8 JOSS")</f>
        <v>ISI STAPLER 13/8 JOSS</v>
      </c>
      <c r="F5383" s="49"/>
      <c r="G5383" s="71"/>
      <c r="H5383" s="41"/>
      <c r="I5383" s="42"/>
      <c r="J5383" s="85" t="s">
        <v>1319</v>
      </c>
      <c r="K5383" s="93">
        <v>30.0</v>
      </c>
      <c r="L5383" s="112" t="s">
        <v>114</v>
      </c>
      <c r="M5383" s="101">
        <v>18500.0</v>
      </c>
      <c r="N5383" s="74"/>
      <c r="O5383" s="87">
        <f t="shared" si="18"/>
        <v>555000</v>
      </c>
      <c r="P5383" s="102" t="str">
        <f t="shared" si="19"/>
        <v>Rp18,500-30 PAK-0.00%</v>
      </c>
      <c r="Q5383" s="121">
        <v>45437.0</v>
      </c>
      <c r="R5383" s="58"/>
      <c r="S5383" s="121">
        <v>45442.0</v>
      </c>
      <c r="T5383" s="91"/>
      <c r="V5383" s="51" t="s">
        <v>113</v>
      </c>
    </row>
    <row r="5384">
      <c r="A5384" s="117">
        <v>4103.0</v>
      </c>
      <c r="B5384" s="51" t="s">
        <v>29</v>
      </c>
      <c r="C5384" s="51" t="s">
        <v>2134</v>
      </c>
      <c r="D5384" s="51" t="s">
        <v>723</v>
      </c>
      <c r="E5384" s="41" t="str">
        <f>IFERROR(__xludf.DUMMYFUNCTION("IFNA(vlookup(D5384,IMPORTRANGE(""https://docs.google.com/spreadsheets/d/1swGwZOEqYlTEUCJLY-eeJM1911Kvaei5oySBIxdgtNo/edit?pli=1#gid=257618397"",""stock untanna!B:C""),2,false),V:V)"),"PENSIL TF 788")</f>
        <v>PENSIL TF 788</v>
      </c>
      <c r="F5384" s="49"/>
      <c r="G5384" s="71"/>
      <c r="H5384" s="41"/>
      <c r="I5384" s="42"/>
      <c r="J5384" s="85" t="s">
        <v>1319</v>
      </c>
      <c r="K5384" s="93">
        <v>1.0</v>
      </c>
      <c r="L5384" s="112" t="s">
        <v>131</v>
      </c>
      <c r="M5384" s="101">
        <v>110000.0</v>
      </c>
      <c r="N5384" s="74"/>
      <c r="O5384" s="87">
        <f t="shared" si="18"/>
        <v>110000</v>
      </c>
      <c r="P5384" s="102" t="str">
        <f t="shared" si="19"/>
        <v>Rp110,000-1 GRS-0.00%</v>
      </c>
      <c r="Q5384" s="121">
        <v>45437.0</v>
      </c>
      <c r="R5384" s="58"/>
      <c r="S5384" s="121">
        <v>45442.0</v>
      </c>
      <c r="T5384" s="91"/>
      <c r="V5384" s="51" t="s">
        <v>724</v>
      </c>
    </row>
    <row r="5385">
      <c r="A5385" s="117">
        <v>4103.0</v>
      </c>
      <c r="B5385" s="51" t="s">
        <v>29</v>
      </c>
      <c r="C5385" s="51" t="s">
        <v>2134</v>
      </c>
      <c r="D5385" s="51" t="s">
        <v>129</v>
      </c>
      <c r="E5385" s="41" t="str">
        <f>IFERROR(__xludf.DUMMYFUNCTION("IFNA(vlookup(D5385,IMPORTRANGE(""https://docs.google.com/spreadsheets/d/1swGwZOEqYlTEUCJLY-eeJM1911Kvaei5oySBIxdgtNo/edit?pli=1#gid=257618397"",""stock untanna!B:C""),2,false),V:V)"),"PENSIL TF 688")</f>
        <v>PENSIL TF 688</v>
      </c>
      <c r="F5385" s="49"/>
      <c r="G5385" s="71"/>
      <c r="H5385" s="41"/>
      <c r="I5385" s="42"/>
      <c r="J5385" s="85" t="s">
        <v>1319</v>
      </c>
      <c r="K5385" s="93">
        <v>1.0</v>
      </c>
      <c r="L5385" s="112" t="s">
        <v>131</v>
      </c>
      <c r="M5385" s="101">
        <v>110000.0</v>
      </c>
      <c r="N5385" s="74"/>
      <c r="O5385" s="87">
        <f t="shared" si="18"/>
        <v>110000</v>
      </c>
      <c r="P5385" s="102" t="str">
        <f t="shared" si="19"/>
        <v>Rp110,000-1 GRS-0.00%</v>
      </c>
      <c r="Q5385" s="121">
        <v>45437.0</v>
      </c>
      <c r="R5385" s="58"/>
      <c r="S5385" s="121">
        <v>45442.0</v>
      </c>
      <c r="T5385" s="91"/>
      <c r="V5385" s="51" t="s">
        <v>130</v>
      </c>
    </row>
    <row r="5386">
      <c r="A5386" s="117">
        <v>4103.0</v>
      </c>
      <c r="B5386" s="51" t="s">
        <v>29</v>
      </c>
      <c r="C5386" s="51" t="s">
        <v>2134</v>
      </c>
      <c r="D5386" s="51" t="s">
        <v>132</v>
      </c>
      <c r="E5386" s="41" t="str">
        <f>IFERROR(__xludf.DUMMYFUNCTION("IFNA(vlookup(D5386,IMPORTRANGE(""https://docs.google.com/spreadsheets/d/1swGwZOEqYlTEUCJLY-eeJM1911Kvaei5oySBIxdgtNo/edit?pli=1#gid=257618397"",""stock untanna!B:C""),2,false),V:V)"),"PENSIL TF 488")</f>
        <v>PENSIL TF 488</v>
      </c>
      <c r="F5386" s="49"/>
      <c r="G5386" s="71"/>
      <c r="H5386" s="41"/>
      <c r="I5386" s="42"/>
      <c r="J5386" s="85" t="s">
        <v>1319</v>
      </c>
      <c r="K5386" s="93">
        <v>1.0</v>
      </c>
      <c r="L5386" s="112" t="s">
        <v>131</v>
      </c>
      <c r="M5386" s="101">
        <v>110000.0</v>
      </c>
      <c r="N5386" s="74"/>
      <c r="O5386" s="87">
        <f t="shared" si="18"/>
        <v>110000</v>
      </c>
      <c r="P5386" s="102" t="str">
        <f t="shared" si="19"/>
        <v>Rp110,000-1 GRS-0.00%</v>
      </c>
      <c r="Q5386" s="121">
        <v>45437.0</v>
      </c>
      <c r="R5386" s="58"/>
      <c r="S5386" s="121">
        <v>45442.0</v>
      </c>
      <c r="T5386" s="91"/>
      <c r="V5386" s="51" t="s">
        <v>133</v>
      </c>
    </row>
    <row r="5387">
      <c r="A5387" s="117">
        <v>4103.0</v>
      </c>
      <c r="B5387" s="51" t="s">
        <v>29</v>
      </c>
      <c r="C5387" s="51" t="s">
        <v>2134</v>
      </c>
      <c r="D5387" s="51" t="s">
        <v>2889</v>
      </c>
      <c r="E5387" s="41" t="str">
        <f>IFERROR(__xludf.DUMMYFUNCTION("IFNA(vlookup(D5387,IMPORTRANGE(""https://docs.google.com/spreadsheets/d/1swGwZOEqYlTEUCJLY-eeJM1911Kvaei5oySBIxdgtNo/edit?pli=1#gid=257618397"",""stock untanna!B:C""),2,false),V:V)"),"PENSIL TF 288")</f>
        <v>PENSIL TF 288</v>
      </c>
      <c r="F5387" s="49"/>
      <c r="G5387" s="71"/>
      <c r="H5387" s="41"/>
      <c r="I5387" s="42"/>
      <c r="J5387" s="85" t="s">
        <v>1319</v>
      </c>
      <c r="K5387" s="93">
        <v>1.0</v>
      </c>
      <c r="L5387" s="112" t="s">
        <v>131</v>
      </c>
      <c r="M5387" s="101">
        <v>110000.0</v>
      </c>
      <c r="N5387" s="74"/>
      <c r="O5387" s="87">
        <f t="shared" si="18"/>
        <v>110000</v>
      </c>
      <c r="P5387" s="102" t="str">
        <f t="shared" si="19"/>
        <v>Rp110,000-1 GRS-0.00%</v>
      </c>
      <c r="Q5387" s="121">
        <v>45437.0</v>
      </c>
      <c r="R5387" s="58"/>
      <c r="S5387" s="121">
        <v>45442.0</v>
      </c>
      <c r="T5387" s="91"/>
      <c r="V5387" s="51" t="s">
        <v>2890</v>
      </c>
    </row>
    <row r="5388">
      <c r="A5388" s="117">
        <v>4103.0</v>
      </c>
      <c r="B5388" s="51" t="s">
        <v>29</v>
      </c>
      <c r="C5388" s="51" t="s">
        <v>2134</v>
      </c>
      <c r="D5388" s="51" t="s">
        <v>3753</v>
      </c>
      <c r="E5388" s="41" t="str">
        <f>IFERROR(__xludf.DUMMYFUNCTION("IFNA(vlookup(D5388,IMPORTRANGE(""https://docs.google.com/spreadsheets/d/1swGwZOEqYlTEUCJLY-eeJM1911Kvaei5oySBIxdgtNo/edit?pli=1#gid=257618397"",""stock untanna!B:C""),2,false),V:V)"),"BP WEIYADA 681 HITAM")</f>
        <v>BP WEIYADA 681 HITAM</v>
      </c>
      <c r="F5388" s="49"/>
      <c r="G5388" s="71"/>
      <c r="H5388" s="41"/>
      <c r="I5388" s="42"/>
      <c r="J5388" s="85" t="s">
        <v>1319</v>
      </c>
      <c r="K5388" s="93">
        <v>12.0</v>
      </c>
      <c r="L5388" s="112" t="s">
        <v>62</v>
      </c>
      <c r="M5388" s="101">
        <v>45000.0</v>
      </c>
      <c r="N5388" s="74"/>
      <c r="O5388" s="87">
        <f t="shared" si="18"/>
        <v>540000</v>
      </c>
      <c r="P5388" s="102" t="str">
        <f t="shared" si="19"/>
        <v>Rp45,000-12 LSN-0.00%</v>
      </c>
      <c r="Q5388" s="121">
        <v>45437.0</v>
      </c>
      <c r="R5388" s="58"/>
      <c r="S5388" s="121">
        <v>45442.0</v>
      </c>
      <c r="T5388" s="91"/>
      <c r="V5388" s="51" t="s">
        <v>3754</v>
      </c>
    </row>
    <row r="5389">
      <c r="A5389" s="117">
        <v>4103.0</v>
      </c>
      <c r="B5389" s="51" t="s">
        <v>29</v>
      </c>
      <c r="C5389" s="51" t="s">
        <v>2134</v>
      </c>
      <c r="D5389" s="56"/>
      <c r="E5389" s="41" t="str">
        <f>IFERROR(__xludf.DUMMYFUNCTION("IFNA(vlookup(D5389,IMPORTRANGE(""https://docs.google.com/spreadsheets/d/1swGwZOEqYlTEUCJLY-eeJM1911Kvaei5oySBIxdgtNo/edit?pli=1#gid=257618397"",""stock untanna!B:C""),2,false),V:V)"),"GARISAN ENTER 180")</f>
        <v>GARISAN ENTER 180</v>
      </c>
      <c r="F5389" s="49"/>
      <c r="G5389" s="71"/>
      <c r="H5389" s="41"/>
      <c r="I5389" s="42"/>
      <c r="J5389" s="85" t="s">
        <v>3190</v>
      </c>
      <c r="K5389" s="93">
        <v>6.0</v>
      </c>
      <c r="L5389" s="112" t="s">
        <v>62</v>
      </c>
      <c r="M5389" s="101">
        <v>10000.0</v>
      </c>
      <c r="N5389" s="74"/>
      <c r="O5389" s="87">
        <f t="shared" si="18"/>
        <v>60000</v>
      </c>
      <c r="P5389" s="102" t="str">
        <f t="shared" si="19"/>
        <v>Rp10,000-6 LSN-0.00%</v>
      </c>
      <c r="Q5389" s="121">
        <v>45437.0</v>
      </c>
      <c r="R5389" s="58"/>
      <c r="S5389" s="121">
        <v>45442.0</v>
      </c>
      <c r="T5389" s="91"/>
      <c r="V5389" s="51" t="s">
        <v>4268</v>
      </c>
    </row>
    <row r="5390">
      <c r="A5390" s="117">
        <v>4103.0</v>
      </c>
      <c r="B5390" s="51" t="s">
        <v>29</v>
      </c>
      <c r="C5390" s="51" t="s">
        <v>2134</v>
      </c>
      <c r="D5390" s="51" t="s">
        <v>748</v>
      </c>
      <c r="E5390" s="41" t="str">
        <f>IFERROR(__xludf.DUMMYFUNCTION("IFNA(vlookup(D5390,IMPORTRANGE(""https://docs.google.com/spreadsheets/d/1swGwZOEqYlTEUCJLY-eeJM1911Kvaei5oySBIxdgtNo/edit?pli=1#gid=257618397"",""stock untanna!B:C""),2,false),V:V)"),"GARISAN BT 30 CM")</f>
        <v>GARISAN BT 30 CM</v>
      </c>
      <c r="F5390" s="49"/>
      <c r="G5390" s="71"/>
      <c r="H5390" s="41"/>
      <c r="I5390" s="42"/>
      <c r="J5390" s="85" t="s">
        <v>1319</v>
      </c>
      <c r="K5390" s="93">
        <v>25.0</v>
      </c>
      <c r="L5390" s="112" t="s">
        <v>62</v>
      </c>
      <c r="M5390" s="101">
        <v>27000.0</v>
      </c>
      <c r="N5390" s="74"/>
      <c r="O5390" s="87">
        <f t="shared" si="18"/>
        <v>675000</v>
      </c>
      <c r="P5390" s="102" t="str">
        <f t="shared" si="19"/>
        <v>Rp27,000-25 LSN-0.00%</v>
      </c>
      <c r="Q5390" s="121">
        <v>45437.0</v>
      </c>
      <c r="R5390" s="58"/>
      <c r="S5390" s="121">
        <v>45442.0</v>
      </c>
      <c r="T5390" s="91"/>
      <c r="V5390" s="51" t="s">
        <v>749</v>
      </c>
    </row>
    <row r="5391">
      <c r="A5391" s="117">
        <v>4103.0</v>
      </c>
      <c r="B5391" s="51" t="s">
        <v>29</v>
      </c>
      <c r="C5391" s="51" t="s">
        <v>2134</v>
      </c>
      <c r="D5391" s="51" t="s">
        <v>163</v>
      </c>
      <c r="E5391" s="41" t="str">
        <f>IFERROR(__xludf.DUMMYFUNCTION("IFNA(vlookup(D5391,IMPORTRANGE(""https://docs.google.com/spreadsheets/d/1swGwZOEqYlTEUCJLY-eeJM1911Kvaei5oySBIxdgtNo/edit?pli=1#gid=257618397"",""stock untanna!B:C""),2,false),V:V)"),"KARTU ABSENSI KOJIKO DUS MERAH")</f>
        <v>KARTU ABSENSI KOJIKO DUS MERAH</v>
      </c>
      <c r="F5391" s="49"/>
      <c r="G5391" s="71"/>
      <c r="H5391" s="41"/>
      <c r="I5391" s="42"/>
      <c r="J5391" s="85" t="s">
        <v>1319</v>
      </c>
      <c r="K5391" s="93">
        <v>10.0</v>
      </c>
      <c r="L5391" s="112" t="s">
        <v>114</v>
      </c>
      <c r="M5391" s="101">
        <v>20000.0</v>
      </c>
      <c r="N5391" s="74"/>
      <c r="O5391" s="87">
        <f t="shared" si="18"/>
        <v>200000</v>
      </c>
      <c r="P5391" s="102" t="str">
        <f t="shared" si="19"/>
        <v>Rp20,000-10 PAK-0.00%</v>
      </c>
      <c r="Q5391" s="121">
        <v>45437.0</v>
      </c>
      <c r="R5391" s="58"/>
      <c r="S5391" s="121">
        <v>45442.0</v>
      </c>
      <c r="T5391" s="91"/>
      <c r="V5391" s="51" t="s">
        <v>164</v>
      </c>
    </row>
    <row r="5392">
      <c r="A5392" s="117">
        <v>4103.0</v>
      </c>
      <c r="B5392" s="51" t="s">
        <v>29</v>
      </c>
      <c r="C5392" s="51" t="s">
        <v>2134</v>
      </c>
      <c r="D5392" s="56"/>
      <c r="E5392" s="41" t="str">
        <f>IFERROR(__xludf.DUMMYFUNCTION("IFNA(vlookup(D5392,IMPORTRANGE(""https://docs.google.com/spreadsheets/d/1swGwZOEqYlTEUCJLY-eeJM1911Kvaei5oySBIxdgtNo/edit?pli=1#gid=257618397"",""stock untanna!B:C""),2,false),V:V)"),"MIKA SAMPUL 34 X 5 TANGGUNG")</f>
        <v>MIKA SAMPUL 34 X 5 TANGGUNG</v>
      </c>
      <c r="F5392" s="49"/>
      <c r="G5392" s="71"/>
      <c r="H5392" s="41"/>
      <c r="I5392" s="42"/>
      <c r="J5392" s="85" t="s">
        <v>3190</v>
      </c>
      <c r="K5392" s="93">
        <v>250.0</v>
      </c>
      <c r="L5392" s="112" t="s">
        <v>69</v>
      </c>
      <c r="M5392" s="101">
        <v>7000.0</v>
      </c>
      <c r="N5392" s="74"/>
      <c r="O5392" s="87">
        <f t="shared" si="18"/>
        <v>1750000</v>
      </c>
      <c r="P5392" s="102" t="str">
        <f t="shared" si="19"/>
        <v>Rp7,000-250 PCS-0.00%</v>
      </c>
      <c r="Q5392" s="121">
        <v>45437.0</v>
      </c>
      <c r="R5392" s="58"/>
      <c r="S5392" s="121">
        <v>45442.0</v>
      </c>
      <c r="T5392" s="91"/>
      <c r="V5392" s="51" t="s">
        <v>4269</v>
      </c>
    </row>
    <row r="5393">
      <c r="A5393" s="117">
        <v>4103.0</v>
      </c>
      <c r="B5393" s="51" t="s">
        <v>29</v>
      </c>
      <c r="C5393" s="51" t="s">
        <v>2134</v>
      </c>
      <c r="D5393" s="51" t="s">
        <v>93</v>
      </c>
      <c r="E5393" s="41" t="str">
        <f>IFERROR(__xludf.DUMMYFUNCTION("IFNA(vlookup(D5393,IMPORTRANGE(""https://docs.google.com/spreadsheets/d/1swGwZOEqYlTEUCJLY-eeJM1911Kvaei5oySBIxdgtNo/edit?pli=1#gid=257618397"",""stock untanna!B:C""),2,false),V:V)"),"CLIPBOARD SQ KAYU KOTAK")</f>
        <v>CLIPBOARD SQ KAYU KOTAK</v>
      </c>
      <c r="F5393" s="49"/>
      <c r="G5393" s="71"/>
      <c r="H5393" s="41"/>
      <c r="I5393" s="42"/>
      <c r="J5393" s="85" t="s">
        <v>1319</v>
      </c>
      <c r="K5393" s="93">
        <v>6.0</v>
      </c>
      <c r="L5393" s="112" t="s">
        <v>62</v>
      </c>
      <c r="M5393" s="101">
        <v>45000.0</v>
      </c>
      <c r="N5393" s="74"/>
      <c r="O5393" s="87">
        <f t="shared" si="18"/>
        <v>270000</v>
      </c>
      <c r="P5393" s="102" t="str">
        <f t="shared" si="19"/>
        <v>Rp45,000-6 LSN-0.00%</v>
      </c>
      <c r="Q5393" s="121">
        <v>45437.0</v>
      </c>
      <c r="R5393" s="58"/>
      <c r="S5393" s="121">
        <v>45442.0</v>
      </c>
      <c r="T5393" s="91"/>
      <c r="V5393" s="51" t="s">
        <v>94</v>
      </c>
    </row>
    <row r="5394">
      <c r="A5394" s="117">
        <v>4103.0</v>
      </c>
      <c r="B5394" s="51" t="s">
        <v>29</v>
      </c>
      <c r="C5394" s="51" t="s">
        <v>2134</v>
      </c>
      <c r="D5394" s="51" t="s">
        <v>804</v>
      </c>
      <c r="E5394" s="41" t="str">
        <f>IFERROR(__xludf.DUMMYFUNCTION("IFNA(vlookup(D5394,IMPORTRANGE(""https://docs.google.com/spreadsheets/d/1swGwZOEqYlTEUCJLY-eeJM1911Kvaei5oySBIxdgtNo/edit?pli=1#gid=257618397"",""stock untanna!B:C""),2,false),V:V)"),"NOTES 156-80")</f>
        <v>NOTES 156-80</v>
      </c>
      <c r="F5394" s="49"/>
      <c r="G5394" s="71"/>
      <c r="H5394" s="41"/>
      <c r="I5394" s="42"/>
      <c r="J5394" s="85" t="s">
        <v>1319</v>
      </c>
      <c r="K5394" s="93">
        <v>6.0</v>
      </c>
      <c r="L5394" s="112" t="s">
        <v>62</v>
      </c>
      <c r="M5394" s="101">
        <v>37500.0</v>
      </c>
      <c r="N5394" s="74"/>
      <c r="O5394" s="87">
        <f t="shared" si="18"/>
        <v>225000</v>
      </c>
      <c r="P5394" s="102" t="str">
        <f t="shared" si="19"/>
        <v>Rp37,500-6 LSN-0.00%</v>
      </c>
      <c r="Q5394" s="121">
        <v>45437.0</v>
      </c>
      <c r="R5394" s="58"/>
      <c r="S5394" s="121">
        <v>45442.0</v>
      </c>
      <c r="T5394" s="91"/>
      <c r="V5394" s="51" t="s">
        <v>805</v>
      </c>
    </row>
    <row r="5395">
      <c r="A5395" s="117">
        <v>4104.0</v>
      </c>
      <c r="B5395" s="51" t="s">
        <v>29</v>
      </c>
      <c r="C5395" s="51" t="s">
        <v>2134</v>
      </c>
      <c r="D5395" s="51" t="s">
        <v>4270</v>
      </c>
      <c r="E5395" s="41" t="str">
        <f>IFERROR(__xludf.DUMMYFUNCTION("IFNA(vlookup(D5395,IMPORTRANGE(""https://docs.google.com/spreadsheets/d/1swGwZOEqYlTEUCJLY-eeJM1911Kvaei5oySBIxdgtNo/edit?pli=1#gid=257618397"",""stock untanna!B:C""),2,false),V:V)"),"LABEL HARGA KOJIKO 112")</f>
        <v>LABEL HARGA KOJIKO 112</v>
      </c>
      <c r="F5395" s="49"/>
      <c r="G5395" s="71"/>
      <c r="H5395" s="41"/>
      <c r="I5395" s="42"/>
      <c r="J5395" s="85" t="s">
        <v>1319</v>
      </c>
      <c r="K5395" s="93">
        <v>50.0</v>
      </c>
      <c r="L5395" s="112" t="s">
        <v>69</v>
      </c>
      <c r="M5395" s="101">
        <v>2600.0</v>
      </c>
      <c r="N5395" s="74"/>
      <c r="O5395" s="87">
        <f t="shared" si="18"/>
        <v>130000</v>
      </c>
      <c r="P5395" s="102" t="str">
        <f t="shared" si="19"/>
        <v>Rp2,600-50 PCS-0.00%</v>
      </c>
      <c r="Q5395" s="121">
        <v>45437.0</v>
      </c>
      <c r="R5395" s="58"/>
      <c r="S5395" s="121">
        <v>45442.0</v>
      </c>
      <c r="T5395" s="91"/>
      <c r="V5395" s="51" t="s">
        <v>4271</v>
      </c>
    </row>
    <row r="5396">
      <c r="A5396" s="117">
        <v>4104.0</v>
      </c>
      <c r="B5396" s="51" t="s">
        <v>29</v>
      </c>
      <c r="C5396" s="51" t="s">
        <v>2134</v>
      </c>
      <c r="D5396" s="51" t="s">
        <v>4272</v>
      </c>
      <c r="E5396" s="41" t="str">
        <f>IFERROR(__xludf.DUMMYFUNCTION("IFNA(vlookup(D5396,IMPORTRANGE(""https://docs.google.com/spreadsheets/d/1swGwZOEqYlTEUCJLY-eeJM1911Kvaei5oySBIxdgtNo/edit?pli=1#gid=257618397"",""stock untanna!B:C""),2,false),V:V)"),"LABEL HARGA KOJIKO 103")</f>
        <v>LABEL HARGA KOJIKO 103</v>
      </c>
      <c r="F5396" s="49"/>
      <c r="G5396" s="71"/>
      <c r="H5396" s="41"/>
      <c r="I5396" s="42"/>
      <c r="J5396" s="85" t="s">
        <v>1319</v>
      </c>
      <c r="K5396" s="93">
        <v>50.0</v>
      </c>
      <c r="L5396" s="112" t="s">
        <v>69</v>
      </c>
      <c r="M5396" s="101">
        <v>2600.0</v>
      </c>
      <c r="N5396" s="74"/>
      <c r="O5396" s="87">
        <f t="shared" si="18"/>
        <v>130000</v>
      </c>
      <c r="P5396" s="102" t="str">
        <f t="shared" si="19"/>
        <v>Rp2,600-50 PCS-0.00%</v>
      </c>
      <c r="Q5396" s="121">
        <v>45437.0</v>
      </c>
      <c r="R5396" s="58"/>
      <c r="S5396" s="121">
        <v>45442.0</v>
      </c>
      <c r="T5396" s="91"/>
      <c r="V5396" s="51" t="s">
        <v>4273</v>
      </c>
    </row>
    <row r="5397">
      <c r="A5397" s="117">
        <v>4104.0</v>
      </c>
      <c r="B5397" s="51" t="s">
        <v>29</v>
      </c>
      <c r="C5397" s="51" t="s">
        <v>2134</v>
      </c>
      <c r="D5397" s="51" t="s">
        <v>2195</v>
      </c>
      <c r="E5397" s="41" t="str">
        <f>IFERROR(__xludf.DUMMYFUNCTION("IFNA(vlookup(D5397,IMPORTRANGE(""https://docs.google.com/spreadsheets/d/1swGwZOEqYlTEUCJLY-eeJM1911Kvaei5oySBIxdgtNo/edit?pli=1#gid=257618397"",""stock untanna!B:C""),2,false),V:V)"),"DOUBLE TAPE FOAM 24MM")</f>
        <v>DOUBLE TAPE FOAM 24MM</v>
      </c>
      <c r="F5397" s="49"/>
      <c r="G5397" s="71"/>
      <c r="H5397" s="41"/>
      <c r="I5397" s="42"/>
      <c r="J5397" s="85" t="s">
        <v>1319</v>
      </c>
      <c r="K5397" s="93">
        <v>48.0</v>
      </c>
      <c r="L5397" s="112" t="s">
        <v>69</v>
      </c>
      <c r="M5397" s="101">
        <v>11000.0</v>
      </c>
      <c r="N5397" s="74"/>
      <c r="O5397" s="87">
        <f t="shared" si="18"/>
        <v>528000</v>
      </c>
      <c r="P5397" s="102" t="str">
        <f t="shared" si="19"/>
        <v>Rp11,000-48 PCS-0.00%</v>
      </c>
      <c r="Q5397" s="121">
        <v>45437.0</v>
      </c>
      <c r="R5397" s="58"/>
      <c r="S5397" s="121">
        <v>45442.0</v>
      </c>
      <c r="T5397" s="91"/>
      <c r="V5397" s="51" t="s">
        <v>2196</v>
      </c>
    </row>
    <row r="5398">
      <c r="A5398" s="117">
        <v>4104.0</v>
      </c>
      <c r="B5398" s="51" t="s">
        <v>29</v>
      </c>
      <c r="C5398" s="51" t="s">
        <v>2134</v>
      </c>
      <c r="D5398" s="51" t="s">
        <v>732</v>
      </c>
      <c r="E5398" s="41" t="str">
        <f>IFERROR(__xludf.DUMMYFUNCTION("IFNA(vlookup(D5398,IMPORTRANGE(""https://docs.google.com/spreadsheets/d/1swGwZOEqYlTEUCJLY-eeJM1911Kvaei5oySBIxdgtNo/edit?pli=1#gid=257618397"",""stock untanna!B:C""),2,false),V:V)"),"MESIN TEMBAK BIXDONE HE E2010 K (65 BLK) KECIL")</f>
        <v>MESIN TEMBAK BIXDONE HE E2010 K (65 BLK) KECIL</v>
      </c>
      <c r="F5398" s="49"/>
      <c r="G5398" s="71"/>
      <c r="H5398" s="41"/>
      <c r="I5398" s="42"/>
      <c r="J5398" s="85" t="s">
        <v>1319</v>
      </c>
      <c r="K5398" s="93">
        <v>24.0</v>
      </c>
      <c r="L5398" s="112" t="s">
        <v>69</v>
      </c>
      <c r="M5398" s="101">
        <v>32500.0</v>
      </c>
      <c r="N5398" s="74"/>
      <c r="O5398" s="87">
        <f t="shared" si="18"/>
        <v>780000</v>
      </c>
      <c r="P5398" s="102" t="str">
        <f t="shared" si="19"/>
        <v>Rp32,500-24 PCS-0.00%</v>
      </c>
      <c r="Q5398" s="121">
        <v>45437.0</v>
      </c>
      <c r="R5398" s="58"/>
      <c r="S5398" s="121">
        <v>45442.0</v>
      </c>
      <c r="T5398" s="91"/>
      <c r="V5398" s="51" t="s">
        <v>733</v>
      </c>
    </row>
    <row r="5399">
      <c r="A5399" s="117">
        <v>4104.0</v>
      </c>
      <c r="B5399" s="51" t="s">
        <v>29</v>
      </c>
      <c r="C5399" s="51" t="s">
        <v>2134</v>
      </c>
      <c r="D5399" s="51" t="s">
        <v>2176</v>
      </c>
      <c r="E5399" s="41" t="str">
        <f>IFERROR(__xludf.DUMMYFUNCTION("IFNA(vlookup(D5399,IMPORTRANGE(""https://docs.google.com/spreadsheets/d/1swGwZOEqYlTEUCJLY-eeJM1911Kvaei5oySBIxdgtNo/edit?pli=1#gid=257618397"",""stock untanna!B:C""),2,false),V:V)"),"LEM TEMBAK K PUTIH MS")</f>
        <v>LEM TEMBAK K PUTIH MS</v>
      </c>
      <c r="F5399" s="49"/>
      <c r="G5399" s="71"/>
      <c r="H5399" s="41"/>
      <c r="I5399" s="42"/>
      <c r="J5399" s="85" t="s">
        <v>1319</v>
      </c>
      <c r="K5399" s="93">
        <v>15.0</v>
      </c>
      <c r="L5399" s="112" t="s">
        <v>114</v>
      </c>
      <c r="M5399" s="101">
        <v>70000.0</v>
      </c>
      <c r="N5399" s="74"/>
      <c r="O5399" s="87">
        <f t="shared" si="18"/>
        <v>1050000</v>
      </c>
      <c r="P5399" s="102" t="str">
        <f t="shared" si="19"/>
        <v>Rp70,000-15 PAK-0.00%</v>
      </c>
      <c r="Q5399" s="121">
        <v>45437.0</v>
      </c>
      <c r="R5399" s="58"/>
      <c r="S5399" s="121">
        <v>45442.0</v>
      </c>
      <c r="T5399" s="91"/>
      <c r="V5399" s="51" t="s">
        <v>2177</v>
      </c>
    </row>
    <row r="5400">
      <c r="A5400" s="117">
        <v>4104.0</v>
      </c>
      <c r="B5400" s="51" t="s">
        <v>29</v>
      </c>
      <c r="C5400" s="51" t="s">
        <v>2134</v>
      </c>
      <c r="D5400" s="51" t="s">
        <v>505</v>
      </c>
      <c r="E5400" s="41" t="str">
        <f>IFERROR(__xludf.DUMMYFUNCTION("IFNA(vlookup(D5400,IMPORTRANGE(""https://docs.google.com/spreadsheets/d/1swGwZOEqYlTEUCJLY-eeJM1911Kvaei5oySBIxdgtNo/edit?pli=1#gid=257618397"",""stock untanna!B:C""),2,false),V:V)"),"CUTTER TACO 88 BESAR")</f>
        <v>CUTTER TACO 88 BESAR</v>
      </c>
      <c r="F5400" s="49"/>
      <c r="G5400" s="71"/>
      <c r="H5400" s="41"/>
      <c r="I5400" s="42"/>
      <c r="J5400" s="85" t="s">
        <v>1319</v>
      </c>
      <c r="K5400" s="93">
        <v>6.0</v>
      </c>
      <c r="L5400" s="112" t="s">
        <v>62</v>
      </c>
      <c r="M5400" s="101">
        <v>33000.0</v>
      </c>
      <c r="N5400" s="74"/>
      <c r="O5400" s="87">
        <f t="shared" si="18"/>
        <v>198000</v>
      </c>
      <c r="P5400" s="102" t="str">
        <f t="shared" si="19"/>
        <v>Rp33,000-6 LSN-0.00%</v>
      </c>
      <c r="Q5400" s="121">
        <v>45437.0</v>
      </c>
      <c r="R5400" s="58"/>
      <c r="S5400" s="121">
        <v>45442.0</v>
      </c>
      <c r="T5400" s="91"/>
      <c r="V5400" s="51" t="s">
        <v>506</v>
      </c>
    </row>
    <row r="5401">
      <c r="A5401" s="117">
        <v>4104.0</v>
      </c>
      <c r="B5401" s="51" t="s">
        <v>29</v>
      </c>
      <c r="C5401" s="51" t="s">
        <v>2134</v>
      </c>
      <c r="D5401" s="51" t="s">
        <v>503</v>
      </c>
      <c r="E5401" s="41" t="str">
        <f>IFERROR(__xludf.DUMMYFUNCTION("IFNA(vlookup(D5401,IMPORTRANGE(""https://docs.google.com/spreadsheets/d/1swGwZOEqYlTEUCJLY-eeJM1911Kvaei5oySBIxdgtNo/edit?pli=1#gid=257618397"",""stock untanna!B:C""),2,false),V:V)"),"CUTTER TACO 78 KECIL TRANSPARAN")</f>
        <v>CUTTER TACO 78 KECIL TRANSPARAN</v>
      </c>
      <c r="F5401" s="49"/>
      <c r="G5401" s="71"/>
      <c r="H5401" s="41"/>
      <c r="I5401" s="42"/>
      <c r="J5401" s="85" t="s">
        <v>1319</v>
      </c>
      <c r="K5401" s="93">
        <v>6.0</v>
      </c>
      <c r="L5401" s="112" t="s">
        <v>62</v>
      </c>
      <c r="M5401" s="101">
        <v>23000.0</v>
      </c>
      <c r="N5401" s="74"/>
      <c r="O5401" s="87">
        <f t="shared" si="18"/>
        <v>138000</v>
      </c>
      <c r="P5401" s="102" t="str">
        <f t="shared" si="19"/>
        <v>Rp23,000-6 LSN-0.00%</v>
      </c>
      <c r="Q5401" s="121">
        <v>45437.0</v>
      </c>
      <c r="R5401" s="58"/>
      <c r="S5401" s="121">
        <v>45442.0</v>
      </c>
      <c r="T5401" s="91"/>
      <c r="V5401" s="51" t="s">
        <v>504</v>
      </c>
    </row>
    <row r="5402">
      <c r="A5402" s="117">
        <v>4104.0</v>
      </c>
      <c r="B5402" s="51" t="s">
        <v>29</v>
      </c>
      <c r="C5402" s="51" t="s">
        <v>2134</v>
      </c>
      <c r="D5402" s="56"/>
      <c r="E5402" s="41" t="str">
        <f>IFERROR(__xludf.DUMMYFUNCTION("IFNA(vlookup(D5402,IMPORTRANGE(""https://docs.google.com/spreadsheets/d/1swGwZOEqYlTEUCJLY-eeJM1911Kvaei5oySBIxdgtNo/edit?pli=1#gid=257618397"",""stock untanna!B:C""),2,false),V:V)"),"ID CARD B2")</f>
        <v>ID CARD B2</v>
      </c>
      <c r="F5402" s="49"/>
      <c r="G5402" s="71"/>
      <c r="H5402" s="41"/>
      <c r="I5402" s="42"/>
      <c r="J5402" s="85" t="s">
        <v>1319</v>
      </c>
      <c r="K5402" s="93">
        <v>600.0</v>
      </c>
      <c r="L5402" s="112" t="s">
        <v>69</v>
      </c>
      <c r="M5402" s="101">
        <v>550.0</v>
      </c>
      <c r="N5402" s="74"/>
      <c r="O5402" s="87">
        <f t="shared" si="18"/>
        <v>330000</v>
      </c>
      <c r="P5402" s="102" t="str">
        <f t="shared" si="19"/>
        <v>Rp550-600 PCS-0.00%</v>
      </c>
      <c r="Q5402" s="121">
        <v>45437.0</v>
      </c>
      <c r="R5402" s="58"/>
      <c r="S5402" s="121">
        <v>45442.0</v>
      </c>
      <c r="T5402" s="77" t="s">
        <v>280</v>
      </c>
      <c r="V5402" s="51" t="s">
        <v>4274</v>
      </c>
    </row>
    <row r="5403">
      <c r="A5403" s="117">
        <v>4104.0</v>
      </c>
      <c r="B5403" s="51" t="s">
        <v>29</v>
      </c>
      <c r="C5403" s="51" t="s">
        <v>2134</v>
      </c>
      <c r="D5403" s="51" t="s">
        <v>2389</v>
      </c>
      <c r="E5403" s="41" t="str">
        <f>IFERROR(__xludf.DUMMYFUNCTION("IFNA(vlookup(D5403,IMPORTRANGE(""https://docs.google.com/spreadsheets/d/1swGwZOEqYlTEUCJLY-eeJM1911Kvaei5oySBIxdgtNo/edit?pli=1#gid=257618397"",""stock untanna!B:C""),2,false),V:V)"),"ID CARD B3 IMPORT")</f>
        <v>ID CARD B3 IMPORT</v>
      </c>
      <c r="F5403" s="49"/>
      <c r="G5403" s="71"/>
      <c r="H5403" s="41"/>
      <c r="I5403" s="42"/>
      <c r="J5403" s="85" t="s">
        <v>1319</v>
      </c>
      <c r="K5403" s="93">
        <v>600.0</v>
      </c>
      <c r="L5403" s="112" t="s">
        <v>69</v>
      </c>
      <c r="M5403" s="101">
        <v>650.0</v>
      </c>
      <c r="N5403" s="74"/>
      <c r="O5403" s="87">
        <f t="shared" si="18"/>
        <v>390000</v>
      </c>
      <c r="P5403" s="102" t="str">
        <f t="shared" si="19"/>
        <v>Rp650-600 PCS-0.00%</v>
      </c>
      <c r="Q5403" s="121">
        <v>45437.0</v>
      </c>
      <c r="R5403" s="58"/>
      <c r="S5403" s="121">
        <v>45442.0</v>
      </c>
      <c r="T5403" s="91"/>
      <c r="V5403" s="51" t="s">
        <v>2390</v>
      </c>
    </row>
    <row r="5404">
      <c r="A5404" s="117">
        <v>4104.0</v>
      </c>
      <c r="B5404" s="51" t="s">
        <v>29</v>
      </c>
      <c r="C5404" s="51" t="s">
        <v>2134</v>
      </c>
      <c r="D5404" s="51" t="s">
        <v>4275</v>
      </c>
      <c r="E5404" s="41" t="str">
        <f>IFERROR(__xludf.DUMMYFUNCTION("IFNA(vlookup(D5404,IMPORTRANGE(""https://docs.google.com/spreadsheets/d/1swGwZOEqYlTEUCJLY-eeJM1911Kvaei5oySBIxdgtNo/edit?pli=1#gid=257618397"",""stock untanna!B:C""),2,false),V:V)"),"ID CARD A1")</f>
        <v>ID CARD A1</v>
      </c>
      <c r="F5404" s="49"/>
      <c r="G5404" s="71"/>
      <c r="H5404" s="41"/>
      <c r="I5404" s="42"/>
      <c r="J5404" s="85" t="s">
        <v>1319</v>
      </c>
      <c r="K5404" s="93">
        <v>600.0</v>
      </c>
      <c r="L5404" s="112" t="s">
        <v>69</v>
      </c>
      <c r="M5404" s="101">
        <v>450.0</v>
      </c>
      <c r="N5404" s="74"/>
      <c r="O5404" s="87">
        <f t="shared" si="18"/>
        <v>270000</v>
      </c>
      <c r="P5404" s="102" t="str">
        <f t="shared" si="19"/>
        <v>Rp450-600 PCS-0.00%</v>
      </c>
      <c r="Q5404" s="121">
        <v>45437.0</v>
      </c>
      <c r="R5404" s="58"/>
      <c r="S5404" s="121">
        <v>45442.0</v>
      </c>
      <c r="T5404" s="91"/>
      <c r="V5404" s="51" t="s">
        <v>1996</v>
      </c>
    </row>
    <row r="5405">
      <c r="A5405" s="117">
        <v>4104.0</v>
      </c>
      <c r="B5405" s="51" t="s">
        <v>29</v>
      </c>
      <c r="C5405" s="51" t="s">
        <v>2134</v>
      </c>
      <c r="D5405" s="51" t="s">
        <v>4191</v>
      </c>
      <c r="E5405" s="41" t="str">
        <f>IFERROR(__xludf.DUMMYFUNCTION("IFNA(vlookup(D5405,IMPORTRANGE(""https://docs.google.com/spreadsheets/d/1swGwZOEqYlTEUCJLY-eeJM1911Kvaei5oySBIxdgtNo/edit?pli=1#gid=257618397"",""stock untanna!B:C""),2,false),V:V)"),"ID CARD A2")</f>
        <v>ID CARD A2</v>
      </c>
      <c r="F5405" s="49"/>
      <c r="G5405" s="71"/>
      <c r="H5405" s="41"/>
      <c r="I5405" s="42"/>
      <c r="J5405" s="85" t="s">
        <v>1319</v>
      </c>
      <c r="K5405" s="93">
        <v>600.0</v>
      </c>
      <c r="L5405" s="112" t="s">
        <v>69</v>
      </c>
      <c r="M5405" s="101">
        <v>550.0</v>
      </c>
      <c r="N5405" s="74"/>
      <c r="O5405" s="87">
        <f t="shared" si="18"/>
        <v>330000</v>
      </c>
      <c r="P5405" s="102" t="str">
        <f t="shared" si="19"/>
        <v>Rp550-600 PCS-0.00%</v>
      </c>
      <c r="Q5405" s="121">
        <v>45437.0</v>
      </c>
      <c r="R5405" s="58"/>
      <c r="S5405" s="121">
        <v>45442.0</v>
      </c>
      <c r="T5405" s="91"/>
      <c r="V5405" s="51" t="s">
        <v>3129</v>
      </c>
    </row>
    <row r="5406">
      <c r="A5406" s="117">
        <v>4104.0</v>
      </c>
      <c r="B5406" s="51" t="s">
        <v>29</v>
      </c>
      <c r="C5406" s="51" t="s">
        <v>2134</v>
      </c>
      <c r="D5406" s="51" t="s">
        <v>77</v>
      </c>
      <c r="E5406" s="41" t="str">
        <f>IFERROR(__xludf.DUMMYFUNCTION("IFNA(vlookup(D5406,IMPORTRANGE(""https://docs.google.com/spreadsheets/d/1swGwZOEqYlTEUCJLY-eeJM1911Kvaei5oySBIxdgtNo/edit?pli=1#gid=257618397"",""stock untanna!B:C""),2,false),V:V)"),"ID CARD B4 IMPORT")</f>
        <v>ID CARD B4 IMPORT</v>
      </c>
      <c r="F5406" s="49"/>
      <c r="G5406" s="71"/>
      <c r="H5406" s="41"/>
      <c r="I5406" s="42"/>
      <c r="J5406" s="85" t="s">
        <v>1319</v>
      </c>
      <c r="K5406" s="93">
        <v>600.0</v>
      </c>
      <c r="L5406" s="112" t="s">
        <v>69</v>
      </c>
      <c r="M5406" s="101">
        <v>800.0</v>
      </c>
      <c r="N5406" s="74"/>
      <c r="O5406" s="87">
        <f t="shared" si="18"/>
        <v>480000</v>
      </c>
      <c r="P5406" s="102" t="str">
        <f t="shared" si="19"/>
        <v>Rp800-600 PCS-0.00%</v>
      </c>
      <c r="Q5406" s="121">
        <v>45437.0</v>
      </c>
      <c r="R5406" s="58"/>
      <c r="S5406" s="121">
        <v>45442.0</v>
      </c>
      <c r="T5406" s="91"/>
      <c r="V5406" s="51" t="s">
        <v>78</v>
      </c>
    </row>
    <row r="5407">
      <c r="A5407" s="117">
        <v>4104.0</v>
      </c>
      <c r="B5407" s="51" t="s">
        <v>29</v>
      </c>
      <c r="C5407" s="51" t="s">
        <v>2134</v>
      </c>
      <c r="D5407" s="51" t="s">
        <v>101</v>
      </c>
      <c r="E5407" s="41" t="str">
        <f>IFERROR(__xludf.DUMMYFUNCTION("IFNA(vlookup(D5407,IMPORTRANGE(""https://docs.google.com/spreadsheets/d/1swGwZOEqYlTEUCJLY-eeJM1911Kvaei5oySBIxdgtNo/edit?pli=1#gid=257618397"",""stock untanna!B:C""),2,false),V:V)"),"TALI ID CARD PEONY BIRU")</f>
        <v>TALI ID CARD PEONY BIRU</v>
      </c>
      <c r="F5407" s="49"/>
      <c r="G5407" s="71"/>
      <c r="H5407" s="41"/>
      <c r="I5407" s="42"/>
      <c r="J5407" s="85" t="s">
        <v>1319</v>
      </c>
      <c r="K5407" s="93">
        <v>600.0</v>
      </c>
      <c r="L5407" s="112" t="s">
        <v>69</v>
      </c>
      <c r="M5407" s="101">
        <v>650.0</v>
      </c>
      <c r="N5407" s="74"/>
      <c r="O5407" s="87">
        <f t="shared" si="18"/>
        <v>390000</v>
      </c>
      <c r="P5407" s="102" t="str">
        <f t="shared" si="19"/>
        <v>Rp650-600 PCS-0.00%</v>
      </c>
      <c r="Q5407" s="121">
        <v>45437.0</v>
      </c>
      <c r="R5407" s="58"/>
      <c r="S5407" s="121">
        <v>45442.0</v>
      </c>
      <c r="T5407" s="91"/>
      <c r="V5407" s="51" t="s">
        <v>102</v>
      </c>
    </row>
    <row r="5408">
      <c r="A5408" s="117">
        <v>4104.0</v>
      </c>
      <c r="B5408" s="51" t="s">
        <v>29</v>
      </c>
      <c r="C5408" s="51" t="s">
        <v>2134</v>
      </c>
      <c r="D5408" s="56"/>
      <c r="E5408" s="41" t="str">
        <f>IFERROR(__xludf.DUMMYFUNCTION("IFNA(vlookup(D5408,IMPORTRANGE(""https://docs.google.com/spreadsheets/d/1swGwZOEqYlTEUCJLY-eeJM1911Kvaei5oySBIxdgtNo/edit?pli=1#gid=257618397"",""stock untanna!B:C""),2,false),V:V)"),"JARUM PENTUL CASE")</f>
        <v>JARUM PENTUL CASE</v>
      </c>
      <c r="F5408" s="49"/>
      <c r="G5408" s="71"/>
      <c r="H5408" s="41"/>
      <c r="I5408" s="42"/>
      <c r="J5408" s="85" t="s">
        <v>3190</v>
      </c>
      <c r="K5408" s="93">
        <v>60.0</v>
      </c>
      <c r="L5408" s="112" t="s">
        <v>69</v>
      </c>
      <c r="M5408" s="101">
        <v>2500.0</v>
      </c>
      <c r="N5408" s="74"/>
      <c r="O5408" s="87">
        <f t="shared" si="18"/>
        <v>150000</v>
      </c>
      <c r="P5408" s="102" t="str">
        <f t="shared" si="19"/>
        <v>Rp2,500-60 PCS-0.00%</v>
      </c>
      <c r="Q5408" s="121">
        <v>45437.0</v>
      </c>
      <c r="R5408" s="58"/>
      <c r="S5408" s="121">
        <v>45442.0</v>
      </c>
      <c r="T5408" s="91"/>
      <c r="V5408" s="51" t="s">
        <v>4276</v>
      </c>
    </row>
    <row r="5409">
      <c r="A5409" s="117">
        <v>4104.0</v>
      </c>
      <c r="B5409" s="51" t="s">
        <v>29</v>
      </c>
      <c r="C5409" s="51" t="s">
        <v>2134</v>
      </c>
      <c r="D5409" s="51" t="s">
        <v>703</v>
      </c>
      <c r="E5409" s="41" t="str">
        <f>IFERROR(__xludf.DUMMYFUNCTION("IFNA(vlookup(D5409,IMPORTRANGE(""https://docs.google.com/spreadsheets/d/1swGwZOEqYlTEUCJLY-eeJM1911Kvaei5oySBIxdgtNo/edit?pli=1#gid=257618397"",""stock untanna!B:C""),2,false),V:V)"),"MAP L SIKA AC-105 PUTIH")</f>
        <v>MAP L SIKA AC-105 PUTIH</v>
      </c>
      <c r="F5409" s="49"/>
      <c r="G5409" s="71"/>
      <c r="H5409" s="41"/>
      <c r="I5409" s="42"/>
      <c r="J5409" s="85" t="s">
        <v>1319</v>
      </c>
      <c r="K5409" s="93">
        <v>200.0</v>
      </c>
      <c r="L5409" s="112" t="s">
        <v>62</v>
      </c>
      <c r="M5409" s="101">
        <v>14500.0</v>
      </c>
      <c r="N5409" s="74"/>
      <c r="O5409" s="87">
        <f t="shared" si="18"/>
        <v>2900000</v>
      </c>
      <c r="P5409" s="102" t="str">
        <f t="shared" si="19"/>
        <v>Rp14,500-200 LSN-0.00%</v>
      </c>
      <c r="Q5409" s="121">
        <v>45437.0</v>
      </c>
      <c r="R5409" s="58"/>
      <c r="S5409" s="121">
        <v>45442.0</v>
      </c>
      <c r="T5409" s="91"/>
      <c r="V5409" s="51" t="s">
        <v>704</v>
      </c>
    </row>
    <row r="5410">
      <c r="A5410" s="117">
        <v>4105.0</v>
      </c>
      <c r="B5410" s="51" t="s">
        <v>29</v>
      </c>
      <c r="C5410" s="51" t="s">
        <v>2134</v>
      </c>
      <c r="D5410" s="51" t="s">
        <v>2806</v>
      </c>
      <c r="E5410" s="41" t="str">
        <f>IFERROR(__xludf.DUMMYFUNCTION("IFNA(vlookup(D5410,IMPORTRANGE(""https://docs.google.com/spreadsheets/d/1swGwZOEqYlTEUCJLY-eeJM1911Kvaei5oySBIxdgtNo/edit?pli=1#gid=257618397"",""stock untanna!B:C""),2,false),V:V)"),"GARISAN ELASTIS 15CM GR-2301 (WALITO)")</f>
        <v>GARISAN ELASTIS 15CM GR-2301 (WALITO)</v>
      </c>
      <c r="F5410" s="49"/>
      <c r="G5410" s="71"/>
      <c r="H5410" s="41"/>
      <c r="I5410" s="42"/>
      <c r="J5410" s="85" t="s">
        <v>1319</v>
      </c>
      <c r="K5410" s="93">
        <v>210.0</v>
      </c>
      <c r="L5410" s="112" t="s">
        <v>62</v>
      </c>
      <c r="M5410" s="101">
        <v>833.333</v>
      </c>
      <c r="N5410" s="74"/>
      <c r="O5410" s="87">
        <f t="shared" si="18"/>
        <v>174999.93</v>
      </c>
      <c r="P5410" s="102" t="str">
        <f t="shared" si="19"/>
        <v>Rp833-210 LSN-0.00%</v>
      </c>
      <c r="Q5410" s="121">
        <v>45437.0</v>
      </c>
      <c r="R5410" s="58"/>
      <c r="S5410" s="121">
        <v>45442.0</v>
      </c>
      <c r="T5410" s="91"/>
      <c r="V5410" s="51" t="s">
        <v>2805</v>
      </c>
    </row>
    <row r="5411">
      <c r="A5411" s="117">
        <v>4105.0</v>
      </c>
      <c r="B5411" s="51" t="s">
        <v>29</v>
      </c>
      <c r="C5411" s="51" t="s">
        <v>2134</v>
      </c>
      <c r="D5411" s="51" t="s">
        <v>2178</v>
      </c>
      <c r="E5411" s="41" t="str">
        <f>IFERROR(__xludf.DUMMYFUNCTION("IFNA(vlookup(D5411,IMPORTRANGE(""https://docs.google.com/spreadsheets/d/1swGwZOEqYlTEUCJLY-eeJM1911Kvaei5oySBIxdgtNo/edit?pli=1#gid=257618397"",""stock untanna!B:C""),2,false),V:V)"),"MESIN LEM TEMBAK BOSCO 5538")</f>
        <v>MESIN LEM TEMBAK BOSCO 5538</v>
      </c>
      <c r="F5411" s="49"/>
      <c r="G5411" s="71"/>
      <c r="H5411" s="41"/>
      <c r="I5411" s="42"/>
      <c r="J5411" s="85" t="s">
        <v>1319</v>
      </c>
      <c r="K5411" s="93">
        <v>8.0</v>
      </c>
      <c r="L5411" s="112" t="s">
        <v>69</v>
      </c>
      <c r="M5411" s="101">
        <v>10000.0</v>
      </c>
      <c r="N5411" s="74"/>
      <c r="O5411" s="87">
        <f t="shared" si="18"/>
        <v>80000</v>
      </c>
      <c r="P5411" s="102" t="str">
        <f t="shared" si="19"/>
        <v>Rp10,000-8 PCS-0.00%</v>
      </c>
      <c r="Q5411" s="121">
        <v>45437.0</v>
      </c>
      <c r="R5411" s="58"/>
      <c r="S5411" s="121">
        <v>45442.0</v>
      </c>
      <c r="T5411" s="91"/>
      <c r="V5411" s="51" t="s">
        <v>2179</v>
      </c>
    </row>
    <row r="5412">
      <c r="A5412" s="122"/>
      <c r="B5412" s="123"/>
      <c r="C5412" s="123"/>
      <c r="D5412" s="124"/>
      <c r="E5412" s="125"/>
      <c r="F5412" s="126"/>
      <c r="G5412" s="126"/>
      <c r="H5412" s="125"/>
      <c r="I5412" s="127"/>
      <c r="J5412" s="126"/>
      <c r="K5412" s="128"/>
      <c r="L5412" s="126"/>
      <c r="M5412" s="101"/>
      <c r="N5412" s="129"/>
      <c r="O5412" s="130"/>
      <c r="P5412" s="130"/>
      <c r="Q5412" s="131"/>
      <c r="R5412" s="132"/>
      <c r="S5412" s="131"/>
      <c r="T5412" s="133"/>
      <c r="U5412" s="125"/>
      <c r="V5412" s="125"/>
      <c r="W5412" s="125"/>
      <c r="X5412" s="125"/>
      <c r="Y5412" s="125"/>
      <c r="Z5412" s="125"/>
      <c r="AA5412" s="125"/>
      <c r="AB5412" s="125"/>
      <c r="AC5412" s="125"/>
      <c r="AD5412" s="125"/>
      <c r="AE5412" s="125"/>
      <c r="AF5412" s="125"/>
      <c r="AG5412" s="125"/>
      <c r="AH5412" s="125"/>
      <c r="AI5412" s="125"/>
    </row>
    <row r="5413">
      <c r="A5413" s="117">
        <v>293.0</v>
      </c>
      <c r="B5413" s="51" t="s">
        <v>29</v>
      </c>
      <c r="C5413" s="51" t="s">
        <v>761</v>
      </c>
      <c r="D5413" s="51" t="s">
        <v>93</v>
      </c>
      <c r="E5413" s="41" t="str">
        <f>IFERROR(__xludf.DUMMYFUNCTION("IFNA(vlookup(D5413,IMPORTRANGE(""https://docs.google.com/spreadsheets/d/1swGwZOEqYlTEUCJLY-eeJM1911Kvaei5oySBIxdgtNo/edit?pli=1#gid=257618397"",""stock untanna!B:C""),2,false),V:V)"),"CLIPBOARD SQ KAYU KOTAK")</f>
        <v>CLIPBOARD SQ KAYU KOTAK</v>
      </c>
      <c r="F5413" s="49"/>
      <c r="G5413" s="71"/>
      <c r="H5413" s="41"/>
      <c r="I5413" s="42"/>
      <c r="J5413" s="85" t="s">
        <v>1319</v>
      </c>
      <c r="K5413" s="93">
        <v>6.0</v>
      </c>
      <c r="L5413" s="112" t="s">
        <v>62</v>
      </c>
      <c r="M5413" s="101">
        <v>37500.0</v>
      </c>
      <c r="N5413" s="74"/>
      <c r="O5413" s="87">
        <f t="shared" ref="O5413:O5433" si="20">M:M*K:K*(100%-N:N)</f>
        <v>225000</v>
      </c>
      <c r="P5413" s="102" t="str">
        <f t="shared" ref="P5413:P5433" si="21">CONCATENATE(TEXT(M5413, "Rp#,##0"), "-", K5413, " ", L5413, "-", TEXT(N5413, "0.00%"))</f>
        <v>Rp37,500-6 LSN-0.00%</v>
      </c>
      <c r="Q5413" s="121">
        <v>45439.0</v>
      </c>
      <c r="R5413" s="58"/>
      <c r="S5413" s="121">
        <v>45442.0</v>
      </c>
      <c r="T5413" s="91"/>
      <c r="V5413" s="51" t="s">
        <v>94</v>
      </c>
    </row>
    <row r="5414">
      <c r="A5414" s="117">
        <v>293.0</v>
      </c>
      <c r="B5414" s="51" t="s">
        <v>29</v>
      </c>
      <c r="C5414" s="51" t="s">
        <v>761</v>
      </c>
      <c r="D5414" s="51" t="s">
        <v>4011</v>
      </c>
      <c r="E5414" s="41" t="str">
        <f>IFERROR(__xludf.DUMMYFUNCTION("IFNA(vlookup(D5414,IMPORTRANGE(""https://docs.google.com/spreadsheets/d/1swGwZOEqYlTEUCJLY-eeJM1911Kvaei5oySBIxdgtNo/edit?pli=1#gid=257618397"",""stock untanna!B:C""),2,false),V:V)"),"MAP BATIK SIKA")</f>
        <v>MAP BATIK SIKA</v>
      </c>
      <c r="F5414" s="49"/>
      <c r="G5414" s="71"/>
      <c r="H5414" s="41"/>
      <c r="I5414" s="42"/>
      <c r="J5414" s="85" t="s">
        <v>1319</v>
      </c>
      <c r="K5414" s="93">
        <v>500.0</v>
      </c>
      <c r="L5414" s="112" t="s">
        <v>69</v>
      </c>
      <c r="M5414" s="101">
        <v>1500.0</v>
      </c>
      <c r="N5414" s="74"/>
      <c r="O5414" s="87">
        <f t="shared" si="20"/>
        <v>750000</v>
      </c>
      <c r="P5414" s="102" t="str">
        <f t="shared" si="21"/>
        <v>Rp1,500-500 PCS-0.00%</v>
      </c>
      <c r="Q5414" s="121">
        <v>45439.0</v>
      </c>
      <c r="R5414" s="58"/>
      <c r="S5414" s="121">
        <v>45442.0</v>
      </c>
      <c r="T5414" s="91"/>
      <c r="V5414" s="51" t="s">
        <v>4012</v>
      </c>
    </row>
    <row r="5415">
      <c r="A5415" s="117">
        <v>4395.0</v>
      </c>
      <c r="B5415" s="51" t="s">
        <v>58</v>
      </c>
      <c r="C5415" s="51" t="s">
        <v>2362</v>
      </c>
      <c r="D5415" s="51" t="s">
        <v>31</v>
      </c>
      <c r="E5415" s="41" t="str">
        <f>IFERROR(__xludf.DUMMYFUNCTION("IFNA(vlookup(D5415,IMPORTRANGE(""https://docs.google.com/spreadsheets/d/1swGwZOEqYlTEUCJLY-eeJM1911Kvaei5oySBIxdgtNo/edit?pli=1#gid=257618397"",""stock untanna!B:C""),2,false),V:V)"),"ISI STAPLER 13/8 JOSS")</f>
        <v>ISI STAPLER 13/8 JOSS</v>
      </c>
      <c r="F5415" s="49"/>
      <c r="G5415" s="71"/>
      <c r="H5415" s="41"/>
      <c r="I5415" s="42"/>
      <c r="J5415" s="85" t="s">
        <v>1319</v>
      </c>
      <c r="K5415" s="93">
        <v>100.0</v>
      </c>
      <c r="L5415" s="112" t="s">
        <v>114</v>
      </c>
      <c r="M5415" s="101">
        <v>18000.0</v>
      </c>
      <c r="N5415" s="74"/>
      <c r="O5415" s="87">
        <f t="shared" si="20"/>
        <v>1800000</v>
      </c>
      <c r="P5415" s="102" t="str">
        <f t="shared" si="21"/>
        <v>Rp18,000-100 PAK-0.00%</v>
      </c>
      <c r="Q5415" s="121">
        <v>45439.0</v>
      </c>
      <c r="R5415" s="58"/>
      <c r="S5415" s="121">
        <v>45442.0</v>
      </c>
      <c r="T5415" s="91"/>
      <c r="V5415" s="51" t="s">
        <v>113</v>
      </c>
    </row>
    <row r="5416">
      <c r="A5416" s="117">
        <v>4395.0</v>
      </c>
      <c r="B5416" s="51" t="s">
        <v>58</v>
      </c>
      <c r="C5416" s="51" t="s">
        <v>2362</v>
      </c>
      <c r="D5416" s="51" t="s">
        <v>4277</v>
      </c>
      <c r="E5416" s="41" t="str">
        <f>IFERROR(__xludf.DUMMYFUNCTION("IFNA(vlookup(D5416,IMPORTRANGE(""https://docs.google.com/spreadsheets/d/1swGwZOEqYlTEUCJLY-eeJM1911Kvaei5oySBIxdgtNo/edit?pli=1#gid=257618397"",""stock untanna!B:C""),2,false),V:V)"),"DOKUMEN RISTLETING BATIK KAIN")</f>
        <v>DOKUMEN RISTLETING BATIK KAIN</v>
      </c>
      <c r="F5416" s="49"/>
      <c r="G5416" s="71"/>
      <c r="H5416" s="41"/>
      <c r="I5416" s="42"/>
      <c r="J5416" s="85" t="s">
        <v>1319</v>
      </c>
      <c r="K5416" s="93">
        <v>2.0</v>
      </c>
      <c r="L5416" s="112" t="s">
        <v>62</v>
      </c>
      <c r="M5416" s="101">
        <v>230000.0</v>
      </c>
      <c r="N5416" s="74"/>
      <c r="O5416" s="87">
        <f t="shared" si="20"/>
        <v>460000</v>
      </c>
      <c r="P5416" s="102" t="str">
        <f t="shared" si="21"/>
        <v>Rp230,000-2 LSN-0.00%</v>
      </c>
      <c r="Q5416" s="121">
        <v>45439.0</v>
      </c>
      <c r="R5416" s="58"/>
      <c r="S5416" s="121">
        <v>45442.0</v>
      </c>
      <c r="T5416" s="91"/>
      <c r="V5416" s="51" t="s">
        <v>4278</v>
      </c>
    </row>
    <row r="5417">
      <c r="A5417" s="117">
        <v>4395.0</v>
      </c>
      <c r="B5417" s="51" t="s">
        <v>58</v>
      </c>
      <c r="C5417" s="51" t="s">
        <v>2362</v>
      </c>
      <c r="D5417" s="51" t="s">
        <v>4279</v>
      </c>
      <c r="E5417" s="41" t="str">
        <f>IFERROR(__xludf.DUMMYFUNCTION("IFNA(vlookup(D5417,IMPORTRANGE(""https://docs.google.com/spreadsheets/d/1swGwZOEqYlTEUCJLY-eeJM1911Kvaei5oySBIxdgtNo/edit?pli=1#gid=257618397"",""stock untanna!B:C""),2,false),V:V)"),"DOKUMEN RISLETING NEW DIPLOMAT")</f>
        <v>DOKUMEN RISLETING NEW DIPLOMAT</v>
      </c>
      <c r="F5417" s="49"/>
      <c r="G5417" s="71"/>
      <c r="H5417" s="41"/>
      <c r="I5417" s="42"/>
      <c r="J5417" s="85" t="s">
        <v>1319</v>
      </c>
      <c r="K5417" s="93">
        <v>2.0</v>
      </c>
      <c r="L5417" s="112" t="s">
        <v>62</v>
      </c>
      <c r="M5417" s="101">
        <v>260000.0</v>
      </c>
      <c r="N5417" s="74"/>
      <c r="O5417" s="87">
        <f t="shared" si="20"/>
        <v>520000</v>
      </c>
      <c r="P5417" s="102" t="str">
        <f t="shared" si="21"/>
        <v>Rp260,000-2 LSN-0.00%</v>
      </c>
      <c r="Q5417" s="121">
        <v>45439.0</v>
      </c>
      <c r="R5417" s="58"/>
      <c r="S5417" s="121">
        <v>45442.0</v>
      </c>
      <c r="T5417" s="91"/>
      <c r="V5417" s="51" t="s">
        <v>4280</v>
      </c>
    </row>
    <row r="5418">
      <c r="A5418" s="117">
        <v>4395.0</v>
      </c>
      <c r="B5418" s="51" t="s">
        <v>58</v>
      </c>
      <c r="C5418" s="51" t="s">
        <v>2362</v>
      </c>
      <c r="D5418" s="51" t="s">
        <v>928</v>
      </c>
      <c r="E5418" s="41" t="str">
        <f>IFERROR(__xludf.DUMMYFUNCTION("IFNA(vlookup(D5418,IMPORTRANGE(""https://docs.google.com/spreadsheets/d/1swGwZOEqYlTEUCJLY-eeJM1911Kvaei5oySBIxdgtNo/edit?pli=1#gid=257618397"",""stock untanna!B:C""),2,false),V:V)"),"DOKUMEN HD64")</f>
        <v>DOKUMEN HD64</v>
      </c>
      <c r="F5418" s="49"/>
      <c r="G5418" s="71"/>
      <c r="H5418" s="41"/>
      <c r="I5418" s="42"/>
      <c r="J5418" s="85" t="s">
        <v>1319</v>
      </c>
      <c r="K5418" s="93">
        <v>2.0</v>
      </c>
      <c r="L5418" s="112" t="s">
        <v>62</v>
      </c>
      <c r="M5418" s="101">
        <v>250000.0</v>
      </c>
      <c r="N5418" s="74"/>
      <c r="O5418" s="87">
        <f t="shared" si="20"/>
        <v>500000</v>
      </c>
      <c r="P5418" s="102" t="str">
        <f t="shared" si="21"/>
        <v>Rp250,000-2 LSN-0.00%</v>
      </c>
      <c r="Q5418" s="121">
        <v>45439.0</v>
      </c>
      <c r="R5418" s="58"/>
      <c r="S5418" s="121">
        <v>45442.0</v>
      </c>
      <c r="T5418" s="91"/>
      <c r="V5418" s="51" t="s">
        <v>929</v>
      </c>
    </row>
    <row r="5419">
      <c r="A5419" s="117">
        <v>4395.0</v>
      </c>
      <c r="B5419" s="51" t="s">
        <v>58</v>
      </c>
      <c r="C5419" s="51" t="s">
        <v>2362</v>
      </c>
      <c r="D5419" s="56"/>
      <c r="E5419" s="41" t="str">
        <f>IFERROR(__xludf.DUMMYFUNCTION("IFNA(vlookup(D5419,IMPORTRANGE(""https://docs.google.com/spreadsheets/d/1swGwZOEqYlTEUCJLY-eeJM1911Kvaei5oySBIxdgtNo/edit?pli=1#gid=257618397"",""stock untanna!B:C""),2,false),V:V)"),"DOKUMEN HD55")</f>
        <v>DOKUMEN HD55</v>
      </c>
      <c r="F5419" s="49"/>
      <c r="G5419" s="71"/>
      <c r="H5419" s="41"/>
      <c r="I5419" s="42"/>
      <c r="J5419" s="85" t="s">
        <v>3190</v>
      </c>
      <c r="K5419" s="93">
        <v>2.0</v>
      </c>
      <c r="L5419" s="112" t="s">
        <v>62</v>
      </c>
      <c r="M5419" s="101">
        <v>240000.0</v>
      </c>
      <c r="N5419" s="74"/>
      <c r="O5419" s="87">
        <f t="shared" si="20"/>
        <v>480000</v>
      </c>
      <c r="P5419" s="102" t="str">
        <f t="shared" si="21"/>
        <v>Rp240,000-2 LSN-0.00%</v>
      </c>
      <c r="Q5419" s="121">
        <v>45439.0</v>
      </c>
      <c r="R5419" s="58"/>
      <c r="S5419" s="121">
        <v>45442.0</v>
      </c>
      <c r="T5419" s="91"/>
      <c r="V5419" s="51" t="s">
        <v>4281</v>
      </c>
    </row>
    <row r="5420">
      <c r="A5420" s="117">
        <v>4395.0</v>
      </c>
      <c r="B5420" s="51" t="s">
        <v>58</v>
      </c>
      <c r="C5420" s="51" t="s">
        <v>2362</v>
      </c>
      <c r="D5420" s="51" t="s">
        <v>4282</v>
      </c>
      <c r="E5420" s="41" t="str">
        <f>IFERROR(__xludf.DUMMYFUNCTION("IFNA(vlookup(D5420,IMPORTRANGE(""https://docs.google.com/spreadsheets/d/1swGwZOEqYlTEUCJLY-eeJM1911Kvaei5oySBIxdgtNo/edit?pli=1#gid=257618397"",""stock untanna!B:C""),2,false),V:V)"),"DOKUMEN RISLETING DK-520")</f>
        <v>DOKUMEN RISLETING DK-520</v>
      </c>
      <c r="F5420" s="49"/>
      <c r="G5420" s="71"/>
      <c r="H5420" s="41"/>
      <c r="I5420" s="42"/>
      <c r="J5420" s="85" t="s">
        <v>1319</v>
      </c>
      <c r="K5420" s="93">
        <v>2.0</v>
      </c>
      <c r="L5420" s="112" t="s">
        <v>62</v>
      </c>
      <c r="M5420" s="101">
        <v>250000.0</v>
      </c>
      <c r="N5420" s="74"/>
      <c r="O5420" s="87">
        <f t="shared" si="20"/>
        <v>500000</v>
      </c>
      <c r="P5420" s="102" t="str">
        <f t="shared" si="21"/>
        <v>Rp250,000-2 LSN-0.00%</v>
      </c>
      <c r="Q5420" s="121">
        <v>45439.0</v>
      </c>
      <c r="R5420" s="58"/>
      <c r="S5420" s="121">
        <v>45442.0</v>
      </c>
      <c r="T5420" s="91"/>
      <c r="V5420" s="51" t="s">
        <v>4283</v>
      </c>
    </row>
    <row r="5421">
      <c r="A5421" s="117">
        <v>4395.0</v>
      </c>
      <c r="B5421" s="51" t="s">
        <v>58</v>
      </c>
      <c r="C5421" s="51" t="s">
        <v>2362</v>
      </c>
      <c r="D5421" s="51" t="s">
        <v>4284</v>
      </c>
      <c r="E5421" s="41" t="str">
        <f>IFERROR(__xludf.DUMMYFUNCTION("IFNA(vlookup(D5421,IMPORTRANGE(""https://docs.google.com/spreadsheets/d/1swGwZOEqYlTEUCJLY-eeJM1911Kvaei5oySBIxdgtNo/edit?pli=1#gid=257618397"",""stock untanna!B:C""),2,false),V:V)"),"DOKUMEN RISLETING DK 512 AUTENTIK")</f>
        <v>DOKUMEN RISLETING DK 512 AUTENTIK</v>
      </c>
      <c r="F5421" s="49"/>
      <c r="G5421" s="71"/>
      <c r="H5421" s="41"/>
      <c r="I5421" s="42"/>
      <c r="J5421" s="85" t="s">
        <v>1319</v>
      </c>
      <c r="K5421" s="93">
        <v>2.0</v>
      </c>
      <c r="L5421" s="112" t="s">
        <v>62</v>
      </c>
      <c r="M5421" s="101">
        <v>250000.0</v>
      </c>
      <c r="N5421" s="74"/>
      <c r="O5421" s="87">
        <f t="shared" si="20"/>
        <v>500000</v>
      </c>
      <c r="P5421" s="102" t="str">
        <f t="shared" si="21"/>
        <v>Rp250,000-2 LSN-0.00%</v>
      </c>
      <c r="Q5421" s="121">
        <v>45439.0</v>
      </c>
      <c r="R5421" s="58"/>
      <c r="S5421" s="121">
        <v>45442.0</v>
      </c>
      <c r="T5421" s="91"/>
      <c r="V5421" s="51" t="s">
        <v>4285</v>
      </c>
    </row>
    <row r="5422">
      <c r="A5422" s="117">
        <v>4395.0</v>
      </c>
      <c r="B5422" s="51" t="s">
        <v>58</v>
      </c>
      <c r="C5422" s="51" t="s">
        <v>2362</v>
      </c>
      <c r="D5422" s="51" t="s">
        <v>923</v>
      </c>
      <c r="E5422" s="41" t="str">
        <f>IFERROR(__xludf.DUMMYFUNCTION("IFNA(vlookup(D5422,IMPORTRANGE(""https://docs.google.com/spreadsheets/d/1swGwZOEqYlTEUCJLY-eeJM1911Kvaei5oySBIxdgtNo/edit?pli=1#gid=257618397"",""stock untanna!B:C""),2,false),V:V)"),"DOKUMEN RISLETING BOX BATIK")</f>
        <v>DOKUMEN RISLETING BOX BATIK</v>
      </c>
      <c r="F5422" s="49"/>
      <c r="G5422" s="71"/>
      <c r="H5422" s="41"/>
      <c r="I5422" s="42"/>
      <c r="J5422" s="85" t="s">
        <v>1319</v>
      </c>
      <c r="K5422" s="93">
        <v>2.0</v>
      </c>
      <c r="L5422" s="112" t="s">
        <v>62</v>
      </c>
      <c r="M5422" s="101">
        <v>194000.0</v>
      </c>
      <c r="N5422" s="74"/>
      <c r="O5422" s="87">
        <f t="shared" si="20"/>
        <v>388000</v>
      </c>
      <c r="P5422" s="102" t="str">
        <f t="shared" si="21"/>
        <v>Rp194,000-2 LSN-0.00%</v>
      </c>
      <c r="Q5422" s="121">
        <v>45439.0</v>
      </c>
      <c r="R5422" s="58"/>
      <c r="S5422" s="121">
        <v>45442.0</v>
      </c>
      <c r="T5422" s="91"/>
      <c r="V5422" s="51" t="s">
        <v>924</v>
      </c>
    </row>
    <row r="5423">
      <c r="A5423" s="117">
        <v>4395.0</v>
      </c>
      <c r="B5423" s="51" t="s">
        <v>58</v>
      </c>
      <c r="C5423" s="51" t="s">
        <v>2362</v>
      </c>
      <c r="D5423" s="51" t="s">
        <v>1291</v>
      </c>
      <c r="E5423" s="41" t="str">
        <f>IFERROR(__xludf.DUMMYFUNCTION("IFNA(vlookup(D5423,IMPORTRANGE(""https://docs.google.com/spreadsheets/d/1swGwZOEqYlTEUCJLY-eeJM1911Kvaei5oySBIxdgtNo/edit?pli=1#gid=257618397"",""stock untanna!B:C""),2,false),V:V)"),"DOKUMEN RISLETING OPTIMA")</f>
        <v>DOKUMEN RISLETING OPTIMA</v>
      </c>
      <c r="F5423" s="49"/>
      <c r="G5423" s="71"/>
      <c r="H5423" s="41"/>
      <c r="I5423" s="42"/>
      <c r="J5423" s="85" t="s">
        <v>1319</v>
      </c>
      <c r="K5423" s="93">
        <v>2.0</v>
      </c>
      <c r="L5423" s="112" t="s">
        <v>62</v>
      </c>
      <c r="M5423" s="101">
        <v>316500.0</v>
      </c>
      <c r="N5423" s="74"/>
      <c r="O5423" s="87">
        <f t="shared" si="20"/>
        <v>633000</v>
      </c>
      <c r="P5423" s="102" t="str">
        <f t="shared" si="21"/>
        <v>Rp316,500-2 LSN-0.00%</v>
      </c>
      <c r="Q5423" s="121">
        <v>45439.0</v>
      </c>
      <c r="R5423" s="58"/>
      <c r="S5423" s="121">
        <v>45442.0</v>
      </c>
      <c r="T5423" s="91"/>
      <c r="V5423" s="51" t="s">
        <v>1292</v>
      </c>
    </row>
    <row r="5424">
      <c r="A5424" s="117">
        <v>4395.0</v>
      </c>
      <c r="B5424" s="51" t="s">
        <v>58</v>
      </c>
      <c r="C5424" s="51" t="s">
        <v>2362</v>
      </c>
      <c r="D5424" s="51" t="s">
        <v>1293</v>
      </c>
      <c r="E5424" s="41" t="str">
        <f>IFERROR(__xludf.DUMMYFUNCTION("IFNA(vlookup(D5424,IMPORTRANGE(""https://docs.google.com/spreadsheets/d/1swGwZOEqYlTEUCJLY-eeJM1911Kvaei5oySBIxdgtNo/edit?pli=1#gid=257618397"",""stock untanna!B:C""),2,false),V:V)"),"DOKUMEN RISLETING BRILLIANT")</f>
        <v>DOKUMEN RISLETING BRILLIANT</v>
      </c>
      <c r="F5424" s="49"/>
      <c r="G5424" s="71"/>
      <c r="H5424" s="41"/>
      <c r="I5424" s="42"/>
      <c r="J5424" s="85" t="s">
        <v>1319</v>
      </c>
      <c r="K5424" s="93">
        <v>2.0</v>
      </c>
      <c r="L5424" s="112" t="s">
        <v>62</v>
      </c>
      <c r="M5424" s="101">
        <v>250000.0</v>
      </c>
      <c r="N5424" s="74"/>
      <c r="O5424" s="87">
        <f t="shared" si="20"/>
        <v>500000</v>
      </c>
      <c r="P5424" s="102" t="str">
        <f t="shared" si="21"/>
        <v>Rp250,000-2 LSN-0.00%</v>
      </c>
      <c r="Q5424" s="121">
        <v>45439.0</v>
      </c>
      <c r="R5424" s="58"/>
      <c r="S5424" s="121">
        <v>45442.0</v>
      </c>
      <c r="T5424" s="91"/>
      <c r="V5424" s="51" t="s">
        <v>1294</v>
      </c>
    </row>
    <row r="5425">
      <c r="A5425" s="117">
        <v>4395.0</v>
      </c>
      <c r="B5425" s="51" t="s">
        <v>58</v>
      </c>
      <c r="C5425" s="51" t="s">
        <v>2362</v>
      </c>
      <c r="D5425" s="51" t="s">
        <v>2840</v>
      </c>
      <c r="E5425" s="41" t="str">
        <f>IFERROR(__xludf.DUMMYFUNCTION("IFNA(vlookup(D5425,IMPORTRANGE(""https://docs.google.com/spreadsheets/d/1swGwZOEqYlTEUCJLY-eeJM1911Kvaei5oySBIxdgtNo/edit?pli=1#gid=257618397"",""stock untanna!B:C""),2,false),V:V)"),"DOKUMEN HD62")</f>
        <v>DOKUMEN HD62</v>
      </c>
      <c r="F5425" s="49"/>
      <c r="G5425" s="71"/>
      <c r="H5425" s="41"/>
      <c r="I5425" s="42"/>
      <c r="J5425" s="85" t="s">
        <v>1319</v>
      </c>
      <c r="K5425" s="93">
        <v>2.0</v>
      </c>
      <c r="L5425" s="112" t="s">
        <v>62</v>
      </c>
      <c r="M5425" s="101">
        <v>250000.0</v>
      </c>
      <c r="N5425" s="74"/>
      <c r="O5425" s="87">
        <f t="shared" si="20"/>
        <v>500000</v>
      </c>
      <c r="P5425" s="102" t="str">
        <f t="shared" si="21"/>
        <v>Rp250,000-2 LSN-0.00%</v>
      </c>
      <c r="Q5425" s="121">
        <v>45439.0</v>
      </c>
      <c r="R5425" s="58"/>
      <c r="S5425" s="121">
        <v>45442.0</v>
      </c>
      <c r="T5425" s="91"/>
      <c r="V5425" s="51" t="s">
        <v>2841</v>
      </c>
    </row>
    <row r="5426">
      <c r="A5426" s="117">
        <v>4395.0</v>
      </c>
      <c r="B5426" s="51" t="s">
        <v>58</v>
      </c>
      <c r="C5426" s="51" t="s">
        <v>2362</v>
      </c>
      <c r="D5426" s="51" t="s">
        <v>1295</v>
      </c>
      <c r="E5426" s="41" t="str">
        <f>IFERROR(__xludf.DUMMYFUNCTION("IFNA(vlookup(D5426,IMPORTRANGE(""https://docs.google.com/spreadsheets/d/1swGwZOEqYlTEUCJLY-eeJM1911Kvaei5oySBIxdgtNo/edit?pli=1#gid=257618397"",""stock untanna!B:C""),2,false),V:V)"),"DOKUMEN RISLETING STATEMENT")</f>
        <v>DOKUMEN RISLETING STATEMENT</v>
      </c>
      <c r="F5426" s="49"/>
      <c r="G5426" s="71"/>
      <c r="H5426" s="41"/>
      <c r="I5426" s="42"/>
      <c r="J5426" s="85" t="s">
        <v>1319</v>
      </c>
      <c r="K5426" s="93">
        <v>2.0</v>
      </c>
      <c r="L5426" s="112" t="s">
        <v>62</v>
      </c>
      <c r="M5426" s="101">
        <v>276000.0</v>
      </c>
      <c r="N5426" s="74"/>
      <c r="O5426" s="87">
        <f t="shared" si="20"/>
        <v>552000</v>
      </c>
      <c r="P5426" s="102" t="str">
        <f t="shared" si="21"/>
        <v>Rp276,000-2 LSN-0.00%</v>
      </c>
      <c r="Q5426" s="121">
        <v>45439.0</v>
      </c>
      <c r="R5426" s="58"/>
      <c r="S5426" s="121">
        <v>45442.0</v>
      </c>
      <c r="T5426" s="91"/>
      <c r="V5426" s="51" t="s">
        <v>1296</v>
      </c>
    </row>
    <row r="5427">
      <c r="A5427" s="117">
        <v>46.0</v>
      </c>
      <c r="B5427" s="51" t="s">
        <v>58</v>
      </c>
      <c r="C5427" s="51" t="s">
        <v>3829</v>
      </c>
      <c r="D5427" s="51" t="s">
        <v>976</v>
      </c>
      <c r="E5427" s="41" t="str">
        <f>IFERROR(__xludf.DUMMYFUNCTION("IFNA(vlookup(D5427,IMPORTRANGE(""https://docs.google.com/spreadsheets/d/1swGwZOEqYlTEUCJLY-eeJM1911Kvaei5oySBIxdgtNo/edit?pli=1#gid=257618397"",""stock untanna!B:C""),2,false),V:V)"),"GUNTING JUNIOR J 100")</f>
        <v>GUNTING JUNIOR J 100</v>
      </c>
      <c r="F5427" s="49"/>
      <c r="G5427" s="71"/>
      <c r="H5427" s="41"/>
      <c r="I5427" s="42"/>
      <c r="J5427" s="85" t="s">
        <v>1319</v>
      </c>
      <c r="K5427" s="93">
        <v>6.0</v>
      </c>
      <c r="L5427" s="112" t="s">
        <v>62</v>
      </c>
      <c r="M5427" s="101">
        <v>41500.0</v>
      </c>
      <c r="N5427" s="74"/>
      <c r="O5427" s="87">
        <f t="shared" si="20"/>
        <v>249000</v>
      </c>
      <c r="P5427" s="102" t="str">
        <f t="shared" si="21"/>
        <v>Rp41,500-6 LSN-0.00%</v>
      </c>
      <c r="Q5427" s="121">
        <v>45439.0</v>
      </c>
      <c r="R5427" s="58"/>
      <c r="S5427" s="121">
        <v>45442.0</v>
      </c>
      <c r="T5427" s="91"/>
      <c r="V5427" s="51" t="s">
        <v>977</v>
      </c>
    </row>
    <row r="5428">
      <c r="A5428" s="117">
        <v>46.0</v>
      </c>
      <c r="B5428" s="51" t="s">
        <v>58</v>
      </c>
      <c r="C5428" s="51" t="s">
        <v>3829</v>
      </c>
      <c r="D5428" s="51" t="s">
        <v>1960</v>
      </c>
      <c r="E5428" s="41" t="str">
        <f>IFERROR(__xludf.DUMMYFUNCTION("IFNA(vlookup(D5428,IMPORTRANGE(""https://docs.google.com/spreadsheets/d/1swGwZOEqYlTEUCJLY-eeJM1911Kvaei5oySBIxdgtNo/edit?pli=1#gid=257618397"",""stock untanna!B:C""),2,false),V:V)"),"GUNTING JUNIOR J 200")</f>
        <v>GUNTING JUNIOR J 200</v>
      </c>
      <c r="F5428" s="49"/>
      <c r="G5428" s="71"/>
      <c r="H5428" s="41"/>
      <c r="I5428" s="42"/>
      <c r="J5428" s="85" t="s">
        <v>1319</v>
      </c>
      <c r="K5428" s="93">
        <v>6.0</v>
      </c>
      <c r="L5428" s="112" t="s">
        <v>62</v>
      </c>
      <c r="M5428" s="101">
        <v>44000.0</v>
      </c>
      <c r="N5428" s="74"/>
      <c r="O5428" s="87">
        <f t="shared" si="20"/>
        <v>264000</v>
      </c>
      <c r="P5428" s="102" t="str">
        <f t="shared" si="21"/>
        <v>Rp44,000-6 LSN-0.00%</v>
      </c>
      <c r="Q5428" s="121">
        <v>45439.0</v>
      </c>
      <c r="R5428" s="58"/>
      <c r="S5428" s="121">
        <v>45442.0</v>
      </c>
      <c r="T5428" s="91"/>
      <c r="V5428" s="51" t="s">
        <v>1961</v>
      </c>
    </row>
    <row r="5429">
      <c r="A5429" s="117">
        <v>46.0</v>
      </c>
      <c r="B5429" s="51" t="s">
        <v>58</v>
      </c>
      <c r="C5429" s="51" t="s">
        <v>3829</v>
      </c>
      <c r="D5429" s="51" t="s">
        <v>2712</v>
      </c>
      <c r="E5429" s="41" t="str">
        <f>IFERROR(__xludf.DUMMYFUNCTION("IFNA(vlookup(D5429,IMPORTRANGE(""https://docs.google.com/spreadsheets/d/1swGwZOEqYlTEUCJLY-eeJM1911Kvaei5oySBIxdgtNo/edit?pli=1#gid=257618397"",""stock untanna!B:C""),2,false),V:V)"),"GUNTING JUNIOR J 400")</f>
        <v>GUNTING JUNIOR J 400</v>
      </c>
      <c r="F5429" s="49"/>
      <c r="G5429" s="71"/>
      <c r="H5429" s="41"/>
      <c r="I5429" s="42"/>
      <c r="J5429" s="85" t="s">
        <v>1319</v>
      </c>
      <c r="K5429" s="93">
        <v>6.0</v>
      </c>
      <c r="L5429" s="112" t="s">
        <v>62</v>
      </c>
      <c r="M5429" s="101">
        <v>53000.0</v>
      </c>
      <c r="N5429" s="74"/>
      <c r="O5429" s="87">
        <f t="shared" si="20"/>
        <v>318000</v>
      </c>
      <c r="P5429" s="102" t="str">
        <f t="shared" si="21"/>
        <v>Rp53,000-6 LSN-0.00%</v>
      </c>
      <c r="Q5429" s="121">
        <v>45439.0</v>
      </c>
      <c r="R5429" s="58"/>
      <c r="S5429" s="121">
        <v>45442.0</v>
      </c>
      <c r="T5429" s="91"/>
      <c r="V5429" s="51" t="s">
        <v>2713</v>
      </c>
    </row>
    <row r="5430">
      <c r="A5430" s="117">
        <v>46.0</v>
      </c>
      <c r="B5430" s="51" t="s">
        <v>58</v>
      </c>
      <c r="C5430" s="51" t="s">
        <v>3829</v>
      </c>
      <c r="D5430" s="51" t="s">
        <v>978</v>
      </c>
      <c r="E5430" s="41" t="str">
        <f>IFERROR(__xludf.DUMMYFUNCTION("IFNA(vlookup(D5430,IMPORTRANGE(""https://docs.google.com/spreadsheets/d/1swGwZOEqYlTEUCJLY-eeJM1911Kvaei5oySBIxdgtNo/edit?pli=1#gid=257618397"",""stock untanna!B:C""),2,false),V:V)"),"GUNTING JUNIOR J-300")</f>
        <v>GUNTING JUNIOR J-300</v>
      </c>
      <c r="F5430" s="49"/>
      <c r="G5430" s="71"/>
      <c r="H5430" s="41"/>
      <c r="I5430" s="42"/>
      <c r="J5430" s="85" t="s">
        <v>1319</v>
      </c>
      <c r="K5430" s="93">
        <v>6.0</v>
      </c>
      <c r="L5430" s="112" t="s">
        <v>62</v>
      </c>
      <c r="M5430" s="101">
        <v>60000.0</v>
      </c>
      <c r="N5430" s="74"/>
      <c r="O5430" s="87">
        <f t="shared" si="20"/>
        <v>360000</v>
      </c>
      <c r="P5430" s="102" t="str">
        <f t="shared" si="21"/>
        <v>Rp60,000-6 LSN-0.00%</v>
      </c>
      <c r="Q5430" s="121">
        <v>45439.0</v>
      </c>
      <c r="R5430" s="58"/>
      <c r="S5430" s="121">
        <v>45442.0</v>
      </c>
      <c r="T5430" s="91"/>
      <c r="V5430" s="51" t="s">
        <v>979</v>
      </c>
    </row>
    <row r="5431">
      <c r="A5431" s="117">
        <v>46.0</v>
      </c>
      <c r="B5431" s="51" t="s">
        <v>58</v>
      </c>
      <c r="C5431" s="51" t="s">
        <v>3829</v>
      </c>
      <c r="D5431" s="51" t="s">
        <v>2126</v>
      </c>
      <c r="E5431" s="41" t="str">
        <f>IFERROR(__xludf.DUMMYFUNCTION("IFNA(vlookup(D5431,IMPORTRANGE(""https://docs.google.com/spreadsheets/d/1swGwZOEqYlTEUCJLY-eeJM1911Kvaei5oySBIxdgtNo/edit?pli=1#gid=257618397"",""stock untanna!B:C""),2,false),V:V)"),"GUNTING JUNIOR J-500")</f>
        <v>GUNTING JUNIOR J-500</v>
      </c>
      <c r="F5431" s="49"/>
      <c r="G5431" s="71"/>
      <c r="H5431" s="41"/>
      <c r="I5431" s="42"/>
      <c r="J5431" s="85" t="s">
        <v>1319</v>
      </c>
      <c r="K5431" s="93">
        <v>6.0</v>
      </c>
      <c r="L5431" s="112" t="s">
        <v>62</v>
      </c>
      <c r="M5431" s="101">
        <v>92500.0</v>
      </c>
      <c r="N5431" s="74"/>
      <c r="O5431" s="87">
        <f t="shared" si="20"/>
        <v>555000</v>
      </c>
      <c r="P5431" s="102" t="str">
        <f t="shared" si="21"/>
        <v>Rp92,500-6 LSN-0.00%</v>
      </c>
      <c r="Q5431" s="121">
        <v>45439.0</v>
      </c>
      <c r="R5431" s="58"/>
      <c r="S5431" s="121">
        <v>45442.0</v>
      </c>
      <c r="T5431" s="91"/>
      <c r="V5431" s="51" t="s">
        <v>2127</v>
      </c>
    </row>
    <row r="5432">
      <c r="A5432" s="117">
        <v>46.0</v>
      </c>
      <c r="B5432" s="51" t="s">
        <v>58</v>
      </c>
      <c r="C5432" s="51" t="s">
        <v>3829</v>
      </c>
      <c r="D5432" s="51" t="s">
        <v>428</v>
      </c>
      <c r="E5432" s="41" t="str">
        <f>IFERROR(__xludf.DUMMYFUNCTION("IFNA(vlookup(D5432,IMPORTRANGE(""https://docs.google.com/spreadsheets/d/1swGwZOEqYlTEUCJLY-eeJM1911Kvaei5oySBIxdgtNo/edit?pli=1#gid=257618397"",""stock untanna!B:C""),2,false),V:V)"),"CAT ACRYLIC TF 001")</f>
        <v>CAT ACRYLIC TF 001</v>
      </c>
      <c r="F5432" s="49"/>
      <c r="G5432" s="71"/>
      <c r="H5432" s="41"/>
      <c r="I5432" s="42"/>
      <c r="J5432" s="85" t="s">
        <v>1319</v>
      </c>
      <c r="K5432" s="93">
        <v>6.0</v>
      </c>
      <c r="L5432" s="112" t="s">
        <v>62</v>
      </c>
      <c r="M5432" s="101">
        <v>198000.0</v>
      </c>
      <c r="N5432" s="74"/>
      <c r="O5432" s="87">
        <f t="shared" si="20"/>
        <v>1188000</v>
      </c>
      <c r="P5432" s="102" t="str">
        <f t="shared" si="21"/>
        <v>Rp198,000-6 LSN-0.00%</v>
      </c>
      <c r="Q5432" s="121">
        <v>45439.0</v>
      </c>
      <c r="R5432" s="58"/>
      <c r="S5432" s="121">
        <v>45442.0</v>
      </c>
      <c r="T5432" s="91"/>
      <c r="V5432" s="51" t="s">
        <v>429</v>
      </c>
    </row>
    <row r="5433">
      <c r="A5433" s="117">
        <v>46.0</v>
      </c>
      <c r="B5433" s="51" t="s">
        <v>58</v>
      </c>
      <c r="C5433" s="51" t="s">
        <v>3829</v>
      </c>
      <c r="D5433" s="51" t="s">
        <v>838</v>
      </c>
      <c r="E5433" s="41" t="str">
        <f>IFERROR(__xludf.DUMMYFUNCTION("IFNA(vlookup(D5433,IMPORTRANGE(""https://docs.google.com/spreadsheets/d/1swGwZOEqYlTEUCJLY-eeJM1911Kvaei5oySBIxdgtNo/edit?pli=1#gid=257618397"",""stock untanna!B:C""),2,false),V:V)"),"CAT ACRYLIC COLOUR TF AC-002")</f>
        <v>CAT ACRYLIC COLOUR TF AC-002</v>
      </c>
      <c r="F5433" s="49"/>
      <c r="G5433" s="71"/>
      <c r="H5433" s="41"/>
      <c r="I5433" s="42"/>
      <c r="J5433" s="85" t="s">
        <v>1319</v>
      </c>
      <c r="K5433" s="93">
        <v>5.0</v>
      </c>
      <c r="L5433" s="112" t="s">
        <v>62</v>
      </c>
      <c r="M5433" s="101">
        <v>270000.0</v>
      </c>
      <c r="N5433" s="74"/>
      <c r="O5433" s="87">
        <f t="shared" si="20"/>
        <v>1350000</v>
      </c>
      <c r="P5433" s="102" t="str">
        <f t="shared" si="21"/>
        <v>Rp270,000-5 LSN-0.00%</v>
      </c>
      <c r="Q5433" s="121">
        <v>45439.0</v>
      </c>
      <c r="R5433" s="58"/>
      <c r="S5433" s="121">
        <v>45442.0</v>
      </c>
      <c r="T5433" s="91"/>
      <c r="V5433" s="51" t="s">
        <v>839</v>
      </c>
    </row>
    <row r="5434">
      <c r="A5434" s="119"/>
      <c r="B5434" s="118"/>
      <c r="C5434" s="118"/>
      <c r="D5434" s="56"/>
      <c r="E5434" s="41"/>
      <c r="F5434" s="49"/>
      <c r="G5434" s="71"/>
      <c r="H5434" s="41"/>
      <c r="I5434" s="42"/>
      <c r="J5434" s="120"/>
      <c r="K5434" s="72"/>
      <c r="L5434" s="53"/>
      <c r="M5434" s="101"/>
      <c r="N5434" s="74"/>
      <c r="O5434" s="102"/>
      <c r="P5434" s="102"/>
      <c r="Q5434" s="57"/>
      <c r="R5434" s="58"/>
      <c r="S5434" s="57"/>
      <c r="T5434" s="77"/>
    </row>
    <row r="5435">
      <c r="A5435" s="119"/>
      <c r="B5435" s="118"/>
      <c r="C5435" s="118"/>
      <c r="D5435" s="56"/>
      <c r="E5435" s="41"/>
      <c r="F5435" s="49"/>
      <c r="G5435" s="71"/>
      <c r="H5435" s="41"/>
      <c r="I5435" s="42"/>
      <c r="J5435" s="120"/>
      <c r="K5435" s="72"/>
      <c r="L5435" s="53"/>
      <c r="M5435" s="101"/>
      <c r="N5435" s="74"/>
      <c r="O5435" s="102"/>
      <c r="P5435" s="102"/>
      <c r="Q5435" s="57"/>
      <c r="R5435" s="58"/>
      <c r="S5435" s="57"/>
      <c r="T5435" s="77"/>
    </row>
    <row r="5436">
      <c r="A5436" s="119"/>
      <c r="B5436" s="118"/>
      <c r="C5436" s="118"/>
      <c r="D5436" s="56"/>
      <c r="E5436" s="41"/>
      <c r="F5436" s="49"/>
      <c r="G5436" s="71"/>
      <c r="H5436" s="41"/>
      <c r="I5436" s="42"/>
      <c r="J5436" s="120"/>
      <c r="K5436" s="72"/>
      <c r="L5436" s="53"/>
      <c r="M5436" s="101"/>
      <c r="N5436" s="74"/>
      <c r="O5436" s="102"/>
      <c r="P5436" s="102"/>
      <c r="Q5436" s="57"/>
      <c r="R5436" s="58"/>
      <c r="S5436" s="57"/>
      <c r="T5436" s="77"/>
    </row>
    <row r="5437">
      <c r="A5437" s="119"/>
      <c r="B5437" s="118"/>
      <c r="C5437" s="118"/>
      <c r="D5437" s="56"/>
      <c r="E5437" s="41"/>
      <c r="F5437" s="49"/>
      <c r="G5437" s="71"/>
      <c r="H5437" s="41"/>
      <c r="I5437" s="42"/>
      <c r="J5437" s="120"/>
      <c r="K5437" s="72"/>
      <c r="L5437" s="53"/>
      <c r="M5437" s="101"/>
      <c r="N5437" s="74"/>
      <c r="O5437" s="102"/>
      <c r="P5437" s="102"/>
      <c r="Q5437" s="57"/>
      <c r="R5437" s="58"/>
      <c r="S5437" s="57"/>
      <c r="T5437" s="77"/>
    </row>
    <row r="5438">
      <c r="A5438" s="119"/>
      <c r="B5438" s="118"/>
      <c r="C5438" s="118"/>
      <c r="D5438" s="56"/>
      <c r="E5438" s="41"/>
      <c r="F5438" s="49"/>
      <c r="G5438" s="71"/>
      <c r="H5438" s="41"/>
      <c r="I5438" s="42"/>
      <c r="J5438" s="120"/>
      <c r="K5438" s="72"/>
      <c r="L5438" s="53"/>
      <c r="M5438" s="101"/>
      <c r="N5438" s="74"/>
      <c r="O5438" s="102"/>
      <c r="P5438" s="102"/>
      <c r="Q5438" s="57"/>
      <c r="R5438" s="58"/>
      <c r="S5438" s="57"/>
      <c r="T5438" s="77"/>
    </row>
    <row r="5439">
      <c r="A5439" s="119"/>
      <c r="B5439" s="118"/>
      <c r="C5439" s="118"/>
      <c r="D5439" s="56"/>
      <c r="E5439" s="41"/>
      <c r="F5439" s="49"/>
      <c r="G5439" s="71"/>
      <c r="H5439" s="41"/>
      <c r="I5439" s="42"/>
      <c r="J5439" s="120"/>
      <c r="K5439" s="72"/>
      <c r="L5439" s="53"/>
      <c r="M5439" s="101"/>
      <c r="N5439" s="74"/>
      <c r="O5439" s="102"/>
      <c r="P5439" s="102"/>
      <c r="Q5439" s="57"/>
      <c r="R5439" s="58"/>
      <c r="S5439" s="57"/>
      <c r="T5439" s="77"/>
    </row>
    <row r="5440">
      <c r="A5440" s="119"/>
      <c r="B5440" s="118"/>
      <c r="C5440" s="118"/>
      <c r="D5440" s="56"/>
      <c r="E5440" s="41"/>
      <c r="F5440" s="49"/>
      <c r="G5440" s="71"/>
      <c r="H5440" s="41"/>
      <c r="I5440" s="42"/>
      <c r="J5440" s="120"/>
      <c r="K5440" s="72"/>
      <c r="L5440" s="53"/>
      <c r="M5440" s="101"/>
      <c r="N5440" s="74"/>
      <c r="O5440" s="102"/>
      <c r="P5440" s="102"/>
      <c r="Q5440" s="57"/>
      <c r="R5440" s="58"/>
      <c r="S5440" s="57"/>
      <c r="T5440" s="77"/>
    </row>
    <row r="5441">
      <c r="A5441" s="119"/>
      <c r="B5441" s="118"/>
      <c r="C5441" s="118"/>
      <c r="D5441" s="56"/>
      <c r="E5441" s="41"/>
      <c r="F5441" s="49"/>
      <c r="G5441" s="71"/>
      <c r="H5441" s="41"/>
      <c r="I5441" s="42"/>
      <c r="J5441" s="120"/>
      <c r="K5441" s="72"/>
      <c r="L5441" s="53"/>
      <c r="M5441" s="101"/>
      <c r="N5441" s="74"/>
      <c r="O5441" s="102"/>
      <c r="P5441" s="102"/>
      <c r="Q5441" s="57"/>
      <c r="R5441" s="58"/>
      <c r="S5441" s="57"/>
      <c r="T5441" s="77"/>
    </row>
    <row r="5442">
      <c r="A5442" s="119"/>
      <c r="B5442" s="118"/>
      <c r="C5442" s="118"/>
      <c r="D5442" s="56"/>
      <c r="E5442" s="41"/>
      <c r="F5442" s="49"/>
      <c r="G5442" s="71"/>
      <c r="H5442" s="41"/>
      <c r="I5442" s="42"/>
      <c r="J5442" s="120"/>
      <c r="K5442" s="72"/>
      <c r="L5442" s="53"/>
      <c r="M5442" s="101"/>
      <c r="N5442" s="74"/>
      <c r="O5442" s="102"/>
      <c r="P5442" s="102"/>
      <c r="Q5442" s="57"/>
      <c r="R5442" s="58"/>
      <c r="S5442" s="57"/>
      <c r="T5442" s="77"/>
    </row>
    <row r="5443">
      <c r="A5443" s="119"/>
      <c r="B5443" s="118"/>
      <c r="C5443" s="118"/>
      <c r="D5443" s="56"/>
      <c r="E5443" s="41"/>
      <c r="F5443" s="49"/>
      <c r="G5443" s="71"/>
      <c r="H5443" s="41"/>
      <c r="I5443" s="42"/>
      <c r="J5443" s="120"/>
      <c r="K5443" s="72"/>
      <c r="L5443" s="53"/>
      <c r="M5443" s="101"/>
      <c r="N5443" s="74"/>
      <c r="O5443" s="102"/>
      <c r="P5443" s="102"/>
      <c r="Q5443" s="57"/>
      <c r="R5443" s="58"/>
      <c r="S5443" s="57"/>
      <c r="T5443" s="77"/>
    </row>
    <row r="5444">
      <c r="A5444" s="119"/>
      <c r="B5444" s="118"/>
      <c r="C5444" s="118"/>
      <c r="D5444" s="56"/>
      <c r="E5444" s="41"/>
      <c r="F5444" s="49"/>
      <c r="G5444" s="71"/>
      <c r="H5444" s="41"/>
      <c r="I5444" s="42"/>
      <c r="J5444" s="120"/>
      <c r="K5444" s="72"/>
      <c r="L5444" s="53"/>
      <c r="M5444" s="101"/>
      <c r="N5444" s="74"/>
      <c r="O5444" s="102"/>
      <c r="P5444" s="102"/>
      <c r="Q5444" s="57"/>
      <c r="R5444" s="58"/>
      <c r="S5444" s="57"/>
      <c r="T5444" s="77"/>
    </row>
    <row r="5445">
      <c r="A5445" s="119"/>
      <c r="B5445" s="118"/>
      <c r="C5445" s="118"/>
      <c r="D5445" s="56"/>
      <c r="E5445" s="41"/>
      <c r="F5445" s="49"/>
      <c r="G5445" s="71"/>
      <c r="H5445" s="41"/>
      <c r="I5445" s="42"/>
      <c r="J5445" s="120"/>
      <c r="K5445" s="72"/>
      <c r="L5445" s="53"/>
      <c r="M5445" s="101"/>
      <c r="N5445" s="74"/>
      <c r="O5445" s="102"/>
      <c r="P5445" s="102"/>
      <c r="Q5445" s="57"/>
      <c r="R5445" s="58"/>
      <c r="S5445" s="57"/>
      <c r="T5445" s="77"/>
    </row>
    <row r="5446">
      <c r="A5446" s="119"/>
      <c r="B5446" s="118"/>
      <c r="C5446" s="118"/>
      <c r="D5446" s="56"/>
      <c r="E5446" s="41"/>
      <c r="F5446" s="49"/>
      <c r="G5446" s="71"/>
      <c r="H5446" s="41"/>
      <c r="I5446" s="42"/>
      <c r="J5446" s="120"/>
      <c r="K5446" s="72"/>
      <c r="L5446" s="53"/>
      <c r="M5446" s="101"/>
      <c r="N5446" s="74"/>
      <c r="O5446" s="102"/>
      <c r="P5446" s="102"/>
      <c r="Q5446" s="57"/>
      <c r="R5446" s="58"/>
      <c r="S5446" s="57"/>
      <c r="T5446" s="77"/>
    </row>
    <row r="5447">
      <c r="A5447" s="119"/>
      <c r="B5447" s="118"/>
      <c r="C5447" s="118"/>
      <c r="D5447" s="56"/>
      <c r="E5447" s="41"/>
      <c r="F5447" s="49"/>
      <c r="G5447" s="71"/>
      <c r="H5447" s="41"/>
      <c r="I5447" s="42"/>
      <c r="J5447" s="120"/>
      <c r="K5447" s="72"/>
      <c r="L5447" s="53"/>
      <c r="M5447" s="101"/>
      <c r="N5447" s="74"/>
      <c r="O5447" s="102"/>
      <c r="P5447" s="102"/>
      <c r="Q5447" s="57"/>
      <c r="R5447" s="58"/>
      <c r="S5447" s="57"/>
      <c r="T5447" s="77"/>
    </row>
    <row r="5448">
      <c r="A5448" s="119"/>
      <c r="B5448" s="118"/>
      <c r="C5448" s="118"/>
      <c r="D5448" s="56"/>
      <c r="E5448" s="41"/>
      <c r="F5448" s="49"/>
      <c r="G5448" s="71"/>
      <c r="H5448" s="41"/>
      <c r="I5448" s="42"/>
      <c r="J5448" s="120"/>
      <c r="K5448" s="72"/>
      <c r="L5448" s="53"/>
      <c r="M5448" s="101"/>
      <c r="N5448" s="74"/>
      <c r="O5448" s="102"/>
      <c r="P5448" s="102"/>
      <c r="Q5448" s="57"/>
      <c r="R5448" s="58"/>
      <c r="S5448" s="57"/>
      <c r="T5448" s="77"/>
    </row>
    <row r="5449">
      <c r="A5449" s="119"/>
      <c r="B5449" s="118"/>
      <c r="C5449" s="118"/>
      <c r="D5449" s="56"/>
      <c r="E5449" s="41"/>
      <c r="F5449" s="49"/>
      <c r="G5449" s="71"/>
      <c r="H5449" s="41"/>
      <c r="I5449" s="42"/>
      <c r="J5449" s="120"/>
      <c r="K5449" s="72"/>
      <c r="L5449" s="53"/>
      <c r="M5449" s="101"/>
      <c r="N5449" s="74"/>
      <c r="O5449" s="102"/>
      <c r="P5449" s="102"/>
      <c r="Q5449" s="57"/>
      <c r="R5449" s="58"/>
      <c r="S5449" s="57"/>
      <c r="T5449" s="77"/>
    </row>
    <row r="5450">
      <c r="A5450" s="119"/>
      <c r="B5450" s="118"/>
      <c r="C5450" s="118"/>
      <c r="D5450" s="56"/>
      <c r="E5450" s="41"/>
      <c r="F5450" s="49"/>
      <c r="G5450" s="71"/>
      <c r="H5450" s="41"/>
      <c r="I5450" s="42"/>
      <c r="J5450" s="120"/>
      <c r="K5450" s="72"/>
      <c r="L5450" s="53"/>
      <c r="M5450" s="101"/>
      <c r="N5450" s="74"/>
      <c r="O5450" s="102"/>
      <c r="P5450" s="102"/>
      <c r="Q5450" s="57"/>
      <c r="R5450" s="58"/>
      <c r="S5450" s="57"/>
      <c r="T5450" s="77"/>
    </row>
    <row r="5451">
      <c r="A5451" s="119"/>
      <c r="B5451" s="118"/>
      <c r="C5451" s="118"/>
      <c r="D5451" s="56"/>
      <c r="E5451" s="41"/>
      <c r="F5451" s="49"/>
      <c r="G5451" s="71"/>
      <c r="H5451" s="41"/>
      <c r="I5451" s="42"/>
      <c r="J5451" s="120"/>
      <c r="K5451" s="72"/>
      <c r="L5451" s="53"/>
      <c r="M5451" s="101"/>
      <c r="N5451" s="74"/>
      <c r="O5451" s="102"/>
      <c r="P5451" s="102"/>
      <c r="Q5451" s="57"/>
      <c r="R5451" s="58"/>
      <c r="S5451" s="57"/>
      <c r="T5451" s="77"/>
    </row>
    <row r="5452">
      <c r="A5452" s="119"/>
      <c r="B5452" s="118"/>
      <c r="C5452" s="118"/>
      <c r="D5452" s="56"/>
      <c r="E5452" s="41"/>
      <c r="F5452" s="49"/>
      <c r="G5452" s="71"/>
      <c r="H5452" s="41"/>
      <c r="I5452" s="42"/>
      <c r="J5452" s="120"/>
      <c r="K5452" s="72"/>
      <c r="L5452" s="53"/>
      <c r="M5452" s="101"/>
      <c r="N5452" s="74"/>
      <c r="O5452" s="102"/>
      <c r="P5452" s="102"/>
      <c r="Q5452" s="57"/>
      <c r="R5452" s="58"/>
      <c r="S5452" s="57"/>
      <c r="T5452" s="77"/>
    </row>
    <row r="5453">
      <c r="A5453" s="119"/>
      <c r="B5453" s="118"/>
      <c r="C5453" s="118"/>
      <c r="D5453" s="56"/>
      <c r="E5453" s="41"/>
      <c r="F5453" s="49"/>
      <c r="G5453" s="71"/>
      <c r="H5453" s="41"/>
      <c r="I5453" s="42"/>
      <c r="J5453" s="120"/>
      <c r="K5453" s="72"/>
      <c r="L5453" s="53"/>
      <c r="M5453" s="101"/>
      <c r="N5453" s="74"/>
      <c r="O5453" s="102"/>
      <c r="P5453" s="102"/>
      <c r="Q5453" s="57"/>
      <c r="R5453" s="58"/>
      <c r="S5453" s="57"/>
      <c r="T5453" s="77"/>
    </row>
    <row r="5454">
      <c r="A5454" s="119"/>
      <c r="B5454" s="118"/>
      <c r="C5454" s="118"/>
      <c r="D5454" s="56"/>
      <c r="E5454" s="41"/>
      <c r="F5454" s="49"/>
      <c r="G5454" s="71"/>
      <c r="H5454" s="41"/>
      <c r="I5454" s="42"/>
      <c r="J5454" s="120"/>
      <c r="K5454" s="72"/>
      <c r="L5454" s="53"/>
      <c r="M5454" s="101"/>
      <c r="N5454" s="74"/>
      <c r="O5454" s="102"/>
      <c r="P5454" s="102"/>
      <c r="Q5454" s="57"/>
      <c r="R5454" s="58"/>
      <c r="S5454" s="57"/>
      <c r="T5454" s="77"/>
    </row>
    <row r="5455">
      <c r="A5455" s="119"/>
      <c r="B5455" s="118"/>
      <c r="C5455" s="118"/>
      <c r="D5455" s="56"/>
      <c r="E5455" s="41"/>
      <c r="F5455" s="49"/>
      <c r="G5455" s="71"/>
      <c r="H5455" s="41"/>
      <c r="I5455" s="42"/>
      <c r="J5455" s="120"/>
      <c r="K5455" s="72"/>
      <c r="L5455" s="53"/>
      <c r="M5455" s="101"/>
      <c r="N5455" s="74"/>
      <c r="O5455" s="102"/>
      <c r="P5455" s="102"/>
      <c r="Q5455" s="57"/>
      <c r="R5455" s="58"/>
      <c r="S5455" s="57"/>
      <c r="T5455" s="77"/>
    </row>
    <row r="5456">
      <c r="A5456" s="119"/>
      <c r="B5456" s="118"/>
      <c r="C5456" s="118"/>
      <c r="D5456" s="56"/>
      <c r="E5456" s="41"/>
      <c r="F5456" s="49"/>
      <c r="G5456" s="71"/>
      <c r="H5456" s="41"/>
      <c r="I5456" s="42"/>
      <c r="J5456" s="120"/>
      <c r="K5456" s="72"/>
      <c r="L5456" s="53"/>
      <c r="M5456" s="101"/>
      <c r="N5456" s="74"/>
      <c r="O5456" s="102"/>
      <c r="P5456" s="102"/>
      <c r="Q5456" s="57"/>
      <c r="R5456" s="58"/>
      <c r="S5456" s="57"/>
      <c r="T5456" s="77"/>
    </row>
    <row r="5457">
      <c r="A5457" s="119"/>
      <c r="B5457" s="118"/>
      <c r="C5457" s="118"/>
      <c r="D5457" s="56"/>
      <c r="E5457" s="41"/>
      <c r="F5457" s="49"/>
      <c r="G5457" s="71"/>
      <c r="H5457" s="41"/>
      <c r="I5457" s="42"/>
      <c r="J5457" s="120"/>
      <c r="K5457" s="72"/>
      <c r="L5457" s="53"/>
      <c r="M5457" s="101"/>
      <c r="N5457" s="74"/>
      <c r="O5457" s="102"/>
      <c r="P5457" s="102"/>
      <c r="Q5457" s="57"/>
      <c r="R5457" s="58"/>
      <c r="S5457" s="57"/>
      <c r="T5457" s="77"/>
    </row>
    <row r="5458">
      <c r="A5458" s="119"/>
      <c r="B5458" s="118"/>
      <c r="C5458" s="118"/>
      <c r="D5458" s="56"/>
      <c r="E5458" s="41"/>
      <c r="F5458" s="49"/>
      <c r="G5458" s="71"/>
      <c r="H5458" s="41"/>
      <c r="I5458" s="42"/>
      <c r="J5458" s="120"/>
      <c r="K5458" s="72"/>
      <c r="L5458" s="53"/>
      <c r="M5458" s="101"/>
      <c r="N5458" s="74"/>
      <c r="O5458" s="102"/>
      <c r="P5458" s="102"/>
      <c r="Q5458" s="57"/>
      <c r="R5458" s="58"/>
      <c r="S5458" s="57"/>
      <c r="T5458" s="77"/>
    </row>
    <row r="5459">
      <c r="A5459" s="119"/>
      <c r="B5459" s="118"/>
      <c r="C5459" s="118"/>
      <c r="D5459" s="56"/>
      <c r="E5459" s="41"/>
      <c r="F5459" s="49"/>
      <c r="G5459" s="71"/>
      <c r="H5459" s="41"/>
      <c r="I5459" s="42"/>
      <c r="J5459" s="120"/>
      <c r="K5459" s="72"/>
      <c r="L5459" s="53"/>
      <c r="M5459" s="101"/>
      <c r="N5459" s="74"/>
      <c r="O5459" s="102"/>
      <c r="P5459" s="102"/>
      <c r="Q5459" s="57"/>
      <c r="R5459" s="58"/>
      <c r="S5459" s="57"/>
      <c r="T5459" s="77"/>
    </row>
    <row r="5460">
      <c r="A5460" s="119"/>
      <c r="B5460" s="118"/>
      <c r="C5460" s="118"/>
      <c r="D5460" s="56"/>
      <c r="E5460" s="41"/>
      <c r="F5460" s="49"/>
      <c r="G5460" s="71"/>
      <c r="H5460" s="41"/>
      <c r="I5460" s="42"/>
      <c r="J5460" s="120"/>
      <c r="K5460" s="72"/>
      <c r="L5460" s="53"/>
      <c r="M5460" s="101"/>
      <c r="N5460" s="74"/>
      <c r="O5460" s="102"/>
      <c r="P5460" s="102"/>
      <c r="Q5460" s="57"/>
      <c r="R5460" s="58"/>
      <c r="S5460" s="57"/>
      <c r="T5460" s="77"/>
    </row>
    <row r="5461">
      <c r="A5461" s="119"/>
      <c r="B5461" s="118"/>
      <c r="C5461" s="118"/>
      <c r="D5461" s="56"/>
      <c r="E5461" s="41"/>
      <c r="F5461" s="49"/>
      <c r="G5461" s="71"/>
      <c r="H5461" s="41"/>
      <c r="I5461" s="42"/>
      <c r="J5461" s="120"/>
      <c r="K5461" s="72"/>
      <c r="L5461" s="53"/>
      <c r="M5461" s="101"/>
      <c r="N5461" s="74"/>
      <c r="O5461" s="102"/>
      <c r="P5461" s="102"/>
      <c r="Q5461" s="57"/>
      <c r="R5461" s="58"/>
      <c r="S5461" s="57"/>
      <c r="T5461" s="77"/>
    </row>
    <row r="5462">
      <c r="A5462" s="119"/>
      <c r="B5462" s="118"/>
      <c r="C5462" s="118"/>
      <c r="D5462" s="56"/>
      <c r="E5462" s="41"/>
      <c r="F5462" s="49"/>
      <c r="G5462" s="71"/>
      <c r="H5462" s="41"/>
      <c r="I5462" s="42"/>
      <c r="J5462" s="120"/>
      <c r="K5462" s="72"/>
      <c r="L5462" s="53"/>
      <c r="M5462" s="101"/>
      <c r="N5462" s="74"/>
      <c r="O5462" s="102"/>
      <c r="P5462" s="102"/>
      <c r="Q5462" s="57"/>
      <c r="R5462" s="58"/>
      <c r="S5462" s="57"/>
      <c r="T5462" s="77"/>
    </row>
    <row r="5463">
      <c r="A5463" s="119"/>
      <c r="B5463" s="118"/>
      <c r="C5463" s="118"/>
      <c r="D5463" s="56"/>
      <c r="E5463" s="41"/>
      <c r="F5463" s="49"/>
      <c r="G5463" s="71"/>
      <c r="H5463" s="41"/>
      <c r="I5463" s="42"/>
      <c r="J5463" s="120"/>
      <c r="K5463" s="72"/>
      <c r="L5463" s="53"/>
      <c r="M5463" s="101"/>
      <c r="N5463" s="74"/>
      <c r="O5463" s="102"/>
      <c r="P5463" s="102"/>
      <c r="Q5463" s="57"/>
      <c r="R5463" s="58"/>
      <c r="S5463" s="57"/>
      <c r="T5463" s="77"/>
    </row>
    <row r="5464">
      <c r="A5464" s="119"/>
      <c r="B5464" s="118"/>
      <c r="C5464" s="118"/>
      <c r="D5464" s="56"/>
      <c r="E5464" s="41"/>
      <c r="F5464" s="49"/>
      <c r="G5464" s="71"/>
      <c r="H5464" s="41"/>
      <c r="I5464" s="42"/>
      <c r="J5464" s="120"/>
      <c r="K5464" s="72"/>
      <c r="L5464" s="53"/>
      <c r="M5464" s="101"/>
      <c r="N5464" s="74"/>
      <c r="O5464" s="102"/>
      <c r="P5464" s="102"/>
      <c r="Q5464" s="57"/>
      <c r="R5464" s="58"/>
      <c r="S5464" s="57"/>
      <c r="T5464" s="77"/>
    </row>
    <row r="5465">
      <c r="A5465" s="119"/>
      <c r="B5465" s="118"/>
      <c r="C5465" s="118"/>
      <c r="D5465" s="56"/>
      <c r="E5465" s="41"/>
      <c r="F5465" s="49"/>
      <c r="G5465" s="71"/>
      <c r="H5465" s="41"/>
      <c r="I5465" s="42"/>
      <c r="J5465" s="120"/>
      <c r="K5465" s="72"/>
      <c r="L5465" s="53"/>
      <c r="M5465" s="101"/>
      <c r="N5465" s="74"/>
      <c r="O5465" s="102"/>
      <c r="P5465" s="102"/>
      <c r="Q5465" s="57"/>
      <c r="R5465" s="58"/>
      <c r="S5465" s="57"/>
      <c r="T5465" s="77"/>
    </row>
    <row r="5466">
      <c r="A5466" s="119"/>
      <c r="B5466" s="118"/>
      <c r="C5466" s="118"/>
      <c r="D5466" s="56"/>
      <c r="E5466" s="41"/>
      <c r="F5466" s="49"/>
      <c r="G5466" s="71"/>
      <c r="H5466" s="41"/>
      <c r="I5466" s="42"/>
      <c r="J5466" s="120"/>
      <c r="K5466" s="72"/>
      <c r="L5466" s="53"/>
      <c r="M5466" s="101"/>
      <c r="N5466" s="74"/>
      <c r="O5466" s="102"/>
      <c r="P5466" s="102"/>
      <c r="Q5466" s="57"/>
      <c r="R5466" s="58"/>
      <c r="S5466" s="57"/>
      <c r="T5466" s="77"/>
    </row>
    <row r="5467">
      <c r="A5467" s="119"/>
      <c r="B5467" s="118"/>
      <c r="C5467" s="118"/>
      <c r="D5467" s="56"/>
      <c r="E5467" s="41"/>
      <c r="F5467" s="49"/>
      <c r="G5467" s="71"/>
      <c r="H5467" s="41"/>
      <c r="I5467" s="42"/>
      <c r="J5467" s="120"/>
      <c r="K5467" s="72"/>
      <c r="L5467" s="53"/>
      <c r="M5467" s="101"/>
      <c r="N5467" s="74"/>
      <c r="O5467" s="102"/>
      <c r="P5467" s="102"/>
      <c r="Q5467" s="57"/>
      <c r="R5467" s="58"/>
      <c r="S5467" s="57"/>
      <c r="T5467" s="77"/>
    </row>
    <row r="5468">
      <c r="A5468" s="119"/>
      <c r="B5468" s="118"/>
      <c r="C5468" s="118"/>
      <c r="D5468" s="56"/>
      <c r="E5468" s="41"/>
      <c r="F5468" s="49"/>
      <c r="G5468" s="71"/>
      <c r="H5468" s="41"/>
      <c r="I5468" s="42"/>
      <c r="J5468" s="120"/>
      <c r="K5468" s="72"/>
      <c r="L5468" s="53"/>
      <c r="M5468" s="101"/>
      <c r="N5468" s="74"/>
      <c r="O5468" s="102"/>
      <c r="P5468" s="102"/>
      <c r="Q5468" s="57"/>
      <c r="R5468" s="58"/>
      <c r="S5468" s="57"/>
      <c r="T5468" s="77"/>
    </row>
    <row r="5469">
      <c r="A5469" s="119"/>
      <c r="B5469" s="118"/>
      <c r="C5469" s="118"/>
      <c r="D5469" s="56"/>
      <c r="E5469" s="41"/>
      <c r="F5469" s="49"/>
      <c r="G5469" s="71"/>
      <c r="H5469" s="41"/>
      <c r="I5469" s="42"/>
      <c r="J5469" s="120"/>
      <c r="K5469" s="72"/>
      <c r="L5469" s="53"/>
      <c r="M5469" s="101"/>
      <c r="N5469" s="74"/>
      <c r="O5469" s="102"/>
      <c r="P5469" s="102"/>
      <c r="Q5469" s="57"/>
      <c r="R5469" s="58"/>
      <c r="S5469" s="57"/>
      <c r="T5469" s="77"/>
    </row>
    <row r="5470">
      <c r="A5470" s="119"/>
      <c r="B5470" s="118"/>
      <c r="C5470" s="118"/>
      <c r="D5470" s="56"/>
      <c r="E5470" s="41"/>
      <c r="F5470" s="49"/>
      <c r="G5470" s="71"/>
      <c r="H5470" s="41"/>
      <c r="I5470" s="42"/>
      <c r="J5470" s="120"/>
      <c r="K5470" s="72"/>
      <c r="L5470" s="53"/>
      <c r="M5470" s="101"/>
      <c r="N5470" s="74"/>
      <c r="O5470" s="102"/>
      <c r="P5470" s="102"/>
      <c r="Q5470" s="57"/>
      <c r="R5470" s="58"/>
      <c r="S5470" s="57"/>
      <c r="T5470" s="77"/>
    </row>
    <row r="5471">
      <c r="A5471" s="119"/>
      <c r="B5471" s="118"/>
      <c r="C5471" s="118"/>
      <c r="D5471" s="56"/>
      <c r="E5471" s="41"/>
      <c r="F5471" s="49"/>
      <c r="G5471" s="71"/>
      <c r="H5471" s="41"/>
      <c r="I5471" s="42"/>
      <c r="J5471" s="120"/>
      <c r="K5471" s="72"/>
      <c r="L5471" s="53"/>
      <c r="M5471" s="101"/>
      <c r="N5471" s="74"/>
      <c r="O5471" s="102"/>
      <c r="P5471" s="102"/>
      <c r="Q5471" s="57"/>
      <c r="R5471" s="58"/>
      <c r="S5471" s="57"/>
      <c r="T5471" s="77"/>
    </row>
    <row r="5472">
      <c r="A5472" s="119"/>
      <c r="B5472" s="118"/>
      <c r="C5472" s="118"/>
      <c r="D5472" s="56"/>
      <c r="E5472" s="41"/>
      <c r="F5472" s="49"/>
      <c r="G5472" s="71"/>
      <c r="H5472" s="41"/>
      <c r="I5472" s="42"/>
      <c r="J5472" s="120"/>
      <c r="K5472" s="72"/>
      <c r="L5472" s="53"/>
      <c r="M5472" s="101"/>
      <c r="N5472" s="74"/>
      <c r="O5472" s="102"/>
      <c r="P5472" s="102"/>
      <c r="Q5472" s="57"/>
      <c r="R5472" s="58"/>
      <c r="S5472" s="57"/>
      <c r="T5472" s="77"/>
    </row>
    <row r="5473">
      <c r="A5473" s="119"/>
      <c r="B5473" s="118"/>
      <c r="C5473" s="118"/>
      <c r="D5473" s="56"/>
      <c r="E5473" s="41"/>
      <c r="F5473" s="49"/>
      <c r="G5473" s="71"/>
      <c r="H5473" s="41"/>
      <c r="I5473" s="42"/>
      <c r="J5473" s="120"/>
      <c r="K5473" s="72"/>
      <c r="L5473" s="53"/>
      <c r="M5473" s="101"/>
      <c r="N5473" s="74"/>
      <c r="O5473" s="102"/>
      <c r="P5473" s="102"/>
      <c r="Q5473" s="57"/>
      <c r="R5473" s="58"/>
      <c r="S5473" s="57"/>
      <c r="T5473" s="77"/>
    </row>
    <row r="5474">
      <c r="A5474" s="119"/>
      <c r="B5474" s="118"/>
      <c r="C5474" s="118"/>
      <c r="D5474" s="56"/>
      <c r="E5474" s="41"/>
      <c r="F5474" s="49"/>
      <c r="G5474" s="71"/>
      <c r="H5474" s="41"/>
      <c r="I5474" s="42"/>
      <c r="J5474" s="120"/>
      <c r="K5474" s="72"/>
      <c r="L5474" s="53"/>
      <c r="M5474" s="101"/>
      <c r="N5474" s="74"/>
      <c r="O5474" s="102"/>
      <c r="P5474" s="102"/>
      <c r="Q5474" s="57"/>
      <c r="R5474" s="58"/>
      <c r="S5474" s="57"/>
      <c r="T5474" s="77"/>
    </row>
    <row r="5475">
      <c r="A5475" s="119"/>
      <c r="B5475" s="118"/>
      <c r="C5475" s="118"/>
      <c r="D5475" s="56"/>
      <c r="E5475" s="41"/>
      <c r="F5475" s="49"/>
      <c r="G5475" s="71"/>
      <c r="H5475" s="41"/>
      <c r="I5475" s="42"/>
      <c r="J5475" s="120"/>
      <c r="K5475" s="72"/>
      <c r="L5475" s="53"/>
      <c r="M5475" s="101"/>
      <c r="N5475" s="74"/>
      <c r="O5475" s="102"/>
      <c r="P5475" s="102"/>
      <c r="Q5475" s="57"/>
      <c r="R5475" s="58"/>
      <c r="S5475" s="57"/>
      <c r="T5475" s="77"/>
    </row>
    <row r="5476">
      <c r="A5476" s="119"/>
      <c r="B5476" s="118"/>
      <c r="C5476" s="118"/>
      <c r="D5476" s="56"/>
      <c r="E5476" s="41"/>
      <c r="F5476" s="49"/>
      <c r="G5476" s="71"/>
      <c r="H5476" s="41"/>
      <c r="I5476" s="42"/>
      <c r="J5476" s="120"/>
      <c r="K5476" s="72"/>
      <c r="L5476" s="53"/>
      <c r="M5476" s="101"/>
      <c r="N5476" s="74"/>
      <c r="O5476" s="102"/>
      <c r="P5476" s="102"/>
      <c r="Q5476" s="57"/>
      <c r="R5476" s="58"/>
      <c r="S5476" s="57"/>
      <c r="T5476" s="77"/>
    </row>
    <row r="5477">
      <c r="A5477" s="119"/>
      <c r="B5477" s="118"/>
      <c r="C5477" s="118"/>
      <c r="D5477" s="56"/>
      <c r="E5477" s="41"/>
      <c r="F5477" s="49"/>
      <c r="G5477" s="71"/>
      <c r="H5477" s="41"/>
      <c r="I5477" s="42"/>
      <c r="J5477" s="120"/>
      <c r="K5477" s="72"/>
      <c r="L5477" s="53"/>
      <c r="M5477" s="101"/>
      <c r="N5477" s="74"/>
      <c r="O5477" s="102"/>
      <c r="P5477" s="102"/>
      <c r="Q5477" s="57"/>
      <c r="R5477" s="58"/>
      <c r="S5477" s="57"/>
      <c r="T5477" s="77"/>
    </row>
    <row r="5478">
      <c r="A5478" s="119"/>
      <c r="B5478" s="118"/>
      <c r="C5478" s="118"/>
      <c r="D5478" s="56"/>
      <c r="E5478" s="41"/>
      <c r="F5478" s="49"/>
      <c r="G5478" s="71"/>
      <c r="H5478" s="41"/>
      <c r="I5478" s="42"/>
      <c r="J5478" s="120"/>
      <c r="K5478" s="72"/>
      <c r="L5478" s="53"/>
      <c r="M5478" s="101"/>
      <c r="N5478" s="74"/>
      <c r="O5478" s="102"/>
      <c r="P5478" s="102"/>
      <c r="Q5478" s="57"/>
      <c r="R5478" s="58"/>
      <c r="S5478" s="57"/>
      <c r="T5478" s="77"/>
    </row>
    <row r="5479">
      <c r="A5479" s="119"/>
      <c r="B5479" s="118"/>
      <c r="C5479" s="118"/>
      <c r="D5479" s="56"/>
      <c r="E5479" s="41"/>
      <c r="F5479" s="49"/>
      <c r="G5479" s="71"/>
      <c r="H5479" s="41"/>
      <c r="I5479" s="42"/>
      <c r="J5479" s="120"/>
      <c r="K5479" s="72"/>
      <c r="L5479" s="53"/>
      <c r="M5479" s="101"/>
      <c r="N5479" s="74"/>
      <c r="O5479" s="102"/>
      <c r="P5479" s="102"/>
      <c r="Q5479" s="57"/>
      <c r="R5479" s="58"/>
      <c r="S5479" s="57"/>
      <c r="T5479" s="77"/>
    </row>
    <row r="5480">
      <c r="A5480" s="119"/>
      <c r="B5480" s="118"/>
      <c r="C5480" s="118"/>
      <c r="D5480" s="56"/>
      <c r="E5480" s="41"/>
      <c r="F5480" s="49"/>
      <c r="G5480" s="71"/>
      <c r="H5480" s="41"/>
      <c r="I5480" s="42"/>
      <c r="J5480" s="120"/>
      <c r="K5480" s="72"/>
      <c r="L5480" s="53"/>
      <c r="M5480" s="101"/>
      <c r="N5480" s="74"/>
      <c r="O5480" s="102"/>
      <c r="P5480" s="102"/>
      <c r="Q5480" s="57"/>
      <c r="R5480" s="58"/>
      <c r="S5480" s="57"/>
      <c r="T5480" s="77"/>
    </row>
    <row r="5481">
      <c r="A5481" s="119"/>
      <c r="B5481" s="118"/>
      <c r="C5481" s="118"/>
      <c r="D5481" s="56"/>
      <c r="E5481" s="41"/>
      <c r="F5481" s="49"/>
      <c r="G5481" s="71"/>
      <c r="H5481" s="41"/>
      <c r="I5481" s="42"/>
      <c r="J5481" s="120"/>
      <c r="K5481" s="72"/>
      <c r="L5481" s="53"/>
      <c r="M5481" s="101"/>
      <c r="N5481" s="74"/>
      <c r="O5481" s="102"/>
      <c r="P5481" s="102"/>
      <c r="Q5481" s="57"/>
      <c r="R5481" s="58"/>
      <c r="S5481" s="57"/>
      <c r="T5481" s="77"/>
    </row>
    <row r="5482">
      <c r="A5482" s="119"/>
      <c r="B5482" s="118"/>
      <c r="C5482" s="118"/>
      <c r="D5482" s="56"/>
      <c r="E5482" s="41"/>
      <c r="F5482" s="49"/>
      <c r="G5482" s="71"/>
      <c r="H5482" s="41"/>
      <c r="I5482" s="42"/>
      <c r="J5482" s="120"/>
      <c r="K5482" s="72"/>
      <c r="L5482" s="53"/>
      <c r="M5482" s="101"/>
      <c r="N5482" s="74"/>
      <c r="O5482" s="102"/>
      <c r="P5482" s="102"/>
      <c r="Q5482" s="57"/>
      <c r="R5482" s="58"/>
      <c r="S5482" s="57"/>
      <c r="T5482" s="77"/>
    </row>
    <row r="5483">
      <c r="A5483" s="119"/>
      <c r="B5483" s="118"/>
      <c r="C5483" s="118"/>
      <c r="D5483" s="56"/>
      <c r="E5483" s="41"/>
      <c r="F5483" s="49"/>
      <c r="G5483" s="71"/>
      <c r="H5483" s="41"/>
      <c r="I5483" s="42"/>
      <c r="J5483" s="120"/>
      <c r="K5483" s="72"/>
      <c r="L5483" s="53"/>
      <c r="M5483" s="101"/>
      <c r="N5483" s="74"/>
      <c r="O5483" s="102"/>
      <c r="P5483" s="102"/>
      <c r="Q5483" s="57"/>
      <c r="R5483" s="58"/>
      <c r="S5483" s="57"/>
      <c r="T5483" s="77"/>
    </row>
    <row r="5484">
      <c r="A5484" s="119"/>
      <c r="B5484" s="118"/>
      <c r="C5484" s="118"/>
      <c r="D5484" s="56"/>
      <c r="E5484" s="41"/>
      <c r="F5484" s="49"/>
      <c r="G5484" s="71"/>
      <c r="H5484" s="41"/>
      <c r="I5484" s="42"/>
      <c r="J5484" s="120"/>
      <c r="K5484" s="72"/>
      <c r="L5484" s="53"/>
      <c r="M5484" s="101"/>
      <c r="N5484" s="74"/>
      <c r="O5484" s="102"/>
      <c r="P5484" s="102"/>
      <c r="Q5484" s="57"/>
      <c r="R5484" s="58"/>
      <c r="S5484" s="57"/>
      <c r="T5484" s="77"/>
    </row>
    <row r="5485">
      <c r="A5485" s="119"/>
      <c r="B5485" s="118"/>
      <c r="C5485" s="118"/>
      <c r="D5485" s="56"/>
      <c r="E5485" s="41"/>
      <c r="F5485" s="49"/>
      <c r="G5485" s="71"/>
      <c r="H5485" s="41"/>
      <c r="I5485" s="42"/>
      <c r="J5485" s="120"/>
      <c r="K5485" s="72"/>
      <c r="L5485" s="53"/>
      <c r="M5485" s="101"/>
      <c r="N5485" s="74"/>
      <c r="O5485" s="102"/>
      <c r="P5485" s="102"/>
      <c r="Q5485" s="57"/>
      <c r="R5485" s="58"/>
      <c r="S5485" s="57"/>
      <c r="T5485" s="77"/>
    </row>
    <row r="5486">
      <c r="A5486" s="119"/>
      <c r="B5486" s="118"/>
      <c r="C5486" s="118"/>
      <c r="D5486" s="56"/>
      <c r="E5486" s="41"/>
      <c r="F5486" s="49"/>
      <c r="G5486" s="71"/>
      <c r="H5486" s="41"/>
      <c r="I5486" s="42"/>
      <c r="J5486" s="120"/>
      <c r="K5486" s="72"/>
      <c r="L5486" s="53"/>
      <c r="M5486" s="101"/>
      <c r="N5486" s="74"/>
      <c r="O5486" s="102"/>
      <c r="P5486" s="102"/>
      <c r="Q5486" s="57"/>
      <c r="R5486" s="58"/>
      <c r="S5486" s="57"/>
      <c r="T5486" s="77"/>
    </row>
    <row r="5487">
      <c r="A5487" s="119"/>
      <c r="B5487" s="118"/>
      <c r="C5487" s="118"/>
      <c r="D5487" s="56"/>
      <c r="E5487" s="41"/>
      <c r="F5487" s="49"/>
      <c r="G5487" s="71"/>
      <c r="H5487" s="41"/>
      <c r="I5487" s="42"/>
      <c r="J5487" s="120"/>
      <c r="K5487" s="72"/>
      <c r="L5487" s="53"/>
      <c r="M5487" s="101"/>
      <c r="N5487" s="74"/>
      <c r="O5487" s="102"/>
      <c r="P5487" s="102"/>
      <c r="Q5487" s="57"/>
      <c r="R5487" s="58"/>
      <c r="S5487" s="57"/>
      <c r="T5487" s="77"/>
    </row>
    <row r="5488">
      <c r="A5488" s="119"/>
      <c r="B5488" s="118"/>
      <c r="C5488" s="118"/>
      <c r="D5488" s="56"/>
      <c r="E5488" s="41"/>
      <c r="F5488" s="49"/>
      <c r="G5488" s="71"/>
      <c r="H5488" s="41"/>
      <c r="I5488" s="42"/>
      <c r="J5488" s="120"/>
      <c r="K5488" s="72"/>
      <c r="L5488" s="53"/>
      <c r="M5488" s="101"/>
      <c r="N5488" s="74"/>
      <c r="O5488" s="102"/>
      <c r="P5488" s="102"/>
      <c r="Q5488" s="57"/>
      <c r="R5488" s="58"/>
      <c r="S5488" s="57"/>
      <c r="T5488" s="77"/>
    </row>
    <row r="5489">
      <c r="A5489" s="119"/>
      <c r="B5489" s="118"/>
      <c r="C5489" s="118"/>
      <c r="D5489" s="56"/>
      <c r="E5489" s="41"/>
      <c r="F5489" s="49"/>
      <c r="G5489" s="71"/>
      <c r="H5489" s="41"/>
      <c r="I5489" s="42"/>
      <c r="J5489" s="120"/>
      <c r="K5489" s="72"/>
      <c r="L5489" s="53"/>
      <c r="M5489" s="101"/>
      <c r="N5489" s="74"/>
      <c r="O5489" s="102"/>
      <c r="P5489" s="102"/>
      <c r="Q5489" s="57"/>
      <c r="R5489" s="58"/>
      <c r="S5489" s="57"/>
      <c r="T5489" s="77"/>
    </row>
    <row r="5490">
      <c r="A5490" s="119"/>
      <c r="B5490" s="118"/>
      <c r="C5490" s="118"/>
      <c r="D5490" s="56"/>
      <c r="E5490" s="41"/>
      <c r="F5490" s="49"/>
      <c r="G5490" s="71"/>
      <c r="H5490" s="41"/>
      <c r="I5490" s="42"/>
      <c r="J5490" s="120"/>
      <c r="K5490" s="72"/>
      <c r="L5490" s="53"/>
      <c r="M5490" s="101"/>
      <c r="N5490" s="74"/>
      <c r="O5490" s="102"/>
      <c r="P5490" s="102"/>
      <c r="Q5490" s="57"/>
      <c r="R5490" s="58"/>
      <c r="S5490" s="57"/>
      <c r="T5490" s="77"/>
    </row>
    <row r="5491">
      <c r="A5491" s="119"/>
      <c r="B5491" s="118"/>
      <c r="C5491" s="118"/>
      <c r="D5491" s="56"/>
      <c r="E5491" s="41"/>
      <c r="F5491" s="49"/>
      <c r="G5491" s="71"/>
      <c r="H5491" s="41"/>
      <c r="I5491" s="42"/>
      <c r="J5491" s="120"/>
      <c r="K5491" s="72"/>
      <c r="L5491" s="53"/>
      <c r="M5491" s="101"/>
      <c r="N5491" s="74"/>
      <c r="O5491" s="102"/>
      <c r="P5491" s="102"/>
      <c r="Q5491" s="57"/>
      <c r="R5491" s="58"/>
      <c r="S5491" s="57"/>
      <c r="T5491" s="77"/>
    </row>
    <row r="5492">
      <c r="A5492" s="119"/>
      <c r="B5492" s="118"/>
      <c r="C5492" s="118"/>
      <c r="D5492" s="56"/>
      <c r="E5492" s="41"/>
      <c r="F5492" s="49"/>
      <c r="G5492" s="71"/>
      <c r="H5492" s="41"/>
      <c r="I5492" s="42"/>
      <c r="J5492" s="120"/>
      <c r="K5492" s="72"/>
      <c r="L5492" s="53"/>
      <c r="M5492" s="101"/>
      <c r="N5492" s="74"/>
      <c r="O5492" s="102"/>
      <c r="P5492" s="102"/>
      <c r="Q5492" s="57"/>
      <c r="R5492" s="58"/>
      <c r="S5492" s="57"/>
      <c r="T5492" s="77"/>
    </row>
    <row r="5493">
      <c r="A5493" s="119"/>
      <c r="B5493" s="118"/>
      <c r="C5493" s="118"/>
      <c r="D5493" s="56"/>
      <c r="E5493" s="41"/>
      <c r="F5493" s="49"/>
      <c r="G5493" s="71"/>
      <c r="H5493" s="41"/>
      <c r="I5493" s="42"/>
      <c r="J5493" s="120"/>
      <c r="K5493" s="72"/>
      <c r="L5493" s="53"/>
      <c r="M5493" s="101"/>
      <c r="N5493" s="74"/>
      <c r="O5493" s="102"/>
      <c r="P5493" s="102"/>
      <c r="Q5493" s="57"/>
      <c r="R5493" s="58"/>
      <c r="S5493" s="57"/>
      <c r="T5493" s="77"/>
    </row>
    <row r="5494">
      <c r="A5494" s="119"/>
      <c r="B5494" s="118"/>
      <c r="C5494" s="118"/>
      <c r="D5494" s="56"/>
      <c r="E5494" s="41"/>
      <c r="F5494" s="49"/>
      <c r="G5494" s="71"/>
      <c r="H5494" s="41"/>
      <c r="I5494" s="42"/>
      <c r="J5494" s="120"/>
      <c r="K5494" s="72"/>
      <c r="L5494" s="53"/>
      <c r="M5494" s="101"/>
      <c r="N5494" s="74"/>
      <c r="O5494" s="102"/>
      <c r="P5494" s="102"/>
      <c r="Q5494" s="57"/>
      <c r="R5494" s="58"/>
      <c r="S5494" s="57"/>
      <c r="T5494" s="77"/>
    </row>
    <row r="5495">
      <c r="A5495" s="119"/>
      <c r="B5495" s="118"/>
      <c r="C5495" s="118"/>
      <c r="D5495" s="56"/>
      <c r="E5495" s="41"/>
      <c r="F5495" s="49"/>
      <c r="G5495" s="71"/>
      <c r="H5495" s="41"/>
      <c r="I5495" s="42"/>
      <c r="J5495" s="120"/>
      <c r="K5495" s="72"/>
      <c r="L5495" s="53"/>
      <c r="M5495" s="101"/>
      <c r="N5495" s="74"/>
      <c r="O5495" s="102"/>
      <c r="P5495" s="102"/>
      <c r="Q5495" s="57"/>
      <c r="R5495" s="58"/>
      <c r="S5495" s="57"/>
      <c r="T5495" s="77"/>
    </row>
    <row r="5496">
      <c r="A5496" s="119"/>
      <c r="B5496" s="118"/>
      <c r="C5496" s="118"/>
      <c r="D5496" s="56"/>
      <c r="E5496" s="41"/>
      <c r="F5496" s="49"/>
      <c r="G5496" s="71"/>
      <c r="H5496" s="41"/>
      <c r="I5496" s="42"/>
      <c r="J5496" s="120"/>
      <c r="K5496" s="72"/>
      <c r="L5496" s="53"/>
      <c r="M5496" s="101"/>
      <c r="N5496" s="74"/>
      <c r="O5496" s="102"/>
      <c r="P5496" s="102"/>
      <c r="Q5496" s="57"/>
      <c r="R5496" s="58"/>
      <c r="S5496" s="57"/>
      <c r="T5496" s="77"/>
    </row>
    <row r="5497">
      <c r="A5497" s="119"/>
      <c r="B5497" s="118"/>
      <c r="C5497" s="118"/>
      <c r="D5497" s="56"/>
      <c r="E5497" s="41"/>
      <c r="F5497" s="49"/>
      <c r="G5497" s="71"/>
      <c r="H5497" s="41"/>
      <c r="I5497" s="42"/>
      <c r="J5497" s="120"/>
      <c r="K5497" s="72"/>
      <c r="L5497" s="53"/>
      <c r="M5497" s="101"/>
      <c r="N5497" s="74"/>
      <c r="O5497" s="102"/>
      <c r="P5497" s="102"/>
      <c r="Q5497" s="57"/>
      <c r="R5497" s="58"/>
      <c r="S5497" s="57"/>
      <c r="T5497" s="77"/>
    </row>
    <row r="5498">
      <c r="A5498" s="119"/>
      <c r="B5498" s="118"/>
      <c r="C5498" s="118"/>
      <c r="D5498" s="56"/>
      <c r="E5498" s="41"/>
      <c r="F5498" s="49"/>
      <c r="G5498" s="71"/>
      <c r="H5498" s="41"/>
      <c r="I5498" s="42"/>
      <c r="J5498" s="120"/>
      <c r="K5498" s="72"/>
      <c r="L5498" s="53"/>
      <c r="M5498" s="101"/>
      <c r="N5498" s="74"/>
      <c r="O5498" s="102"/>
      <c r="P5498" s="102"/>
      <c r="Q5498" s="57"/>
      <c r="R5498" s="58"/>
      <c r="S5498" s="57"/>
      <c r="T5498" s="77"/>
    </row>
    <row r="5499">
      <c r="A5499" s="119"/>
      <c r="B5499" s="118"/>
      <c r="C5499" s="118"/>
      <c r="D5499" s="56"/>
      <c r="E5499" s="41"/>
      <c r="F5499" s="49"/>
      <c r="G5499" s="71"/>
      <c r="H5499" s="41"/>
      <c r="I5499" s="42"/>
      <c r="J5499" s="120"/>
      <c r="K5499" s="72"/>
      <c r="L5499" s="53"/>
      <c r="M5499" s="101"/>
      <c r="N5499" s="74"/>
      <c r="O5499" s="102"/>
      <c r="P5499" s="102"/>
      <c r="Q5499" s="57"/>
      <c r="R5499" s="58"/>
      <c r="S5499" s="57"/>
      <c r="T5499" s="77"/>
    </row>
    <row r="5500">
      <c r="A5500" s="119"/>
      <c r="B5500" s="118"/>
      <c r="C5500" s="118"/>
      <c r="D5500" s="56"/>
      <c r="E5500" s="41"/>
      <c r="F5500" s="49"/>
      <c r="G5500" s="71"/>
      <c r="H5500" s="41"/>
      <c r="I5500" s="42"/>
      <c r="J5500" s="120"/>
      <c r="K5500" s="72"/>
      <c r="L5500" s="53"/>
      <c r="M5500" s="101"/>
      <c r="N5500" s="74"/>
      <c r="O5500" s="102"/>
      <c r="P5500" s="102"/>
      <c r="Q5500" s="57"/>
      <c r="R5500" s="58"/>
      <c r="S5500" s="57"/>
      <c r="T5500" s="77"/>
    </row>
    <row r="5501">
      <c r="A5501" s="119"/>
      <c r="B5501" s="118"/>
      <c r="C5501" s="118"/>
      <c r="D5501" s="56"/>
      <c r="E5501" s="41"/>
      <c r="F5501" s="49"/>
      <c r="G5501" s="71"/>
      <c r="H5501" s="41"/>
      <c r="I5501" s="42"/>
      <c r="J5501" s="120"/>
      <c r="K5501" s="72"/>
      <c r="L5501" s="53"/>
      <c r="M5501" s="101"/>
      <c r="N5501" s="74"/>
      <c r="O5501" s="102"/>
      <c r="P5501" s="102"/>
      <c r="Q5501" s="57"/>
      <c r="R5501" s="58"/>
      <c r="S5501" s="57"/>
      <c r="T5501" s="77"/>
    </row>
    <row r="5502">
      <c r="A5502" s="119"/>
      <c r="B5502" s="118"/>
      <c r="C5502" s="118"/>
      <c r="D5502" s="56"/>
      <c r="E5502" s="41"/>
      <c r="F5502" s="49"/>
      <c r="G5502" s="71"/>
      <c r="H5502" s="41"/>
      <c r="I5502" s="42"/>
      <c r="J5502" s="120"/>
      <c r="K5502" s="72"/>
      <c r="L5502" s="53"/>
      <c r="M5502" s="101"/>
      <c r="N5502" s="74"/>
      <c r="O5502" s="102"/>
      <c r="P5502" s="102"/>
      <c r="Q5502" s="57"/>
      <c r="R5502" s="58"/>
      <c r="S5502" s="57"/>
      <c r="T5502" s="77"/>
    </row>
    <row r="5503">
      <c r="A5503" s="119"/>
      <c r="B5503" s="118"/>
      <c r="C5503" s="118"/>
      <c r="D5503" s="56"/>
      <c r="E5503" s="41"/>
      <c r="F5503" s="49"/>
      <c r="G5503" s="71"/>
      <c r="H5503" s="41"/>
      <c r="I5503" s="42"/>
      <c r="J5503" s="120"/>
      <c r="K5503" s="72"/>
      <c r="L5503" s="53"/>
      <c r="M5503" s="101"/>
      <c r="N5503" s="74"/>
      <c r="O5503" s="102"/>
      <c r="P5503" s="102"/>
      <c r="Q5503" s="57"/>
      <c r="R5503" s="58"/>
      <c r="S5503" s="57"/>
      <c r="T5503" s="77"/>
    </row>
    <row r="5504">
      <c r="A5504" s="119"/>
      <c r="B5504" s="118"/>
      <c r="C5504" s="118"/>
      <c r="D5504" s="56"/>
      <c r="E5504" s="41"/>
      <c r="F5504" s="49"/>
      <c r="G5504" s="71"/>
      <c r="H5504" s="41"/>
      <c r="I5504" s="42"/>
      <c r="J5504" s="120"/>
      <c r="K5504" s="72"/>
      <c r="L5504" s="53"/>
      <c r="M5504" s="101"/>
      <c r="N5504" s="74"/>
      <c r="O5504" s="102"/>
      <c r="P5504" s="102"/>
      <c r="Q5504" s="57"/>
      <c r="R5504" s="58"/>
      <c r="S5504" s="57"/>
      <c r="T5504" s="77"/>
    </row>
    <row r="5505">
      <c r="A5505" s="119"/>
      <c r="B5505" s="118"/>
      <c r="C5505" s="118"/>
      <c r="D5505" s="56"/>
      <c r="E5505" s="41"/>
      <c r="F5505" s="49"/>
      <c r="G5505" s="71"/>
      <c r="H5505" s="41"/>
      <c r="I5505" s="42"/>
      <c r="J5505" s="120"/>
      <c r="K5505" s="72"/>
      <c r="L5505" s="53"/>
      <c r="M5505" s="101"/>
      <c r="N5505" s="74"/>
      <c r="O5505" s="102"/>
      <c r="P5505" s="102"/>
      <c r="Q5505" s="57"/>
      <c r="R5505" s="58"/>
      <c r="S5505" s="57"/>
      <c r="T5505" s="77"/>
    </row>
    <row r="5506">
      <c r="A5506" s="119"/>
      <c r="B5506" s="118"/>
      <c r="C5506" s="118"/>
      <c r="D5506" s="56"/>
      <c r="E5506" s="41"/>
      <c r="F5506" s="49"/>
      <c r="G5506" s="71"/>
      <c r="H5506" s="41"/>
      <c r="I5506" s="42"/>
      <c r="J5506" s="120"/>
      <c r="K5506" s="72"/>
      <c r="L5506" s="53"/>
      <c r="M5506" s="101"/>
      <c r="N5506" s="74"/>
      <c r="O5506" s="102"/>
      <c r="P5506" s="102"/>
      <c r="Q5506" s="57"/>
      <c r="R5506" s="58"/>
      <c r="S5506" s="57"/>
      <c r="T5506" s="77"/>
    </row>
    <row r="5507">
      <c r="A5507" s="119"/>
      <c r="B5507" s="118"/>
      <c r="C5507" s="118"/>
      <c r="D5507" s="56"/>
      <c r="E5507" s="41"/>
      <c r="F5507" s="49"/>
      <c r="G5507" s="71"/>
      <c r="H5507" s="41"/>
      <c r="I5507" s="42"/>
      <c r="J5507" s="120"/>
      <c r="K5507" s="72"/>
      <c r="L5507" s="53"/>
      <c r="M5507" s="101"/>
      <c r="N5507" s="74"/>
      <c r="O5507" s="102"/>
      <c r="P5507" s="102"/>
      <c r="Q5507" s="57"/>
      <c r="R5507" s="58"/>
      <c r="S5507" s="57"/>
      <c r="T5507" s="77"/>
    </row>
    <row r="5508">
      <c r="A5508" s="119"/>
      <c r="B5508" s="118"/>
      <c r="C5508" s="118"/>
      <c r="D5508" s="56"/>
      <c r="E5508" s="41"/>
      <c r="F5508" s="49"/>
      <c r="G5508" s="71"/>
      <c r="H5508" s="41"/>
      <c r="I5508" s="42"/>
      <c r="J5508" s="120"/>
      <c r="K5508" s="72"/>
      <c r="L5508" s="53"/>
      <c r="M5508" s="101"/>
      <c r="N5508" s="74"/>
      <c r="O5508" s="102"/>
      <c r="P5508" s="102"/>
      <c r="Q5508" s="57"/>
      <c r="R5508" s="58"/>
      <c r="S5508" s="57"/>
      <c r="T5508" s="77"/>
    </row>
    <row r="5509">
      <c r="A5509" s="119"/>
      <c r="B5509" s="118"/>
      <c r="C5509" s="118"/>
      <c r="D5509" s="56"/>
      <c r="E5509" s="41"/>
      <c r="F5509" s="49"/>
      <c r="G5509" s="71"/>
      <c r="H5509" s="41"/>
      <c r="I5509" s="42"/>
      <c r="J5509" s="120"/>
      <c r="K5509" s="72"/>
      <c r="L5509" s="53"/>
      <c r="M5509" s="101"/>
      <c r="N5509" s="74"/>
      <c r="O5509" s="102"/>
      <c r="P5509" s="102"/>
      <c r="Q5509" s="57"/>
      <c r="R5509" s="58"/>
      <c r="S5509" s="57"/>
      <c r="T5509" s="77"/>
    </row>
    <row r="5510">
      <c r="A5510" s="119"/>
      <c r="B5510" s="118"/>
      <c r="C5510" s="118"/>
      <c r="D5510" s="56"/>
      <c r="E5510" s="41"/>
      <c r="F5510" s="49"/>
      <c r="G5510" s="71"/>
      <c r="H5510" s="41"/>
      <c r="I5510" s="42"/>
      <c r="J5510" s="120"/>
      <c r="K5510" s="72"/>
      <c r="L5510" s="53"/>
      <c r="M5510" s="101"/>
      <c r="N5510" s="74"/>
      <c r="O5510" s="102"/>
      <c r="P5510" s="102"/>
      <c r="Q5510" s="57"/>
      <c r="R5510" s="58"/>
      <c r="S5510" s="57"/>
      <c r="T5510" s="77"/>
    </row>
    <row r="5511">
      <c r="A5511" s="119"/>
      <c r="B5511" s="118"/>
      <c r="C5511" s="118"/>
      <c r="D5511" s="56"/>
      <c r="E5511" s="41"/>
      <c r="F5511" s="49"/>
      <c r="G5511" s="71"/>
      <c r="H5511" s="41"/>
      <c r="I5511" s="42"/>
      <c r="J5511" s="120"/>
      <c r="K5511" s="72"/>
      <c r="L5511" s="53"/>
      <c r="M5511" s="101"/>
      <c r="N5511" s="74"/>
      <c r="O5511" s="102"/>
      <c r="P5511" s="102"/>
      <c r="Q5511" s="57"/>
      <c r="R5511" s="58"/>
      <c r="S5511" s="57"/>
      <c r="T5511" s="77"/>
    </row>
    <row r="5512">
      <c r="A5512" s="119"/>
      <c r="B5512" s="118"/>
      <c r="C5512" s="118"/>
      <c r="D5512" s="56"/>
      <c r="E5512" s="41"/>
      <c r="F5512" s="49"/>
      <c r="G5512" s="71"/>
      <c r="H5512" s="41"/>
      <c r="I5512" s="42"/>
      <c r="J5512" s="120"/>
      <c r="K5512" s="72"/>
      <c r="L5512" s="53"/>
      <c r="M5512" s="101"/>
      <c r="N5512" s="74"/>
      <c r="O5512" s="102"/>
      <c r="P5512" s="102"/>
      <c r="Q5512" s="57"/>
      <c r="R5512" s="58"/>
      <c r="S5512" s="57"/>
      <c r="T5512" s="77"/>
    </row>
    <row r="5513">
      <c r="A5513" s="119"/>
      <c r="B5513" s="118"/>
      <c r="C5513" s="118"/>
      <c r="D5513" s="56"/>
      <c r="E5513" s="41"/>
      <c r="F5513" s="49"/>
      <c r="G5513" s="71"/>
      <c r="H5513" s="41"/>
      <c r="I5513" s="42"/>
      <c r="J5513" s="120"/>
      <c r="K5513" s="72"/>
      <c r="L5513" s="53"/>
      <c r="M5513" s="101"/>
      <c r="N5513" s="74"/>
      <c r="O5513" s="102"/>
      <c r="P5513" s="102"/>
      <c r="Q5513" s="57"/>
      <c r="R5513" s="58"/>
      <c r="S5513" s="57"/>
      <c r="T5513" s="77"/>
    </row>
    <row r="5514">
      <c r="A5514" s="119"/>
      <c r="B5514" s="118"/>
      <c r="C5514" s="118"/>
      <c r="D5514" s="56"/>
      <c r="E5514" s="41"/>
      <c r="F5514" s="49"/>
      <c r="G5514" s="71"/>
      <c r="H5514" s="41"/>
      <c r="I5514" s="42"/>
      <c r="J5514" s="120"/>
      <c r="K5514" s="72"/>
      <c r="L5514" s="53"/>
      <c r="M5514" s="101"/>
      <c r="N5514" s="74"/>
      <c r="O5514" s="102"/>
      <c r="P5514" s="102"/>
      <c r="Q5514" s="57"/>
      <c r="R5514" s="58"/>
      <c r="S5514" s="57"/>
      <c r="T5514" s="77"/>
    </row>
    <row r="5515">
      <c r="A5515" s="119"/>
      <c r="B5515" s="118"/>
      <c r="C5515" s="118"/>
      <c r="D5515" s="56"/>
      <c r="E5515" s="41"/>
      <c r="F5515" s="49"/>
      <c r="G5515" s="71"/>
      <c r="H5515" s="41"/>
      <c r="I5515" s="42"/>
      <c r="J5515" s="120"/>
      <c r="K5515" s="72"/>
      <c r="L5515" s="53"/>
      <c r="M5515" s="101"/>
      <c r="N5515" s="74"/>
      <c r="O5515" s="102"/>
      <c r="P5515" s="102"/>
      <c r="Q5515" s="57"/>
      <c r="R5515" s="58"/>
      <c r="S5515" s="57"/>
      <c r="T5515" s="77"/>
    </row>
    <row r="5516">
      <c r="A5516" s="119"/>
      <c r="B5516" s="118"/>
      <c r="C5516" s="118"/>
      <c r="D5516" s="56"/>
      <c r="E5516" s="41"/>
      <c r="F5516" s="49"/>
      <c r="G5516" s="71"/>
      <c r="H5516" s="41"/>
      <c r="I5516" s="42"/>
      <c r="J5516" s="120"/>
      <c r="K5516" s="72"/>
      <c r="L5516" s="53"/>
      <c r="M5516" s="101"/>
      <c r="N5516" s="74"/>
      <c r="O5516" s="102"/>
      <c r="P5516" s="102"/>
      <c r="Q5516" s="57"/>
      <c r="R5516" s="58"/>
      <c r="S5516" s="57"/>
      <c r="T5516" s="77"/>
    </row>
    <row r="5517">
      <c r="A5517" s="119"/>
      <c r="B5517" s="118"/>
      <c r="C5517" s="118"/>
      <c r="D5517" s="56"/>
      <c r="E5517" s="41"/>
      <c r="F5517" s="49"/>
      <c r="G5517" s="71"/>
      <c r="H5517" s="41"/>
      <c r="I5517" s="42"/>
      <c r="J5517" s="120"/>
      <c r="K5517" s="72"/>
      <c r="L5517" s="53"/>
      <c r="M5517" s="101"/>
      <c r="N5517" s="74"/>
      <c r="O5517" s="102"/>
      <c r="P5517" s="102"/>
      <c r="Q5517" s="57"/>
      <c r="R5517" s="58"/>
      <c r="S5517" s="57"/>
      <c r="T5517" s="77"/>
    </row>
    <row r="5518">
      <c r="A5518" s="119"/>
      <c r="B5518" s="118"/>
      <c r="C5518" s="118"/>
      <c r="D5518" s="56"/>
      <c r="E5518" s="41"/>
      <c r="F5518" s="49"/>
      <c r="G5518" s="71"/>
      <c r="H5518" s="41"/>
      <c r="I5518" s="42"/>
      <c r="J5518" s="120"/>
      <c r="K5518" s="72"/>
      <c r="L5518" s="53"/>
      <c r="M5518" s="101"/>
      <c r="N5518" s="74"/>
      <c r="O5518" s="102"/>
      <c r="P5518" s="102"/>
      <c r="Q5518" s="57"/>
      <c r="R5518" s="58"/>
      <c r="S5518" s="57"/>
      <c r="T5518" s="77"/>
    </row>
    <row r="5519">
      <c r="A5519" s="119"/>
      <c r="B5519" s="118"/>
      <c r="C5519" s="118"/>
      <c r="D5519" s="56"/>
      <c r="E5519" s="41"/>
      <c r="F5519" s="49"/>
      <c r="G5519" s="71"/>
      <c r="H5519" s="41"/>
      <c r="I5519" s="42"/>
      <c r="J5519" s="120"/>
      <c r="K5519" s="72"/>
      <c r="L5519" s="53"/>
      <c r="M5519" s="101"/>
      <c r="N5519" s="74"/>
      <c r="O5519" s="102"/>
      <c r="P5519" s="102"/>
      <c r="Q5519" s="57"/>
      <c r="R5519" s="58"/>
      <c r="S5519" s="57"/>
      <c r="T5519" s="77"/>
    </row>
    <row r="5520">
      <c r="A5520" s="119"/>
      <c r="B5520" s="118"/>
      <c r="C5520" s="118"/>
      <c r="D5520" s="56"/>
      <c r="E5520" s="41"/>
      <c r="F5520" s="49"/>
      <c r="G5520" s="71"/>
      <c r="H5520" s="41"/>
      <c r="I5520" s="42"/>
      <c r="J5520" s="120"/>
      <c r="K5520" s="72"/>
      <c r="L5520" s="53"/>
      <c r="M5520" s="101"/>
      <c r="N5520" s="74"/>
      <c r="O5520" s="102"/>
      <c r="P5520" s="102"/>
      <c r="Q5520" s="57"/>
      <c r="R5520" s="58"/>
      <c r="S5520" s="57"/>
      <c r="T5520" s="77"/>
    </row>
    <row r="5521">
      <c r="A5521" s="119"/>
      <c r="B5521" s="118"/>
      <c r="C5521" s="118"/>
      <c r="D5521" s="56"/>
      <c r="E5521" s="41"/>
      <c r="F5521" s="49"/>
      <c r="G5521" s="71"/>
      <c r="H5521" s="41"/>
      <c r="I5521" s="42"/>
      <c r="J5521" s="120"/>
      <c r="K5521" s="72"/>
      <c r="L5521" s="53"/>
      <c r="M5521" s="101"/>
      <c r="N5521" s="74"/>
      <c r="O5521" s="102"/>
      <c r="P5521" s="102"/>
      <c r="Q5521" s="57"/>
      <c r="R5521" s="58"/>
      <c r="S5521" s="57"/>
      <c r="T5521" s="77"/>
    </row>
    <row r="5522">
      <c r="A5522" s="119"/>
      <c r="B5522" s="118"/>
      <c r="C5522" s="118"/>
      <c r="D5522" s="56"/>
      <c r="E5522" s="41"/>
      <c r="F5522" s="49"/>
      <c r="G5522" s="71"/>
      <c r="H5522" s="41"/>
      <c r="I5522" s="42"/>
      <c r="J5522" s="120"/>
      <c r="K5522" s="72"/>
      <c r="L5522" s="53"/>
      <c r="M5522" s="101"/>
      <c r="N5522" s="74"/>
      <c r="O5522" s="102"/>
      <c r="P5522" s="102"/>
      <c r="Q5522" s="57"/>
      <c r="R5522" s="58"/>
      <c r="S5522" s="57"/>
      <c r="T5522" s="77"/>
    </row>
    <row r="5523">
      <c r="A5523" s="119"/>
      <c r="B5523" s="118"/>
      <c r="C5523" s="118"/>
      <c r="D5523" s="56"/>
      <c r="E5523" s="41"/>
      <c r="F5523" s="49"/>
      <c r="G5523" s="71"/>
      <c r="H5523" s="41"/>
      <c r="I5523" s="42"/>
      <c r="J5523" s="120"/>
      <c r="K5523" s="72"/>
      <c r="L5523" s="53"/>
      <c r="M5523" s="101"/>
      <c r="N5523" s="74"/>
      <c r="O5523" s="102"/>
      <c r="P5523" s="102"/>
      <c r="Q5523" s="57"/>
      <c r="R5523" s="58"/>
      <c r="S5523" s="57"/>
      <c r="T5523" s="77"/>
    </row>
    <row r="5524">
      <c r="A5524" s="119"/>
      <c r="B5524" s="118"/>
      <c r="C5524" s="118"/>
      <c r="D5524" s="56"/>
      <c r="E5524" s="41"/>
      <c r="F5524" s="49"/>
      <c r="G5524" s="71"/>
      <c r="H5524" s="41"/>
      <c r="I5524" s="42"/>
      <c r="J5524" s="120"/>
      <c r="K5524" s="72"/>
      <c r="L5524" s="53"/>
      <c r="M5524" s="101"/>
      <c r="N5524" s="74"/>
      <c r="O5524" s="102"/>
      <c r="P5524" s="102"/>
      <c r="Q5524" s="57"/>
      <c r="R5524" s="58"/>
      <c r="S5524" s="57"/>
      <c r="T5524" s="77"/>
    </row>
    <row r="5525">
      <c r="A5525" s="119"/>
      <c r="B5525" s="118"/>
      <c r="C5525" s="118"/>
      <c r="D5525" s="56"/>
      <c r="E5525" s="41"/>
      <c r="F5525" s="49"/>
      <c r="G5525" s="71"/>
      <c r="H5525" s="41"/>
      <c r="I5525" s="42"/>
      <c r="J5525" s="120"/>
      <c r="K5525" s="72"/>
      <c r="L5525" s="53"/>
      <c r="M5525" s="101"/>
      <c r="N5525" s="74"/>
      <c r="O5525" s="102"/>
      <c r="P5525" s="102"/>
      <c r="Q5525" s="57"/>
      <c r="R5525" s="58"/>
      <c r="S5525" s="57"/>
      <c r="T5525" s="77"/>
    </row>
    <row r="5526">
      <c r="A5526" s="119"/>
      <c r="B5526" s="118"/>
      <c r="C5526" s="118"/>
      <c r="D5526" s="56"/>
      <c r="E5526" s="41"/>
      <c r="F5526" s="49"/>
      <c r="G5526" s="71"/>
      <c r="H5526" s="41"/>
      <c r="I5526" s="42"/>
      <c r="J5526" s="120"/>
      <c r="K5526" s="72"/>
      <c r="L5526" s="53"/>
      <c r="M5526" s="101"/>
      <c r="N5526" s="74"/>
      <c r="O5526" s="102"/>
      <c r="P5526" s="102"/>
      <c r="Q5526" s="57"/>
      <c r="R5526" s="58"/>
      <c r="S5526" s="57"/>
      <c r="T5526" s="77"/>
    </row>
    <row r="5527">
      <c r="A5527" s="119"/>
      <c r="B5527" s="118"/>
      <c r="C5527" s="118"/>
      <c r="D5527" s="56"/>
      <c r="E5527" s="41"/>
      <c r="F5527" s="49"/>
      <c r="G5527" s="71"/>
      <c r="H5527" s="41"/>
      <c r="I5527" s="42"/>
      <c r="J5527" s="120"/>
      <c r="K5527" s="72"/>
      <c r="L5527" s="53"/>
      <c r="M5527" s="101"/>
      <c r="N5527" s="74"/>
      <c r="O5527" s="102"/>
      <c r="P5527" s="102"/>
      <c r="Q5527" s="57"/>
      <c r="R5527" s="58"/>
      <c r="S5527" s="57"/>
      <c r="T5527" s="77"/>
    </row>
    <row r="5528">
      <c r="A5528" s="119"/>
      <c r="B5528" s="118"/>
      <c r="C5528" s="118"/>
      <c r="D5528" s="56"/>
      <c r="E5528" s="41"/>
      <c r="F5528" s="49"/>
      <c r="G5528" s="71"/>
      <c r="H5528" s="41"/>
      <c r="I5528" s="42"/>
      <c r="J5528" s="120"/>
      <c r="K5528" s="72"/>
      <c r="L5528" s="53"/>
      <c r="M5528" s="101"/>
      <c r="N5528" s="74"/>
      <c r="O5528" s="102"/>
      <c r="P5528" s="102"/>
      <c r="Q5528" s="57"/>
      <c r="R5528" s="58"/>
      <c r="S5528" s="57"/>
      <c r="T5528" s="77"/>
    </row>
    <row r="5529">
      <c r="A5529" s="119"/>
      <c r="B5529" s="118"/>
      <c r="C5529" s="118"/>
      <c r="D5529" s="56"/>
      <c r="E5529" s="41"/>
      <c r="F5529" s="49"/>
      <c r="G5529" s="71"/>
      <c r="H5529" s="41"/>
      <c r="I5529" s="42"/>
      <c r="J5529" s="120"/>
      <c r="K5529" s="72"/>
      <c r="L5529" s="53"/>
      <c r="M5529" s="101"/>
      <c r="N5529" s="74"/>
      <c r="O5529" s="102"/>
      <c r="P5529" s="102"/>
      <c r="Q5529" s="57"/>
      <c r="R5529" s="58"/>
      <c r="S5529" s="57"/>
      <c r="T5529" s="77"/>
    </row>
    <row r="5530">
      <c r="A5530" s="119"/>
      <c r="B5530" s="118"/>
      <c r="C5530" s="118"/>
      <c r="D5530" s="56"/>
      <c r="E5530" s="41"/>
      <c r="F5530" s="49"/>
      <c r="G5530" s="71"/>
      <c r="H5530" s="41"/>
      <c r="I5530" s="42"/>
      <c r="J5530" s="120"/>
      <c r="K5530" s="72"/>
      <c r="L5530" s="53"/>
      <c r="M5530" s="101"/>
      <c r="N5530" s="74"/>
      <c r="O5530" s="102"/>
      <c r="P5530" s="102"/>
      <c r="Q5530" s="57"/>
      <c r="R5530" s="58"/>
      <c r="S5530" s="57"/>
      <c r="T5530" s="77"/>
    </row>
    <row r="5531">
      <c r="A5531" s="119"/>
      <c r="B5531" s="118"/>
      <c r="C5531" s="118"/>
      <c r="D5531" s="56"/>
      <c r="E5531" s="41"/>
      <c r="F5531" s="49"/>
      <c r="G5531" s="71"/>
      <c r="H5531" s="41"/>
      <c r="I5531" s="42"/>
      <c r="J5531" s="120"/>
      <c r="K5531" s="72"/>
      <c r="L5531" s="53"/>
      <c r="M5531" s="101"/>
      <c r="N5531" s="74"/>
      <c r="O5531" s="102"/>
      <c r="P5531" s="102"/>
      <c r="Q5531" s="57"/>
      <c r="R5531" s="58"/>
      <c r="S5531" s="57"/>
      <c r="T5531" s="77"/>
    </row>
    <row r="5532">
      <c r="A5532" s="119"/>
      <c r="B5532" s="118"/>
      <c r="C5532" s="118"/>
      <c r="D5532" s="56"/>
      <c r="E5532" s="41"/>
      <c r="F5532" s="49"/>
      <c r="G5532" s="71"/>
      <c r="H5532" s="41"/>
      <c r="I5532" s="42"/>
      <c r="J5532" s="120"/>
      <c r="K5532" s="72"/>
      <c r="L5532" s="53"/>
      <c r="M5532" s="101"/>
      <c r="N5532" s="74"/>
      <c r="O5532" s="102"/>
      <c r="P5532" s="102"/>
      <c r="Q5532" s="57"/>
      <c r="R5532" s="58"/>
      <c r="S5532" s="57"/>
      <c r="T5532" s="77"/>
    </row>
    <row r="5533">
      <c r="A5533" s="119"/>
      <c r="B5533" s="118"/>
      <c r="C5533" s="118"/>
      <c r="D5533" s="56"/>
      <c r="E5533" s="41"/>
      <c r="F5533" s="49"/>
      <c r="G5533" s="71"/>
      <c r="H5533" s="41"/>
      <c r="I5533" s="42"/>
      <c r="J5533" s="120"/>
      <c r="K5533" s="72"/>
      <c r="L5533" s="53"/>
      <c r="M5533" s="101"/>
      <c r="N5533" s="74"/>
      <c r="O5533" s="102"/>
      <c r="P5533" s="102"/>
      <c r="Q5533" s="57"/>
      <c r="R5533" s="58"/>
      <c r="S5533" s="57"/>
      <c r="T5533" s="77"/>
    </row>
    <row r="5534">
      <c r="A5534" s="119"/>
      <c r="B5534" s="118"/>
      <c r="C5534" s="118"/>
      <c r="D5534" s="56"/>
      <c r="E5534" s="41"/>
      <c r="F5534" s="49"/>
      <c r="G5534" s="71"/>
      <c r="H5534" s="41"/>
      <c r="I5534" s="42"/>
      <c r="J5534" s="120"/>
      <c r="K5534" s="72"/>
      <c r="L5534" s="53"/>
      <c r="M5534" s="101"/>
      <c r="N5534" s="74"/>
      <c r="O5534" s="102"/>
      <c r="P5534" s="102"/>
      <c r="Q5534" s="57"/>
      <c r="R5534" s="58"/>
      <c r="S5534" s="57"/>
      <c r="T5534" s="77"/>
    </row>
    <row r="5535">
      <c r="A5535" s="119"/>
      <c r="B5535" s="118"/>
      <c r="C5535" s="118"/>
      <c r="D5535" s="56"/>
      <c r="E5535" s="41"/>
      <c r="F5535" s="49"/>
      <c r="G5535" s="71"/>
      <c r="H5535" s="41"/>
      <c r="I5535" s="42"/>
      <c r="J5535" s="120"/>
      <c r="K5535" s="72"/>
      <c r="L5535" s="53"/>
      <c r="M5535" s="101"/>
      <c r="N5535" s="74"/>
      <c r="O5535" s="102"/>
      <c r="P5535" s="102"/>
      <c r="Q5535" s="57"/>
      <c r="R5535" s="58"/>
      <c r="S5535" s="57"/>
      <c r="T5535" s="77"/>
    </row>
    <row r="5536">
      <c r="A5536" s="119"/>
      <c r="B5536" s="118"/>
      <c r="C5536" s="118"/>
      <c r="D5536" s="56"/>
      <c r="E5536" s="41"/>
      <c r="F5536" s="49"/>
      <c r="G5536" s="71"/>
      <c r="H5536" s="41"/>
      <c r="I5536" s="42"/>
      <c r="J5536" s="120"/>
      <c r="K5536" s="72"/>
      <c r="L5536" s="53"/>
      <c r="M5536" s="101"/>
      <c r="N5536" s="74"/>
      <c r="O5536" s="102"/>
      <c r="P5536" s="102"/>
      <c r="Q5536" s="57"/>
      <c r="R5536" s="58"/>
      <c r="S5536" s="57"/>
      <c r="T5536" s="77"/>
    </row>
    <row r="5537">
      <c r="A5537" s="119"/>
      <c r="B5537" s="118"/>
      <c r="C5537" s="118"/>
      <c r="D5537" s="56"/>
      <c r="E5537" s="41"/>
      <c r="F5537" s="49"/>
      <c r="G5537" s="71"/>
      <c r="H5537" s="41"/>
      <c r="I5537" s="42"/>
      <c r="J5537" s="120"/>
      <c r="K5537" s="72"/>
      <c r="L5537" s="53"/>
      <c r="M5537" s="101"/>
      <c r="N5537" s="74"/>
      <c r="O5537" s="102"/>
      <c r="P5537" s="102"/>
      <c r="Q5537" s="57"/>
      <c r="R5537" s="58"/>
      <c r="S5537" s="57"/>
      <c r="T5537" s="77"/>
    </row>
    <row r="5538">
      <c r="A5538" s="119"/>
      <c r="B5538" s="118"/>
      <c r="C5538" s="118"/>
      <c r="D5538" s="56"/>
      <c r="E5538" s="41"/>
      <c r="F5538" s="49"/>
      <c r="G5538" s="71"/>
      <c r="H5538" s="41"/>
      <c r="I5538" s="42"/>
      <c r="J5538" s="120"/>
      <c r="K5538" s="72"/>
      <c r="L5538" s="53"/>
      <c r="M5538" s="101"/>
      <c r="N5538" s="74"/>
      <c r="O5538" s="102"/>
      <c r="P5538" s="102"/>
      <c r="Q5538" s="57"/>
      <c r="R5538" s="58"/>
      <c r="S5538" s="57"/>
      <c r="T5538" s="77"/>
    </row>
    <row r="5539">
      <c r="A5539" s="119"/>
      <c r="B5539" s="118"/>
      <c r="C5539" s="118"/>
      <c r="D5539" s="56"/>
      <c r="E5539" s="41"/>
      <c r="F5539" s="49"/>
      <c r="G5539" s="71"/>
      <c r="H5539" s="41"/>
      <c r="I5539" s="42"/>
      <c r="J5539" s="120"/>
      <c r="K5539" s="72"/>
      <c r="L5539" s="53"/>
      <c r="M5539" s="101"/>
      <c r="N5539" s="74"/>
      <c r="O5539" s="102"/>
      <c r="P5539" s="102"/>
      <c r="Q5539" s="57"/>
      <c r="R5539" s="58"/>
      <c r="S5539" s="57"/>
      <c r="T5539" s="77"/>
    </row>
    <row r="5540">
      <c r="A5540" s="119"/>
      <c r="B5540" s="118"/>
      <c r="C5540" s="118"/>
      <c r="D5540" s="56"/>
      <c r="E5540" s="41"/>
      <c r="F5540" s="49"/>
      <c r="G5540" s="71"/>
      <c r="H5540" s="41"/>
      <c r="I5540" s="42"/>
      <c r="J5540" s="120"/>
      <c r="K5540" s="72"/>
      <c r="L5540" s="53"/>
      <c r="M5540" s="101"/>
      <c r="N5540" s="74"/>
      <c r="O5540" s="102"/>
      <c r="P5540" s="102"/>
      <c r="Q5540" s="57"/>
      <c r="R5540" s="58"/>
      <c r="S5540" s="57"/>
      <c r="T5540" s="77"/>
    </row>
    <row r="5541">
      <c r="A5541" s="119"/>
      <c r="B5541" s="118"/>
      <c r="C5541" s="118"/>
      <c r="D5541" s="56"/>
      <c r="E5541" s="41"/>
      <c r="F5541" s="49"/>
      <c r="G5541" s="71"/>
      <c r="H5541" s="41"/>
      <c r="I5541" s="42"/>
      <c r="J5541" s="120"/>
      <c r="K5541" s="72"/>
      <c r="L5541" s="53"/>
      <c r="M5541" s="101"/>
      <c r="N5541" s="74"/>
      <c r="O5541" s="102"/>
      <c r="P5541" s="102"/>
      <c r="Q5541" s="57"/>
      <c r="R5541" s="58"/>
      <c r="S5541" s="57"/>
      <c r="T5541" s="77"/>
    </row>
    <row r="5542">
      <c r="A5542" s="119"/>
      <c r="B5542" s="118"/>
      <c r="C5542" s="118"/>
      <c r="D5542" s="56"/>
      <c r="E5542" s="41"/>
      <c r="F5542" s="49"/>
      <c r="G5542" s="71"/>
      <c r="H5542" s="41"/>
      <c r="I5542" s="42"/>
      <c r="J5542" s="120"/>
      <c r="K5542" s="72"/>
      <c r="L5542" s="53"/>
      <c r="M5542" s="101"/>
      <c r="N5542" s="74"/>
      <c r="O5542" s="102"/>
      <c r="P5542" s="102"/>
      <c r="Q5542" s="57"/>
      <c r="R5542" s="58"/>
      <c r="S5542" s="57"/>
      <c r="T5542" s="77"/>
    </row>
    <row r="5543">
      <c r="A5543" s="119"/>
      <c r="B5543" s="118"/>
      <c r="C5543" s="118"/>
      <c r="D5543" s="56"/>
      <c r="E5543" s="41"/>
      <c r="F5543" s="49"/>
      <c r="G5543" s="71"/>
      <c r="H5543" s="41"/>
      <c r="I5543" s="42"/>
      <c r="J5543" s="120"/>
      <c r="K5543" s="72"/>
      <c r="L5543" s="53"/>
      <c r="M5543" s="101"/>
      <c r="N5543" s="74"/>
      <c r="O5543" s="102"/>
      <c r="P5543" s="102"/>
      <c r="Q5543" s="57"/>
      <c r="R5543" s="58"/>
      <c r="S5543" s="57"/>
      <c r="T5543" s="77"/>
    </row>
    <row r="5544">
      <c r="A5544" s="119"/>
      <c r="B5544" s="118"/>
      <c r="C5544" s="118"/>
      <c r="D5544" s="56"/>
      <c r="E5544" s="41"/>
      <c r="F5544" s="49"/>
      <c r="G5544" s="71"/>
      <c r="H5544" s="41"/>
      <c r="I5544" s="42"/>
      <c r="J5544" s="120"/>
      <c r="K5544" s="72"/>
      <c r="L5544" s="53"/>
      <c r="M5544" s="101"/>
      <c r="N5544" s="74"/>
      <c r="O5544" s="102"/>
      <c r="P5544" s="102"/>
      <c r="Q5544" s="57"/>
      <c r="R5544" s="58"/>
      <c r="S5544" s="57"/>
      <c r="T5544" s="77"/>
    </row>
    <row r="5545">
      <c r="A5545" s="119"/>
      <c r="B5545" s="118"/>
      <c r="C5545" s="118"/>
      <c r="D5545" s="56"/>
      <c r="E5545" s="41"/>
      <c r="F5545" s="49"/>
      <c r="G5545" s="71"/>
      <c r="H5545" s="41"/>
      <c r="I5545" s="42"/>
      <c r="J5545" s="120"/>
      <c r="K5545" s="72"/>
      <c r="L5545" s="53"/>
      <c r="M5545" s="101"/>
      <c r="N5545" s="74"/>
      <c r="O5545" s="102"/>
      <c r="P5545" s="102"/>
      <c r="Q5545" s="57"/>
      <c r="R5545" s="58"/>
      <c r="S5545" s="57"/>
      <c r="T5545" s="77"/>
    </row>
    <row r="5546">
      <c r="A5546" s="119"/>
      <c r="B5546" s="118"/>
      <c r="C5546" s="118"/>
      <c r="D5546" s="56"/>
      <c r="E5546" s="41"/>
      <c r="F5546" s="49"/>
      <c r="G5546" s="71"/>
      <c r="H5546" s="41"/>
      <c r="I5546" s="42"/>
      <c r="J5546" s="120"/>
      <c r="K5546" s="72"/>
      <c r="L5546" s="53"/>
      <c r="M5546" s="101"/>
      <c r="N5546" s="74"/>
      <c r="O5546" s="102"/>
      <c r="P5546" s="102"/>
      <c r="Q5546" s="57"/>
      <c r="R5546" s="58"/>
      <c r="S5546" s="57"/>
      <c r="T5546" s="77"/>
    </row>
    <row r="5547">
      <c r="A5547" s="119"/>
      <c r="B5547" s="118"/>
      <c r="C5547" s="118"/>
      <c r="D5547" s="56"/>
      <c r="E5547" s="41"/>
      <c r="F5547" s="49"/>
      <c r="G5547" s="71"/>
      <c r="H5547" s="41"/>
      <c r="I5547" s="42"/>
      <c r="J5547" s="120"/>
      <c r="K5547" s="72"/>
      <c r="L5547" s="53"/>
      <c r="M5547" s="101"/>
      <c r="N5547" s="74"/>
      <c r="O5547" s="102"/>
      <c r="P5547" s="102"/>
      <c r="Q5547" s="57"/>
      <c r="R5547" s="58"/>
      <c r="S5547" s="57"/>
      <c r="T5547" s="77"/>
    </row>
    <row r="5548">
      <c r="A5548" s="119"/>
      <c r="B5548" s="118"/>
      <c r="C5548" s="118"/>
      <c r="D5548" s="56"/>
      <c r="E5548" s="41"/>
      <c r="F5548" s="49"/>
      <c r="G5548" s="71"/>
      <c r="H5548" s="41"/>
      <c r="I5548" s="42"/>
      <c r="J5548" s="120"/>
      <c r="K5548" s="72"/>
      <c r="L5548" s="53"/>
      <c r="M5548" s="101"/>
      <c r="N5548" s="74"/>
      <c r="O5548" s="102"/>
      <c r="P5548" s="102"/>
      <c r="Q5548" s="57"/>
      <c r="R5548" s="58"/>
      <c r="S5548" s="57"/>
      <c r="T5548" s="77"/>
    </row>
    <row r="5549">
      <c r="A5549" s="119"/>
      <c r="B5549" s="118"/>
      <c r="C5549" s="118"/>
      <c r="D5549" s="56"/>
      <c r="E5549" s="41"/>
      <c r="F5549" s="49"/>
      <c r="G5549" s="71"/>
      <c r="H5549" s="41"/>
      <c r="I5549" s="42"/>
      <c r="J5549" s="120"/>
      <c r="K5549" s="72"/>
      <c r="L5549" s="53"/>
      <c r="M5549" s="101"/>
      <c r="N5549" s="74"/>
      <c r="O5549" s="102"/>
      <c r="P5549" s="102"/>
      <c r="Q5549" s="57"/>
      <c r="R5549" s="58"/>
      <c r="S5549" s="57"/>
      <c r="T5549" s="77"/>
    </row>
    <row r="5550">
      <c r="A5550" s="119"/>
      <c r="B5550" s="118"/>
      <c r="C5550" s="118"/>
      <c r="D5550" s="56"/>
      <c r="E5550" s="41"/>
      <c r="F5550" s="49"/>
      <c r="G5550" s="71"/>
      <c r="H5550" s="41"/>
      <c r="I5550" s="42"/>
      <c r="J5550" s="120"/>
      <c r="K5550" s="72"/>
      <c r="L5550" s="53"/>
      <c r="M5550" s="101"/>
      <c r="N5550" s="74"/>
      <c r="O5550" s="102"/>
      <c r="P5550" s="102"/>
      <c r="Q5550" s="57"/>
      <c r="R5550" s="58"/>
      <c r="S5550" s="57"/>
      <c r="T5550" s="77"/>
    </row>
    <row r="5551">
      <c r="A5551" s="119"/>
      <c r="B5551" s="118"/>
      <c r="C5551" s="118"/>
      <c r="D5551" s="56"/>
      <c r="E5551" s="41"/>
      <c r="F5551" s="49"/>
      <c r="G5551" s="71"/>
      <c r="H5551" s="41"/>
      <c r="I5551" s="42"/>
      <c r="J5551" s="120"/>
      <c r="K5551" s="72"/>
      <c r="L5551" s="53"/>
      <c r="M5551" s="101"/>
      <c r="N5551" s="74"/>
      <c r="O5551" s="102"/>
      <c r="P5551" s="102"/>
      <c r="Q5551" s="57"/>
      <c r="R5551" s="58"/>
      <c r="S5551" s="57"/>
      <c r="T5551" s="77"/>
    </row>
    <row r="5552">
      <c r="A5552" s="119"/>
      <c r="B5552" s="118"/>
      <c r="C5552" s="118"/>
      <c r="D5552" s="56"/>
      <c r="E5552" s="41"/>
      <c r="F5552" s="49"/>
      <c r="G5552" s="71"/>
      <c r="H5552" s="41"/>
      <c r="I5552" s="42"/>
      <c r="J5552" s="120"/>
      <c r="K5552" s="72"/>
      <c r="L5552" s="53"/>
      <c r="M5552" s="101"/>
      <c r="N5552" s="74"/>
      <c r="O5552" s="102"/>
      <c r="P5552" s="102"/>
      <c r="Q5552" s="57"/>
      <c r="R5552" s="58"/>
      <c r="S5552" s="57"/>
      <c r="T5552" s="77"/>
    </row>
    <row r="5553">
      <c r="A5553" s="119"/>
      <c r="B5553" s="118"/>
      <c r="C5553" s="118"/>
      <c r="D5553" s="56"/>
      <c r="E5553" s="41"/>
      <c r="F5553" s="49"/>
      <c r="G5553" s="71"/>
      <c r="H5553" s="41"/>
      <c r="I5553" s="42"/>
      <c r="J5553" s="120"/>
      <c r="K5553" s="72"/>
      <c r="L5553" s="53"/>
      <c r="M5553" s="101"/>
      <c r="N5553" s="74"/>
      <c r="O5553" s="102"/>
      <c r="P5553" s="102"/>
      <c r="Q5553" s="57"/>
      <c r="R5553" s="58"/>
      <c r="S5553" s="57"/>
      <c r="T5553" s="77"/>
    </row>
    <row r="5554">
      <c r="A5554" s="119"/>
      <c r="B5554" s="118"/>
      <c r="C5554" s="118"/>
      <c r="D5554" s="56"/>
      <c r="E5554" s="41"/>
      <c r="F5554" s="49"/>
      <c r="G5554" s="71"/>
      <c r="H5554" s="41"/>
      <c r="I5554" s="42"/>
      <c r="J5554" s="120"/>
      <c r="K5554" s="72"/>
      <c r="L5554" s="53"/>
      <c r="M5554" s="101"/>
      <c r="N5554" s="74"/>
      <c r="O5554" s="102"/>
      <c r="P5554" s="102"/>
      <c r="Q5554" s="57"/>
      <c r="R5554" s="58"/>
      <c r="S5554" s="57"/>
      <c r="T5554" s="77"/>
    </row>
    <row r="5555">
      <c r="A5555" s="119"/>
      <c r="B5555" s="118"/>
      <c r="C5555" s="118"/>
      <c r="D5555" s="56"/>
      <c r="E5555" s="41"/>
      <c r="F5555" s="49"/>
      <c r="G5555" s="71"/>
      <c r="H5555" s="41"/>
      <c r="I5555" s="42"/>
      <c r="J5555" s="120"/>
      <c r="K5555" s="72"/>
      <c r="L5555" s="53"/>
      <c r="M5555" s="101"/>
      <c r="N5555" s="74"/>
      <c r="O5555" s="102"/>
      <c r="P5555" s="102"/>
      <c r="Q5555" s="57"/>
      <c r="R5555" s="58"/>
      <c r="S5555" s="57"/>
      <c r="T5555" s="77"/>
    </row>
    <row r="5556">
      <c r="A5556" s="119"/>
      <c r="B5556" s="118"/>
      <c r="C5556" s="118"/>
      <c r="D5556" s="56"/>
      <c r="E5556" s="41"/>
      <c r="F5556" s="49"/>
      <c r="G5556" s="71"/>
      <c r="H5556" s="41"/>
      <c r="I5556" s="42"/>
      <c r="J5556" s="120"/>
      <c r="K5556" s="72"/>
      <c r="L5556" s="53"/>
      <c r="M5556" s="101"/>
      <c r="N5556" s="74"/>
      <c r="O5556" s="102"/>
      <c r="P5556" s="102"/>
      <c r="Q5556" s="57"/>
      <c r="R5556" s="58"/>
      <c r="S5556" s="57"/>
      <c r="T5556" s="77"/>
    </row>
    <row r="5557">
      <c r="A5557" s="119"/>
      <c r="B5557" s="118"/>
      <c r="C5557" s="118"/>
      <c r="D5557" s="56"/>
      <c r="E5557" s="41"/>
      <c r="F5557" s="49"/>
      <c r="G5557" s="71"/>
      <c r="H5557" s="41"/>
      <c r="I5557" s="42"/>
      <c r="J5557" s="120"/>
      <c r="K5557" s="72"/>
      <c r="L5557" s="53"/>
      <c r="M5557" s="101"/>
      <c r="N5557" s="74"/>
      <c r="O5557" s="102"/>
      <c r="P5557" s="102"/>
      <c r="Q5557" s="57"/>
      <c r="R5557" s="58"/>
      <c r="S5557" s="57"/>
      <c r="T5557" s="77"/>
    </row>
    <row r="5558">
      <c r="A5558" s="119"/>
      <c r="B5558" s="118"/>
      <c r="C5558" s="118"/>
      <c r="D5558" s="56"/>
      <c r="E5558" s="41"/>
      <c r="F5558" s="49"/>
      <c r="G5558" s="71"/>
      <c r="H5558" s="41"/>
      <c r="I5558" s="42"/>
      <c r="J5558" s="120"/>
      <c r="K5558" s="72"/>
      <c r="L5558" s="53"/>
      <c r="M5558" s="101"/>
      <c r="N5558" s="74"/>
      <c r="O5558" s="102"/>
      <c r="P5558" s="102"/>
      <c r="Q5558" s="57"/>
      <c r="R5558" s="58"/>
      <c r="S5558" s="57"/>
      <c r="T5558" s="77"/>
    </row>
    <row r="5559">
      <c r="A5559" s="119"/>
      <c r="B5559" s="118"/>
      <c r="C5559" s="118"/>
      <c r="D5559" s="56"/>
      <c r="E5559" s="41"/>
      <c r="F5559" s="49"/>
      <c r="G5559" s="71"/>
      <c r="H5559" s="41"/>
      <c r="I5559" s="42"/>
      <c r="J5559" s="120"/>
      <c r="K5559" s="72"/>
      <c r="L5559" s="53"/>
      <c r="M5559" s="101"/>
      <c r="N5559" s="74"/>
      <c r="O5559" s="102"/>
      <c r="P5559" s="102"/>
      <c r="Q5559" s="57"/>
      <c r="R5559" s="58"/>
      <c r="S5559" s="57"/>
      <c r="T5559" s="77"/>
    </row>
    <row r="5560">
      <c r="A5560" s="119"/>
      <c r="B5560" s="118"/>
      <c r="C5560" s="118"/>
      <c r="D5560" s="56"/>
      <c r="E5560" s="41"/>
      <c r="F5560" s="49"/>
      <c r="G5560" s="71"/>
      <c r="H5560" s="41"/>
      <c r="I5560" s="42"/>
      <c r="J5560" s="120"/>
      <c r="K5560" s="72"/>
      <c r="L5560" s="53"/>
      <c r="M5560" s="101"/>
      <c r="N5560" s="74"/>
      <c r="O5560" s="102"/>
      <c r="P5560" s="102"/>
      <c r="Q5560" s="57"/>
      <c r="R5560" s="58"/>
      <c r="S5560" s="57"/>
      <c r="T5560" s="77"/>
    </row>
    <row r="5561">
      <c r="A5561" s="119"/>
      <c r="B5561" s="118"/>
      <c r="C5561" s="118"/>
      <c r="D5561" s="56"/>
      <c r="E5561" s="41"/>
      <c r="F5561" s="49"/>
      <c r="G5561" s="71"/>
      <c r="H5561" s="41"/>
      <c r="I5561" s="42"/>
      <c r="J5561" s="120"/>
      <c r="K5561" s="72"/>
      <c r="L5561" s="53"/>
      <c r="M5561" s="101"/>
      <c r="N5561" s="74"/>
      <c r="O5561" s="102"/>
      <c r="P5561" s="102"/>
      <c r="Q5561" s="57"/>
      <c r="R5561" s="58"/>
      <c r="S5561" s="57"/>
      <c r="T5561" s="77"/>
    </row>
    <row r="5562">
      <c r="A5562" s="119"/>
      <c r="B5562" s="118"/>
      <c r="C5562" s="118"/>
      <c r="D5562" s="56"/>
      <c r="E5562" s="41"/>
      <c r="F5562" s="49"/>
      <c r="G5562" s="71"/>
      <c r="H5562" s="41"/>
      <c r="I5562" s="42"/>
      <c r="J5562" s="120"/>
      <c r="K5562" s="72"/>
      <c r="L5562" s="53"/>
      <c r="M5562" s="101"/>
      <c r="N5562" s="74"/>
      <c r="O5562" s="102"/>
      <c r="P5562" s="102"/>
      <c r="Q5562" s="57"/>
      <c r="R5562" s="58"/>
      <c r="S5562" s="57"/>
      <c r="T5562" s="77"/>
    </row>
    <row r="5563">
      <c r="A5563" s="119"/>
      <c r="B5563" s="118"/>
      <c r="C5563" s="118"/>
      <c r="D5563" s="56"/>
      <c r="E5563" s="41"/>
      <c r="F5563" s="49"/>
      <c r="G5563" s="71"/>
      <c r="H5563" s="41"/>
      <c r="I5563" s="42"/>
      <c r="J5563" s="120"/>
      <c r="K5563" s="72"/>
      <c r="L5563" s="53"/>
      <c r="M5563" s="101"/>
      <c r="N5563" s="74"/>
      <c r="O5563" s="102"/>
      <c r="P5563" s="102"/>
      <c r="Q5563" s="57"/>
      <c r="R5563" s="58"/>
      <c r="S5563" s="57"/>
      <c r="T5563" s="77"/>
    </row>
    <row r="5564">
      <c r="A5564" s="119"/>
      <c r="B5564" s="118"/>
      <c r="C5564" s="118"/>
      <c r="D5564" s="56"/>
      <c r="E5564" s="41"/>
      <c r="F5564" s="49"/>
      <c r="G5564" s="71"/>
      <c r="H5564" s="41"/>
      <c r="I5564" s="42"/>
      <c r="J5564" s="120"/>
      <c r="K5564" s="72"/>
      <c r="L5564" s="53"/>
      <c r="M5564" s="101"/>
      <c r="N5564" s="74"/>
      <c r="O5564" s="102"/>
      <c r="P5564" s="102"/>
      <c r="Q5564" s="57"/>
      <c r="R5564" s="58"/>
      <c r="S5564" s="57"/>
      <c r="T5564" s="77"/>
    </row>
    <row r="5565">
      <c r="A5565" s="119"/>
      <c r="B5565" s="118"/>
      <c r="C5565" s="118"/>
      <c r="D5565" s="56"/>
      <c r="E5565" s="41"/>
      <c r="F5565" s="49"/>
      <c r="G5565" s="71"/>
      <c r="H5565" s="41"/>
      <c r="I5565" s="42"/>
      <c r="J5565" s="120"/>
      <c r="K5565" s="72"/>
      <c r="L5565" s="53"/>
      <c r="M5565" s="101"/>
      <c r="N5565" s="74"/>
      <c r="O5565" s="102"/>
      <c r="P5565" s="102"/>
      <c r="Q5565" s="57"/>
      <c r="R5565" s="58"/>
      <c r="S5565" s="57"/>
      <c r="T5565" s="77"/>
    </row>
    <row r="5566">
      <c r="A5566" s="119"/>
      <c r="B5566" s="118"/>
      <c r="C5566" s="118"/>
      <c r="D5566" s="56"/>
      <c r="E5566" s="41"/>
      <c r="F5566" s="49"/>
      <c r="G5566" s="71"/>
      <c r="H5566" s="41"/>
      <c r="I5566" s="42"/>
      <c r="J5566" s="120"/>
      <c r="K5566" s="72"/>
      <c r="L5566" s="53"/>
      <c r="M5566" s="101"/>
      <c r="N5566" s="74"/>
      <c r="O5566" s="102"/>
      <c r="P5566" s="102"/>
      <c r="Q5566" s="57"/>
      <c r="R5566" s="58"/>
      <c r="S5566" s="57"/>
      <c r="T5566" s="77"/>
    </row>
    <row r="5567">
      <c r="A5567" s="119"/>
      <c r="B5567" s="118"/>
      <c r="C5567" s="118"/>
      <c r="D5567" s="56"/>
      <c r="E5567" s="41"/>
      <c r="F5567" s="49"/>
      <c r="G5567" s="71"/>
      <c r="H5567" s="41"/>
      <c r="I5567" s="42"/>
      <c r="J5567" s="120"/>
      <c r="K5567" s="72"/>
      <c r="L5567" s="53"/>
      <c r="M5567" s="101"/>
      <c r="N5567" s="74"/>
      <c r="O5567" s="102"/>
      <c r="P5567" s="102"/>
      <c r="Q5567" s="57"/>
      <c r="R5567" s="58"/>
      <c r="S5567" s="57"/>
      <c r="T5567" s="77"/>
    </row>
    <row r="5568">
      <c r="A5568" s="119"/>
      <c r="B5568" s="118"/>
      <c r="C5568" s="118"/>
      <c r="D5568" s="56"/>
      <c r="E5568" s="41"/>
      <c r="F5568" s="49"/>
      <c r="G5568" s="71"/>
      <c r="H5568" s="41"/>
      <c r="I5568" s="42"/>
      <c r="J5568" s="120"/>
      <c r="K5568" s="72"/>
      <c r="L5568" s="53"/>
      <c r="M5568" s="101"/>
      <c r="N5568" s="74"/>
      <c r="O5568" s="102"/>
      <c r="P5568" s="102"/>
      <c r="Q5568" s="57"/>
      <c r="R5568" s="58"/>
      <c r="S5568" s="57"/>
      <c r="T5568" s="77"/>
    </row>
    <row r="5569">
      <c r="A5569" s="119"/>
      <c r="B5569" s="118"/>
      <c r="C5569" s="118"/>
      <c r="D5569" s="56"/>
      <c r="E5569" s="41"/>
      <c r="F5569" s="49"/>
      <c r="G5569" s="71"/>
      <c r="H5569" s="41"/>
      <c r="I5569" s="42"/>
      <c r="J5569" s="120"/>
      <c r="K5569" s="72"/>
      <c r="L5569" s="53"/>
      <c r="M5569" s="101"/>
      <c r="N5569" s="74"/>
      <c r="O5569" s="102"/>
      <c r="P5569" s="102"/>
      <c r="Q5569" s="57"/>
      <c r="R5569" s="58"/>
      <c r="S5569" s="57"/>
      <c r="T5569" s="77"/>
    </row>
    <row r="5570">
      <c r="A5570" s="119"/>
      <c r="B5570" s="118"/>
      <c r="C5570" s="118"/>
      <c r="D5570" s="56"/>
      <c r="E5570" s="41"/>
      <c r="F5570" s="49"/>
      <c r="G5570" s="71"/>
      <c r="H5570" s="41"/>
      <c r="I5570" s="42"/>
      <c r="J5570" s="120"/>
      <c r="K5570" s="72"/>
      <c r="L5570" s="53"/>
      <c r="M5570" s="101"/>
      <c r="N5570" s="74"/>
      <c r="O5570" s="102"/>
      <c r="P5570" s="102"/>
      <c r="Q5570" s="57"/>
      <c r="R5570" s="58"/>
      <c r="S5570" s="57"/>
      <c r="T5570" s="77"/>
    </row>
    <row r="5571">
      <c r="A5571" s="119"/>
      <c r="B5571" s="118"/>
      <c r="C5571" s="118"/>
      <c r="D5571" s="56"/>
      <c r="E5571" s="41"/>
      <c r="F5571" s="49"/>
      <c r="G5571" s="71"/>
      <c r="H5571" s="41"/>
      <c r="I5571" s="42"/>
      <c r="J5571" s="120"/>
      <c r="K5571" s="72"/>
      <c r="L5571" s="53"/>
      <c r="M5571" s="101"/>
      <c r="N5571" s="74"/>
      <c r="O5571" s="102"/>
      <c r="P5571" s="102"/>
      <c r="Q5571" s="57"/>
      <c r="R5571" s="58"/>
      <c r="S5571" s="57"/>
      <c r="T5571" s="77"/>
    </row>
    <row r="5572">
      <c r="A5572" s="119"/>
      <c r="B5572" s="118"/>
      <c r="C5572" s="118"/>
      <c r="D5572" s="56"/>
      <c r="E5572" s="41"/>
      <c r="F5572" s="49"/>
      <c r="G5572" s="71"/>
      <c r="H5572" s="41"/>
      <c r="I5572" s="42"/>
      <c r="J5572" s="120"/>
      <c r="K5572" s="72"/>
      <c r="L5572" s="53"/>
      <c r="M5572" s="101"/>
      <c r="N5572" s="74"/>
      <c r="O5572" s="102"/>
      <c r="P5572" s="102"/>
      <c r="Q5572" s="57"/>
      <c r="R5572" s="58"/>
      <c r="S5572" s="57"/>
      <c r="T5572" s="77"/>
    </row>
    <row r="5573">
      <c r="A5573" s="119"/>
      <c r="B5573" s="118"/>
      <c r="C5573" s="118"/>
      <c r="D5573" s="56"/>
      <c r="E5573" s="41"/>
      <c r="F5573" s="49"/>
      <c r="G5573" s="71"/>
      <c r="H5573" s="41"/>
      <c r="I5573" s="42"/>
      <c r="J5573" s="120"/>
      <c r="K5573" s="72"/>
      <c r="L5573" s="53"/>
      <c r="M5573" s="101"/>
      <c r="N5573" s="74"/>
      <c r="O5573" s="102"/>
      <c r="P5573" s="102"/>
      <c r="Q5573" s="57"/>
      <c r="R5573" s="58"/>
      <c r="S5573" s="57"/>
      <c r="T5573" s="77"/>
    </row>
    <row r="5574">
      <c r="A5574" s="119"/>
      <c r="B5574" s="118"/>
      <c r="C5574" s="118"/>
      <c r="D5574" s="56"/>
      <c r="E5574" s="41"/>
      <c r="F5574" s="49"/>
      <c r="G5574" s="71"/>
      <c r="H5574" s="41"/>
      <c r="I5574" s="42"/>
      <c r="J5574" s="120"/>
      <c r="K5574" s="72"/>
      <c r="L5574" s="53"/>
      <c r="M5574" s="101"/>
      <c r="N5574" s="74"/>
      <c r="O5574" s="102"/>
      <c r="P5574" s="102"/>
      <c r="Q5574" s="57"/>
      <c r="R5574" s="58"/>
      <c r="S5574" s="57"/>
      <c r="T5574" s="77"/>
    </row>
    <row r="5575">
      <c r="A5575" s="119"/>
      <c r="B5575" s="118"/>
      <c r="C5575" s="118"/>
      <c r="D5575" s="56"/>
      <c r="E5575" s="41"/>
      <c r="F5575" s="49"/>
      <c r="G5575" s="71"/>
      <c r="H5575" s="41"/>
      <c r="I5575" s="42"/>
      <c r="J5575" s="120"/>
      <c r="K5575" s="72"/>
      <c r="L5575" s="53"/>
      <c r="M5575" s="101"/>
      <c r="N5575" s="74"/>
      <c r="O5575" s="102"/>
      <c r="P5575" s="102"/>
      <c r="Q5575" s="57"/>
      <c r="R5575" s="58"/>
      <c r="S5575" s="57"/>
      <c r="T5575" s="77"/>
    </row>
    <row r="5576">
      <c r="A5576" s="119"/>
      <c r="B5576" s="118"/>
      <c r="C5576" s="118"/>
      <c r="D5576" s="56"/>
      <c r="E5576" s="41"/>
      <c r="F5576" s="49"/>
      <c r="G5576" s="71"/>
      <c r="H5576" s="41"/>
      <c r="I5576" s="42"/>
      <c r="J5576" s="120"/>
      <c r="K5576" s="72"/>
      <c r="L5576" s="53"/>
      <c r="M5576" s="101"/>
      <c r="N5576" s="74"/>
      <c r="O5576" s="102"/>
      <c r="P5576" s="102"/>
      <c r="Q5576" s="57"/>
      <c r="R5576" s="58"/>
      <c r="S5576" s="57"/>
      <c r="T5576" s="77"/>
    </row>
    <row r="5577">
      <c r="A5577" s="119"/>
      <c r="B5577" s="118"/>
      <c r="C5577" s="118"/>
      <c r="D5577" s="56"/>
      <c r="E5577" s="41"/>
      <c r="F5577" s="49"/>
      <c r="G5577" s="71"/>
      <c r="H5577" s="41"/>
      <c r="I5577" s="42"/>
      <c r="J5577" s="120"/>
      <c r="K5577" s="72"/>
      <c r="L5577" s="53"/>
      <c r="M5577" s="101"/>
      <c r="N5577" s="74"/>
      <c r="O5577" s="102"/>
      <c r="P5577" s="102"/>
      <c r="Q5577" s="57"/>
      <c r="R5577" s="58"/>
      <c r="S5577" s="57"/>
      <c r="T5577" s="77"/>
    </row>
    <row r="5578">
      <c r="A5578" s="119"/>
      <c r="B5578" s="118"/>
      <c r="C5578" s="118"/>
      <c r="D5578" s="56"/>
      <c r="E5578" s="41"/>
      <c r="F5578" s="49"/>
      <c r="G5578" s="71"/>
      <c r="H5578" s="41"/>
      <c r="I5578" s="42"/>
      <c r="J5578" s="120"/>
      <c r="K5578" s="72"/>
      <c r="L5578" s="53"/>
      <c r="M5578" s="101"/>
      <c r="N5578" s="74"/>
      <c r="O5578" s="102"/>
      <c r="P5578" s="102"/>
      <c r="Q5578" s="57"/>
      <c r="R5578" s="58"/>
      <c r="S5578" s="57"/>
      <c r="T5578" s="77"/>
    </row>
    <row r="5579">
      <c r="A5579" s="119"/>
      <c r="B5579" s="118"/>
      <c r="C5579" s="118"/>
      <c r="D5579" s="56"/>
      <c r="E5579" s="41"/>
      <c r="F5579" s="49"/>
      <c r="G5579" s="71"/>
      <c r="H5579" s="41"/>
      <c r="I5579" s="42"/>
      <c r="J5579" s="120"/>
      <c r="K5579" s="72"/>
      <c r="L5579" s="53"/>
      <c r="M5579" s="101"/>
      <c r="N5579" s="74"/>
      <c r="O5579" s="102"/>
      <c r="P5579" s="102"/>
      <c r="Q5579" s="57"/>
      <c r="R5579" s="58"/>
      <c r="S5579" s="57"/>
      <c r="T5579" s="77"/>
    </row>
    <row r="5580">
      <c r="A5580" s="119"/>
      <c r="B5580" s="118"/>
      <c r="C5580" s="118"/>
      <c r="D5580" s="56"/>
      <c r="E5580" s="41"/>
      <c r="F5580" s="49"/>
      <c r="G5580" s="71"/>
      <c r="H5580" s="41"/>
      <c r="I5580" s="42"/>
      <c r="J5580" s="120"/>
      <c r="K5580" s="72"/>
      <c r="L5580" s="53"/>
      <c r="M5580" s="101"/>
      <c r="N5580" s="74"/>
      <c r="O5580" s="102"/>
      <c r="P5580" s="102"/>
      <c r="Q5580" s="57"/>
      <c r="R5580" s="58"/>
      <c r="S5580" s="57"/>
      <c r="T5580" s="77"/>
    </row>
    <row r="5581">
      <c r="A5581" s="119"/>
      <c r="B5581" s="118"/>
      <c r="C5581" s="118"/>
      <c r="D5581" s="56"/>
      <c r="E5581" s="41"/>
      <c r="F5581" s="49"/>
      <c r="G5581" s="71"/>
      <c r="H5581" s="41"/>
      <c r="I5581" s="42"/>
      <c r="J5581" s="120"/>
      <c r="K5581" s="72"/>
      <c r="L5581" s="53"/>
      <c r="M5581" s="101"/>
      <c r="N5581" s="74"/>
      <c r="O5581" s="102"/>
      <c r="P5581" s="102"/>
      <c r="Q5581" s="57"/>
      <c r="R5581" s="58"/>
      <c r="S5581" s="57"/>
      <c r="T5581" s="77"/>
    </row>
    <row r="5582">
      <c r="A5582" s="119"/>
      <c r="B5582" s="118"/>
      <c r="C5582" s="118"/>
      <c r="D5582" s="56"/>
      <c r="E5582" s="41"/>
      <c r="F5582" s="49"/>
      <c r="G5582" s="71"/>
      <c r="H5582" s="41"/>
      <c r="I5582" s="42"/>
      <c r="J5582" s="120"/>
      <c r="K5582" s="72"/>
      <c r="L5582" s="53"/>
      <c r="M5582" s="101"/>
      <c r="N5582" s="74"/>
      <c r="O5582" s="102"/>
      <c r="P5582" s="102"/>
      <c r="Q5582" s="57"/>
      <c r="R5582" s="58"/>
      <c r="S5582" s="57"/>
      <c r="T5582" s="77"/>
    </row>
    <row r="5583">
      <c r="A5583" s="119"/>
      <c r="B5583" s="118"/>
      <c r="C5583" s="118"/>
      <c r="D5583" s="56"/>
      <c r="E5583" s="41"/>
      <c r="F5583" s="49"/>
      <c r="G5583" s="71"/>
      <c r="H5583" s="41"/>
      <c r="I5583" s="42"/>
      <c r="J5583" s="120"/>
      <c r="K5583" s="72"/>
      <c r="L5583" s="53"/>
      <c r="M5583" s="101"/>
      <c r="N5583" s="74"/>
      <c r="O5583" s="102"/>
      <c r="P5583" s="102"/>
      <c r="Q5583" s="57"/>
      <c r="R5583" s="58"/>
      <c r="S5583" s="57"/>
      <c r="T5583" s="77"/>
    </row>
    <row r="5584">
      <c r="A5584" s="119"/>
      <c r="B5584" s="118"/>
      <c r="C5584" s="118"/>
      <c r="D5584" s="56"/>
      <c r="E5584" s="41"/>
      <c r="F5584" s="49"/>
      <c r="G5584" s="71"/>
      <c r="H5584" s="41"/>
      <c r="I5584" s="42"/>
      <c r="J5584" s="120"/>
      <c r="K5584" s="72"/>
      <c r="L5584" s="53"/>
      <c r="M5584" s="101"/>
      <c r="N5584" s="74"/>
      <c r="O5584" s="102"/>
      <c r="P5584" s="102"/>
      <c r="Q5584" s="57"/>
      <c r="R5584" s="58"/>
      <c r="S5584" s="57"/>
      <c r="T5584" s="77"/>
    </row>
    <row r="5585">
      <c r="A5585" s="119"/>
      <c r="B5585" s="118"/>
      <c r="C5585" s="118"/>
      <c r="D5585" s="56"/>
      <c r="E5585" s="41"/>
      <c r="F5585" s="49"/>
      <c r="G5585" s="71"/>
      <c r="H5585" s="41"/>
      <c r="I5585" s="42"/>
      <c r="J5585" s="120"/>
      <c r="K5585" s="72"/>
      <c r="L5585" s="53"/>
      <c r="M5585" s="101"/>
      <c r="N5585" s="74"/>
      <c r="O5585" s="102"/>
      <c r="P5585" s="102"/>
      <c r="Q5585" s="57"/>
      <c r="R5585" s="58"/>
      <c r="S5585" s="57"/>
      <c r="T5585" s="77"/>
    </row>
    <row r="5586">
      <c r="A5586" s="119"/>
      <c r="B5586" s="118"/>
      <c r="C5586" s="118"/>
      <c r="D5586" s="56"/>
      <c r="E5586" s="41"/>
      <c r="F5586" s="49"/>
      <c r="G5586" s="71"/>
      <c r="H5586" s="41"/>
      <c r="I5586" s="42"/>
      <c r="J5586" s="120"/>
      <c r="K5586" s="72"/>
      <c r="L5586" s="53"/>
      <c r="M5586" s="101"/>
      <c r="N5586" s="74"/>
      <c r="O5586" s="102"/>
      <c r="P5586" s="102"/>
      <c r="Q5586" s="57"/>
      <c r="R5586" s="58"/>
      <c r="S5586" s="57"/>
      <c r="T5586" s="77"/>
    </row>
    <row r="5587">
      <c r="A5587" s="119"/>
      <c r="B5587" s="118"/>
      <c r="C5587" s="118"/>
      <c r="D5587" s="56"/>
      <c r="E5587" s="41"/>
      <c r="F5587" s="49"/>
      <c r="G5587" s="71"/>
      <c r="H5587" s="41"/>
      <c r="I5587" s="42"/>
      <c r="J5587" s="120"/>
      <c r="K5587" s="72"/>
      <c r="L5587" s="53"/>
      <c r="M5587" s="101"/>
      <c r="N5587" s="74"/>
      <c r="O5587" s="102"/>
      <c r="P5587" s="102"/>
      <c r="Q5587" s="57"/>
      <c r="R5587" s="58"/>
      <c r="S5587" s="57"/>
      <c r="T5587" s="77"/>
    </row>
    <row r="5588">
      <c r="A5588" s="119"/>
      <c r="B5588" s="118"/>
      <c r="C5588" s="118"/>
      <c r="D5588" s="56"/>
      <c r="E5588" s="41"/>
      <c r="F5588" s="49"/>
      <c r="G5588" s="71"/>
      <c r="H5588" s="41"/>
      <c r="I5588" s="42"/>
      <c r="J5588" s="120"/>
      <c r="K5588" s="72"/>
      <c r="L5588" s="53"/>
      <c r="M5588" s="101"/>
      <c r="N5588" s="74"/>
      <c r="O5588" s="102"/>
      <c r="P5588" s="102"/>
      <c r="Q5588" s="57"/>
      <c r="R5588" s="58"/>
      <c r="S5588" s="57"/>
      <c r="T5588" s="77"/>
    </row>
    <row r="5589">
      <c r="A5589" s="119"/>
      <c r="B5589" s="118"/>
      <c r="C5589" s="118"/>
      <c r="D5589" s="56"/>
      <c r="E5589" s="41"/>
      <c r="F5589" s="49"/>
      <c r="G5589" s="71"/>
      <c r="H5589" s="41"/>
      <c r="I5589" s="42"/>
      <c r="J5589" s="120"/>
      <c r="K5589" s="72"/>
      <c r="L5589" s="53"/>
      <c r="M5589" s="101"/>
      <c r="N5589" s="74"/>
      <c r="O5589" s="102"/>
      <c r="P5589" s="102"/>
      <c r="Q5589" s="57"/>
      <c r="R5589" s="58"/>
      <c r="S5589" s="57"/>
      <c r="T5589" s="77"/>
    </row>
    <row r="5590">
      <c r="A5590" s="119"/>
      <c r="B5590" s="118"/>
      <c r="C5590" s="118"/>
      <c r="D5590" s="56"/>
      <c r="E5590" s="41"/>
      <c r="F5590" s="49"/>
      <c r="G5590" s="71"/>
      <c r="H5590" s="41"/>
      <c r="I5590" s="42"/>
      <c r="J5590" s="120"/>
      <c r="K5590" s="72"/>
      <c r="L5590" s="53"/>
      <c r="M5590" s="101"/>
      <c r="N5590" s="74"/>
      <c r="O5590" s="102"/>
      <c r="P5590" s="102"/>
      <c r="Q5590" s="57"/>
      <c r="R5590" s="58"/>
      <c r="S5590" s="57"/>
      <c r="T5590" s="77"/>
    </row>
    <row r="5591">
      <c r="A5591" s="119"/>
      <c r="B5591" s="118"/>
      <c r="C5591" s="118"/>
      <c r="D5591" s="56"/>
      <c r="E5591" s="41"/>
      <c r="F5591" s="49"/>
      <c r="G5591" s="71"/>
      <c r="H5591" s="41"/>
      <c r="I5591" s="42"/>
      <c r="J5591" s="120"/>
      <c r="K5591" s="72"/>
      <c r="L5591" s="53"/>
      <c r="M5591" s="101"/>
      <c r="N5591" s="74"/>
      <c r="O5591" s="102"/>
      <c r="P5591" s="102"/>
      <c r="Q5591" s="57"/>
      <c r="R5591" s="58"/>
      <c r="S5591" s="57"/>
      <c r="T5591" s="77"/>
    </row>
    <row r="5592">
      <c r="A5592" s="119"/>
      <c r="B5592" s="118"/>
      <c r="C5592" s="118"/>
      <c r="D5592" s="56"/>
      <c r="E5592" s="41"/>
      <c r="F5592" s="49"/>
      <c r="G5592" s="71"/>
      <c r="H5592" s="41"/>
      <c r="I5592" s="42"/>
      <c r="J5592" s="120"/>
      <c r="K5592" s="72"/>
      <c r="L5592" s="53"/>
      <c r="M5592" s="101"/>
      <c r="N5592" s="74"/>
      <c r="O5592" s="102"/>
      <c r="P5592" s="102"/>
      <c r="Q5592" s="57"/>
      <c r="R5592" s="58"/>
      <c r="S5592" s="57"/>
      <c r="T5592" s="77"/>
    </row>
    <row r="5593">
      <c r="A5593" s="119"/>
      <c r="B5593" s="118"/>
      <c r="C5593" s="118"/>
      <c r="D5593" s="56"/>
      <c r="E5593" s="41"/>
      <c r="F5593" s="49"/>
      <c r="G5593" s="71"/>
      <c r="H5593" s="41"/>
      <c r="I5593" s="42"/>
      <c r="J5593" s="120"/>
      <c r="K5593" s="72"/>
      <c r="L5593" s="53"/>
      <c r="M5593" s="101"/>
      <c r="N5593" s="74"/>
      <c r="O5593" s="102"/>
      <c r="P5593" s="102"/>
      <c r="Q5593" s="57"/>
      <c r="R5593" s="58"/>
      <c r="S5593" s="57"/>
      <c r="T5593" s="77"/>
    </row>
    <row r="5594">
      <c r="A5594" s="119"/>
      <c r="B5594" s="118"/>
      <c r="C5594" s="118"/>
      <c r="D5594" s="56"/>
      <c r="E5594" s="41"/>
      <c r="F5594" s="49"/>
      <c r="G5594" s="71"/>
      <c r="H5594" s="41"/>
      <c r="I5594" s="42"/>
      <c r="J5594" s="120"/>
      <c r="K5594" s="72"/>
      <c r="L5594" s="53"/>
      <c r="M5594" s="101"/>
      <c r="N5594" s="74"/>
      <c r="O5594" s="102"/>
      <c r="P5594" s="102"/>
      <c r="Q5594" s="57"/>
      <c r="R5594" s="58"/>
      <c r="S5594" s="57"/>
      <c r="T5594" s="77"/>
    </row>
    <row r="5595">
      <c r="A5595" s="119"/>
      <c r="B5595" s="118"/>
      <c r="C5595" s="118"/>
      <c r="D5595" s="56"/>
      <c r="E5595" s="41"/>
      <c r="F5595" s="49"/>
      <c r="G5595" s="71"/>
      <c r="H5595" s="41"/>
      <c r="I5595" s="42"/>
      <c r="J5595" s="120"/>
      <c r="K5595" s="72"/>
      <c r="L5595" s="53"/>
      <c r="M5595" s="101"/>
      <c r="N5595" s="74"/>
      <c r="O5595" s="102"/>
      <c r="P5595" s="102"/>
      <c r="Q5595" s="57"/>
      <c r="R5595" s="58"/>
      <c r="S5595" s="57"/>
      <c r="T5595" s="77"/>
    </row>
    <row r="5596">
      <c r="A5596" s="119"/>
      <c r="B5596" s="118"/>
      <c r="C5596" s="118"/>
      <c r="D5596" s="56"/>
      <c r="E5596" s="41"/>
      <c r="F5596" s="49"/>
      <c r="G5596" s="71"/>
      <c r="H5596" s="41"/>
      <c r="I5596" s="42"/>
      <c r="J5596" s="120"/>
      <c r="K5596" s="72"/>
      <c r="L5596" s="53"/>
      <c r="M5596" s="101"/>
      <c r="N5596" s="74"/>
      <c r="O5596" s="102"/>
      <c r="P5596" s="102"/>
      <c r="Q5596" s="57"/>
      <c r="R5596" s="58"/>
      <c r="S5596" s="57"/>
      <c r="T5596" s="77"/>
    </row>
    <row r="5597">
      <c r="A5597" s="119"/>
      <c r="B5597" s="118"/>
      <c r="C5597" s="118"/>
      <c r="D5597" s="56"/>
      <c r="E5597" s="41"/>
      <c r="F5597" s="49"/>
      <c r="G5597" s="71"/>
      <c r="H5597" s="41"/>
      <c r="I5597" s="42"/>
      <c r="J5597" s="120"/>
      <c r="K5597" s="72"/>
      <c r="L5597" s="53"/>
      <c r="M5597" s="101"/>
      <c r="N5597" s="74"/>
      <c r="O5597" s="102"/>
      <c r="P5597" s="102"/>
      <c r="Q5597" s="57"/>
      <c r="R5597" s="58"/>
      <c r="S5597" s="57"/>
      <c r="T5597" s="77"/>
    </row>
    <row r="5598">
      <c r="A5598" s="119"/>
      <c r="B5598" s="118"/>
      <c r="C5598" s="118"/>
      <c r="D5598" s="56"/>
      <c r="E5598" s="41"/>
      <c r="F5598" s="49"/>
      <c r="G5598" s="71"/>
      <c r="H5598" s="41"/>
      <c r="I5598" s="42"/>
      <c r="J5598" s="120"/>
      <c r="K5598" s="72"/>
      <c r="L5598" s="53"/>
      <c r="M5598" s="101"/>
      <c r="N5598" s="74"/>
      <c r="O5598" s="102"/>
      <c r="P5598" s="102"/>
      <c r="Q5598" s="57"/>
      <c r="R5598" s="58"/>
      <c r="S5598" s="57"/>
      <c r="T5598" s="77"/>
    </row>
    <row r="5599">
      <c r="A5599" s="119"/>
      <c r="B5599" s="118"/>
      <c r="C5599" s="118"/>
      <c r="D5599" s="56"/>
      <c r="E5599" s="41"/>
      <c r="F5599" s="49"/>
      <c r="G5599" s="71"/>
      <c r="H5599" s="41"/>
      <c r="I5599" s="42"/>
      <c r="J5599" s="120"/>
      <c r="K5599" s="72"/>
      <c r="L5599" s="53"/>
      <c r="M5599" s="101"/>
      <c r="N5599" s="74"/>
      <c r="O5599" s="102"/>
      <c r="P5599" s="102"/>
      <c r="Q5599" s="57"/>
      <c r="R5599" s="58"/>
      <c r="S5599" s="57"/>
      <c r="T5599" s="77"/>
    </row>
    <row r="5600">
      <c r="A5600" s="119"/>
      <c r="B5600" s="118"/>
      <c r="C5600" s="118"/>
      <c r="D5600" s="56"/>
      <c r="E5600" s="41"/>
      <c r="F5600" s="49"/>
      <c r="G5600" s="71"/>
      <c r="H5600" s="41"/>
      <c r="I5600" s="42"/>
      <c r="J5600" s="120"/>
      <c r="K5600" s="72"/>
      <c r="L5600" s="53"/>
      <c r="M5600" s="101"/>
      <c r="N5600" s="74"/>
      <c r="O5600" s="102"/>
      <c r="P5600" s="102"/>
      <c r="Q5600" s="57"/>
      <c r="R5600" s="58"/>
      <c r="S5600" s="57"/>
      <c r="T5600" s="77"/>
    </row>
    <row r="5601">
      <c r="A5601" s="119"/>
      <c r="B5601" s="118"/>
      <c r="C5601" s="118"/>
      <c r="D5601" s="56"/>
      <c r="E5601" s="41"/>
      <c r="F5601" s="49"/>
      <c r="G5601" s="71"/>
      <c r="H5601" s="41"/>
      <c r="I5601" s="42"/>
      <c r="J5601" s="120"/>
      <c r="K5601" s="72"/>
      <c r="L5601" s="53"/>
      <c r="M5601" s="101"/>
      <c r="N5601" s="74"/>
      <c r="O5601" s="102"/>
      <c r="P5601" s="102"/>
      <c r="Q5601" s="57"/>
      <c r="R5601" s="58"/>
      <c r="S5601" s="57"/>
      <c r="T5601" s="77"/>
    </row>
    <row r="5602">
      <c r="A5602" s="119"/>
      <c r="B5602" s="118"/>
      <c r="C5602" s="118"/>
      <c r="D5602" s="56"/>
      <c r="E5602" s="41"/>
      <c r="F5602" s="49"/>
      <c r="G5602" s="71"/>
      <c r="H5602" s="41"/>
      <c r="I5602" s="42"/>
      <c r="J5602" s="120"/>
      <c r="K5602" s="72"/>
      <c r="L5602" s="53"/>
      <c r="M5602" s="101"/>
      <c r="N5602" s="74"/>
      <c r="O5602" s="102"/>
      <c r="P5602" s="102"/>
      <c r="Q5602" s="57"/>
      <c r="R5602" s="58"/>
      <c r="S5602" s="57"/>
      <c r="T5602" s="77"/>
    </row>
    <row r="5603">
      <c r="A5603" s="119"/>
      <c r="B5603" s="118"/>
      <c r="C5603" s="118"/>
      <c r="D5603" s="56"/>
      <c r="E5603" s="41"/>
      <c r="F5603" s="49"/>
      <c r="G5603" s="71"/>
      <c r="H5603" s="41"/>
      <c r="I5603" s="42"/>
      <c r="J5603" s="120"/>
      <c r="K5603" s="72"/>
      <c r="L5603" s="53"/>
      <c r="M5603" s="101"/>
      <c r="N5603" s="74"/>
      <c r="O5603" s="102"/>
      <c r="P5603" s="102"/>
      <c r="Q5603" s="57"/>
      <c r="R5603" s="58"/>
      <c r="S5603" s="57"/>
      <c r="T5603" s="77"/>
    </row>
    <row r="5604">
      <c r="A5604" s="119"/>
      <c r="B5604" s="118"/>
      <c r="C5604" s="118"/>
      <c r="D5604" s="56"/>
      <c r="E5604" s="41"/>
      <c r="F5604" s="49"/>
      <c r="G5604" s="71"/>
      <c r="H5604" s="41"/>
      <c r="I5604" s="42"/>
      <c r="J5604" s="120"/>
      <c r="K5604" s="72"/>
      <c r="L5604" s="53"/>
      <c r="M5604" s="101"/>
      <c r="N5604" s="74"/>
      <c r="O5604" s="102"/>
      <c r="P5604" s="102"/>
      <c r="Q5604" s="57"/>
      <c r="R5604" s="58"/>
      <c r="S5604" s="57"/>
      <c r="T5604" s="77"/>
    </row>
    <row r="5605">
      <c r="A5605" s="119"/>
      <c r="B5605" s="118"/>
      <c r="C5605" s="118"/>
      <c r="D5605" s="56"/>
      <c r="E5605" s="41"/>
      <c r="F5605" s="49"/>
      <c r="G5605" s="71"/>
      <c r="H5605" s="41"/>
      <c r="I5605" s="42"/>
      <c r="J5605" s="120"/>
      <c r="K5605" s="72"/>
      <c r="L5605" s="53"/>
      <c r="M5605" s="101"/>
      <c r="N5605" s="74"/>
      <c r="O5605" s="102"/>
      <c r="P5605" s="102"/>
      <c r="Q5605" s="57"/>
      <c r="R5605" s="58"/>
      <c r="S5605" s="57"/>
      <c r="T5605" s="77"/>
    </row>
    <row r="5606">
      <c r="A5606" s="119"/>
      <c r="B5606" s="118"/>
      <c r="C5606" s="118"/>
      <c r="D5606" s="56"/>
      <c r="E5606" s="41"/>
      <c r="F5606" s="49"/>
      <c r="G5606" s="71"/>
      <c r="H5606" s="41"/>
      <c r="I5606" s="42"/>
      <c r="J5606" s="120"/>
      <c r="K5606" s="72"/>
      <c r="L5606" s="53"/>
      <c r="M5606" s="101"/>
      <c r="N5606" s="74"/>
      <c r="O5606" s="102"/>
      <c r="P5606" s="102"/>
      <c r="Q5606" s="57"/>
      <c r="R5606" s="58"/>
      <c r="S5606" s="57"/>
      <c r="T5606" s="77"/>
    </row>
    <row r="5607">
      <c r="A5607" s="119"/>
      <c r="B5607" s="118"/>
      <c r="C5607" s="118"/>
      <c r="D5607" s="56"/>
      <c r="E5607" s="41"/>
      <c r="F5607" s="49"/>
      <c r="G5607" s="71"/>
      <c r="H5607" s="41"/>
      <c r="I5607" s="42"/>
      <c r="J5607" s="120"/>
      <c r="K5607" s="72"/>
      <c r="L5607" s="53"/>
      <c r="M5607" s="101"/>
      <c r="N5607" s="74"/>
      <c r="O5607" s="102"/>
      <c r="P5607" s="102"/>
      <c r="Q5607" s="57"/>
      <c r="R5607" s="58"/>
      <c r="S5607" s="57"/>
      <c r="T5607" s="77"/>
    </row>
    <row r="5608">
      <c r="A5608" s="119"/>
      <c r="B5608" s="118"/>
      <c r="C5608" s="118"/>
      <c r="D5608" s="56"/>
      <c r="E5608" s="41"/>
      <c r="F5608" s="49"/>
      <c r="G5608" s="71"/>
      <c r="H5608" s="41"/>
      <c r="I5608" s="42"/>
      <c r="J5608" s="120"/>
      <c r="K5608" s="72"/>
      <c r="L5608" s="53"/>
      <c r="M5608" s="101"/>
      <c r="N5608" s="74"/>
      <c r="O5608" s="102"/>
      <c r="P5608" s="102"/>
      <c r="Q5608" s="57"/>
      <c r="R5608" s="58"/>
      <c r="S5608" s="57"/>
      <c r="T5608" s="77"/>
    </row>
    <row r="5609">
      <c r="A5609" s="119"/>
      <c r="B5609" s="118"/>
      <c r="C5609" s="118"/>
      <c r="D5609" s="56"/>
      <c r="E5609" s="41"/>
      <c r="F5609" s="49"/>
      <c r="G5609" s="71"/>
      <c r="H5609" s="41"/>
      <c r="I5609" s="42"/>
      <c r="J5609" s="120"/>
      <c r="K5609" s="72"/>
      <c r="L5609" s="53"/>
      <c r="M5609" s="101"/>
      <c r="N5609" s="74"/>
      <c r="O5609" s="102"/>
      <c r="P5609" s="102"/>
      <c r="Q5609" s="57"/>
      <c r="R5609" s="58"/>
      <c r="S5609" s="57"/>
      <c r="T5609" s="77"/>
    </row>
    <row r="5610">
      <c r="A5610" s="119"/>
      <c r="B5610" s="118"/>
      <c r="C5610" s="118"/>
      <c r="D5610" s="56"/>
      <c r="E5610" s="41"/>
      <c r="F5610" s="49"/>
      <c r="G5610" s="71"/>
      <c r="H5610" s="41"/>
      <c r="I5610" s="42"/>
      <c r="J5610" s="120"/>
      <c r="K5610" s="72"/>
      <c r="L5610" s="53"/>
      <c r="M5610" s="101"/>
      <c r="N5610" s="74"/>
      <c r="O5610" s="102"/>
      <c r="P5610" s="102"/>
      <c r="Q5610" s="57"/>
      <c r="R5610" s="58"/>
      <c r="S5610" s="57"/>
      <c r="T5610" s="77"/>
    </row>
    <row r="5611">
      <c r="A5611" s="119"/>
      <c r="B5611" s="118"/>
      <c r="C5611" s="118"/>
      <c r="D5611" s="56"/>
      <c r="E5611" s="41"/>
      <c r="F5611" s="49"/>
      <c r="G5611" s="71"/>
      <c r="H5611" s="41"/>
      <c r="I5611" s="42"/>
      <c r="J5611" s="120"/>
      <c r="K5611" s="72"/>
      <c r="L5611" s="53"/>
      <c r="M5611" s="101"/>
      <c r="N5611" s="74"/>
      <c r="O5611" s="102"/>
      <c r="P5611" s="102"/>
      <c r="Q5611" s="57"/>
      <c r="R5611" s="58"/>
      <c r="S5611" s="57"/>
      <c r="T5611" s="77"/>
    </row>
    <row r="5612">
      <c r="A5612" s="119"/>
      <c r="B5612" s="118"/>
      <c r="C5612" s="118"/>
      <c r="D5612" s="56"/>
      <c r="E5612" s="41"/>
      <c r="F5612" s="49"/>
      <c r="G5612" s="71"/>
      <c r="H5612" s="41"/>
      <c r="I5612" s="42"/>
      <c r="J5612" s="120"/>
      <c r="K5612" s="72"/>
      <c r="L5612" s="53"/>
      <c r="M5612" s="101"/>
      <c r="N5612" s="74"/>
      <c r="O5612" s="102"/>
      <c r="P5612" s="102"/>
      <c r="Q5612" s="57"/>
      <c r="R5612" s="58"/>
      <c r="S5612" s="57"/>
      <c r="T5612" s="77"/>
    </row>
    <row r="5613">
      <c r="A5613" s="119"/>
      <c r="B5613" s="118"/>
      <c r="C5613" s="118"/>
      <c r="D5613" s="56"/>
      <c r="E5613" s="41"/>
      <c r="F5613" s="49"/>
      <c r="G5613" s="71"/>
      <c r="H5613" s="41"/>
      <c r="I5613" s="42"/>
      <c r="J5613" s="120"/>
      <c r="K5613" s="72"/>
      <c r="L5613" s="53"/>
      <c r="M5613" s="101"/>
      <c r="N5613" s="74"/>
      <c r="O5613" s="102"/>
      <c r="P5613" s="102"/>
      <c r="Q5613" s="57"/>
      <c r="R5613" s="58"/>
      <c r="S5613" s="57"/>
      <c r="T5613" s="77"/>
    </row>
    <row r="5614">
      <c r="A5614" s="119"/>
      <c r="B5614" s="118"/>
      <c r="C5614" s="118"/>
      <c r="D5614" s="56"/>
      <c r="E5614" s="41"/>
      <c r="F5614" s="49"/>
      <c r="G5614" s="71"/>
      <c r="H5614" s="41"/>
      <c r="I5614" s="42"/>
      <c r="J5614" s="120"/>
      <c r="K5614" s="72"/>
      <c r="L5614" s="53"/>
      <c r="M5614" s="101"/>
      <c r="N5614" s="74"/>
      <c r="O5614" s="102"/>
      <c r="P5614" s="102"/>
      <c r="Q5614" s="57"/>
      <c r="R5614" s="58"/>
      <c r="S5614" s="57"/>
      <c r="T5614" s="77"/>
    </row>
    <row r="5615">
      <c r="A5615" s="119"/>
      <c r="B5615" s="118"/>
      <c r="C5615" s="118"/>
      <c r="D5615" s="56"/>
      <c r="E5615" s="41"/>
      <c r="F5615" s="49"/>
      <c r="G5615" s="71"/>
      <c r="H5615" s="41"/>
      <c r="I5615" s="42"/>
      <c r="J5615" s="120"/>
      <c r="K5615" s="72"/>
      <c r="L5615" s="53"/>
      <c r="M5615" s="101"/>
      <c r="N5615" s="74"/>
      <c r="O5615" s="102"/>
      <c r="P5615" s="102"/>
      <c r="Q5615" s="57"/>
      <c r="R5615" s="58"/>
      <c r="S5615" s="57"/>
      <c r="T5615" s="77"/>
    </row>
    <row r="5616">
      <c r="A5616" s="119"/>
      <c r="B5616" s="118"/>
      <c r="C5616" s="118"/>
      <c r="D5616" s="56"/>
      <c r="E5616" s="41"/>
      <c r="F5616" s="49"/>
      <c r="G5616" s="71"/>
      <c r="H5616" s="41"/>
      <c r="I5616" s="42"/>
      <c r="J5616" s="120"/>
      <c r="K5616" s="72"/>
      <c r="L5616" s="53"/>
      <c r="M5616" s="101"/>
      <c r="N5616" s="74"/>
      <c r="O5616" s="102"/>
      <c r="P5616" s="102"/>
      <c r="Q5616" s="57"/>
      <c r="R5616" s="58"/>
      <c r="S5616" s="57"/>
      <c r="T5616" s="77"/>
    </row>
    <row r="5617">
      <c r="A5617" s="119"/>
      <c r="B5617" s="118"/>
      <c r="C5617" s="118"/>
      <c r="D5617" s="56"/>
      <c r="E5617" s="41"/>
      <c r="F5617" s="49"/>
      <c r="G5617" s="71"/>
      <c r="H5617" s="41"/>
      <c r="I5617" s="42"/>
      <c r="J5617" s="120"/>
      <c r="K5617" s="72"/>
      <c r="L5617" s="53"/>
      <c r="M5617" s="101"/>
      <c r="N5617" s="74"/>
      <c r="O5617" s="102"/>
      <c r="P5617" s="102"/>
      <c r="Q5617" s="57"/>
      <c r="R5617" s="58"/>
      <c r="S5617" s="57"/>
      <c r="T5617" s="77"/>
    </row>
    <row r="5618">
      <c r="A5618" s="119"/>
      <c r="B5618" s="118"/>
      <c r="C5618" s="118"/>
      <c r="D5618" s="56"/>
      <c r="E5618" s="41"/>
      <c r="F5618" s="49"/>
      <c r="G5618" s="71"/>
      <c r="H5618" s="41"/>
      <c r="I5618" s="42"/>
      <c r="J5618" s="120"/>
      <c r="K5618" s="72"/>
      <c r="L5618" s="53"/>
      <c r="M5618" s="101"/>
      <c r="N5618" s="74"/>
      <c r="O5618" s="102"/>
      <c r="P5618" s="102"/>
      <c r="Q5618" s="57"/>
      <c r="R5618" s="58"/>
      <c r="S5618" s="57"/>
      <c r="T5618" s="77"/>
    </row>
    <row r="5619">
      <c r="A5619" s="119"/>
      <c r="B5619" s="118"/>
      <c r="C5619" s="118"/>
      <c r="D5619" s="56"/>
      <c r="E5619" s="41"/>
      <c r="F5619" s="49"/>
      <c r="G5619" s="71"/>
      <c r="H5619" s="41"/>
      <c r="I5619" s="42"/>
      <c r="J5619" s="120"/>
      <c r="K5619" s="72"/>
      <c r="L5619" s="53"/>
      <c r="M5619" s="101"/>
      <c r="N5619" s="74"/>
      <c r="O5619" s="102"/>
      <c r="P5619" s="102"/>
      <c r="Q5619" s="57"/>
      <c r="R5619" s="58"/>
      <c r="S5619" s="57"/>
      <c r="T5619" s="77"/>
    </row>
    <row r="5620">
      <c r="A5620" s="119"/>
      <c r="B5620" s="118"/>
      <c r="C5620" s="118"/>
      <c r="D5620" s="56"/>
      <c r="E5620" s="41"/>
      <c r="F5620" s="49"/>
      <c r="G5620" s="71"/>
      <c r="H5620" s="41"/>
      <c r="I5620" s="42"/>
      <c r="J5620" s="120"/>
      <c r="K5620" s="72"/>
      <c r="L5620" s="53"/>
      <c r="M5620" s="101"/>
      <c r="N5620" s="74"/>
      <c r="O5620" s="102"/>
      <c r="P5620" s="102"/>
      <c r="Q5620" s="57"/>
      <c r="R5620" s="58"/>
      <c r="S5620" s="57"/>
      <c r="T5620" s="77"/>
    </row>
    <row r="5621">
      <c r="A5621" s="119"/>
      <c r="B5621" s="118"/>
      <c r="C5621" s="118"/>
      <c r="D5621" s="56"/>
      <c r="E5621" s="41"/>
      <c r="F5621" s="49"/>
      <c r="G5621" s="71"/>
      <c r="H5621" s="41"/>
      <c r="I5621" s="42"/>
      <c r="J5621" s="120"/>
      <c r="K5621" s="72"/>
      <c r="L5621" s="53"/>
      <c r="M5621" s="101"/>
      <c r="N5621" s="74"/>
      <c r="O5621" s="102"/>
      <c r="P5621" s="102"/>
      <c r="Q5621" s="57"/>
      <c r="R5621" s="58"/>
      <c r="S5621" s="57"/>
      <c r="T5621" s="77"/>
    </row>
    <row r="5622">
      <c r="A5622" s="119"/>
      <c r="B5622" s="118"/>
      <c r="C5622" s="118"/>
      <c r="D5622" s="56"/>
      <c r="E5622" s="41"/>
      <c r="F5622" s="49"/>
      <c r="G5622" s="71"/>
      <c r="H5622" s="41"/>
      <c r="I5622" s="42"/>
      <c r="J5622" s="120"/>
      <c r="K5622" s="72"/>
      <c r="L5622" s="53"/>
      <c r="M5622" s="101"/>
      <c r="N5622" s="74"/>
      <c r="O5622" s="102"/>
      <c r="P5622" s="102"/>
      <c r="Q5622" s="57"/>
      <c r="R5622" s="58"/>
      <c r="S5622" s="57"/>
      <c r="T5622" s="77"/>
    </row>
    <row r="5623">
      <c r="A5623" s="119"/>
      <c r="B5623" s="118"/>
      <c r="C5623" s="118"/>
      <c r="D5623" s="56"/>
      <c r="E5623" s="41"/>
      <c r="F5623" s="49"/>
      <c r="G5623" s="71"/>
      <c r="H5623" s="41"/>
      <c r="I5623" s="42"/>
      <c r="J5623" s="120"/>
      <c r="K5623" s="72"/>
      <c r="L5623" s="53"/>
      <c r="M5623" s="101"/>
      <c r="N5623" s="74"/>
      <c r="O5623" s="102"/>
      <c r="P5623" s="102"/>
      <c r="Q5623" s="57"/>
      <c r="R5623" s="58"/>
      <c r="S5623" s="57"/>
      <c r="T5623" s="77"/>
    </row>
    <row r="5624">
      <c r="A5624" s="119"/>
      <c r="B5624" s="118"/>
      <c r="C5624" s="118"/>
      <c r="D5624" s="56"/>
      <c r="E5624" s="41"/>
      <c r="F5624" s="49"/>
      <c r="G5624" s="71"/>
      <c r="H5624" s="41"/>
      <c r="I5624" s="42"/>
      <c r="J5624" s="120"/>
      <c r="K5624" s="72"/>
      <c r="L5624" s="53"/>
      <c r="M5624" s="101"/>
      <c r="N5624" s="74"/>
      <c r="O5624" s="102"/>
      <c r="P5624" s="102"/>
      <c r="Q5624" s="57"/>
      <c r="R5624" s="58"/>
      <c r="S5624" s="57"/>
      <c r="T5624" s="77"/>
    </row>
    <row r="5625">
      <c r="A5625" s="119"/>
      <c r="B5625" s="118"/>
      <c r="C5625" s="118"/>
      <c r="D5625" s="56"/>
      <c r="E5625" s="41"/>
      <c r="F5625" s="49"/>
      <c r="G5625" s="71"/>
      <c r="H5625" s="41"/>
      <c r="I5625" s="42"/>
      <c r="J5625" s="120"/>
      <c r="K5625" s="72"/>
      <c r="L5625" s="53"/>
      <c r="M5625" s="101"/>
      <c r="N5625" s="74"/>
      <c r="O5625" s="102"/>
      <c r="P5625" s="102"/>
      <c r="Q5625" s="57"/>
      <c r="R5625" s="58"/>
      <c r="S5625" s="57"/>
      <c r="T5625" s="77"/>
    </row>
    <row r="5626">
      <c r="A5626" s="119"/>
      <c r="B5626" s="118"/>
      <c r="C5626" s="118"/>
      <c r="D5626" s="56"/>
      <c r="E5626" s="41"/>
      <c r="F5626" s="49"/>
      <c r="G5626" s="71"/>
      <c r="H5626" s="41"/>
      <c r="I5626" s="42"/>
      <c r="J5626" s="120"/>
      <c r="K5626" s="72"/>
      <c r="L5626" s="53"/>
      <c r="M5626" s="101"/>
      <c r="N5626" s="74"/>
      <c r="O5626" s="102"/>
      <c r="P5626" s="102"/>
      <c r="Q5626" s="57"/>
      <c r="R5626" s="58"/>
      <c r="S5626" s="57"/>
      <c r="T5626" s="77"/>
    </row>
    <row r="5627">
      <c r="A5627" s="119"/>
      <c r="B5627" s="118"/>
      <c r="C5627" s="118"/>
      <c r="D5627" s="56"/>
      <c r="E5627" s="41"/>
      <c r="F5627" s="49"/>
      <c r="G5627" s="71"/>
      <c r="H5627" s="41"/>
      <c r="I5627" s="42"/>
      <c r="J5627" s="120"/>
      <c r="K5627" s="72"/>
      <c r="L5627" s="53"/>
      <c r="M5627" s="101"/>
      <c r="N5627" s="74"/>
      <c r="O5627" s="102"/>
      <c r="P5627" s="102"/>
      <c r="Q5627" s="57"/>
      <c r="R5627" s="58"/>
      <c r="S5627" s="57"/>
      <c r="T5627" s="77"/>
    </row>
    <row r="5628">
      <c r="A5628" s="119"/>
      <c r="B5628" s="118"/>
      <c r="C5628" s="118"/>
      <c r="D5628" s="56"/>
      <c r="E5628" s="41"/>
      <c r="F5628" s="49"/>
      <c r="G5628" s="71"/>
      <c r="H5628" s="41"/>
      <c r="I5628" s="42"/>
      <c r="J5628" s="120"/>
      <c r="K5628" s="72"/>
      <c r="L5628" s="53"/>
      <c r="M5628" s="101"/>
      <c r="N5628" s="74"/>
      <c r="O5628" s="102"/>
      <c r="P5628" s="102"/>
      <c r="Q5628" s="57"/>
      <c r="R5628" s="58"/>
      <c r="S5628" s="57"/>
      <c r="T5628" s="77"/>
    </row>
    <row r="5629">
      <c r="A5629" s="119"/>
      <c r="B5629" s="118"/>
      <c r="C5629" s="118"/>
      <c r="D5629" s="56"/>
      <c r="E5629" s="41"/>
      <c r="F5629" s="49"/>
      <c r="G5629" s="71"/>
      <c r="H5629" s="41"/>
      <c r="I5629" s="42"/>
      <c r="J5629" s="120"/>
      <c r="K5629" s="72"/>
      <c r="L5629" s="53"/>
      <c r="M5629" s="101"/>
      <c r="N5629" s="74"/>
      <c r="O5629" s="102"/>
      <c r="P5629" s="102"/>
      <c r="Q5629" s="57"/>
      <c r="R5629" s="58"/>
      <c r="S5629" s="57"/>
      <c r="T5629" s="77"/>
    </row>
    <row r="5630">
      <c r="A5630" s="119"/>
      <c r="B5630" s="118"/>
      <c r="C5630" s="118"/>
      <c r="D5630" s="56"/>
      <c r="E5630" s="41"/>
      <c r="F5630" s="49"/>
      <c r="G5630" s="71"/>
      <c r="H5630" s="41"/>
      <c r="I5630" s="42"/>
      <c r="J5630" s="120"/>
      <c r="K5630" s="72"/>
      <c r="L5630" s="53"/>
      <c r="M5630" s="101"/>
      <c r="N5630" s="74"/>
      <c r="O5630" s="102"/>
      <c r="P5630" s="102"/>
      <c r="Q5630" s="57"/>
      <c r="R5630" s="58"/>
      <c r="S5630" s="57"/>
      <c r="T5630" s="77"/>
    </row>
    <row r="5631">
      <c r="A5631" s="119"/>
      <c r="B5631" s="118"/>
      <c r="C5631" s="118"/>
      <c r="D5631" s="56"/>
      <c r="E5631" s="41"/>
      <c r="F5631" s="49"/>
      <c r="G5631" s="71"/>
      <c r="H5631" s="41"/>
      <c r="I5631" s="42"/>
      <c r="J5631" s="120"/>
      <c r="K5631" s="72"/>
      <c r="L5631" s="53"/>
      <c r="M5631" s="101"/>
      <c r="N5631" s="74"/>
      <c r="O5631" s="102"/>
      <c r="P5631" s="102"/>
      <c r="Q5631" s="57"/>
      <c r="R5631" s="58"/>
      <c r="S5631" s="57"/>
      <c r="T5631" s="77"/>
    </row>
    <row r="5632">
      <c r="A5632" s="119"/>
      <c r="B5632" s="118"/>
      <c r="C5632" s="118"/>
      <c r="D5632" s="56"/>
      <c r="E5632" s="41"/>
      <c r="F5632" s="49"/>
      <c r="G5632" s="71"/>
      <c r="H5632" s="41"/>
      <c r="I5632" s="42"/>
      <c r="J5632" s="120"/>
      <c r="K5632" s="72"/>
      <c r="L5632" s="53"/>
      <c r="M5632" s="101"/>
      <c r="N5632" s="74"/>
      <c r="O5632" s="102"/>
      <c r="P5632" s="102"/>
      <c r="Q5632" s="57"/>
      <c r="R5632" s="58"/>
      <c r="S5632" s="57"/>
      <c r="T5632" s="77"/>
    </row>
    <row r="5633">
      <c r="A5633" s="119"/>
      <c r="B5633" s="118"/>
      <c r="C5633" s="118"/>
      <c r="D5633" s="56"/>
      <c r="E5633" s="41"/>
      <c r="F5633" s="49"/>
      <c r="G5633" s="71"/>
      <c r="H5633" s="41"/>
      <c r="I5633" s="42"/>
      <c r="J5633" s="120"/>
      <c r="K5633" s="72"/>
      <c r="L5633" s="53"/>
      <c r="M5633" s="101"/>
      <c r="N5633" s="74"/>
      <c r="O5633" s="102"/>
      <c r="P5633" s="102"/>
      <c r="Q5633" s="57"/>
      <c r="R5633" s="58"/>
      <c r="S5633" s="57"/>
      <c r="T5633" s="77"/>
    </row>
    <row r="5634">
      <c r="A5634" s="119"/>
      <c r="B5634" s="118"/>
      <c r="C5634" s="118"/>
      <c r="D5634" s="56"/>
      <c r="E5634" s="41"/>
      <c r="F5634" s="49"/>
      <c r="G5634" s="71"/>
      <c r="H5634" s="41"/>
      <c r="I5634" s="42"/>
      <c r="J5634" s="120"/>
      <c r="K5634" s="72"/>
      <c r="L5634" s="53"/>
      <c r="M5634" s="101"/>
      <c r="N5634" s="74"/>
      <c r="O5634" s="102"/>
      <c r="P5634" s="102"/>
      <c r="Q5634" s="57"/>
      <c r="R5634" s="58"/>
      <c r="S5634" s="57"/>
      <c r="T5634" s="77"/>
    </row>
    <row r="5635">
      <c r="A5635" s="119"/>
      <c r="B5635" s="118"/>
      <c r="C5635" s="118"/>
      <c r="D5635" s="56"/>
      <c r="E5635" s="41"/>
      <c r="F5635" s="49"/>
      <c r="G5635" s="71"/>
      <c r="H5635" s="41"/>
      <c r="I5635" s="42"/>
      <c r="J5635" s="120"/>
      <c r="K5635" s="72"/>
      <c r="L5635" s="53"/>
      <c r="M5635" s="101"/>
      <c r="N5635" s="74"/>
      <c r="O5635" s="102"/>
      <c r="P5635" s="102"/>
      <c r="Q5635" s="57"/>
      <c r="R5635" s="58"/>
      <c r="S5635" s="57"/>
      <c r="T5635" s="77"/>
    </row>
    <row r="5636">
      <c r="A5636" s="119"/>
      <c r="B5636" s="118"/>
      <c r="C5636" s="118"/>
      <c r="D5636" s="56"/>
      <c r="E5636" s="41"/>
      <c r="F5636" s="49"/>
      <c r="G5636" s="71"/>
      <c r="H5636" s="41"/>
      <c r="I5636" s="42"/>
      <c r="J5636" s="120"/>
      <c r="K5636" s="72"/>
      <c r="L5636" s="53"/>
      <c r="M5636" s="101"/>
      <c r="N5636" s="74"/>
      <c r="O5636" s="102"/>
      <c r="P5636" s="102"/>
      <c r="Q5636" s="57"/>
      <c r="R5636" s="58"/>
      <c r="S5636" s="57"/>
      <c r="T5636" s="77"/>
    </row>
    <row r="5637">
      <c r="A5637" s="119"/>
      <c r="B5637" s="118"/>
      <c r="C5637" s="118"/>
      <c r="D5637" s="56"/>
      <c r="E5637" s="41"/>
      <c r="F5637" s="49"/>
      <c r="G5637" s="71"/>
      <c r="H5637" s="41"/>
      <c r="I5637" s="42"/>
      <c r="J5637" s="120"/>
      <c r="K5637" s="72"/>
      <c r="L5637" s="53"/>
      <c r="M5637" s="101"/>
      <c r="N5637" s="74"/>
      <c r="O5637" s="102"/>
      <c r="P5637" s="102"/>
      <c r="Q5637" s="57"/>
      <c r="R5637" s="58"/>
      <c r="S5637" s="57"/>
      <c r="T5637" s="77"/>
    </row>
    <row r="5638">
      <c r="A5638" s="119"/>
      <c r="B5638" s="118"/>
      <c r="C5638" s="118"/>
      <c r="D5638" s="56"/>
      <c r="E5638" s="41"/>
      <c r="F5638" s="49"/>
      <c r="G5638" s="71"/>
      <c r="H5638" s="41"/>
      <c r="I5638" s="42"/>
      <c r="J5638" s="120"/>
      <c r="K5638" s="72"/>
      <c r="L5638" s="53"/>
      <c r="M5638" s="101"/>
      <c r="N5638" s="74"/>
      <c r="O5638" s="102"/>
      <c r="P5638" s="102"/>
      <c r="Q5638" s="57"/>
      <c r="R5638" s="58"/>
      <c r="S5638" s="57"/>
      <c r="T5638" s="77"/>
    </row>
    <row r="5639">
      <c r="A5639" s="119"/>
      <c r="B5639" s="118"/>
      <c r="C5639" s="118"/>
      <c r="D5639" s="56"/>
      <c r="E5639" s="41"/>
      <c r="F5639" s="49"/>
      <c r="G5639" s="71"/>
      <c r="H5639" s="41"/>
      <c r="I5639" s="42"/>
      <c r="J5639" s="120"/>
      <c r="K5639" s="72"/>
      <c r="L5639" s="53"/>
      <c r="M5639" s="101"/>
      <c r="N5639" s="74"/>
      <c r="O5639" s="102"/>
      <c r="P5639" s="102"/>
      <c r="Q5639" s="57"/>
      <c r="R5639" s="58"/>
      <c r="S5639" s="57"/>
      <c r="T5639" s="77"/>
    </row>
    <row r="5640">
      <c r="A5640" s="119"/>
      <c r="B5640" s="118"/>
      <c r="C5640" s="118"/>
      <c r="D5640" s="56"/>
      <c r="E5640" s="41"/>
      <c r="F5640" s="49"/>
      <c r="G5640" s="71"/>
      <c r="H5640" s="41"/>
      <c r="I5640" s="42"/>
      <c r="J5640" s="120"/>
      <c r="K5640" s="72"/>
      <c r="L5640" s="53"/>
      <c r="M5640" s="101"/>
      <c r="N5640" s="74"/>
      <c r="O5640" s="102"/>
      <c r="P5640" s="102"/>
      <c r="Q5640" s="57"/>
      <c r="R5640" s="58"/>
      <c r="S5640" s="57"/>
      <c r="T5640" s="77"/>
    </row>
    <row r="5641">
      <c r="A5641" s="119"/>
      <c r="B5641" s="118"/>
      <c r="C5641" s="118"/>
      <c r="D5641" s="56"/>
      <c r="E5641" s="41"/>
      <c r="F5641" s="49"/>
      <c r="G5641" s="71"/>
      <c r="H5641" s="41"/>
      <c r="I5641" s="42"/>
      <c r="J5641" s="120"/>
      <c r="K5641" s="72"/>
      <c r="L5641" s="53"/>
      <c r="M5641" s="101"/>
      <c r="N5641" s="74"/>
      <c r="O5641" s="102"/>
      <c r="P5641" s="102"/>
      <c r="Q5641" s="57"/>
      <c r="R5641" s="58"/>
      <c r="S5641" s="57"/>
      <c r="T5641" s="77"/>
    </row>
    <row r="5642">
      <c r="A5642" s="119"/>
      <c r="B5642" s="118"/>
      <c r="C5642" s="118"/>
      <c r="D5642" s="56"/>
      <c r="E5642" s="41"/>
      <c r="F5642" s="49"/>
      <c r="G5642" s="71"/>
      <c r="H5642" s="41"/>
      <c r="I5642" s="42"/>
      <c r="J5642" s="120"/>
      <c r="K5642" s="72"/>
      <c r="L5642" s="53"/>
      <c r="M5642" s="101"/>
      <c r="N5642" s="74"/>
      <c r="O5642" s="102"/>
      <c r="P5642" s="102"/>
      <c r="Q5642" s="57"/>
      <c r="R5642" s="58"/>
      <c r="S5642" s="57"/>
      <c r="T5642" s="77"/>
    </row>
    <row r="5643">
      <c r="A5643" s="119"/>
      <c r="B5643" s="118"/>
      <c r="C5643" s="118"/>
      <c r="D5643" s="56"/>
      <c r="E5643" s="41"/>
      <c r="F5643" s="49"/>
      <c r="G5643" s="71"/>
      <c r="H5643" s="41"/>
      <c r="I5643" s="42"/>
      <c r="J5643" s="120"/>
      <c r="K5643" s="72"/>
      <c r="L5643" s="53"/>
      <c r="M5643" s="101"/>
      <c r="N5643" s="74"/>
      <c r="O5643" s="102"/>
      <c r="P5643" s="102"/>
      <c r="Q5643" s="57"/>
      <c r="R5643" s="58"/>
      <c r="S5643" s="57"/>
      <c r="T5643" s="77"/>
    </row>
    <row r="5644">
      <c r="A5644" s="119"/>
      <c r="B5644" s="118"/>
      <c r="C5644" s="118"/>
      <c r="D5644" s="56"/>
      <c r="E5644" s="41"/>
      <c r="F5644" s="49"/>
      <c r="G5644" s="71"/>
      <c r="H5644" s="41"/>
      <c r="I5644" s="42"/>
      <c r="J5644" s="120"/>
      <c r="K5644" s="72"/>
      <c r="L5644" s="53"/>
      <c r="M5644" s="101"/>
      <c r="N5644" s="74"/>
      <c r="O5644" s="102"/>
      <c r="P5644" s="102"/>
      <c r="Q5644" s="57"/>
      <c r="R5644" s="58"/>
      <c r="S5644" s="57"/>
      <c r="T5644" s="77"/>
    </row>
    <row r="5645">
      <c r="A5645" s="119"/>
      <c r="B5645" s="118"/>
      <c r="C5645" s="118"/>
      <c r="D5645" s="56"/>
      <c r="E5645" s="41"/>
      <c r="F5645" s="49"/>
      <c r="G5645" s="71"/>
      <c r="H5645" s="41"/>
      <c r="I5645" s="42"/>
      <c r="J5645" s="120"/>
      <c r="K5645" s="72"/>
      <c r="L5645" s="53"/>
      <c r="M5645" s="101"/>
      <c r="N5645" s="74"/>
      <c r="O5645" s="102"/>
      <c r="P5645" s="102"/>
      <c r="Q5645" s="57"/>
      <c r="R5645" s="58"/>
      <c r="S5645" s="57"/>
      <c r="T5645" s="77"/>
    </row>
    <row r="5646">
      <c r="A5646" s="119"/>
      <c r="B5646" s="118"/>
      <c r="C5646" s="118"/>
      <c r="D5646" s="56"/>
      <c r="E5646" s="41"/>
      <c r="F5646" s="49"/>
      <c r="G5646" s="71"/>
      <c r="H5646" s="41"/>
      <c r="I5646" s="42"/>
      <c r="J5646" s="120"/>
      <c r="K5646" s="72"/>
      <c r="L5646" s="53"/>
      <c r="M5646" s="101"/>
      <c r="N5646" s="74"/>
      <c r="O5646" s="102"/>
      <c r="P5646" s="102"/>
      <c r="Q5646" s="57"/>
      <c r="R5646" s="58"/>
      <c r="S5646" s="57"/>
      <c r="T5646" s="77"/>
    </row>
    <row r="5647">
      <c r="A5647" s="119"/>
      <c r="B5647" s="118"/>
      <c r="C5647" s="118"/>
      <c r="D5647" s="56"/>
      <c r="E5647" s="41"/>
      <c r="F5647" s="49"/>
      <c r="G5647" s="71"/>
      <c r="H5647" s="41"/>
      <c r="I5647" s="42"/>
      <c r="J5647" s="120"/>
      <c r="K5647" s="72"/>
      <c r="L5647" s="53"/>
      <c r="M5647" s="101"/>
      <c r="N5647" s="74"/>
      <c r="O5647" s="102"/>
      <c r="P5647" s="102"/>
      <c r="Q5647" s="57"/>
      <c r="R5647" s="58"/>
      <c r="S5647" s="57"/>
      <c r="T5647" s="77"/>
    </row>
    <row r="5648">
      <c r="A5648" s="119"/>
      <c r="B5648" s="118"/>
      <c r="C5648" s="118"/>
      <c r="D5648" s="56"/>
      <c r="E5648" s="41"/>
      <c r="F5648" s="49"/>
      <c r="G5648" s="71"/>
      <c r="H5648" s="41"/>
      <c r="I5648" s="42"/>
      <c r="J5648" s="120"/>
      <c r="K5648" s="72"/>
      <c r="L5648" s="53"/>
      <c r="M5648" s="101"/>
      <c r="N5648" s="74"/>
      <c r="O5648" s="102"/>
      <c r="P5648" s="102"/>
      <c r="Q5648" s="57"/>
      <c r="R5648" s="58"/>
      <c r="S5648" s="57"/>
      <c r="T5648" s="77"/>
    </row>
    <row r="5649">
      <c r="A5649" s="119"/>
      <c r="B5649" s="118"/>
      <c r="C5649" s="118"/>
      <c r="D5649" s="56"/>
      <c r="E5649" s="41"/>
      <c r="F5649" s="49"/>
      <c r="G5649" s="71"/>
      <c r="H5649" s="41"/>
      <c r="I5649" s="42"/>
      <c r="J5649" s="120"/>
      <c r="K5649" s="72"/>
      <c r="L5649" s="53"/>
      <c r="M5649" s="101"/>
      <c r="N5649" s="74"/>
      <c r="O5649" s="102"/>
      <c r="P5649" s="102"/>
      <c r="Q5649" s="57"/>
      <c r="R5649" s="58"/>
      <c r="S5649" s="57"/>
      <c r="T5649" s="77"/>
    </row>
    <row r="5650">
      <c r="A5650" s="119"/>
      <c r="B5650" s="118"/>
      <c r="C5650" s="118"/>
      <c r="D5650" s="56"/>
      <c r="E5650" s="41"/>
      <c r="F5650" s="49"/>
      <c r="G5650" s="71"/>
      <c r="H5650" s="41"/>
      <c r="I5650" s="42"/>
      <c r="J5650" s="120"/>
      <c r="K5650" s="72"/>
      <c r="L5650" s="53"/>
      <c r="M5650" s="101"/>
      <c r="N5650" s="74"/>
      <c r="O5650" s="102"/>
      <c r="P5650" s="102"/>
      <c r="Q5650" s="57"/>
      <c r="R5650" s="58"/>
      <c r="S5650" s="57"/>
      <c r="T5650" s="77"/>
    </row>
    <row r="5651">
      <c r="A5651" s="119"/>
      <c r="B5651" s="118"/>
      <c r="C5651" s="118"/>
      <c r="D5651" s="56"/>
      <c r="E5651" s="41"/>
      <c r="F5651" s="49"/>
      <c r="G5651" s="71"/>
      <c r="H5651" s="41"/>
      <c r="I5651" s="42"/>
      <c r="J5651" s="120"/>
      <c r="K5651" s="72"/>
      <c r="L5651" s="53"/>
      <c r="M5651" s="101"/>
      <c r="N5651" s="74"/>
      <c r="O5651" s="102"/>
      <c r="P5651" s="102"/>
      <c r="Q5651" s="57"/>
      <c r="R5651" s="58"/>
      <c r="S5651" s="57"/>
      <c r="T5651" s="77"/>
    </row>
    <row r="5652">
      <c r="A5652" s="119"/>
      <c r="B5652" s="118"/>
      <c r="C5652" s="118"/>
      <c r="D5652" s="56"/>
      <c r="E5652" s="41"/>
      <c r="F5652" s="49"/>
      <c r="G5652" s="71"/>
      <c r="H5652" s="41"/>
      <c r="I5652" s="42"/>
      <c r="J5652" s="120"/>
      <c r="K5652" s="72"/>
      <c r="L5652" s="53"/>
      <c r="M5652" s="101"/>
      <c r="N5652" s="74"/>
      <c r="O5652" s="102"/>
      <c r="P5652" s="102"/>
      <c r="Q5652" s="57"/>
      <c r="R5652" s="58"/>
      <c r="S5652" s="57"/>
      <c r="T5652" s="77"/>
    </row>
    <row r="5653">
      <c r="A5653" s="119"/>
      <c r="B5653" s="118"/>
      <c r="C5653" s="118"/>
      <c r="D5653" s="56"/>
      <c r="E5653" s="41"/>
      <c r="F5653" s="49"/>
      <c r="G5653" s="71"/>
      <c r="H5653" s="41"/>
      <c r="I5653" s="42"/>
      <c r="J5653" s="120"/>
      <c r="K5653" s="72"/>
      <c r="L5653" s="53"/>
      <c r="M5653" s="101"/>
      <c r="N5653" s="74"/>
      <c r="O5653" s="102"/>
      <c r="P5653" s="102"/>
      <c r="Q5653" s="57"/>
      <c r="R5653" s="58"/>
      <c r="S5653" s="57"/>
      <c r="T5653" s="77"/>
    </row>
    <row r="5654">
      <c r="A5654" s="119"/>
      <c r="B5654" s="118"/>
      <c r="C5654" s="118"/>
      <c r="D5654" s="56"/>
      <c r="E5654" s="41"/>
      <c r="F5654" s="49"/>
      <c r="G5654" s="71"/>
      <c r="H5654" s="41"/>
      <c r="I5654" s="42"/>
      <c r="J5654" s="120"/>
      <c r="K5654" s="72"/>
      <c r="L5654" s="53"/>
      <c r="M5654" s="101"/>
      <c r="N5654" s="74"/>
      <c r="O5654" s="102"/>
      <c r="P5654" s="102"/>
      <c r="Q5654" s="57"/>
      <c r="R5654" s="58"/>
      <c r="S5654" s="57"/>
      <c r="T5654" s="77"/>
    </row>
    <row r="5655">
      <c r="A5655" s="119"/>
      <c r="B5655" s="118"/>
      <c r="C5655" s="118"/>
      <c r="D5655" s="56"/>
      <c r="E5655" s="41"/>
      <c r="F5655" s="49"/>
      <c r="G5655" s="71"/>
      <c r="H5655" s="41"/>
      <c r="I5655" s="42"/>
      <c r="J5655" s="120"/>
      <c r="K5655" s="72"/>
      <c r="L5655" s="53"/>
      <c r="M5655" s="101"/>
      <c r="N5655" s="74"/>
      <c r="O5655" s="102"/>
      <c r="P5655" s="102"/>
      <c r="Q5655" s="57"/>
      <c r="R5655" s="58"/>
      <c r="S5655" s="57"/>
      <c r="T5655" s="77"/>
    </row>
    <row r="5656">
      <c r="A5656" s="119"/>
      <c r="B5656" s="118"/>
      <c r="C5656" s="118"/>
      <c r="D5656" s="56"/>
      <c r="E5656" s="41"/>
      <c r="F5656" s="49"/>
      <c r="G5656" s="71"/>
      <c r="H5656" s="41"/>
      <c r="I5656" s="42"/>
      <c r="J5656" s="120"/>
      <c r="K5656" s="72"/>
      <c r="L5656" s="53"/>
      <c r="M5656" s="101"/>
      <c r="N5656" s="74"/>
      <c r="O5656" s="102"/>
      <c r="P5656" s="102"/>
      <c r="Q5656" s="57"/>
      <c r="R5656" s="58"/>
      <c r="S5656" s="57"/>
      <c r="T5656" s="77"/>
    </row>
    <row r="5657">
      <c r="A5657" s="119"/>
      <c r="B5657" s="118"/>
      <c r="C5657" s="118"/>
      <c r="D5657" s="56"/>
      <c r="E5657" s="41"/>
      <c r="F5657" s="49"/>
      <c r="G5657" s="71"/>
      <c r="H5657" s="41"/>
      <c r="I5657" s="42"/>
      <c r="J5657" s="120"/>
      <c r="K5657" s="72"/>
      <c r="L5657" s="53"/>
      <c r="M5657" s="101"/>
      <c r="N5657" s="74"/>
      <c r="O5657" s="102"/>
      <c r="P5657" s="102"/>
      <c r="Q5657" s="57"/>
      <c r="R5657" s="58"/>
      <c r="S5657" s="57"/>
      <c r="T5657" s="77"/>
    </row>
    <row r="5658">
      <c r="A5658" s="119"/>
      <c r="B5658" s="118"/>
      <c r="C5658" s="118"/>
      <c r="D5658" s="56"/>
      <c r="E5658" s="41"/>
      <c r="F5658" s="49"/>
      <c r="G5658" s="71"/>
      <c r="H5658" s="41"/>
      <c r="I5658" s="42"/>
      <c r="J5658" s="120"/>
      <c r="K5658" s="72"/>
      <c r="L5658" s="53"/>
      <c r="M5658" s="101"/>
      <c r="N5658" s="74"/>
      <c r="O5658" s="102"/>
      <c r="P5658" s="102"/>
      <c r="Q5658" s="57"/>
      <c r="R5658" s="58"/>
      <c r="S5658" s="57"/>
      <c r="T5658" s="77"/>
    </row>
    <row r="5659">
      <c r="A5659" s="119"/>
      <c r="B5659" s="118"/>
      <c r="C5659" s="118"/>
      <c r="D5659" s="56"/>
      <c r="E5659" s="41"/>
      <c r="F5659" s="49"/>
      <c r="G5659" s="71"/>
      <c r="H5659" s="41"/>
      <c r="I5659" s="42"/>
      <c r="J5659" s="120"/>
      <c r="K5659" s="72"/>
      <c r="L5659" s="53"/>
      <c r="M5659" s="101"/>
      <c r="N5659" s="74"/>
      <c r="O5659" s="102"/>
      <c r="P5659" s="102"/>
      <c r="Q5659" s="57"/>
      <c r="R5659" s="58"/>
      <c r="S5659" s="57"/>
      <c r="T5659" s="77"/>
    </row>
    <row r="5660">
      <c r="A5660" s="119"/>
      <c r="B5660" s="118"/>
      <c r="C5660" s="118"/>
      <c r="D5660" s="56"/>
      <c r="E5660" s="41"/>
      <c r="F5660" s="49"/>
      <c r="G5660" s="71"/>
      <c r="H5660" s="41"/>
      <c r="I5660" s="42"/>
      <c r="J5660" s="120"/>
      <c r="K5660" s="72"/>
      <c r="L5660" s="53"/>
      <c r="M5660" s="101"/>
      <c r="N5660" s="74"/>
      <c r="O5660" s="102"/>
      <c r="P5660" s="102"/>
      <c r="Q5660" s="57"/>
      <c r="R5660" s="58"/>
      <c r="S5660" s="57"/>
      <c r="T5660" s="77"/>
    </row>
    <row r="5661">
      <c r="A5661" s="119"/>
      <c r="B5661" s="118"/>
      <c r="C5661" s="118"/>
      <c r="D5661" s="56"/>
      <c r="E5661" s="41"/>
      <c r="F5661" s="49"/>
      <c r="G5661" s="71"/>
      <c r="H5661" s="41"/>
      <c r="I5661" s="42"/>
      <c r="J5661" s="120"/>
      <c r="K5661" s="72"/>
      <c r="L5661" s="53"/>
      <c r="M5661" s="101"/>
      <c r="N5661" s="74"/>
      <c r="O5661" s="102"/>
      <c r="P5661" s="102"/>
      <c r="Q5661" s="57"/>
      <c r="R5661" s="58"/>
      <c r="S5661" s="57"/>
      <c r="T5661" s="77"/>
    </row>
    <row r="5662">
      <c r="A5662" s="119"/>
      <c r="B5662" s="118"/>
      <c r="C5662" s="118"/>
      <c r="D5662" s="56"/>
      <c r="E5662" s="41"/>
      <c r="F5662" s="49"/>
      <c r="G5662" s="71"/>
      <c r="H5662" s="41"/>
      <c r="I5662" s="42"/>
      <c r="J5662" s="120"/>
      <c r="K5662" s="72"/>
      <c r="L5662" s="53"/>
      <c r="M5662" s="101"/>
      <c r="N5662" s="74"/>
      <c r="O5662" s="102"/>
      <c r="P5662" s="102"/>
      <c r="Q5662" s="57"/>
      <c r="R5662" s="58"/>
      <c r="S5662" s="57"/>
      <c r="T5662" s="77"/>
    </row>
    <row r="5663">
      <c r="A5663" s="119"/>
      <c r="B5663" s="118"/>
      <c r="C5663" s="118"/>
      <c r="D5663" s="56"/>
      <c r="E5663" s="41"/>
      <c r="F5663" s="49"/>
      <c r="G5663" s="71"/>
      <c r="H5663" s="41"/>
      <c r="I5663" s="42"/>
      <c r="J5663" s="120"/>
      <c r="K5663" s="72"/>
      <c r="L5663" s="53"/>
      <c r="M5663" s="101"/>
      <c r="N5663" s="74"/>
      <c r="O5663" s="102"/>
      <c r="P5663" s="102"/>
      <c r="Q5663" s="57"/>
      <c r="R5663" s="58"/>
      <c r="S5663" s="57"/>
      <c r="T5663" s="77"/>
    </row>
    <row r="5664">
      <c r="A5664" s="119"/>
      <c r="B5664" s="118"/>
      <c r="C5664" s="118"/>
      <c r="D5664" s="56"/>
      <c r="E5664" s="41"/>
      <c r="F5664" s="49"/>
      <c r="G5664" s="71"/>
      <c r="H5664" s="41"/>
      <c r="I5664" s="42"/>
      <c r="J5664" s="120"/>
      <c r="K5664" s="72"/>
      <c r="L5664" s="53"/>
      <c r="M5664" s="101"/>
      <c r="N5664" s="74"/>
      <c r="O5664" s="102"/>
      <c r="P5664" s="102"/>
      <c r="Q5664" s="57"/>
      <c r="R5664" s="58"/>
      <c r="S5664" s="57"/>
      <c r="T5664" s="77"/>
    </row>
    <row r="5665">
      <c r="A5665" s="119"/>
      <c r="B5665" s="118"/>
      <c r="C5665" s="118"/>
      <c r="D5665" s="56"/>
      <c r="E5665" s="41"/>
      <c r="F5665" s="49"/>
      <c r="G5665" s="71"/>
      <c r="H5665" s="41"/>
      <c r="I5665" s="42"/>
      <c r="J5665" s="120"/>
      <c r="K5665" s="72"/>
      <c r="L5665" s="53"/>
      <c r="M5665" s="101"/>
      <c r="N5665" s="74"/>
      <c r="O5665" s="102"/>
      <c r="P5665" s="102"/>
      <c r="Q5665" s="57"/>
      <c r="R5665" s="58"/>
      <c r="S5665" s="57"/>
      <c r="T5665" s="77"/>
    </row>
    <row r="5666">
      <c r="A5666" s="119"/>
      <c r="B5666" s="118"/>
      <c r="C5666" s="118"/>
      <c r="D5666" s="56"/>
      <c r="E5666" s="41"/>
      <c r="F5666" s="49"/>
      <c r="G5666" s="71"/>
      <c r="H5666" s="41"/>
      <c r="I5666" s="42"/>
      <c r="J5666" s="120"/>
      <c r="K5666" s="72"/>
      <c r="L5666" s="53"/>
      <c r="M5666" s="101"/>
      <c r="N5666" s="74"/>
      <c r="O5666" s="102"/>
      <c r="P5666" s="102"/>
      <c r="Q5666" s="57"/>
      <c r="R5666" s="58"/>
      <c r="S5666" s="57"/>
      <c r="T5666" s="77"/>
    </row>
    <row r="5667">
      <c r="A5667" s="119"/>
      <c r="B5667" s="118"/>
      <c r="C5667" s="118"/>
      <c r="D5667" s="56"/>
      <c r="E5667" s="41"/>
      <c r="F5667" s="49"/>
      <c r="G5667" s="71"/>
      <c r="H5667" s="41"/>
      <c r="I5667" s="42"/>
      <c r="J5667" s="120"/>
      <c r="K5667" s="72"/>
      <c r="L5667" s="53"/>
      <c r="M5667" s="101"/>
      <c r="N5667" s="74"/>
      <c r="O5667" s="102"/>
      <c r="P5667" s="102"/>
      <c r="Q5667" s="57"/>
      <c r="R5667" s="58"/>
      <c r="S5667" s="57"/>
      <c r="T5667" s="77"/>
    </row>
    <row r="5668">
      <c r="A5668" s="119"/>
      <c r="B5668" s="118"/>
      <c r="C5668" s="118"/>
      <c r="D5668" s="56"/>
      <c r="E5668" s="41"/>
      <c r="F5668" s="49"/>
      <c r="G5668" s="71"/>
      <c r="H5668" s="41"/>
      <c r="I5668" s="42"/>
      <c r="J5668" s="120"/>
      <c r="K5668" s="72"/>
      <c r="L5668" s="53"/>
      <c r="M5668" s="101"/>
      <c r="N5668" s="74"/>
      <c r="O5668" s="102"/>
      <c r="P5668" s="102"/>
      <c r="Q5668" s="57"/>
      <c r="R5668" s="58"/>
      <c r="S5668" s="57"/>
      <c r="T5668" s="77"/>
    </row>
    <row r="5669">
      <c r="A5669" s="119"/>
      <c r="B5669" s="118"/>
      <c r="C5669" s="118"/>
      <c r="D5669" s="56"/>
      <c r="E5669" s="41"/>
      <c r="F5669" s="49"/>
      <c r="G5669" s="71"/>
      <c r="H5669" s="41"/>
      <c r="I5669" s="42"/>
      <c r="J5669" s="120"/>
      <c r="K5669" s="72"/>
      <c r="L5669" s="53"/>
      <c r="M5669" s="101"/>
      <c r="N5669" s="74"/>
      <c r="O5669" s="102"/>
      <c r="P5669" s="102"/>
      <c r="Q5669" s="57"/>
      <c r="R5669" s="58"/>
      <c r="S5669" s="57"/>
      <c r="T5669" s="77"/>
    </row>
    <row r="5670">
      <c r="A5670" s="119"/>
      <c r="B5670" s="118"/>
      <c r="C5670" s="118"/>
      <c r="D5670" s="56"/>
      <c r="E5670" s="41"/>
      <c r="F5670" s="49"/>
      <c r="G5670" s="71"/>
      <c r="H5670" s="41"/>
      <c r="I5670" s="42"/>
      <c r="J5670" s="120"/>
      <c r="K5670" s="72"/>
      <c r="L5670" s="53"/>
      <c r="M5670" s="101"/>
      <c r="N5670" s="74"/>
      <c r="O5670" s="102"/>
      <c r="P5670" s="102"/>
      <c r="Q5670" s="57"/>
      <c r="R5670" s="58"/>
      <c r="S5670" s="57"/>
      <c r="T5670" s="77"/>
    </row>
    <row r="5671">
      <c r="A5671" s="119"/>
      <c r="B5671" s="118"/>
      <c r="C5671" s="118"/>
      <c r="D5671" s="56"/>
      <c r="E5671" s="41"/>
      <c r="F5671" s="49"/>
      <c r="G5671" s="71"/>
      <c r="H5671" s="41"/>
      <c r="I5671" s="42"/>
      <c r="J5671" s="120"/>
      <c r="K5671" s="72"/>
      <c r="L5671" s="53"/>
      <c r="M5671" s="101"/>
      <c r="N5671" s="74"/>
      <c r="O5671" s="102"/>
      <c r="P5671" s="102"/>
      <c r="Q5671" s="57"/>
      <c r="R5671" s="58"/>
      <c r="S5671" s="57"/>
      <c r="T5671" s="77"/>
    </row>
    <row r="5672">
      <c r="A5672" s="119"/>
      <c r="B5672" s="118"/>
      <c r="C5672" s="118"/>
      <c r="D5672" s="56"/>
      <c r="E5672" s="41"/>
      <c r="F5672" s="49"/>
      <c r="G5672" s="71"/>
      <c r="H5672" s="41"/>
      <c r="I5672" s="42"/>
      <c r="J5672" s="120"/>
      <c r="K5672" s="72"/>
      <c r="L5672" s="53"/>
      <c r="M5672" s="101"/>
      <c r="N5672" s="74"/>
      <c r="O5672" s="102"/>
      <c r="P5672" s="102"/>
      <c r="Q5672" s="57"/>
      <c r="R5672" s="58"/>
      <c r="S5672" s="57"/>
      <c r="T5672" s="77"/>
    </row>
    <row r="5673">
      <c r="A5673" s="119"/>
      <c r="B5673" s="118"/>
      <c r="C5673" s="118"/>
      <c r="D5673" s="56"/>
      <c r="E5673" s="41"/>
      <c r="F5673" s="49"/>
      <c r="G5673" s="71"/>
      <c r="H5673" s="41"/>
      <c r="I5673" s="42"/>
      <c r="J5673" s="120"/>
      <c r="K5673" s="72"/>
      <c r="L5673" s="53"/>
      <c r="M5673" s="101"/>
      <c r="N5673" s="74"/>
      <c r="O5673" s="102"/>
      <c r="P5673" s="102"/>
      <c r="Q5673" s="57"/>
      <c r="R5673" s="58"/>
      <c r="S5673" s="57"/>
      <c r="T5673" s="77"/>
    </row>
    <row r="5674">
      <c r="A5674" s="119"/>
      <c r="B5674" s="118"/>
      <c r="C5674" s="118"/>
      <c r="D5674" s="56"/>
      <c r="E5674" s="41"/>
      <c r="F5674" s="49"/>
      <c r="G5674" s="71"/>
      <c r="H5674" s="41"/>
      <c r="I5674" s="42"/>
      <c r="J5674" s="120"/>
      <c r="K5674" s="72"/>
      <c r="L5674" s="53"/>
      <c r="M5674" s="101"/>
      <c r="N5674" s="74"/>
      <c r="O5674" s="102"/>
      <c r="P5674" s="102"/>
      <c r="Q5674" s="57"/>
      <c r="R5674" s="58"/>
      <c r="S5674" s="57"/>
      <c r="T5674" s="77"/>
    </row>
    <row r="5675">
      <c r="A5675" s="119"/>
      <c r="B5675" s="118"/>
      <c r="C5675" s="118"/>
      <c r="D5675" s="56"/>
      <c r="E5675" s="41"/>
      <c r="F5675" s="49"/>
      <c r="G5675" s="71"/>
      <c r="H5675" s="41"/>
      <c r="I5675" s="42"/>
      <c r="J5675" s="120"/>
      <c r="K5675" s="72"/>
      <c r="L5675" s="53"/>
      <c r="M5675" s="101"/>
      <c r="N5675" s="74"/>
      <c r="O5675" s="102"/>
      <c r="P5675" s="102"/>
      <c r="Q5675" s="57"/>
      <c r="R5675" s="58"/>
      <c r="S5675" s="57"/>
      <c r="T5675" s="77"/>
    </row>
    <row r="5676">
      <c r="A5676" s="119"/>
      <c r="B5676" s="118"/>
      <c r="C5676" s="118"/>
      <c r="D5676" s="56"/>
      <c r="E5676" s="41"/>
      <c r="F5676" s="49"/>
      <c r="G5676" s="71"/>
      <c r="H5676" s="41"/>
      <c r="I5676" s="42"/>
      <c r="J5676" s="120"/>
      <c r="K5676" s="72"/>
      <c r="L5676" s="53"/>
      <c r="M5676" s="101"/>
      <c r="N5676" s="74"/>
      <c r="O5676" s="102"/>
      <c r="P5676" s="102"/>
      <c r="Q5676" s="57"/>
      <c r="R5676" s="58"/>
      <c r="S5676" s="57"/>
      <c r="T5676" s="77"/>
    </row>
    <row r="5677">
      <c r="A5677" s="119"/>
      <c r="B5677" s="118"/>
      <c r="C5677" s="118"/>
      <c r="D5677" s="56"/>
      <c r="E5677" s="41"/>
      <c r="F5677" s="49"/>
      <c r="G5677" s="71"/>
      <c r="H5677" s="41"/>
      <c r="I5677" s="42"/>
      <c r="J5677" s="120"/>
      <c r="K5677" s="72"/>
      <c r="L5677" s="53"/>
      <c r="M5677" s="101"/>
      <c r="N5677" s="74"/>
      <c r="O5677" s="102"/>
      <c r="P5677" s="102"/>
      <c r="Q5677" s="57"/>
      <c r="R5677" s="58"/>
      <c r="S5677" s="57"/>
      <c r="T5677" s="77"/>
    </row>
    <row r="5678">
      <c r="A5678" s="119"/>
      <c r="B5678" s="118"/>
      <c r="C5678" s="118"/>
      <c r="D5678" s="56"/>
      <c r="E5678" s="41"/>
      <c r="F5678" s="49"/>
      <c r="G5678" s="71"/>
      <c r="H5678" s="41"/>
      <c r="I5678" s="42"/>
      <c r="J5678" s="120"/>
      <c r="K5678" s="72"/>
      <c r="L5678" s="53"/>
      <c r="M5678" s="101"/>
      <c r="N5678" s="74"/>
      <c r="O5678" s="102"/>
      <c r="P5678" s="102"/>
      <c r="Q5678" s="57"/>
      <c r="R5678" s="58"/>
      <c r="S5678" s="57"/>
      <c r="T5678" s="77"/>
    </row>
    <row r="5679">
      <c r="A5679" s="119"/>
      <c r="B5679" s="118"/>
      <c r="C5679" s="118"/>
      <c r="D5679" s="56"/>
      <c r="E5679" s="41"/>
      <c r="F5679" s="49"/>
      <c r="G5679" s="71"/>
      <c r="H5679" s="41"/>
      <c r="I5679" s="42"/>
      <c r="J5679" s="120"/>
      <c r="K5679" s="72"/>
      <c r="L5679" s="53"/>
      <c r="M5679" s="101"/>
      <c r="N5679" s="74"/>
      <c r="O5679" s="102"/>
      <c r="P5679" s="102"/>
      <c r="Q5679" s="57"/>
      <c r="R5679" s="58"/>
      <c r="S5679" s="57"/>
      <c r="T5679" s="77"/>
    </row>
    <row r="5680">
      <c r="A5680" s="119"/>
      <c r="B5680" s="118"/>
      <c r="C5680" s="118"/>
      <c r="D5680" s="56"/>
      <c r="E5680" s="41"/>
      <c r="F5680" s="49"/>
      <c r="G5680" s="71"/>
      <c r="H5680" s="41"/>
      <c r="I5680" s="42"/>
      <c r="J5680" s="120"/>
      <c r="K5680" s="72"/>
      <c r="L5680" s="53"/>
      <c r="M5680" s="101"/>
      <c r="N5680" s="74"/>
      <c r="O5680" s="102"/>
      <c r="P5680" s="102"/>
      <c r="Q5680" s="57"/>
      <c r="R5680" s="58"/>
      <c r="S5680" s="57"/>
      <c r="T5680" s="77"/>
    </row>
    <row r="5681">
      <c r="A5681" s="119"/>
      <c r="B5681" s="118"/>
      <c r="C5681" s="118"/>
      <c r="D5681" s="56"/>
      <c r="E5681" s="41"/>
      <c r="F5681" s="49"/>
      <c r="G5681" s="71"/>
      <c r="H5681" s="41"/>
      <c r="I5681" s="42"/>
      <c r="J5681" s="120"/>
      <c r="K5681" s="72"/>
      <c r="L5681" s="53"/>
      <c r="M5681" s="101"/>
      <c r="N5681" s="74"/>
      <c r="O5681" s="102"/>
      <c r="P5681" s="102"/>
      <c r="Q5681" s="57"/>
      <c r="R5681" s="58"/>
      <c r="S5681" s="57"/>
      <c r="T5681" s="77"/>
    </row>
    <row r="5682">
      <c r="A5682" s="119"/>
      <c r="B5682" s="118"/>
      <c r="C5682" s="118"/>
      <c r="D5682" s="56"/>
      <c r="E5682" s="41"/>
      <c r="F5682" s="49"/>
      <c r="G5682" s="71"/>
      <c r="H5682" s="41"/>
      <c r="I5682" s="42"/>
      <c r="J5682" s="120"/>
      <c r="K5682" s="72"/>
      <c r="L5682" s="53"/>
      <c r="M5682" s="101"/>
      <c r="N5682" s="74"/>
      <c r="O5682" s="102"/>
      <c r="P5682" s="102"/>
      <c r="Q5682" s="57"/>
      <c r="R5682" s="58"/>
      <c r="S5682" s="57"/>
      <c r="T5682" s="77"/>
    </row>
    <row r="5683">
      <c r="A5683" s="119"/>
      <c r="B5683" s="118"/>
      <c r="C5683" s="118"/>
      <c r="D5683" s="56"/>
      <c r="E5683" s="41"/>
      <c r="F5683" s="49"/>
      <c r="G5683" s="71"/>
      <c r="H5683" s="41"/>
      <c r="I5683" s="42"/>
      <c r="J5683" s="120"/>
      <c r="K5683" s="72"/>
      <c r="L5683" s="53"/>
      <c r="M5683" s="101"/>
      <c r="N5683" s="74"/>
      <c r="O5683" s="102"/>
      <c r="P5683" s="102"/>
      <c r="Q5683" s="57"/>
      <c r="R5683" s="58"/>
      <c r="S5683" s="57"/>
      <c r="T5683" s="77"/>
    </row>
    <row r="5684">
      <c r="A5684" s="119"/>
      <c r="B5684" s="118"/>
      <c r="C5684" s="118"/>
      <c r="D5684" s="56"/>
      <c r="E5684" s="41"/>
      <c r="F5684" s="49"/>
      <c r="G5684" s="71"/>
      <c r="H5684" s="41"/>
      <c r="I5684" s="42"/>
      <c r="J5684" s="120"/>
      <c r="K5684" s="72"/>
      <c r="L5684" s="53"/>
      <c r="M5684" s="101"/>
      <c r="N5684" s="74"/>
      <c r="O5684" s="102"/>
      <c r="P5684" s="102"/>
      <c r="Q5684" s="57"/>
      <c r="R5684" s="58"/>
      <c r="S5684" s="57"/>
      <c r="T5684" s="77"/>
    </row>
    <row r="5685">
      <c r="A5685" s="119"/>
      <c r="B5685" s="118"/>
      <c r="C5685" s="118"/>
      <c r="D5685" s="56"/>
      <c r="E5685" s="41"/>
      <c r="F5685" s="49"/>
      <c r="G5685" s="71"/>
      <c r="H5685" s="41"/>
      <c r="I5685" s="42"/>
      <c r="J5685" s="120"/>
      <c r="K5685" s="72"/>
      <c r="L5685" s="53"/>
      <c r="M5685" s="101"/>
      <c r="N5685" s="74"/>
      <c r="O5685" s="102"/>
      <c r="P5685" s="102"/>
      <c r="Q5685" s="57"/>
      <c r="R5685" s="58"/>
      <c r="S5685" s="57"/>
      <c r="T5685" s="77"/>
    </row>
    <row r="5686">
      <c r="A5686" s="119"/>
      <c r="B5686" s="118"/>
      <c r="C5686" s="118"/>
      <c r="D5686" s="56"/>
      <c r="E5686" s="41"/>
      <c r="F5686" s="49"/>
      <c r="G5686" s="71"/>
      <c r="H5686" s="41"/>
      <c r="I5686" s="42"/>
      <c r="J5686" s="120"/>
      <c r="K5686" s="72"/>
      <c r="L5686" s="53"/>
      <c r="M5686" s="101"/>
      <c r="N5686" s="74"/>
      <c r="O5686" s="102"/>
      <c r="P5686" s="102"/>
      <c r="Q5686" s="57"/>
      <c r="R5686" s="58"/>
      <c r="S5686" s="57"/>
      <c r="T5686" s="77"/>
    </row>
    <row r="5687">
      <c r="A5687" s="119"/>
      <c r="B5687" s="118"/>
      <c r="C5687" s="118"/>
      <c r="D5687" s="56"/>
      <c r="E5687" s="41"/>
      <c r="F5687" s="49"/>
      <c r="G5687" s="71"/>
      <c r="H5687" s="41"/>
      <c r="I5687" s="42"/>
      <c r="J5687" s="120"/>
      <c r="K5687" s="72"/>
      <c r="L5687" s="53"/>
      <c r="M5687" s="101"/>
      <c r="N5687" s="74"/>
      <c r="O5687" s="102"/>
      <c r="P5687" s="102"/>
      <c r="Q5687" s="57"/>
      <c r="R5687" s="58"/>
      <c r="S5687" s="57"/>
      <c r="T5687" s="77"/>
    </row>
    <row r="5688">
      <c r="A5688" s="119"/>
      <c r="B5688" s="118"/>
      <c r="C5688" s="118"/>
      <c r="D5688" s="56"/>
      <c r="E5688" s="41"/>
      <c r="F5688" s="49"/>
      <c r="G5688" s="71"/>
      <c r="H5688" s="41"/>
      <c r="I5688" s="42"/>
      <c r="J5688" s="120"/>
      <c r="K5688" s="72"/>
      <c r="L5688" s="53"/>
      <c r="M5688" s="101"/>
      <c r="N5688" s="74"/>
      <c r="O5688" s="102"/>
      <c r="P5688" s="102"/>
      <c r="Q5688" s="57"/>
      <c r="R5688" s="58"/>
      <c r="S5688" s="57"/>
      <c r="T5688" s="77"/>
    </row>
    <row r="5689">
      <c r="A5689" s="119"/>
      <c r="B5689" s="118"/>
      <c r="C5689" s="118"/>
      <c r="D5689" s="56"/>
      <c r="E5689" s="41"/>
      <c r="F5689" s="49"/>
      <c r="G5689" s="71"/>
      <c r="H5689" s="41"/>
      <c r="I5689" s="42"/>
      <c r="J5689" s="120"/>
      <c r="K5689" s="72"/>
      <c r="L5689" s="53"/>
      <c r="M5689" s="101"/>
      <c r="N5689" s="74"/>
      <c r="O5689" s="102"/>
      <c r="P5689" s="102"/>
      <c r="Q5689" s="57"/>
      <c r="R5689" s="58"/>
      <c r="S5689" s="57"/>
      <c r="T5689" s="77"/>
    </row>
    <row r="5690">
      <c r="A5690" s="119"/>
      <c r="B5690" s="118"/>
      <c r="C5690" s="118"/>
      <c r="D5690" s="56"/>
      <c r="E5690" s="41"/>
      <c r="F5690" s="49"/>
      <c r="G5690" s="71"/>
      <c r="H5690" s="41"/>
      <c r="I5690" s="42"/>
      <c r="J5690" s="120"/>
      <c r="K5690" s="72"/>
      <c r="L5690" s="53"/>
      <c r="M5690" s="101"/>
      <c r="N5690" s="74"/>
      <c r="O5690" s="102"/>
      <c r="P5690" s="102"/>
      <c r="Q5690" s="57"/>
      <c r="R5690" s="58"/>
      <c r="S5690" s="57"/>
      <c r="T5690" s="77"/>
    </row>
    <row r="5691">
      <c r="A5691" s="119"/>
      <c r="B5691" s="118"/>
      <c r="C5691" s="118"/>
      <c r="D5691" s="56"/>
      <c r="E5691" s="41"/>
      <c r="F5691" s="49"/>
      <c r="G5691" s="71"/>
      <c r="H5691" s="41"/>
      <c r="I5691" s="42"/>
      <c r="J5691" s="120"/>
      <c r="K5691" s="72"/>
      <c r="L5691" s="53"/>
      <c r="M5691" s="101"/>
      <c r="N5691" s="74"/>
      <c r="O5691" s="102"/>
      <c r="P5691" s="102"/>
      <c r="Q5691" s="57"/>
      <c r="R5691" s="58"/>
      <c r="S5691" s="57"/>
      <c r="T5691" s="77"/>
    </row>
    <row r="5692">
      <c r="A5692" s="119"/>
      <c r="B5692" s="118"/>
      <c r="C5692" s="118"/>
      <c r="D5692" s="56"/>
      <c r="E5692" s="41"/>
      <c r="F5692" s="49"/>
      <c r="G5692" s="71"/>
      <c r="H5692" s="41"/>
      <c r="I5692" s="42"/>
      <c r="J5692" s="120"/>
      <c r="K5692" s="72"/>
      <c r="L5692" s="53"/>
      <c r="M5692" s="101"/>
      <c r="N5692" s="74"/>
      <c r="O5692" s="102"/>
      <c r="P5692" s="102"/>
      <c r="Q5692" s="57"/>
      <c r="R5692" s="58"/>
      <c r="S5692" s="57"/>
      <c r="T5692" s="77"/>
    </row>
    <row r="5693">
      <c r="A5693" s="119"/>
      <c r="B5693" s="118"/>
      <c r="C5693" s="118"/>
      <c r="D5693" s="56"/>
      <c r="E5693" s="41"/>
      <c r="F5693" s="49"/>
      <c r="G5693" s="71"/>
      <c r="H5693" s="41"/>
      <c r="I5693" s="42"/>
      <c r="J5693" s="120"/>
      <c r="K5693" s="72"/>
      <c r="L5693" s="53"/>
      <c r="M5693" s="101"/>
      <c r="N5693" s="74"/>
      <c r="O5693" s="102"/>
      <c r="P5693" s="102"/>
      <c r="Q5693" s="57"/>
      <c r="R5693" s="58"/>
      <c r="S5693" s="57"/>
      <c r="T5693" s="77"/>
    </row>
    <row r="5694">
      <c r="A5694" s="119"/>
      <c r="B5694" s="118"/>
      <c r="C5694" s="118"/>
      <c r="D5694" s="56"/>
      <c r="E5694" s="41"/>
      <c r="F5694" s="49"/>
      <c r="G5694" s="71"/>
      <c r="H5694" s="41"/>
      <c r="I5694" s="42"/>
      <c r="J5694" s="120"/>
      <c r="K5694" s="72"/>
      <c r="L5694" s="53"/>
      <c r="M5694" s="101"/>
      <c r="N5694" s="74"/>
      <c r="O5694" s="102"/>
      <c r="P5694" s="102"/>
      <c r="Q5694" s="57"/>
      <c r="R5694" s="58"/>
      <c r="S5694" s="57"/>
      <c r="T5694" s="77"/>
    </row>
    <row r="5695">
      <c r="A5695" s="119"/>
      <c r="B5695" s="118"/>
      <c r="C5695" s="118"/>
      <c r="D5695" s="56"/>
      <c r="E5695" s="41"/>
      <c r="F5695" s="49"/>
      <c r="G5695" s="71"/>
      <c r="H5695" s="41"/>
      <c r="I5695" s="42"/>
      <c r="J5695" s="120"/>
      <c r="K5695" s="72"/>
      <c r="L5695" s="53"/>
      <c r="M5695" s="101"/>
      <c r="N5695" s="74"/>
      <c r="O5695" s="102"/>
      <c r="P5695" s="102"/>
      <c r="Q5695" s="57"/>
      <c r="R5695" s="58"/>
      <c r="S5695" s="57"/>
      <c r="T5695" s="77"/>
    </row>
    <row r="5696">
      <c r="A5696" s="119"/>
      <c r="B5696" s="118"/>
      <c r="C5696" s="118"/>
      <c r="D5696" s="56"/>
      <c r="E5696" s="41"/>
      <c r="F5696" s="49"/>
      <c r="G5696" s="71"/>
      <c r="H5696" s="41"/>
      <c r="I5696" s="42"/>
      <c r="J5696" s="120"/>
      <c r="K5696" s="72"/>
      <c r="L5696" s="53"/>
      <c r="M5696" s="101"/>
      <c r="N5696" s="74"/>
      <c r="O5696" s="102"/>
      <c r="P5696" s="102"/>
      <c r="Q5696" s="57"/>
      <c r="R5696" s="58"/>
      <c r="S5696" s="57"/>
      <c r="T5696" s="77"/>
    </row>
    <row r="5697">
      <c r="A5697" s="119"/>
      <c r="B5697" s="118"/>
      <c r="C5697" s="118"/>
      <c r="D5697" s="56"/>
      <c r="E5697" s="41"/>
      <c r="F5697" s="49"/>
      <c r="G5697" s="71"/>
      <c r="H5697" s="41"/>
      <c r="I5697" s="42"/>
      <c r="J5697" s="120"/>
      <c r="K5697" s="72"/>
      <c r="L5697" s="53"/>
      <c r="M5697" s="101"/>
      <c r="N5697" s="74"/>
      <c r="O5697" s="102"/>
      <c r="P5697" s="102"/>
      <c r="Q5697" s="57"/>
      <c r="R5697" s="58"/>
      <c r="S5697" s="57"/>
      <c r="T5697" s="77"/>
    </row>
    <row r="5698">
      <c r="A5698" s="119"/>
      <c r="B5698" s="118"/>
      <c r="C5698" s="118"/>
      <c r="D5698" s="56"/>
      <c r="E5698" s="41"/>
      <c r="F5698" s="49"/>
      <c r="G5698" s="71"/>
      <c r="H5698" s="41"/>
      <c r="I5698" s="42"/>
      <c r="J5698" s="120"/>
      <c r="K5698" s="72"/>
      <c r="L5698" s="53"/>
      <c r="M5698" s="101"/>
      <c r="N5698" s="74"/>
      <c r="O5698" s="102"/>
      <c r="P5698" s="102"/>
      <c r="Q5698" s="57"/>
      <c r="R5698" s="58"/>
      <c r="S5698" s="57"/>
      <c r="T5698" s="77"/>
    </row>
    <row r="5699">
      <c r="A5699" s="119"/>
      <c r="B5699" s="118"/>
      <c r="C5699" s="118"/>
      <c r="D5699" s="56"/>
      <c r="E5699" s="41"/>
      <c r="F5699" s="49"/>
      <c r="G5699" s="71"/>
      <c r="H5699" s="41"/>
      <c r="I5699" s="42"/>
      <c r="J5699" s="120"/>
      <c r="K5699" s="72"/>
      <c r="L5699" s="53"/>
      <c r="M5699" s="101"/>
      <c r="N5699" s="74"/>
      <c r="O5699" s="102"/>
      <c r="P5699" s="102"/>
      <c r="Q5699" s="57"/>
      <c r="R5699" s="58"/>
      <c r="S5699" s="57"/>
      <c r="T5699" s="77"/>
    </row>
    <row r="5700">
      <c r="A5700" s="119"/>
      <c r="B5700" s="118"/>
      <c r="C5700" s="118"/>
      <c r="D5700" s="56"/>
      <c r="E5700" s="41"/>
      <c r="F5700" s="49"/>
      <c r="G5700" s="71"/>
      <c r="H5700" s="41"/>
      <c r="I5700" s="42"/>
      <c r="J5700" s="120"/>
      <c r="K5700" s="72"/>
      <c r="L5700" s="53"/>
      <c r="M5700" s="101"/>
      <c r="N5700" s="74"/>
      <c r="O5700" s="102"/>
      <c r="P5700" s="102"/>
      <c r="Q5700" s="57"/>
      <c r="R5700" s="58"/>
      <c r="S5700" s="57"/>
      <c r="T5700" s="77"/>
    </row>
    <row r="5701">
      <c r="A5701" s="119"/>
      <c r="B5701" s="118"/>
      <c r="C5701" s="118"/>
      <c r="D5701" s="56"/>
      <c r="E5701" s="41"/>
      <c r="F5701" s="49"/>
      <c r="G5701" s="71"/>
      <c r="H5701" s="41"/>
      <c r="I5701" s="42"/>
      <c r="J5701" s="120"/>
      <c r="K5701" s="72"/>
      <c r="L5701" s="53"/>
      <c r="M5701" s="101"/>
      <c r="N5701" s="74"/>
      <c r="O5701" s="102"/>
      <c r="P5701" s="102"/>
      <c r="Q5701" s="57"/>
      <c r="R5701" s="58"/>
      <c r="S5701" s="57"/>
      <c r="T5701" s="77"/>
    </row>
    <row r="5702">
      <c r="A5702" s="119"/>
      <c r="B5702" s="118"/>
      <c r="C5702" s="118"/>
      <c r="D5702" s="56"/>
      <c r="E5702" s="41"/>
      <c r="F5702" s="49"/>
      <c r="G5702" s="71"/>
      <c r="H5702" s="41"/>
      <c r="I5702" s="42"/>
      <c r="J5702" s="120"/>
      <c r="K5702" s="72"/>
      <c r="L5702" s="53"/>
      <c r="M5702" s="101"/>
      <c r="N5702" s="74"/>
      <c r="O5702" s="102"/>
      <c r="P5702" s="102"/>
      <c r="Q5702" s="57"/>
      <c r="R5702" s="58"/>
      <c r="S5702" s="57"/>
      <c r="T5702" s="77"/>
    </row>
    <row r="5703">
      <c r="A5703" s="119"/>
      <c r="B5703" s="118"/>
      <c r="C5703" s="118"/>
      <c r="D5703" s="56"/>
      <c r="E5703" s="41"/>
      <c r="F5703" s="49"/>
      <c r="G5703" s="71"/>
      <c r="H5703" s="41"/>
      <c r="I5703" s="42"/>
      <c r="J5703" s="120"/>
      <c r="K5703" s="72"/>
      <c r="L5703" s="53"/>
      <c r="M5703" s="101"/>
      <c r="N5703" s="74"/>
      <c r="O5703" s="102"/>
      <c r="P5703" s="102"/>
      <c r="Q5703" s="57"/>
      <c r="R5703" s="58"/>
      <c r="S5703" s="57"/>
      <c r="T5703" s="77"/>
    </row>
    <row r="5704">
      <c r="A5704" s="119"/>
      <c r="B5704" s="118"/>
      <c r="C5704" s="118"/>
      <c r="D5704" s="56"/>
      <c r="E5704" s="41"/>
      <c r="F5704" s="49"/>
      <c r="G5704" s="71"/>
      <c r="H5704" s="41"/>
      <c r="I5704" s="42"/>
      <c r="J5704" s="120"/>
      <c r="K5704" s="72"/>
      <c r="L5704" s="53"/>
      <c r="M5704" s="101"/>
      <c r="N5704" s="74"/>
      <c r="O5704" s="102"/>
      <c r="P5704" s="102"/>
      <c r="Q5704" s="57"/>
      <c r="R5704" s="58"/>
      <c r="S5704" s="57"/>
      <c r="T5704" s="77"/>
    </row>
    <row r="5705">
      <c r="A5705" s="119"/>
      <c r="B5705" s="118"/>
      <c r="C5705" s="118"/>
      <c r="D5705" s="56"/>
      <c r="E5705" s="41"/>
      <c r="F5705" s="49"/>
      <c r="G5705" s="71"/>
      <c r="H5705" s="41"/>
      <c r="I5705" s="42"/>
      <c r="J5705" s="120"/>
      <c r="K5705" s="72"/>
      <c r="L5705" s="53"/>
      <c r="M5705" s="101"/>
      <c r="N5705" s="74"/>
      <c r="O5705" s="102"/>
      <c r="P5705" s="102"/>
      <c r="Q5705" s="57"/>
      <c r="R5705" s="58"/>
      <c r="S5705" s="57"/>
      <c r="T5705" s="77"/>
    </row>
    <row r="5706">
      <c r="A5706" s="119"/>
      <c r="B5706" s="118"/>
      <c r="C5706" s="118"/>
      <c r="D5706" s="56"/>
      <c r="E5706" s="41"/>
      <c r="F5706" s="49"/>
      <c r="G5706" s="71"/>
      <c r="H5706" s="41"/>
      <c r="I5706" s="42"/>
      <c r="J5706" s="120"/>
      <c r="K5706" s="72"/>
      <c r="L5706" s="53"/>
      <c r="M5706" s="101"/>
      <c r="N5706" s="74"/>
      <c r="O5706" s="102"/>
      <c r="P5706" s="102"/>
      <c r="Q5706" s="57"/>
      <c r="R5706" s="58"/>
      <c r="S5706" s="57"/>
      <c r="T5706" s="77"/>
    </row>
    <row r="5707">
      <c r="A5707" s="119"/>
      <c r="B5707" s="118"/>
      <c r="C5707" s="118"/>
      <c r="D5707" s="56"/>
      <c r="E5707" s="41"/>
      <c r="F5707" s="49"/>
      <c r="G5707" s="71"/>
      <c r="H5707" s="41"/>
      <c r="I5707" s="42"/>
      <c r="J5707" s="120"/>
      <c r="K5707" s="72"/>
      <c r="L5707" s="53"/>
      <c r="M5707" s="101"/>
      <c r="N5707" s="74"/>
      <c r="O5707" s="102"/>
      <c r="P5707" s="102"/>
      <c r="Q5707" s="57"/>
      <c r="R5707" s="58"/>
      <c r="S5707" s="57"/>
      <c r="T5707" s="77"/>
    </row>
    <row r="5708">
      <c r="A5708" s="119"/>
      <c r="B5708" s="118"/>
      <c r="C5708" s="118"/>
      <c r="D5708" s="56"/>
      <c r="E5708" s="41"/>
      <c r="F5708" s="49"/>
      <c r="G5708" s="71"/>
      <c r="H5708" s="41"/>
      <c r="I5708" s="42"/>
      <c r="J5708" s="120"/>
      <c r="K5708" s="72"/>
      <c r="L5708" s="53"/>
      <c r="M5708" s="101"/>
      <c r="N5708" s="74"/>
      <c r="O5708" s="102"/>
      <c r="P5708" s="102"/>
      <c r="Q5708" s="57"/>
      <c r="R5708" s="58"/>
      <c r="S5708" s="57"/>
      <c r="T5708" s="77"/>
    </row>
    <row r="5709">
      <c r="A5709" s="119"/>
      <c r="B5709" s="118"/>
      <c r="C5709" s="118"/>
      <c r="D5709" s="56"/>
      <c r="E5709" s="41"/>
      <c r="F5709" s="49"/>
      <c r="G5709" s="71"/>
      <c r="H5709" s="41"/>
      <c r="I5709" s="42"/>
      <c r="J5709" s="120"/>
      <c r="K5709" s="72"/>
      <c r="L5709" s="53"/>
      <c r="M5709" s="101"/>
      <c r="N5709" s="74"/>
      <c r="O5709" s="102"/>
      <c r="P5709" s="102"/>
      <c r="Q5709" s="57"/>
      <c r="R5709" s="58"/>
      <c r="S5709" s="57"/>
      <c r="T5709" s="77"/>
    </row>
    <row r="5710">
      <c r="A5710" s="119"/>
      <c r="B5710" s="118"/>
      <c r="C5710" s="118"/>
      <c r="D5710" s="56"/>
      <c r="E5710" s="41"/>
      <c r="F5710" s="49"/>
      <c r="G5710" s="71"/>
      <c r="H5710" s="41"/>
      <c r="I5710" s="42"/>
      <c r="J5710" s="120"/>
      <c r="K5710" s="72"/>
      <c r="L5710" s="53"/>
      <c r="M5710" s="101"/>
      <c r="N5710" s="74"/>
      <c r="O5710" s="102"/>
      <c r="P5710" s="102"/>
      <c r="Q5710" s="57"/>
      <c r="R5710" s="58"/>
      <c r="S5710" s="57"/>
      <c r="T5710" s="77"/>
    </row>
    <row r="5711">
      <c r="A5711" s="119"/>
      <c r="B5711" s="118"/>
      <c r="C5711" s="118"/>
      <c r="D5711" s="56"/>
      <c r="E5711" s="41"/>
      <c r="F5711" s="49"/>
      <c r="G5711" s="71"/>
      <c r="H5711" s="41"/>
      <c r="I5711" s="42"/>
      <c r="J5711" s="120"/>
      <c r="K5711" s="72"/>
      <c r="L5711" s="53"/>
      <c r="M5711" s="101"/>
      <c r="N5711" s="74"/>
      <c r="O5711" s="102"/>
      <c r="P5711" s="102"/>
      <c r="Q5711" s="57"/>
      <c r="R5711" s="58"/>
      <c r="S5711" s="57"/>
      <c r="T5711" s="77"/>
    </row>
    <row r="5712">
      <c r="A5712" s="119"/>
      <c r="B5712" s="118"/>
      <c r="C5712" s="118"/>
      <c r="D5712" s="56"/>
      <c r="E5712" s="41"/>
      <c r="F5712" s="49"/>
      <c r="G5712" s="71"/>
      <c r="H5712" s="41"/>
      <c r="I5712" s="42"/>
      <c r="J5712" s="120"/>
      <c r="K5712" s="72"/>
      <c r="L5712" s="53"/>
      <c r="M5712" s="101"/>
      <c r="N5712" s="74"/>
      <c r="O5712" s="102"/>
      <c r="P5712" s="102"/>
      <c r="Q5712" s="57"/>
      <c r="R5712" s="58"/>
      <c r="S5712" s="57"/>
      <c r="T5712" s="77"/>
    </row>
    <row r="5713">
      <c r="A5713" s="119"/>
      <c r="B5713" s="118"/>
      <c r="C5713" s="118"/>
      <c r="D5713" s="56"/>
      <c r="E5713" s="41"/>
      <c r="F5713" s="49"/>
      <c r="G5713" s="71"/>
      <c r="H5713" s="41"/>
      <c r="I5713" s="42"/>
      <c r="J5713" s="120"/>
      <c r="K5713" s="72"/>
      <c r="L5713" s="53"/>
      <c r="M5713" s="101"/>
      <c r="N5713" s="74"/>
      <c r="O5713" s="102"/>
      <c r="P5713" s="102"/>
      <c r="Q5713" s="57"/>
      <c r="R5713" s="58"/>
      <c r="S5713" s="57"/>
      <c r="T5713" s="77"/>
    </row>
    <row r="5714">
      <c r="A5714" s="119"/>
      <c r="B5714" s="118"/>
      <c r="C5714" s="118"/>
      <c r="D5714" s="56"/>
      <c r="E5714" s="41"/>
      <c r="F5714" s="49"/>
      <c r="G5714" s="71"/>
      <c r="H5714" s="41"/>
      <c r="I5714" s="42"/>
      <c r="J5714" s="120"/>
      <c r="K5714" s="72"/>
      <c r="L5714" s="53"/>
      <c r="M5714" s="101"/>
      <c r="N5714" s="74"/>
      <c r="O5714" s="102"/>
      <c r="P5714" s="102"/>
      <c r="Q5714" s="57"/>
      <c r="R5714" s="58"/>
      <c r="S5714" s="57"/>
      <c r="T5714" s="77"/>
    </row>
    <row r="5715">
      <c r="A5715" s="119"/>
      <c r="B5715" s="118"/>
      <c r="C5715" s="118"/>
      <c r="D5715" s="56"/>
      <c r="E5715" s="41"/>
      <c r="F5715" s="49"/>
      <c r="G5715" s="71"/>
      <c r="H5715" s="41"/>
      <c r="I5715" s="42"/>
      <c r="J5715" s="120"/>
      <c r="K5715" s="72"/>
      <c r="L5715" s="53"/>
      <c r="M5715" s="101"/>
      <c r="N5715" s="74"/>
      <c r="O5715" s="102"/>
      <c r="P5715" s="102"/>
      <c r="Q5715" s="57"/>
      <c r="R5715" s="58"/>
      <c r="S5715" s="57"/>
      <c r="T5715" s="77"/>
    </row>
    <row r="5716">
      <c r="A5716" s="119"/>
      <c r="B5716" s="118"/>
      <c r="C5716" s="118"/>
      <c r="D5716" s="56"/>
      <c r="E5716" s="41"/>
      <c r="F5716" s="49"/>
      <c r="G5716" s="71"/>
      <c r="H5716" s="41"/>
      <c r="I5716" s="42"/>
      <c r="J5716" s="120"/>
      <c r="K5716" s="72"/>
      <c r="L5716" s="53"/>
      <c r="M5716" s="101"/>
      <c r="N5716" s="74"/>
      <c r="O5716" s="102"/>
      <c r="P5716" s="102"/>
      <c r="Q5716" s="57"/>
      <c r="R5716" s="58"/>
      <c r="S5716" s="57"/>
      <c r="T5716" s="77"/>
    </row>
    <row r="5717">
      <c r="A5717" s="119"/>
      <c r="B5717" s="118"/>
      <c r="C5717" s="118"/>
      <c r="D5717" s="56"/>
      <c r="E5717" s="41"/>
      <c r="F5717" s="49"/>
      <c r="G5717" s="71"/>
      <c r="H5717" s="41"/>
      <c r="I5717" s="42"/>
      <c r="J5717" s="120"/>
      <c r="K5717" s="72"/>
      <c r="L5717" s="53"/>
      <c r="M5717" s="101"/>
      <c r="N5717" s="74"/>
      <c r="O5717" s="102"/>
      <c r="P5717" s="102"/>
      <c r="Q5717" s="57"/>
      <c r="R5717" s="58"/>
      <c r="S5717" s="57"/>
      <c r="T5717" s="77"/>
    </row>
    <row r="5718">
      <c r="A5718" s="119"/>
      <c r="B5718" s="118"/>
      <c r="C5718" s="118"/>
      <c r="D5718" s="56"/>
      <c r="E5718" s="41"/>
      <c r="F5718" s="49"/>
      <c r="G5718" s="71"/>
      <c r="H5718" s="41"/>
      <c r="I5718" s="42"/>
      <c r="J5718" s="120"/>
      <c r="K5718" s="72"/>
      <c r="L5718" s="53"/>
      <c r="M5718" s="101"/>
      <c r="N5718" s="74"/>
      <c r="O5718" s="102"/>
      <c r="P5718" s="102"/>
      <c r="Q5718" s="57"/>
      <c r="R5718" s="58"/>
      <c r="S5718" s="57"/>
      <c r="T5718" s="77"/>
    </row>
    <row r="5719">
      <c r="A5719" s="119"/>
      <c r="B5719" s="118"/>
      <c r="C5719" s="118"/>
      <c r="D5719" s="56"/>
      <c r="E5719" s="41"/>
      <c r="F5719" s="49"/>
      <c r="G5719" s="71"/>
      <c r="H5719" s="41"/>
      <c r="I5719" s="42"/>
      <c r="J5719" s="120"/>
      <c r="K5719" s="72"/>
      <c r="L5719" s="53"/>
      <c r="M5719" s="101"/>
      <c r="N5719" s="74"/>
      <c r="O5719" s="102"/>
      <c r="P5719" s="102"/>
      <c r="Q5719" s="57"/>
      <c r="R5719" s="58"/>
      <c r="S5719" s="57"/>
      <c r="T5719" s="77"/>
    </row>
    <row r="5720">
      <c r="A5720" s="119"/>
      <c r="B5720" s="118"/>
      <c r="C5720" s="118"/>
      <c r="D5720" s="56"/>
      <c r="E5720" s="41"/>
      <c r="F5720" s="49"/>
      <c r="G5720" s="71"/>
      <c r="H5720" s="41"/>
      <c r="I5720" s="42"/>
      <c r="J5720" s="120"/>
      <c r="K5720" s="72"/>
      <c r="L5720" s="53"/>
      <c r="M5720" s="101"/>
      <c r="N5720" s="74"/>
      <c r="O5720" s="102"/>
      <c r="P5720" s="102"/>
      <c r="Q5720" s="57"/>
      <c r="R5720" s="58"/>
      <c r="S5720" s="57"/>
      <c r="T5720" s="77"/>
    </row>
    <row r="5721">
      <c r="A5721" s="119"/>
      <c r="B5721" s="118"/>
      <c r="C5721" s="118"/>
      <c r="D5721" s="56"/>
      <c r="E5721" s="41"/>
      <c r="F5721" s="49"/>
      <c r="G5721" s="71"/>
      <c r="H5721" s="41"/>
      <c r="I5721" s="42"/>
      <c r="J5721" s="120"/>
      <c r="K5721" s="72"/>
      <c r="L5721" s="53"/>
      <c r="M5721" s="101"/>
      <c r="N5721" s="74"/>
      <c r="O5721" s="102"/>
      <c r="P5721" s="102"/>
      <c r="Q5721" s="57"/>
      <c r="R5721" s="58"/>
      <c r="S5721" s="57"/>
      <c r="T5721" s="77"/>
    </row>
    <row r="5722">
      <c r="A5722" s="119"/>
      <c r="B5722" s="118"/>
      <c r="C5722" s="118"/>
      <c r="D5722" s="56"/>
      <c r="E5722" s="41"/>
      <c r="F5722" s="49"/>
      <c r="G5722" s="71"/>
      <c r="H5722" s="41"/>
      <c r="I5722" s="42"/>
      <c r="J5722" s="120"/>
      <c r="K5722" s="72"/>
      <c r="L5722" s="53"/>
      <c r="M5722" s="101"/>
      <c r="N5722" s="74"/>
      <c r="O5722" s="102"/>
      <c r="P5722" s="102"/>
      <c r="Q5722" s="57"/>
      <c r="R5722" s="58"/>
      <c r="S5722" s="57"/>
      <c r="T5722" s="77"/>
    </row>
    <row r="5723">
      <c r="A5723" s="119"/>
      <c r="B5723" s="118"/>
      <c r="C5723" s="118"/>
      <c r="D5723" s="56"/>
      <c r="E5723" s="41"/>
      <c r="F5723" s="49"/>
      <c r="G5723" s="71"/>
      <c r="H5723" s="41"/>
      <c r="I5723" s="42"/>
      <c r="J5723" s="120"/>
      <c r="K5723" s="72"/>
      <c r="L5723" s="53"/>
      <c r="M5723" s="101"/>
      <c r="N5723" s="74"/>
      <c r="O5723" s="102"/>
      <c r="P5723" s="102"/>
      <c r="Q5723" s="57"/>
      <c r="R5723" s="58"/>
      <c r="S5723" s="57"/>
      <c r="T5723" s="77"/>
    </row>
    <row r="5724">
      <c r="A5724" s="119"/>
      <c r="B5724" s="118"/>
      <c r="C5724" s="118"/>
      <c r="D5724" s="56"/>
      <c r="E5724" s="41"/>
      <c r="F5724" s="49"/>
      <c r="G5724" s="71"/>
      <c r="H5724" s="41"/>
      <c r="I5724" s="42"/>
      <c r="J5724" s="120"/>
      <c r="K5724" s="72"/>
      <c r="L5724" s="53"/>
      <c r="M5724" s="101"/>
      <c r="N5724" s="74"/>
      <c r="O5724" s="102"/>
      <c r="P5724" s="102"/>
      <c r="Q5724" s="57"/>
      <c r="R5724" s="58"/>
      <c r="S5724" s="57"/>
      <c r="T5724" s="77"/>
    </row>
    <row r="5725">
      <c r="A5725" s="119"/>
      <c r="B5725" s="118"/>
      <c r="C5725" s="118"/>
      <c r="D5725" s="56"/>
      <c r="E5725" s="41"/>
      <c r="F5725" s="49"/>
      <c r="G5725" s="71"/>
      <c r="H5725" s="41"/>
      <c r="I5725" s="42"/>
      <c r="J5725" s="120"/>
      <c r="K5725" s="72"/>
      <c r="L5725" s="53"/>
      <c r="M5725" s="101"/>
      <c r="N5725" s="74"/>
      <c r="O5725" s="102"/>
      <c r="P5725" s="102"/>
      <c r="Q5725" s="57"/>
      <c r="R5725" s="58"/>
      <c r="S5725" s="57"/>
      <c r="T5725" s="77"/>
    </row>
    <row r="5726">
      <c r="A5726" s="119"/>
      <c r="B5726" s="118"/>
      <c r="C5726" s="118"/>
      <c r="D5726" s="56"/>
      <c r="E5726" s="41"/>
      <c r="F5726" s="49"/>
      <c r="G5726" s="71"/>
      <c r="H5726" s="41"/>
      <c r="I5726" s="42"/>
      <c r="J5726" s="120"/>
      <c r="K5726" s="72"/>
      <c r="L5726" s="53"/>
      <c r="M5726" s="101"/>
      <c r="N5726" s="74"/>
      <c r="O5726" s="102"/>
      <c r="P5726" s="102"/>
      <c r="Q5726" s="57"/>
      <c r="R5726" s="58"/>
      <c r="S5726" s="57"/>
      <c r="T5726" s="77"/>
    </row>
    <row r="5727">
      <c r="A5727" s="119"/>
      <c r="B5727" s="118"/>
      <c r="C5727" s="118"/>
      <c r="D5727" s="56"/>
      <c r="E5727" s="41"/>
      <c r="F5727" s="49"/>
      <c r="G5727" s="71"/>
      <c r="H5727" s="41"/>
      <c r="I5727" s="42"/>
      <c r="J5727" s="120"/>
      <c r="K5727" s="72"/>
      <c r="L5727" s="53"/>
      <c r="M5727" s="101"/>
      <c r="N5727" s="74"/>
      <c r="O5727" s="102"/>
      <c r="P5727" s="102"/>
      <c r="Q5727" s="57"/>
      <c r="R5727" s="58"/>
      <c r="S5727" s="57"/>
      <c r="T5727" s="77"/>
    </row>
    <row r="5728">
      <c r="A5728" s="119"/>
      <c r="B5728" s="118"/>
      <c r="C5728" s="118"/>
      <c r="D5728" s="56"/>
      <c r="E5728" s="41"/>
      <c r="F5728" s="49"/>
      <c r="G5728" s="71"/>
      <c r="H5728" s="41"/>
      <c r="I5728" s="42"/>
      <c r="J5728" s="120"/>
      <c r="K5728" s="72"/>
      <c r="L5728" s="53"/>
      <c r="M5728" s="101"/>
      <c r="N5728" s="74"/>
      <c r="O5728" s="102"/>
      <c r="P5728" s="102"/>
      <c r="Q5728" s="57"/>
      <c r="R5728" s="58"/>
      <c r="S5728" s="57"/>
      <c r="T5728" s="77"/>
    </row>
    <row r="5729">
      <c r="A5729" s="119"/>
      <c r="B5729" s="118"/>
      <c r="C5729" s="118"/>
      <c r="D5729" s="56"/>
      <c r="E5729" s="41"/>
      <c r="F5729" s="49"/>
      <c r="G5729" s="71"/>
      <c r="H5729" s="41"/>
      <c r="I5729" s="42"/>
      <c r="J5729" s="120"/>
      <c r="K5729" s="72"/>
      <c r="L5729" s="53"/>
      <c r="M5729" s="101"/>
      <c r="N5729" s="74"/>
      <c r="O5729" s="102"/>
      <c r="P5729" s="102"/>
      <c r="Q5729" s="57"/>
      <c r="R5729" s="58"/>
      <c r="S5729" s="57"/>
      <c r="T5729" s="77"/>
    </row>
    <row r="5730">
      <c r="A5730" s="119"/>
      <c r="B5730" s="118"/>
      <c r="C5730" s="118"/>
      <c r="D5730" s="56"/>
      <c r="E5730" s="41"/>
      <c r="F5730" s="49"/>
      <c r="G5730" s="71"/>
      <c r="H5730" s="41"/>
      <c r="I5730" s="42"/>
      <c r="J5730" s="120"/>
      <c r="K5730" s="72"/>
      <c r="L5730" s="53"/>
      <c r="M5730" s="101"/>
      <c r="N5730" s="74"/>
      <c r="O5730" s="102"/>
      <c r="P5730" s="102"/>
      <c r="Q5730" s="57"/>
      <c r="R5730" s="58"/>
      <c r="S5730" s="57"/>
      <c r="T5730" s="77"/>
    </row>
    <row r="5731">
      <c r="A5731" s="119"/>
      <c r="B5731" s="118"/>
      <c r="C5731" s="118"/>
      <c r="D5731" s="56"/>
      <c r="E5731" s="41"/>
      <c r="F5731" s="49"/>
      <c r="G5731" s="71"/>
      <c r="H5731" s="41"/>
      <c r="I5731" s="42"/>
      <c r="J5731" s="120"/>
      <c r="K5731" s="72"/>
      <c r="L5731" s="53"/>
      <c r="M5731" s="101"/>
      <c r="N5731" s="74"/>
      <c r="O5731" s="102"/>
      <c r="P5731" s="102"/>
      <c r="Q5731" s="57"/>
      <c r="R5731" s="58"/>
      <c r="S5731" s="57"/>
      <c r="T5731" s="77"/>
    </row>
    <row r="5732">
      <c r="A5732" s="119"/>
      <c r="B5732" s="118"/>
      <c r="C5732" s="118"/>
      <c r="D5732" s="56"/>
      <c r="E5732" s="41"/>
      <c r="F5732" s="49"/>
      <c r="G5732" s="71"/>
      <c r="H5732" s="41"/>
      <c r="I5732" s="42"/>
      <c r="J5732" s="120"/>
      <c r="K5732" s="72"/>
      <c r="L5732" s="53"/>
      <c r="M5732" s="101"/>
      <c r="N5732" s="74"/>
      <c r="O5732" s="102"/>
      <c r="P5732" s="102"/>
      <c r="Q5732" s="57"/>
      <c r="R5732" s="58"/>
      <c r="S5732" s="57"/>
      <c r="T5732" s="77"/>
    </row>
    <row r="5733">
      <c r="A5733" s="119"/>
      <c r="B5733" s="118"/>
      <c r="C5733" s="118"/>
      <c r="D5733" s="56"/>
      <c r="E5733" s="41"/>
      <c r="F5733" s="49"/>
      <c r="G5733" s="71"/>
      <c r="H5733" s="41"/>
      <c r="I5733" s="42"/>
      <c r="J5733" s="120"/>
      <c r="K5733" s="72"/>
      <c r="L5733" s="53"/>
      <c r="M5733" s="101"/>
      <c r="N5733" s="74"/>
      <c r="O5733" s="102"/>
      <c r="P5733" s="102"/>
      <c r="Q5733" s="57"/>
      <c r="R5733" s="58"/>
      <c r="S5733" s="57"/>
      <c r="T5733" s="77"/>
    </row>
    <row r="5734">
      <c r="A5734" s="119"/>
      <c r="B5734" s="118"/>
      <c r="C5734" s="118"/>
      <c r="D5734" s="56"/>
      <c r="E5734" s="41"/>
      <c r="F5734" s="49"/>
      <c r="G5734" s="71"/>
      <c r="H5734" s="41"/>
      <c r="I5734" s="42"/>
      <c r="J5734" s="120"/>
      <c r="K5734" s="72"/>
      <c r="L5734" s="53"/>
      <c r="M5734" s="101"/>
      <c r="N5734" s="74"/>
      <c r="O5734" s="102"/>
      <c r="P5734" s="102"/>
      <c r="Q5734" s="57"/>
      <c r="R5734" s="58"/>
      <c r="S5734" s="57"/>
      <c r="T5734" s="77"/>
    </row>
    <row r="5735">
      <c r="A5735" s="119"/>
      <c r="B5735" s="118"/>
      <c r="C5735" s="118"/>
      <c r="D5735" s="56"/>
      <c r="E5735" s="41"/>
      <c r="F5735" s="49"/>
      <c r="G5735" s="71"/>
      <c r="H5735" s="41"/>
      <c r="I5735" s="42"/>
      <c r="J5735" s="120"/>
      <c r="K5735" s="72"/>
      <c r="L5735" s="53"/>
      <c r="M5735" s="101"/>
      <c r="N5735" s="74"/>
      <c r="O5735" s="102"/>
      <c r="P5735" s="102"/>
      <c r="Q5735" s="57"/>
      <c r="R5735" s="58"/>
      <c r="S5735" s="57"/>
      <c r="T5735" s="77"/>
    </row>
    <row r="5736">
      <c r="A5736" s="119"/>
      <c r="B5736" s="118"/>
      <c r="C5736" s="118"/>
      <c r="D5736" s="56"/>
      <c r="E5736" s="41"/>
      <c r="F5736" s="49"/>
      <c r="G5736" s="71"/>
      <c r="H5736" s="41"/>
      <c r="I5736" s="42"/>
      <c r="J5736" s="120"/>
      <c r="K5736" s="72"/>
      <c r="L5736" s="53"/>
      <c r="M5736" s="101"/>
      <c r="N5736" s="74"/>
      <c r="O5736" s="102"/>
      <c r="P5736" s="102"/>
      <c r="Q5736" s="57"/>
      <c r="R5736" s="58"/>
      <c r="S5736" s="57"/>
      <c r="T5736" s="77"/>
    </row>
    <row r="5737">
      <c r="A5737" s="119"/>
      <c r="B5737" s="118"/>
      <c r="C5737" s="118"/>
      <c r="D5737" s="56"/>
      <c r="E5737" s="41"/>
      <c r="F5737" s="49"/>
      <c r="G5737" s="71"/>
      <c r="H5737" s="41"/>
      <c r="I5737" s="42"/>
      <c r="J5737" s="120"/>
      <c r="K5737" s="72"/>
      <c r="L5737" s="53"/>
      <c r="M5737" s="101"/>
      <c r="N5737" s="74"/>
      <c r="O5737" s="102"/>
      <c r="P5737" s="102"/>
      <c r="Q5737" s="57"/>
      <c r="R5737" s="58"/>
      <c r="S5737" s="57"/>
      <c r="T5737" s="77"/>
    </row>
    <row r="5738">
      <c r="A5738" s="119"/>
      <c r="B5738" s="118"/>
      <c r="C5738" s="118"/>
      <c r="D5738" s="56"/>
      <c r="E5738" s="41"/>
      <c r="F5738" s="49"/>
      <c r="G5738" s="71"/>
      <c r="H5738" s="41"/>
      <c r="I5738" s="42"/>
      <c r="J5738" s="120"/>
      <c r="K5738" s="72"/>
      <c r="L5738" s="53"/>
      <c r="M5738" s="101"/>
      <c r="N5738" s="74"/>
      <c r="O5738" s="102"/>
      <c r="P5738" s="102"/>
      <c r="Q5738" s="57"/>
      <c r="R5738" s="58"/>
      <c r="S5738" s="57"/>
      <c r="T5738" s="77"/>
    </row>
    <row r="5739">
      <c r="A5739" s="119"/>
      <c r="B5739" s="118"/>
      <c r="C5739" s="118"/>
      <c r="D5739" s="56"/>
      <c r="E5739" s="41"/>
      <c r="F5739" s="49"/>
      <c r="G5739" s="71"/>
      <c r="H5739" s="41"/>
      <c r="I5739" s="42"/>
      <c r="J5739" s="120"/>
      <c r="K5739" s="72"/>
      <c r="L5739" s="53"/>
      <c r="M5739" s="101"/>
      <c r="N5739" s="74"/>
      <c r="O5739" s="102"/>
      <c r="P5739" s="102"/>
      <c r="Q5739" s="57"/>
      <c r="R5739" s="58"/>
      <c r="S5739" s="57"/>
      <c r="T5739" s="77"/>
    </row>
    <row r="5740">
      <c r="A5740" s="119"/>
      <c r="B5740" s="118"/>
      <c r="C5740" s="118"/>
      <c r="D5740" s="56"/>
      <c r="E5740" s="41"/>
      <c r="F5740" s="49"/>
      <c r="G5740" s="71"/>
      <c r="H5740" s="41"/>
      <c r="I5740" s="42"/>
      <c r="J5740" s="120"/>
      <c r="K5740" s="72"/>
      <c r="L5740" s="53"/>
      <c r="M5740" s="101"/>
      <c r="N5740" s="74"/>
      <c r="O5740" s="102"/>
      <c r="P5740" s="102"/>
      <c r="Q5740" s="57"/>
      <c r="R5740" s="58"/>
      <c r="S5740" s="57"/>
      <c r="T5740" s="77"/>
    </row>
    <row r="5741">
      <c r="A5741" s="119"/>
      <c r="B5741" s="118"/>
      <c r="C5741" s="118"/>
      <c r="D5741" s="56"/>
      <c r="E5741" s="41"/>
      <c r="F5741" s="49"/>
      <c r="G5741" s="71"/>
      <c r="H5741" s="41"/>
      <c r="I5741" s="42"/>
      <c r="J5741" s="120"/>
      <c r="K5741" s="72"/>
      <c r="L5741" s="53"/>
      <c r="M5741" s="101"/>
      <c r="N5741" s="74"/>
      <c r="O5741" s="102"/>
      <c r="P5741" s="102"/>
      <c r="Q5741" s="57"/>
      <c r="R5741" s="58"/>
      <c r="S5741" s="57"/>
      <c r="T5741" s="77"/>
    </row>
    <row r="5742">
      <c r="A5742" s="119"/>
      <c r="B5742" s="118"/>
      <c r="C5742" s="118"/>
      <c r="D5742" s="56"/>
      <c r="E5742" s="41"/>
      <c r="F5742" s="49"/>
      <c r="G5742" s="71"/>
      <c r="H5742" s="41"/>
      <c r="I5742" s="42"/>
      <c r="J5742" s="120"/>
      <c r="K5742" s="72"/>
      <c r="L5742" s="53"/>
      <c r="M5742" s="101"/>
      <c r="N5742" s="74"/>
      <c r="O5742" s="102"/>
      <c r="P5742" s="102"/>
      <c r="Q5742" s="57"/>
      <c r="R5742" s="58"/>
      <c r="S5742" s="57"/>
      <c r="T5742" s="77"/>
    </row>
    <row r="5743">
      <c r="A5743" s="119"/>
      <c r="B5743" s="118"/>
      <c r="C5743" s="118"/>
      <c r="D5743" s="56"/>
      <c r="E5743" s="41"/>
      <c r="F5743" s="49"/>
      <c r="G5743" s="71"/>
      <c r="H5743" s="41"/>
      <c r="I5743" s="42"/>
      <c r="J5743" s="120"/>
      <c r="K5743" s="72"/>
      <c r="L5743" s="53"/>
      <c r="M5743" s="101"/>
      <c r="N5743" s="74"/>
      <c r="O5743" s="102"/>
      <c r="P5743" s="102"/>
      <c r="Q5743" s="57"/>
      <c r="R5743" s="58"/>
      <c r="S5743" s="57"/>
      <c r="T5743" s="77"/>
    </row>
    <row r="5744">
      <c r="A5744" s="119"/>
      <c r="B5744" s="118"/>
      <c r="C5744" s="118"/>
      <c r="D5744" s="56"/>
      <c r="E5744" s="41"/>
      <c r="F5744" s="49"/>
      <c r="G5744" s="71"/>
      <c r="H5744" s="41"/>
      <c r="I5744" s="42"/>
      <c r="J5744" s="120"/>
      <c r="K5744" s="72"/>
      <c r="L5744" s="53"/>
      <c r="M5744" s="101"/>
      <c r="N5744" s="74"/>
      <c r="O5744" s="102"/>
      <c r="P5744" s="102"/>
      <c r="Q5744" s="57"/>
      <c r="R5744" s="58"/>
      <c r="S5744" s="57"/>
      <c r="T5744" s="77"/>
    </row>
    <row r="5745">
      <c r="A5745" s="119"/>
      <c r="B5745" s="118"/>
      <c r="C5745" s="118"/>
      <c r="D5745" s="56"/>
      <c r="E5745" s="41"/>
      <c r="F5745" s="49"/>
      <c r="G5745" s="71"/>
      <c r="H5745" s="41"/>
      <c r="I5745" s="42"/>
      <c r="J5745" s="120"/>
      <c r="K5745" s="72"/>
      <c r="L5745" s="53"/>
      <c r="M5745" s="101"/>
      <c r="N5745" s="74"/>
      <c r="O5745" s="102"/>
      <c r="P5745" s="102"/>
      <c r="Q5745" s="57"/>
      <c r="R5745" s="58"/>
      <c r="S5745" s="57"/>
      <c r="T5745" s="77"/>
    </row>
    <row r="5746">
      <c r="A5746" s="119"/>
      <c r="B5746" s="118"/>
      <c r="C5746" s="118"/>
      <c r="D5746" s="56"/>
      <c r="E5746" s="41"/>
      <c r="F5746" s="49"/>
      <c r="G5746" s="71"/>
      <c r="H5746" s="41"/>
      <c r="I5746" s="42"/>
      <c r="J5746" s="120"/>
      <c r="K5746" s="72"/>
      <c r="L5746" s="53"/>
      <c r="M5746" s="101"/>
      <c r="N5746" s="74"/>
      <c r="O5746" s="102"/>
      <c r="P5746" s="102"/>
      <c r="Q5746" s="57"/>
      <c r="R5746" s="58"/>
      <c r="S5746" s="57"/>
      <c r="T5746" s="77"/>
    </row>
    <row r="5747">
      <c r="A5747" s="119"/>
      <c r="B5747" s="118"/>
      <c r="C5747" s="118"/>
      <c r="D5747" s="56"/>
      <c r="E5747" s="41"/>
      <c r="F5747" s="49"/>
      <c r="G5747" s="71"/>
      <c r="H5747" s="41"/>
      <c r="I5747" s="42"/>
      <c r="J5747" s="120"/>
      <c r="K5747" s="72"/>
      <c r="L5747" s="53"/>
      <c r="M5747" s="101"/>
      <c r="N5747" s="74"/>
      <c r="O5747" s="102"/>
      <c r="P5747" s="102"/>
      <c r="Q5747" s="57"/>
      <c r="R5747" s="58"/>
      <c r="S5747" s="57"/>
      <c r="T5747" s="77"/>
    </row>
    <row r="5748">
      <c r="A5748" s="119"/>
      <c r="B5748" s="118"/>
      <c r="C5748" s="118"/>
      <c r="D5748" s="56"/>
      <c r="E5748" s="41"/>
      <c r="F5748" s="49"/>
      <c r="G5748" s="71"/>
      <c r="H5748" s="41"/>
      <c r="I5748" s="42"/>
      <c r="J5748" s="120"/>
      <c r="K5748" s="72"/>
      <c r="L5748" s="53"/>
      <c r="M5748" s="101"/>
      <c r="N5748" s="74"/>
      <c r="O5748" s="102"/>
      <c r="P5748" s="102"/>
      <c r="Q5748" s="57"/>
      <c r="R5748" s="58"/>
      <c r="S5748" s="57"/>
      <c r="T5748" s="77"/>
    </row>
    <row r="5749">
      <c r="A5749" s="119"/>
      <c r="B5749" s="118"/>
      <c r="C5749" s="118"/>
      <c r="D5749" s="56"/>
      <c r="E5749" s="41"/>
      <c r="F5749" s="49"/>
      <c r="G5749" s="71"/>
      <c r="H5749" s="41"/>
      <c r="I5749" s="42"/>
      <c r="J5749" s="120"/>
      <c r="K5749" s="72"/>
      <c r="L5749" s="53"/>
      <c r="M5749" s="101"/>
      <c r="N5749" s="74"/>
      <c r="O5749" s="102"/>
      <c r="P5749" s="102"/>
      <c r="Q5749" s="57"/>
      <c r="R5749" s="58"/>
      <c r="S5749" s="57"/>
      <c r="T5749" s="77"/>
    </row>
    <row r="5750">
      <c r="A5750" s="119"/>
      <c r="B5750" s="118"/>
      <c r="C5750" s="118"/>
      <c r="D5750" s="56"/>
      <c r="E5750" s="41"/>
      <c r="F5750" s="49"/>
      <c r="G5750" s="71"/>
      <c r="H5750" s="41"/>
      <c r="I5750" s="42"/>
      <c r="J5750" s="120"/>
      <c r="K5750" s="72"/>
      <c r="L5750" s="53"/>
      <c r="M5750" s="101"/>
      <c r="N5750" s="74"/>
      <c r="O5750" s="102"/>
      <c r="P5750" s="102"/>
      <c r="Q5750" s="57"/>
      <c r="R5750" s="58"/>
      <c r="S5750" s="57"/>
      <c r="T5750" s="77"/>
    </row>
    <row r="5751">
      <c r="A5751" s="119"/>
      <c r="B5751" s="118"/>
      <c r="C5751" s="118"/>
      <c r="D5751" s="56"/>
      <c r="E5751" s="41"/>
      <c r="F5751" s="49"/>
      <c r="G5751" s="71"/>
      <c r="H5751" s="41"/>
      <c r="I5751" s="42"/>
      <c r="J5751" s="120"/>
      <c r="K5751" s="72"/>
      <c r="L5751" s="53"/>
      <c r="M5751" s="101"/>
      <c r="N5751" s="74"/>
      <c r="O5751" s="102"/>
      <c r="P5751" s="102"/>
      <c r="Q5751" s="57"/>
      <c r="R5751" s="58"/>
      <c r="S5751" s="57"/>
      <c r="T5751" s="77"/>
    </row>
    <row r="5752">
      <c r="A5752" s="119"/>
      <c r="B5752" s="118"/>
      <c r="C5752" s="118"/>
      <c r="D5752" s="56"/>
      <c r="E5752" s="41"/>
      <c r="F5752" s="49"/>
      <c r="G5752" s="71"/>
      <c r="H5752" s="41"/>
      <c r="I5752" s="42"/>
      <c r="J5752" s="120"/>
      <c r="K5752" s="72"/>
      <c r="L5752" s="53"/>
      <c r="M5752" s="101"/>
      <c r="N5752" s="74"/>
      <c r="O5752" s="102"/>
      <c r="P5752" s="102"/>
      <c r="Q5752" s="57"/>
      <c r="R5752" s="58"/>
      <c r="S5752" s="57"/>
      <c r="T5752" s="77"/>
    </row>
    <row r="5753">
      <c r="A5753" s="119"/>
      <c r="B5753" s="118"/>
      <c r="C5753" s="118"/>
      <c r="D5753" s="56"/>
      <c r="E5753" s="41"/>
      <c r="F5753" s="49"/>
      <c r="G5753" s="71"/>
      <c r="H5753" s="41"/>
      <c r="I5753" s="42"/>
      <c r="J5753" s="120"/>
      <c r="K5753" s="72"/>
      <c r="L5753" s="53"/>
      <c r="M5753" s="101"/>
      <c r="N5753" s="74"/>
      <c r="O5753" s="102"/>
      <c r="P5753" s="102"/>
      <c r="Q5753" s="57"/>
      <c r="R5753" s="58"/>
      <c r="S5753" s="57"/>
      <c r="T5753" s="77"/>
    </row>
    <row r="5754">
      <c r="A5754" s="119"/>
      <c r="B5754" s="118"/>
      <c r="C5754" s="118"/>
      <c r="D5754" s="56"/>
      <c r="E5754" s="41"/>
      <c r="F5754" s="49"/>
      <c r="G5754" s="71"/>
      <c r="H5754" s="41"/>
      <c r="I5754" s="42"/>
      <c r="J5754" s="120"/>
      <c r="K5754" s="72"/>
      <c r="L5754" s="53"/>
      <c r="M5754" s="101"/>
      <c r="N5754" s="74"/>
      <c r="O5754" s="102"/>
      <c r="P5754" s="102"/>
      <c r="Q5754" s="57"/>
      <c r="R5754" s="58"/>
      <c r="S5754" s="57"/>
      <c r="T5754" s="77"/>
    </row>
    <row r="5755">
      <c r="A5755" s="119"/>
      <c r="B5755" s="118"/>
      <c r="C5755" s="118"/>
      <c r="D5755" s="56"/>
      <c r="E5755" s="41"/>
      <c r="F5755" s="49"/>
      <c r="G5755" s="71"/>
      <c r="H5755" s="41"/>
      <c r="I5755" s="42"/>
      <c r="J5755" s="120"/>
      <c r="K5755" s="72"/>
      <c r="L5755" s="53"/>
      <c r="M5755" s="101"/>
      <c r="N5755" s="74"/>
      <c r="O5755" s="102"/>
      <c r="P5755" s="102"/>
      <c r="Q5755" s="57"/>
      <c r="R5755" s="58"/>
      <c r="S5755" s="57"/>
      <c r="T5755" s="77"/>
    </row>
    <row r="5756">
      <c r="A5756" s="119"/>
      <c r="B5756" s="118"/>
      <c r="C5756" s="118"/>
      <c r="D5756" s="56"/>
      <c r="E5756" s="41"/>
      <c r="F5756" s="49"/>
      <c r="G5756" s="71"/>
      <c r="H5756" s="41"/>
      <c r="I5756" s="42"/>
      <c r="J5756" s="120"/>
      <c r="K5756" s="72"/>
      <c r="L5756" s="53"/>
      <c r="M5756" s="101"/>
      <c r="N5756" s="74"/>
      <c r="O5756" s="102"/>
      <c r="P5756" s="102"/>
      <c r="Q5756" s="57"/>
      <c r="R5756" s="58"/>
      <c r="S5756" s="57"/>
      <c r="T5756" s="77"/>
    </row>
    <row r="5757">
      <c r="A5757" s="119"/>
      <c r="B5757" s="118"/>
      <c r="C5757" s="118"/>
      <c r="D5757" s="56"/>
      <c r="E5757" s="41"/>
      <c r="F5757" s="49"/>
      <c r="G5757" s="71"/>
      <c r="H5757" s="41"/>
      <c r="I5757" s="42"/>
      <c r="J5757" s="120"/>
      <c r="K5757" s="72"/>
      <c r="L5757" s="53"/>
      <c r="M5757" s="101"/>
      <c r="N5757" s="74"/>
      <c r="O5757" s="102"/>
      <c r="P5757" s="102"/>
      <c r="Q5757" s="57"/>
      <c r="R5757" s="58"/>
      <c r="S5757" s="57"/>
      <c r="T5757" s="77"/>
    </row>
    <row r="5758">
      <c r="A5758" s="119"/>
      <c r="B5758" s="118"/>
      <c r="C5758" s="118"/>
      <c r="D5758" s="56"/>
      <c r="E5758" s="41"/>
      <c r="F5758" s="49"/>
      <c r="G5758" s="71"/>
      <c r="H5758" s="41"/>
      <c r="I5758" s="42"/>
      <c r="J5758" s="120"/>
      <c r="K5758" s="72"/>
      <c r="L5758" s="53"/>
      <c r="M5758" s="101"/>
      <c r="N5758" s="74"/>
      <c r="O5758" s="102"/>
      <c r="P5758" s="102"/>
      <c r="Q5758" s="57"/>
      <c r="R5758" s="58"/>
      <c r="S5758" s="57"/>
      <c r="T5758" s="77"/>
    </row>
    <row r="5759">
      <c r="A5759" s="119"/>
      <c r="B5759" s="118"/>
      <c r="C5759" s="118"/>
      <c r="D5759" s="56"/>
      <c r="E5759" s="41"/>
      <c r="F5759" s="49"/>
      <c r="G5759" s="71"/>
      <c r="H5759" s="41"/>
      <c r="I5759" s="42"/>
      <c r="J5759" s="120"/>
      <c r="K5759" s="72"/>
      <c r="L5759" s="53"/>
      <c r="M5759" s="101"/>
      <c r="N5759" s="74"/>
      <c r="O5759" s="102"/>
      <c r="P5759" s="102"/>
      <c r="Q5759" s="57"/>
      <c r="R5759" s="58"/>
      <c r="S5759" s="57"/>
      <c r="T5759" s="77"/>
    </row>
    <row r="5760">
      <c r="A5760" s="119"/>
      <c r="B5760" s="118"/>
      <c r="C5760" s="118"/>
      <c r="D5760" s="56"/>
      <c r="E5760" s="41"/>
      <c r="F5760" s="49"/>
      <c r="G5760" s="71"/>
      <c r="H5760" s="41"/>
      <c r="I5760" s="42"/>
      <c r="J5760" s="120"/>
      <c r="K5760" s="72"/>
      <c r="L5760" s="53"/>
      <c r="M5760" s="101"/>
      <c r="N5760" s="74"/>
      <c r="O5760" s="102"/>
      <c r="P5760" s="102"/>
      <c r="Q5760" s="57"/>
      <c r="R5760" s="58"/>
      <c r="S5760" s="57"/>
      <c r="T5760" s="77"/>
    </row>
    <row r="5761">
      <c r="A5761" s="119"/>
      <c r="B5761" s="118"/>
      <c r="C5761" s="118"/>
      <c r="D5761" s="56"/>
      <c r="E5761" s="41"/>
      <c r="F5761" s="49"/>
      <c r="G5761" s="71"/>
      <c r="H5761" s="41"/>
      <c r="I5761" s="42"/>
      <c r="J5761" s="120"/>
      <c r="K5761" s="72"/>
      <c r="L5761" s="53"/>
      <c r="M5761" s="101"/>
      <c r="N5761" s="74"/>
      <c r="O5761" s="102"/>
      <c r="P5761" s="102"/>
      <c r="Q5761" s="57"/>
      <c r="R5761" s="58"/>
      <c r="S5761" s="57"/>
      <c r="T5761" s="77"/>
    </row>
    <row r="5762">
      <c r="A5762" s="119"/>
      <c r="B5762" s="118"/>
      <c r="C5762" s="118"/>
      <c r="D5762" s="56"/>
      <c r="E5762" s="41"/>
      <c r="F5762" s="49"/>
      <c r="G5762" s="71"/>
      <c r="H5762" s="41"/>
      <c r="I5762" s="42"/>
      <c r="J5762" s="120"/>
      <c r="K5762" s="72"/>
      <c r="L5762" s="53"/>
      <c r="M5762" s="101"/>
      <c r="N5762" s="74"/>
      <c r="O5762" s="102"/>
      <c r="P5762" s="102"/>
      <c r="Q5762" s="57"/>
      <c r="R5762" s="58"/>
      <c r="S5762" s="57"/>
      <c r="T5762" s="77"/>
    </row>
    <row r="5763">
      <c r="A5763" s="119"/>
      <c r="B5763" s="118"/>
      <c r="C5763" s="118"/>
      <c r="D5763" s="56"/>
      <c r="E5763" s="41"/>
      <c r="F5763" s="49"/>
      <c r="G5763" s="71"/>
      <c r="H5763" s="41"/>
      <c r="I5763" s="42"/>
      <c r="J5763" s="120"/>
      <c r="K5763" s="72"/>
      <c r="L5763" s="53"/>
      <c r="M5763" s="101"/>
      <c r="N5763" s="74"/>
      <c r="O5763" s="102"/>
      <c r="P5763" s="102"/>
      <c r="Q5763" s="57"/>
      <c r="R5763" s="58"/>
      <c r="S5763" s="57"/>
      <c r="T5763" s="77"/>
    </row>
    <row r="5764">
      <c r="A5764" s="119"/>
      <c r="B5764" s="118"/>
      <c r="C5764" s="118"/>
      <c r="D5764" s="56"/>
      <c r="E5764" s="41"/>
      <c r="F5764" s="49"/>
      <c r="G5764" s="71"/>
      <c r="H5764" s="41"/>
      <c r="I5764" s="42"/>
      <c r="J5764" s="120"/>
      <c r="K5764" s="72"/>
      <c r="L5764" s="53"/>
      <c r="M5764" s="101"/>
      <c r="N5764" s="74"/>
      <c r="O5764" s="102"/>
      <c r="P5764" s="102"/>
      <c r="Q5764" s="57"/>
      <c r="R5764" s="58"/>
      <c r="S5764" s="57"/>
      <c r="T5764" s="77"/>
    </row>
    <row r="5765">
      <c r="A5765" s="119"/>
      <c r="B5765" s="118"/>
      <c r="C5765" s="118"/>
      <c r="D5765" s="56"/>
      <c r="E5765" s="41"/>
      <c r="F5765" s="49"/>
      <c r="G5765" s="71"/>
      <c r="H5765" s="41"/>
      <c r="I5765" s="42"/>
      <c r="J5765" s="120"/>
      <c r="K5765" s="72"/>
      <c r="L5765" s="53"/>
      <c r="M5765" s="101"/>
      <c r="N5765" s="74"/>
      <c r="O5765" s="102"/>
      <c r="P5765" s="102"/>
      <c r="Q5765" s="57"/>
      <c r="R5765" s="58"/>
      <c r="S5765" s="57"/>
      <c r="T5765" s="77"/>
    </row>
    <row r="5766">
      <c r="A5766" s="119"/>
      <c r="B5766" s="118"/>
      <c r="C5766" s="118"/>
      <c r="D5766" s="56"/>
      <c r="E5766" s="41"/>
      <c r="F5766" s="49"/>
      <c r="G5766" s="71"/>
      <c r="H5766" s="41"/>
      <c r="I5766" s="42"/>
      <c r="J5766" s="120"/>
      <c r="K5766" s="72"/>
      <c r="L5766" s="53"/>
      <c r="M5766" s="101"/>
      <c r="N5766" s="74"/>
      <c r="O5766" s="102"/>
      <c r="P5766" s="102"/>
      <c r="Q5766" s="57"/>
      <c r="R5766" s="58"/>
      <c r="S5766" s="57"/>
      <c r="T5766" s="77"/>
    </row>
    <row r="5767">
      <c r="A5767" s="119"/>
      <c r="B5767" s="118"/>
      <c r="C5767" s="118"/>
      <c r="D5767" s="56"/>
      <c r="E5767" s="41"/>
      <c r="F5767" s="49"/>
      <c r="G5767" s="71"/>
      <c r="H5767" s="41"/>
      <c r="I5767" s="42"/>
      <c r="J5767" s="120"/>
      <c r="K5767" s="72"/>
      <c r="L5767" s="53"/>
      <c r="M5767" s="101"/>
      <c r="N5767" s="74"/>
      <c r="O5767" s="102"/>
      <c r="P5767" s="102"/>
      <c r="Q5767" s="57"/>
      <c r="R5767" s="58"/>
      <c r="S5767" s="57"/>
      <c r="T5767" s="77"/>
    </row>
    <row r="5768">
      <c r="A5768" s="119"/>
      <c r="B5768" s="118"/>
      <c r="C5768" s="118"/>
      <c r="D5768" s="56"/>
      <c r="E5768" s="41"/>
      <c r="F5768" s="49"/>
      <c r="G5768" s="71"/>
      <c r="H5768" s="41"/>
      <c r="I5768" s="42"/>
      <c r="J5768" s="120"/>
      <c r="K5768" s="72"/>
      <c r="L5768" s="53"/>
      <c r="M5768" s="101"/>
      <c r="N5768" s="74"/>
      <c r="O5768" s="102"/>
      <c r="P5768" s="102"/>
      <c r="Q5768" s="57"/>
      <c r="R5768" s="58"/>
      <c r="S5768" s="57"/>
      <c r="T5768" s="77"/>
    </row>
    <row r="5769">
      <c r="A5769" s="119"/>
      <c r="B5769" s="118"/>
      <c r="C5769" s="118"/>
      <c r="D5769" s="56"/>
      <c r="E5769" s="41"/>
      <c r="F5769" s="49"/>
      <c r="G5769" s="71"/>
      <c r="H5769" s="41"/>
      <c r="I5769" s="42"/>
      <c r="J5769" s="120"/>
      <c r="K5769" s="72"/>
      <c r="L5769" s="53"/>
      <c r="M5769" s="101"/>
      <c r="N5769" s="74"/>
      <c r="O5769" s="102"/>
      <c r="P5769" s="102"/>
      <c r="Q5769" s="57"/>
      <c r="R5769" s="58"/>
      <c r="S5769" s="57"/>
      <c r="T5769" s="77"/>
    </row>
    <row r="5770">
      <c r="A5770" s="119"/>
      <c r="B5770" s="118"/>
      <c r="C5770" s="118"/>
      <c r="D5770" s="56"/>
      <c r="E5770" s="41"/>
      <c r="F5770" s="49"/>
      <c r="G5770" s="71"/>
      <c r="H5770" s="41"/>
      <c r="I5770" s="42"/>
      <c r="J5770" s="120"/>
      <c r="K5770" s="72"/>
      <c r="L5770" s="53"/>
      <c r="M5770" s="101"/>
      <c r="N5770" s="74"/>
      <c r="O5770" s="102"/>
      <c r="P5770" s="102"/>
      <c r="Q5770" s="57"/>
      <c r="R5770" s="58"/>
      <c r="S5770" s="57"/>
      <c r="T5770" s="77"/>
    </row>
    <row r="5771">
      <c r="A5771" s="119"/>
      <c r="B5771" s="118"/>
      <c r="C5771" s="118"/>
      <c r="D5771" s="56"/>
      <c r="E5771" s="41"/>
      <c r="F5771" s="49"/>
      <c r="G5771" s="71"/>
      <c r="H5771" s="41"/>
      <c r="I5771" s="42"/>
      <c r="J5771" s="120"/>
      <c r="K5771" s="72"/>
      <c r="L5771" s="53"/>
      <c r="M5771" s="101"/>
      <c r="N5771" s="74"/>
      <c r="O5771" s="102"/>
      <c r="P5771" s="102"/>
      <c r="Q5771" s="57"/>
      <c r="R5771" s="58"/>
      <c r="S5771" s="57"/>
      <c r="T5771" s="77"/>
    </row>
    <row r="5772">
      <c r="A5772" s="119"/>
      <c r="B5772" s="118"/>
      <c r="C5772" s="118"/>
      <c r="D5772" s="56"/>
      <c r="E5772" s="41"/>
      <c r="F5772" s="49"/>
      <c r="G5772" s="71"/>
      <c r="H5772" s="41"/>
      <c r="I5772" s="42"/>
      <c r="J5772" s="120"/>
      <c r="K5772" s="72"/>
      <c r="L5772" s="53"/>
      <c r="M5772" s="101"/>
      <c r="N5772" s="74"/>
      <c r="O5772" s="102"/>
      <c r="P5772" s="102"/>
      <c r="Q5772" s="57"/>
      <c r="R5772" s="58"/>
      <c r="S5772" s="57"/>
      <c r="T5772" s="77"/>
    </row>
    <row r="5773">
      <c r="A5773" s="119"/>
      <c r="B5773" s="118"/>
      <c r="C5773" s="118"/>
      <c r="D5773" s="56"/>
      <c r="E5773" s="41"/>
      <c r="F5773" s="49"/>
      <c r="G5773" s="71"/>
      <c r="H5773" s="41"/>
      <c r="I5773" s="42"/>
      <c r="J5773" s="120"/>
      <c r="K5773" s="72"/>
      <c r="L5773" s="53"/>
      <c r="M5773" s="101"/>
      <c r="N5773" s="74"/>
      <c r="O5773" s="102"/>
      <c r="P5773" s="102"/>
      <c r="Q5773" s="57"/>
      <c r="R5773" s="58"/>
      <c r="S5773" s="57"/>
      <c r="T5773" s="77"/>
    </row>
    <row r="5774">
      <c r="A5774" s="119"/>
      <c r="B5774" s="118"/>
      <c r="C5774" s="118"/>
      <c r="D5774" s="56"/>
      <c r="E5774" s="41"/>
      <c r="F5774" s="49"/>
      <c r="G5774" s="71"/>
      <c r="H5774" s="41"/>
      <c r="I5774" s="42"/>
      <c r="J5774" s="120"/>
      <c r="K5774" s="72"/>
      <c r="L5774" s="53"/>
      <c r="M5774" s="101"/>
      <c r="N5774" s="74"/>
      <c r="O5774" s="102"/>
      <c r="P5774" s="102"/>
      <c r="Q5774" s="57"/>
      <c r="R5774" s="58"/>
      <c r="S5774" s="57"/>
      <c r="T5774" s="77"/>
    </row>
    <row r="5775">
      <c r="A5775" s="119"/>
      <c r="B5775" s="118"/>
      <c r="C5775" s="118"/>
      <c r="D5775" s="56"/>
      <c r="E5775" s="41"/>
      <c r="F5775" s="49"/>
      <c r="G5775" s="71"/>
      <c r="H5775" s="41"/>
      <c r="I5775" s="42"/>
      <c r="J5775" s="120"/>
      <c r="K5775" s="72"/>
      <c r="L5775" s="53"/>
      <c r="M5775" s="101"/>
      <c r="N5775" s="74"/>
      <c r="O5775" s="102"/>
      <c r="P5775" s="102"/>
      <c r="Q5775" s="57"/>
      <c r="R5775" s="58"/>
      <c r="S5775" s="57"/>
      <c r="T5775" s="77"/>
    </row>
    <row r="5776">
      <c r="A5776" s="119"/>
      <c r="B5776" s="118"/>
      <c r="C5776" s="118"/>
      <c r="D5776" s="56"/>
      <c r="E5776" s="41"/>
      <c r="F5776" s="49"/>
      <c r="G5776" s="71"/>
      <c r="H5776" s="41"/>
      <c r="I5776" s="42"/>
      <c r="J5776" s="120"/>
      <c r="K5776" s="72"/>
      <c r="L5776" s="53"/>
      <c r="M5776" s="101"/>
      <c r="N5776" s="74"/>
      <c r="O5776" s="102"/>
      <c r="P5776" s="102"/>
      <c r="Q5776" s="57"/>
      <c r="R5776" s="58"/>
      <c r="S5776" s="57"/>
      <c r="T5776" s="77"/>
    </row>
    <row r="5777">
      <c r="A5777" s="119"/>
      <c r="B5777" s="118"/>
      <c r="C5777" s="118"/>
      <c r="D5777" s="56"/>
      <c r="E5777" s="41"/>
      <c r="F5777" s="49"/>
      <c r="G5777" s="71"/>
      <c r="H5777" s="41"/>
      <c r="I5777" s="42"/>
      <c r="J5777" s="120"/>
      <c r="K5777" s="72"/>
      <c r="L5777" s="53"/>
      <c r="M5777" s="101"/>
      <c r="N5777" s="74"/>
      <c r="O5777" s="102"/>
      <c r="P5777" s="102"/>
      <c r="Q5777" s="57"/>
      <c r="R5777" s="58"/>
      <c r="S5777" s="57"/>
      <c r="T5777" s="77"/>
    </row>
    <row r="5778">
      <c r="A5778" s="119"/>
      <c r="B5778" s="118"/>
      <c r="C5778" s="118"/>
      <c r="D5778" s="56"/>
      <c r="E5778" s="41"/>
      <c r="F5778" s="49"/>
      <c r="G5778" s="71"/>
      <c r="H5778" s="41"/>
      <c r="I5778" s="42"/>
      <c r="J5778" s="120"/>
      <c r="K5778" s="72"/>
      <c r="L5778" s="53"/>
      <c r="M5778" s="101"/>
      <c r="N5778" s="74"/>
      <c r="O5778" s="102"/>
      <c r="P5778" s="102"/>
      <c r="Q5778" s="57"/>
      <c r="R5778" s="58"/>
      <c r="S5778" s="57"/>
      <c r="T5778" s="77"/>
    </row>
    <row r="5779">
      <c r="A5779" s="119"/>
      <c r="B5779" s="118"/>
      <c r="C5779" s="118"/>
      <c r="D5779" s="56"/>
      <c r="E5779" s="41"/>
      <c r="F5779" s="49"/>
      <c r="G5779" s="71"/>
      <c r="H5779" s="41"/>
      <c r="I5779" s="42"/>
      <c r="J5779" s="120"/>
      <c r="K5779" s="72"/>
      <c r="L5779" s="53"/>
      <c r="M5779" s="101"/>
      <c r="N5779" s="74"/>
      <c r="O5779" s="102"/>
      <c r="P5779" s="102"/>
      <c r="Q5779" s="57"/>
      <c r="R5779" s="58"/>
      <c r="S5779" s="57"/>
      <c r="T5779" s="77"/>
    </row>
    <row r="5780">
      <c r="A5780" s="119"/>
      <c r="B5780" s="118"/>
      <c r="C5780" s="118"/>
      <c r="D5780" s="56"/>
      <c r="E5780" s="41"/>
      <c r="F5780" s="49"/>
      <c r="G5780" s="71"/>
      <c r="H5780" s="41"/>
      <c r="I5780" s="42"/>
      <c r="J5780" s="120"/>
      <c r="K5780" s="72"/>
      <c r="L5780" s="53"/>
      <c r="M5780" s="101"/>
      <c r="N5780" s="74"/>
      <c r="O5780" s="102"/>
      <c r="P5780" s="102"/>
      <c r="Q5780" s="57"/>
      <c r="R5780" s="58"/>
      <c r="S5780" s="57"/>
      <c r="T5780" s="77"/>
    </row>
    <row r="5781">
      <c r="A5781" s="119"/>
      <c r="B5781" s="118"/>
      <c r="C5781" s="118"/>
      <c r="D5781" s="56"/>
      <c r="E5781" s="41"/>
      <c r="F5781" s="49"/>
      <c r="G5781" s="71"/>
      <c r="H5781" s="41"/>
      <c r="I5781" s="42"/>
      <c r="J5781" s="120"/>
      <c r="K5781" s="72"/>
      <c r="L5781" s="53"/>
      <c r="M5781" s="101"/>
      <c r="N5781" s="74"/>
      <c r="O5781" s="102"/>
      <c r="P5781" s="102"/>
      <c r="Q5781" s="57"/>
      <c r="R5781" s="58"/>
      <c r="S5781" s="57"/>
      <c r="T5781" s="77"/>
    </row>
    <row r="5782">
      <c r="A5782" s="119"/>
      <c r="B5782" s="118"/>
      <c r="C5782" s="118"/>
      <c r="D5782" s="56"/>
      <c r="E5782" s="41"/>
      <c r="F5782" s="49"/>
      <c r="G5782" s="71"/>
      <c r="H5782" s="41"/>
      <c r="I5782" s="42"/>
      <c r="J5782" s="120"/>
      <c r="K5782" s="72"/>
      <c r="L5782" s="53"/>
      <c r="M5782" s="101"/>
      <c r="N5782" s="74"/>
      <c r="O5782" s="102"/>
      <c r="P5782" s="102"/>
      <c r="Q5782" s="57"/>
      <c r="R5782" s="58"/>
      <c r="S5782" s="57"/>
      <c r="T5782" s="77"/>
    </row>
    <row r="5783">
      <c r="A5783" s="119"/>
      <c r="B5783" s="118"/>
      <c r="C5783" s="118"/>
      <c r="D5783" s="56"/>
      <c r="E5783" s="41"/>
      <c r="F5783" s="49"/>
      <c r="G5783" s="71"/>
      <c r="H5783" s="41"/>
      <c r="I5783" s="42"/>
      <c r="J5783" s="120"/>
      <c r="K5783" s="72"/>
      <c r="L5783" s="53"/>
      <c r="M5783" s="101"/>
      <c r="N5783" s="74"/>
      <c r="O5783" s="102"/>
      <c r="P5783" s="102"/>
      <c r="Q5783" s="57"/>
      <c r="R5783" s="58"/>
      <c r="S5783" s="57"/>
      <c r="T5783" s="77"/>
    </row>
    <row r="5784">
      <c r="A5784" s="119"/>
      <c r="B5784" s="118"/>
      <c r="C5784" s="118"/>
      <c r="D5784" s="56"/>
      <c r="E5784" s="41"/>
      <c r="F5784" s="49"/>
      <c r="G5784" s="71"/>
      <c r="H5784" s="41"/>
      <c r="I5784" s="42"/>
      <c r="J5784" s="120"/>
      <c r="K5784" s="72"/>
      <c r="L5784" s="53"/>
      <c r="M5784" s="101"/>
      <c r="N5784" s="74"/>
      <c r="O5784" s="102"/>
      <c r="P5784" s="102"/>
      <c r="Q5784" s="57"/>
      <c r="R5784" s="58"/>
      <c r="S5784" s="57"/>
      <c r="T5784" s="77"/>
    </row>
    <row r="5785">
      <c r="A5785" s="119"/>
      <c r="B5785" s="118"/>
      <c r="C5785" s="118"/>
      <c r="D5785" s="56"/>
      <c r="E5785" s="41"/>
      <c r="F5785" s="49"/>
      <c r="G5785" s="71"/>
      <c r="H5785" s="41"/>
      <c r="I5785" s="42"/>
      <c r="J5785" s="120"/>
      <c r="K5785" s="72"/>
      <c r="L5785" s="53"/>
      <c r="M5785" s="101"/>
      <c r="N5785" s="74"/>
      <c r="O5785" s="102"/>
      <c r="P5785" s="102"/>
      <c r="Q5785" s="57"/>
      <c r="R5785" s="58"/>
      <c r="S5785" s="57"/>
      <c r="T5785" s="77"/>
    </row>
    <row r="5786">
      <c r="A5786" s="119"/>
      <c r="B5786" s="118"/>
      <c r="C5786" s="118"/>
      <c r="D5786" s="56"/>
      <c r="E5786" s="41"/>
      <c r="F5786" s="49"/>
      <c r="G5786" s="71"/>
      <c r="H5786" s="41"/>
      <c r="I5786" s="42"/>
      <c r="J5786" s="120"/>
      <c r="K5786" s="72"/>
      <c r="L5786" s="53"/>
      <c r="M5786" s="101"/>
      <c r="N5786" s="74"/>
      <c r="O5786" s="102"/>
      <c r="P5786" s="102"/>
      <c r="Q5786" s="57"/>
      <c r="R5786" s="58"/>
      <c r="S5786" s="57"/>
      <c r="T5786" s="77"/>
    </row>
    <row r="5787">
      <c r="A5787" s="119"/>
      <c r="B5787" s="118"/>
      <c r="C5787" s="118"/>
      <c r="D5787" s="56"/>
      <c r="E5787" s="41"/>
      <c r="F5787" s="49"/>
      <c r="G5787" s="71"/>
      <c r="H5787" s="41"/>
      <c r="I5787" s="42"/>
      <c r="J5787" s="120"/>
      <c r="K5787" s="72"/>
      <c r="L5787" s="53"/>
      <c r="M5787" s="101"/>
      <c r="N5787" s="74"/>
      <c r="O5787" s="102"/>
      <c r="P5787" s="102"/>
      <c r="Q5787" s="57"/>
      <c r="R5787" s="58"/>
      <c r="S5787" s="57"/>
      <c r="T5787" s="77"/>
    </row>
    <row r="5788">
      <c r="A5788" s="119"/>
      <c r="B5788" s="118"/>
      <c r="C5788" s="118"/>
      <c r="D5788" s="56"/>
      <c r="E5788" s="41"/>
      <c r="F5788" s="49"/>
      <c r="G5788" s="71"/>
      <c r="H5788" s="41"/>
      <c r="I5788" s="42"/>
      <c r="J5788" s="120"/>
      <c r="K5788" s="72"/>
      <c r="L5788" s="53"/>
      <c r="M5788" s="101"/>
      <c r="N5788" s="74"/>
      <c r="O5788" s="102"/>
      <c r="P5788" s="102"/>
      <c r="Q5788" s="57"/>
      <c r="R5788" s="58"/>
      <c r="S5788" s="57"/>
      <c r="T5788" s="77"/>
    </row>
    <row r="5789">
      <c r="A5789" s="119"/>
      <c r="B5789" s="118"/>
      <c r="C5789" s="118"/>
      <c r="D5789" s="56"/>
      <c r="E5789" s="41"/>
      <c r="F5789" s="49"/>
      <c r="G5789" s="71"/>
      <c r="H5789" s="41"/>
      <c r="I5789" s="42"/>
      <c r="J5789" s="120"/>
      <c r="K5789" s="72"/>
      <c r="L5789" s="53"/>
      <c r="M5789" s="101"/>
      <c r="N5789" s="74"/>
      <c r="O5789" s="102"/>
      <c r="P5789" s="102"/>
      <c r="Q5789" s="57"/>
      <c r="R5789" s="58"/>
      <c r="S5789" s="57"/>
      <c r="T5789" s="77"/>
    </row>
    <row r="5790">
      <c r="A5790" s="119"/>
      <c r="B5790" s="118"/>
      <c r="C5790" s="118"/>
      <c r="D5790" s="56"/>
      <c r="E5790" s="41"/>
      <c r="F5790" s="49"/>
      <c r="G5790" s="71"/>
      <c r="H5790" s="41"/>
      <c r="I5790" s="42"/>
      <c r="J5790" s="120"/>
      <c r="K5790" s="72"/>
      <c r="L5790" s="53"/>
      <c r="M5790" s="101"/>
      <c r="N5790" s="74"/>
      <c r="O5790" s="102"/>
      <c r="P5790" s="102"/>
      <c r="Q5790" s="57"/>
      <c r="R5790" s="58"/>
      <c r="S5790" s="57"/>
      <c r="T5790" s="77"/>
    </row>
    <row r="5791">
      <c r="A5791" s="119"/>
      <c r="B5791" s="118"/>
      <c r="C5791" s="118"/>
      <c r="D5791" s="56"/>
      <c r="E5791" s="41"/>
      <c r="F5791" s="49"/>
      <c r="G5791" s="71"/>
      <c r="H5791" s="41"/>
      <c r="I5791" s="42"/>
      <c r="J5791" s="120"/>
      <c r="K5791" s="72"/>
      <c r="L5791" s="53"/>
      <c r="M5791" s="101"/>
      <c r="N5791" s="74"/>
      <c r="O5791" s="102"/>
      <c r="P5791" s="102"/>
      <c r="Q5791" s="57"/>
      <c r="R5791" s="58"/>
      <c r="S5791" s="57"/>
      <c r="T5791" s="77"/>
    </row>
    <row r="5792">
      <c r="A5792" s="119"/>
      <c r="B5792" s="118"/>
      <c r="C5792" s="118"/>
      <c r="D5792" s="56"/>
      <c r="E5792" s="41"/>
      <c r="F5792" s="49"/>
      <c r="G5792" s="71"/>
      <c r="H5792" s="41"/>
      <c r="I5792" s="42"/>
      <c r="J5792" s="120"/>
      <c r="K5792" s="72"/>
      <c r="L5792" s="53"/>
      <c r="M5792" s="101"/>
      <c r="N5792" s="74"/>
      <c r="O5792" s="102"/>
      <c r="P5792" s="102"/>
      <c r="Q5792" s="57"/>
      <c r="R5792" s="58"/>
      <c r="S5792" s="57"/>
      <c r="T5792" s="77"/>
    </row>
    <row r="5793">
      <c r="A5793" s="119"/>
      <c r="B5793" s="118"/>
      <c r="C5793" s="118"/>
      <c r="D5793" s="56"/>
      <c r="E5793" s="41"/>
      <c r="F5793" s="49"/>
      <c r="G5793" s="71"/>
      <c r="H5793" s="41"/>
      <c r="I5793" s="42"/>
      <c r="J5793" s="120"/>
      <c r="K5793" s="72"/>
      <c r="L5793" s="53"/>
      <c r="M5793" s="101"/>
      <c r="N5793" s="74"/>
      <c r="O5793" s="102"/>
      <c r="P5793" s="102"/>
      <c r="Q5793" s="57"/>
      <c r="R5793" s="58"/>
      <c r="S5793" s="57"/>
      <c r="T5793" s="77"/>
    </row>
    <row r="5794">
      <c r="A5794" s="119"/>
      <c r="B5794" s="118"/>
      <c r="C5794" s="118"/>
      <c r="D5794" s="56"/>
      <c r="E5794" s="41"/>
      <c r="F5794" s="49"/>
      <c r="G5794" s="71"/>
      <c r="H5794" s="41"/>
      <c r="I5794" s="42"/>
      <c r="J5794" s="120"/>
      <c r="K5794" s="72"/>
      <c r="L5794" s="53"/>
      <c r="M5794" s="101"/>
      <c r="N5794" s="74"/>
      <c r="O5794" s="102"/>
      <c r="P5794" s="102"/>
      <c r="Q5794" s="57"/>
      <c r="R5794" s="58"/>
      <c r="S5794" s="57"/>
      <c r="T5794" s="77"/>
    </row>
    <row r="5795">
      <c r="A5795" s="119"/>
      <c r="B5795" s="118"/>
      <c r="C5795" s="118"/>
      <c r="D5795" s="56"/>
      <c r="E5795" s="41"/>
      <c r="F5795" s="49"/>
      <c r="G5795" s="71"/>
      <c r="H5795" s="41"/>
      <c r="I5795" s="42"/>
      <c r="J5795" s="120"/>
      <c r="K5795" s="72"/>
      <c r="L5795" s="53"/>
      <c r="M5795" s="101"/>
      <c r="N5795" s="74"/>
      <c r="O5795" s="102"/>
      <c r="P5795" s="102"/>
      <c r="Q5795" s="57"/>
      <c r="R5795" s="58"/>
      <c r="S5795" s="57"/>
      <c r="T5795" s="77"/>
    </row>
    <row r="5796">
      <c r="A5796" s="119"/>
      <c r="B5796" s="118"/>
      <c r="C5796" s="118"/>
      <c r="D5796" s="56"/>
      <c r="E5796" s="41"/>
      <c r="F5796" s="49"/>
      <c r="G5796" s="71"/>
      <c r="H5796" s="41"/>
      <c r="I5796" s="42"/>
      <c r="J5796" s="120"/>
      <c r="K5796" s="72"/>
      <c r="L5796" s="53"/>
      <c r="M5796" s="101"/>
      <c r="N5796" s="74"/>
      <c r="O5796" s="102"/>
      <c r="P5796" s="102"/>
      <c r="Q5796" s="57"/>
      <c r="R5796" s="58"/>
      <c r="S5796" s="57"/>
      <c r="T5796" s="77"/>
    </row>
    <row r="5797">
      <c r="A5797" s="119"/>
      <c r="B5797" s="118"/>
      <c r="C5797" s="118"/>
      <c r="D5797" s="56"/>
      <c r="E5797" s="41"/>
      <c r="F5797" s="49"/>
      <c r="G5797" s="71"/>
      <c r="H5797" s="41"/>
      <c r="I5797" s="42"/>
      <c r="J5797" s="120"/>
      <c r="K5797" s="72"/>
      <c r="L5797" s="53"/>
      <c r="M5797" s="101"/>
      <c r="N5797" s="74"/>
      <c r="O5797" s="102"/>
      <c r="P5797" s="102"/>
      <c r="Q5797" s="57"/>
      <c r="R5797" s="58"/>
      <c r="S5797" s="57"/>
      <c r="T5797" s="77"/>
    </row>
    <row r="5798">
      <c r="A5798" s="119"/>
      <c r="B5798" s="118"/>
      <c r="C5798" s="118"/>
      <c r="D5798" s="56"/>
      <c r="E5798" s="41"/>
      <c r="F5798" s="49"/>
      <c r="G5798" s="71"/>
      <c r="H5798" s="41"/>
      <c r="I5798" s="42"/>
      <c r="J5798" s="120"/>
      <c r="K5798" s="72"/>
      <c r="L5798" s="53"/>
      <c r="M5798" s="101"/>
      <c r="N5798" s="74"/>
      <c r="O5798" s="102"/>
      <c r="P5798" s="102"/>
      <c r="Q5798" s="57"/>
      <c r="R5798" s="58"/>
      <c r="S5798" s="57"/>
      <c r="T5798" s="77"/>
    </row>
    <row r="5799">
      <c r="A5799" s="119"/>
      <c r="B5799" s="118"/>
      <c r="C5799" s="118"/>
      <c r="D5799" s="56"/>
      <c r="E5799" s="41"/>
      <c r="F5799" s="49"/>
      <c r="G5799" s="71"/>
      <c r="H5799" s="41"/>
      <c r="I5799" s="42"/>
      <c r="J5799" s="120"/>
      <c r="K5799" s="72"/>
      <c r="L5799" s="53"/>
      <c r="M5799" s="101"/>
      <c r="N5799" s="74"/>
      <c r="O5799" s="102"/>
      <c r="P5799" s="102"/>
      <c r="Q5799" s="57"/>
      <c r="R5799" s="58"/>
      <c r="S5799" s="57"/>
      <c r="T5799" s="77"/>
    </row>
    <row r="5800">
      <c r="A5800" s="119"/>
      <c r="B5800" s="118"/>
      <c r="C5800" s="118"/>
      <c r="D5800" s="56"/>
      <c r="E5800" s="41"/>
      <c r="F5800" s="49"/>
      <c r="G5800" s="71"/>
      <c r="H5800" s="41"/>
      <c r="I5800" s="42"/>
      <c r="J5800" s="120"/>
      <c r="K5800" s="72"/>
      <c r="L5800" s="53"/>
      <c r="M5800" s="101"/>
      <c r="N5800" s="74"/>
      <c r="O5800" s="102"/>
      <c r="P5800" s="102"/>
      <c r="Q5800" s="57"/>
      <c r="R5800" s="58"/>
      <c r="S5800" s="57"/>
      <c r="T5800" s="77"/>
    </row>
    <row r="5801">
      <c r="A5801" s="119"/>
      <c r="B5801" s="118"/>
      <c r="C5801" s="118"/>
      <c r="D5801" s="56"/>
      <c r="E5801" s="41"/>
      <c r="F5801" s="49"/>
      <c r="G5801" s="71"/>
      <c r="H5801" s="41"/>
      <c r="I5801" s="42"/>
      <c r="J5801" s="120"/>
      <c r="K5801" s="72"/>
      <c r="L5801" s="53"/>
      <c r="M5801" s="101"/>
      <c r="N5801" s="74"/>
      <c r="O5801" s="102"/>
      <c r="P5801" s="102"/>
      <c r="Q5801" s="57"/>
      <c r="R5801" s="58"/>
      <c r="S5801" s="57"/>
      <c r="T5801" s="77"/>
    </row>
    <row r="5802">
      <c r="A5802" s="119"/>
      <c r="B5802" s="118"/>
      <c r="C5802" s="118"/>
      <c r="D5802" s="56"/>
      <c r="E5802" s="41"/>
      <c r="F5802" s="49"/>
      <c r="G5802" s="71"/>
      <c r="H5802" s="41"/>
      <c r="I5802" s="42"/>
      <c r="J5802" s="120"/>
      <c r="K5802" s="72"/>
      <c r="L5802" s="53"/>
      <c r="M5802" s="101"/>
      <c r="N5802" s="74"/>
      <c r="O5802" s="102"/>
      <c r="P5802" s="102"/>
      <c r="Q5802" s="57"/>
      <c r="R5802" s="58"/>
      <c r="S5802" s="57"/>
      <c r="T5802" s="77"/>
    </row>
    <row r="5803">
      <c r="A5803" s="119"/>
      <c r="B5803" s="118"/>
      <c r="C5803" s="118"/>
      <c r="D5803" s="56"/>
      <c r="E5803" s="41"/>
      <c r="F5803" s="49"/>
      <c r="G5803" s="71"/>
      <c r="H5803" s="41"/>
      <c r="I5803" s="42"/>
      <c r="J5803" s="120"/>
      <c r="K5803" s="72"/>
      <c r="L5803" s="53"/>
      <c r="M5803" s="101"/>
      <c r="N5803" s="74"/>
      <c r="O5803" s="102"/>
      <c r="P5803" s="102"/>
      <c r="Q5803" s="57"/>
      <c r="R5803" s="58"/>
      <c r="S5803" s="57"/>
      <c r="T5803" s="77"/>
    </row>
    <row r="5804">
      <c r="A5804" s="119"/>
      <c r="B5804" s="118"/>
      <c r="C5804" s="118"/>
      <c r="D5804" s="56"/>
      <c r="E5804" s="41"/>
      <c r="F5804" s="49"/>
      <c r="G5804" s="71"/>
      <c r="H5804" s="41"/>
      <c r="I5804" s="42"/>
      <c r="J5804" s="120"/>
      <c r="K5804" s="72"/>
      <c r="L5804" s="53"/>
      <c r="M5804" s="101"/>
      <c r="N5804" s="74"/>
      <c r="O5804" s="102"/>
      <c r="P5804" s="102"/>
      <c r="Q5804" s="57"/>
      <c r="R5804" s="58"/>
      <c r="S5804" s="57"/>
      <c r="T5804" s="77"/>
    </row>
    <row r="5805">
      <c r="A5805" s="119"/>
      <c r="B5805" s="118"/>
      <c r="C5805" s="118"/>
      <c r="D5805" s="56"/>
      <c r="E5805" s="41"/>
      <c r="F5805" s="49"/>
      <c r="G5805" s="71"/>
      <c r="H5805" s="41"/>
      <c r="I5805" s="42"/>
      <c r="J5805" s="120"/>
      <c r="K5805" s="72"/>
      <c r="L5805" s="53"/>
      <c r="M5805" s="101"/>
      <c r="N5805" s="74"/>
      <c r="O5805" s="102"/>
      <c r="P5805" s="102"/>
      <c r="Q5805" s="57"/>
      <c r="R5805" s="58"/>
      <c r="S5805" s="57"/>
      <c r="T5805" s="77"/>
    </row>
    <row r="5806">
      <c r="A5806" s="119"/>
      <c r="B5806" s="118"/>
      <c r="C5806" s="118"/>
      <c r="D5806" s="56"/>
      <c r="E5806" s="41"/>
      <c r="F5806" s="49"/>
      <c r="G5806" s="71"/>
      <c r="H5806" s="41"/>
      <c r="I5806" s="42"/>
      <c r="J5806" s="120"/>
      <c r="K5806" s="72"/>
      <c r="L5806" s="53"/>
      <c r="M5806" s="101"/>
      <c r="N5806" s="74"/>
      <c r="O5806" s="102"/>
      <c r="P5806" s="102"/>
      <c r="Q5806" s="57"/>
      <c r="R5806" s="58"/>
      <c r="S5806" s="57"/>
      <c r="T5806" s="77"/>
    </row>
    <row r="5807">
      <c r="A5807" s="119"/>
      <c r="B5807" s="118"/>
      <c r="C5807" s="118"/>
      <c r="D5807" s="56"/>
      <c r="E5807" s="41"/>
      <c r="F5807" s="49"/>
      <c r="G5807" s="71"/>
      <c r="H5807" s="41"/>
      <c r="I5807" s="42"/>
      <c r="J5807" s="120"/>
      <c r="K5807" s="72"/>
      <c r="L5807" s="53"/>
      <c r="M5807" s="101"/>
      <c r="N5807" s="74"/>
      <c r="O5807" s="102"/>
      <c r="P5807" s="102"/>
      <c r="Q5807" s="57"/>
      <c r="R5807" s="58"/>
      <c r="S5807" s="57"/>
      <c r="T5807" s="77"/>
    </row>
    <row r="5808">
      <c r="A5808" s="119"/>
      <c r="B5808" s="118"/>
      <c r="C5808" s="118"/>
      <c r="D5808" s="56"/>
      <c r="E5808" s="41"/>
      <c r="F5808" s="49"/>
      <c r="G5808" s="71"/>
      <c r="H5808" s="41"/>
      <c r="I5808" s="42"/>
      <c r="J5808" s="120"/>
      <c r="K5808" s="72"/>
      <c r="L5808" s="53"/>
      <c r="M5808" s="101"/>
      <c r="N5808" s="74"/>
      <c r="O5808" s="102"/>
      <c r="P5808" s="102"/>
      <c r="Q5808" s="57"/>
      <c r="R5808" s="58"/>
      <c r="S5808" s="57"/>
      <c r="T5808" s="77"/>
    </row>
    <row r="5809">
      <c r="A5809" s="119"/>
      <c r="B5809" s="118"/>
      <c r="C5809" s="118"/>
      <c r="D5809" s="56"/>
      <c r="E5809" s="41"/>
      <c r="F5809" s="49"/>
      <c r="G5809" s="71"/>
      <c r="H5809" s="41"/>
      <c r="I5809" s="42"/>
      <c r="J5809" s="120"/>
      <c r="K5809" s="72"/>
      <c r="L5809" s="53"/>
      <c r="M5809" s="101"/>
      <c r="N5809" s="74"/>
      <c r="O5809" s="102"/>
      <c r="P5809" s="102"/>
      <c r="Q5809" s="57"/>
      <c r="R5809" s="58"/>
      <c r="S5809" s="57"/>
      <c r="T5809" s="77"/>
    </row>
    <row r="5810">
      <c r="A5810" s="119"/>
      <c r="B5810" s="118"/>
      <c r="C5810" s="118"/>
      <c r="D5810" s="56"/>
      <c r="E5810" s="41"/>
      <c r="F5810" s="49"/>
      <c r="G5810" s="71"/>
      <c r="H5810" s="41"/>
      <c r="I5810" s="42"/>
      <c r="J5810" s="120"/>
      <c r="K5810" s="72"/>
      <c r="L5810" s="53"/>
      <c r="M5810" s="101"/>
      <c r="N5810" s="74"/>
      <c r="O5810" s="102"/>
      <c r="P5810" s="102"/>
      <c r="Q5810" s="57"/>
      <c r="R5810" s="58"/>
      <c r="S5810" s="57"/>
      <c r="T5810" s="77"/>
    </row>
    <row r="5811">
      <c r="A5811" s="119"/>
      <c r="B5811" s="118"/>
      <c r="C5811" s="118"/>
      <c r="D5811" s="56"/>
      <c r="E5811" s="41"/>
      <c r="F5811" s="49"/>
      <c r="G5811" s="71"/>
      <c r="H5811" s="41"/>
      <c r="I5811" s="42"/>
      <c r="J5811" s="120"/>
      <c r="K5811" s="72"/>
      <c r="L5811" s="53"/>
      <c r="M5811" s="101"/>
      <c r="N5811" s="74"/>
      <c r="O5811" s="102"/>
      <c r="P5811" s="102"/>
      <c r="Q5811" s="57"/>
      <c r="R5811" s="58"/>
      <c r="S5811" s="57"/>
      <c r="T5811" s="77"/>
    </row>
    <row r="5812">
      <c r="A5812" s="119"/>
      <c r="B5812" s="118"/>
      <c r="C5812" s="118"/>
      <c r="D5812" s="56"/>
      <c r="E5812" s="41"/>
      <c r="F5812" s="49"/>
      <c r="G5812" s="71"/>
      <c r="H5812" s="41"/>
      <c r="I5812" s="42"/>
      <c r="J5812" s="120"/>
      <c r="K5812" s="72"/>
      <c r="L5812" s="53"/>
      <c r="M5812" s="101"/>
      <c r="N5812" s="74"/>
      <c r="O5812" s="102"/>
      <c r="P5812" s="102"/>
      <c r="Q5812" s="57"/>
      <c r="R5812" s="58"/>
      <c r="S5812" s="57"/>
      <c r="T5812" s="77"/>
    </row>
    <row r="5813">
      <c r="A5813" s="119"/>
      <c r="B5813" s="118"/>
      <c r="C5813" s="118"/>
      <c r="D5813" s="56"/>
      <c r="E5813" s="41"/>
      <c r="F5813" s="49"/>
      <c r="G5813" s="71"/>
      <c r="H5813" s="41"/>
      <c r="I5813" s="42"/>
      <c r="J5813" s="120"/>
      <c r="K5813" s="72"/>
      <c r="L5813" s="53"/>
      <c r="M5813" s="101"/>
      <c r="N5813" s="74"/>
      <c r="O5813" s="102"/>
      <c r="P5813" s="102"/>
      <c r="Q5813" s="57"/>
      <c r="R5813" s="58"/>
      <c r="S5813" s="57"/>
      <c r="T5813" s="77"/>
    </row>
    <row r="5814">
      <c r="A5814" s="119"/>
      <c r="B5814" s="118"/>
      <c r="C5814" s="118"/>
      <c r="D5814" s="56"/>
      <c r="E5814" s="41"/>
      <c r="F5814" s="49"/>
      <c r="G5814" s="71"/>
      <c r="H5814" s="41"/>
      <c r="I5814" s="42"/>
      <c r="J5814" s="120"/>
      <c r="K5814" s="72"/>
      <c r="L5814" s="53"/>
      <c r="M5814" s="101"/>
      <c r="N5814" s="74"/>
      <c r="O5814" s="102"/>
      <c r="P5814" s="102"/>
      <c r="Q5814" s="57"/>
      <c r="R5814" s="58"/>
      <c r="S5814" s="57"/>
      <c r="T5814" s="77"/>
    </row>
    <row r="5815">
      <c r="A5815" s="119"/>
      <c r="B5815" s="118"/>
      <c r="C5815" s="118"/>
      <c r="D5815" s="56"/>
      <c r="E5815" s="41"/>
      <c r="F5815" s="49"/>
      <c r="G5815" s="71"/>
      <c r="H5815" s="41"/>
      <c r="I5815" s="42"/>
      <c r="J5815" s="120"/>
      <c r="K5815" s="72"/>
      <c r="L5815" s="53"/>
      <c r="M5815" s="101"/>
      <c r="N5815" s="74"/>
      <c r="O5815" s="102"/>
      <c r="P5815" s="102"/>
      <c r="Q5815" s="57"/>
      <c r="R5815" s="58"/>
      <c r="S5815" s="57"/>
      <c r="T5815" s="77"/>
    </row>
    <row r="5816">
      <c r="A5816" s="119"/>
      <c r="B5816" s="118"/>
      <c r="C5816" s="118"/>
      <c r="D5816" s="56"/>
      <c r="E5816" s="41"/>
      <c r="F5816" s="49"/>
      <c r="G5816" s="71"/>
      <c r="H5816" s="41"/>
      <c r="I5816" s="42"/>
      <c r="J5816" s="120"/>
      <c r="K5816" s="72"/>
      <c r="L5816" s="53"/>
      <c r="M5816" s="101"/>
      <c r="N5816" s="74"/>
      <c r="O5816" s="102"/>
      <c r="P5816" s="102"/>
      <c r="Q5816" s="57"/>
      <c r="R5816" s="58"/>
      <c r="S5816" s="57"/>
      <c r="T5816" s="77"/>
    </row>
    <row r="5817">
      <c r="A5817" s="119"/>
      <c r="B5817" s="118"/>
      <c r="C5817" s="118"/>
      <c r="D5817" s="56"/>
      <c r="E5817" s="41"/>
      <c r="F5817" s="49"/>
      <c r="G5817" s="71"/>
      <c r="H5817" s="41"/>
      <c r="I5817" s="42"/>
      <c r="J5817" s="120"/>
      <c r="K5817" s="72"/>
      <c r="L5817" s="53"/>
      <c r="M5817" s="101"/>
      <c r="N5817" s="74"/>
      <c r="O5817" s="102"/>
      <c r="P5817" s="102"/>
      <c r="Q5817" s="57"/>
      <c r="R5817" s="58"/>
      <c r="S5817" s="57"/>
      <c r="T5817" s="77"/>
    </row>
    <row r="5818">
      <c r="A5818" s="119"/>
      <c r="B5818" s="118"/>
      <c r="C5818" s="118"/>
      <c r="D5818" s="56"/>
      <c r="E5818" s="41"/>
      <c r="F5818" s="49"/>
      <c r="G5818" s="71"/>
      <c r="H5818" s="41"/>
      <c r="I5818" s="42"/>
      <c r="J5818" s="120"/>
      <c r="K5818" s="72"/>
      <c r="L5818" s="53"/>
      <c r="M5818" s="101"/>
      <c r="N5818" s="74"/>
      <c r="O5818" s="102"/>
      <c r="P5818" s="102"/>
      <c r="Q5818" s="57"/>
      <c r="R5818" s="58"/>
      <c r="S5818" s="57"/>
      <c r="T5818" s="77"/>
    </row>
    <row r="5819">
      <c r="A5819" s="119"/>
      <c r="B5819" s="118"/>
      <c r="C5819" s="118"/>
      <c r="D5819" s="56"/>
      <c r="E5819" s="41"/>
      <c r="F5819" s="49"/>
      <c r="G5819" s="71"/>
      <c r="H5819" s="41"/>
      <c r="I5819" s="42"/>
      <c r="J5819" s="120"/>
      <c r="K5819" s="72"/>
      <c r="L5819" s="53"/>
      <c r="M5819" s="101"/>
      <c r="N5819" s="74"/>
      <c r="O5819" s="102"/>
      <c r="P5819" s="102"/>
      <c r="Q5819" s="57"/>
      <c r="R5819" s="58"/>
      <c r="S5819" s="57"/>
      <c r="T5819" s="77"/>
    </row>
    <row r="5820">
      <c r="A5820" s="119"/>
      <c r="B5820" s="118"/>
      <c r="C5820" s="118"/>
      <c r="D5820" s="56"/>
      <c r="E5820" s="41"/>
      <c r="F5820" s="49"/>
      <c r="G5820" s="71"/>
      <c r="H5820" s="41"/>
      <c r="I5820" s="42"/>
      <c r="J5820" s="120"/>
      <c r="K5820" s="72"/>
      <c r="L5820" s="53"/>
      <c r="M5820" s="101"/>
      <c r="N5820" s="74"/>
      <c r="O5820" s="102"/>
      <c r="P5820" s="102"/>
      <c r="Q5820" s="57"/>
      <c r="R5820" s="58"/>
      <c r="S5820" s="57"/>
      <c r="T5820" s="77"/>
    </row>
    <row r="5821">
      <c r="A5821" s="119"/>
      <c r="B5821" s="118"/>
      <c r="C5821" s="118"/>
      <c r="D5821" s="56"/>
      <c r="E5821" s="41"/>
      <c r="F5821" s="49"/>
      <c r="G5821" s="71"/>
      <c r="H5821" s="41"/>
      <c r="I5821" s="42"/>
      <c r="J5821" s="120"/>
      <c r="K5821" s="72"/>
      <c r="L5821" s="53"/>
      <c r="M5821" s="101"/>
      <c r="N5821" s="74"/>
      <c r="O5821" s="102"/>
      <c r="P5821" s="102"/>
      <c r="Q5821" s="57"/>
      <c r="R5821" s="58"/>
      <c r="S5821" s="57"/>
      <c r="T5821" s="77"/>
    </row>
    <row r="5822">
      <c r="A5822" s="119"/>
      <c r="B5822" s="118"/>
      <c r="C5822" s="118"/>
      <c r="D5822" s="56"/>
      <c r="E5822" s="41"/>
      <c r="F5822" s="49"/>
      <c r="G5822" s="71"/>
      <c r="H5822" s="41"/>
      <c r="I5822" s="42"/>
      <c r="J5822" s="120"/>
      <c r="K5822" s="72"/>
      <c r="L5822" s="53"/>
      <c r="M5822" s="101"/>
      <c r="N5822" s="74"/>
      <c r="O5822" s="102"/>
      <c r="P5822" s="102"/>
      <c r="Q5822" s="57"/>
      <c r="R5822" s="58"/>
      <c r="S5822" s="57"/>
      <c r="T5822" s="77"/>
    </row>
    <row r="5823">
      <c r="A5823" s="119"/>
      <c r="B5823" s="118"/>
      <c r="C5823" s="118"/>
      <c r="D5823" s="56"/>
      <c r="E5823" s="41"/>
      <c r="F5823" s="49"/>
      <c r="G5823" s="71"/>
      <c r="H5823" s="41"/>
      <c r="I5823" s="42"/>
      <c r="J5823" s="120"/>
      <c r="K5823" s="72"/>
      <c r="L5823" s="53"/>
      <c r="M5823" s="101"/>
      <c r="N5823" s="74"/>
      <c r="O5823" s="102"/>
      <c r="P5823" s="102"/>
      <c r="Q5823" s="57"/>
      <c r="R5823" s="58"/>
      <c r="S5823" s="57"/>
      <c r="T5823" s="77"/>
    </row>
    <row r="5824">
      <c r="A5824" s="119"/>
      <c r="B5824" s="118"/>
      <c r="C5824" s="118"/>
      <c r="D5824" s="56"/>
      <c r="E5824" s="41"/>
      <c r="F5824" s="49"/>
      <c r="G5824" s="71"/>
      <c r="H5824" s="41"/>
      <c r="I5824" s="42"/>
      <c r="J5824" s="120"/>
      <c r="K5824" s="72"/>
      <c r="L5824" s="53"/>
      <c r="M5824" s="101"/>
      <c r="N5824" s="74"/>
      <c r="O5824" s="102"/>
      <c r="P5824" s="102"/>
      <c r="Q5824" s="57"/>
      <c r="R5824" s="58"/>
      <c r="S5824" s="57"/>
      <c r="T5824" s="77"/>
    </row>
    <row r="5825">
      <c r="A5825" s="119"/>
      <c r="B5825" s="118"/>
      <c r="C5825" s="118"/>
      <c r="D5825" s="56"/>
      <c r="E5825" s="41"/>
      <c r="F5825" s="49"/>
      <c r="G5825" s="71"/>
      <c r="H5825" s="41"/>
      <c r="I5825" s="42"/>
      <c r="J5825" s="120"/>
      <c r="K5825" s="72"/>
      <c r="L5825" s="53"/>
      <c r="M5825" s="101"/>
      <c r="N5825" s="74"/>
      <c r="O5825" s="102"/>
      <c r="P5825" s="102"/>
      <c r="Q5825" s="57"/>
      <c r="R5825" s="58"/>
      <c r="S5825" s="57"/>
      <c r="T5825" s="77"/>
    </row>
    <row r="5826">
      <c r="A5826" s="119"/>
      <c r="B5826" s="118"/>
      <c r="C5826" s="118"/>
      <c r="D5826" s="56"/>
      <c r="E5826" s="41"/>
      <c r="F5826" s="49"/>
      <c r="G5826" s="71"/>
      <c r="H5826" s="41"/>
      <c r="I5826" s="42"/>
      <c r="J5826" s="120"/>
      <c r="K5826" s="72"/>
      <c r="L5826" s="53"/>
      <c r="M5826" s="101"/>
      <c r="N5826" s="74"/>
      <c r="O5826" s="102"/>
      <c r="P5826" s="102"/>
      <c r="Q5826" s="57"/>
      <c r="R5826" s="58"/>
      <c r="S5826" s="57"/>
      <c r="T5826" s="77"/>
    </row>
    <row r="5827">
      <c r="A5827" s="119"/>
      <c r="B5827" s="118"/>
      <c r="C5827" s="118"/>
      <c r="D5827" s="56"/>
      <c r="E5827" s="41"/>
      <c r="F5827" s="49"/>
      <c r="G5827" s="71"/>
      <c r="H5827" s="41"/>
      <c r="I5827" s="42"/>
      <c r="J5827" s="120"/>
      <c r="K5827" s="72"/>
      <c r="L5827" s="53"/>
      <c r="M5827" s="101"/>
      <c r="N5827" s="74"/>
      <c r="O5827" s="102"/>
      <c r="P5827" s="102"/>
      <c r="Q5827" s="57"/>
      <c r="R5827" s="58"/>
      <c r="S5827" s="57"/>
      <c r="T5827" s="77"/>
    </row>
    <row r="5828">
      <c r="A5828" s="119"/>
      <c r="B5828" s="118"/>
      <c r="C5828" s="118"/>
      <c r="D5828" s="56"/>
      <c r="E5828" s="41"/>
      <c r="F5828" s="49"/>
      <c r="G5828" s="71"/>
      <c r="H5828" s="41"/>
      <c r="I5828" s="42"/>
      <c r="J5828" s="120"/>
      <c r="K5828" s="72"/>
      <c r="L5828" s="53"/>
      <c r="M5828" s="101"/>
      <c r="N5828" s="74"/>
      <c r="O5828" s="102"/>
      <c r="P5828" s="102"/>
      <c r="Q5828" s="57"/>
      <c r="R5828" s="58"/>
      <c r="S5828" s="57"/>
      <c r="T5828" s="77"/>
    </row>
    <row r="5829">
      <c r="A5829" s="119"/>
      <c r="B5829" s="118"/>
      <c r="C5829" s="118"/>
      <c r="D5829" s="56"/>
      <c r="E5829" s="41"/>
      <c r="F5829" s="49"/>
      <c r="G5829" s="71"/>
      <c r="H5829" s="41"/>
      <c r="I5829" s="42"/>
      <c r="J5829" s="120"/>
      <c r="K5829" s="72"/>
      <c r="L5829" s="53"/>
      <c r="M5829" s="101"/>
      <c r="N5829" s="74"/>
      <c r="O5829" s="102"/>
      <c r="P5829" s="102"/>
      <c r="Q5829" s="57"/>
      <c r="R5829" s="58"/>
      <c r="S5829" s="57"/>
      <c r="T5829" s="77"/>
    </row>
    <row r="5830">
      <c r="A5830" s="119"/>
      <c r="B5830" s="118"/>
      <c r="C5830" s="118"/>
      <c r="D5830" s="56"/>
      <c r="E5830" s="41"/>
      <c r="F5830" s="49"/>
      <c r="G5830" s="71"/>
      <c r="H5830" s="41"/>
      <c r="I5830" s="42"/>
      <c r="J5830" s="120"/>
      <c r="K5830" s="72"/>
      <c r="L5830" s="53"/>
      <c r="M5830" s="101"/>
      <c r="N5830" s="74"/>
      <c r="O5830" s="102"/>
      <c r="P5830" s="102"/>
      <c r="Q5830" s="57"/>
      <c r="R5830" s="58"/>
      <c r="S5830" s="57"/>
      <c r="T5830" s="77"/>
    </row>
    <row r="5831">
      <c r="A5831" s="119"/>
      <c r="B5831" s="118"/>
      <c r="C5831" s="118"/>
      <c r="D5831" s="56"/>
      <c r="E5831" s="41"/>
      <c r="F5831" s="49"/>
      <c r="G5831" s="71"/>
      <c r="H5831" s="41"/>
      <c r="I5831" s="42"/>
      <c r="J5831" s="120"/>
      <c r="K5831" s="72"/>
      <c r="L5831" s="53"/>
      <c r="M5831" s="101"/>
      <c r="N5831" s="74"/>
      <c r="O5831" s="102"/>
      <c r="P5831" s="102"/>
      <c r="Q5831" s="57"/>
      <c r="R5831" s="58"/>
      <c r="S5831" s="57"/>
      <c r="T5831" s="77"/>
    </row>
    <row r="5832">
      <c r="A5832" s="119"/>
      <c r="B5832" s="118"/>
      <c r="C5832" s="118"/>
      <c r="D5832" s="56"/>
      <c r="E5832" s="41"/>
      <c r="F5832" s="49"/>
      <c r="G5832" s="71"/>
      <c r="H5832" s="41"/>
      <c r="I5832" s="42"/>
      <c r="J5832" s="120"/>
      <c r="K5832" s="72"/>
      <c r="L5832" s="53"/>
      <c r="M5832" s="101"/>
      <c r="N5832" s="74"/>
      <c r="O5832" s="102"/>
      <c r="P5832" s="102"/>
      <c r="Q5832" s="57"/>
      <c r="R5832" s="58"/>
      <c r="S5832" s="57"/>
      <c r="T5832" s="77"/>
    </row>
    <row r="5833">
      <c r="A5833" s="119"/>
      <c r="B5833" s="118"/>
      <c r="C5833" s="118"/>
      <c r="D5833" s="56"/>
      <c r="E5833" s="41"/>
      <c r="F5833" s="49"/>
      <c r="G5833" s="71"/>
      <c r="H5833" s="41"/>
      <c r="I5833" s="42"/>
      <c r="J5833" s="120"/>
      <c r="K5833" s="72"/>
      <c r="L5833" s="53"/>
      <c r="M5833" s="101"/>
      <c r="N5833" s="74"/>
      <c r="O5833" s="102"/>
      <c r="P5833" s="102"/>
      <c r="Q5833" s="57"/>
      <c r="R5833" s="58"/>
      <c r="S5833" s="57"/>
      <c r="T5833" s="77"/>
    </row>
    <row r="5834">
      <c r="A5834" s="119"/>
      <c r="B5834" s="118"/>
      <c r="C5834" s="118"/>
      <c r="D5834" s="56"/>
      <c r="E5834" s="41"/>
      <c r="F5834" s="49"/>
      <c r="G5834" s="71"/>
      <c r="H5834" s="41"/>
      <c r="I5834" s="42"/>
      <c r="J5834" s="120"/>
      <c r="K5834" s="72"/>
      <c r="L5834" s="53"/>
      <c r="M5834" s="101"/>
      <c r="N5834" s="74"/>
      <c r="O5834" s="102"/>
      <c r="P5834" s="102"/>
      <c r="Q5834" s="57"/>
      <c r="R5834" s="58"/>
      <c r="S5834" s="57"/>
      <c r="T5834" s="77"/>
    </row>
    <row r="5835">
      <c r="A5835" s="119"/>
      <c r="B5835" s="118"/>
      <c r="C5835" s="118"/>
      <c r="D5835" s="56"/>
      <c r="E5835" s="41"/>
      <c r="F5835" s="49"/>
      <c r="G5835" s="71"/>
      <c r="H5835" s="41"/>
      <c r="I5835" s="42"/>
      <c r="J5835" s="120"/>
      <c r="K5835" s="72"/>
      <c r="L5835" s="53"/>
      <c r="M5835" s="101"/>
      <c r="N5835" s="74"/>
      <c r="O5835" s="102"/>
      <c r="P5835" s="102"/>
      <c r="Q5835" s="57"/>
      <c r="R5835" s="58"/>
      <c r="S5835" s="57"/>
      <c r="T5835" s="77"/>
    </row>
    <row r="5836">
      <c r="A5836" s="119"/>
      <c r="B5836" s="118"/>
      <c r="C5836" s="118"/>
      <c r="D5836" s="56"/>
      <c r="E5836" s="41"/>
      <c r="F5836" s="49"/>
      <c r="G5836" s="71"/>
      <c r="H5836" s="41"/>
      <c r="I5836" s="42"/>
      <c r="J5836" s="120"/>
      <c r="K5836" s="72"/>
      <c r="L5836" s="53"/>
      <c r="M5836" s="101"/>
      <c r="N5836" s="74"/>
      <c r="O5836" s="102"/>
      <c r="P5836" s="102"/>
      <c r="Q5836" s="57"/>
      <c r="R5836" s="58"/>
      <c r="S5836" s="57"/>
      <c r="T5836" s="77"/>
    </row>
    <row r="5837">
      <c r="A5837" s="119"/>
      <c r="B5837" s="118"/>
      <c r="C5837" s="118"/>
      <c r="D5837" s="56"/>
      <c r="E5837" s="41"/>
      <c r="F5837" s="49"/>
      <c r="G5837" s="71"/>
      <c r="H5837" s="41"/>
      <c r="I5837" s="42"/>
      <c r="J5837" s="120"/>
      <c r="K5837" s="72"/>
      <c r="L5837" s="53"/>
      <c r="M5837" s="101"/>
      <c r="N5837" s="74"/>
      <c r="O5837" s="102"/>
      <c r="P5837" s="102"/>
      <c r="Q5837" s="57"/>
      <c r="R5837" s="58"/>
      <c r="S5837" s="57"/>
      <c r="T5837" s="77"/>
    </row>
    <row r="5838">
      <c r="A5838" s="119"/>
      <c r="B5838" s="118"/>
      <c r="C5838" s="118"/>
      <c r="D5838" s="56"/>
      <c r="E5838" s="41"/>
      <c r="F5838" s="49"/>
      <c r="G5838" s="71"/>
      <c r="H5838" s="41"/>
      <c r="I5838" s="42"/>
      <c r="J5838" s="120"/>
      <c r="K5838" s="72"/>
      <c r="L5838" s="53"/>
      <c r="M5838" s="101"/>
      <c r="N5838" s="74"/>
      <c r="O5838" s="102"/>
      <c r="P5838" s="102"/>
      <c r="Q5838" s="57"/>
      <c r="R5838" s="58"/>
      <c r="S5838" s="57"/>
      <c r="T5838" s="77"/>
    </row>
    <row r="5839">
      <c r="A5839" s="119"/>
      <c r="B5839" s="118"/>
      <c r="C5839" s="118"/>
      <c r="D5839" s="56"/>
      <c r="E5839" s="41"/>
      <c r="F5839" s="49"/>
      <c r="G5839" s="71"/>
      <c r="H5839" s="41"/>
      <c r="I5839" s="42"/>
      <c r="J5839" s="120"/>
      <c r="K5839" s="72"/>
      <c r="L5839" s="53"/>
      <c r="M5839" s="101"/>
      <c r="N5839" s="74"/>
      <c r="O5839" s="102"/>
      <c r="P5839" s="102"/>
      <c r="Q5839" s="57"/>
      <c r="R5839" s="58"/>
      <c r="S5839" s="57"/>
      <c r="T5839" s="77"/>
    </row>
    <row r="5840">
      <c r="A5840" s="119"/>
      <c r="B5840" s="118"/>
      <c r="C5840" s="118"/>
      <c r="D5840" s="56"/>
      <c r="E5840" s="41"/>
      <c r="F5840" s="49"/>
      <c r="G5840" s="71"/>
      <c r="H5840" s="41"/>
      <c r="I5840" s="42"/>
      <c r="J5840" s="120"/>
      <c r="K5840" s="72"/>
      <c r="L5840" s="53"/>
      <c r="M5840" s="101"/>
      <c r="N5840" s="74"/>
      <c r="O5840" s="102"/>
      <c r="P5840" s="102"/>
      <c r="Q5840" s="57"/>
      <c r="R5840" s="58"/>
      <c r="S5840" s="57"/>
      <c r="T5840" s="77"/>
    </row>
    <row r="5841">
      <c r="A5841" s="119"/>
      <c r="B5841" s="118"/>
      <c r="C5841" s="118"/>
      <c r="D5841" s="56"/>
      <c r="E5841" s="41"/>
      <c r="F5841" s="49"/>
      <c r="G5841" s="71"/>
      <c r="H5841" s="41"/>
      <c r="I5841" s="42"/>
      <c r="J5841" s="120"/>
      <c r="K5841" s="72"/>
      <c r="L5841" s="53"/>
      <c r="M5841" s="101"/>
      <c r="N5841" s="74"/>
      <c r="O5841" s="102"/>
      <c r="P5841" s="102"/>
      <c r="Q5841" s="57"/>
      <c r="R5841" s="58"/>
      <c r="S5841" s="57"/>
      <c r="T5841" s="77"/>
    </row>
    <row r="5842">
      <c r="A5842" s="119"/>
      <c r="B5842" s="118"/>
      <c r="C5842" s="118"/>
      <c r="D5842" s="56"/>
      <c r="E5842" s="41"/>
      <c r="F5842" s="49"/>
      <c r="G5842" s="71"/>
      <c r="H5842" s="41"/>
      <c r="I5842" s="42"/>
      <c r="J5842" s="120"/>
      <c r="K5842" s="72"/>
      <c r="L5842" s="53"/>
      <c r="M5842" s="101"/>
      <c r="N5842" s="74"/>
      <c r="O5842" s="102"/>
      <c r="P5842" s="102"/>
      <c r="Q5842" s="57"/>
      <c r="R5842" s="58"/>
      <c r="S5842" s="57"/>
      <c r="T5842" s="77"/>
    </row>
    <row r="5843">
      <c r="A5843" s="119"/>
      <c r="B5843" s="118"/>
      <c r="C5843" s="118"/>
      <c r="D5843" s="56"/>
      <c r="E5843" s="41"/>
      <c r="F5843" s="49"/>
      <c r="G5843" s="71"/>
      <c r="H5843" s="41"/>
      <c r="I5843" s="42"/>
      <c r="J5843" s="120"/>
      <c r="K5843" s="72"/>
      <c r="L5843" s="53"/>
      <c r="M5843" s="101"/>
      <c r="N5843" s="74"/>
      <c r="O5843" s="102"/>
      <c r="P5843" s="102"/>
      <c r="Q5843" s="57"/>
      <c r="R5843" s="58"/>
      <c r="S5843" s="57"/>
      <c r="T5843" s="77"/>
    </row>
    <row r="5844">
      <c r="A5844" s="119"/>
      <c r="B5844" s="118"/>
      <c r="C5844" s="118"/>
      <c r="D5844" s="56"/>
      <c r="E5844" s="41"/>
      <c r="F5844" s="49"/>
      <c r="G5844" s="71"/>
      <c r="H5844" s="41"/>
      <c r="I5844" s="42"/>
      <c r="J5844" s="120"/>
      <c r="K5844" s="72"/>
      <c r="L5844" s="53"/>
      <c r="M5844" s="101"/>
      <c r="N5844" s="74"/>
      <c r="O5844" s="102"/>
      <c r="P5844" s="102"/>
      <c r="Q5844" s="57"/>
      <c r="R5844" s="58"/>
      <c r="S5844" s="57"/>
      <c r="T5844" s="77"/>
    </row>
    <row r="5845">
      <c r="A5845" s="119"/>
      <c r="B5845" s="118"/>
      <c r="C5845" s="118"/>
      <c r="D5845" s="56"/>
      <c r="E5845" s="41"/>
      <c r="F5845" s="49"/>
      <c r="G5845" s="71"/>
      <c r="H5845" s="41"/>
      <c r="I5845" s="42"/>
      <c r="J5845" s="120"/>
      <c r="K5845" s="72"/>
      <c r="L5845" s="53"/>
      <c r="M5845" s="101"/>
      <c r="N5845" s="74"/>
      <c r="O5845" s="102"/>
      <c r="P5845" s="102"/>
      <c r="Q5845" s="57"/>
      <c r="R5845" s="58"/>
      <c r="S5845" s="57"/>
      <c r="T5845" s="77"/>
    </row>
    <row r="5846">
      <c r="A5846" s="119"/>
      <c r="B5846" s="118"/>
      <c r="C5846" s="118"/>
      <c r="D5846" s="56"/>
      <c r="E5846" s="41"/>
      <c r="F5846" s="49"/>
      <c r="G5846" s="71"/>
      <c r="H5846" s="41"/>
      <c r="I5846" s="42"/>
      <c r="J5846" s="120"/>
      <c r="K5846" s="72"/>
      <c r="L5846" s="53"/>
      <c r="M5846" s="101"/>
      <c r="N5846" s="74"/>
      <c r="O5846" s="102"/>
      <c r="P5846" s="102"/>
      <c r="Q5846" s="57"/>
      <c r="R5846" s="58"/>
      <c r="S5846" s="57"/>
      <c r="T5846" s="77"/>
    </row>
    <row r="5847">
      <c r="A5847" s="119"/>
      <c r="B5847" s="118"/>
      <c r="C5847" s="118"/>
      <c r="D5847" s="56"/>
      <c r="E5847" s="41"/>
      <c r="F5847" s="49"/>
      <c r="G5847" s="71"/>
      <c r="H5847" s="41"/>
      <c r="I5847" s="42"/>
      <c r="J5847" s="120"/>
      <c r="K5847" s="72"/>
      <c r="L5847" s="53"/>
      <c r="M5847" s="101"/>
      <c r="N5847" s="74"/>
      <c r="O5847" s="102"/>
      <c r="P5847" s="102"/>
      <c r="Q5847" s="57"/>
      <c r="R5847" s="58"/>
      <c r="S5847" s="57"/>
      <c r="T5847" s="77"/>
    </row>
    <row r="5848">
      <c r="A5848" s="119"/>
      <c r="B5848" s="118"/>
      <c r="C5848" s="118"/>
      <c r="D5848" s="56"/>
      <c r="E5848" s="41"/>
      <c r="F5848" s="49"/>
      <c r="G5848" s="71"/>
      <c r="H5848" s="41"/>
      <c r="I5848" s="42"/>
      <c r="J5848" s="120"/>
      <c r="K5848" s="72"/>
      <c r="L5848" s="53"/>
      <c r="M5848" s="101"/>
      <c r="N5848" s="74"/>
      <c r="O5848" s="102"/>
      <c r="P5848" s="102"/>
      <c r="Q5848" s="57"/>
      <c r="R5848" s="58"/>
      <c r="S5848" s="57"/>
      <c r="T5848" s="77"/>
    </row>
    <row r="5849">
      <c r="A5849" s="119"/>
      <c r="B5849" s="118"/>
      <c r="C5849" s="118"/>
      <c r="D5849" s="56"/>
      <c r="E5849" s="41"/>
      <c r="F5849" s="49"/>
      <c r="G5849" s="71"/>
      <c r="H5849" s="41"/>
      <c r="I5849" s="42"/>
      <c r="J5849" s="120"/>
      <c r="K5849" s="72"/>
      <c r="L5849" s="53"/>
      <c r="M5849" s="101"/>
      <c r="N5849" s="74"/>
      <c r="O5849" s="102"/>
      <c r="P5849" s="102"/>
      <c r="Q5849" s="57"/>
      <c r="R5849" s="58"/>
      <c r="S5849" s="57"/>
      <c r="T5849" s="77"/>
    </row>
    <row r="5850">
      <c r="A5850" s="119"/>
      <c r="B5850" s="118"/>
      <c r="C5850" s="118"/>
      <c r="D5850" s="56"/>
      <c r="E5850" s="41"/>
      <c r="F5850" s="49"/>
      <c r="G5850" s="71"/>
      <c r="H5850" s="41"/>
      <c r="I5850" s="42"/>
      <c r="J5850" s="120"/>
      <c r="K5850" s="72"/>
      <c r="L5850" s="53"/>
      <c r="M5850" s="101"/>
      <c r="N5850" s="74"/>
      <c r="O5850" s="102"/>
      <c r="P5850" s="102"/>
      <c r="Q5850" s="57"/>
      <c r="R5850" s="58"/>
      <c r="S5850" s="57"/>
      <c r="T5850" s="77"/>
    </row>
    <row r="5851">
      <c r="A5851" s="119"/>
      <c r="B5851" s="118"/>
      <c r="C5851" s="118"/>
      <c r="D5851" s="56"/>
      <c r="E5851" s="41"/>
      <c r="F5851" s="49"/>
      <c r="G5851" s="71"/>
      <c r="H5851" s="41"/>
      <c r="I5851" s="42"/>
      <c r="J5851" s="120"/>
      <c r="K5851" s="72"/>
      <c r="L5851" s="53"/>
      <c r="M5851" s="101"/>
      <c r="N5851" s="74"/>
      <c r="O5851" s="102"/>
      <c r="P5851" s="102"/>
      <c r="Q5851" s="57"/>
      <c r="R5851" s="58"/>
      <c r="S5851" s="57"/>
      <c r="T5851" s="77"/>
    </row>
    <row r="5852">
      <c r="A5852" s="119"/>
      <c r="B5852" s="118"/>
      <c r="C5852" s="118"/>
      <c r="D5852" s="56"/>
      <c r="E5852" s="41"/>
      <c r="F5852" s="49"/>
      <c r="G5852" s="71"/>
      <c r="H5852" s="41"/>
      <c r="I5852" s="42"/>
      <c r="J5852" s="120"/>
      <c r="K5852" s="72"/>
      <c r="L5852" s="53"/>
      <c r="M5852" s="101"/>
      <c r="N5852" s="74"/>
      <c r="O5852" s="102"/>
      <c r="P5852" s="102"/>
      <c r="Q5852" s="57"/>
      <c r="R5852" s="58"/>
      <c r="S5852" s="57"/>
      <c r="T5852" s="77"/>
    </row>
    <row r="5853">
      <c r="A5853" s="119"/>
      <c r="B5853" s="118"/>
      <c r="C5853" s="118"/>
      <c r="D5853" s="56"/>
      <c r="E5853" s="41"/>
      <c r="F5853" s="49"/>
      <c r="G5853" s="71"/>
      <c r="H5853" s="41"/>
      <c r="I5853" s="42"/>
      <c r="J5853" s="120"/>
      <c r="K5853" s="72"/>
      <c r="L5853" s="53"/>
      <c r="M5853" s="101"/>
      <c r="N5853" s="74"/>
      <c r="O5853" s="102"/>
      <c r="P5853" s="102"/>
      <c r="Q5853" s="57"/>
      <c r="R5853" s="58"/>
      <c r="S5853" s="57"/>
      <c r="T5853" s="77"/>
    </row>
    <row r="5854">
      <c r="A5854" s="119"/>
      <c r="B5854" s="118"/>
      <c r="C5854" s="118"/>
      <c r="D5854" s="56"/>
      <c r="E5854" s="41"/>
      <c r="F5854" s="49"/>
      <c r="G5854" s="71"/>
      <c r="H5854" s="41"/>
      <c r="I5854" s="42"/>
      <c r="J5854" s="120"/>
      <c r="K5854" s="72"/>
      <c r="L5854" s="53"/>
      <c r="M5854" s="101"/>
      <c r="N5854" s="74"/>
      <c r="O5854" s="102"/>
      <c r="P5854" s="102"/>
      <c r="Q5854" s="57"/>
      <c r="R5854" s="58"/>
      <c r="S5854" s="57"/>
      <c r="T5854" s="77"/>
    </row>
    <row r="5855">
      <c r="A5855" s="119"/>
      <c r="B5855" s="118"/>
      <c r="C5855" s="118"/>
      <c r="D5855" s="56"/>
      <c r="E5855" s="41"/>
      <c r="F5855" s="49"/>
      <c r="G5855" s="71"/>
      <c r="H5855" s="41"/>
      <c r="I5855" s="42"/>
      <c r="J5855" s="120"/>
      <c r="K5855" s="72"/>
      <c r="L5855" s="53"/>
      <c r="M5855" s="101"/>
      <c r="N5855" s="74"/>
      <c r="O5855" s="102"/>
      <c r="P5855" s="102"/>
      <c r="Q5855" s="57"/>
      <c r="R5855" s="58"/>
      <c r="S5855" s="57"/>
      <c r="T5855" s="77"/>
    </row>
    <row r="5856">
      <c r="A5856" s="119"/>
      <c r="B5856" s="118"/>
      <c r="C5856" s="118"/>
      <c r="D5856" s="56"/>
      <c r="E5856" s="41"/>
      <c r="F5856" s="49"/>
      <c r="G5856" s="71"/>
      <c r="H5856" s="41"/>
      <c r="I5856" s="42"/>
      <c r="J5856" s="120"/>
      <c r="K5856" s="72"/>
      <c r="L5856" s="53"/>
      <c r="M5856" s="101"/>
      <c r="N5856" s="74"/>
      <c r="O5856" s="102"/>
      <c r="P5856" s="102"/>
      <c r="Q5856" s="57"/>
      <c r="R5856" s="58"/>
      <c r="S5856" s="57"/>
      <c r="T5856" s="77"/>
    </row>
    <row r="5857">
      <c r="A5857" s="119"/>
      <c r="B5857" s="118"/>
      <c r="C5857" s="118"/>
      <c r="D5857" s="56"/>
      <c r="E5857" s="41"/>
      <c r="F5857" s="49"/>
      <c r="G5857" s="71"/>
      <c r="H5857" s="41"/>
      <c r="I5857" s="42"/>
      <c r="J5857" s="120"/>
      <c r="K5857" s="72"/>
      <c r="L5857" s="53"/>
      <c r="M5857" s="101"/>
      <c r="N5857" s="74"/>
      <c r="O5857" s="102"/>
      <c r="P5857" s="102"/>
      <c r="Q5857" s="57"/>
      <c r="R5857" s="58"/>
      <c r="S5857" s="57"/>
      <c r="T5857" s="77"/>
    </row>
    <row r="5858">
      <c r="A5858" s="119"/>
      <c r="B5858" s="118"/>
      <c r="C5858" s="118"/>
      <c r="D5858" s="56"/>
      <c r="E5858" s="41"/>
      <c r="F5858" s="49"/>
      <c r="G5858" s="71"/>
      <c r="H5858" s="41"/>
      <c r="I5858" s="42"/>
      <c r="J5858" s="120"/>
      <c r="K5858" s="72"/>
      <c r="L5858" s="53"/>
      <c r="M5858" s="101"/>
      <c r="N5858" s="74"/>
      <c r="O5858" s="102"/>
      <c r="P5858" s="102"/>
      <c r="Q5858" s="57"/>
      <c r="R5858" s="58"/>
      <c r="S5858" s="57"/>
      <c r="T5858" s="77"/>
    </row>
    <row r="5859">
      <c r="A5859" s="119"/>
      <c r="B5859" s="118"/>
      <c r="C5859" s="118"/>
      <c r="D5859" s="56"/>
      <c r="E5859" s="41"/>
      <c r="F5859" s="49"/>
      <c r="G5859" s="71"/>
      <c r="H5859" s="41"/>
      <c r="I5859" s="42"/>
      <c r="J5859" s="120"/>
      <c r="K5859" s="72"/>
      <c r="L5859" s="53"/>
      <c r="M5859" s="101"/>
      <c r="N5859" s="74"/>
      <c r="O5859" s="102"/>
      <c r="P5859" s="102"/>
      <c r="Q5859" s="57"/>
      <c r="R5859" s="58"/>
      <c r="S5859" s="57"/>
      <c r="T5859" s="77"/>
    </row>
    <row r="5860">
      <c r="A5860" s="119"/>
      <c r="B5860" s="118"/>
      <c r="C5860" s="118"/>
      <c r="D5860" s="56"/>
      <c r="E5860" s="41"/>
      <c r="F5860" s="49"/>
      <c r="G5860" s="71"/>
      <c r="H5860" s="41"/>
      <c r="I5860" s="42"/>
      <c r="J5860" s="120"/>
      <c r="K5860" s="72"/>
      <c r="L5860" s="53"/>
      <c r="M5860" s="101"/>
      <c r="N5860" s="74"/>
      <c r="O5860" s="102"/>
      <c r="P5860" s="102"/>
      <c r="Q5860" s="57"/>
      <c r="R5860" s="58"/>
      <c r="S5860" s="57"/>
      <c r="T5860" s="77"/>
    </row>
    <row r="5861">
      <c r="A5861" s="119"/>
      <c r="B5861" s="118"/>
      <c r="C5861" s="118"/>
      <c r="D5861" s="56"/>
      <c r="E5861" s="41"/>
      <c r="F5861" s="49"/>
      <c r="G5861" s="71"/>
      <c r="H5861" s="41"/>
      <c r="I5861" s="42"/>
      <c r="J5861" s="120"/>
      <c r="K5861" s="72"/>
      <c r="L5861" s="53"/>
      <c r="M5861" s="101"/>
      <c r="N5861" s="74"/>
      <c r="O5861" s="102"/>
      <c r="P5861" s="102"/>
      <c r="Q5861" s="57"/>
      <c r="R5861" s="58"/>
      <c r="S5861" s="57"/>
      <c r="T5861" s="77"/>
    </row>
    <row r="5862">
      <c r="A5862" s="119"/>
      <c r="B5862" s="118"/>
      <c r="C5862" s="118"/>
      <c r="D5862" s="56"/>
      <c r="E5862" s="41"/>
      <c r="F5862" s="49"/>
      <c r="G5862" s="71"/>
      <c r="H5862" s="41"/>
      <c r="I5862" s="42"/>
      <c r="J5862" s="120"/>
      <c r="K5862" s="72"/>
      <c r="L5862" s="53"/>
      <c r="M5862" s="101"/>
      <c r="N5862" s="74"/>
      <c r="O5862" s="102"/>
      <c r="P5862" s="102"/>
      <c r="Q5862" s="57"/>
      <c r="R5862" s="58"/>
      <c r="S5862" s="57"/>
      <c r="T5862" s="77"/>
    </row>
    <row r="5863">
      <c r="A5863" s="119"/>
      <c r="B5863" s="118"/>
      <c r="C5863" s="118"/>
      <c r="D5863" s="56"/>
      <c r="E5863" s="41"/>
      <c r="F5863" s="49"/>
      <c r="G5863" s="71"/>
      <c r="H5863" s="41"/>
      <c r="I5863" s="42"/>
      <c r="J5863" s="120"/>
      <c r="K5863" s="72"/>
      <c r="L5863" s="53"/>
      <c r="M5863" s="101"/>
      <c r="N5863" s="74"/>
      <c r="O5863" s="102"/>
      <c r="P5863" s="102"/>
      <c r="Q5863" s="57"/>
      <c r="R5863" s="58"/>
      <c r="S5863" s="57"/>
      <c r="T5863" s="77"/>
    </row>
    <row r="5864">
      <c r="A5864" s="119"/>
      <c r="B5864" s="118"/>
      <c r="C5864" s="118"/>
      <c r="D5864" s="56"/>
      <c r="E5864" s="41"/>
      <c r="F5864" s="49"/>
      <c r="G5864" s="71"/>
      <c r="H5864" s="41"/>
      <c r="I5864" s="42"/>
      <c r="J5864" s="120"/>
      <c r="K5864" s="72"/>
      <c r="L5864" s="53"/>
      <c r="M5864" s="101"/>
      <c r="N5864" s="74"/>
      <c r="O5864" s="102"/>
      <c r="P5864" s="102"/>
      <c r="Q5864" s="57"/>
      <c r="R5864" s="58"/>
      <c r="S5864" s="57"/>
      <c r="T5864" s="77"/>
    </row>
    <row r="5865">
      <c r="A5865" s="119"/>
      <c r="B5865" s="118"/>
      <c r="C5865" s="118"/>
      <c r="D5865" s="56"/>
      <c r="E5865" s="41"/>
      <c r="F5865" s="49"/>
      <c r="G5865" s="71"/>
      <c r="H5865" s="41"/>
      <c r="I5865" s="42"/>
      <c r="J5865" s="120"/>
      <c r="K5865" s="72"/>
      <c r="L5865" s="53"/>
      <c r="M5865" s="101"/>
      <c r="N5865" s="74"/>
      <c r="O5865" s="102"/>
      <c r="P5865" s="102"/>
      <c r="Q5865" s="57"/>
      <c r="R5865" s="58"/>
      <c r="S5865" s="57"/>
      <c r="T5865" s="77"/>
    </row>
    <row r="5866">
      <c r="A5866" s="119"/>
      <c r="B5866" s="118"/>
      <c r="C5866" s="118"/>
      <c r="D5866" s="56"/>
      <c r="E5866" s="41"/>
      <c r="F5866" s="49"/>
      <c r="G5866" s="71"/>
      <c r="H5866" s="41"/>
      <c r="I5866" s="42"/>
      <c r="J5866" s="120"/>
      <c r="K5866" s="72"/>
      <c r="L5866" s="53"/>
      <c r="M5866" s="101"/>
      <c r="N5866" s="74"/>
      <c r="O5866" s="102"/>
      <c r="P5866" s="102"/>
      <c r="Q5866" s="57"/>
      <c r="R5866" s="58"/>
      <c r="S5866" s="57"/>
      <c r="T5866" s="77"/>
    </row>
    <row r="5867">
      <c r="A5867" s="119"/>
      <c r="B5867" s="118"/>
      <c r="C5867" s="118"/>
      <c r="D5867" s="56"/>
      <c r="E5867" s="41"/>
      <c r="F5867" s="49"/>
      <c r="G5867" s="71"/>
      <c r="H5867" s="41"/>
      <c r="I5867" s="42"/>
      <c r="J5867" s="120"/>
      <c r="K5867" s="72"/>
      <c r="L5867" s="53"/>
      <c r="M5867" s="101"/>
      <c r="N5867" s="74"/>
      <c r="O5867" s="102"/>
      <c r="P5867" s="102"/>
      <c r="Q5867" s="57"/>
      <c r="R5867" s="58"/>
      <c r="S5867" s="57"/>
      <c r="T5867" s="77"/>
    </row>
    <row r="5868">
      <c r="A5868" s="119"/>
      <c r="B5868" s="118"/>
      <c r="C5868" s="118"/>
      <c r="D5868" s="56"/>
      <c r="E5868" s="41"/>
      <c r="F5868" s="49"/>
      <c r="G5868" s="71"/>
      <c r="H5868" s="41"/>
      <c r="I5868" s="42"/>
      <c r="J5868" s="120"/>
      <c r="K5868" s="72"/>
      <c r="L5868" s="53"/>
      <c r="M5868" s="101"/>
      <c r="N5868" s="74"/>
      <c r="O5868" s="102"/>
      <c r="P5868" s="102"/>
      <c r="Q5868" s="57"/>
      <c r="R5868" s="58"/>
      <c r="S5868" s="57"/>
      <c r="T5868" s="77"/>
    </row>
    <row r="5869">
      <c r="A5869" s="119"/>
      <c r="B5869" s="118"/>
      <c r="C5869" s="118"/>
      <c r="D5869" s="56"/>
      <c r="E5869" s="41"/>
      <c r="F5869" s="49"/>
      <c r="G5869" s="71"/>
      <c r="H5869" s="41"/>
      <c r="I5869" s="42"/>
      <c r="J5869" s="120"/>
      <c r="K5869" s="72"/>
      <c r="L5869" s="53"/>
      <c r="M5869" s="101"/>
      <c r="N5869" s="74"/>
      <c r="O5869" s="102"/>
      <c r="P5869" s="102"/>
      <c r="Q5869" s="57"/>
      <c r="R5869" s="58"/>
      <c r="S5869" s="57"/>
      <c r="T5869" s="77"/>
    </row>
    <row r="5870">
      <c r="A5870" s="119"/>
      <c r="B5870" s="118"/>
      <c r="C5870" s="118"/>
      <c r="D5870" s="56"/>
      <c r="E5870" s="41"/>
      <c r="F5870" s="49"/>
      <c r="G5870" s="71"/>
      <c r="H5870" s="41"/>
      <c r="I5870" s="42"/>
      <c r="J5870" s="120"/>
      <c r="K5870" s="72"/>
      <c r="L5870" s="53"/>
      <c r="M5870" s="101"/>
      <c r="N5870" s="74"/>
      <c r="O5870" s="102"/>
      <c r="P5870" s="102"/>
      <c r="Q5870" s="57"/>
      <c r="R5870" s="58"/>
      <c r="S5870" s="57"/>
      <c r="T5870" s="77"/>
    </row>
    <row r="5871">
      <c r="A5871" s="119"/>
      <c r="B5871" s="118"/>
      <c r="C5871" s="118"/>
      <c r="D5871" s="56"/>
      <c r="E5871" s="41"/>
      <c r="F5871" s="49"/>
      <c r="G5871" s="71"/>
      <c r="H5871" s="41"/>
      <c r="I5871" s="42"/>
      <c r="J5871" s="120"/>
      <c r="K5871" s="72"/>
      <c r="L5871" s="53"/>
      <c r="M5871" s="101"/>
      <c r="N5871" s="74"/>
      <c r="O5871" s="102"/>
      <c r="P5871" s="102"/>
      <c r="Q5871" s="57"/>
      <c r="R5871" s="58"/>
      <c r="S5871" s="57"/>
      <c r="T5871" s="77"/>
    </row>
    <row r="5872">
      <c r="A5872" s="119"/>
      <c r="B5872" s="118"/>
      <c r="C5872" s="118"/>
      <c r="D5872" s="56"/>
      <c r="E5872" s="41"/>
      <c r="F5872" s="49"/>
      <c r="G5872" s="71"/>
      <c r="H5872" s="41"/>
      <c r="I5872" s="42"/>
      <c r="J5872" s="120"/>
      <c r="K5872" s="72"/>
      <c r="L5872" s="53"/>
      <c r="M5872" s="101"/>
      <c r="N5872" s="74"/>
      <c r="O5872" s="102"/>
      <c r="P5872" s="102"/>
      <c r="Q5872" s="57"/>
      <c r="R5872" s="58"/>
      <c r="S5872" s="57"/>
      <c r="T5872" s="77"/>
    </row>
    <row r="5873">
      <c r="A5873" s="119"/>
      <c r="B5873" s="118"/>
      <c r="C5873" s="118"/>
      <c r="D5873" s="56"/>
      <c r="E5873" s="41"/>
      <c r="F5873" s="49"/>
      <c r="G5873" s="71"/>
      <c r="H5873" s="41"/>
      <c r="I5873" s="42"/>
      <c r="J5873" s="120"/>
      <c r="K5873" s="72"/>
      <c r="L5873" s="53"/>
      <c r="M5873" s="101"/>
      <c r="N5873" s="74"/>
      <c r="O5873" s="102"/>
      <c r="P5873" s="102"/>
      <c r="Q5873" s="57"/>
      <c r="R5873" s="58"/>
      <c r="S5873" s="57"/>
      <c r="T5873" s="77"/>
    </row>
    <row r="5874">
      <c r="A5874" s="119"/>
      <c r="B5874" s="118"/>
      <c r="C5874" s="118"/>
      <c r="D5874" s="56"/>
      <c r="E5874" s="41"/>
      <c r="F5874" s="49"/>
      <c r="G5874" s="71"/>
      <c r="H5874" s="41"/>
      <c r="I5874" s="42"/>
      <c r="J5874" s="120"/>
      <c r="K5874" s="72"/>
      <c r="L5874" s="53"/>
      <c r="M5874" s="101"/>
      <c r="N5874" s="74"/>
      <c r="O5874" s="102"/>
      <c r="P5874" s="102"/>
      <c r="Q5874" s="57"/>
      <c r="R5874" s="58"/>
      <c r="S5874" s="57"/>
      <c r="T5874" s="77"/>
    </row>
    <row r="5875">
      <c r="A5875" s="119"/>
      <c r="B5875" s="118"/>
      <c r="C5875" s="118"/>
      <c r="D5875" s="56"/>
      <c r="E5875" s="41"/>
      <c r="F5875" s="49"/>
      <c r="G5875" s="71"/>
      <c r="H5875" s="41"/>
      <c r="I5875" s="42"/>
      <c r="J5875" s="120"/>
      <c r="K5875" s="72"/>
      <c r="L5875" s="53"/>
      <c r="M5875" s="101"/>
      <c r="N5875" s="74"/>
      <c r="O5875" s="102"/>
      <c r="P5875" s="102"/>
      <c r="Q5875" s="57"/>
      <c r="R5875" s="58"/>
      <c r="S5875" s="57"/>
      <c r="T5875" s="77"/>
    </row>
    <row r="5876">
      <c r="A5876" s="119"/>
      <c r="B5876" s="118"/>
      <c r="C5876" s="118"/>
      <c r="D5876" s="56"/>
      <c r="E5876" s="41"/>
      <c r="F5876" s="49"/>
      <c r="G5876" s="71"/>
      <c r="H5876" s="41"/>
      <c r="I5876" s="42"/>
      <c r="J5876" s="120"/>
      <c r="K5876" s="72"/>
      <c r="L5876" s="53"/>
      <c r="M5876" s="101"/>
      <c r="N5876" s="74"/>
      <c r="O5876" s="102"/>
      <c r="P5876" s="102"/>
      <c r="Q5876" s="57"/>
      <c r="R5876" s="58"/>
      <c r="S5876" s="57"/>
      <c r="T5876" s="77"/>
    </row>
    <row r="5877">
      <c r="A5877" s="119"/>
      <c r="B5877" s="118"/>
      <c r="C5877" s="118"/>
      <c r="D5877" s="56"/>
      <c r="E5877" s="41"/>
      <c r="F5877" s="49"/>
      <c r="G5877" s="71"/>
      <c r="H5877" s="41"/>
      <c r="I5877" s="42"/>
      <c r="J5877" s="120"/>
      <c r="K5877" s="72"/>
      <c r="L5877" s="53"/>
      <c r="M5877" s="101"/>
      <c r="N5877" s="74"/>
      <c r="O5877" s="102"/>
      <c r="P5877" s="102"/>
      <c r="Q5877" s="57"/>
      <c r="R5877" s="58"/>
      <c r="S5877" s="57"/>
      <c r="T5877" s="77"/>
    </row>
    <row r="5878">
      <c r="A5878" s="119"/>
      <c r="B5878" s="118"/>
      <c r="C5878" s="118"/>
      <c r="D5878" s="56"/>
      <c r="E5878" s="41"/>
      <c r="F5878" s="49"/>
      <c r="G5878" s="71"/>
      <c r="H5878" s="41"/>
      <c r="I5878" s="42"/>
      <c r="J5878" s="120"/>
      <c r="K5878" s="72"/>
      <c r="L5878" s="53"/>
      <c r="M5878" s="101"/>
      <c r="N5878" s="74"/>
      <c r="O5878" s="102"/>
      <c r="P5878" s="102"/>
      <c r="Q5878" s="57"/>
      <c r="R5878" s="58"/>
      <c r="S5878" s="57"/>
      <c r="T5878" s="77"/>
    </row>
    <row r="5879">
      <c r="A5879" s="119"/>
      <c r="B5879" s="118"/>
      <c r="C5879" s="118"/>
      <c r="D5879" s="56"/>
      <c r="E5879" s="41"/>
      <c r="F5879" s="49"/>
      <c r="G5879" s="71"/>
      <c r="H5879" s="41"/>
      <c r="I5879" s="42"/>
      <c r="J5879" s="120"/>
      <c r="K5879" s="72"/>
      <c r="L5879" s="53"/>
      <c r="M5879" s="101"/>
      <c r="N5879" s="74"/>
      <c r="O5879" s="102"/>
      <c r="P5879" s="102"/>
      <c r="Q5879" s="57"/>
      <c r="R5879" s="58"/>
      <c r="S5879" s="57"/>
      <c r="T5879" s="77"/>
    </row>
    <row r="5880">
      <c r="A5880" s="119"/>
      <c r="B5880" s="118"/>
      <c r="C5880" s="118"/>
      <c r="D5880" s="56"/>
      <c r="E5880" s="41"/>
      <c r="F5880" s="49"/>
      <c r="G5880" s="71"/>
      <c r="H5880" s="41"/>
      <c r="I5880" s="42"/>
      <c r="J5880" s="120"/>
      <c r="K5880" s="72"/>
      <c r="L5880" s="53"/>
      <c r="M5880" s="101"/>
      <c r="N5880" s="74"/>
      <c r="O5880" s="102"/>
      <c r="P5880" s="102"/>
      <c r="Q5880" s="57"/>
      <c r="R5880" s="58"/>
      <c r="S5880" s="57"/>
      <c r="T5880" s="77"/>
    </row>
    <row r="5881">
      <c r="A5881" s="119"/>
      <c r="B5881" s="118"/>
      <c r="C5881" s="118"/>
      <c r="D5881" s="56"/>
      <c r="E5881" s="41"/>
      <c r="F5881" s="49"/>
      <c r="G5881" s="71"/>
      <c r="H5881" s="41"/>
      <c r="I5881" s="42"/>
      <c r="J5881" s="120"/>
      <c r="K5881" s="72"/>
      <c r="L5881" s="53"/>
      <c r="M5881" s="101"/>
      <c r="N5881" s="74"/>
      <c r="O5881" s="102"/>
      <c r="P5881" s="102"/>
      <c r="Q5881" s="57"/>
      <c r="R5881" s="58"/>
      <c r="S5881" s="57"/>
      <c r="T5881" s="77"/>
    </row>
    <row r="5882">
      <c r="A5882" s="119"/>
      <c r="B5882" s="118"/>
      <c r="C5882" s="118"/>
      <c r="D5882" s="56"/>
      <c r="E5882" s="41"/>
      <c r="F5882" s="49"/>
      <c r="G5882" s="71"/>
      <c r="H5882" s="41"/>
      <c r="I5882" s="42"/>
      <c r="J5882" s="120"/>
      <c r="K5882" s="72"/>
      <c r="L5882" s="53"/>
      <c r="M5882" s="101"/>
      <c r="N5882" s="74"/>
      <c r="O5882" s="102"/>
      <c r="P5882" s="102"/>
      <c r="Q5882" s="57"/>
      <c r="R5882" s="58"/>
      <c r="S5882" s="57"/>
      <c r="T5882" s="77"/>
    </row>
    <row r="5883">
      <c r="A5883" s="119"/>
      <c r="B5883" s="118"/>
      <c r="C5883" s="118"/>
      <c r="D5883" s="56"/>
      <c r="E5883" s="41"/>
      <c r="F5883" s="49"/>
      <c r="G5883" s="71"/>
      <c r="H5883" s="41"/>
      <c r="I5883" s="42"/>
      <c r="J5883" s="120"/>
      <c r="K5883" s="72"/>
      <c r="L5883" s="53"/>
      <c r="M5883" s="101"/>
      <c r="N5883" s="74"/>
      <c r="O5883" s="102"/>
      <c r="P5883" s="102"/>
      <c r="Q5883" s="57"/>
      <c r="R5883" s="58"/>
      <c r="S5883" s="57"/>
      <c r="T5883" s="77"/>
    </row>
    <row r="5884">
      <c r="A5884" s="119"/>
      <c r="B5884" s="118"/>
      <c r="C5884" s="118"/>
      <c r="D5884" s="56"/>
      <c r="E5884" s="41"/>
      <c r="F5884" s="49"/>
      <c r="G5884" s="71"/>
      <c r="H5884" s="41"/>
      <c r="I5884" s="42"/>
      <c r="J5884" s="120"/>
      <c r="K5884" s="72"/>
      <c r="L5884" s="53"/>
      <c r="M5884" s="101"/>
      <c r="N5884" s="74"/>
      <c r="O5884" s="102"/>
      <c r="P5884" s="102"/>
      <c r="Q5884" s="57"/>
      <c r="R5884" s="58"/>
      <c r="S5884" s="57"/>
      <c r="T5884" s="77"/>
    </row>
    <row r="5885">
      <c r="A5885" s="119"/>
      <c r="B5885" s="118"/>
      <c r="C5885" s="118"/>
      <c r="D5885" s="56"/>
      <c r="E5885" s="41"/>
      <c r="F5885" s="49"/>
      <c r="G5885" s="71"/>
      <c r="H5885" s="41"/>
      <c r="I5885" s="42"/>
      <c r="J5885" s="120"/>
      <c r="K5885" s="72"/>
      <c r="L5885" s="53"/>
      <c r="M5885" s="101"/>
      <c r="N5885" s="74"/>
      <c r="O5885" s="102"/>
      <c r="P5885" s="102"/>
      <c r="Q5885" s="57"/>
      <c r="R5885" s="58"/>
      <c r="S5885" s="57"/>
      <c r="T5885" s="77"/>
    </row>
    <row r="5886">
      <c r="A5886" s="119"/>
      <c r="B5886" s="118"/>
      <c r="C5886" s="118"/>
      <c r="D5886" s="56"/>
      <c r="E5886" s="41"/>
      <c r="F5886" s="49"/>
      <c r="G5886" s="71"/>
      <c r="H5886" s="41"/>
      <c r="I5886" s="42"/>
      <c r="J5886" s="120"/>
      <c r="K5886" s="72"/>
      <c r="L5886" s="53"/>
      <c r="M5886" s="101"/>
      <c r="N5886" s="74"/>
      <c r="O5886" s="102"/>
      <c r="P5886" s="102"/>
      <c r="Q5886" s="57"/>
      <c r="R5886" s="58"/>
      <c r="S5886" s="57"/>
      <c r="T5886" s="77"/>
    </row>
    <row r="5887">
      <c r="A5887" s="119"/>
      <c r="B5887" s="118"/>
      <c r="C5887" s="118"/>
      <c r="D5887" s="56"/>
      <c r="E5887" s="41"/>
      <c r="F5887" s="49"/>
      <c r="G5887" s="71"/>
      <c r="H5887" s="41"/>
      <c r="I5887" s="42"/>
      <c r="J5887" s="120"/>
      <c r="K5887" s="72"/>
      <c r="L5887" s="53"/>
      <c r="M5887" s="101"/>
      <c r="N5887" s="74"/>
      <c r="O5887" s="102"/>
      <c r="P5887" s="102"/>
      <c r="Q5887" s="57"/>
      <c r="R5887" s="58"/>
      <c r="S5887" s="57"/>
      <c r="T5887" s="77"/>
    </row>
    <row r="5888">
      <c r="A5888" s="119"/>
      <c r="B5888" s="118"/>
      <c r="C5888" s="118"/>
      <c r="D5888" s="56"/>
      <c r="E5888" s="41"/>
      <c r="F5888" s="49"/>
      <c r="G5888" s="71"/>
      <c r="H5888" s="41"/>
      <c r="I5888" s="42"/>
      <c r="J5888" s="120"/>
      <c r="K5888" s="72"/>
      <c r="L5888" s="53"/>
      <c r="M5888" s="101"/>
      <c r="N5888" s="74"/>
      <c r="O5888" s="102"/>
      <c r="P5888" s="102"/>
      <c r="Q5888" s="57"/>
      <c r="R5888" s="58"/>
      <c r="S5888" s="57"/>
      <c r="T5888" s="77"/>
    </row>
    <row r="5889">
      <c r="A5889" s="119"/>
      <c r="B5889" s="118"/>
      <c r="C5889" s="118"/>
      <c r="D5889" s="56"/>
      <c r="E5889" s="41"/>
      <c r="F5889" s="49"/>
      <c r="G5889" s="71"/>
      <c r="H5889" s="41"/>
      <c r="I5889" s="42"/>
      <c r="J5889" s="120"/>
      <c r="K5889" s="72"/>
      <c r="L5889" s="53"/>
      <c r="M5889" s="101"/>
      <c r="N5889" s="74"/>
      <c r="O5889" s="102"/>
      <c r="P5889" s="102"/>
      <c r="Q5889" s="57"/>
      <c r="R5889" s="58"/>
      <c r="S5889" s="57"/>
      <c r="T5889" s="77"/>
    </row>
    <row r="5890">
      <c r="A5890" s="119"/>
      <c r="B5890" s="118"/>
      <c r="C5890" s="118"/>
      <c r="D5890" s="56"/>
      <c r="E5890" s="41"/>
      <c r="F5890" s="49"/>
      <c r="G5890" s="71"/>
      <c r="H5890" s="41"/>
      <c r="I5890" s="42"/>
      <c r="J5890" s="120"/>
      <c r="K5890" s="72"/>
      <c r="L5890" s="53"/>
      <c r="M5890" s="101"/>
      <c r="N5890" s="74"/>
      <c r="O5890" s="102"/>
      <c r="P5890" s="102"/>
      <c r="Q5890" s="57"/>
      <c r="R5890" s="58"/>
      <c r="S5890" s="57"/>
      <c r="T5890" s="77"/>
    </row>
    <row r="5891">
      <c r="A5891" s="119"/>
      <c r="B5891" s="118"/>
      <c r="C5891" s="118"/>
      <c r="D5891" s="56"/>
      <c r="E5891" s="41"/>
      <c r="F5891" s="49"/>
      <c r="G5891" s="71"/>
      <c r="H5891" s="41"/>
      <c r="I5891" s="42"/>
      <c r="J5891" s="120"/>
      <c r="K5891" s="72"/>
      <c r="L5891" s="53"/>
      <c r="M5891" s="101"/>
      <c r="N5891" s="74"/>
      <c r="O5891" s="102"/>
      <c r="P5891" s="102"/>
      <c r="Q5891" s="57"/>
      <c r="R5891" s="58"/>
      <c r="S5891" s="57"/>
      <c r="T5891" s="77"/>
    </row>
    <row r="5892">
      <c r="A5892" s="119"/>
      <c r="B5892" s="118"/>
      <c r="C5892" s="118"/>
      <c r="D5892" s="56"/>
      <c r="E5892" s="41"/>
      <c r="F5892" s="49"/>
      <c r="G5892" s="71"/>
      <c r="H5892" s="41"/>
      <c r="I5892" s="42"/>
      <c r="J5892" s="120"/>
      <c r="K5892" s="72"/>
      <c r="L5892" s="53"/>
      <c r="M5892" s="101"/>
      <c r="N5892" s="74"/>
      <c r="O5892" s="102"/>
      <c r="P5892" s="102"/>
      <c r="Q5892" s="57"/>
      <c r="R5892" s="58"/>
      <c r="S5892" s="57"/>
      <c r="T5892" s="77"/>
    </row>
    <row r="5893">
      <c r="A5893" s="119"/>
      <c r="B5893" s="118"/>
      <c r="C5893" s="118"/>
      <c r="D5893" s="56"/>
      <c r="E5893" s="41"/>
      <c r="F5893" s="49"/>
      <c r="G5893" s="71"/>
      <c r="H5893" s="41"/>
      <c r="I5893" s="42"/>
      <c r="J5893" s="120"/>
      <c r="K5893" s="72"/>
      <c r="L5893" s="53"/>
      <c r="M5893" s="101"/>
      <c r="N5893" s="74"/>
      <c r="O5893" s="102"/>
      <c r="P5893" s="102"/>
      <c r="Q5893" s="57"/>
      <c r="R5893" s="58"/>
      <c r="S5893" s="57"/>
      <c r="T5893" s="77"/>
    </row>
    <row r="5894">
      <c r="A5894" s="119"/>
      <c r="B5894" s="118"/>
      <c r="C5894" s="118"/>
      <c r="D5894" s="56"/>
      <c r="E5894" s="41"/>
      <c r="F5894" s="49"/>
      <c r="G5894" s="71"/>
      <c r="H5894" s="41"/>
      <c r="I5894" s="42"/>
      <c r="J5894" s="120"/>
      <c r="K5894" s="72"/>
      <c r="L5894" s="53"/>
      <c r="M5894" s="101"/>
      <c r="N5894" s="74"/>
      <c r="O5894" s="102"/>
      <c r="P5894" s="102"/>
      <c r="Q5894" s="57"/>
      <c r="R5894" s="58"/>
      <c r="S5894" s="57"/>
      <c r="T5894" s="77"/>
    </row>
    <row r="5895">
      <c r="A5895" s="119"/>
      <c r="B5895" s="118"/>
      <c r="C5895" s="118"/>
      <c r="D5895" s="56"/>
      <c r="E5895" s="41"/>
      <c r="F5895" s="49"/>
      <c r="G5895" s="71"/>
      <c r="H5895" s="41"/>
      <c r="I5895" s="42"/>
      <c r="J5895" s="120"/>
      <c r="K5895" s="72"/>
      <c r="L5895" s="53"/>
      <c r="M5895" s="101"/>
      <c r="N5895" s="74"/>
      <c r="O5895" s="102"/>
      <c r="P5895" s="102"/>
      <c r="Q5895" s="57"/>
      <c r="R5895" s="58"/>
      <c r="S5895" s="57"/>
      <c r="T5895" s="77"/>
    </row>
    <row r="5896">
      <c r="A5896" s="119"/>
      <c r="B5896" s="118"/>
      <c r="C5896" s="118"/>
      <c r="D5896" s="56"/>
      <c r="E5896" s="41"/>
      <c r="F5896" s="49"/>
      <c r="G5896" s="71"/>
      <c r="H5896" s="41"/>
      <c r="I5896" s="42"/>
      <c r="J5896" s="120"/>
      <c r="K5896" s="72"/>
      <c r="L5896" s="53"/>
      <c r="M5896" s="101"/>
      <c r="N5896" s="74"/>
      <c r="O5896" s="102"/>
      <c r="P5896" s="102"/>
      <c r="Q5896" s="57"/>
      <c r="R5896" s="58"/>
      <c r="S5896" s="57"/>
      <c r="T5896" s="77"/>
    </row>
    <row r="5897">
      <c r="A5897" s="119"/>
      <c r="B5897" s="118"/>
      <c r="C5897" s="118"/>
      <c r="D5897" s="56"/>
      <c r="E5897" s="41"/>
      <c r="F5897" s="49"/>
      <c r="G5897" s="71"/>
      <c r="H5897" s="41"/>
      <c r="I5897" s="42"/>
      <c r="J5897" s="120"/>
      <c r="K5897" s="72"/>
      <c r="L5897" s="53"/>
      <c r="M5897" s="101"/>
      <c r="N5897" s="74"/>
      <c r="O5897" s="102"/>
      <c r="P5897" s="102"/>
      <c r="Q5897" s="57"/>
      <c r="R5897" s="58"/>
      <c r="S5897" s="57"/>
      <c r="T5897" s="77"/>
    </row>
    <row r="5898">
      <c r="A5898" s="119"/>
      <c r="B5898" s="118"/>
      <c r="C5898" s="118"/>
      <c r="D5898" s="56"/>
      <c r="E5898" s="41"/>
      <c r="F5898" s="49"/>
      <c r="G5898" s="71"/>
      <c r="H5898" s="41"/>
      <c r="I5898" s="42"/>
      <c r="J5898" s="120"/>
      <c r="K5898" s="72"/>
      <c r="L5898" s="53"/>
      <c r="M5898" s="101"/>
      <c r="N5898" s="74"/>
      <c r="O5898" s="102"/>
      <c r="P5898" s="102"/>
      <c r="Q5898" s="57"/>
      <c r="R5898" s="58"/>
      <c r="S5898" s="57"/>
      <c r="T5898" s="77"/>
    </row>
    <row r="5899">
      <c r="A5899" s="119"/>
      <c r="B5899" s="118"/>
      <c r="C5899" s="118"/>
      <c r="D5899" s="56"/>
      <c r="E5899" s="41"/>
      <c r="F5899" s="49"/>
      <c r="G5899" s="71"/>
      <c r="H5899" s="41"/>
      <c r="I5899" s="42"/>
      <c r="J5899" s="120"/>
      <c r="K5899" s="72"/>
      <c r="L5899" s="53"/>
      <c r="M5899" s="101"/>
      <c r="N5899" s="74"/>
      <c r="O5899" s="102"/>
      <c r="P5899" s="102"/>
      <c r="Q5899" s="57"/>
      <c r="R5899" s="58"/>
      <c r="S5899" s="57"/>
      <c r="T5899" s="77"/>
    </row>
    <row r="5900">
      <c r="A5900" s="119"/>
      <c r="B5900" s="118"/>
      <c r="C5900" s="118"/>
      <c r="D5900" s="56"/>
      <c r="E5900" s="41"/>
      <c r="F5900" s="49"/>
      <c r="G5900" s="71"/>
      <c r="H5900" s="41"/>
      <c r="I5900" s="42"/>
      <c r="J5900" s="120"/>
      <c r="K5900" s="72"/>
      <c r="L5900" s="53"/>
      <c r="M5900" s="101"/>
      <c r="N5900" s="74"/>
      <c r="O5900" s="102"/>
      <c r="P5900" s="102"/>
      <c r="Q5900" s="57"/>
      <c r="R5900" s="58"/>
      <c r="S5900" s="57"/>
      <c r="T5900" s="77"/>
    </row>
    <row r="5901">
      <c r="A5901" s="119"/>
      <c r="B5901" s="118"/>
      <c r="C5901" s="118"/>
      <c r="D5901" s="56"/>
      <c r="E5901" s="41"/>
      <c r="F5901" s="49"/>
      <c r="G5901" s="71"/>
      <c r="H5901" s="41"/>
      <c r="I5901" s="42"/>
      <c r="J5901" s="120"/>
      <c r="K5901" s="72"/>
      <c r="L5901" s="53"/>
      <c r="M5901" s="101"/>
      <c r="N5901" s="74"/>
      <c r="O5901" s="102"/>
      <c r="P5901" s="102"/>
      <c r="Q5901" s="57"/>
      <c r="R5901" s="58"/>
      <c r="S5901" s="57"/>
      <c r="T5901" s="77"/>
    </row>
    <row r="5902">
      <c r="A5902" s="119"/>
      <c r="B5902" s="118"/>
      <c r="C5902" s="118"/>
      <c r="D5902" s="56"/>
      <c r="E5902" s="41"/>
      <c r="F5902" s="49"/>
      <c r="G5902" s="71"/>
      <c r="H5902" s="41"/>
      <c r="I5902" s="42"/>
      <c r="J5902" s="120"/>
      <c r="K5902" s="72"/>
      <c r="L5902" s="53"/>
      <c r="M5902" s="101"/>
      <c r="N5902" s="74"/>
      <c r="O5902" s="102"/>
      <c r="P5902" s="102"/>
      <c r="Q5902" s="57"/>
      <c r="R5902" s="58"/>
      <c r="S5902" s="57"/>
      <c r="T5902" s="77"/>
    </row>
    <row r="5903">
      <c r="A5903" s="119"/>
      <c r="B5903" s="118"/>
      <c r="C5903" s="118"/>
      <c r="D5903" s="56"/>
      <c r="E5903" s="41"/>
      <c r="F5903" s="49"/>
      <c r="G5903" s="71"/>
      <c r="H5903" s="41"/>
      <c r="I5903" s="42"/>
      <c r="J5903" s="120"/>
      <c r="K5903" s="72"/>
      <c r="L5903" s="53"/>
      <c r="M5903" s="101"/>
      <c r="N5903" s="74"/>
      <c r="O5903" s="102"/>
      <c r="P5903" s="102"/>
      <c r="Q5903" s="57"/>
      <c r="R5903" s="58"/>
      <c r="S5903" s="57"/>
      <c r="T5903" s="77"/>
    </row>
    <row r="5904">
      <c r="A5904" s="119"/>
      <c r="B5904" s="118"/>
      <c r="C5904" s="118"/>
      <c r="D5904" s="56"/>
      <c r="E5904" s="41"/>
      <c r="F5904" s="49"/>
      <c r="G5904" s="71"/>
      <c r="H5904" s="41"/>
      <c r="I5904" s="42"/>
      <c r="J5904" s="120"/>
      <c r="K5904" s="72"/>
      <c r="L5904" s="53"/>
      <c r="M5904" s="101"/>
      <c r="N5904" s="74"/>
      <c r="O5904" s="102"/>
      <c r="P5904" s="102"/>
      <c r="Q5904" s="57"/>
      <c r="R5904" s="58"/>
      <c r="S5904" s="57"/>
      <c r="T5904" s="77"/>
    </row>
    <row r="5905">
      <c r="A5905" s="119"/>
      <c r="B5905" s="118"/>
      <c r="C5905" s="118"/>
      <c r="D5905" s="56"/>
      <c r="E5905" s="41"/>
      <c r="F5905" s="49"/>
      <c r="G5905" s="71"/>
      <c r="H5905" s="41"/>
      <c r="I5905" s="42"/>
      <c r="J5905" s="120"/>
      <c r="K5905" s="72"/>
      <c r="L5905" s="53"/>
      <c r="M5905" s="101"/>
      <c r="N5905" s="74"/>
      <c r="O5905" s="102"/>
      <c r="P5905" s="102"/>
      <c r="Q5905" s="57"/>
      <c r="R5905" s="58"/>
      <c r="S5905" s="57"/>
      <c r="T5905" s="77"/>
    </row>
    <row r="5906">
      <c r="A5906" s="119"/>
      <c r="B5906" s="118"/>
      <c r="C5906" s="118"/>
      <c r="D5906" s="56"/>
      <c r="E5906" s="41"/>
      <c r="F5906" s="49"/>
      <c r="G5906" s="71"/>
      <c r="H5906" s="41"/>
      <c r="I5906" s="42"/>
      <c r="J5906" s="120"/>
      <c r="K5906" s="72"/>
      <c r="L5906" s="53"/>
      <c r="M5906" s="101"/>
      <c r="N5906" s="74"/>
      <c r="O5906" s="102"/>
      <c r="P5906" s="102"/>
      <c r="Q5906" s="57"/>
      <c r="R5906" s="58"/>
      <c r="S5906" s="57"/>
      <c r="T5906" s="77"/>
    </row>
    <row r="5907">
      <c r="A5907" s="119"/>
      <c r="B5907" s="118"/>
      <c r="C5907" s="118"/>
      <c r="D5907" s="56"/>
      <c r="E5907" s="41"/>
      <c r="F5907" s="49"/>
      <c r="G5907" s="71"/>
      <c r="H5907" s="41"/>
      <c r="I5907" s="42"/>
      <c r="J5907" s="120"/>
      <c r="K5907" s="72"/>
      <c r="L5907" s="53"/>
      <c r="M5907" s="101"/>
      <c r="N5907" s="74"/>
      <c r="O5907" s="102"/>
      <c r="P5907" s="102"/>
      <c r="Q5907" s="57"/>
      <c r="R5907" s="58"/>
      <c r="S5907" s="57"/>
      <c r="T5907" s="77"/>
    </row>
    <row r="5908">
      <c r="A5908" s="119"/>
      <c r="B5908" s="118"/>
      <c r="C5908" s="118"/>
      <c r="D5908" s="56"/>
      <c r="E5908" s="41"/>
      <c r="F5908" s="49"/>
      <c r="G5908" s="71"/>
      <c r="H5908" s="41"/>
      <c r="I5908" s="42"/>
      <c r="J5908" s="120"/>
      <c r="K5908" s="72"/>
      <c r="L5908" s="53"/>
      <c r="M5908" s="101"/>
      <c r="N5908" s="74"/>
      <c r="O5908" s="102"/>
      <c r="P5908" s="102"/>
      <c r="Q5908" s="57"/>
      <c r="R5908" s="58"/>
      <c r="S5908" s="57"/>
      <c r="T5908" s="77"/>
    </row>
    <row r="5909">
      <c r="A5909" s="119"/>
      <c r="B5909" s="118"/>
      <c r="C5909" s="118"/>
      <c r="D5909" s="56"/>
      <c r="E5909" s="41"/>
      <c r="F5909" s="49"/>
      <c r="G5909" s="71"/>
      <c r="H5909" s="41"/>
      <c r="I5909" s="42"/>
      <c r="J5909" s="120"/>
      <c r="K5909" s="72"/>
      <c r="L5909" s="53"/>
      <c r="M5909" s="101"/>
      <c r="N5909" s="74"/>
      <c r="O5909" s="102"/>
      <c r="P5909" s="102"/>
      <c r="Q5909" s="57"/>
      <c r="R5909" s="58"/>
      <c r="S5909" s="57"/>
      <c r="T5909" s="77"/>
    </row>
    <row r="5910">
      <c r="A5910" s="119"/>
      <c r="B5910" s="118"/>
      <c r="C5910" s="118"/>
      <c r="D5910" s="56"/>
      <c r="E5910" s="41"/>
      <c r="F5910" s="49"/>
      <c r="G5910" s="71"/>
      <c r="H5910" s="41"/>
      <c r="I5910" s="42"/>
      <c r="J5910" s="120"/>
      <c r="K5910" s="72"/>
      <c r="L5910" s="53"/>
      <c r="M5910" s="101"/>
      <c r="N5910" s="74"/>
      <c r="O5910" s="102"/>
      <c r="P5910" s="102"/>
      <c r="Q5910" s="57"/>
      <c r="R5910" s="58"/>
      <c r="S5910" s="57"/>
      <c r="T5910" s="77"/>
    </row>
    <row r="5911">
      <c r="A5911" s="119"/>
      <c r="B5911" s="118"/>
      <c r="C5911" s="118"/>
      <c r="D5911" s="56"/>
      <c r="E5911" s="41"/>
      <c r="F5911" s="49"/>
      <c r="G5911" s="71"/>
      <c r="H5911" s="41"/>
      <c r="I5911" s="42"/>
      <c r="J5911" s="120"/>
      <c r="K5911" s="72"/>
      <c r="L5911" s="53"/>
      <c r="M5911" s="101"/>
      <c r="N5911" s="74"/>
      <c r="O5911" s="102"/>
      <c r="P5911" s="102"/>
      <c r="Q5911" s="57"/>
      <c r="R5911" s="58"/>
      <c r="S5911" s="57"/>
      <c r="T5911" s="77"/>
    </row>
    <row r="5912">
      <c r="A5912" s="119"/>
      <c r="B5912" s="118"/>
      <c r="C5912" s="118"/>
      <c r="D5912" s="56"/>
      <c r="E5912" s="41"/>
      <c r="F5912" s="49"/>
      <c r="G5912" s="71"/>
      <c r="H5912" s="41"/>
      <c r="I5912" s="42"/>
      <c r="J5912" s="120"/>
      <c r="K5912" s="72"/>
      <c r="L5912" s="53"/>
      <c r="M5912" s="101"/>
      <c r="N5912" s="74"/>
      <c r="O5912" s="102"/>
      <c r="P5912" s="102"/>
      <c r="Q5912" s="57"/>
      <c r="R5912" s="58"/>
      <c r="S5912" s="57"/>
      <c r="T5912" s="77"/>
    </row>
    <row r="5913">
      <c r="A5913" s="119"/>
      <c r="B5913" s="118"/>
      <c r="C5913" s="118"/>
      <c r="D5913" s="56"/>
      <c r="E5913" s="41"/>
      <c r="F5913" s="49"/>
      <c r="G5913" s="71"/>
      <c r="H5913" s="41"/>
      <c r="I5913" s="42"/>
      <c r="J5913" s="120"/>
      <c r="K5913" s="72"/>
      <c r="L5913" s="53"/>
      <c r="M5913" s="101"/>
      <c r="N5913" s="74"/>
      <c r="O5913" s="102"/>
      <c r="P5913" s="102"/>
      <c r="Q5913" s="57"/>
      <c r="R5913" s="58"/>
      <c r="S5913" s="57"/>
      <c r="T5913" s="77"/>
    </row>
    <row r="5914">
      <c r="A5914" s="119"/>
      <c r="B5914" s="118"/>
      <c r="C5914" s="118"/>
      <c r="D5914" s="56"/>
      <c r="E5914" s="41"/>
      <c r="F5914" s="49"/>
      <c r="G5914" s="71"/>
      <c r="H5914" s="41"/>
      <c r="I5914" s="42"/>
      <c r="J5914" s="120"/>
      <c r="K5914" s="72"/>
      <c r="L5914" s="53"/>
      <c r="M5914" s="101"/>
      <c r="N5914" s="74"/>
      <c r="O5914" s="102"/>
      <c r="P5914" s="102"/>
      <c r="Q5914" s="57"/>
      <c r="R5914" s="58"/>
      <c r="S5914" s="57"/>
      <c r="T5914" s="77"/>
    </row>
    <row r="5915">
      <c r="A5915" s="119"/>
      <c r="B5915" s="118"/>
      <c r="C5915" s="118"/>
      <c r="D5915" s="56"/>
      <c r="E5915" s="41"/>
      <c r="F5915" s="49"/>
      <c r="G5915" s="71"/>
      <c r="H5915" s="41"/>
      <c r="I5915" s="42"/>
      <c r="J5915" s="120"/>
      <c r="K5915" s="72"/>
      <c r="L5915" s="53"/>
      <c r="M5915" s="101"/>
      <c r="N5915" s="74"/>
      <c r="O5915" s="102"/>
      <c r="P5915" s="102"/>
      <c r="Q5915" s="57"/>
      <c r="R5915" s="58"/>
      <c r="S5915" s="57"/>
      <c r="T5915" s="77"/>
    </row>
    <row r="5916">
      <c r="A5916" s="119"/>
      <c r="B5916" s="118"/>
      <c r="C5916" s="118"/>
      <c r="D5916" s="56"/>
      <c r="E5916" s="41"/>
      <c r="F5916" s="49"/>
      <c r="G5916" s="71"/>
      <c r="H5916" s="41"/>
      <c r="I5916" s="42"/>
      <c r="J5916" s="120"/>
      <c r="K5916" s="72"/>
      <c r="L5916" s="53"/>
      <c r="M5916" s="101"/>
      <c r="N5916" s="74"/>
      <c r="O5916" s="102"/>
      <c r="P5916" s="102"/>
      <c r="Q5916" s="57"/>
      <c r="R5916" s="58"/>
      <c r="S5916" s="57"/>
      <c r="T5916" s="77"/>
    </row>
    <row r="5917">
      <c r="A5917" s="119"/>
      <c r="B5917" s="118"/>
      <c r="C5917" s="118"/>
      <c r="D5917" s="56"/>
      <c r="E5917" s="41"/>
      <c r="F5917" s="49"/>
      <c r="G5917" s="71"/>
      <c r="H5917" s="41"/>
      <c r="I5917" s="42"/>
      <c r="J5917" s="120"/>
      <c r="K5917" s="72"/>
      <c r="L5917" s="53"/>
      <c r="M5917" s="101"/>
      <c r="N5917" s="74"/>
      <c r="O5917" s="102"/>
      <c r="P5917" s="102"/>
      <c r="Q5917" s="57"/>
      <c r="R5917" s="58"/>
      <c r="S5917" s="57"/>
      <c r="T5917" s="77"/>
    </row>
    <row r="5918">
      <c r="A5918" s="119"/>
      <c r="B5918" s="118"/>
      <c r="C5918" s="118"/>
      <c r="D5918" s="56"/>
      <c r="E5918" s="41"/>
      <c r="F5918" s="49"/>
      <c r="G5918" s="71"/>
      <c r="H5918" s="41"/>
      <c r="I5918" s="42"/>
      <c r="J5918" s="120"/>
      <c r="K5918" s="72"/>
      <c r="L5918" s="53"/>
      <c r="M5918" s="101"/>
      <c r="N5918" s="74"/>
      <c r="O5918" s="102"/>
      <c r="P5918" s="102"/>
      <c r="Q5918" s="57"/>
      <c r="R5918" s="58"/>
      <c r="S5918" s="57"/>
      <c r="T5918" s="77"/>
    </row>
    <row r="5919">
      <c r="A5919" s="119"/>
      <c r="B5919" s="118"/>
      <c r="C5919" s="118"/>
      <c r="D5919" s="56"/>
      <c r="E5919" s="41"/>
      <c r="F5919" s="49"/>
      <c r="G5919" s="71"/>
      <c r="H5919" s="41"/>
      <c r="I5919" s="42"/>
      <c r="J5919" s="120"/>
      <c r="K5919" s="72"/>
      <c r="L5919" s="53"/>
      <c r="M5919" s="101"/>
      <c r="N5919" s="74"/>
      <c r="O5919" s="102"/>
      <c r="P5919" s="102"/>
      <c r="Q5919" s="57"/>
      <c r="R5919" s="58"/>
      <c r="S5919" s="57"/>
      <c r="T5919" s="77"/>
    </row>
    <row r="5920">
      <c r="A5920" s="119"/>
      <c r="B5920" s="118"/>
      <c r="C5920" s="118"/>
      <c r="D5920" s="56"/>
      <c r="E5920" s="41"/>
      <c r="F5920" s="49"/>
      <c r="G5920" s="71"/>
      <c r="H5920" s="41"/>
      <c r="I5920" s="42"/>
      <c r="J5920" s="120"/>
      <c r="K5920" s="72"/>
      <c r="L5920" s="53"/>
      <c r="M5920" s="101"/>
      <c r="N5920" s="74"/>
      <c r="O5920" s="102"/>
      <c r="P5920" s="102"/>
      <c r="Q5920" s="57"/>
      <c r="R5920" s="58"/>
      <c r="S5920" s="57"/>
      <c r="T5920" s="77"/>
    </row>
    <row r="5921">
      <c r="A5921" s="119"/>
      <c r="B5921" s="118"/>
      <c r="C5921" s="118"/>
      <c r="D5921" s="56"/>
      <c r="E5921" s="41"/>
      <c r="F5921" s="49"/>
      <c r="G5921" s="71"/>
      <c r="H5921" s="41"/>
      <c r="I5921" s="42"/>
      <c r="J5921" s="120"/>
      <c r="K5921" s="72"/>
      <c r="L5921" s="53"/>
      <c r="M5921" s="101"/>
      <c r="N5921" s="74"/>
      <c r="O5921" s="102"/>
      <c r="P5921" s="102"/>
      <c r="Q5921" s="57"/>
      <c r="R5921" s="58"/>
      <c r="S5921" s="57"/>
      <c r="T5921" s="77"/>
    </row>
    <row r="5922">
      <c r="A5922" s="119"/>
      <c r="B5922" s="118"/>
      <c r="C5922" s="118"/>
      <c r="D5922" s="56"/>
      <c r="E5922" s="41"/>
      <c r="F5922" s="49"/>
      <c r="G5922" s="71"/>
      <c r="H5922" s="41"/>
      <c r="I5922" s="42"/>
      <c r="J5922" s="120"/>
      <c r="K5922" s="72"/>
      <c r="L5922" s="53"/>
      <c r="M5922" s="101"/>
      <c r="N5922" s="74"/>
      <c r="O5922" s="102"/>
      <c r="P5922" s="102"/>
      <c r="Q5922" s="57"/>
      <c r="R5922" s="58"/>
      <c r="S5922" s="57"/>
      <c r="T5922" s="77"/>
    </row>
    <row r="5923">
      <c r="A5923" s="119"/>
      <c r="B5923" s="118"/>
      <c r="C5923" s="118"/>
      <c r="D5923" s="56"/>
      <c r="E5923" s="41"/>
      <c r="F5923" s="49"/>
      <c r="G5923" s="71"/>
      <c r="H5923" s="41"/>
      <c r="I5923" s="42"/>
      <c r="J5923" s="120"/>
      <c r="K5923" s="72"/>
      <c r="L5923" s="53"/>
      <c r="M5923" s="101"/>
      <c r="N5923" s="74"/>
      <c r="O5923" s="102"/>
      <c r="P5923" s="102"/>
      <c r="Q5923" s="57"/>
      <c r="R5923" s="58"/>
      <c r="S5923" s="57"/>
      <c r="T5923" s="77"/>
    </row>
    <row r="5924">
      <c r="A5924" s="119"/>
      <c r="B5924" s="118"/>
      <c r="C5924" s="118"/>
      <c r="D5924" s="56"/>
      <c r="E5924" s="41"/>
      <c r="F5924" s="49"/>
      <c r="G5924" s="71"/>
      <c r="H5924" s="41"/>
      <c r="I5924" s="42"/>
      <c r="J5924" s="120"/>
      <c r="K5924" s="72"/>
      <c r="L5924" s="53"/>
      <c r="M5924" s="101"/>
      <c r="N5924" s="74"/>
      <c r="O5924" s="102"/>
      <c r="P5924" s="102"/>
      <c r="Q5924" s="57"/>
      <c r="R5924" s="58"/>
      <c r="S5924" s="57"/>
      <c r="T5924" s="77"/>
    </row>
    <row r="5925">
      <c r="A5925" s="119"/>
      <c r="B5925" s="118"/>
      <c r="C5925" s="118"/>
      <c r="D5925" s="56"/>
      <c r="E5925" s="41"/>
      <c r="F5925" s="49"/>
      <c r="G5925" s="71"/>
      <c r="H5925" s="41"/>
      <c r="I5925" s="42"/>
      <c r="J5925" s="120"/>
      <c r="K5925" s="72"/>
      <c r="L5925" s="53"/>
      <c r="M5925" s="101"/>
      <c r="N5925" s="74"/>
      <c r="O5925" s="102"/>
      <c r="P5925" s="102"/>
      <c r="Q5925" s="57"/>
      <c r="R5925" s="58"/>
      <c r="S5925" s="57"/>
      <c r="T5925" s="77"/>
    </row>
    <row r="5926">
      <c r="A5926" s="119"/>
      <c r="B5926" s="118"/>
      <c r="C5926" s="118"/>
      <c r="D5926" s="56"/>
      <c r="E5926" s="41"/>
      <c r="F5926" s="49"/>
      <c r="G5926" s="71"/>
      <c r="H5926" s="41"/>
      <c r="I5926" s="42"/>
      <c r="J5926" s="120"/>
      <c r="K5926" s="72"/>
      <c r="L5926" s="53"/>
      <c r="M5926" s="101"/>
      <c r="N5926" s="74"/>
      <c r="O5926" s="102"/>
      <c r="P5926" s="102"/>
      <c r="Q5926" s="57"/>
      <c r="R5926" s="58"/>
      <c r="S5926" s="57"/>
      <c r="T5926" s="77"/>
    </row>
    <row r="5927">
      <c r="A5927" s="119"/>
      <c r="B5927" s="118"/>
      <c r="C5927" s="118"/>
      <c r="D5927" s="56"/>
      <c r="E5927" s="41"/>
      <c r="F5927" s="49"/>
      <c r="G5927" s="71"/>
      <c r="H5927" s="41"/>
      <c r="I5927" s="42"/>
      <c r="J5927" s="120"/>
      <c r="K5927" s="72"/>
      <c r="L5927" s="53"/>
      <c r="M5927" s="101"/>
      <c r="N5927" s="74"/>
      <c r="O5927" s="102"/>
      <c r="P5927" s="102"/>
      <c r="Q5927" s="57"/>
      <c r="R5927" s="58"/>
      <c r="S5927" s="57"/>
      <c r="T5927" s="77"/>
    </row>
    <row r="5928">
      <c r="A5928" s="119"/>
      <c r="B5928" s="118"/>
      <c r="C5928" s="118"/>
      <c r="D5928" s="56"/>
      <c r="E5928" s="41"/>
      <c r="F5928" s="49"/>
      <c r="G5928" s="71"/>
      <c r="H5928" s="41"/>
      <c r="I5928" s="42"/>
      <c r="J5928" s="120"/>
      <c r="K5928" s="72"/>
      <c r="L5928" s="53"/>
      <c r="M5928" s="101"/>
      <c r="N5928" s="74"/>
      <c r="O5928" s="102"/>
      <c r="P5928" s="102"/>
      <c r="Q5928" s="57"/>
      <c r="R5928" s="58"/>
      <c r="S5928" s="57"/>
      <c r="T5928" s="77"/>
    </row>
    <row r="5929">
      <c r="A5929" s="119"/>
      <c r="B5929" s="118"/>
      <c r="C5929" s="118"/>
      <c r="D5929" s="56"/>
      <c r="E5929" s="41"/>
      <c r="F5929" s="49"/>
      <c r="G5929" s="71"/>
      <c r="H5929" s="41"/>
      <c r="I5929" s="42"/>
      <c r="J5929" s="120"/>
      <c r="K5929" s="72"/>
      <c r="L5929" s="53"/>
      <c r="M5929" s="101"/>
      <c r="N5929" s="74"/>
      <c r="O5929" s="102"/>
      <c r="P5929" s="102"/>
      <c r="Q5929" s="57"/>
      <c r="R5929" s="58"/>
      <c r="S5929" s="57"/>
      <c r="T5929" s="77"/>
    </row>
    <row r="5930">
      <c r="A5930" s="119"/>
      <c r="B5930" s="118"/>
      <c r="C5930" s="118"/>
      <c r="D5930" s="56"/>
      <c r="E5930" s="41"/>
      <c r="F5930" s="49"/>
      <c r="G5930" s="71"/>
      <c r="H5930" s="41"/>
      <c r="I5930" s="42"/>
      <c r="J5930" s="120"/>
      <c r="K5930" s="72"/>
      <c r="L5930" s="53"/>
      <c r="M5930" s="101"/>
      <c r="N5930" s="74"/>
      <c r="O5930" s="102"/>
      <c r="P5930" s="102"/>
      <c r="Q5930" s="57"/>
      <c r="R5930" s="58"/>
      <c r="S5930" s="57"/>
      <c r="T5930" s="77"/>
    </row>
    <row r="5931">
      <c r="A5931" s="119"/>
      <c r="B5931" s="118"/>
      <c r="C5931" s="118"/>
      <c r="D5931" s="56"/>
      <c r="E5931" s="41"/>
      <c r="F5931" s="49"/>
      <c r="G5931" s="71"/>
      <c r="H5931" s="41"/>
      <c r="I5931" s="42"/>
      <c r="J5931" s="120"/>
      <c r="K5931" s="72"/>
      <c r="L5931" s="53"/>
      <c r="M5931" s="101"/>
      <c r="N5931" s="74"/>
      <c r="O5931" s="102"/>
      <c r="P5931" s="102"/>
      <c r="Q5931" s="57"/>
      <c r="R5931" s="58"/>
      <c r="S5931" s="57"/>
      <c r="T5931" s="77"/>
    </row>
    <row r="5932">
      <c r="A5932" s="119"/>
      <c r="B5932" s="118"/>
      <c r="C5932" s="118"/>
      <c r="D5932" s="56"/>
      <c r="E5932" s="41"/>
      <c r="F5932" s="49"/>
      <c r="G5932" s="71"/>
      <c r="H5932" s="41"/>
      <c r="I5932" s="42"/>
      <c r="J5932" s="120"/>
      <c r="K5932" s="72"/>
      <c r="L5932" s="53"/>
      <c r="M5932" s="101"/>
      <c r="N5932" s="74"/>
      <c r="O5932" s="102"/>
      <c r="P5932" s="102"/>
      <c r="Q5932" s="57"/>
      <c r="R5932" s="58"/>
      <c r="S5932" s="57"/>
      <c r="T5932" s="77"/>
    </row>
    <row r="5933">
      <c r="A5933" s="119"/>
      <c r="B5933" s="118"/>
      <c r="C5933" s="118"/>
      <c r="D5933" s="56"/>
      <c r="E5933" s="41"/>
      <c r="F5933" s="49"/>
      <c r="G5933" s="71"/>
      <c r="H5933" s="41"/>
      <c r="I5933" s="42"/>
      <c r="J5933" s="120"/>
      <c r="K5933" s="72"/>
      <c r="L5933" s="53"/>
      <c r="M5933" s="101"/>
      <c r="N5933" s="74"/>
      <c r="O5933" s="102"/>
      <c r="P5933" s="102"/>
      <c r="Q5933" s="57"/>
      <c r="R5933" s="58"/>
      <c r="S5933" s="57"/>
      <c r="T5933" s="77"/>
    </row>
    <row r="5934">
      <c r="A5934" s="119"/>
      <c r="B5934" s="118"/>
      <c r="C5934" s="118"/>
      <c r="D5934" s="56"/>
      <c r="E5934" s="41"/>
      <c r="F5934" s="49"/>
      <c r="G5934" s="71"/>
      <c r="H5934" s="41"/>
      <c r="I5934" s="42"/>
      <c r="J5934" s="120"/>
      <c r="K5934" s="72"/>
      <c r="L5934" s="53"/>
      <c r="M5934" s="101"/>
      <c r="N5934" s="74"/>
      <c r="O5934" s="102"/>
      <c r="P5934" s="102"/>
      <c r="Q5934" s="57"/>
      <c r="R5934" s="58"/>
      <c r="S5934" s="57"/>
      <c r="T5934" s="77"/>
    </row>
    <row r="5935">
      <c r="A5935" s="119"/>
      <c r="B5935" s="118"/>
      <c r="C5935" s="118"/>
      <c r="D5935" s="56"/>
      <c r="E5935" s="41"/>
      <c r="F5935" s="49"/>
      <c r="G5935" s="71"/>
      <c r="H5935" s="41"/>
      <c r="I5935" s="42"/>
      <c r="J5935" s="120"/>
      <c r="K5935" s="72"/>
      <c r="L5935" s="53"/>
      <c r="M5935" s="101"/>
      <c r="N5935" s="74"/>
      <c r="O5935" s="102"/>
      <c r="P5935" s="102"/>
      <c r="Q5935" s="57"/>
      <c r="R5935" s="58"/>
      <c r="S5935" s="57"/>
      <c r="T5935" s="77"/>
    </row>
    <row r="5936">
      <c r="A5936" s="119"/>
      <c r="B5936" s="118"/>
      <c r="C5936" s="118"/>
      <c r="D5936" s="56"/>
      <c r="E5936" s="41"/>
      <c r="F5936" s="49"/>
      <c r="G5936" s="71"/>
      <c r="H5936" s="41"/>
      <c r="I5936" s="42"/>
      <c r="J5936" s="120"/>
      <c r="K5936" s="72"/>
      <c r="L5936" s="53"/>
      <c r="M5936" s="101"/>
      <c r="N5936" s="74"/>
      <c r="O5936" s="102"/>
      <c r="P5936" s="102"/>
      <c r="Q5936" s="57"/>
      <c r="R5936" s="58"/>
      <c r="S5936" s="57"/>
      <c r="T5936" s="77"/>
    </row>
    <row r="5937">
      <c r="A5937" s="119"/>
      <c r="B5937" s="118"/>
      <c r="C5937" s="118"/>
      <c r="D5937" s="56"/>
      <c r="E5937" s="41"/>
      <c r="F5937" s="49"/>
      <c r="G5937" s="71"/>
      <c r="H5937" s="41"/>
      <c r="I5937" s="42"/>
      <c r="J5937" s="120"/>
      <c r="K5937" s="72"/>
      <c r="L5937" s="53"/>
      <c r="M5937" s="101"/>
      <c r="N5937" s="74"/>
      <c r="O5937" s="102"/>
      <c r="P5937" s="102"/>
      <c r="Q5937" s="57"/>
      <c r="R5937" s="58"/>
      <c r="S5937" s="57"/>
      <c r="T5937" s="77"/>
    </row>
    <row r="5938">
      <c r="A5938" s="119"/>
      <c r="B5938" s="118"/>
      <c r="C5938" s="118"/>
      <c r="D5938" s="56"/>
      <c r="E5938" s="41"/>
      <c r="F5938" s="49"/>
      <c r="G5938" s="71"/>
      <c r="H5938" s="41"/>
      <c r="I5938" s="42"/>
      <c r="J5938" s="120"/>
      <c r="K5938" s="72"/>
      <c r="L5938" s="53"/>
      <c r="M5938" s="101"/>
      <c r="N5938" s="74"/>
      <c r="O5938" s="102"/>
      <c r="P5938" s="102"/>
      <c r="Q5938" s="57"/>
      <c r="R5938" s="58"/>
      <c r="S5938" s="57"/>
      <c r="T5938" s="77"/>
    </row>
    <row r="5939">
      <c r="A5939" s="119"/>
      <c r="B5939" s="118"/>
      <c r="C5939" s="118"/>
      <c r="D5939" s="56"/>
      <c r="E5939" s="41"/>
      <c r="F5939" s="49"/>
      <c r="G5939" s="71"/>
      <c r="H5939" s="41"/>
      <c r="I5939" s="42"/>
      <c r="J5939" s="120"/>
      <c r="K5939" s="72"/>
      <c r="L5939" s="53"/>
      <c r="M5939" s="101"/>
      <c r="N5939" s="74"/>
      <c r="O5939" s="102"/>
      <c r="P5939" s="102"/>
      <c r="Q5939" s="57"/>
      <c r="R5939" s="58"/>
      <c r="S5939" s="57"/>
      <c r="T5939" s="77"/>
    </row>
    <row r="5940">
      <c r="A5940" s="119"/>
      <c r="B5940" s="118"/>
      <c r="C5940" s="118"/>
      <c r="D5940" s="56"/>
      <c r="E5940" s="41"/>
      <c r="F5940" s="49"/>
      <c r="G5940" s="71"/>
      <c r="H5940" s="41"/>
      <c r="I5940" s="42"/>
      <c r="J5940" s="120"/>
      <c r="K5940" s="72"/>
      <c r="L5940" s="53"/>
      <c r="M5940" s="101"/>
      <c r="N5940" s="74"/>
      <c r="O5940" s="102"/>
      <c r="P5940" s="102"/>
      <c r="Q5940" s="57"/>
      <c r="R5940" s="58"/>
      <c r="S5940" s="57"/>
      <c r="T5940" s="77"/>
    </row>
    <row r="5941">
      <c r="A5941" s="119"/>
      <c r="B5941" s="118"/>
      <c r="C5941" s="118"/>
      <c r="D5941" s="56"/>
      <c r="E5941" s="41"/>
      <c r="F5941" s="49"/>
      <c r="G5941" s="71"/>
      <c r="H5941" s="41"/>
      <c r="I5941" s="42"/>
      <c r="J5941" s="120"/>
      <c r="K5941" s="72"/>
      <c r="L5941" s="53"/>
      <c r="M5941" s="101"/>
      <c r="N5941" s="74"/>
      <c r="O5941" s="102"/>
      <c r="P5941" s="102"/>
      <c r="Q5941" s="57"/>
      <c r="R5941" s="58"/>
      <c r="S5941" s="57"/>
      <c r="T5941" s="77"/>
    </row>
    <row r="5942">
      <c r="A5942" s="119"/>
      <c r="B5942" s="118"/>
      <c r="C5942" s="118"/>
      <c r="D5942" s="56"/>
      <c r="E5942" s="41"/>
      <c r="F5942" s="49"/>
      <c r="G5942" s="71"/>
      <c r="H5942" s="41"/>
      <c r="I5942" s="42"/>
      <c r="J5942" s="120"/>
      <c r="K5942" s="72"/>
      <c r="L5942" s="53"/>
      <c r="M5942" s="101"/>
      <c r="N5942" s="74"/>
      <c r="O5942" s="102"/>
      <c r="P5942" s="102"/>
      <c r="Q5942" s="57"/>
      <c r="R5942" s="58"/>
      <c r="S5942" s="57"/>
      <c r="T5942" s="77"/>
    </row>
    <row r="5943">
      <c r="A5943" s="119"/>
      <c r="B5943" s="118"/>
      <c r="C5943" s="118"/>
      <c r="D5943" s="56"/>
      <c r="E5943" s="41"/>
      <c r="F5943" s="49"/>
      <c r="G5943" s="71"/>
      <c r="H5943" s="41"/>
      <c r="I5943" s="42"/>
      <c r="J5943" s="120"/>
      <c r="K5943" s="72"/>
      <c r="L5943" s="53"/>
      <c r="M5943" s="101"/>
      <c r="N5943" s="74"/>
      <c r="O5943" s="102"/>
      <c r="P5943" s="102"/>
      <c r="Q5943" s="57"/>
      <c r="R5943" s="58"/>
      <c r="S5943" s="57"/>
      <c r="T5943" s="77"/>
    </row>
    <row r="5944">
      <c r="A5944" s="119"/>
      <c r="B5944" s="118"/>
      <c r="C5944" s="118"/>
      <c r="D5944" s="56"/>
      <c r="E5944" s="41"/>
      <c r="F5944" s="49"/>
      <c r="G5944" s="71"/>
      <c r="H5944" s="41"/>
      <c r="I5944" s="42"/>
      <c r="J5944" s="120"/>
      <c r="K5944" s="72"/>
      <c r="L5944" s="53"/>
      <c r="M5944" s="101"/>
      <c r="N5944" s="74"/>
      <c r="O5944" s="102"/>
      <c r="P5944" s="102"/>
      <c r="Q5944" s="57"/>
      <c r="R5944" s="58"/>
      <c r="S5944" s="57"/>
      <c r="T5944" s="77"/>
    </row>
    <row r="5945">
      <c r="A5945" s="119"/>
      <c r="B5945" s="118"/>
      <c r="C5945" s="118"/>
      <c r="D5945" s="56"/>
      <c r="E5945" s="41"/>
      <c r="F5945" s="49"/>
      <c r="G5945" s="71"/>
      <c r="H5945" s="41"/>
      <c r="I5945" s="42"/>
      <c r="J5945" s="120"/>
      <c r="K5945" s="72"/>
      <c r="L5945" s="53"/>
      <c r="M5945" s="101"/>
      <c r="N5945" s="74"/>
      <c r="O5945" s="102"/>
      <c r="P5945" s="102"/>
      <c r="Q5945" s="57"/>
      <c r="R5945" s="58"/>
      <c r="S5945" s="57"/>
      <c r="T5945" s="77"/>
    </row>
    <row r="5946">
      <c r="A5946" s="119"/>
      <c r="B5946" s="118"/>
      <c r="C5946" s="118"/>
      <c r="D5946" s="56"/>
      <c r="E5946" s="41"/>
      <c r="F5946" s="49"/>
      <c r="G5946" s="71"/>
      <c r="H5946" s="41"/>
      <c r="I5946" s="42"/>
      <c r="J5946" s="120"/>
      <c r="K5946" s="72"/>
      <c r="L5946" s="53"/>
      <c r="M5946" s="101"/>
      <c r="N5946" s="74"/>
      <c r="O5946" s="102"/>
      <c r="P5946" s="102"/>
      <c r="Q5946" s="57"/>
      <c r="R5946" s="58"/>
      <c r="S5946" s="57"/>
      <c r="T5946" s="77"/>
    </row>
    <row r="5947">
      <c r="A5947" s="119"/>
      <c r="B5947" s="118"/>
      <c r="C5947" s="118"/>
      <c r="D5947" s="56"/>
      <c r="E5947" s="41"/>
      <c r="F5947" s="49"/>
      <c r="G5947" s="71"/>
      <c r="H5947" s="41"/>
      <c r="I5947" s="42"/>
      <c r="J5947" s="120"/>
      <c r="K5947" s="72"/>
      <c r="L5947" s="53"/>
      <c r="M5947" s="101"/>
      <c r="N5947" s="74"/>
      <c r="O5947" s="102"/>
      <c r="P5947" s="102"/>
      <c r="Q5947" s="57"/>
      <c r="R5947" s="58"/>
      <c r="S5947" s="57"/>
      <c r="T5947" s="77"/>
    </row>
    <row r="5948">
      <c r="A5948" s="119"/>
      <c r="B5948" s="118"/>
      <c r="C5948" s="118"/>
      <c r="D5948" s="56"/>
      <c r="E5948" s="41"/>
      <c r="F5948" s="49"/>
      <c r="G5948" s="71"/>
      <c r="H5948" s="41"/>
      <c r="I5948" s="42"/>
      <c r="J5948" s="120"/>
      <c r="K5948" s="72"/>
      <c r="L5948" s="53"/>
      <c r="M5948" s="101"/>
      <c r="N5948" s="74"/>
      <c r="O5948" s="102"/>
      <c r="P5948" s="102"/>
      <c r="Q5948" s="57"/>
      <c r="R5948" s="58"/>
      <c r="S5948" s="57"/>
      <c r="T5948" s="77"/>
    </row>
    <row r="5949">
      <c r="A5949" s="119"/>
      <c r="B5949" s="118"/>
      <c r="C5949" s="118"/>
      <c r="D5949" s="56"/>
      <c r="E5949" s="41"/>
      <c r="F5949" s="49"/>
      <c r="G5949" s="71"/>
      <c r="H5949" s="41"/>
      <c r="I5949" s="42"/>
      <c r="J5949" s="120"/>
      <c r="K5949" s="72"/>
      <c r="L5949" s="53"/>
      <c r="M5949" s="101"/>
      <c r="N5949" s="74"/>
      <c r="O5949" s="102"/>
      <c r="P5949" s="102"/>
      <c r="Q5949" s="57"/>
      <c r="R5949" s="58"/>
      <c r="S5949" s="57"/>
      <c r="T5949" s="77"/>
    </row>
    <row r="5950">
      <c r="A5950" s="119"/>
      <c r="B5950" s="118"/>
      <c r="C5950" s="118"/>
      <c r="D5950" s="56"/>
      <c r="E5950" s="41"/>
      <c r="F5950" s="49"/>
      <c r="G5950" s="71"/>
      <c r="H5950" s="41"/>
      <c r="I5950" s="42"/>
      <c r="J5950" s="120"/>
      <c r="K5950" s="72"/>
      <c r="L5950" s="53"/>
      <c r="M5950" s="101"/>
      <c r="N5950" s="74"/>
      <c r="O5950" s="102"/>
      <c r="P5950" s="102"/>
      <c r="Q5950" s="57"/>
      <c r="R5950" s="58"/>
      <c r="S5950" s="57"/>
      <c r="T5950" s="77"/>
    </row>
    <row r="5951">
      <c r="A5951" s="119"/>
      <c r="B5951" s="118"/>
      <c r="C5951" s="118"/>
      <c r="D5951" s="56"/>
      <c r="E5951" s="41"/>
      <c r="F5951" s="49"/>
      <c r="G5951" s="71"/>
      <c r="H5951" s="41"/>
      <c r="I5951" s="42"/>
      <c r="J5951" s="120"/>
      <c r="K5951" s="72"/>
      <c r="L5951" s="53"/>
      <c r="M5951" s="101"/>
      <c r="N5951" s="74"/>
      <c r="O5951" s="102"/>
      <c r="P5951" s="102"/>
      <c r="Q5951" s="57"/>
      <c r="R5951" s="58"/>
      <c r="S5951" s="57"/>
      <c r="T5951" s="77"/>
    </row>
    <row r="5952">
      <c r="A5952" s="119"/>
      <c r="B5952" s="118"/>
      <c r="C5952" s="118"/>
      <c r="D5952" s="56"/>
      <c r="E5952" s="41"/>
      <c r="F5952" s="49"/>
      <c r="G5952" s="71"/>
      <c r="H5952" s="41"/>
      <c r="I5952" s="42"/>
      <c r="J5952" s="120"/>
      <c r="K5952" s="72"/>
      <c r="L5952" s="53"/>
      <c r="M5952" s="101"/>
      <c r="N5952" s="74"/>
      <c r="O5952" s="102"/>
      <c r="P5952" s="102"/>
      <c r="Q5952" s="57"/>
      <c r="R5952" s="58"/>
      <c r="S5952" s="57"/>
      <c r="T5952" s="77"/>
    </row>
    <row r="5953">
      <c r="A5953" s="119"/>
      <c r="B5953" s="118"/>
      <c r="C5953" s="118"/>
      <c r="D5953" s="56"/>
      <c r="E5953" s="41"/>
      <c r="F5953" s="49"/>
      <c r="G5953" s="71"/>
      <c r="H5953" s="41"/>
      <c r="I5953" s="42"/>
      <c r="J5953" s="120"/>
      <c r="K5953" s="72"/>
      <c r="L5953" s="53"/>
      <c r="M5953" s="101"/>
      <c r="N5953" s="74"/>
      <c r="O5953" s="102"/>
      <c r="P5953" s="102"/>
      <c r="Q5953" s="57"/>
      <c r="R5953" s="58"/>
      <c r="S5953" s="57"/>
      <c r="T5953" s="77"/>
    </row>
    <row r="5954">
      <c r="A5954" s="119"/>
      <c r="B5954" s="118"/>
      <c r="C5954" s="118"/>
      <c r="D5954" s="56"/>
      <c r="E5954" s="41"/>
      <c r="F5954" s="49"/>
      <c r="G5954" s="71"/>
      <c r="H5954" s="41"/>
      <c r="I5954" s="42"/>
      <c r="J5954" s="120"/>
      <c r="K5954" s="72"/>
      <c r="L5954" s="53"/>
      <c r="M5954" s="101"/>
      <c r="N5954" s="74"/>
      <c r="O5954" s="102"/>
      <c r="P5954" s="102"/>
      <c r="Q5954" s="57"/>
      <c r="R5954" s="58"/>
      <c r="S5954" s="57"/>
      <c r="T5954" s="77"/>
    </row>
    <row r="5955">
      <c r="A5955" s="119"/>
      <c r="B5955" s="118"/>
      <c r="C5955" s="118"/>
      <c r="D5955" s="56"/>
      <c r="E5955" s="41"/>
      <c r="F5955" s="49"/>
      <c r="G5955" s="71"/>
      <c r="H5955" s="41"/>
      <c r="I5955" s="42"/>
      <c r="J5955" s="120"/>
      <c r="K5955" s="72"/>
      <c r="L5955" s="53"/>
      <c r="M5955" s="101"/>
      <c r="N5955" s="74"/>
      <c r="O5955" s="102"/>
      <c r="P5955" s="102"/>
      <c r="Q5955" s="57"/>
      <c r="R5955" s="58"/>
      <c r="S5955" s="57"/>
      <c r="T5955" s="77"/>
    </row>
    <row r="5956">
      <c r="A5956" s="119"/>
      <c r="B5956" s="118"/>
      <c r="C5956" s="118"/>
      <c r="D5956" s="56"/>
      <c r="E5956" s="41"/>
      <c r="F5956" s="49"/>
      <c r="G5956" s="71"/>
      <c r="H5956" s="41"/>
      <c r="I5956" s="42"/>
      <c r="J5956" s="120"/>
      <c r="K5956" s="72"/>
      <c r="L5956" s="53"/>
      <c r="M5956" s="101"/>
      <c r="N5956" s="74"/>
      <c r="O5956" s="102"/>
      <c r="P5956" s="102"/>
      <c r="Q5956" s="57"/>
      <c r="R5956" s="58"/>
      <c r="S5956" s="57"/>
      <c r="T5956" s="77"/>
    </row>
    <row r="5957">
      <c r="A5957" s="119"/>
      <c r="B5957" s="118"/>
      <c r="C5957" s="118"/>
      <c r="D5957" s="56"/>
      <c r="E5957" s="41"/>
      <c r="F5957" s="49"/>
      <c r="G5957" s="71"/>
      <c r="H5957" s="41"/>
      <c r="I5957" s="42"/>
      <c r="J5957" s="120"/>
      <c r="K5957" s="72"/>
      <c r="L5957" s="53"/>
      <c r="M5957" s="101"/>
      <c r="N5957" s="74"/>
      <c r="O5957" s="102"/>
      <c r="P5957" s="102"/>
      <c r="Q5957" s="57"/>
      <c r="R5957" s="58"/>
      <c r="S5957" s="57"/>
      <c r="T5957" s="77"/>
    </row>
    <row r="5958">
      <c r="A5958" s="119"/>
      <c r="B5958" s="118"/>
      <c r="C5958" s="118"/>
      <c r="D5958" s="56"/>
      <c r="E5958" s="41"/>
      <c r="F5958" s="49"/>
      <c r="G5958" s="71"/>
      <c r="H5958" s="41"/>
      <c r="I5958" s="42"/>
      <c r="J5958" s="120"/>
      <c r="K5958" s="72"/>
      <c r="L5958" s="53"/>
      <c r="M5958" s="101"/>
      <c r="N5958" s="74"/>
      <c r="O5958" s="102"/>
      <c r="P5958" s="102"/>
      <c r="Q5958" s="57"/>
      <c r="R5958" s="58"/>
      <c r="S5958" s="57"/>
      <c r="T5958" s="77"/>
    </row>
    <row r="5959">
      <c r="A5959" s="119"/>
      <c r="B5959" s="118"/>
      <c r="C5959" s="118"/>
      <c r="D5959" s="56"/>
      <c r="E5959" s="41"/>
      <c r="F5959" s="49"/>
      <c r="G5959" s="71"/>
      <c r="H5959" s="41"/>
      <c r="I5959" s="42"/>
      <c r="J5959" s="120"/>
      <c r="K5959" s="72"/>
      <c r="L5959" s="53"/>
      <c r="M5959" s="101"/>
      <c r="N5959" s="74"/>
      <c r="O5959" s="102"/>
      <c r="P5959" s="102"/>
      <c r="Q5959" s="57"/>
      <c r="R5959" s="58"/>
      <c r="S5959" s="57"/>
      <c r="T5959" s="77"/>
    </row>
    <row r="5960">
      <c r="A5960" s="119"/>
      <c r="B5960" s="118"/>
      <c r="C5960" s="118"/>
      <c r="D5960" s="56"/>
      <c r="E5960" s="41"/>
      <c r="F5960" s="49"/>
      <c r="G5960" s="71"/>
      <c r="H5960" s="41"/>
      <c r="I5960" s="42"/>
      <c r="J5960" s="120"/>
      <c r="K5960" s="72"/>
      <c r="L5960" s="53"/>
      <c r="M5960" s="101"/>
      <c r="N5960" s="74"/>
      <c r="O5960" s="102"/>
      <c r="P5960" s="102"/>
      <c r="Q5960" s="57"/>
      <c r="R5960" s="58"/>
      <c r="S5960" s="57"/>
      <c r="T5960" s="77"/>
    </row>
    <row r="5961">
      <c r="A5961" s="119"/>
      <c r="B5961" s="118"/>
      <c r="C5961" s="118"/>
      <c r="D5961" s="56"/>
      <c r="E5961" s="41"/>
      <c r="F5961" s="49"/>
      <c r="G5961" s="71"/>
      <c r="H5961" s="41"/>
      <c r="I5961" s="42"/>
      <c r="J5961" s="120"/>
      <c r="K5961" s="72"/>
      <c r="L5961" s="53"/>
      <c r="M5961" s="101"/>
      <c r="N5961" s="74"/>
      <c r="O5961" s="102"/>
      <c r="P5961" s="102"/>
      <c r="Q5961" s="57"/>
      <c r="R5961" s="58"/>
      <c r="S5961" s="57"/>
      <c r="T5961" s="77"/>
    </row>
    <row r="5962">
      <c r="A5962" s="119"/>
      <c r="B5962" s="118"/>
      <c r="C5962" s="118"/>
      <c r="D5962" s="56"/>
      <c r="E5962" s="41"/>
      <c r="F5962" s="49"/>
      <c r="G5962" s="71"/>
      <c r="H5962" s="41"/>
      <c r="I5962" s="42"/>
      <c r="J5962" s="120"/>
      <c r="K5962" s="72"/>
      <c r="L5962" s="53"/>
      <c r="M5962" s="101"/>
      <c r="N5962" s="74"/>
      <c r="O5962" s="102"/>
      <c r="P5962" s="102"/>
      <c r="Q5962" s="57"/>
      <c r="R5962" s="58"/>
      <c r="S5962" s="57"/>
      <c r="T5962" s="77"/>
    </row>
    <row r="5963">
      <c r="A5963" s="119"/>
      <c r="B5963" s="118"/>
      <c r="C5963" s="118"/>
      <c r="D5963" s="56"/>
      <c r="E5963" s="41"/>
      <c r="F5963" s="49"/>
      <c r="G5963" s="71"/>
      <c r="H5963" s="41"/>
      <c r="I5963" s="42"/>
      <c r="J5963" s="120"/>
      <c r="K5963" s="72"/>
      <c r="L5963" s="53"/>
      <c r="M5963" s="101"/>
      <c r="N5963" s="74"/>
      <c r="O5963" s="102"/>
      <c r="P5963" s="102"/>
      <c r="Q5963" s="57"/>
      <c r="R5963" s="58"/>
      <c r="S5963" s="57"/>
      <c r="T5963" s="77"/>
    </row>
    <row r="5964">
      <c r="A5964" s="119"/>
      <c r="B5964" s="118"/>
      <c r="C5964" s="118"/>
      <c r="D5964" s="56"/>
      <c r="E5964" s="41"/>
      <c r="F5964" s="49"/>
      <c r="G5964" s="71"/>
      <c r="H5964" s="41"/>
      <c r="I5964" s="42"/>
      <c r="J5964" s="120"/>
      <c r="K5964" s="72"/>
      <c r="L5964" s="53"/>
      <c r="M5964" s="101"/>
      <c r="N5964" s="74"/>
      <c r="O5964" s="102"/>
      <c r="P5964" s="102"/>
      <c r="Q5964" s="57"/>
      <c r="R5964" s="58"/>
      <c r="S5964" s="57"/>
      <c r="T5964" s="77"/>
    </row>
    <row r="5965">
      <c r="A5965" s="119"/>
      <c r="B5965" s="118"/>
      <c r="C5965" s="118"/>
      <c r="D5965" s="56"/>
      <c r="E5965" s="41"/>
      <c r="F5965" s="49"/>
      <c r="G5965" s="71"/>
      <c r="H5965" s="41"/>
      <c r="I5965" s="42"/>
      <c r="J5965" s="120"/>
      <c r="K5965" s="72"/>
      <c r="L5965" s="53"/>
      <c r="M5965" s="101"/>
      <c r="N5965" s="74"/>
      <c r="O5965" s="102"/>
      <c r="P5965" s="102"/>
      <c r="Q5965" s="57"/>
      <c r="R5965" s="58"/>
      <c r="S5965" s="57"/>
      <c r="T5965" s="77"/>
    </row>
    <row r="5966">
      <c r="A5966" s="119"/>
      <c r="B5966" s="118"/>
      <c r="C5966" s="118"/>
      <c r="D5966" s="56"/>
      <c r="E5966" s="41"/>
      <c r="F5966" s="49"/>
      <c r="G5966" s="71"/>
      <c r="H5966" s="41"/>
      <c r="I5966" s="42"/>
      <c r="J5966" s="120"/>
      <c r="K5966" s="72"/>
      <c r="L5966" s="53"/>
      <c r="M5966" s="101"/>
      <c r="N5966" s="74"/>
      <c r="O5966" s="102"/>
      <c r="P5966" s="102"/>
      <c r="Q5966" s="57"/>
      <c r="R5966" s="58"/>
      <c r="S5966" s="57"/>
      <c r="T5966" s="77"/>
    </row>
    <row r="5967">
      <c r="A5967" s="119"/>
      <c r="B5967" s="118"/>
      <c r="C5967" s="118"/>
      <c r="D5967" s="56"/>
      <c r="E5967" s="41"/>
      <c r="F5967" s="49"/>
      <c r="G5967" s="71"/>
      <c r="H5967" s="41"/>
      <c r="I5967" s="42"/>
      <c r="J5967" s="120"/>
      <c r="K5967" s="72"/>
      <c r="L5967" s="53"/>
      <c r="M5967" s="101"/>
      <c r="N5967" s="74"/>
      <c r="O5967" s="102"/>
      <c r="P5967" s="102"/>
      <c r="Q5967" s="57"/>
      <c r="R5967" s="58"/>
      <c r="S5967" s="57"/>
      <c r="T5967" s="77"/>
    </row>
    <row r="5968">
      <c r="A5968" s="119"/>
      <c r="B5968" s="118"/>
      <c r="C5968" s="118"/>
      <c r="D5968" s="56"/>
      <c r="E5968" s="41"/>
      <c r="F5968" s="49"/>
      <c r="G5968" s="71"/>
      <c r="H5968" s="41"/>
      <c r="I5968" s="42"/>
      <c r="J5968" s="120"/>
      <c r="K5968" s="72"/>
      <c r="L5968" s="53"/>
      <c r="M5968" s="101"/>
      <c r="N5968" s="74"/>
      <c r="O5968" s="102"/>
      <c r="P5968" s="102"/>
      <c r="Q5968" s="57"/>
      <c r="R5968" s="58"/>
      <c r="S5968" s="57"/>
      <c r="T5968" s="77"/>
    </row>
    <row r="5969">
      <c r="A5969" s="119"/>
      <c r="B5969" s="118"/>
      <c r="C5969" s="118"/>
      <c r="D5969" s="56"/>
      <c r="E5969" s="41"/>
      <c r="F5969" s="49"/>
      <c r="G5969" s="71"/>
      <c r="H5969" s="41"/>
      <c r="I5969" s="42"/>
      <c r="J5969" s="120"/>
      <c r="K5969" s="72"/>
      <c r="L5969" s="53"/>
      <c r="M5969" s="101"/>
      <c r="N5969" s="74"/>
      <c r="O5969" s="102"/>
      <c r="P5969" s="102"/>
      <c r="Q5969" s="57"/>
      <c r="R5969" s="58"/>
      <c r="S5969" s="57"/>
      <c r="T5969" s="77"/>
    </row>
    <row r="5970">
      <c r="A5970" s="119"/>
      <c r="B5970" s="118"/>
      <c r="C5970" s="118"/>
      <c r="D5970" s="56"/>
      <c r="E5970" s="41"/>
      <c r="F5970" s="49"/>
      <c r="G5970" s="71"/>
      <c r="H5970" s="41"/>
      <c r="I5970" s="42"/>
      <c r="J5970" s="120"/>
      <c r="K5970" s="72"/>
      <c r="L5970" s="53"/>
      <c r="M5970" s="101"/>
      <c r="N5970" s="74"/>
      <c r="O5970" s="102"/>
      <c r="P5970" s="102"/>
      <c r="Q5970" s="57"/>
      <c r="R5970" s="58"/>
      <c r="S5970" s="57"/>
      <c r="T5970" s="77"/>
    </row>
    <row r="5971">
      <c r="A5971" s="119"/>
      <c r="B5971" s="118"/>
      <c r="C5971" s="118"/>
      <c r="D5971" s="56"/>
      <c r="E5971" s="41"/>
      <c r="F5971" s="49"/>
      <c r="G5971" s="71"/>
      <c r="H5971" s="41"/>
      <c r="I5971" s="42"/>
      <c r="J5971" s="120"/>
      <c r="K5971" s="72"/>
      <c r="L5971" s="53"/>
      <c r="M5971" s="101"/>
      <c r="N5971" s="74"/>
      <c r="O5971" s="102"/>
      <c r="P5971" s="102"/>
      <c r="Q5971" s="57"/>
      <c r="R5971" s="58"/>
      <c r="S5971" s="57"/>
      <c r="T5971" s="77"/>
    </row>
    <row r="5972">
      <c r="A5972" s="119"/>
      <c r="B5972" s="118"/>
      <c r="C5972" s="118"/>
      <c r="D5972" s="56"/>
      <c r="E5972" s="41"/>
      <c r="F5972" s="49"/>
      <c r="G5972" s="71"/>
      <c r="H5972" s="41"/>
      <c r="I5972" s="42"/>
      <c r="J5972" s="120"/>
      <c r="K5972" s="72"/>
      <c r="L5972" s="53"/>
      <c r="M5972" s="101"/>
      <c r="N5972" s="74"/>
      <c r="O5972" s="102"/>
      <c r="P5972" s="102"/>
      <c r="Q5972" s="57"/>
      <c r="R5972" s="58"/>
      <c r="S5972" s="57"/>
      <c r="T5972" s="77"/>
    </row>
    <row r="5973">
      <c r="A5973" s="119"/>
      <c r="B5973" s="118"/>
      <c r="C5973" s="118"/>
      <c r="D5973" s="56"/>
      <c r="E5973" s="41"/>
      <c r="F5973" s="49"/>
      <c r="G5973" s="71"/>
      <c r="H5973" s="41"/>
      <c r="I5973" s="42"/>
      <c r="J5973" s="120"/>
      <c r="K5973" s="72"/>
      <c r="L5973" s="53"/>
      <c r="M5973" s="101"/>
      <c r="N5973" s="74"/>
      <c r="O5973" s="102"/>
      <c r="P5973" s="102"/>
      <c r="Q5973" s="57"/>
      <c r="R5973" s="58"/>
      <c r="S5973" s="57"/>
      <c r="T5973" s="77"/>
    </row>
    <row r="5974">
      <c r="A5974" s="119"/>
      <c r="B5974" s="118"/>
      <c r="C5974" s="118"/>
      <c r="D5974" s="56"/>
      <c r="E5974" s="41"/>
      <c r="F5974" s="49"/>
      <c r="G5974" s="71"/>
      <c r="H5974" s="41"/>
      <c r="I5974" s="42"/>
      <c r="J5974" s="120"/>
      <c r="K5974" s="72"/>
      <c r="L5974" s="53"/>
      <c r="M5974" s="101"/>
      <c r="N5974" s="74"/>
      <c r="O5974" s="102"/>
      <c r="P5974" s="102"/>
      <c r="Q5974" s="57"/>
      <c r="R5974" s="58"/>
      <c r="S5974" s="57"/>
      <c r="T5974" s="77"/>
    </row>
    <row r="5975">
      <c r="A5975" s="119"/>
      <c r="B5975" s="118"/>
      <c r="C5975" s="118"/>
      <c r="D5975" s="56"/>
      <c r="E5975" s="41"/>
      <c r="F5975" s="49"/>
      <c r="G5975" s="71"/>
      <c r="H5975" s="41"/>
      <c r="I5975" s="42"/>
      <c r="J5975" s="120"/>
      <c r="K5975" s="72"/>
      <c r="L5975" s="53"/>
      <c r="M5975" s="101"/>
      <c r="N5975" s="74"/>
      <c r="O5975" s="102"/>
      <c r="P5975" s="102"/>
      <c r="Q5975" s="57"/>
      <c r="R5975" s="58"/>
      <c r="S5975" s="57"/>
      <c r="T5975" s="77"/>
    </row>
    <row r="5976">
      <c r="A5976" s="119"/>
      <c r="B5976" s="118"/>
      <c r="C5976" s="118"/>
      <c r="D5976" s="56"/>
      <c r="E5976" s="41"/>
      <c r="F5976" s="49"/>
      <c r="G5976" s="71"/>
      <c r="H5976" s="41"/>
      <c r="I5976" s="42"/>
      <c r="J5976" s="120"/>
      <c r="K5976" s="72"/>
      <c r="L5976" s="53"/>
      <c r="M5976" s="101"/>
      <c r="N5976" s="74"/>
      <c r="O5976" s="102"/>
      <c r="P5976" s="102"/>
      <c r="Q5976" s="57"/>
      <c r="R5976" s="58"/>
      <c r="S5976" s="57"/>
      <c r="T5976" s="77"/>
    </row>
    <row r="5977">
      <c r="A5977" s="119"/>
      <c r="B5977" s="118"/>
      <c r="C5977" s="118"/>
      <c r="D5977" s="56"/>
      <c r="E5977" s="41"/>
      <c r="F5977" s="49"/>
      <c r="G5977" s="71"/>
      <c r="H5977" s="41"/>
      <c r="I5977" s="42"/>
      <c r="J5977" s="120"/>
      <c r="K5977" s="72"/>
      <c r="L5977" s="53"/>
      <c r="M5977" s="101"/>
      <c r="N5977" s="74"/>
      <c r="O5977" s="102"/>
      <c r="P5977" s="102"/>
      <c r="Q5977" s="57"/>
      <c r="R5977" s="58"/>
      <c r="S5977" s="57"/>
      <c r="T5977" s="77"/>
    </row>
    <row r="5978">
      <c r="A5978" s="119"/>
      <c r="B5978" s="118"/>
      <c r="C5978" s="118"/>
      <c r="D5978" s="56"/>
      <c r="E5978" s="41"/>
      <c r="F5978" s="49"/>
      <c r="G5978" s="71"/>
      <c r="H5978" s="41"/>
      <c r="I5978" s="42"/>
      <c r="J5978" s="120"/>
      <c r="K5978" s="72"/>
      <c r="L5978" s="53"/>
      <c r="M5978" s="101"/>
      <c r="N5978" s="74"/>
      <c r="O5978" s="102"/>
      <c r="P5978" s="102"/>
      <c r="Q5978" s="57"/>
      <c r="R5978" s="58"/>
      <c r="S5978" s="57"/>
      <c r="T5978" s="77"/>
    </row>
    <row r="5979">
      <c r="A5979" s="119"/>
      <c r="B5979" s="118"/>
      <c r="C5979" s="118"/>
      <c r="D5979" s="56"/>
      <c r="E5979" s="41"/>
      <c r="F5979" s="49"/>
      <c r="G5979" s="71"/>
      <c r="H5979" s="41"/>
      <c r="I5979" s="42"/>
      <c r="J5979" s="120"/>
      <c r="K5979" s="72"/>
      <c r="L5979" s="53"/>
      <c r="M5979" s="101"/>
      <c r="N5979" s="74"/>
      <c r="O5979" s="102"/>
      <c r="P5979" s="102"/>
      <c r="Q5979" s="57"/>
      <c r="R5979" s="58"/>
      <c r="S5979" s="57"/>
      <c r="T5979" s="77"/>
    </row>
    <row r="5980">
      <c r="A5980" s="119"/>
      <c r="B5980" s="118"/>
      <c r="C5980" s="118"/>
      <c r="D5980" s="56"/>
      <c r="E5980" s="41"/>
      <c r="F5980" s="49"/>
      <c r="G5980" s="71"/>
      <c r="H5980" s="41"/>
      <c r="I5980" s="42"/>
      <c r="J5980" s="43" t="str">
        <f t="shared" ref="J5980:J5982" si="22">IF(D5980="","TIDAK ADA","ADA")</f>
        <v>TIDAK ADA</v>
      </c>
      <c r="K5980" s="72"/>
      <c r="L5980" s="53"/>
      <c r="M5980" s="101"/>
      <c r="N5980" s="74"/>
      <c r="O5980" s="102"/>
      <c r="P5980" s="102"/>
      <c r="Q5980" s="57"/>
      <c r="R5980" s="58"/>
      <c r="S5980" s="57"/>
      <c r="T5980" s="77"/>
    </row>
    <row r="5981">
      <c r="A5981" s="119"/>
      <c r="B5981" s="118"/>
      <c r="C5981" s="118"/>
      <c r="D5981" s="56"/>
      <c r="E5981" s="41"/>
      <c r="F5981" s="49"/>
      <c r="G5981" s="71"/>
      <c r="H5981" s="41"/>
      <c r="I5981" s="42"/>
      <c r="J5981" s="43" t="str">
        <f t="shared" si="22"/>
        <v>TIDAK ADA</v>
      </c>
      <c r="K5981" s="72"/>
      <c r="L5981" s="53"/>
      <c r="M5981" s="101"/>
      <c r="N5981" s="74"/>
      <c r="O5981" s="102"/>
      <c r="P5981" s="102"/>
      <c r="Q5981" s="57"/>
      <c r="R5981" s="58"/>
      <c r="S5981" s="57"/>
      <c r="T5981" s="77"/>
    </row>
    <row r="5982">
      <c r="A5982" s="119"/>
      <c r="B5982" s="118"/>
      <c r="C5982" s="118"/>
      <c r="D5982" s="56"/>
      <c r="E5982" s="41"/>
      <c r="F5982" s="49"/>
      <c r="G5982" s="71"/>
      <c r="H5982" s="41"/>
      <c r="I5982" s="42"/>
      <c r="J5982" s="43" t="str">
        <f t="shared" si="22"/>
        <v>TIDAK ADA</v>
      </c>
      <c r="K5982" s="72"/>
      <c r="L5982" s="53"/>
      <c r="M5982" s="101"/>
      <c r="N5982" s="74"/>
      <c r="O5982" s="102"/>
      <c r="P5982" s="102"/>
      <c r="Q5982" s="57"/>
      <c r="R5982" s="58"/>
      <c r="S5982" s="57"/>
      <c r="T5982" s="77"/>
    </row>
    <row r="5983">
      <c r="A5983" s="119"/>
      <c r="B5983" s="118"/>
      <c r="C5983" s="118"/>
      <c r="D5983" s="56"/>
      <c r="E5983" s="41"/>
      <c r="F5983" s="49"/>
      <c r="G5983" s="71"/>
      <c r="H5983" s="41"/>
      <c r="I5983" s="42"/>
      <c r="J5983" s="120"/>
      <c r="K5983" s="72"/>
      <c r="L5983" s="53"/>
      <c r="M5983" s="101"/>
      <c r="N5983" s="74"/>
      <c r="O5983" s="102"/>
      <c r="P5983" s="102"/>
      <c r="Q5983" s="57"/>
      <c r="R5983" s="58"/>
      <c r="S5983" s="57"/>
      <c r="T5983" s="77"/>
    </row>
    <row r="5984">
      <c r="A5984" s="119"/>
      <c r="B5984" s="118"/>
      <c r="C5984" s="118"/>
      <c r="D5984" s="56"/>
      <c r="E5984" s="41"/>
      <c r="F5984" s="49"/>
      <c r="G5984" s="71"/>
      <c r="H5984" s="41"/>
      <c r="I5984" s="42"/>
      <c r="J5984" s="120"/>
      <c r="K5984" s="72"/>
      <c r="L5984" s="53"/>
      <c r="M5984" s="101"/>
      <c r="N5984" s="74"/>
      <c r="O5984" s="102"/>
      <c r="P5984" s="102"/>
      <c r="Q5984" s="57"/>
      <c r="R5984" s="58"/>
      <c r="S5984" s="57"/>
      <c r="T5984" s="77"/>
    </row>
    <row r="5985">
      <c r="A5985" s="119"/>
      <c r="B5985" s="118"/>
      <c r="C5985" s="118"/>
      <c r="D5985" s="56"/>
      <c r="E5985" s="41"/>
      <c r="F5985" s="49"/>
      <c r="G5985" s="71"/>
      <c r="H5985" s="41"/>
      <c r="I5985" s="42"/>
      <c r="J5985" s="120"/>
      <c r="K5985" s="72"/>
      <c r="L5985" s="53"/>
      <c r="M5985" s="101"/>
      <c r="N5985" s="74"/>
      <c r="O5985" s="102"/>
      <c r="P5985" s="102"/>
      <c r="Q5985" s="57"/>
      <c r="R5985" s="58"/>
      <c r="S5985" s="57"/>
      <c r="T5985" s="77"/>
    </row>
    <row r="5986">
      <c r="A5986" s="119"/>
      <c r="B5986" s="118"/>
      <c r="C5986" s="118"/>
      <c r="D5986" s="56"/>
      <c r="E5986" s="41"/>
      <c r="F5986" s="49"/>
      <c r="G5986" s="71"/>
      <c r="H5986" s="41"/>
      <c r="I5986" s="42"/>
      <c r="J5986" s="120"/>
      <c r="K5986" s="72"/>
      <c r="L5986" s="53"/>
      <c r="M5986" s="101"/>
      <c r="N5986" s="74"/>
      <c r="O5986" s="102"/>
      <c r="P5986" s="102"/>
      <c r="Q5986" s="57"/>
      <c r="R5986" s="58"/>
      <c r="S5986" s="57"/>
      <c r="T5986" s="77"/>
    </row>
    <row r="5987">
      <c r="A5987" s="119"/>
      <c r="B5987" s="118"/>
      <c r="C5987" s="118"/>
      <c r="D5987" s="56"/>
      <c r="E5987" s="41"/>
      <c r="F5987" s="49"/>
      <c r="G5987" s="71"/>
      <c r="H5987" s="41"/>
      <c r="I5987" s="42"/>
      <c r="J5987" s="120"/>
      <c r="K5987" s="72"/>
      <c r="L5987" s="53"/>
      <c r="M5987" s="101"/>
      <c r="N5987" s="74"/>
      <c r="O5987" s="102"/>
      <c r="P5987" s="102"/>
      <c r="Q5987" s="57"/>
      <c r="R5987" s="58"/>
      <c r="S5987" s="57"/>
      <c r="T5987" s="77"/>
    </row>
    <row r="5988">
      <c r="A5988" s="119"/>
      <c r="B5988" s="118"/>
      <c r="C5988" s="118"/>
      <c r="D5988" s="56"/>
      <c r="E5988" s="41"/>
      <c r="F5988" s="49"/>
      <c r="G5988" s="71"/>
      <c r="H5988" s="41"/>
      <c r="I5988" s="42"/>
      <c r="J5988" s="120"/>
      <c r="K5988" s="72"/>
      <c r="L5988" s="53"/>
      <c r="M5988" s="101"/>
      <c r="N5988" s="74"/>
      <c r="O5988" s="102"/>
      <c r="P5988" s="102"/>
      <c r="Q5988" s="57"/>
      <c r="R5988" s="58"/>
      <c r="S5988" s="57"/>
      <c r="T5988" s="77"/>
    </row>
    <row r="5989">
      <c r="A5989" s="119"/>
      <c r="B5989" s="118"/>
      <c r="C5989" s="118"/>
      <c r="D5989" s="56"/>
      <c r="E5989" s="41"/>
      <c r="F5989" s="49"/>
      <c r="G5989" s="71"/>
      <c r="H5989" s="41"/>
      <c r="I5989" s="42"/>
      <c r="J5989" s="120"/>
      <c r="K5989" s="72"/>
      <c r="L5989" s="53"/>
      <c r="M5989" s="101"/>
      <c r="N5989" s="74"/>
      <c r="O5989" s="102"/>
      <c r="P5989" s="102"/>
      <c r="Q5989" s="57"/>
      <c r="R5989" s="58"/>
      <c r="S5989" s="57"/>
      <c r="T5989" s="77"/>
    </row>
    <row r="5990">
      <c r="A5990" s="119"/>
      <c r="B5990" s="118"/>
      <c r="C5990" s="118"/>
      <c r="D5990" s="56"/>
      <c r="E5990" s="41"/>
      <c r="F5990" s="49"/>
      <c r="G5990" s="71"/>
      <c r="H5990" s="41"/>
      <c r="I5990" s="42"/>
      <c r="J5990" s="120"/>
      <c r="K5990" s="72"/>
      <c r="L5990" s="53"/>
      <c r="M5990" s="101"/>
      <c r="N5990" s="74"/>
      <c r="O5990" s="102"/>
      <c r="P5990" s="102"/>
      <c r="Q5990" s="57"/>
      <c r="R5990" s="58"/>
      <c r="S5990" s="57"/>
      <c r="T5990" s="77"/>
    </row>
    <row r="5991">
      <c r="A5991" s="119"/>
      <c r="B5991" s="118"/>
      <c r="C5991" s="118"/>
      <c r="D5991" s="56"/>
      <c r="E5991" s="41"/>
      <c r="F5991" s="49"/>
      <c r="G5991" s="71"/>
      <c r="H5991" s="41"/>
      <c r="I5991" s="42"/>
      <c r="J5991" s="120"/>
      <c r="K5991" s="72"/>
      <c r="L5991" s="53"/>
      <c r="M5991" s="101"/>
      <c r="N5991" s="74"/>
      <c r="O5991" s="102"/>
      <c r="P5991" s="102"/>
      <c r="Q5991" s="57"/>
      <c r="R5991" s="58"/>
      <c r="S5991" s="57"/>
      <c r="T5991" s="77"/>
    </row>
    <row r="5992">
      <c r="A5992" s="119"/>
      <c r="B5992" s="118"/>
      <c r="C5992" s="118"/>
      <c r="D5992" s="56"/>
      <c r="E5992" s="41"/>
      <c r="F5992" s="49"/>
      <c r="G5992" s="71"/>
      <c r="H5992" s="41"/>
      <c r="I5992" s="42"/>
      <c r="J5992" s="120"/>
      <c r="K5992" s="72"/>
      <c r="L5992" s="53"/>
      <c r="M5992" s="101"/>
      <c r="N5992" s="74"/>
      <c r="O5992" s="102"/>
      <c r="P5992" s="102"/>
      <c r="Q5992" s="57"/>
      <c r="R5992" s="58"/>
      <c r="S5992" s="57"/>
      <c r="T5992" s="77"/>
    </row>
    <row r="5993">
      <c r="A5993" s="119"/>
      <c r="B5993" s="118"/>
      <c r="C5993" s="118"/>
      <c r="D5993" s="56"/>
      <c r="E5993" s="41"/>
      <c r="F5993" s="49"/>
      <c r="G5993" s="71"/>
      <c r="H5993" s="41"/>
      <c r="I5993" s="42"/>
      <c r="J5993" s="120"/>
      <c r="K5993" s="72"/>
      <c r="L5993" s="53"/>
      <c r="M5993" s="101"/>
      <c r="N5993" s="74"/>
      <c r="O5993" s="102"/>
      <c r="P5993" s="102"/>
      <c r="Q5993" s="57"/>
      <c r="R5993" s="58"/>
      <c r="S5993" s="57"/>
      <c r="T5993" s="77"/>
    </row>
    <row r="5994">
      <c r="A5994" s="119"/>
      <c r="B5994" s="118"/>
      <c r="C5994" s="118"/>
      <c r="D5994" s="56"/>
      <c r="E5994" s="41"/>
      <c r="F5994" s="49"/>
      <c r="G5994" s="71"/>
      <c r="H5994" s="41"/>
      <c r="I5994" s="42"/>
      <c r="J5994" s="120"/>
      <c r="K5994" s="72"/>
      <c r="L5994" s="53"/>
      <c r="M5994" s="101"/>
      <c r="N5994" s="74"/>
      <c r="O5994" s="102"/>
      <c r="P5994" s="102"/>
      <c r="Q5994" s="57"/>
      <c r="R5994" s="58"/>
      <c r="S5994" s="57"/>
      <c r="T5994" s="77"/>
    </row>
    <row r="5995">
      <c r="A5995" s="119"/>
      <c r="B5995" s="118"/>
      <c r="C5995" s="118"/>
      <c r="D5995" s="56"/>
      <c r="E5995" s="41"/>
      <c r="F5995" s="49"/>
      <c r="G5995" s="71"/>
      <c r="H5995" s="41"/>
      <c r="I5995" s="42"/>
      <c r="J5995" s="120"/>
      <c r="K5995" s="72"/>
      <c r="L5995" s="53"/>
      <c r="M5995" s="101"/>
      <c r="N5995" s="74"/>
      <c r="O5995" s="102"/>
      <c r="P5995" s="102"/>
      <c r="Q5995" s="57"/>
      <c r="R5995" s="58"/>
      <c r="S5995" s="57"/>
      <c r="T5995" s="77"/>
    </row>
    <row r="5996">
      <c r="A5996" s="119"/>
      <c r="B5996" s="118"/>
      <c r="C5996" s="118"/>
      <c r="D5996" s="56"/>
      <c r="E5996" s="41"/>
      <c r="F5996" s="49"/>
      <c r="G5996" s="71"/>
      <c r="H5996" s="41"/>
      <c r="I5996" s="42"/>
      <c r="J5996" s="120"/>
      <c r="K5996" s="72"/>
      <c r="L5996" s="53"/>
      <c r="M5996" s="101"/>
      <c r="N5996" s="74"/>
      <c r="O5996" s="102"/>
      <c r="P5996" s="102"/>
      <c r="Q5996" s="57"/>
      <c r="R5996" s="58"/>
      <c r="S5996" s="57"/>
      <c r="T5996" s="77"/>
    </row>
    <row r="5997">
      <c r="A5997" s="119"/>
      <c r="B5997" s="118"/>
      <c r="C5997" s="118"/>
      <c r="D5997" s="56"/>
      <c r="E5997" s="41"/>
      <c r="F5997" s="49"/>
      <c r="G5997" s="71"/>
      <c r="H5997" s="41"/>
      <c r="I5997" s="42"/>
      <c r="J5997" s="120"/>
      <c r="K5997" s="72"/>
      <c r="L5997" s="53"/>
      <c r="M5997" s="101"/>
      <c r="N5997" s="74"/>
      <c r="O5997" s="102"/>
      <c r="P5997" s="102"/>
      <c r="Q5997" s="57"/>
      <c r="R5997" s="58"/>
      <c r="S5997" s="57"/>
      <c r="T5997" s="77"/>
    </row>
    <row r="5998">
      <c r="A5998" s="119"/>
      <c r="B5998" s="118"/>
      <c r="C5998" s="118"/>
      <c r="D5998" s="56"/>
      <c r="E5998" s="41"/>
      <c r="F5998" s="49"/>
      <c r="G5998" s="71"/>
      <c r="H5998" s="41"/>
      <c r="I5998" s="42"/>
      <c r="J5998" s="120"/>
      <c r="K5998" s="72"/>
      <c r="L5998" s="53"/>
      <c r="M5998" s="101"/>
      <c r="N5998" s="74"/>
      <c r="O5998" s="102"/>
      <c r="P5998" s="102"/>
      <c r="Q5998" s="57"/>
      <c r="R5998" s="58"/>
      <c r="S5998" s="57"/>
      <c r="T5998" s="77"/>
    </row>
    <row r="5999">
      <c r="A5999" s="119"/>
      <c r="B5999" s="118"/>
      <c r="C5999" s="118"/>
      <c r="D5999" s="56"/>
      <c r="E5999" s="41"/>
      <c r="F5999" s="49"/>
      <c r="G5999" s="71"/>
      <c r="H5999" s="41"/>
      <c r="I5999" s="42"/>
      <c r="J5999" s="120"/>
      <c r="K5999" s="72"/>
      <c r="L5999" s="53"/>
      <c r="M5999" s="101"/>
      <c r="N5999" s="74"/>
      <c r="O5999" s="102"/>
      <c r="P5999" s="102"/>
      <c r="Q5999" s="57"/>
      <c r="R5999" s="58"/>
      <c r="S5999" s="57"/>
      <c r="T5999" s="77"/>
    </row>
    <row r="6000">
      <c r="A6000" s="119"/>
      <c r="B6000" s="118"/>
      <c r="C6000" s="118"/>
      <c r="D6000" s="56"/>
      <c r="E6000" s="41"/>
      <c r="F6000" s="49"/>
      <c r="G6000" s="71"/>
      <c r="H6000" s="41"/>
      <c r="I6000" s="42"/>
      <c r="J6000" s="120"/>
      <c r="K6000" s="72"/>
      <c r="L6000" s="53"/>
      <c r="M6000" s="101"/>
      <c r="N6000" s="74"/>
      <c r="O6000" s="102"/>
      <c r="P6000" s="102"/>
      <c r="Q6000" s="57"/>
      <c r="R6000" s="58"/>
      <c r="S6000" s="57"/>
      <c r="T6000" s="77"/>
    </row>
    <row r="6001">
      <c r="A6001" s="119"/>
      <c r="B6001" s="118"/>
      <c r="C6001" s="118"/>
      <c r="D6001" s="56"/>
      <c r="E6001" s="41"/>
      <c r="F6001" s="49"/>
      <c r="G6001" s="71"/>
      <c r="H6001" s="41"/>
      <c r="I6001" s="42"/>
      <c r="J6001" s="120"/>
      <c r="K6001" s="72"/>
      <c r="L6001" s="53"/>
      <c r="M6001" s="101"/>
      <c r="N6001" s="74"/>
      <c r="O6001" s="102"/>
      <c r="P6001" s="102"/>
      <c r="Q6001" s="57"/>
      <c r="R6001" s="58"/>
      <c r="S6001" s="57"/>
      <c r="T6001" s="77"/>
    </row>
    <row r="6002">
      <c r="A6002" s="119"/>
      <c r="B6002" s="118"/>
      <c r="C6002" s="118"/>
      <c r="D6002" s="56"/>
      <c r="E6002" s="41"/>
      <c r="F6002" s="49"/>
      <c r="G6002" s="71"/>
      <c r="H6002" s="41"/>
      <c r="I6002" s="42"/>
      <c r="J6002" s="120"/>
      <c r="K6002" s="72"/>
      <c r="L6002" s="53"/>
      <c r="M6002" s="101"/>
      <c r="N6002" s="74"/>
      <c r="O6002" s="102"/>
      <c r="P6002" s="102"/>
      <c r="Q6002" s="57"/>
      <c r="R6002" s="58"/>
      <c r="S6002" s="57"/>
      <c r="T6002" s="77"/>
    </row>
    <row r="6003">
      <c r="A6003" s="119"/>
      <c r="B6003" s="118"/>
      <c r="C6003" s="118"/>
      <c r="D6003" s="56"/>
      <c r="E6003" s="41"/>
      <c r="F6003" s="49"/>
      <c r="G6003" s="71"/>
      <c r="H6003" s="41"/>
      <c r="I6003" s="42"/>
      <c r="J6003" s="120"/>
      <c r="K6003" s="72"/>
      <c r="L6003" s="53"/>
      <c r="M6003" s="101"/>
      <c r="N6003" s="74"/>
      <c r="O6003" s="102"/>
      <c r="P6003" s="102"/>
      <c r="Q6003" s="57"/>
      <c r="R6003" s="58"/>
      <c r="S6003" s="57"/>
      <c r="T6003" s="77"/>
    </row>
    <row r="6004">
      <c r="A6004" s="119"/>
      <c r="B6004" s="118"/>
      <c r="C6004" s="118"/>
      <c r="D6004" s="56"/>
      <c r="E6004" s="41"/>
      <c r="F6004" s="49"/>
      <c r="G6004" s="71"/>
      <c r="H6004" s="41"/>
      <c r="I6004" s="42"/>
      <c r="J6004" s="120"/>
      <c r="K6004" s="72"/>
      <c r="L6004" s="53"/>
      <c r="M6004" s="101"/>
      <c r="N6004" s="74"/>
      <c r="O6004" s="102"/>
      <c r="P6004" s="102"/>
      <c r="Q6004" s="57"/>
      <c r="R6004" s="58"/>
      <c r="S6004" s="57"/>
      <c r="T6004" s="77"/>
    </row>
    <row r="6005">
      <c r="A6005" s="119"/>
      <c r="B6005" s="118"/>
      <c r="C6005" s="118"/>
      <c r="D6005" s="56"/>
      <c r="E6005" s="41"/>
      <c r="F6005" s="49"/>
      <c r="G6005" s="71"/>
      <c r="H6005" s="41"/>
      <c r="I6005" s="42"/>
      <c r="J6005" s="120"/>
      <c r="K6005" s="72"/>
      <c r="L6005" s="53"/>
      <c r="M6005" s="101"/>
      <c r="N6005" s="74"/>
      <c r="O6005" s="102"/>
      <c r="P6005" s="102"/>
      <c r="Q6005" s="57"/>
      <c r="R6005" s="58"/>
      <c r="S6005" s="57"/>
      <c r="T6005" s="77"/>
    </row>
    <row r="6006">
      <c r="A6006" s="119"/>
      <c r="B6006" s="118"/>
      <c r="C6006" s="118"/>
      <c r="D6006" s="56"/>
      <c r="E6006" s="41"/>
      <c r="F6006" s="49"/>
      <c r="G6006" s="71"/>
      <c r="H6006" s="41"/>
      <c r="I6006" s="42"/>
      <c r="J6006" s="120"/>
      <c r="K6006" s="72"/>
      <c r="L6006" s="53"/>
      <c r="M6006" s="101"/>
      <c r="N6006" s="74"/>
      <c r="O6006" s="102"/>
      <c r="P6006" s="102"/>
      <c r="Q6006" s="57"/>
      <c r="R6006" s="58"/>
      <c r="S6006" s="57"/>
      <c r="T6006" s="77"/>
    </row>
    <row r="6007">
      <c r="A6007" s="119"/>
      <c r="B6007" s="118"/>
      <c r="C6007" s="118"/>
      <c r="D6007" s="56"/>
      <c r="E6007" s="41"/>
      <c r="F6007" s="49"/>
      <c r="G6007" s="71"/>
      <c r="H6007" s="41"/>
      <c r="I6007" s="42"/>
      <c r="J6007" s="120"/>
      <c r="K6007" s="72"/>
      <c r="L6007" s="53"/>
      <c r="M6007" s="101"/>
      <c r="N6007" s="74"/>
      <c r="O6007" s="102"/>
      <c r="P6007" s="102"/>
      <c r="Q6007" s="57"/>
      <c r="R6007" s="58"/>
      <c r="S6007" s="57"/>
      <c r="T6007" s="77"/>
    </row>
    <row r="6008">
      <c r="A6008" s="119"/>
      <c r="B6008" s="118"/>
      <c r="C6008" s="118"/>
      <c r="D6008" s="56"/>
      <c r="E6008" s="41"/>
      <c r="F6008" s="49"/>
      <c r="G6008" s="71"/>
      <c r="H6008" s="41"/>
      <c r="I6008" s="42"/>
      <c r="J6008" s="120"/>
      <c r="K6008" s="72"/>
      <c r="L6008" s="53"/>
      <c r="M6008" s="101"/>
      <c r="N6008" s="74"/>
      <c r="O6008" s="102"/>
      <c r="P6008" s="102"/>
      <c r="Q6008" s="57"/>
      <c r="R6008" s="58"/>
      <c r="S6008" s="57"/>
      <c r="T6008" s="77"/>
    </row>
    <row r="6009">
      <c r="A6009" s="119"/>
      <c r="B6009" s="118"/>
      <c r="C6009" s="118"/>
      <c r="D6009" s="56"/>
      <c r="E6009" s="41"/>
      <c r="F6009" s="49"/>
      <c r="G6009" s="71"/>
      <c r="H6009" s="41"/>
      <c r="I6009" s="42"/>
      <c r="J6009" s="120"/>
      <c r="K6009" s="72"/>
      <c r="L6009" s="53"/>
      <c r="M6009" s="101"/>
      <c r="N6009" s="74"/>
      <c r="O6009" s="102"/>
      <c r="P6009" s="102"/>
      <c r="Q6009" s="57"/>
      <c r="R6009" s="58"/>
      <c r="S6009" s="57"/>
      <c r="T6009" s="77"/>
    </row>
    <row r="6010">
      <c r="A6010" s="119"/>
      <c r="B6010" s="118"/>
      <c r="C6010" s="118"/>
      <c r="D6010" s="56"/>
      <c r="E6010" s="41"/>
      <c r="F6010" s="49"/>
      <c r="G6010" s="71"/>
      <c r="H6010" s="41"/>
      <c r="I6010" s="42"/>
      <c r="J6010" s="120"/>
      <c r="K6010" s="72"/>
      <c r="L6010" s="53"/>
      <c r="M6010" s="101"/>
      <c r="N6010" s="74"/>
      <c r="O6010" s="102"/>
      <c r="P6010" s="102"/>
      <c r="Q6010" s="57"/>
      <c r="R6010" s="58"/>
      <c r="S6010" s="57"/>
      <c r="T6010" s="77"/>
    </row>
    <row r="6011">
      <c r="A6011" s="119"/>
      <c r="B6011" s="118"/>
      <c r="C6011" s="118"/>
      <c r="D6011" s="56"/>
      <c r="E6011" s="41"/>
      <c r="F6011" s="49"/>
      <c r="G6011" s="71"/>
      <c r="H6011" s="41"/>
      <c r="I6011" s="42"/>
      <c r="J6011" s="120"/>
      <c r="K6011" s="72"/>
      <c r="L6011" s="53"/>
      <c r="M6011" s="101"/>
      <c r="N6011" s="74"/>
      <c r="O6011" s="102"/>
      <c r="P6011" s="102"/>
      <c r="Q6011" s="57"/>
      <c r="R6011" s="58"/>
      <c r="S6011" s="57"/>
      <c r="T6011" s="77"/>
    </row>
    <row r="6012">
      <c r="A6012" s="119"/>
      <c r="B6012" s="118"/>
      <c r="C6012" s="118"/>
      <c r="D6012" s="56"/>
      <c r="E6012" s="41"/>
      <c r="F6012" s="49"/>
      <c r="G6012" s="71"/>
      <c r="H6012" s="41"/>
      <c r="I6012" s="42"/>
      <c r="J6012" s="120"/>
      <c r="K6012" s="72"/>
      <c r="L6012" s="53"/>
      <c r="M6012" s="101"/>
      <c r="N6012" s="74"/>
      <c r="O6012" s="102"/>
      <c r="P6012" s="102"/>
      <c r="Q6012" s="57"/>
      <c r="R6012" s="58"/>
      <c r="S6012" s="57"/>
      <c r="T6012" s="77"/>
    </row>
    <row r="6013">
      <c r="A6013" s="119"/>
      <c r="B6013" s="118"/>
      <c r="C6013" s="118"/>
      <c r="D6013" s="56"/>
      <c r="E6013" s="41"/>
      <c r="F6013" s="49"/>
      <c r="G6013" s="71"/>
      <c r="H6013" s="41"/>
      <c r="I6013" s="42"/>
      <c r="J6013" s="120"/>
      <c r="K6013" s="72"/>
      <c r="L6013" s="53"/>
      <c r="M6013" s="101"/>
      <c r="N6013" s="74"/>
      <c r="O6013" s="102"/>
      <c r="P6013" s="102"/>
      <c r="Q6013" s="57"/>
      <c r="R6013" s="58"/>
      <c r="S6013" s="57"/>
      <c r="T6013" s="77"/>
    </row>
    <row r="6014">
      <c r="A6014" s="119"/>
      <c r="B6014" s="118"/>
      <c r="C6014" s="118"/>
      <c r="D6014" s="56"/>
      <c r="E6014" s="41"/>
      <c r="F6014" s="49"/>
      <c r="G6014" s="71"/>
      <c r="H6014" s="41"/>
      <c r="I6014" s="42"/>
      <c r="J6014" s="120"/>
      <c r="K6014" s="72"/>
      <c r="L6014" s="53"/>
      <c r="M6014" s="101"/>
      <c r="N6014" s="74"/>
      <c r="O6014" s="102"/>
      <c r="P6014" s="102"/>
      <c r="Q6014" s="57"/>
      <c r="R6014" s="58"/>
      <c r="S6014" s="57"/>
      <c r="T6014" s="77"/>
    </row>
    <row r="6015">
      <c r="A6015" s="119"/>
      <c r="B6015" s="118"/>
      <c r="C6015" s="118"/>
      <c r="D6015" s="56"/>
      <c r="E6015" s="41"/>
      <c r="F6015" s="49"/>
      <c r="G6015" s="71"/>
      <c r="H6015" s="41"/>
      <c r="I6015" s="42"/>
      <c r="J6015" s="120"/>
      <c r="K6015" s="72"/>
      <c r="L6015" s="53"/>
      <c r="M6015" s="101"/>
      <c r="N6015" s="74"/>
      <c r="O6015" s="102"/>
      <c r="P6015" s="102"/>
      <c r="Q6015" s="57"/>
      <c r="R6015" s="58"/>
      <c r="S6015" s="57"/>
      <c r="T6015" s="77"/>
    </row>
    <row r="6016">
      <c r="A6016" s="119"/>
      <c r="B6016" s="118"/>
      <c r="C6016" s="118"/>
      <c r="D6016" s="56"/>
      <c r="E6016" s="41"/>
      <c r="F6016" s="49"/>
      <c r="G6016" s="71"/>
      <c r="H6016" s="41"/>
      <c r="I6016" s="42"/>
      <c r="J6016" s="120"/>
      <c r="K6016" s="72"/>
      <c r="L6016" s="53"/>
      <c r="M6016" s="101"/>
      <c r="N6016" s="74"/>
      <c r="O6016" s="102"/>
      <c r="P6016" s="102"/>
      <c r="Q6016" s="57"/>
      <c r="R6016" s="58"/>
      <c r="S6016" s="57"/>
      <c r="T6016" s="77"/>
    </row>
    <row r="6017">
      <c r="A6017" s="119"/>
      <c r="B6017" s="118"/>
      <c r="C6017" s="118"/>
      <c r="D6017" s="56"/>
      <c r="E6017" s="41"/>
      <c r="F6017" s="49"/>
      <c r="G6017" s="71"/>
      <c r="H6017" s="41"/>
      <c r="I6017" s="42"/>
      <c r="J6017" s="120"/>
      <c r="K6017" s="72"/>
      <c r="L6017" s="53"/>
      <c r="M6017" s="101"/>
      <c r="N6017" s="74"/>
      <c r="O6017" s="102"/>
      <c r="P6017" s="102"/>
      <c r="Q6017" s="57"/>
      <c r="R6017" s="58"/>
      <c r="S6017" s="57"/>
      <c r="T6017" s="77"/>
    </row>
    <row r="6018">
      <c r="A6018" s="119"/>
      <c r="B6018" s="118"/>
      <c r="C6018" s="118"/>
      <c r="D6018" s="56"/>
      <c r="E6018" s="41"/>
      <c r="F6018" s="49"/>
      <c r="G6018" s="71"/>
      <c r="H6018" s="41"/>
      <c r="I6018" s="42"/>
      <c r="J6018" s="120"/>
      <c r="K6018" s="72"/>
      <c r="L6018" s="53"/>
      <c r="M6018" s="101"/>
      <c r="N6018" s="74"/>
      <c r="O6018" s="102"/>
      <c r="P6018" s="102"/>
      <c r="Q6018" s="57"/>
      <c r="R6018" s="58"/>
      <c r="S6018" s="57"/>
      <c r="T6018" s="77"/>
    </row>
    <row r="6019">
      <c r="A6019" s="119"/>
      <c r="B6019" s="118"/>
      <c r="C6019" s="118"/>
      <c r="D6019" s="56"/>
      <c r="E6019" s="41"/>
      <c r="F6019" s="49"/>
      <c r="G6019" s="71"/>
      <c r="H6019" s="41"/>
      <c r="I6019" s="42"/>
      <c r="J6019" s="120"/>
      <c r="K6019" s="72"/>
      <c r="L6019" s="53"/>
      <c r="M6019" s="101"/>
      <c r="N6019" s="74"/>
      <c r="O6019" s="102"/>
      <c r="P6019" s="102"/>
      <c r="Q6019" s="57"/>
      <c r="R6019" s="58"/>
      <c r="S6019" s="57"/>
      <c r="T6019" s="77"/>
    </row>
    <row r="6020">
      <c r="A6020" s="119"/>
      <c r="B6020" s="118"/>
      <c r="C6020" s="118"/>
      <c r="D6020" s="56"/>
      <c r="E6020" s="41"/>
      <c r="F6020" s="49"/>
      <c r="G6020" s="71"/>
      <c r="H6020" s="41"/>
      <c r="I6020" s="42"/>
      <c r="J6020" s="120"/>
      <c r="K6020" s="72"/>
      <c r="L6020" s="53"/>
      <c r="M6020" s="101"/>
      <c r="N6020" s="74"/>
      <c r="O6020" s="102"/>
      <c r="P6020" s="102"/>
      <c r="Q6020" s="57"/>
      <c r="R6020" s="58"/>
      <c r="S6020" s="57"/>
      <c r="T6020" s="77"/>
    </row>
    <row r="6021">
      <c r="A6021" s="119"/>
      <c r="B6021" s="118"/>
      <c r="C6021" s="118"/>
      <c r="D6021" s="56"/>
      <c r="E6021" s="41"/>
      <c r="F6021" s="49"/>
      <c r="G6021" s="71"/>
      <c r="H6021" s="41"/>
      <c r="I6021" s="42"/>
      <c r="J6021" s="120"/>
      <c r="K6021" s="72"/>
      <c r="L6021" s="53"/>
      <c r="M6021" s="101"/>
      <c r="N6021" s="74"/>
      <c r="O6021" s="102"/>
      <c r="P6021" s="102"/>
      <c r="Q6021" s="57"/>
      <c r="R6021" s="58"/>
      <c r="S6021" s="57"/>
      <c r="T6021" s="77"/>
    </row>
    <row r="6022">
      <c r="A6022" s="119"/>
      <c r="B6022" s="118"/>
      <c r="C6022" s="118"/>
      <c r="D6022" s="56"/>
      <c r="E6022" s="41"/>
      <c r="F6022" s="49"/>
      <c r="G6022" s="71"/>
      <c r="H6022" s="41"/>
      <c r="I6022" s="42"/>
      <c r="J6022" s="120"/>
      <c r="K6022" s="72"/>
      <c r="L6022" s="53"/>
      <c r="M6022" s="101"/>
      <c r="N6022" s="74"/>
      <c r="O6022" s="102"/>
      <c r="P6022" s="102"/>
      <c r="Q6022" s="57"/>
      <c r="R6022" s="58"/>
      <c r="S6022" s="57"/>
      <c r="T6022" s="77"/>
    </row>
    <row r="6023">
      <c r="A6023" s="119"/>
      <c r="B6023" s="118"/>
      <c r="C6023" s="118"/>
      <c r="D6023" s="56"/>
      <c r="E6023" s="41"/>
      <c r="F6023" s="49"/>
      <c r="G6023" s="71"/>
      <c r="H6023" s="41"/>
      <c r="I6023" s="42"/>
      <c r="J6023" s="120"/>
      <c r="K6023" s="72"/>
      <c r="L6023" s="53"/>
      <c r="M6023" s="101"/>
      <c r="N6023" s="74"/>
      <c r="O6023" s="102"/>
      <c r="P6023" s="102"/>
      <c r="Q6023" s="57"/>
      <c r="R6023" s="58"/>
      <c r="S6023" s="57"/>
      <c r="T6023" s="77"/>
    </row>
    <row r="6024">
      <c r="A6024" s="119"/>
      <c r="B6024" s="118"/>
      <c r="C6024" s="118"/>
      <c r="D6024" s="56"/>
      <c r="E6024" s="41"/>
      <c r="F6024" s="49"/>
      <c r="G6024" s="71"/>
      <c r="H6024" s="41"/>
      <c r="I6024" s="42"/>
      <c r="J6024" s="120"/>
      <c r="K6024" s="72"/>
      <c r="L6024" s="53"/>
      <c r="M6024" s="101"/>
      <c r="N6024" s="74"/>
      <c r="O6024" s="102"/>
      <c r="P6024" s="102"/>
      <c r="Q6024" s="57"/>
      <c r="R6024" s="58"/>
      <c r="S6024" s="57"/>
      <c r="T6024" s="77"/>
    </row>
    <row r="6025">
      <c r="A6025" s="119"/>
      <c r="B6025" s="118"/>
      <c r="C6025" s="118"/>
      <c r="D6025" s="56"/>
      <c r="E6025" s="41"/>
      <c r="F6025" s="49"/>
      <c r="G6025" s="71"/>
      <c r="H6025" s="41"/>
      <c r="I6025" s="42"/>
      <c r="J6025" s="120"/>
      <c r="K6025" s="72"/>
      <c r="L6025" s="53"/>
      <c r="M6025" s="101"/>
      <c r="N6025" s="74"/>
      <c r="O6025" s="102"/>
      <c r="P6025" s="102"/>
      <c r="Q6025" s="57"/>
      <c r="R6025" s="58"/>
      <c r="S6025" s="57"/>
      <c r="T6025" s="77"/>
    </row>
    <row r="6026">
      <c r="A6026" s="119"/>
      <c r="B6026" s="118"/>
      <c r="C6026" s="118"/>
      <c r="D6026" s="56"/>
      <c r="E6026" s="41"/>
      <c r="F6026" s="49"/>
      <c r="G6026" s="71"/>
      <c r="H6026" s="41"/>
      <c r="I6026" s="42"/>
      <c r="J6026" s="120"/>
      <c r="K6026" s="72"/>
      <c r="L6026" s="53"/>
      <c r="M6026" s="101"/>
      <c r="N6026" s="74"/>
      <c r="O6026" s="102"/>
      <c r="P6026" s="102"/>
      <c r="Q6026" s="57"/>
      <c r="R6026" s="58"/>
      <c r="S6026" s="57"/>
      <c r="T6026" s="77"/>
    </row>
    <row r="6027">
      <c r="A6027" s="119"/>
      <c r="B6027" s="118"/>
      <c r="C6027" s="118"/>
      <c r="D6027" s="56"/>
      <c r="E6027" s="41"/>
      <c r="F6027" s="49"/>
      <c r="G6027" s="71"/>
      <c r="H6027" s="41"/>
      <c r="I6027" s="42"/>
      <c r="J6027" s="120"/>
      <c r="K6027" s="72"/>
      <c r="L6027" s="53"/>
      <c r="M6027" s="101"/>
      <c r="N6027" s="74"/>
      <c r="O6027" s="102"/>
      <c r="P6027" s="102"/>
      <c r="Q6027" s="57"/>
      <c r="R6027" s="58"/>
      <c r="S6027" s="57"/>
      <c r="T6027" s="77"/>
    </row>
    <row r="6028">
      <c r="A6028" s="119"/>
      <c r="B6028" s="118"/>
      <c r="C6028" s="118"/>
      <c r="D6028" s="56"/>
      <c r="E6028" s="41"/>
      <c r="F6028" s="49"/>
      <c r="G6028" s="71"/>
      <c r="H6028" s="41"/>
      <c r="I6028" s="42"/>
      <c r="J6028" s="120"/>
      <c r="K6028" s="72"/>
      <c r="L6028" s="53"/>
      <c r="M6028" s="101"/>
      <c r="N6028" s="74"/>
      <c r="O6028" s="102"/>
      <c r="P6028" s="102"/>
      <c r="Q6028" s="57"/>
      <c r="R6028" s="58"/>
      <c r="S6028" s="57"/>
      <c r="T6028" s="77"/>
    </row>
    <row r="6029">
      <c r="A6029" s="119"/>
      <c r="B6029" s="118"/>
      <c r="C6029" s="118"/>
      <c r="D6029" s="56"/>
      <c r="E6029" s="41"/>
      <c r="F6029" s="49"/>
      <c r="G6029" s="71"/>
      <c r="H6029" s="41"/>
      <c r="I6029" s="42"/>
      <c r="J6029" s="120"/>
      <c r="K6029" s="72"/>
      <c r="L6029" s="53"/>
      <c r="M6029" s="101"/>
      <c r="N6029" s="74"/>
      <c r="O6029" s="102"/>
      <c r="P6029" s="102"/>
      <c r="Q6029" s="57"/>
      <c r="R6029" s="58"/>
      <c r="S6029" s="57"/>
      <c r="T6029" s="77"/>
    </row>
    <row r="6030">
      <c r="A6030" s="119"/>
      <c r="B6030" s="118"/>
      <c r="C6030" s="118"/>
      <c r="D6030" s="56"/>
      <c r="E6030" s="41"/>
      <c r="F6030" s="49"/>
      <c r="G6030" s="71"/>
      <c r="H6030" s="41"/>
      <c r="I6030" s="42"/>
      <c r="J6030" s="120"/>
      <c r="K6030" s="72"/>
      <c r="L6030" s="53"/>
      <c r="M6030" s="101"/>
      <c r="N6030" s="74"/>
      <c r="O6030" s="102"/>
      <c r="P6030" s="102"/>
      <c r="Q6030" s="57"/>
      <c r="R6030" s="58"/>
      <c r="S6030" s="57"/>
      <c r="T6030" s="77"/>
    </row>
    <row r="6031">
      <c r="A6031" s="119"/>
      <c r="B6031" s="118"/>
      <c r="C6031" s="118"/>
      <c r="D6031" s="56"/>
      <c r="E6031" s="41"/>
      <c r="F6031" s="49"/>
      <c r="G6031" s="71"/>
      <c r="H6031" s="41"/>
      <c r="I6031" s="42"/>
      <c r="J6031" s="120"/>
      <c r="K6031" s="72"/>
      <c r="L6031" s="53"/>
      <c r="M6031" s="101"/>
      <c r="N6031" s="74"/>
      <c r="O6031" s="102"/>
      <c r="P6031" s="102"/>
      <c r="Q6031" s="57"/>
      <c r="R6031" s="58"/>
      <c r="S6031" s="57"/>
      <c r="T6031" s="77"/>
    </row>
    <row r="6032">
      <c r="A6032" s="119"/>
      <c r="B6032" s="118"/>
      <c r="C6032" s="118"/>
      <c r="D6032" s="56"/>
      <c r="E6032" s="41"/>
      <c r="F6032" s="49"/>
      <c r="G6032" s="71"/>
      <c r="H6032" s="41"/>
      <c r="I6032" s="42"/>
      <c r="J6032" s="120"/>
      <c r="K6032" s="72"/>
      <c r="L6032" s="53"/>
      <c r="M6032" s="101"/>
      <c r="N6032" s="74"/>
      <c r="O6032" s="102"/>
      <c r="P6032" s="102"/>
      <c r="Q6032" s="57"/>
      <c r="R6032" s="58"/>
      <c r="S6032" s="57"/>
      <c r="T6032" s="77"/>
    </row>
    <row r="6033">
      <c r="A6033" s="119"/>
      <c r="B6033" s="118"/>
      <c r="C6033" s="118"/>
      <c r="D6033" s="56"/>
      <c r="E6033" s="41"/>
      <c r="F6033" s="49"/>
      <c r="G6033" s="71"/>
      <c r="H6033" s="41"/>
      <c r="I6033" s="42"/>
      <c r="J6033" s="120"/>
      <c r="K6033" s="72"/>
      <c r="L6033" s="53"/>
      <c r="M6033" s="101"/>
      <c r="N6033" s="74"/>
      <c r="O6033" s="102"/>
      <c r="P6033" s="102"/>
      <c r="Q6033" s="57"/>
      <c r="R6033" s="58"/>
      <c r="S6033" s="57"/>
      <c r="T6033" s="77"/>
    </row>
    <row r="6034">
      <c r="A6034" s="119"/>
      <c r="B6034" s="118"/>
      <c r="C6034" s="118"/>
      <c r="D6034" s="56"/>
      <c r="E6034" s="41"/>
      <c r="F6034" s="49"/>
      <c r="G6034" s="71"/>
      <c r="H6034" s="41"/>
      <c r="I6034" s="42"/>
      <c r="J6034" s="120"/>
      <c r="K6034" s="72"/>
      <c r="L6034" s="53"/>
      <c r="M6034" s="101"/>
      <c r="N6034" s="74"/>
      <c r="O6034" s="102"/>
      <c r="P6034" s="102"/>
      <c r="Q6034" s="57"/>
      <c r="R6034" s="58"/>
      <c r="S6034" s="57"/>
      <c r="T6034" s="77"/>
    </row>
    <row r="6035">
      <c r="A6035" s="119"/>
      <c r="B6035" s="118"/>
      <c r="C6035" s="118"/>
      <c r="D6035" s="56"/>
      <c r="E6035" s="41"/>
      <c r="F6035" s="49"/>
      <c r="G6035" s="71"/>
      <c r="H6035" s="41"/>
      <c r="I6035" s="42"/>
      <c r="J6035" s="120"/>
      <c r="K6035" s="72"/>
      <c r="L6035" s="53"/>
      <c r="M6035" s="101"/>
      <c r="N6035" s="74"/>
      <c r="O6035" s="102"/>
      <c r="P6035" s="102"/>
      <c r="Q6035" s="57"/>
      <c r="R6035" s="58"/>
      <c r="S6035" s="57"/>
      <c r="T6035" s="77"/>
    </row>
    <row r="6036">
      <c r="A6036" s="119"/>
      <c r="B6036" s="118"/>
      <c r="C6036" s="118"/>
      <c r="D6036" s="56"/>
      <c r="E6036" s="41"/>
      <c r="F6036" s="49"/>
      <c r="G6036" s="71"/>
      <c r="H6036" s="41"/>
      <c r="I6036" s="42"/>
      <c r="J6036" s="120"/>
      <c r="K6036" s="72"/>
      <c r="L6036" s="53"/>
      <c r="M6036" s="101"/>
      <c r="N6036" s="74"/>
      <c r="O6036" s="102"/>
      <c r="P6036" s="102"/>
      <c r="Q6036" s="57"/>
      <c r="R6036" s="58"/>
      <c r="S6036" s="57"/>
      <c r="T6036" s="77"/>
    </row>
    <row r="6037">
      <c r="A6037" s="119"/>
      <c r="B6037" s="118"/>
      <c r="C6037" s="118"/>
      <c r="D6037" s="56"/>
      <c r="E6037" s="41"/>
      <c r="F6037" s="49"/>
      <c r="G6037" s="71"/>
      <c r="H6037" s="41"/>
      <c r="I6037" s="42"/>
      <c r="J6037" s="120"/>
      <c r="K6037" s="72"/>
      <c r="L6037" s="53"/>
      <c r="M6037" s="101"/>
      <c r="N6037" s="74"/>
      <c r="O6037" s="102"/>
      <c r="P6037" s="102"/>
      <c r="Q6037" s="57"/>
      <c r="R6037" s="58"/>
      <c r="S6037" s="57"/>
      <c r="T6037" s="77"/>
    </row>
    <row r="6038">
      <c r="A6038" s="119"/>
      <c r="B6038" s="118"/>
      <c r="C6038" s="118"/>
      <c r="D6038" s="56"/>
      <c r="E6038" s="41"/>
      <c r="F6038" s="49"/>
      <c r="G6038" s="71"/>
      <c r="H6038" s="41"/>
      <c r="I6038" s="42"/>
      <c r="J6038" s="120"/>
      <c r="K6038" s="72"/>
      <c r="L6038" s="53"/>
      <c r="M6038" s="101"/>
      <c r="N6038" s="74"/>
      <c r="O6038" s="102"/>
      <c r="P6038" s="102"/>
      <c r="Q6038" s="57"/>
      <c r="R6038" s="58"/>
      <c r="S6038" s="57"/>
      <c r="T6038" s="77"/>
    </row>
    <row r="6039">
      <c r="A6039" s="119"/>
      <c r="B6039" s="118"/>
      <c r="C6039" s="118"/>
      <c r="D6039" s="56"/>
      <c r="E6039" s="41"/>
      <c r="F6039" s="49"/>
      <c r="G6039" s="71"/>
      <c r="H6039" s="41"/>
      <c r="I6039" s="42"/>
      <c r="J6039" s="120"/>
      <c r="K6039" s="72"/>
      <c r="L6039" s="53"/>
      <c r="M6039" s="101"/>
      <c r="N6039" s="74"/>
      <c r="O6039" s="102"/>
      <c r="P6039" s="102"/>
      <c r="Q6039" s="57"/>
      <c r="R6039" s="58"/>
      <c r="S6039" s="57"/>
      <c r="T6039" s="77"/>
    </row>
    <row r="6040">
      <c r="A6040" s="119"/>
      <c r="B6040" s="118"/>
      <c r="C6040" s="118"/>
      <c r="D6040" s="56"/>
      <c r="E6040" s="41"/>
      <c r="F6040" s="49"/>
      <c r="G6040" s="71"/>
      <c r="H6040" s="41"/>
      <c r="I6040" s="42"/>
      <c r="J6040" s="120"/>
      <c r="K6040" s="72"/>
      <c r="L6040" s="53"/>
      <c r="M6040" s="101"/>
      <c r="N6040" s="74"/>
      <c r="O6040" s="102"/>
      <c r="P6040" s="102"/>
      <c r="Q6040" s="57"/>
      <c r="R6040" s="58"/>
      <c r="S6040" s="57"/>
      <c r="T6040" s="77"/>
    </row>
    <row r="6041">
      <c r="A6041" s="119"/>
      <c r="B6041" s="118"/>
      <c r="C6041" s="118"/>
      <c r="D6041" s="56"/>
      <c r="E6041" s="41"/>
      <c r="F6041" s="49"/>
      <c r="G6041" s="71"/>
      <c r="H6041" s="41"/>
      <c r="I6041" s="42"/>
      <c r="J6041" s="120"/>
      <c r="K6041" s="72"/>
      <c r="L6041" s="53"/>
      <c r="M6041" s="101"/>
      <c r="N6041" s="74"/>
      <c r="O6041" s="102"/>
      <c r="P6041" s="102"/>
      <c r="Q6041" s="57"/>
      <c r="R6041" s="58"/>
      <c r="S6041" s="57"/>
      <c r="T6041" s="77"/>
    </row>
    <row r="6042">
      <c r="A6042" s="119"/>
      <c r="B6042" s="118"/>
      <c r="C6042" s="118"/>
      <c r="D6042" s="56"/>
      <c r="E6042" s="41"/>
      <c r="F6042" s="49"/>
      <c r="G6042" s="71"/>
      <c r="H6042" s="41"/>
      <c r="I6042" s="42"/>
      <c r="J6042" s="120"/>
      <c r="K6042" s="72"/>
      <c r="L6042" s="53"/>
      <c r="M6042" s="101"/>
      <c r="N6042" s="74"/>
      <c r="O6042" s="102"/>
      <c r="P6042" s="102"/>
      <c r="Q6042" s="57"/>
      <c r="R6042" s="58"/>
      <c r="S6042" s="57"/>
      <c r="T6042" s="77"/>
    </row>
    <row r="6043">
      <c r="A6043" s="119"/>
      <c r="B6043" s="118"/>
      <c r="C6043" s="118"/>
      <c r="D6043" s="56"/>
      <c r="E6043" s="41"/>
      <c r="F6043" s="49"/>
      <c r="G6043" s="71"/>
      <c r="H6043" s="41"/>
      <c r="I6043" s="42"/>
      <c r="J6043" s="120"/>
      <c r="K6043" s="72"/>
      <c r="L6043" s="53"/>
      <c r="M6043" s="101"/>
      <c r="N6043" s="74"/>
      <c r="O6043" s="102"/>
      <c r="P6043" s="102"/>
      <c r="Q6043" s="57"/>
      <c r="R6043" s="58"/>
      <c r="S6043" s="57"/>
      <c r="T6043" s="77"/>
    </row>
    <row r="6044">
      <c r="A6044" s="119"/>
      <c r="B6044" s="118"/>
      <c r="C6044" s="118"/>
      <c r="D6044" s="56"/>
      <c r="E6044" s="41"/>
      <c r="F6044" s="49"/>
      <c r="G6044" s="71"/>
      <c r="H6044" s="41"/>
      <c r="I6044" s="42"/>
      <c r="J6044" s="120"/>
      <c r="K6044" s="72"/>
      <c r="L6044" s="53"/>
      <c r="M6044" s="101"/>
      <c r="N6044" s="74"/>
      <c r="O6044" s="102"/>
      <c r="P6044" s="102"/>
      <c r="Q6044" s="57"/>
      <c r="R6044" s="58"/>
      <c r="S6044" s="57"/>
      <c r="T6044" s="77"/>
    </row>
    <row r="6045">
      <c r="A6045" s="119"/>
      <c r="B6045" s="118"/>
      <c r="C6045" s="118"/>
      <c r="D6045" s="56"/>
      <c r="E6045" s="41"/>
      <c r="F6045" s="49"/>
      <c r="G6045" s="71"/>
      <c r="H6045" s="41"/>
      <c r="I6045" s="42"/>
      <c r="J6045" s="120"/>
      <c r="K6045" s="72"/>
      <c r="L6045" s="53"/>
      <c r="M6045" s="101"/>
      <c r="N6045" s="74"/>
      <c r="O6045" s="102"/>
      <c r="P6045" s="102"/>
      <c r="Q6045" s="57"/>
      <c r="R6045" s="58"/>
      <c r="S6045" s="57"/>
      <c r="T6045" s="77"/>
    </row>
    <row r="6046">
      <c r="A6046" s="119"/>
      <c r="B6046" s="118"/>
      <c r="C6046" s="118"/>
      <c r="D6046" s="56"/>
      <c r="E6046" s="41"/>
      <c r="F6046" s="49"/>
      <c r="G6046" s="71"/>
      <c r="H6046" s="41"/>
      <c r="I6046" s="42"/>
      <c r="J6046" s="120"/>
      <c r="K6046" s="72"/>
      <c r="L6046" s="53"/>
      <c r="M6046" s="101"/>
      <c r="N6046" s="74"/>
      <c r="O6046" s="102"/>
      <c r="P6046" s="102"/>
      <c r="Q6046" s="57"/>
      <c r="R6046" s="58"/>
      <c r="S6046" s="57"/>
      <c r="T6046" s="77"/>
    </row>
    <row r="6047">
      <c r="A6047" s="119"/>
      <c r="B6047" s="118"/>
      <c r="C6047" s="118"/>
      <c r="D6047" s="56"/>
      <c r="E6047" s="41"/>
      <c r="F6047" s="49"/>
      <c r="G6047" s="71"/>
      <c r="H6047" s="41"/>
      <c r="I6047" s="42"/>
      <c r="J6047" s="120"/>
      <c r="K6047" s="72"/>
      <c r="L6047" s="53"/>
      <c r="M6047" s="101"/>
      <c r="N6047" s="74"/>
      <c r="O6047" s="102"/>
      <c r="P6047" s="102"/>
      <c r="Q6047" s="57"/>
      <c r="R6047" s="58"/>
      <c r="S6047" s="57"/>
      <c r="T6047" s="77"/>
    </row>
    <row r="6048">
      <c r="A6048" s="119"/>
      <c r="B6048" s="118"/>
      <c r="C6048" s="118"/>
      <c r="D6048" s="56"/>
      <c r="E6048" s="41"/>
      <c r="F6048" s="49"/>
      <c r="G6048" s="71"/>
      <c r="H6048" s="41"/>
      <c r="I6048" s="42"/>
      <c r="J6048" s="120"/>
      <c r="K6048" s="72"/>
      <c r="L6048" s="53"/>
      <c r="M6048" s="101"/>
      <c r="N6048" s="74"/>
      <c r="O6048" s="102"/>
      <c r="P6048" s="102"/>
      <c r="Q6048" s="57"/>
      <c r="R6048" s="58"/>
      <c r="S6048" s="57"/>
      <c r="T6048" s="77"/>
    </row>
    <row r="6049">
      <c r="A6049" s="119"/>
      <c r="B6049" s="118"/>
      <c r="C6049" s="118"/>
      <c r="D6049" s="56"/>
      <c r="E6049" s="41"/>
      <c r="F6049" s="49"/>
      <c r="G6049" s="71"/>
      <c r="H6049" s="41"/>
      <c r="I6049" s="42"/>
      <c r="J6049" s="120"/>
      <c r="K6049" s="72"/>
      <c r="L6049" s="53"/>
      <c r="M6049" s="101"/>
      <c r="N6049" s="74"/>
      <c r="O6049" s="102"/>
      <c r="P6049" s="102"/>
      <c r="Q6049" s="57"/>
      <c r="R6049" s="58"/>
      <c r="S6049" s="57"/>
      <c r="T6049" s="77"/>
    </row>
    <row r="6050">
      <c r="A6050" s="119"/>
      <c r="B6050" s="118"/>
      <c r="C6050" s="118"/>
      <c r="D6050" s="56"/>
      <c r="E6050" s="41"/>
      <c r="F6050" s="49"/>
      <c r="G6050" s="71"/>
      <c r="H6050" s="41"/>
      <c r="I6050" s="42"/>
      <c r="J6050" s="120"/>
      <c r="K6050" s="72"/>
      <c r="L6050" s="53"/>
      <c r="M6050" s="101"/>
      <c r="N6050" s="74"/>
      <c r="O6050" s="102"/>
      <c r="P6050" s="102"/>
      <c r="Q6050" s="57"/>
      <c r="R6050" s="58"/>
      <c r="S6050" s="57"/>
      <c r="T6050" s="77"/>
    </row>
    <row r="6051">
      <c r="A6051" s="119"/>
      <c r="B6051" s="118"/>
      <c r="C6051" s="118"/>
      <c r="D6051" s="56"/>
      <c r="E6051" s="41"/>
      <c r="F6051" s="49"/>
      <c r="G6051" s="71"/>
      <c r="H6051" s="41"/>
      <c r="I6051" s="42"/>
      <c r="J6051" s="120"/>
      <c r="K6051" s="72"/>
      <c r="L6051" s="53"/>
      <c r="M6051" s="101"/>
      <c r="N6051" s="74"/>
      <c r="O6051" s="102"/>
      <c r="P6051" s="102"/>
      <c r="Q6051" s="57"/>
      <c r="R6051" s="58"/>
      <c r="S6051" s="57"/>
      <c r="T6051" s="77"/>
    </row>
    <row r="6052">
      <c r="A6052" s="119"/>
      <c r="B6052" s="118"/>
      <c r="C6052" s="118"/>
      <c r="D6052" s="56"/>
      <c r="E6052" s="41"/>
      <c r="F6052" s="49"/>
      <c r="G6052" s="71"/>
      <c r="H6052" s="41"/>
      <c r="I6052" s="42"/>
      <c r="J6052" s="120"/>
      <c r="K6052" s="72"/>
      <c r="L6052" s="53"/>
      <c r="M6052" s="101"/>
      <c r="N6052" s="74"/>
      <c r="O6052" s="102"/>
      <c r="P6052" s="102"/>
      <c r="Q6052" s="57"/>
      <c r="R6052" s="58"/>
      <c r="S6052" s="57"/>
      <c r="T6052" s="77"/>
    </row>
    <row r="6053">
      <c r="A6053" s="119"/>
      <c r="B6053" s="118"/>
      <c r="C6053" s="118"/>
      <c r="D6053" s="56"/>
      <c r="E6053" s="41"/>
      <c r="F6053" s="49"/>
      <c r="G6053" s="71"/>
      <c r="H6053" s="41"/>
      <c r="I6053" s="42"/>
      <c r="J6053" s="120"/>
      <c r="K6053" s="72"/>
      <c r="L6053" s="53"/>
      <c r="M6053" s="101"/>
      <c r="N6053" s="74"/>
      <c r="O6053" s="102"/>
      <c r="P6053" s="102"/>
      <c r="Q6053" s="57"/>
      <c r="R6053" s="58"/>
      <c r="S6053" s="57"/>
      <c r="T6053" s="77"/>
    </row>
    <row r="6054">
      <c r="A6054" s="119"/>
      <c r="B6054" s="118"/>
      <c r="C6054" s="118"/>
      <c r="D6054" s="56"/>
      <c r="E6054" s="41"/>
      <c r="F6054" s="49"/>
      <c r="G6054" s="71"/>
      <c r="H6054" s="41"/>
      <c r="I6054" s="42"/>
      <c r="J6054" s="120"/>
      <c r="K6054" s="72"/>
      <c r="L6054" s="53"/>
      <c r="M6054" s="101"/>
      <c r="N6054" s="74"/>
      <c r="O6054" s="102"/>
      <c r="P6054" s="102"/>
      <c r="Q6054" s="57"/>
      <c r="R6054" s="58"/>
      <c r="S6054" s="57"/>
      <c r="T6054" s="77"/>
    </row>
    <row r="6055">
      <c r="A6055" s="119"/>
      <c r="B6055" s="118"/>
      <c r="C6055" s="118"/>
      <c r="D6055" s="56"/>
      <c r="E6055" s="41"/>
      <c r="F6055" s="49"/>
      <c r="G6055" s="71"/>
      <c r="H6055" s="41"/>
      <c r="I6055" s="42"/>
      <c r="J6055" s="120"/>
      <c r="K6055" s="72"/>
      <c r="L6055" s="53"/>
      <c r="M6055" s="101"/>
      <c r="N6055" s="74"/>
      <c r="O6055" s="102"/>
      <c r="P6055" s="102"/>
      <c r="Q6055" s="57"/>
      <c r="R6055" s="58"/>
      <c r="S6055" s="57"/>
      <c r="T6055" s="77"/>
    </row>
    <row r="6056">
      <c r="A6056" s="119"/>
      <c r="B6056" s="118"/>
      <c r="C6056" s="118"/>
      <c r="D6056" s="56"/>
      <c r="E6056" s="41"/>
      <c r="F6056" s="49"/>
      <c r="G6056" s="71"/>
      <c r="H6056" s="41"/>
      <c r="I6056" s="42"/>
      <c r="J6056" s="120"/>
      <c r="K6056" s="72"/>
      <c r="L6056" s="53"/>
      <c r="M6056" s="101"/>
      <c r="N6056" s="74"/>
      <c r="O6056" s="102"/>
      <c r="P6056" s="102"/>
      <c r="Q6056" s="57"/>
      <c r="R6056" s="58"/>
      <c r="S6056" s="57"/>
      <c r="T6056" s="77"/>
    </row>
    <row r="6057">
      <c r="A6057" s="119"/>
      <c r="B6057" s="118"/>
      <c r="C6057" s="118"/>
      <c r="D6057" s="56"/>
      <c r="E6057" s="41"/>
      <c r="F6057" s="49"/>
      <c r="G6057" s="71"/>
      <c r="H6057" s="41"/>
      <c r="I6057" s="42"/>
      <c r="J6057" s="120"/>
      <c r="K6057" s="72"/>
      <c r="L6057" s="53"/>
      <c r="M6057" s="101"/>
      <c r="N6057" s="74"/>
      <c r="O6057" s="102"/>
      <c r="P6057" s="102"/>
      <c r="Q6057" s="57"/>
      <c r="R6057" s="58"/>
      <c r="S6057" s="57"/>
      <c r="T6057" s="77"/>
    </row>
    <row r="6058">
      <c r="A6058" s="119"/>
      <c r="B6058" s="118"/>
      <c r="C6058" s="118"/>
      <c r="D6058" s="56"/>
      <c r="E6058" s="41"/>
      <c r="F6058" s="49"/>
      <c r="G6058" s="71"/>
      <c r="H6058" s="41"/>
      <c r="I6058" s="42"/>
      <c r="J6058" s="120"/>
      <c r="K6058" s="72"/>
      <c r="L6058" s="53"/>
      <c r="M6058" s="101"/>
      <c r="N6058" s="74"/>
      <c r="O6058" s="102"/>
      <c r="P6058" s="102"/>
      <c r="Q6058" s="57"/>
      <c r="R6058" s="58"/>
      <c r="S6058" s="57"/>
      <c r="T6058" s="77"/>
    </row>
    <row r="6059">
      <c r="A6059" s="119"/>
      <c r="B6059" s="118"/>
      <c r="C6059" s="118"/>
      <c r="D6059" s="56"/>
      <c r="E6059" s="41"/>
      <c r="F6059" s="49"/>
      <c r="G6059" s="71"/>
      <c r="H6059" s="41"/>
      <c r="I6059" s="42"/>
      <c r="J6059" s="120"/>
      <c r="K6059" s="72"/>
      <c r="L6059" s="53"/>
      <c r="M6059" s="101"/>
      <c r="N6059" s="74"/>
      <c r="O6059" s="102"/>
      <c r="P6059" s="102"/>
      <c r="Q6059" s="57"/>
      <c r="R6059" s="58"/>
      <c r="S6059" s="57"/>
      <c r="T6059" s="77"/>
    </row>
    <row r="6060">
      <c r="A6060" s="119"/>
      <c r="B6060" s="118"/>
      <c r="C6060" s="118"/>
      <c r="D6060" s="56"/>
      <c r="E6060" s="41"/>
      <c r="F6060" s="49"/>
      <c r="G6060" s="71"/>
      <c r="H6060" s="41"/>
      <c r="I6060" s="42"/>
      <c r="J6060" s="120"/>
      <c r="K6060" s="72"/>
      <c r="L6060" s="53"/>
      <c r="M6060" s="101"/>
      <c r="N6060" s="74"/>
      <c r="O6060" s="102"/>
      <c r="P6060" s="102"/>
      <c r="Q6060" s="57"/>
      <c r="R6060" s="58"/>
      <c r="S6060" s="57"/>
      <c r="T6060" s="77"/>
    </row>
    <row r="6061">
      <c r="A6061" s="119"/>
      <c r="B6061" s="118"/>
      <c r="C6061" s="118"/>
      <c r="D6061" s="56"/>
      <c r="E6061" s="41"/>
      <c r="F6061" s="49"/>
      <c r="G6061" s="71"/>
      <c r="H6061" s="41"/>
      <c r="I6061" s="42"/>
      <c r="J6061" s="120"/>
      <c r="K6061" s="72"/>
      <c r="L6061" s="53"/>
      <c r="M6061" s="101"/>
      <c r="N6061" s="74"/>
      <c r="O6061" s="102"/>
      <c r="P6061" s="102"/>
      <c r="Q6061" s="57"/>
      <c r="R6061" s="58"/>
      <c r="S6061" s="57"/>
      <c r="T6061" s="77"/>
    </row>
    <row r="6062">
      <c r="A6062" s="119"/>
      <c r="B6062" s="118"/>
      <c r="C6062" s="118"/>
      <c r="D6062" s="56"/>
      <c r="E6062" s="41"/>
      <c r="F6062" s="49"/>
      <c r="G6062" s="71"/>
      <c r="H6062" s="41"/>
      <c r="I6062" s="42"/>
      <c r="J6062" s="120"/>
      <c r="K6062" s="72"/>
      <c r="L6062" s="53"/>
      <c r="M6062" s="101"/>
      <c r="N6062" s="74"/>
      <c r="O6062" s="102"/>
      <c r="P6062" s="102"/>
      <c r="Q6062" s="57"/>
      <c r="R6062" s="58"/>
      <c r="S6062" s="57"/>
      <c r="T6062" s="77"/>
    </row>
    <row r="6063">
      <c r="A6063" s="119"/>
      <c r="B6063" s="118"/>
      <c r="C6063" s="118"/>
      <c r="D6063" s="56"/>
      <c r="E6063" s="41"/>
      <c r="F6063" s="49"/>
      <c r="G6063" s="71"/>
      <c r="H6063" s="41"/>
      <c r="I6063" s="42"/>
      <c r="J6063" s="120"/>
      <c r="K6063" s="72"/>
      <c r="L6063" s="53"/>
      <c r="M6063" s="101"/>
      <c r="N6063" s="74"/>
      <c r="O6063" s="102"/>
      <c r="P6063" s="102"/>
      <c r="Q6063" s="57"/>
      <c r="R6063" s="58"/>
      <c r="S6063" s="57"/>
      <c r="T6063" s="77"/>
    </row>
    <row r="6064">
      <c r="A6064" s="119"/>
      <c r="B6064" s="118"/>
      <c r="C6064" s="118"/>
      <c r="D6064" s="56"/>
      <c r="E6064" s="41"/>
      <c r="F6064" s="49"/>
      <c r="G6064" s="71"/>
      <c r="H6064" s="41"/>
      <c r="I6064" s="42"/>
      <c r="J6064" s="120"/>
      <c r="K6064" s="72"/>
      <c r="L6064" s="53"/>
      <c r="M6064" s="101"/>
      <c r="N6064" s="74"/>
      <c r="O6064" s="102"/>
      <c r="P6064" s="102"/>
      <c r="Q6064" s="57"/>
      <c r="R6064" s="58"/>
      <c r="S6064" s="57"/>
      <c r="T6064" s="77"/>
    </row>
    <row r="6065">
      <c r="A6065" s="119"/>
      <c r="B6065" s="118"/>
      <c r="C6065" s="118"/>
      <c r="D6065" s="56"/>
      <c r="E6065" s="41"/>
      <c r="F6065" s="49"/>
      <c r="G6065" s="71"/>
      <c r="H6065" s="41"/>
      <c r="I6065" s="42"/>
      <c r="J6065" s="120"/>
      <c r="K6065" s="72"/>
      <c r="L6065" s="53"/>
      <c r="M6065" s="101"/>
      <c r="N6065" s="74"/>
      <c r="O6065" s="102"/>
      <c r="P6065" s="102"/>
      <c r="Q6065" s="57"/>
      <c r="R6065" s="58"/>
      <c r="S6065" s="57"/>
      <c r="T6065" s="77"/>
    </row>
    <row r="6066">
      <c r="A6066" s="119"/>
      <c r="B6066" s="118"/>
      <c r="C6066" s="118"/>
      <c r="D6066" s="56"/>
      <c r="E6066" s="41"/>
      <c r="F6066" s="49"/>
      <c r="G6066" s="71"/>
      <c r="H6066" s="41"/>
      <c r="I6066" s="42"/>
      <c r="J6066" s="120"/>
      <c r="K6066" s="72"/>
      <c r="L6066" s="53"/>
      <c r="M6066" s="101"/>
      <c r="N6066" s="74"/>
      <c r="O6066" s="102"/>
      <c r="P6066" s="102"/>
      <c r="Q6066" s="57"/>
      <c r="R6066" s="58"/>
      <c r="S6066" s="57"/>
      <c r="T6066" s="77"/>
    </row>
    <row r="6067">
      <c r="A6067" s="119"/>
      <c r="B6067" s="118"/>
      <c r="C6067" s="118"/>
      <c r="D6067" s="56"/>
      <c r="E6067" s="41"/>
      <c r="F6067" s="49"/>
      <c r="G6067" s="71"/>
      <c r="H6067" s="41"/>
      <c r="I6067" s="42"/>
      <c r="J6067" s="120"/>
      <c r="K6067" s="72"/>
      <c r="L6067" s="53"/>
      <c r="M6067" s="101"/>
      <c r="N6067" s="74"/>
      <c r="O6067" s="102"/>
      <c r="P6067" s="102"/>
      <c r="Q6067" s="57"/>
      <c r="R6067" s="58"/>
      <c r="S6067" s="57"/>
      <c r="T6067" s="77"/>
    </row>
    <row r="6068">
      <c r="A6068" s="119"/>
      <c r="B6068" s="118"/>
      <c r="C6068" s="118"/>
      <c r="D6068" s="56"/>
      <c r="E6068" s="41"/>
      <c r="F6068" s="49"/>
      <c r="G6068" s="71"/>
      <c r="H6068" s="41"/>
      <c r="I6068" s="42"/>
      <c r="J6068" s="120"/>
      <c r="K6068" s="72"/>
      <c r="L6068" s="53"/>
      <c r="M6068" s="101"/>
      <c r="N6068" s="74"/>
      <c r="O6068" s="102"/>
      <c r="P6068" s="102"/>
      <c r="Q6068" s="57"/>
      <c r="R6068" s="58"/>
      <c r="S6068" s="57"/>
      <c r="T6068" s="77"/>
    </row>
    <row r="6069">
      <c r="A6069" s="119"/>
      <c r="B6069" s="118"/>
      <c r="C6069" s="118"/>
      <c r="D6069" s="56"/>
      <c r="E6069" s="41"/>
      <c r="F6069" s="49"/>
      <c r="G6069" s="71"/>
      <c r="H6069" s="41"/>
      <c r="I6069" s="42"/>
      <c r="J6069" s="120"/>
      <c r="K6069" s="72"/>
      <c r="L6069" s="53"/>
      <c r="M6069" s="101"/>
      <c r="N6069" s="74"/>
      <c r="O6069" s="102"/>
      <c r="P6069" s="102"/>
      <c r="Q6069" s="57"/>
      <c r="R6069" s="58"/>
      <c r="S6069" s="57"/>
      <c r="T6069" s="77"/>
    </row>
    <row r="6070">
      <c r="A6070" s="119"/>
      <c r="B6070" s="118"/>
      <c r="C6070" s="118"/>
      <c r="D6070" s="56"/>
      <c r="E6070" s="41"/>
      <c r="F6070" s="49"/>
      <c r="G6070" s="71"/>
      <c r="H6070" s="41"/>
      <c r="I6070" s="42"/>
      <c r="J6070" s="120"/>
      <c r="K6070" s="72"/>
      <c r="L6070" s="53"/>
      <c r="M6070" s="101"/>
      <c r="N6070" s="74"/>
      <c r="O6070" s="102"/>
      <c r="P6070" s="102"/>
      <c r="Q6070" s="57"/>
      <c r="R6070" s="58"/>
      <c r="S6070" s="57"/>
      <c r="T6070" s="77"/>
    </row>
    <row r="6071">
      <c r="A6071" s="119"/>
      <c r="B6071" s="118"/>
      <c r="C6071" s="118"/>
      <c r="D6071" s="56"/>
      <c r="E6071" s="41"/>
      <c r="F6071" s="49"/>
      <c r="G6071" s="71"/>
      <c r="H6071" s="41"/>
      <c r="I6071" s="42"/>
      <c r="J6071" s="120"/>
      <c r="K6071" s="72"/>
      <c r="L6071" s="53"/>
      <c r="M6071" s="101"/>
      <c r="N6071" s="74"/>
      <c r="O6071" s="102"/>
      <c r="P6071" s="102"/>
      <c r="Q6071" s="57"/>
      <c r="R6071" s="58"/>
      <c r="S6071" s="57"/>
      <c r="T6071" s="77"/>
    </row>
    <row r="6072">
      <c r="A6072" s="119"/>
      <c r="B6072" s="118"/>
      <c r="C6072" s="118"/>
      <c r="D6072" s="56"/>
      <c r="E6072" s="41"/>
      <c r="F6072" s="49"/>
      <c r="G6072" s="71"/>
      <c r="H6072" s="41"/>
      <c r="I6072" s="42"/>
      <c r="J6072" s="120"/>
      <c r="K6072" s="72"/>
      <c r="L6072" s="53"/>
      <c r="M6072" s="101"/>
      <c r="N6072" s="74"/>
      <c r="O6072" s="102"/>
      <c r="P6072" s="102"/>
      <c r="Q6072" s="57"/>
      <c r="R6072" s="58"/>
      <c r="S6072" s="57"/>
      <c r="T6072" s="77"/>
    </row>
    <row r="6073">
      <c r="A6073" s="119"/>
      <c r="B6073" s="118"/>
      <c r="C6073" s="118"/>
      <c r="D6073" s="56"/>
      <c r="E6073" s="41"/>
      <c r="F6073" s="49"/>
      <c r="G6073" s="71"/>
      <c r="H6073" s="41"/>
      <c r="I6073" s="42"/>
      <c r="J6073" s="120"/>
      <c r="K6073" s="72"/>
      <c r="L6073" s="53"/>
      <c r="M6073" s="101"/>
      <c r="N6073" s="74"/>
      <c r="O6073" s="102"/>
      <c r="P6073" s="102"/>
      <c r="Q6073" s="57"/>
      <c r="R6073" s="58"/>
      <c r="S6073" s="57"/>
      <c r="T6073" s="77"/>
    </row>
    <row r="6074">
      <c r="A6074" s="119"/>
      <c r="B6074" s="118"/>
      <c r="C6074" s="118"/>
      <c r="D6074" s="56"/>
      <c r="E6074" s="41"/>
      <c r="F6074" s="49"/>
      <c r="G6074" s="71"/>
      <c r="H6074" s="41"/>
      <c r="I6074" s="42"/>
      <c r="J6074" s="120"/>
      <c r="K6074" s="72"/>
      <c r="L6074" s="53"/>
      <c r="M6074" s="101"/>
      <c r="N6074" s="74"/>
      <c r="O6074" s="102"/>
      <c r="P6074" s="102"/>
      <c r="Q6074" s="57"/>
      <c r="R6074" s="58"/>
      <c r="S6074" s="57"/>
      <c r="T6074" s="77"/>
    </row>
    <row r="6075">
      <c r="A6075" s="119"/>
      <c r="B6075" s="118"/>
      <c r="C6075" s="118"/>
      <c r="D6075" s="56"/>
      <c r="E6075" s="41"/>
      <c r="F6075" s="49"/>
      <c r="G6075" s="71"/>
      <c r="H6075" s="41"/>
      <c r="I6075" s="42"/>
      <c r="J6075" s="120"/>
      <c r="K6075" s="72"/>
      <c r="L6075" s="53"/>
      <c r="M6075" s="101"/>
      <c r="N6075" s="74"/>
      <c r="O6075" s="102"/>
      <c r="P6075" s="102"/>
      <c r="Q6075" s="57"/>
      <c r="R6075" s="58"/>
      <c r="S6075" s="57"/>
      <c r="T6075" s="77"/>
    </row>
    <row r="6076">
      <c r="A6076" s="119"/>
      <c r="B6076" s="118"/>
      <c r="C6076" s="118"/>
      <c r="D6076" s="56"/>
      <c r="E6076" s="41"/>
      <c r="F6076" s="49"/>
      <c r="G6076" s="71"/>
      <c r="H6076" s="41"/>
      <c r="I6076" s="42"/>
      <c r="J6076" s="120"/>
      <c r="K6076" s="72"/>
      <c r="L6076" s="53"/>
      <c r="M6076" s="101"/>
      <c r="N6076" s="74"/>
      <c r="O6076" s="102"/>
      <c r="P6076" s="102"/>
      <c r="Q6076" s="57"/>
      <c r="R6076" s="58"/>
      <c r="S6076" s="57"/>
      <c r="T6076" s="77"/>
    </row>
    <row r="6077">
      <c r="A6077" s="119"/>
      <c r="B6077" s="118"/>
      <c r="C6077" s="118"/>
      <c r="D6077" s="56"/>
      <c r="E6077" s="41"/>
      <c r="F6077" s="49"/>
      <c r="G6077" s="71"/>
      <c r="H6077" s="41"/>
      <c r="I6077" s="42"/>
      <c r="J6077" s="120"/>
      <c r="K6077" s="72"/>
      <c r="L6077" s="53"/>
      <c r="M6077" s="101"/>
      <c r="N6077" s="74"/>
      <c r="O6077" s="102"/>
      <c r="P6077" s="102"/>
      <c r="Q6077" s="57"/>
      <c r="R6077" s="58"/>
      <c r="S6077" s="57"/>
      <c r="T6077" s="77"/>
    </row>
    <row r="6078">
      <c r="A6078" s="119"/>
      <c r="B6078" s="118"/>
      <c r="C6078" s="118"/>
      <c r="D6078" s="56"/>
      <c r="E6078" s="41"/>
      <c r="F6078" s="49"/>
      <c r="G6078" s="71"/>
      <c r="H6078" s="41"/>
      <c r="I6078" s="42"/>
      <c r="J6078" s="120"/>
      <c r="K6078" s="72"/>
      <c r="L6078" s="53"/>
      <c r="M6078" s="101"/>
      <c r="N6078" s="74"/>
      <c r="O6078" s="102"/>
      <c r="P6078" s="102"/>
      <c r="Q6078" s="57"/>
      <c r="R6078" s="58"/>
      <c r="S6078" s="57"/>
      <c r="T6078" s="77"/>
    </row>
    <row r="6079">
      <c r="A6079" s="119"/>
      <c r="B6079" s="118"/>
      <c r="C6079" s="118"/>
      <c r="D6079" s="56"/>
      <c r="E6079" s="41"/>
      <c r="F6079" s="49"/>
      <c r="G6079" s="71"/>
      <c r="H6079" s="41"/>
      <c r="I6079" s="42"/>
      <c r="J6079" s="120"/>
      <c r="K6079" s="72"/>
      <c r="L6079" s="53"/>
      <c r="M6079" s="101"/>
      <c r="N6079" s="74"/>
      <c r="O6079" s="102"/>
      <c r="P6079" s="102"/>
      <c r="Q6079" s="57"/>
      <c r="R6079" s="58"/>
      <c r="S6079" s="57"/>
      <c r="T6079" s="77"/>
    </row>
    <row r="6080">
      <c r="A6080" s="119"/>
      <c r="B6080" s="118"/>
      <c r="C6080" s="118"/>
      <c r="D6080" s="56"/>
      <c r="E6080" s="41"/>
      <c r="F6080" s="49"/>
      <c r="G6080" s="71"/>
      <c r="H6080" s="41"/>
      <c r="I6080" s="42"/>
      <c r="J6080" s="120"/>
      <c r="K6080" s="72"/>
      <c r="L6080" s="53"/>
      <c r="M6080" s="101"/>
      <c r="N6080" s="74"/>
      <c r="O6080" s="102"/>
      <c r="P6080" s="102"/>
      <c r="Q6080" s="57"/>
      <c r="R6080" s="58"/>
      <c r="S6080" s="57"/>
      <c r="T6080" s="77"/>
    </row>
    <row r="6081">
      <c r="A6081" s="119"/>
      <c r="B6081" s="118"/>
      <c r="C6081" s="118"/>
      <c r="D6081" s="56"/>
      <c r="E6081" s="41"/>
      <c r="F6081" s="49"/>
      <c r="G6081" s="71"/>
      <c r="H6081" s="41"/>
      <c r="I6081" s="42"/>
      <c r="J6081" s="120"/>
      <c r="K6081" s="72"/>
      <c r="L6081" s="53"/>
      <c r="M6081" s="101"/>
      <c r="N6081" s="74"/>
      <c r="O6081" s="102"/>
      <c r="P6081" s="102"/>
      <c r="Q6081" s="57"/>
      <c r="R6081" s="58"/>
      <c r="S6081" s="57"/>
      <c r="T6081" s="77"/>
    </row>
    <row r="6082">
      <c r="A6082" s="119"/>
      <c r="B6082" s="118"/>
      <c r="C6082" s="118"/>
      <c r="D6082" s="56"/>
      <c r="E6082" s="41"/>
      <c r="F6082" s="49"/>
      <c r="G6082" s="71"/>
      <c r="H6082" s="41"/>
      <c r="I6082" s="42"/>
      <c r="J6082" s="120"/>
      <c r="K6082" s="72"/>
      <c r="L6082" s="53"/>
      <c r="M6082" s="101"/>
      <c r="N6082" s="74"/>
      <c r="O6082" s="102"/>
      <c r="P6082" s="102"/>
      <c r="Q6082" s="57"/>
      <c r="R6082" s="58"/>
      <c r="S6082" s="57"/>
      <c r="T6082" s="77"/>
    </row>
    <row r="6083">
      <c r="A6083" s="119"/>
      <c r="B6083" s="118"/>
      <c r="C6083" s="118"/>
      <c r="D6083" s="56"/>
      <c r="E6083" s="41"/>
      <c r="F6083" s="49"/>
      <c r="G6083" s="71"/>
      <c r="H6083" s="41"/>
      <c r="I6083" s="42"/>
      <c r="J6083" s="120"/>
      <c r="K6083" s="72"/>
      <c r="L6083" s="53"/>
      <c r="M6083" s="101"/>
      <c r="N6083" s="74"/>
      <c r="O6083" s="102"/>
      <c r="P6083" s="102"/>
      <c r="Q6083" s="57"/>
      <c r="R6083" s="58"/>
      <c r="S6083" s="57"/>
      <c r="T6083" s="77"/>
    </row>
    <row r="6084">
      <c r="A6084" s="119"/>
      <c r="B6084" s="118"/>
      <c r="C6084" s="118"/>
      <c r="D6084" s="56"/>
      <c r="E6084" s="41"/>
      <c r="F6084" s="49"/>
      <c r="G6084" s="71"/>
      <c r="H6084" s="41"/>
      <c r="I6084" s="42"/>
      <c r="J6084" s="120"/>
      <c r="K6084" s="72"/>
      <c r="L6084" s="53"/>
      <c r="M6084" s="101"/>
      <c r="N6084" s="74"/>
      <c r="O6084" s="102"/>
      <c r="P6084" s="102"/>
      <c r="Q6084" s="57"/>
      <c r="R6084" s="58"/>
      <c r="S6084" s="57"/>
      <c r="T6084" s="77"/>
    </row>
    <row r="6085">
      <c r="A6085" s="119"/>
      <c r="B6085" s="118"/>
      <c r="C6085" s="118"/>
      <c r="D6085" s="56"/>
      <c r="E6085" s="41"/>
      <c r="F6085" s="49"/>
      <c r="G6085" s="71"/>
      <c r="H6085" s="41"/>
      <c r="I6085" s="42"/>
      <c r="J6085" s="120"/>
      <c r="K6085" s="72"/>
      <c r="L6085" s="53"/>
      <c r="M6085" s="101"/>
      <c r="N6085" s="74"/>
      <c r="O6085" s="102"/>
      <c r="P6085" s="102"/>
      <c r="Q6085" s="57"/>
      <c r="R6085" s="58"/>
      <c r="S6085" s="57"/>
      <c r="T6085" s="77"/>
    </row>
    <row r="6086">
      <c r="A6086" s="119"/>
      <c r="B6086" s="118"/>
      <c r="C6086" s="118"/>
      <c r="D6086" s="56"/>
      <c r="E6086" s="41"/>
      <c r="F6086" s="49"/>
      <c r="G6086" s="71"/>
      <c r="H6086" s="41"/>
      <c r="I6086" s="42"/>
      <c r="J6086" s="120"/>
      <c r="K6086" s="72"/>
      <c r="L6086" s="53"/>
      <c r="M6086" s="101"/>
      <c r="N6086" s="74"/>
      <c r="O6086" s="102"/>
      <c r="P6086" s="102"/>
      <c r="Q6086" s="57"/>
      <c r="R6086" s="58"/>
      <c r="S6086" s="57"/>
      <c r="T6086" s="77"/>
    </row>
    <row r="6087">
      <c r="A6087" s="119"/>
      <c r="B6087" s="118"/>
      <c r="C6087" s="118"/>
      <c r="D6087" s="56"/>
      <c r="E6087" s="41"/>
      <c r="F6087" s="49"/>
      <c r="G6087" s="71"/>
      <c r="H6087" s="41"/>
      <c r="I6087" s="42"/>
      <c r="J6087" s="120"/>
      <c r="K6087" s="72"/>
      <c r="L6087" s="53"/>
      <c r="M6087" s="101"/>
      <c r="N6087" s="74"/>
      <c r="O6087" s="102"/>
      <c r="P6087" s="102"/>
      <c r="Q6087" s="57"/>
      <c r="R6087" s="58"/>
      <c r="S6087" s="57"/>
      <c r="T6087" s="77"/>
    </row>
    <row r="6088">
      <c r="A6088" s="119"/>
      <c r="B6088" s="118"/>
      <c r="C6088" s="118"/>
      <c r="D6088" s="56"/>
      <c r="E6088" s="41"/>
      <c r="F6088" s="49"/>
      <c r="G6088" s="71"/>
      <c r="H6088" s="41"/>
      <c r="I6088" s="42"/>
      <c r="J6088" s="120"/>
      <c r="K6088" s="72"/>
      <c r="L6088" s="53"/>
      <c r="M6088" s="101"/>
      <c r="N6088" s="74"/>
      <c r="O6088" s="102"/>
      <c r="P6088" s="102"/>
      <c r="Q6088" s="57"/>
      <c r="R6088" s="58"/>
      <c r="S6088" s="57"/>
      <c r="T6088" s="77"/>
    </row>
    <row r="6089">
      <c r="A6089" s="119"/>
      <c r="B6089" s="118"/>
      <c r="C6089" s="118"/>
      <c r="D6089" s="56"/>
      <c r="E6089" s="41"/>
      <c r="F6089" s="49"/>
      <c r="G6089" s="71"/>
      <c r="H6089" s="41"/>
      <c r="I6089" s="42"/>
      <c r="J6089" s="120"/>
      <c r="K6089" s="72"/>
      <c r="L6089" s="53"/>
      <c r="M6089" s="101"/>
      <c r="N6089" s="74"/>
      <c r="O6089" s="102"/>
      <c r="P6089" s="102"/>
      <c r="Q6089" s="57"/>
      <c r="R6089" s="58"/>
      <c r="S6089" s="57"/>
      <c r="T6089" s="77"/>
    </row>
    <row r="6090">
      <c r="A6090" s="119"/>
      <c r="B6090" s="118"/>
      <c r="C6090" s="118"/>
      <c r="D6090" s="56"/>
      <c r="E6090" s="41"/>
      <c r="F6090" s="49"/>
      <c r="G6090" s="71"/>
      <c r="H6090" s="41"/>
      <c r="I6090" s="42"/>
      <c r="J6090" s="120"/>
      <c r="K6090" s="72"/>
      <c r="L6090" s="53"/>
      <c r="M6090" s="101"/>
      <c r="N6090" s="74"/>
      <c r="O6090" s="102"/>
      <c r="P6090" s="102"/>
      <c r="Q6090" s="57"/>
      <c r="R6090" s="58"/>
      <c r="S6090" s="57"/>
      <c r="T6090" s="77"/>
    </row>
    <row r="6091">
      <c r="A6091" s="119"/>
      <c r="B6091" s="118"/>
      <c r="C6091" s="118"/>
      <c r="D6091" s="56"/>
      <c r="E6091" s="41"/>
      <c r="F6091" s="49"/>
      <c r="G6091" s="71"/>
      <c r="H6091" s="41"/>
      <c r="I6091" s="42"/>
      <c r="J6091" s="120"/>
      <c r="K6091" s="72"/>
      <c r="L6091" s="53"/>
      <c r="M6091" s="101"/>
      <c r="N6091" s="74"/>
      <c r="O6091" s="102"/>
      <c r="P6091" s="102"/>
      <c r="Q6091" s="57"/>
      <c r="R6091" s="58"/>
      <c r="S6091" s="57"/>
      <c r="T6091" s="77"/>
    </row>
    <row r="6092">
      <c r="A6092" s="119"/>
      <c r="B6092" s="118"/>
      <c r="C6092" s="118"/>
      <c r="D6092" s="56"/>
      <c r="E6092" s="41"/>
      <c r="F6092" s="49"/>
      <c r="G6092" s="71"/>
      <c r="H6092" s="41"/>
      <c r="I6092" s="42"/>
      <c r="J6092" s="120"/>
      <c r="K6092" s="72"/>
      <c r="L6092" s="53"/>
      <c r="M6092" s="101"/>
      <c r="N6092" s="74"/>
      <c r="O6092" s="102"/>
      <c r="P6092" s="102"/>
      <c r="Q6092" s="57"/>
      <c r="R6092" s="58"/>
      <c r="S6092" s="57"/>
      <c r="T6092" s="77"/>
    </row>
    <row r="6093">
      <c r="A6093" s="119"/>
      <c r="B6093" s="118"/>
      <c r="C6093" s="118"/>
      <c r="D6093" s="56"/>
      <c r="E6093" s="41"/>
      <c r="F6093" s="49"/>
      <c r="G6093" s="71"/>
      <c r="H6093" s="41"/>
      <c r="I6093" s="42"/>
      <c r="J6093" s="120"/>
      <c r="K6093" s="72"/>
      <c r="L6093" s="53"/>
      <c r="M6093" s="101"/>
      <c r="N6093" s="74"/>
      <c r="O6093" s="102"/>
      <c r="P6093" s="102"/>
      <c r="Q6093" s="57"/>
      <c r="R6093" s="58"/>
      <c r="S6093" s="57"/>
      <c r="T6093" s="77"/>
    </row>
    <row r="6094">
      <c r="A6094" s="119"/>
      <c r="B6094" s="118"/>
      <c r="C6094" s="118"/>
      <c r="D6094" s="56"/>
      <c r="E6094" s="41"/>
      <c r="F6094" s="49"/>
      <c r="G6094" s="71"/>
      <c r="H6094" s="41"/>
      <c r="I6094" s="42"/>
      <c r="J6094" s="120"/>
      <c r="K6094" s="72"/>
      <c r="L6094" s="53"/>
      <c r="M6094" s="101"/>
      <c r="N6094" s="74"/>
      <c r="O6094" s="102"/>
      <c r="P6094" s="102"/>
      <c r="Q6094" s="57"/>
      <c r="R6094" s="58"/>
      <c r="S6094" s="57"/>
      <c r="T6094" s="77"/>
    </row>
    <row r="6095">
      <c r="A6095" s="119"/>
      <c r="B6095" s="118"/>
      <c r="C6095" s="118"/>
      <c r="D6095" s="56"/>
      <c r="E6095" s="41"/>
      <c r="F6095" s="49"/>
      <c r="G6095" s="71"/>
      <c r="H6095" s="41"/>
      <c r="I6095" s="42"/>
      <c r="J6095" s="120"/>
      <c r="K6095" s="72"/>
      <c r="L6095" s="53"/>
      <c r="M6095" s="101"/>
      <c r="N6095" s="74"/>
      <c r="O6095" s="102"/>
      <c r="P6095" s="102"/>
      <c r="Q6095" s="57"/>
      <c r="R6095" s="58"/>
      <c r="S6095" s="57"/>
      <c r="T6095" s="77"/>
    </row>
    <row r="6096">
      <c r="A6096" s="119"/>
      <c r="B6096" s="118"/>
      <c r="C6096" s="118"/>
      <c r="D6096" s="56"/>
      <c r="E6096" s="41"/>
      <c r="F6096" s="49"/>
      <c r="G6096" s="71"/>
      <c r="H6096" s="41"/>
      <c r="I6096" s="42"/>
      <c r="J6096" s="120"/>
      <c r="K6096" s="72"/>
      <c r="L6096" s="53"/>
      <c r="M6096" s="101"/>
      <c r="N6096" s="74"/>
      <c r="O6096" s="102"/>
      <c r="P6096" s="102"/>
      <c r="Q6096" s="57"/>
      <c r="R6096" s="58"/>
      <c r="S6096" s="57"/>
      <c r="T6096" s="77"/>
    </row>
    <row r="6097">
      <c r="A6097" s="119"/>
      <c r="B6097" s="118"/>
      <c r="C6097" s="118"/>
      <c r="D6097" s="56"/>
      <c r="E6097" s="41"/>
      <c r="F6097" s="49"/>
      <c r="G6097" s="71"/>
      <c r="H6097" s="41"/>
      <c r="I6097" s="42"/>
      <c r="J6097" s="120"/>
      <c r="K6097" s="72"/>
      <c r="L6097" s="53"/>
      <c r="M6097" s="101"/>
      <c r="N6097" s="74"/>
      <c r="O6097" s="102"/>
      <c r="P6097" s="102"/>
      <c r="Q6097" s="57"/>
      <c r="R6097" s="58"/>
      <c r="S6097" s="57"/>
      <c r="T6097" s="77"/>
    </row>
    <row r="6098">
      <c r="A6098" s="119"/>
      <c r="B6098" s="118"/>
      <c r="C6098" s="118"/>
      <c r="D6098" s="56"/>
      <c r="E6098" s="41"/>
      <c r="F6098" s="49"/>
      <c r="G6098" s="71"/>
      <c r="H6098" s="41"/>
      <c r="I6098" s="42"/>
      <c r="J6098" s="120"/>
      <c r="K6098" s="72"/>
      <c r="L6098" s="53"/>
      <c r="M6098" s="101"/>
      <c r="N6098" s="74"/>
      <c r="O6098" s="102"/>
      <c r="P6098" s="102"/>
      <c r="Q6098" s="57"/>
      <c r="R6098" s="58"/>
      <c r="S6098" s="57"/>
      <c r="T6098" s="77"/>
    </row>
    <row r="6099">
      <c r="A6099" s="119"/>
      <c r="B6099" s="118"/>
      <c r="C6099" s="118"/>
      <c r="D6099" s="56"/>
      <c r="E6099" s="41"/>
      <c r="F6099" s="49"/>
      <c r="G6099" s="71"/>
      <c r="H6099" s="41"/>
      <c r="I6099" s="42"/>
      <c r="J6099" s="120"/>
      <c r="K6099" s="72"/>
      <c r="L6099" s="53"/>
      <c r="M6099" s="101"/>
      <c r="N6099" s="74"/>
      <c r="O6099" s="102"/>
      <c r="P6099" s="102"/>
      <c r="Q6099" s="57"/>
      <c r="R6099" s="58"/>
      <c r="S6099" s="57"/>
      <c r="T6099" s="77"/>
    </row>
    <row r="6100">
      <c r="A6100" s="119"/>
      <c r="B6100" s="118"/>
      <c r="C6100" s="118"/>
      <c r="D6100" s="56"/>
      <c r="E6100" s="41"/>
      <c r="F6100" s="49"/>
      <c r="G6100" s="71"/>
      <c r="H6100" s="41"/>
      <c r="I6100" s="42"/>
      <c r="J6100" s="120"/>
      <c r="K6100" s="72"/>
      <c r="L6100" s="53"/>
      <c r="M6100" s="101"/>
      <c r="N6100" s="74"/>
      <c r="O6100" s="102"/>
      <c r="P6100" s="102"/>
      <c r="Q6100" s="57"/>
      <c r="R6100" s="58"/>
      <c r="S6100" s="57"/>
      <c r="T6100" s="77"/>
    </row>
    <row r="6101">
      <c r="A6101" s="119"/>
      <c r="B6101" s="118"/>
      <c r="C6101" s="118"/>
      <c r="D6101" s="56"/>
      <c r="E6101" s="41"/>
      <c r="F6101" s="49"/>
      <c r="G6101" s="71"/>
      <c r="H6101" s="41"/>
      <c r="I6101" s="42"/>
      <c r="J6101" s="120"/>
      <c r="K6101" s="72"/>
      <c r="L6101" s="53"/>
      <c r="M6101" s="101"/>
      <c r="N6101" s="74"/>
      <c r="O6101" s="102"/>
      <c r="P6101" s="102"/>
      <c r="Q6101" s="57"/>
      <c r="R6101" s="58"/>
      <c r="S6101" s="57"/>
      <c r="T6101" s="77"/>
    </row>
    <row r="6102">
      <c r="A6102" s="119"/>
      <c r="B6102" s="118"/>
      <c r="C6102" s="118"/>
      <c r="D6102" s="56"/>
      <c r="E6102" s="41"/>
      <c r="F6102" s="49"/>
      <c r="G6102" s="71"/>
      <c r="H6102" s="41"/>
      <c r="I6102" s="42"/>
      <c r="J6102" s="120"/>
      <c r="K6102" s="72"/>
      <c r="L6102" s="53"/>
      <c r="M6102" s="101"/>
      <c r="N6102" s="74"/>
      <c r="O6102" s="102"/>
      <c r="P6102" s="102"/>
      <c r="Q6102" s="57"/>
      <c r="R6102" s="58"/>
      <c r="S6102" s="57"/>
      <c r="T6102" s="77"/>
    </row>
    <row r="6103">
      <c r="A6103" s="119"/>
      <c r="B6103" s="118"/>
      <c r="C6103" s="118"/>
      <c r="D6103" s="56"/>
      <c r="E6103" s="41"/>
      <c r="F6103" s="49"/>
      <c r="G6103" s="71"/>
      <c r="H6103" s="41"/>
      <c r="I6103" s="42"/>
      <c r="J6103" s="120"/>
      <c r="K6103" s="72"/>
      <c r="L6103" s="53"/>
      <c r="M6103" s="101"/>
      <c r="N6103" s="74"/>
      <c r="O6103" s="102"/>
      <c r="P6103" s="102"/>
      <c r="Q6103" s="57"/>
      <c r="R6103" s="58"/>
      <c r="S6103" s="57"/>
      <c r="T6103" s="77"/>
    </row>
    <row r="6104">
      <c r="A6104" s="119"/>
      <c r="B6104" s="118"/>
      <c r="C6104" s="118"/>
      <c r="D6104" s="56"/>
      <c r="E6104" s="41"/>
      <c r="F6104" s="49"/>
      <c r="G6104" s="71"/>
      <c r="H6104" s="41"/>
      <c r="I6104" s="42"/>
      <c r="J6104" s="120"/>
      <c r="K6104" s="72"/>
      <c r="L6104" s="53"/>
      <c r="M6104" s="101"/>
      <c r="N6104" s="74"/>
      <c r="O6104" s="102"/>
      <c r="P6104" s="102"/>
      <c r="Q6104" s="57"/>
      <c r="R6104" s="58"/>
      <c r="S6104" s="57"/>
      <c r="T6104" s="77"/>
    </row>
    <row r="6105">
      <c r="A6105" s="119"/>
      <c r="B6105" s="118"/>
      <c r="C6105" s="118"/>
      <c r="D6105" s="56"/>
      <c r="E6105" s="41"/>
      <c r="F6105" s="49"/>
      <c r="G6105" s="71"/>
      <c r="H6105" s="41"/>
      <c r="I6105" s="42"/>
      <c r="J6105" s="120"/>
      <c r="K6105" s="72"/>
      <c r="L6105" s="53"/>
      <c r="M6105" s="101"/>
      <c r="N6105" s="74"/>
      <c r="O6105" s="102"/>
      <c r="P6105" s="102"/>
      <c r="Q6105" s="57"/>
      <c r="R6105" s="58"/>
      <c r="S6105" s="57"/>
      <c r="T6105" s="77"/>
    </row>
    <row r="6106">
      <c r="A6106" s="119"/>
      <c r="B6106" s="118"/>
      <c r="C6106" s="118"/>
      <c r="D6106" s="56"/>
      <c r="E6106" s="41"/>
      <c r="F6106" s="49"/>
      <c r="G6106" s="71"/>
      <c r="H6106" s="41"/>
      <c r="I6106" s="42"/>
      <c r="J6106" s="120"/>
      <c r="K6106" s="72"/>
      <c r="L6106" s="53"/>
      <c r="M6106" s="101"/>
      <c r="N6106" s="74"/>
      <c r="O6106" s="102"/>
      <c r="P6106" s="102"/>
      <c r="Q6106" s="57"/>
      <c r="R6106" s="58"/>
      <c r="S6106" s="57"/>
      <c r="T6106" s="77"/>
    </row>
    <row r="6107">
      <c r="A6107" s="119"/>
      <c r="B6107" s="118"/>
      <c r="C6107" s="118"/>
      <c r="D6107" s="56"/>
      <c r="E6107" s="41"/>
      <c r="F6107" s="49"/>
      <c r="G6107" s="71"/>
      <c r="H6107" s="41"/>
      <c r="I6107" s="42"/>
      <c r="J6107" s="120"/>
      <c r="K6107" s="72"/>
      <c r="L6107" s="53"/>
      <c r="M6107" s="101"/>
      <c r="N6107" s="74"/>
      <c r="O6107" s="102"/>
      <c r="P6107" s="102"/>
      <c r="Q6107" s="57"/>
      <c r="R6107" s="58"/>
      <c r="S6107" s="57"/>
      <c r="T6107" s="77"/>
    </row>
    <row r="6108">
      <c r="A6108" s="119"/>
      <c r="B6108" s="118"/>
      <c r="C6108" s="118"/>
      <c r="D6108" s="56"/>
      <c r="E6108" s="41"/>
      <c r="F6108" s="49"/>
      <c r="G6108" s="71"/>
      <c r="H6108" s="41"/>
      <c r="I6108" s="42"/>
      <c r="J6108" s="120"/>
      <c r="K6108" s="72"/>
      <c r="L6108" s="53"/>
      <c r="M6108" s="101"/>
      <c r="N6108" s="74"/>
      <c r="O6108" s="102"/>
      <c r="P6108" s="102"/>
      <c r="Q6108" s="57"/>
      <c r="R6108" s="58"/>
      <c r="S6108" s="57"/>
      <c r="T6108" s="77"/>
    </row>
    <row r="6109">
      <c r="A6109" s="119"/>
      <c r="B6109" s="118"/>
      <c r="C6109" s="118"/>
      <c r="D6109" s="56"/>
      <c r="E6109" s="41"/>
      <c r="F6109" s="49"/>
      <c r="G6109" s="71"/>
      <c r="H6109" s="41"/>
      <c r="I6109" s="42"/>
      <c r="J6109" s="120"/>
      <c r="K6109" s="72"/>
      <c r="L6109" s="53"/>
      <c r="M6109" s="101"/>
      <c r="N6109" s="74"/>
      <c r="O6109" s="102"/>
      <c r="P6109" s="102"/>
      <c r="Q6109" s="57"/>
      <c r="R6109" s="58"/>
      <c r="S6109" s="57"/>
      <c r="T6109" s="77"/>
    </row>
    <row r="6110">
      <c r="A6110" s="119"/>
      <c r="B6110" s="118"/>
      <c r="C6110" s="118"/>
      <c r="D6110" s="56"/>
      <c r="E6110" s="41"/>
      <c r="F6110" s="49"/>
      <c r="G6110" s="71"/>
      <c r="H6110" s="41"/>
      <c r="I6110" s="42"/>
      <c r="J6110" s="120"/>
      <c r="K6110" s="72"/>
      <c r="L6110" s="53"/>
      <c r="M6110" s="101"/>
      <c r="N6110" s="74"/>
      <c r="O6110" s="102"/>
      <c r="P6110" s="102"/>
      <c r="Q6110" s="57"/>
      <c r="R6110" s="58"/>
      <c r="S6110" s="57"/>
      <c r="T6110" s="77"/>
    </row>
    <row r="6111">
      <c r="A6111" s="119"/>
      <c r="B6111" s="118"/>
      <c r="C6111" s="118"/>
      <c r="D6111" s="56"/>
      <c r="E6111" s="41"/>
      <c r="F6111" s="49"/>
      <c r="G6111" s="71"/>
      <c r="H6111" s="41"/>
      <c r="I6111" s="42"/>
      <c r="J6111" s="120"/>
      <c r="K6111" s="72"/>
      <c r="L6111" s="53"/>
      <c r="M6111" s="101"/>
      <c r="N6111" s="74"/>
      <c r="O6111" s="102"/>
      <c r="P6111" s="102"/>
      <c r="Q6111" s="57"/>
      <c r="R6111" s="58"/>
      <c r="S6111" s="57"/>
      <c r="T6111" s="77"/>
    </row>
    <row r="6112">
      <c r="A6112" s="119"/>
      <c r="B6112" s="118"/>
      <c r="C6112" s="118"/>
      <c r="D6112" s="56"/>
      <c r="E6112" s="41"/>
      <c r="F6112" s="49"/>
      <c r="G6112" s="71"/>
      <c r="H6112" s="41"/>
      <c r="I6112" s="42"/>
      <c r="J6112" s="120"/>
      <c r="K6112" s="72"/>
      <c r="L6112" s="53"/>
      <c r="M6112" s="101"/>
      <c r="N6112" s="74"/>
      <c r="O6112" s="102"/>
      <c r="P6112" s="102"/>
      <c r="Q6112" s="57"/>
      <c r="R6112" s="58"/>
      <c r="S6112" s="57"/>
      <c r="T6112" s="77"/>
    </row>
    <row r="6113">
      <c r="A6113" s="119"/>
      <c r="B6113" s="118"/>
      <c r="C6113" s="118"/>
      <c r="D6113" s="56"/>
      <c r="E6113" s="41"/>
      <c r="F6113" s="49"/>
      <c r="G6113" s="71"/>
      <c r="H6113" s="41"/>
      <c r="I6113" s="42"/>
      <c r="J6113" s="120"/>
      <c r="K6113" s="72"/>
      <c r="L6113" s="53"/>
      <c r="M6113" s="101"/>
      <c r="N6113" s="74"/>
      <c r="O6113" s="102"/>
      <c r="P6113" s="102"/>
      <c r="Q6113" s="57"/>
      <c r="R6113" s="58"/>
      <c r="S6113" s="57"/>
      <c r="T6113" s="77"/>
    </row>
    <row r="6114">
      <c r="A6114" s="119"/>
      <c r="B6114" s="118"/>
      <c r="C6114" s="118"/>
      <c r="D6114" s="56"/>
      <c r="E6114" s="41"/>
      <c r="F6114" s="49"/>
      <c r="G6114" s="71"/>
      <c r="H6114" s="41"/>
      <c r="I6114" s="42"/>
      <c r="J6114" s="120"/>
      <c r="K6114" s="72"/>
      <c r="L6114" s="53"/>
      <c r="M6114" s="101"/>
      <c r="N6114" s="74"/>
      <c r="O6114" s="102"/>
      <c r="P6114" s="102"/>
      <c r="Q6114" s="57"/>
      <c r="R6114" s="58"/>
      <c r="S6114" s="57"/>
      <c r="T6114" s="77"/>
    </row>
    <row r="6115">
      <c r="A6115" s="119"/>
      <c r="B6115" s="118"/>
      <c r="C6115" s="118"/>
      <c r="D6115" s="56"/>
      <c r="E6115" s="41"/>
      <c r="F6115" s="49"/>
      <c r="G6115" s="71"/>
      <c r="H6115" s="41"/>
      <c r="I6115" s="42"/>
      <c r="J6115" s="120"/>
      <c r="K6115" s="72"/>
      <c r="L6115" s="53"/>
      <c r="M6115" s="101"/>
      <c r="N6115" s="74"/>
      <c r="O6115" s="102"/>
      <c r="P6115" s="102"/>
      <c r="Q6115" s="57"/>
      <c r="R6115" s="58"/>
      <c r="S6115" s="57"/>
      <c r="T6115" s="77"/>
    </row>
    <row r="6116">
      <c r="A6116" s="119"/>
      <c r="B6116" s="118"/>
      <c r="C6116" s="118"/>
      <c r="D6116" s="56"/>
      <c r="E6116" s="41"/>
      <c r="F6116" s="49"/>
      <c r="G6116" s="71"/>
      <c r="H6116" s="41"/>
      <c r="I6116" s="42"/>
      <c r="J6116" s="120"/>
      <c r="K6116" s="72"/>
      <c r="L6116" s="53"/>
      <c r="M6116" s="101"/>
      <c r="N6116" s="74"/>
      <c r="O6116" s="102"/>
      <c r="P6116" s="102"/>
      <c r="Q6116" s="57"/>
      <c r="R6116" s="58"/>
      <c r="S6116" s="57"/>
      <c r="T6116" s="77"/>
    </row>
    <row r="6117">
      <c r="A6117" s="119"/>
      <c r="B6117" s="118"/>
      <c r="C6117" s="118"/>
      <c r="D6117" s="56"/>
      <c r="E6117" s="41"/>
      <c r="F6117" s="49"/>
      <c r="G6117" s="71"/>
      <c r="H6117" s="41"/>
      <c r="I6117" s="42"/>
      <c r="J6117" s="120"/>
      <c r="K6117" s="72"/>
      <c r="L6117" s="53"/>
      <c r="M6117" s="101"/>
      <c r="N6117" s="74"/>
      <c r="O6117" s="102"/>
      <c r="P6117" s="102"/>
      <c r="Q6117" s="57"/>
      <c r="R6117" s="58"/>
      <c r="S6117" s="57"/>
      <c r="T6117" s="77"/>
    </row>
    <row r="6118">
      <c r="A6118" s="119"/>
      <c r="B6118" s="118"/>
      <c r="C6118" s="118"/>
      <c r="D6118" s="56"/>
      <c r="E6118" s="41"/>
      <c r="F6118" s="49"/>
      <c r="G6118" s="71"/>
      <c r="H6118" s="41"/>
      <c r="I6118" s="42"/>
      <c r="J6118" s="120"/>
      <c r="K6118" s="72"/>
      <c r="L6118" s="53"/>
      <c r="M6118" s="101"/>
      <c r="N6118" s="74"/>
      <c r="O6118" s="102"/>
      <c r="P6118" s="102"/>
      <c r="Q6118" s="57"/>
      <c r="R6118" s="58"/>
      <c r="S6118" s="57"/>
      <c r="T6118" s="77"/>
    </row>
    <row r="6119">
      <c r="A6119" s="119"/>
      <c r="B6119" s="118"/>
      <c r="C6119" s="118"/>
      <c r="D6119" s="56"/>
      <c r="E6119" s="41"/>
      <c r="F6119" s="49"/>
      <c r="G6119" s="71"/>
      <c r="H6119" s="41"/>
      <c r="I6119" s="42"/>
      <c r="J6119" s="120"/>
      <c r="K6119" s="72"/>
      <c r="L6119" s="53"/>
      <c r="M6119" s="101"/>
      <c r="N6119" s="74"/>
      <c r="O6119" s="102"/>
      <c r="P6119" s="102"/>
      <c r="Q6119" s="57"/>
      <c r="R6119" s="58"/>
      <c r="S6119" s="57"/>
      <c r="T6119" s="77"/>
    </row>
    <row r="6120">
      <c r="A6120" s="119"/>
      <c r="B6120" s="118"/>
      <c r="C6120" s="118"/>
      <c r="D6120" s="56"/>
      <c r="E6120" s="41"/>
      <c r="F6120" s="49"/>
      <c r="G6120" s="71"/>
      <c r="H6120" s="41"/>
      <c r="I6120" s="42"/>
      <c r="J6120" s="120"/>
      <c r="K6120" s="72"/>
      <c r="L6120" s="53"/>
      <c r="M6120" s="101"/>
      <c r="N6120" s="74"/>
      <c r="O6120" s="102"/>
      <c r="P6120" s="102"/>
      <c r="Q6120" s="57"/>
      <c r="R6120" s="58"/>
      <c r="S6120" s="57"/>
      <c r="T6120" s="77"/>
    </row>
    <row r="6121">
      <c r="A6121" s="119"/>
      <c r="B6121" s="118"/>
      <c r="C6121" s="118"/>
      <c r="D6121" s="56"/>
      <c r="E6121" s="41"/>
      <c r="F6121" s="49"/>
      <c r="G6121" s="71"/>
      <c r="H6121" s="41"/>
      <c r="I6121" s="42"/>
      <c r="J6121" s="120"/>
      <c r="K6121" s="72"/>
      <c r="L6121" s="53"/>
      <c r="M6121" s="101"/>
      <c r="N6121" s="74"/>
      <c r="O6121" s="102"/>
      <c r="P6121" s="102"/>
      <c r="Q6121" s="57"/>
      <c r="R6121" s="58"/>
      <c r="S6121" s="57"/>
      <c r="T6121" s="77"/>
    </row>
    <row r="6122">
      <c r="A6122" s="119"/>
      <c r="B6122" s="118"/>
      <c r="C6122" s="118"/>
      <c r="D6122" s="56"/>
      <c r="E6122" s="41"/>
      <c r="F6122" s="49"/>
      <c r="G6122" s="71"/>
      <c r="H6122" s="41"/>
      <c r="I6122" s="42"/>
      <c r="J6122" s="120"/>
      <c r="K6122" s="72"/>
      <c r="L6122" s="53"/>
      <c r="M6122" s="101"/>
      <c r="N6122" s="74"/>
      <c r="O6122" s="102"/>
      <c r="P6122" s="102"/>
      <c r="Q6122" s="57"/>
      <c r="R6122" s="58"/>
      <c r="S6122" s="57"/>
      <c r="T6122" s="77"/>
    </row>
    <row r="6123">
      <c r="A6123" s="119"/>
      <c r="B6123" s="118"/>
      <c r="C6123" s="118"/>
      <c r="D6123" s="56"/>
      <c r="E6123" s="41"/>
      <c r="F6123" s="49"/>
      <c r="G6123" s="71"/>
      <c r="H6123" s="41"/>
      <c r="I6123" s="42"/>
      <c r="J6123" s="120"/>
      <c r="K6123" s="72"/>
      <c r="L6123" s="53"/>
      <c r="M6123" s="101"/>
      <c r="N6123" s="74"/>
      <c r="O6123" s="102"/>
      <c r="P6123" s="102"/>
      <c r="Q6123" s="57"/>
      <c r="R6123" s="58"/>
      <c r="S6123" s="57"/>
      <c r="T6123" s="77"/>
    </row>
    <row r="6124">
      <c r="A6124" s="119"/>
      <c r="B6124" s="118"/>
      <c r="C6124" s="118"/>
      <c r="D6124" s="56"/>
      <c r="E6124" s="41"/>
      <c r="F6124" s="49"/>
      <c r="G6124" s="71"/>
      <c r="H6124" s="41"/>
      <c r="I6124" s="42"/>
      <c r="J6124" s="120"/>
      <c r="K6124" s="72"/>
      <c r="L6124" s="53"/>
      <c r="M6124" s="101"/>
      <c r="N6124" s="74"/>
      <c r="O6124" s="102"/>
      <c r="P6124" s="102"/>
      <c r="Q6124" s="57"/>
      <c r="R6124" s="58"/>
      <c r="S6124" s="57"/>
      <c r="T6124" s="77"/>
    </row>
    <row r="6125">
      <c r="A6125" s="119"/>
      <c r="B6125" s="118"/>
      <c r="C6125" s="118"/>
      <c r="D6125" s="56"/>
      <c r="E6125" s="41"/>
      <c r="F6125" s="49"/>
      <c r="G6125" s="71"/>
      <c r="H6125" s="41"/>
      <c r="I6125" s="42"/>
      <c r="J6125" s="120"/>
      <c r="K6125" s="72"/>
      <c r="L6125" s="53"/>
      <c r="M6125" s="101"/>
      <c r="N6125" s="74"/>
      <c r="O6125" s="102"/>
      <c r="P6125" s="102"/>
      <c r="Q6125" s="57"/>
      <c r="R6125" s="58"/>
      <c r="S6125" s="57"/>
      <c r="T6125" s="77"/>
    </row>
    <row r="6126">
      <c r="A6126" s="119"/>
      <c r="B6126" s="118"/>
      <c r="C6126" s="118"/>
      <c r="D6126" s="56"/>
      <c r="E6126" s="41"/>
      <c r="F6126" s="49"/>
      <c r="G6126" s="71"/>
      <c r="H6126" s="41"/>
      <c r="I6126" s="42"/>
      <c r="J6126" s="120"/>
      <c r="K6126" s="72"/>
      <c r="L6126" s="53"/>
      <c r="M6126" s="101"/>
      <c r="N6126" s="74"/>
      <c r="O6126" s="102"/>
      <c r="P6126" s="102"/>
      <c r="Q6126" s="57"/>
      <c r="R6126" s="58"/>
      <c r="S6126" s="57"/>
      <c r="T6126" s="77"/>
    </row>
    <row r="6127">
      <c r="A6127" s="119"/>
      <c r="B6127" s="118"/>
      <c r="C6127" s="118"/>
      <c r="D6127" s="56"/>
      <c r="E6127" s="41"/>
      <c r="F6127" s="49"/>
      <c r="G6127" s="71"/>
      <c r="H6127" s="41"/>
      <c r="I6127" s="42"/>
      <c r="J6127" s="120"/>
      <c r="K6127" s="72"/>
      <c r="L6127" s="53"/>
      <c r="M6127" s="101"/>
      <c r="N6127" s="74"/>
      <c r="O6127" s="102"/>
      <c r="P6127" s="102"/>
      <c r="Q6127" s="57"/>
      <c r="R6127" s="58"/>
      <c r="S6127" s="57"/>
      <c r="T6127" s="77"/>
    </row>
    <row r="6128">
      <c r="A6128" s="119"/>
      <c r="B6128" s="118"/>
      <c r="C6128" s="118"/>
      <c r="D6128" s="56"/>
      <c r="E6128" s="41"/>
      <c r="F6128" s="49"/>
      <c r="G6128" s="71"/>
      <c r="H6128" s="41"/>
      <c r="I6128" s="42"/>
      <c r="J6128" s="120"/>
      <c r="K6128" s="72"/>
      <c r="L6128" s="53"/>
      <c r="M6128" s="101"/>
      <c r="N6128" s="74"/>
      <c r="O6128" s="102"/>
      <c r="P6128" s="102"/>
      <c r="Q6128" s="57"/>
      <c r="R6128" s="58"/>
      <c r="S6128" s="57"/>
      <c r="T6128" s="77"/>
    </row>
    <row r="6129">
      <c r="A6129" s="119"/>
      <c r="B6129" s="118"/>
      <c r="C6129" s="118"/>
      <c r="D6129" s="56"/>
      <c r="E6129" s="41"/>
      <c r="F6129" s="49"/>
      <c r="G6129" s="71"/>
      <c r="H6129" s="41"/>
      <c r="I6129" s="42"/>
      <c r="J6129" s="120"/>
      <c r="K6129" s="72"/>
      <c r="L6129" s="53"/>
      <c r="M6129" s="101"/>
      <c r="N6129" s="74"/>
      <c r="O6129" s="102"/>
      <c r="P6129" s="102"/>
      <c r="Q6129" s="57"/>
      <c r="R6129" s="58"/>
      <c r="S6129" s="57"/>
      <c r="T6129" s="77"/>
    </row>
    <row r="6130">
      <c r="A6130" s="119"/>
      <c r="B6130" s="118"/>
      <c r="C6130" s="118"/>
      <c r="D6130" s="56"/>
      <c r="E6130" s="41"/>
      <c r="F6130" s="49"/>
      <c r="G6130" s="71"/>
      <c r="H6130" s="41"/>
      <c r="I6130" s="42"/>
      <c r="J6130" s="120"/>
      <c r="K6130" s="72"/>
      <c r="L6130" s="53"/>
      <c r="M6130" s="101"/>
      <c r="N6130" s="74"/>
      <c r="O6130" s="102"/>
      <c r="P6130" s="102"/>
      <c r="Q6130" s="57"/>
      <c r="R6130" s="58"/>
      <c r="S6130" s="57"/>
      <c r="T6130" s="77"/>
    </row>
    <row r="6131">
      <c r="A6131" s="119"/>
      <c r="B6131" s="118"/>
      <c r="C6131" s="118"/>
      <c r="D6131" s="56"/>
      <c r="E6131" s="41"/>
      <c r="F6131" s="49"/>
      <c r="G6131" s="71"/>
      <c r="H6131" s="41"/>
      <c r="I6131" s="42"/>
      <c r="J6131" s="120"/>
      <c r="K6131" s="72"/>
      <c r="L6131" s="53"/>
      <c r="M6131" s="101"/>
      <c r="N6131" s="74"/>
      <c r="O6131" s="102"/>
      <c r="P6131" s="102"/>
      <c r="Q6131" s="57"/>
      <c r="R6131" s="58"/>
      <c r="S6131" s="57"/>
      <c r="T6131" s="77"/>
    </row>
    <row r="6132">
      <c r="A6132" s="119"/>
      <c r="B6132" s="118"/>
      <c r="C6132" s="118"/>
      <c r="D6132" s="56"/>
      <c r="E6132" s="41"/>
      <c r="F6132" s="49"/>
      <c r="G6132" s="71"/>
      <c r="H6132" s="41"/>
      <c r="I6132" s="42"/>
      <c r="J6132" s="120"/>
      <c r="K6132" s="72"/>
      <c r="L6132" s="53"/>
      <c r="M6132" s="101"/>
      <c r="N6132" s="74"/>
      <c r="O6132" s="102"/>
      <c r="P6132" s="102"/>
      <c r="Q6132" s="57"/>
      <c r="R6132" s="58"/>
      <c r="S6132" s="57"/>
      <c r="T6132" s="77"/>
    </row>
    <row r="6133">
      <c r="A6133" s="119"/>
      <c r="B6133" s="118"/>
      <c r="C6133" s="118"/>
      <c r="D6133" s="56"/>
      <c r="E6133" s="41"/>
      <c r="F6133" s="49"/>
      <c r="G6133" s="71"/>
      <c r="H6133" s="41"/>
      <c r="I6133" s="42"/>
      <c r="J6133" s="120"/>
      <c r="K6133" s="72"/>
      <c r="L6133" s="53"/>
      <c r="M6133" s="101"/>
      <c r="N6133" s="74"/>
      <c r="O6133" s="102"/>
      <c r="P6133" s="102"/>
      <c r="Q6133" s="57"/>
      <c r="R6133" s="58"/>
      <c r="S6133" s="57"/>
      <c r="T6133" s="77"/>
    </row>
    <row r="6134">
      <c r="A6134" s="119"/>
      <c r="B6134" s="118"/>
      <c r="C6134" s="118"/>
      <c r="D6134" s="56"/>
      <c r="E6134" s="41"/>
      <c r="F6134" s="49"/>
      <c r="G6134" s="71"/>
      <c r="H6134" s="41"/>
      <c r="I6134" s="42"/>
      <c r="J6134" s="120"/>
      <c r="K6134" s="72"/>
      <c r="L6134" s="53"/>
      <c r="M6134" s="101"/>
      <c r="N6134" s="74"/>
      <c r="O6134" s="102"/>
      <c r="P6134" s="102"/>
      <c r="Q6134" s="57"/>
      <c r="R6134" s="58"/>
      <c r="S6134" s="57"/>
      <c r="T6134" s="77"/>
    </row>
    <row r="6135">
      <c r="A6135" s="119"/>
      <c r="B6135" s="118"/>
      <c r="C6135" s="118"/>
      <c r="D6135" s="56"/>
      <c r="E6135" s="41"/>
      <c r="F6135" s="49"/>
      <c r="G6135" s="71"/>
      <c r="H6135" s="41"/>
      <c r="I6135" s="42"/>
      <c r="J6135" s="120"/>
      <c r="K6135" s="72"/>
      <c r="L6135" s="53"/>
      <c r="M6135" s="101"/>
      <c r="N6135" s="74"/>
      <c r="O6135" s="102"/>
      <c r="P6135" s="102"/>
      <c r="Q6135" s="57"/>
      <c r="R6135" s="58"/>
      <c r="S6135" s="57"/>
      <c r="T6135" s="77"/>
    </row>
    <row r="6136">
      <c r="A6136" s="119"/>
      <c r="B6136" s="118"/>
      <c r="C6136" s="118"/>
      <c r="D6136" s="56"/>
      <c r="E6136" s="41"/>
      <c r="F6136" s="49"/>
      <c r="G6136" s="71"/>
      <c r="H6136" s="41"/>
      <c r="I6136" s="42"/>
      <c r="J6136" s="120"/>
      <c r="K6136" s="72"/>
      <c r="L6136" s="53"/>
      <c r="M6136" s="101"/>
      <c r="N6136" s="74"/>
      <c r="O6136" s="102"/>
      <c r="P6136" s="102"/>
      <c r="Q6136" s="57"/>
      <c r="R6136" s="58"/>
      <c r="S6136" s="57"/>
      <c r="T6136" s="77"/>
    </row>
    <row r="6137">
      <c r="A6137" s="119"/>
      <c r="B6137" s="118"/>
      <c r="C6137" s="118"/>
      <c r="D6137" s="56"/>
      <c r="E6137" s="41"/>
      <c r="F6137" s="49"/>
      <c r="G6137" s="71"/>
      <c r="H6137" s="41"/>
      <c r="I6137" s="42"/>
      <c r="J6137" s="120"/>
      <c r="K6137" s="72"/>
      <c r="L6137" s="53"/>
      <c r="M6137" s="101"/>
      <c r="N6137" s="74"/>
      <c r="O6137" s="102"/>
      <c r="P6137" s="102"/>
      <c r="Q6137" s="57"/>
      <c r="R6137" s="58"/>
      <c r="S6137" s="57"/>
      <c r="T6137" s="77"/>
    </row>
    <row r="6138">
      <c r="A6138" s="119"/>
      <c r="B6138" s="118"/>
      <c r="C6138" s="118"/>
      <c r="D6138" s="56"/>
      <c r="E6138" s="41"/>
      <c r="F6138" s="49"/>
      <c r="G6138" s="71"/>
      <c r="H6138" s="41"/>
      <c r="I6138" s="42"/>
      <c r="J6138" s="120"/>
      <c r="K6138" s="72"/>
      <c r="L6138" s="53"/>
      <c r="M6138" s="101"/>
      <c r="N6138" s="74"/>
      <c r="O6138" s="102"/>
      <c r="P6138" s="102"/>
      <c r="Q6138" s="57"/>
      <c r="R6138" s="58"/>
      <c r="S6138" s="57"/>
      <c r="T6138" s="77"/>
    </row>
    <row r="6139">
      <c r="A6139" s="119"/>
      <c r="B6139" s="118"/>
      <c r="C6139" s="118"/>
      <c r="D6139" s="56"/>
      <c r="E6139" s="41"/>
      <c r="F6139" s="49"/>
      <c r="G6139" s="71"/>
      <c r="H6139" s="41"/>
      <c r="I6139" s="42"/>
      <c r="J6139" s="120"/>
      <c r="K6139" s="72"/>
      <c r="L6139" s="53"/>
      <c r="M6139" s="101"/>
      <c r="N6139" s="74"/>
      <c r="O6139" s="102"/>
      <c r="P6139" s="102"/>
      <c r="Q6139" s="57"/>
      <c r="R6139" s="58"/>
      <c r="S6139" s="57"/>
      <c r="T6139" s="77"/>
    </row>
    <row r="6140">
      <c r="A6140" s="119"/>
      <c r="B6140" s="118"/>
      <c r="C6140" s="118"/>
      <c r="D6140" s="56"/>
      <c r="E6140" s="41"/>
      <c r="F6140" s="49"/>
      <c r="G6140" s="71"/>
      <c r="H6140" s="41"/>
      <c r="I6140" s="42"/>
      <c r="J6140" s="120"/>
      <c r="K6140" s="72"/>
      <c r="L6140" s="53"/>
      <c r="M6140" s="101"/>
      <c r="N6140" s="74"/>
      <c r="O6140" s="102"/>
      <c r="P6140" s="102"/>
      <c r="Q6140" s="57"/>
      <c r="R6140" s="58"/>
      <c r="S6140" s="57"/>
      <c r="T6140" s="77"/>
    </row>
    <row r="6141">
      <c r="A6141" s="119"/>
      <c r="B6141" s="118"/>
      <c r="C6141" s="118"/>
      <c r="D6141" s="56"/>
      <c r="E6141" s="41"/>
      <c r="F6141" s="49"/>
      <c r="G6141" s="71"/>
      <c r="H6141" s="41"/>
      <c r="I6141" s="42"/>
      <c r="J6141" s="120"/>
      <c r="K6141" s="72"/>
      <c r="L6141" s="53"/>
      <c r="M6141" s="101"/>
      <c r="N6141" s="74"/>
      <c r="O6141" s="102"/>
      <c r="P6141" s="102"/>
      <c r="Q6141" s="57"/>
      <c r="R6141" s="58"/>
      <c r="S6141" s="57"/>
      <c r="T6141" s="77"/>
    </row>
    <row r="6142">
      <c r="A6142" s="119"/>
      <c r="B6142" s="118"/>
      <c r="C6142" s="118"/>
      <c r="D6142" s="56"/>
      <c r="E6142" s="41"/>
      <c r="F6142" s="49"/>
      <c r="G6142" s="71"/>
      <c r="H6142" s="41"/>
      <c r="I6142" s="42"/>
      <c r="J6142" s="120"/>
      <c r="K6142" s="72"/>
      <c r="L6142" s="53"/>
      <c r="M6142" s="101"/>
      <c r="N6142" s="74"/>
      <c r="O6142" s="102"/>
      <c r="P6142" s="102"/>
      <c r="Q6142" s="57"/>
      <c r="R6142" s="58"/>
      <c r="S6142" s="57"/>
      <c r="T6142" s="77"/>
    </row>
    <row r="6143">
      <c r="A6143" s="119"/>
      <c r="B6143" s="118"/>
      <c r="C6143" s="118"/>
      <c r="D6143" s="56"/>
      <c r="E6143" s="41"/>
      <c r="F6143" s="49"/>
      <c r="G6143" s="71"/>
      <c r="H6143" s="41"/>
      <c r="I6143" s="42"/>
      <c r="J6143" s="120"/>
      <c r="K6143" s="72"/>
      <c r="L6143" s="53"/>
      <c r="M6143" s="101"/>
      <c r="N6143" s="74"/>
      <c r="O6143" s="102"/>
      <c r="P6143" s="102"/>
      <c r="Q6143" s="57"/>
      <c r="R6143" s="58"/>
      <c r="S6143" s="57"/>
      <c r="T6143" s="77"/>
    </row>
    <row r="6144">
      <c r="A6144" s="119"/>
      <c r="B6144" s="118"/>
      <c r="C6144" s="118"/>
      <c r="D6144" s="56"/>
      <c r="E6144" s="41"/>
      <c r="F6144" s="49"/>
      <c r="G6144" s="71"/>
      <c r="H6144" s="41"/>
      <c r="I6144" s="42"/>
      <c r="J6144" s="120"/>
      <c r="K6144" s="72"/>
      <c r="L6144" s="53"/>
      <c r="M6144" s="101"/>
      <c r="N6144" s="74"/>
      <c r="O6144" s="102"/>
      <c r="P6144" s="102"/>
      <c r="Q6144" s="57"/>
      <c r="R6144" s="58"/>
      <c r="S6144" s="57"/>
      <c r="T6144" s="77"/>
    </row>
    <row r="6145">
      <c r="A6145" s="119"/>
      <c r="B6145" s="118"/>
      <c r="C6145" s="118"/>
      <c r="D6145" s="56"/>
      <c r="E6145" s="41"/>
      <c r="F6145" s="49"/>
      <c r="G6145" s="71"/>
      <c r="H6145" s="41"/>
      <c r="I6145" s="42"/>
      <c r="J6145" s="120"/>
      <c r="K6145" s="72"/>
      <c r="L6145" s="53"/>
      <c r="M6145" s="101"/>
      <c r="N6145" s="74"/>
      <c r="O6145" s="102"/>
      <c r="P6145" s="102"/>
      <c r="Q6145" s="57"/>
      <c r="R6145" s="58"/>
      <c r="S6145" s="57"/>
      <c r="T6145" s="77"/>
    </row>
    <row r="6146">
      <c r="A6146" s="119"/>
      <c r="B6146" s="118"/>
      <c r="C6146" s="118"/>
      <c r="D6146" s="56"/>
      <c r="E6146" s="41"/>
      <c r="F6146" s="49"/>
      <c r="G6146" s="71"/>
      <c r="H6146" s="41"/>
      <c r="I6146" s="42"/>
      <c r="J6146" s="120"/>
      <c r="K6146" s="72"/>
      <c r="L6146" s="53"/>
      <c r="M6146" s="101"/>
      <c r="N6146" s="74"/>
      <c r="O6146" s="102"/>
      <c r="P6146" s="102"/>
      <c r="Q6146" s="57"/>
      <c r="R6146" s="58"/>
      <c r="S6146" s="57"/>
      <c r="T6146" s="77"/>
    </row>
    <row r="6147">
      <c r="A6147" s="119"/>
      <c r="B6147" s="118"/>
      <c r="C6147" s="118"/>
      <c r="D6147" s="56"/>
      <c r="E6147" s="41"/>
      <c r="F6147" s="49"/>
      <c r="G6147" s="71"/>
      <c r="H6147" s="41"/>
      <c r="I6147" s="42"/>
      <c r="J6147" s="120"/>
      <c r="K6147" s="72"/>
      <c r="L6147" s="53"/>
      <c r="M6147" s="101"/>
      <c r="N6147" s="74"/>
      <c r="O6147" s="102"/>
      <c r="P6147" s="102"/>
      <c r="Q6147" s="57"/>
      <c r="R6147" s="58"/>
      <c r="S6147" s="57"/>
      <c r="T6147" s="77"/>
    </row>
    <row r="6148">
      <c r="A6148" s="119"/>
      <c r="B6148" s="118"/>
      <c r="C6148" s="118"/>
      <c r="D6148" s="56"/>
      <c r="E6148" s="41"/>
      <c r="F6148" s="49"/>
      <c r="G6148" s="71"/>
      <c r="H6148" s="41"/>
      <c r="I6148" s="42"/>
      <c r="J6148" s="120"/>
      <c r="K6148" s="72"/>
      <c r="L6148" s="53"/>
      <c r="M6148" s="101"/>
      <c r="N6148" s="74"/>
      <c r="O6148" s="102"/>
      <c r="P6148" s="102"/>
      <c r="Q6148" s="57"/>
      <c r="R6148" s="58"/>
      <c r="S6148" s="57"/>
      <c r="T6148" s="77"/>
    </row>
    <row r="6149">
      <c r="A6149" s="119"/>
      <c r="B6149" s="118"/>
      <c r="C6149" s="118"/>
      <c r="D6149" s="56"/>
      <c r="E6149" s="41"/>
      <c r="F6149" s="49"/>
      <c r="G6149" s="71"/>
      <c r="H6149" s="41"/>
      <c r="I6149" s="42"/>
      <c r="J6149" s="120"/>
      <c r="K6149" s="72"/>
      <c r="L6149" s="53"/>
      <c r="M6149" s="101"/>
      <c r="N6149" s="74"/>
      <c r="O6149" s="102"/>
      <c r="P6149" s="102"/>
      <c r="Q6149" s="57"/>
      <c r="R6149" s="58"/>
      <c r="S6149" s="57"/>
      <c r="T6149" s="77"/>
    </row>
    <row r="6150">
      <c r="A6150" s="119"/>
      <c r="B6150" s="118"/>
      <c r="C6150" s="118"/>
      <c r="D6150" s="56"/>
      <c r="E6150" s="41"/>
      <c r="F6150" s="49"/>
      <c r="G6150" s="71"/>
      <c r="H6150" s="41"/>
      <c r="I6150" s="42"/>
      <c r="J6150" s="120"/>
      <c r="K6150" s="72"/>
      <c r="L6150" s="53"/>
      <c r="M6150" s="101"/>
      <c r="N6150" s="74"/>
      <c r="O6150" s="102"/>
      <c r="P6150" s="102"/>
      <c r="Q6150" s="57"/>
      <c r="R6150" s="58"/>
      <c r="S6150" s="57"/>
      <c r="T6150" s="77"/>
    </row>
    <row r="6151">
      <c r="A6151" s="119"/>
      <c r="B6151" s="118"/>
      <c r="C6151" s="118"/>
      <c r="D6151" s="56"/>
      <c r="E6151" s="41"/>
      <c r="F6151" s="49"/>
      <c r="G6151" s="71"/>
      <c r="H6151" s="41"/>
      <c r="I6151" s="42"/>
      <c r="J6151" s="120"/>
      <c r="K6151" s="72"/>
      <c r="L6151" s="53"/>
      <c r="M6151" s="101"/>
      <c r="N6151" s="74"/>
      <c r="O6151" s="102"/>
      <c r="P6151" s="102"/>
      <c r="Q6151" s="57"/>
      <c r="R6151" s="58"/>
      <c r="S6151" s="57"/>
      <c r="T6151" s="77"/>
    </row>
    <row r="6152">
      <c r="A6152" s="119"/>
      <c r="B6152" s="118"/>
      <c r="C6152" s="118"/>
      <c r="D6152" s="56"/>
      <c r="E6152" s="41"/>
      <c r="F6152" s="49"/>
      <c r="G6152" s="71"/>
      <c r="H6152" s="41"/>
      <c r="I6152" s="42"/>
      <c r="J6152" s="120"/>
      <c r="K6152" s="72"/>
      <c r="L6152" s="53"/>
      <c r="M6152" s="101"/>
      <c r="N6152" s="74"/>
      <c r="O6152" s="102"/>
      <c r="P6152" s="102"/>
      <c r="Q6152" s="57"/>
      <c r="R6152" s="58"/>
      <c r="S6152" s="57"/>
      <c r="T6152" s="77"/>
    </row>
    <row r="6153">
      <c r="A6153" s="119"/>
      <c r="B6153" s="118"/>
      <c r="C6153" s="118"/>
      <c r="D6153" s="56"/>
      <c r="E6153" s="41"/>
      <c r="F6153" s="49"/>
      <c r="G6153" s="71"/>
      <c r="H6153" s="41"/>
      <c r="I6153" s="42"/>
      <c r="J6153" s="120"/>
      <c r="K6153" s="72"/>
      <c r="L6153" s="53"/>
      <c r="M6153" s="101"/>
      <c r="N6153" s="74"/>
      <c r="O6153" s="102"/>
      <c r="P6153" s="102"/>
      <c r="Q6153" s="57"/>
      <c r="R6153" s="58"/>
      <c r="S6153" s="57"/>
      <c r="T6153" s="77"/>
    </row>
    <row r="6154">
      <c r="A6154" s="119"/>
      <c r="B6154" s="118"/>
      <c r="C6154" s="118"/>
      <c r="D6154" s="56"/>
      <c r="E6154" s="41"/>
      <c r="F6154" s="49"/>
      <c r="G6154" s="71"/>
      <c r="H6154" s="41"/>
      <c r="I6154" s="42"/>
      <c r="J6154" s="120"/>
      <c r="K6154" s="72"/>
      <c r="L6154" s="53"/>
      <c r="M6154" s="101"/>
      <c r="N6154" s="74"/>
      <c r="O6154" s="102"/>
      <c r="P6154" s="102"/>
      <c r="Q6154" s="57"/>
      <c r="R6154" s="58"/>
      <c r="S6154" s="57"/>
      <c r="T6154" s="77"/>
    </row>
    <row r="6155">
      <c r="A6155" s="119"/>
      <c r="B6155" s="118"/>
      <c r="C6155" s="118"/>
      <c r="D6155" s="56"/>
      <c r="E6155" s="41"/>
      <c r="F6155" s="49"/>
      <c r="G6155" s="71"/>
      <c r="H6155" s="41"/>
      <c r="I6155" s="42"/>
      <c r="J6155" s="120"/>
      <c r="K6155" s="72"/>
      <c r="L6155" s="53"/>
      <c r="M6155" s="101"/>
      <c r="N6155" s="74"/>
      <c r="O6155" s="102"/>
      <c r="P6155" s="102"/>
      <c r="Q6155" s="57"/>
      <c r="R6155" s="58"/>
      <c r="S6155" s="57"/>
      <c r="T6155" s="77"/>
    </row>
    <row r="6156">
      <c r="A6156" s="119"/>
      <c r="B6156" s="118"/>
      <c r="C6156" s="118"/>
      <c r="D6156" s="56"/>
      <c r="E6156" s="41"/>
      <c r="F6156" s="49"/>
      <c r="G6156" s="71"/>
      <c r="H6156" s="41"/>
      <c r="I6156" s="42"/>
      <c r="J6156" s="120"/>
      <c r="K6156" s="72"/>
      <c r="L6156" s="53"/>
      <c r="M6156" s="101"/>
      <c r="N6156" s="74"/>
      <c r="O6156" s="102"/>
      <c r="P6156" s="102"/>
      <c r="Q6156" s="57"/>
      <c r="R6156" s="58"/>
      <c r="S6156" s="57"/>
      <c r="T6156" s="77"/>
    </row>
    <row r="6157">
      <c r="A6157" s="119"/>
      <c r="B6157" s="118"/>
      <c r="C6157" s="118"/>
      <c r="D6157" s="56"/>
      <c r="E6157" s="41"/>
      <c r="F6157" s="49"/>
      <c r="G6157" s="71"/>
      <c r="H6157" s="41"/>
      <c r="I6157" s="42"/>
      <c r="J6157" s="120"/>
      <c r="K6157" s="72"/>
      <c r="L6157" s="53"/>
      <c r="M6157" s="101"/>
      <c r="N6157" s="74"/>
      <c r="O6157" s="102"/>
      <c r="P6157" s="102"/>
      <c r="Q6157" s="57"/>
      <c r="R6157" s="58"/>
      <c r="S6157" s="57"/>
      <c r="T6157" s="77"/>
    </row>
    <row r="6158">
      <c r="A6158" s="119"/>
      <c r="B6158" s="118"/>
      <c r="C6158" s="118"/>
      <c r="D6158" s="56"/>
      <c r="E6158" s="41"/>
      <c r="F6158" s="49"/>
      <c r="G6158" s="71"/>
      <c r="H6158" s="41"/>
      <c r="I6158" s="42"/>
      <c r="J6158" s="120"/>
      <c r="K6158" s="72"/>
      <c r="L6158" s="53"/>
      <c r="M6158" s="101"/>
      <c r="N6158" s="74"/>
      <c r="O6158" s="102"/>
      <c r="P6158" s="102"/>
      <c r="Q6158" s="57"/>
      <c r="R6158" s="58"/>
      <c r="S6158" s="57"/>
      <c r="T6158" s="77"/>
    </row>
    <row r="6159">
      <c r="A6159" s="119"/>
      <c r="B6159" s="118"/>
      <c r="C6159" s="118"/>
      <c r="D6159" s="56"/>
      <c r="E6159" s="41"/>
      <c r="F6159" s="49"/>
      <c r="G6159" s="71"/>
      <c r="H6159" s="41"/>
      <c r="I6159" s="42"/>
      <c r="J6159" s="120"/>
      <c r="K6159" s="72"/>
      <c r="L6159" s="53"/>
      <c r="M6159" s="101"/>
      <c r="N6159" s="74"/>
      <c r="O6159" s="102"/>
      <c r="P6159" s="102"/>
      <c r="Q6159" s="57"/>
      <c r="R6159" s="58"/>
      <c r="S6159" s="57"/>
      <c r="T6159" s="77"/>
    </row>
    <row r="6160">
      <c r="A6160" s="119"/>
      <c r="B6160" s="118"/>
      <c r="C6160" s="118"/>
      <c r="D6160" s="56"/>
      <c r="E6160" s="41"/>
      <c r="F6160" s="49"/>
      <c r="G6160" s="71"/>
      <c r="H6160" s="41"/>
      <c r="I6160" s="42"/>
      <c r="J6160" s="120"/>
      <c r="K6160" s="72"/>
      <c r="L6160" s="53"/>
      <c r="M6160" s="101"/>
      <c r="N6160" s="74"/>
      <c r="O6160" s="102"/>
      <c r="P6160" s="102"/>
      <c r="Q6160" s="57"/>
      <c r="R6160" s="58"/>
      <c r="S6160" s="57"/>
      <c r="T6160" s="77"/>
    </row>
    <row r="6161">
      <c r="A6161" s="119"/>
      <c r="B6161" s="118"/>
      <c r="C6161" s="118"/>
      <c r="D6161" s="56"/>
      <c r="E6161" s="41"/>
      <c r="F6161" s="49"/>
      <c r="G6161" s="71"/>
      <c r="H6161" s="41"/>
      <c r="I6161" s="42"/>
      <c r="J6161" s="120"/>
      <c r="K6161" s="72"/>
      <c r="L6161" s="53"/>
      <c r="M6161" s="101"/>
      <c r="N6161" s="74"/>
      <c r="O6161" s="102"/>
      <c r="P6161" s="102"/>
      <c r="Q6161" s="57"/>
      <c r="R6161" s="58"/>
      <c r="S6161" s="57"/>
      <c r="T6161" s="77"/>
    </row>
    <row r="6162">
      <c r="A6162" s="119"/>
      <c r="B6162" s="118"/>
      <c r="C6162" s="118"/>
      <c r="D6162" s="56"/>
      <c r="E6162" s="41"/>
      <c r="F6162" s="49"/>
      <c r="G6162" s="71"/>
      <c r="H6162" s="41"/>
      <c r="I6162" s="42"/>
      <c r="J6162" s="120"/>
      <c r="K6162" s="72"/>
      <c r="L6162" s="53"/>
      <c r="M6162" s="101"/>
      <c r="N6162" s="74"/>
      <c r="O6162" s="102"/>
      <c r="P6162" s="102"/>
      <c r="Q6162" s="57"/>
      <c r="R6162" s="58"/>
      <c r="S6162" s="57"/>
      <c r="T6162" s="77"/>
    </row>
    <row r="6163">
      <c r="A6163" s="119"/>
      <c r="B6163" s="118"/>
      <c r="C6163" s="118"/>
      <c r="D6163" s="56"/>
      <c r="E6163" s="41"/>
      <c r="F6163" s="49"/>
      <c r="G6163" s="71"/>
      <c r="H6163" s="41"/>
      <c r="I6163" s="42"/>
      <c r="J6163" s="120"/>
      <c r="K6163" s="72"/>
      <c r="L6163" s="53"/>
      <c r="M6163" s="101"/>
      <c r="N6163" s="74"/>
      <c r="O6163" s="102"/>
      <c r="P6163" s="102"/>
      <c r="Q6163" s="57"/>
      <c r="R6163" s="58"/>
      <c r="S6163" s="57"/>
      <c r="T6163" s="77"/>
    </row>
    <row r="6164">
      <c r="A6164" s="119"/>
      <c r="B6164" s="118"/>
      <c r="C6164" s="118"/>
      <c r="D6164" s="56"/>
      <c r="E6164" s="41"/>
      <c r="F6164" s="49"/>
      <c r="G6164" s="71"/>
      <c r="H6164" s="41"/>
      <c r="I6164" s="42"/>
      <c r="J6164" s="120"/>
      <c r="K6164" s="72"/>
      <c r="L6164" s="53"/>
      <c r="M6164" s="101"/>
      <c r="N6164" s="74"/>
      <c r="O6164" s="102"/>
      <c r="P6164" s="102"/>
      <c r="Q6164" s="57"/>
      <c r="R6164" s="58"/>
      <c r="S6164" s="57"/>
      <c r="T6164" s="77"/>
    </row>
    <row r="6165">
      <c r="A6165" s="119"/>
      <c r="B6165" s="118"/>
      <c r="C6165" s="118"/>
      <c r="D6165" s="56"/>
      <c r="E6165" s="41"/>
      <c r="F6165" s="49"/>
      <c r="G6165" s="71"/>
      <c r="H6165" s="41"/>
      <c r="I6165" s="42"/>
      <c r="J6165" s="120"/>
      <c r="K6165" s="72"/>
      <c r="L6165" s="53"/>
      <c r="M6165" s="101"/>
      <c r="N6165" s="74"/>
      <c r="O6165" s="102"/>
      <c r="P6165" s="102"/>
      <c r="Q6165" s="57"/>
      <c r="R6165" s="58"/>
      <c r="S6165" s="57"/>
      <c r="T6165" s="77"/>
    </row>
    <row r="6166">
      <c r="A6166" s="119"/>
      <c r="B6166" s="118"/>
      <c r="C6166" s="118"/>
      <c r="D6166" s="56"/>
      <c r="E6166" s="41"/>
      <c r="F6166" s="49"/>
      <c r="G6166" s="71"/>
      <c r="H6166" s="41"/>
      <c r="I6166" s="42"/>
      <c r="J6166" s="120"/>
      <c r="K6166" s="72"/>
      <c r="L6166" s="53"/>
      <c r="M6166" s="101"/>
      <c r="N6166" s="74"/>
      <c r="O6166" s="102"/>
      <c r="P6166" s="102"/>
      <c r="Q6166" s="57"/>
      <c r="R6166" s="58"/>
      <c r="S6166" s="57"/>
      <c r="T6166" s="77"/>
    </row>
    <row r="6167">
      <c r="A6167" s="119"/>
      <c r="B6167" s="118"/>
      <c r="C6167" s="118"/>
      <c r="D6167" s="56"/>
      <c r="E6167" s="41"/>
      <c r="F6167" s="49"/>
      <c r="G6167" s="71"/>
      <c r="H6167" s="41"/>
      <c r="I6167" s="42"/>
      <c r="J6167" s="120"/>
      <c r="K6167" s="72"/>
      <c r="L6167" s="53"/>
      <c r="M6167" s="101"/>
      <c r="N6167" s="74"/>
      <c r="O6167" s="102"/>
      <c r="P6167" s="102"/>
      <c r="Q6167" s="57"/>
      <c r="R6167" s="58"/>
      <c r="S6167" s="57"/>
      <c r="T6167" s="77"/>
    </row>
    <row r="6168">
      <c r="A6168" s="119"/>
      <c r="B6168" s="118"/>
      <c r="C6168" s="118"/>
      <c r="D6168" s="56"/>
      <c r="E6168" s="41"/>
      <c r="F6168" s="49"/>
      <c r="G6168" s="71"/>
      <c r="H6168" s="41"/>
      <c r="I6168" s="42"/>
      <c r="J6168" s="120"/>
      <c r="K6168" s="72"/>
      <c r="L6168" s="53"/>
      <c r="M6168" s="101"/>
      <c r="N6168" s="74"/>
      <c r="O6168" s="102"/>
      <c r="P6168" s="102"/>
      <c r="Q6168" s="57"/>
      <c r="R6168" s="58"/>
      <c r="S6168" s="57"/>
      <c r="T6168" s="77"/>
    </row>
    <row r="6169">
      <c r="A6169" s="119"/>
      <c r="B6169" s="118"/>
      <c r="C6169" s="118"/>
      <c r="D6169" s="56"/>
      <c r="E6169" s="41"/>
      <c r="F6169" s="49"/>
      <c r="G6169" s="71"/>
      <c r="H6169" s="41"/>
      <c r="I6169" s="42"/>
      <c r="J6169" s="120"/>
      <c r="K6169" s="72"/>
      <c r="L6169" s="53"/>
      <c r="M6169" s="101"/>
      <c r="N6169" s="74"/>
      <c r="O6169" s="102"/>
      <c r="P6169" s="102"/>
      <c r="Q6169" s="57"/>
      <c r="R6169" s="58"/>
      <c r="S6169" s="57"/>
      <c r="T6169" s="77"/>
    </row>
    <row r="6170">
      <c r="A6170" s="119"/>
      <c r="B6170" s="118"/>
      <c r="C6170" s="118"/>
      <c r="D6170" s="56"/>
      <c r="E6170" s="41"/>
      <c r="F6170" s="49"/>
      <c r="G6170" s="71"/>
      <c r="H6170" s="41"/>
      <c r="I6170" s="42"/>
      <c r="J6170" s="120"/>
      <c r="K6170" s="72"/>
      <c r="L6170" s="53"/>
      <c r="M6170" s="101"/>
      <c r="N6170" s="74"/>
      <c r="O6170" s="102"/>
      <c r="P6170" s="102"/>
      <c r="Q6170" s="57"/>
      <c r="R6170" s="58"/>
      <c r="S6170" s="57"/>
      <c r="T6170" s="77"/>
    </row>
    <row r="6171">
      <c r="A6171" s="119"/>
      <c r="B6171" s="118"/>
      <c r="C6171" s="118"/>
      <c r="D6171" s="56"/>
      <c r="E6171" s="41"/>
      <c r="F6171" s="49"/>
      <c r="G6171" s="71"/>
      <c r="H6171" s="41"/>
      <c r="I6171" s="42"/>
      <c r="J6171" s="120"/>
      <c r="K6171" s="72"/>
      <c r="L6171" s="53"/>
      <c r="M6171" s="101"/>
      <c r="N6171" s="74"/>
      <c r="O6171" s="102"/>
      <c r="P6171" s="102"/>
      <c r="Q6171" s="57"/>
      <c r="R6171" s="58"/>
      <c r="S6171" s="57"/>
      <c r="T6171" s="77"/>
    </row>
    <row r="6172">
      <c r="A6172" s="119"/>
      <c r="B6172" s="118"/>
      <c r="C6172" s="118"/>
      <c r="D6172" s="56"/>
      <c r="E6172" s="41"/>
      <c r="F6172" s="49"/>
      <c r="G6172" s="71"/>
      <c r="H6172" s="41"/>
      <c r="I6172" s="42"/>
      <c r="J6172" s="120"/>
      <c r="K6172" s="72"/>
      <c r="L6172" s="53"/>
      <c r="M6172" s="101"/>
      <c r="N6172" s="74"/>
      <c r="O6172" s="102"/>
      <c r="P6172" s="102"/>
      <c r="Q6172" s="57"/>
      <c r="R6172" s="58"/>
      <c r="S6172" s="57"/>
      <c r="T6172" s="77"/>
    </row>
    <row r="6173">
      <c r="A6173" s="119"/>
      <c r="B6173" s="118"/>
      <c r="C6173" s="118"/>
      <c r="D6173" s="56"/>
      <c r="E6173" s="41"/>
      <c r="F6173" s="49"/>
      <c r="G6173" s="71"/>
      <c r="H6173" s="41"/>
      <c r="I6173" s="42"/>
      <c r="J6173" s="120"/>
      <c r="K6173" s="72"/>
      <c r="L6173" s="53"/>
      <c r="M6173" s="101"/>
      <c r="N6173" s="74"/>
      <c r="O6173" s="102"/>
      <c r="P6173" s="102"/>
      <c r="Q6173" s="57"/>
      <c r="R6173" s="58"/>
      <c r="S6173" s="57"/>
      <c r="T6173" s="77"/>
    </row>
    <row r="6174">
      <c r="A6174" s="119"/>
      <c r="B6174" s="118"/>
      <c r="C6174" s="118"/>
      <c r="D6174" s="56"/>
      <c r="E6174" s="41"/>
      <c r="F6174" s="49"/>
      <c r="G6174" s="71"/>
      <c r="H6174" s="41"/>
      <c r="I6174" s="42"/>
      <c r="J6174" s="120"/>
      <c r="K6174" s="72"/>
      <c r="L6174" s="53"/>
      <c r="M6174" s="101"/>
      <c r="N6174" s="74"/>
      <c r="O6174" s="102"/>
      <c r="P6174" s="102"/>
      <c r="Q6174" s="57"/>
      <c r="R6174" s="58"/>
      <c r="S6174" s="57"/>
      <c r="T6174" s="77"/>
    </row>
    <row r="6175">
      <c r="A6175" s="119"/>
      <c r="B6175" s="118"/>
      <c r="C6175" s="118"/>
      <c r="D6175" s="56"/>
      <c r="E6175" s="41"/>
      <c r="F6175" s="49"/>
      <c r="G6175" s="71"/>
      <c r="H6175" s="41"/>
      <c r="I6175" s="42"/>
      <c r="J6175" s="120"/>
      <c r="K6175" s="72"/>
      <c r="L6175" s="53"/>
      <c r="M6175" s="101"/>
      <c r="N6175" s="74"/>
      <c r="O6175" s="102"/>
      <c r="P6175" s="102"/>
      <c r="Q6175" s="57"/>
      <c r="R6175" s="58"/>
      <c r="S6175" s="57"/>
      <c r="T6175" s="77"/>
    </row>
    <row r="6176">
      <c r="A6176" s="119"/>
      <c r="B6176" s="118"/>
      <c r="C6176" s="118"/>
      <c r="D6176" s="56"/>
      <c r="E6176" s="41"/>
      <c r="F6176" s="49"/>
      <c r="G6176" s="71"/>
      <c r="H6176" s="41"/>
      <c r="I6176" s="42"/>
      <c r="J6176" s="120"/>
      <c r="K6176" s="72"/>
      <c r="L6176" s="53"/>
      <c r="M6176" s="101"/>
      <c r="N6176" s="74"/>
      <c r="O6176" s="102"/>
      <c r="P6176" s="102"/>
      <c r="Q6176" s="57"/>
      <c r="R6176" s="58"/>
      <c r="S6176" s="57"/>
      <c r="T6176" s="77"/>
    </row>
    <row r="6177">
      <c r="A6177" s="119"/>
      <c r="B6177" s="118"/>
      <c r="C6177" s="118"/>
      <c r="D6177" s="56"/>
      <c r="E6177" s="41"/>
      <c r="F6177" s="49"/>
      <c r="G6177" s="71"/>
      <c r="H6177" s="41"/>
      <c r="I6177" s="42"/>
      <c r="J6177" s="120"/>
      <c r="K6177" s="72"/>
      <c r="L6177" s="53"/>
      <c r="M6177" s="101"/>
      <c r="N6177" s="74"/>
      <c r="O6177" s="102"/>
      <c r="P6177" s="102"/>
      <c r="Q6177" s="57"/>
      <c r="R6177" s="58"/>
      <c r="S6177" s="57"/>
      <c r="T6177" s="77"/>
    </row>
    <row r="6178">
      <c r="A6178" s="119"/>
      <c r="B6178" s="118"/>
      <c r="C6178" s="118"/>
      <c r="D6178" s="56"/>
      <c r="E6178" s="41"/>
      <c r="F6178" s="49"/>
      <c r="G6178" s="71"/>
      <c r="H6178" s="41"/>
      <c r="I6178" s="42"/>
      <c r="J6178" s="120"/>
      <c r="K6178" s="72"/>
      <c r="L6178" s="53"/>
      <c r="M6178" s="101"/>
      <c r="N6178" s="74"/>
      <c r="O6178" s="102"/>
      <c r="P6178" s="102"/>
      <c r="Q6178" s="57"/>
      <c r="R6178" s="58"/>
      <c r="S6178" s="57"/>
      <c r="T6178" s="77"/>
    </row>
    <row r="6179">
      <c r="A6179" s="119"/>
      <c r="B6179" s="118"/>
      <c r="C6179" s="118"/>
      <c r="D6179" s="56"/>
      <c r="E6179" s="41"/>
      <c r="F6179" s="49"/>
      <c r="G6179" s="71"/>
      <c r="H6179" s="41"/>
      <c r="I6179" s="42"/>
      <c r="J6179" s="120"/>
      <c r="K6179" s="72"/>
      <c r="L6179" s="53"/>
      <c r="M6179" s="101"/>
      <c r="N6179" s="74"/>
      <c r="O6179" s="102"/>
      <c r="P6179" s="102"/>
      <c r="Q6179" s="57"/>
      <c r="R6179" s="58"/>
      <c r="S6179" s="57"/>
      <c r="T6179" s="77"/>
    </row>
    <row r="6180">
      <c r="A6180" s="119"/>
      <c r="B6180" s="118"/>
      <c r="C6180" s="118"/>
      <c r="D6180" s="56"/>
      <c r="E6180" s="41"/>
      <c r="F6180" s="49"/>
      <c r="G6180" s="71"/>
      <c r="H6180" s="41"/>
      <c r="I6180" s="42"/>
      <c r="J6180" s="120"/>
      <c r="K6180" s="72"/>
      <c r="L6180" s="53"/>
      <c r="M6180" s="101"/>
      <c r="N6180" s="74"/>
      <c r="O6180" s="102"/>
      <c r="P6180" s="102"/>
      <c r="Q6180" s="57"/>
      <c r="R6180" s="58"/>
      <c r="S6180" s="57"/>
      <c r="T6180" s="77"/>
    </row>
    <row r="6181">
      <c r="A6181" s="119"/>
      <c r="B6181" s="118"/>
      <c r="C6181" s="118"/>
      <c r="D6181" s="56"/>
      <c r="E6181" s="41"/>
      <c r="F6181" s="49"/>
      <c r="G6181" s="71"/>
      <c r="H6181" s="41"/>
      <c r="I6181" s="42"/>
      <c r="J6181" s="120"/>
      <c r="K6181" s="72"/>
      <c r="L6181" s="53"/>
      <c r="M6181" s="101"/>
      <c r="N6181" s="74"/>
      <c r="O6181" s="102"/>
      <c r="P6181" s="102"/>
      <c r="Q6181" s="57"/>
      <c r="R6181" s="58"/>
      <c r="S6181" s="57"/>
      <c r="T6181" s="77"/>
    </row>
    <row r="6182">
      <c r="A6182" s="119"/>
      <c r="B6182" s="118"/>
      <c r="C6182" s="118"/>
      <c r="D6182" s="56"/>
      <c r="E6182" s="41"/>
      <c r="F6182" s="49"/>
      <c r="G6182" s="71"/>
      <c r="H6182" s="41"/>
      <c r="I6182" s="42"/>
      <c r="J6182" s="120"/>
      <c r="K6182" s="72"/>
      <c r="L6182" s="53"/>
      <c r="M6182" s="101"/>
      <c r="N6182" s="74"/>
      <c r="O6182" s="102"/>
      <c r="P6182" s="102"/>
      <c r="Q6182" s="57"/>
      <c r="R6182" s="58"/>
      <c r="S6182" s="57"/>
      <c r="T6182" s="77"/>
    </row>
    <row r="6183">
      <c r="A6183" s="119"/>
      <c r="B6183" s="118"/>
      <c r="C6183" s="118"/>
      <c r="D6183" s="56"/>
      <c r="E6183" s="41"/>
      <c r="F6183" s="49"/>
      <c r="G6183" s="71"/>
      <c r="H6183" s="41"/>
      <c r="I6183" s="42"/>
      <c r="J6183" s="120"/>
      <c r="K6183" s="72"/>
      <c r="L6183" s="53"/>
      <c r="M6183" s="101"/>
      <c r="N6183" s="74"/>
      <c r="O6183" s="102"/>
      <c r="P6183" s="102"/>
      <c r="Q6183" s="57"/>
      <c r="R6183" s="58"/>
      <c r="S6183" s="57"/>
      <c r="T6183" s="77"/>
    </row>
    <row r="6184">
      <c r="A6184" s="119"/>
      <c r="B6184" s="118"/>
      <c r="C6184" s="118"/>
      <c r="D6184" s="56"/>
      <c r="E6184" s="41"/>
      <c r="F6184" s="49"/>
      <c r="G6184" s="71"/>
      <c r="H6184" s="41"/>
      <c r="I6184" s="42"/>
      <c r="J6184" s="120"/>
      <c r="K6184" s="72"/>
      <c r="L6184" s="53"/>
      <c r="M6184" s="101"/>
      <c r="N6184" s="74"/>
      <c r="O6184" s="102"/>
      <c r="P6184" s="102"/>
      <c r="Q6184" s="57"/>
      <c r="R6184" s="58"/>
      <c r="S6184" s="57"/>
      <c r="T6184" s="77"/>
    </row>
    <row r="6185">
      <c r="A6185" s="119"/>
      <c r="B6185" s="118"/>
      <c r="C6185" s="118"/>
      <c r="D6185" s="56"/>
      <c r="E6185" s="41"/>
      <c r="F6185" s="49"/>
      <c r="G6185" s="71"/>
      <c r="H6185" s="41"/>
      <c r="I6185" s="42"/>
      <c r="J6185" s="120"/>
      <c r="K6185" s="72"/>
      <c r="L6185" s="53"/>
      <c r="M6185" s="101"/>
      <c r="N6185" s="74"/>
      <c r="O6185" s="102"/>
      <c r="P6185" s="102"/>
      <c r="Q6185" s="57"/>
      <c r="R6185" s="58"/>
      <c r="S6185" s="57"/>
      <c r="T6185" s="77"/>
    </row>
    <row r="6186">
      <c r="A6186" s="119"/>
      <c r="B6186" s="118"/>
      <c r="C6186" s="118"/>
      <c r="D6186" s="56"/>
      <c r="E6186" s="41"/>
      <c r="F6186" s="49"/>
      <c r="G6186" s="71"/>
      <c r="H6186" s="41"/>
      <c r="I6186" s="42"/>
      <c r="J6186" s="120"/>
      <c r="K6186" s="72"/>
      <c r="L6186" s="53"/>
      <c r="M6186" s="101"/>
      <c r="N6186" s="74"/>
      <c r="O6186" s="102"/>
      <c r="P6186" s="102"/>
      <c r="Q6186" s="57"/>
      <c r="R6186" s="58"/>
      <c r="S6186" s="57"/>
      <c r="T6186" s="77"/>
    </row>
    <row r="6187">
      <c r="A6187" s="119"/>
      <c r="B6187" s="118"/>
      <c r="C6187" s="118"/>
      <c r="D6187" s="56"/>
      <c r="E6187" s="41"/>
      <c r="F6187" s="49"/>
      <c r="G6187" s="71"/>
      <c r="H6187" s="41"/>
      <c r="I6187" s="42"/>
      <c r="J6187" s="120"/>
      <c r="K6187" s="72"/>
      <c r="L6187" s="53"/>
      <c r="M6187" s="101"/>
      <c r="N6187" s="74"/>
      <c r="O6187" s="102"/>
      <c r="P6187" s="102"/>
      <c r="Q6187" s="57"/>
      <c r="R6187" s="58"/>
      <c r="S6187" s="57"/>
      <c r="T6187" s="77"/>
    </row>
    <row r="6188">
      <c r="A6188" s="119"/>
      <c r="B6188" s="118"/>
      <c r="C6188" s="118"/>
      <c r="D6188" s="56"/>
      <c r="E6188" s="41"/>
      <c r="F6188" s="49"/>
      <c r="G6188" s="71"/>
      <c r="H6188" s="41"/>
      <c r="I6188" s="42"/>
      <c r="J6188" s="120"/>
      <c r="K6188" s="72"/>
      <c r="L6188" s="53"/>
      <c r="M6188" s="101"/>
      <c r="N6188" s="74"/>
      <c r="O6188" s="102"/>
      <c r="P6188" s="102"/>
      <c r="Q6188" s="57"/>
      <c r="R6188" s="58"/>
      <c r="S6188" s="57"/>
      <c r="T6188" s="77"/>
    </row>
    <row r="6189">
      <c r="A6189" s="119"/>
      <c r="B6189" s="118"/>
      <c r="C6189" s="118"/>
      <c r="D6189" s="56"/>
      <c r="E6189" s="41"/>
      <c r="F6189" s="49"/>
      <c r="G6189" s="71"/>
      <c r="H6189" s="41"/>
      <c r="I6189" s="42"/>
      <c r="J6189" s="120"/>
      <c r="K6189" s="72"/>
      <c r="L6189" s="53"/>
      <c r="M6189" s="101"/>
      <c r="N6189" s="74"/>
      <c r="O6189" s="102"/>
      <c r="P6189" s="102"/>
      <c r="Q6189" s="57"/>
      <c r="R6189" s="58"/>
      <c r="S6189" s="57"/>
      <c r="T6189" s="77"/>
    </row>
    <row r="6190">
      <c r="A6190" s="119"/>
      <c r="B6190" s="118"/>
      <c r="C6190" s="118"/>
      <c r="D6190" s="56"/>
      <c r="E6190" s="41"/>
      <c r="F6190" s="49"/>
      <c r="G6190" s="71"/>
      <c r="H6190" s="41"/>
      <c r="I6190" s="42"/>
      <c r="J6190" s="120"/>
      <c r="K6190" s="72"/>
      <c r="L6190" s="53"/>
      <c r="M6190" s="101"/>
      <c r="N6190" s="74"/>
      <c r="O6190" s="102"/>
      <c r="P6190" s="102"/>
      <c r="Q6190" s="57"/>
      <c r="R6190" s="58"/>
      <c r="S6190" s="57"/>
      <c r="T6190" s="77"/>
    </row>
    <row r="6191">
      <c r="A6191" s="119"/>
      <c r="B6191" s="118"/>
      <c r="C6191" s="118"/>
      <c r="D6191" s="56"/>
      <c r="E6191" s="41"/>
      <c r="F6191" s="49"/>
      <c r="G6191" s="71"/>
      <c r="H6191" s="41"/>
      <c r="I6191" s="42"/>
      <c r="J6191" s="120"/>
      <c r="K6191" s="72"/>
      <c r="L6191" s="53"/>
      <c r="M6191" s="101"/>
      <c r="N6191" s="74"/>
      <c r="O6191" s="102"/>
      <c r="P6191" s="102"/>
      <c r="Q6191" s="57"/>
      <c r="R6191" s="58"/>
      <c r="S6191" s="57"/>
      <c r="T6191" s="77"/>
    </row>
    <row r="6192">
      <c r="A6192" s="119"/>
      <c r="B6192" s="118"/>
      <c r="C6192" s="118"/>
      <c r="D6192" s="56"/>
      <c r="E6192" s="41"/>
      <c r="F6192" s="49"/>
      <c r="G6192" s="71"/>
      <c r="H6192" s="41"/>
      <c r="I6192" s="42"/>
      <c r="J6192" s="120"/>
      <c r="K6192" s="72"/>
      <c r="L6192" s="53"/>
      <c r="M6192" s="101"/>
      <c r="N6192" s="74"/>
      <c r="O6192" s="102"/>
      <c r="P6192" s="102"/>
      <c r="Q6192" s="57"/>
      <c r="R6192" s="58"/>
      <c r="S6192" s="57"/>
      <c r="T6192" s="77"/>
    </row>
    <row r="6193">
      <c r="A6193" s="119"/>
      <c r="B6193" s="118"/>
      <c r="C6193" s="118"/>
      <c r="D6193" s="56"/>
      <c r="E6193" s="41"/>
      <c r="F6193" s="49"/>
      <c r="G6193" s="71"/>
      <c r="H6193" s="41"/>
      <c r="I6193" s="42"/>
      <c r="J6193" s="120"/>
      <c r="K6193" s="72"/>
      <c r="L6193" s="53"/>
      <c r="M6193" s="101"/>
      <c r="N6193" s="74"/>
      <c r="O6193" s="102"/>
      <c r="P6193" s="102"/>
      <c r="Q6193" s="57"/>
      <c r="R6193" s="58"/>
      <c r="S6193" s="57"/>
      <c r="T6193" s="77"/>
    </row>
    <row r="6194">
      <c r="A6194" s="119"/>
      <c r="B6194" s="118"/>
      <c r="C6194" s="118"/>
      <c r="D6194" s="56"/>
      <c r="E6194" s="41"/>
      <c r="F6194" s="49"/>
      <c r="G6194" s="71"/>
      <c r="H6194" s="41"/>
      <c r="I6194" s="42"/>
      <c r="J6194" s="120"/>
      <c r="K6194" s="72"/>
      <c r="L6194" s="53"/>
      <c r="M6194" s="101"/>
      <c r="N6194" s="74"/>
      <c r="O6194" s="102"/>
      <c r="P6194" s="102"/>
      <c r="Q6194" s="57"/>
      <c r="R6194" s="58"/>
      <c r="S6194" s="57"/>
      <c r="T6194" s="77"/>
    </row>
    <row r="6195">
      <c r="A6195" s="119"/>
      <c r="B6195" s="118"/>
      <c r="C6195" s="118"/>
      <c r="D6195" s="56"/>
      <c r="E6195" s="41"/>
      <c r="F6195" s="49"/>
      <c r="G6195" s="71"/>
      <c r="H6195" s="41"/>
      <c r="I6195" s="42"/>
      <c r="J6195" s="120"/>
      <c r="K6195" s="72"/>
      <c r="L6195" s="53"/>
      <c r="M6195" s="101"/>
      <c r="N6195" s="74"/>
      <c r="O6195" s="102"/>
      <c r="P6195" s="102"/>
      <c r="Q6195" s="57"/>
      <c r="R6195" s="58"/>
      <c r="S6195" s="57"/>
      <c r="T6195" s="77"/>
    </row>
    <row r="6196">
      <c r="A6196" s="119"/>
      <c r="B6196" s="118"/>
      <c r="C6196" s="118"/>
      <c r="D6196" s="56"/>
      <c r="E6196" s="41"/>
      <c r="F6196" s="49"/>
      <c r="G6196" s="71"/>
      <c r="H6196" s="41"/>
      <c r="I6196" s="42"/>
      <c r="J6196" s="120"/>
      <c r="K6196" s="72"/>
      <c r="L6196" s="53"/>
      <c r="M6196" s="101"/>
      <c r="N6196" s="74"/>
      <c r="O6196" s="102"/>
      <c r="P6196" s="102"/>
      <c r="Q6196" s="57"/>
      <c r="R6196" s="58"/>
      <c r="S6196" s="57"/>
      <c r="T6196" s="77"/>
    </row>
    <row r="6197">
      <c r="A6197" s="119"/>
      <c r="B6197" s="118"/>
      <c r="C6197" s="118"/>
      <c r="D6197" s="56"/>
      <c r="E6197" s="41"/>
      <c r="F6197" s="49"/>
      <c r="G6197" s="71"/>
      <c r="H6197" s="41"/>
      <c r="I6197" s="42"/>
      <c r="J6197" s="120"/>
      <c r="K6197" s="72"/>
      <c r="L6197" s="53"/>
      <c r="M6197" s="101"/>
      <c r="N6197" s="74"/>
      <c r="O6197" s="102"/>
      <c r="P6197" s="102"/>
      <c r="Q6197" s="57"/>
      <c r="R6197" s="58"/>
      <c r="S6197" s="57"/>
      <c r="T6197" s="77"/>
    </row>
    <row r="6198">
      <c r="A6198" s="119"/>
      <c r="B6198" s="118"/>
      <c r="C6198" s="118"/>
      <c r="D6198" s="56"/>
      <c r="E6198" s="41"/>
      <c r="F6198" s="49"/>
      <c r="G6198" s="71"/>
      <c r="H6198" s="41"/>
      <c r="I6198" s="42"/>
      <c r="J6198" s="120"/>
      <c r="K6198" s="72"/>
      <c r="L6198" s="53"/>
      <c r="M6198" s="101"/>
      <c r="N6198" s="74"/>
      <c r="O6198" s="102"/>
      <c r="P6198" s="102"/>
      <c r="Q6198" s="57"/>
      <c r="R6198" s="58"/>
      <c r="S6198" s="57"/>
      <c r="T6198" s="77"/>
    </row>
    <row r="6199">
      <c r="A6199" s="119"/>
      <c r="B6199" s="118"/>
      <c r="C6199" s="118"/>
      <c r="D6199" s="56"/>
      <c r="E6199" s="41"/>
      <c r="F6199" s="49"/>
      <c r="G6199" s="71"/>
      <c r="H6199" s="41"/>
      <c r="I6199" s="42"/>
      <c r="J6199" s="120"/>
      <c r="K6199" s="72"/>
      <c r="L6199" s="53"/>
      <c r="M6199" s="101"/>
      <c r="N6199" s="74"/>
      <c r="O6199" s="102"/>
      <c r="P6199" s="102"/>
      <c r="Q6199" s="57"/>
      <c r="R6199" s="58"/>
      <c r="S6199" s="57"/>
      <c r="T6199" s="77"/>
    </row>
    <row r="6200">
      <c r="A6200" s="119"/>
      <c r="B6200" s="118"/>
      <c r="C6200" s="118"/>
      <c r="D6200" s="56"/>
      <c r="E6200" s="41"/>
      <c r="F6200" s="49"/>
      <c r="G6200" s="71"/>
      <c r="H6200" s="41"/>
      <c r="I6200" s="42"/>
      <c r="J6200" s="120"/>
      <c r="K6200" s="72"/>
      <c r="L6200" s="53"/>
      <c r="M6200" s="101"/>
      <c r="N6200" s="74"/>
      <c r="O6200" s="102"/>
      <c r="P6200" s="102"/>
      <c r="Q6200" s="57"/>
      <c r="R6200" s="58"/>
      <c r="S6200" s="57"/>
      <c r="T6200" s="77"/>
    </row>
    <row r="6201">
      <c r="A6201" s="119"/>
      <c r="B6201" s="118"/>
      <c r="C6201" s="118"/>
      <c r="D6201" s="56"/>
      <c r="E6201" s="41"/>
      <c r="F6201" s="49"/>
      <c r="G6201" s="71"/>
      <c r="H6201" s="41"/>
      <c r="I6201" s="42"/>
      <c r="J6201" s="120"/>
      <c r="K6201" s="72"/>
      <c r="L6201" s="53"/>
      <c r="M6201" s="101"/>
      <c r="N6201" s="74"/>
      <c r="O6201" s="102"/>
      <c r="P6201" s="102"/>
      <c r="Q6201" s="57"/>
      <c r="R6201" s="58"/>
      <c r="S6201" s="57"/>
      <c r="T6201" s="77"/>
    </row>
    <row r="6202">
      <c r="A6202" s="119"/>
      <c r="B6202" s="118"/>
      <c r="C6202" s="118"/>
      <c r="D6202" s="56"/>
      <c r="E6202" s="41"/>
      <c r="F6202" s="49"/>
      <c r="G6202" s="71"/>
      <c r="H6202" s="41"/>
      <c r="I6202" s="42"/>
      <c r="J6202" s="120"/>
      <c r="K6202" s="72"/>
      <c r="L6202" s="53"/>
      <c r="M6202" s="101"/>
      <c r="N6202" s="74"/>
      <c r="O6202" s="102"/>
      <c r="P6202" s="102"/>
      <c r="Q6202" s="57"/>
      <c r="R6202" s="58"/>
      <c r="S6202" s="57"/>
      <c r="T6202" s="77"/>
    </row>
    <row r="6203">
      <c r="A6203" s="119"/>
      <c r="B6203" s="118"/>
      <c r="C6203" s="118"/>
      <c r="D6203" s="56"/>
      <c r="E6203" s="41"/>
      <c r="F6203" s="49"/>
      <c r="G6203" s="71"/>
      <c r="H6203" s="41"/>
      <c r="I6203" s="42"/>
      <c r="J6203" s="120"/>
      <c r="K6203" s="72"/>
      <c r="L6203" s="53"/>
      <c r="M6203" s="101"/>
      <c r="N6203" s="74"/>
      <c r="O6203" s="102"/>
      <c r="P6203" s="102"/>
      <c r="Q6203" s="57"/>
      <c r="R6203" s="58"/>
      <c r="S6203" s="57"/>
      <c r="T6203" s="77"/>
    </row>
    <row r="6204">
      <c r="A6204" s="119"/>
      <c r="B6204" s="118"/>
      <c r="C6204" s="118"/>
      <c r="D6204" s="56"/>
      <c r="E6204" s="41"/>
      <c r="F6204" s="49"/>
      <c r="G6204" s="71"/>
      <c r="H6204" s="41"/>
      <c r="I6204" s="42"/>
      <c r="J6204" s="120"/>
      <c r="K6204" s="72"/>
      <c r="L6204" s="53"/>
      <c r="M6204" s="101"/>
      <c r="N6204" s="74"/>
      <c r="O6204" s="102"/>
      <c r="P6204" s="102"/>
      <c r="Q6204" s="57"/>
      <c r="R6204" s="58"/>
      <c r="S6204" s="57"/>
      <c r="T6204" s="77"/>
    </row>
    <row r="6205">
      <c r="A6205" s="119"/>
      <c r="B6205" s="118"/>
      <c r="C6205" s="118"/>
      <c r="D6205" s="56"/>
      <c r="E6205" s="41"/>
      <c r="F6205" s="49"/>
      <c r="G6205" s="71"/>
      <c r="H6205" s="41"/>
      <c r="I6205" s="42"/>
      <c r="J6205" s="120"/>
      <c r="K6205" s="72"/>
      <c r="L6205" s="53"/>
      <c r="M6205" s="101"/>
      <c r="N6205" s="74"/>
      <c r="O6205" s="102"/>
      <c r="P6205" s="102"/>
      <c r="Q6205" s="57"/>
      <c r="R6205" s="58"/>
      <c r="S6205" s="57"/>
      <c r="T6205" s="77"/>
    </row>
    <row r="6206">
      <c r="A6206" s="119"/>
      <c r="B6206" s="118"/>
      <c r="C6206" s="118"/>
      <c r="D6206" s="56"/>
      <c r="E6206" s="41"/>
      <c r="F6206" s="49"/>
      <c r="G6206" s="71"/>
      <c r="H6206" s="41"/>
      <c r="I6206" s="42"/>
      <c r="J6206" s="120"/>
      <c r="K6206" s="72"/>
      <c r="L6206" s="53"/>
      <c r="M6206" s="101"/>
      <c r="N6206" s="74"/>
      <c r="O6206" s="102"/>
      <c r="P6206" s="102"/>
      <c r="Q6206" s="57"/>
      <c r="R6206" s="58"/>
      <c r="S6206" s="57"/>
      <c r="T6206" s="77"/>
    </row>
    <row r="6207">
      <c r="A6207" s="119"/>
      <c r="B6207" s="118"/>
      <c r="C6207" s="118"/>
      <c r="D6207" s="56"/>
      <c r="E6207" s="41"/>
      <c r="F6207" s="49"/>
      <c r="G6207" s="71"/>
      <c r="H6207" s="41"/>
      <c r="I6207" s="42"/>
      <c r="J6207" s="120"/>
      <c r="K6207" s="72"/>
      <c r="L6207" s="53"/>
      <c r="M6207" s="101"/>
      <c r="N6207" s="74"/>
      <c r="O6207" s="102"/>
      <c r="P6207" s="102"/>
      <c r="Q6207" s="57"/>
      <c r="R6207" s="58"/>
      <c r="S6207" s="57"/>
      <c r="T6207" s="77"/>
    </row>
    <row r="6208">
      <c r="A6208" s="119"/>
      <c r="B6208" s="118"/>
      <c r="C6208" s="118"/>
      <c r="D6208" s="56"/>
      <c r="E6208" s="41"/>
      <c r="F6208" s="49"/>
      <c r="G6208" s="71"/>
      <c r="H6208" s="41"/>
      <c r="I6208" s="42"/>
      <c r="J6208" s="120"/>
      <c r="K6208" s="72"/>
      <c r="L6208" s="53"/>
      <c r="M6208" s="101"/>
      <c r="N6208" s="74"/>
      <c r="O6208" s="102"/>
      <c r="P6208" s="102"/>
      <c r="Q6208" s="57"/>
      <c r="R6208" s="58"/>
      <c r="S6208" s="57"/>
      <c r="T6208" s="77"/>
    </row>
    <row r="6209">
      <c r="A6209" s="119"/>
      <c r="B6209" s="118"/>
      <c r="C6209" s="118"/>
      <c r="D6209" s="56"/>
      <c r="E6209" s="41"/>
      <c r="F6209" s="49"/>
      <c r="G6209" s="71"/>
      <c r="H6209" s="41"/>
      <c r="I6209" s="42"/>
      <c r="J6209" s="120"/>
      <c r="K6209" s="72"/>
      <c r="L6209" s="53"/>
      <c r="M6209" s="101"/>
      <c r="N6209" s="74"/>
      <c r="O6209" s="102"/>
      <c r="P6209" s="102"/>
      <c r="Q6209" s="57"/>
      <c r="R6209" s="58"/>
      <c r="S6209" s="57"/>
      <c r="T6209" s="77"/>
    </row>
    <row r="6210">
      <c r="A6210" s="119"/>
      <c r="B6210" s="118"/>
      <c r="C6210" s="118"/>
      <c r="D6210" s="56"/>
      <c r="E6210" s="41"/>
      <c r="F6210" s="49"/>
      <c r="G6210" s="71"/>
      <c r="H6210" s="41"/>
      <c r="I6210" s="42"/>
      <c r="J6210" s="120"/>
      <c r="K6210" s="72"/>
      <c r="L6210" s="53"/>
      <c r="M6210" s="101"/>
      <c r="N6210" s="74"/>
      <c r="O6210" s="102"/>
      <c r="P6210" s="102"/>
      <c r="Q6210" s="57"/>
      <c r="R6210" s="58"/>
      <c r="S6210" s="57"/>
      <c r="T6210" s="77"/>
    </row>
    <row r="6211">
      <c r="A6211" s="119"/>
      <c r="B6211" s="118"/>
      <c r="C6211" s="118"/>
      <c r="D6211" s="56"/>
      <c r="E6211" s="41"/>
      <c r="F6211" s="49"/>
      <c r="G6211" s="71"/>
      <c r="H6211" s="41"/>
      <c r="I6211" s="42"/>
      <c r="J6211" s="120"/>
      <c r="K6211" s="72"/>
      <c r="L6211" s="53"/>
      <c r="M6211" s="101"/>
      <c r="N6211" s="74"/>
      <c r="O6211" s="102"/>
      <c r="P6211" s="102"/>
      <c r="Q6211" s="57"/>
      <c r="R6211" s="58"/>
      <c r="S6211" s="57"/>
      <c r="T6211" s="77"/>
    </row>
    <row r="6212">
      <c r="A6212" s="119"/>
      <c r="B6212" s="118"/>
      <c r="C6212" s="118"/>
      <c r="D6212" s="56"/>
      <c r="E6212" s="41"/>
      <c r="F6212" s="49"/>
      <c r="G6212" s="71"/>
      <c r="H6212" s="41"/>
      <c r="I6212" s="42"/>
      <c r="J6212" s="120"/>
      <c r="K6212" s="72"/>
      <c r="L6212" s="53"/>
      <c r="M6212" s="101"/>
      <c r="N6212" s="74"/>
      <c r="O6212" s="102"/>
      <c r="P6212" s="102"/>
      <c r="Q6212" s="57"/>
      <c r="R6212" s="58"/>
      <c r="S6212" s="57"/>
      <c r="T6212" s="77"/>
    </row>
    <row r="6213">
      <c r="A6213" s="119"/>
      <c r="B6213" s="118"/>
      <c r="C6213" s="118"/>
      <c r="D6213" s="56"/>
      <c r="E6213" s="41"/>
      <c r="F6213" s="49"/>
      <c r="G6213" s="71"/>
      <c r="H6213" s="41"/>
      <c r="I6213" s="42"/>
      <c r="J6213" s="120"/>
      <c r="K6213" s="72"/>
      <c r="L6213" s="53"/>
      <c r="M6213" s="101"/>
      <c r="N6213" s="74"/>
      <c r="O6213" s="102"/>
      <c r="P6213" s="102"/>
      <c r="Q6213" s="57"/>
      <c r="R6213" s="58"/>
      <c r="S6213" s="57"/>
      <c r="T6213" s="77"/>
    </row>
    <row r="6214">
      <c r="A6214" s="119"/>
      <c r="B6214" s="118"/>
      <c r="C6214" s="118"/>
      <c r="D6214" s="56"/>
      <c r="E6214" s="41"/>
      <c r="F6214" s="49"/>
      <c r="G6214" s="71"/>
      <c r="H6214" s="41"/>
      <c r="I6214" s="42"/>
      <c r="J6214" s="120"/>
      <c r="K6214" s="72"/>
      <c r="L6214" s="53"/>
      <c r="M6214" s="101"/>
      <c r="N6214" s="74"/>
      <c r="O6214" s="102"/>
      <c r="P6214" s="102"/>
      <c r="Q6214" s="57"/>
      <c r="R6214" s="58"/>
      <c r="S6214" s="57"/>
      <c r="T6214" s="77"/>
    </row>
    <row r="6215">
      <c r="A6215" s="119"/>
      <c r="B6215" s="118"/>
      <c r="C6215" s="118"/>
      <c r="D6215" s="56"/>
      <c r="E6215" s="41"/>
      <c r="F6215" s="49"/>
      <c r="G6215" s="71"/>
      <c r="H6215" s="41"/>
      <c r="I6215" s="42"/>
      <c r="J6215" s="120"/>
      <c r="K6215" s="72"/>
      <c r="L6215" s="53"/>
      <c r="M6215" s="101"/>
      <c r="N6215" s="74"/>
      <c r="O6215" s="102"/>
      <c r="P6215" s="102"/>
      <c r="Q6215" s="57"/>
      <c r="R6215" s="58"/>
      <c r="S6215" s="57"/>
      <c r="T6215" s="77"/>
    </row>
    <row r="6216">
      <c r="A6216" s="119"/>
      <c r="B6216" s="118"/>
      <c r="C6216" s="118"/>
      <c r="D6216" s="56"/>
      <c r="E6216" s="41"/>
      <c r="F6216" s="49"/>
      <c r="G6216" s="71"/>
      <c r="H6216" s="41"/>
      <c r="I6216" s="42"/>
      <c r="J6216" s="120"/>
      <c r="K6216" s="72"/>
      <c r="L6216" s="53"/>
      <c r="M6216" s="101"/>
      <c r="N6216" s="74"/>
      <c r="O6216" s="102"/>
      <c r="P6216" s="102"/>
      <c r="Q6216" s="57"/>
      <c r="R6216" s="58"/>
      <c r="S6216" s="57"/>
      <c r="T6216" s="77"/>
    </row>
    <row r="6217">
      <c r="A6217" s="119"/>
      <c r="B6217" s="118"/>
      <c r="C6217" s="118"/>
      <c r="D6217" s="56"/>
      <c r="E6217" s="41"/>
      <c r="F6217" s="49"/>
      <c r="G6217" s="71"/>
      <c r="H6217" s="41"/>
      <c r="I6217" s="42"/>
      <c r="J6217" s="120"/>
      <c r="K6217" s="72"/>
      <c r="L6217" s="53"/>
      <c r="M6217" s="101"/>
      <c r="N6217" s="74"/>
      <c r="O6217" s="102"/>
      <c r="P6217" s="102"/>
      <c r="Q6217" s="57"/>
      <c r="R6217" s="58"/>
      <c r="S6217" s="57"/>
      <c r="T6217" s="77"/>
    </row>
    <row r="6218">
      <c r="A6218" s="119"/>
      <c r="B6218" s="118"/>
      <c r="C6218" s="118"/>
      <c r="D6218" s="56"/>
      <c r="E6218" s="41"/>
      <c r="F6218" s="49"/>
      <c r="G6218" s="71"/>
      <c r="H6218" s="41"/>
      <c r="I6218" s="42"/>
      <c r="J6218" s="120"/>
      <c r="K6218" s="72"/>
      <c r="L6218" s="53"/>
      <c r="M6218" s="101"/>
      <c r="N6218" s="74"/>
      <c r="O6218" s="102"/>
      <c r="P6218" s="102"/>
      <c r="Q6218" s="57"/>
      <c r="R6218" s="58"/>
      <c r="S6218" s="57"/>
      <c r="T6218" s="77"/>
    </row>
    <row r="6219">
      <c r="A6219" s="119"/>
      <c r="B6219" s="118"/>
      <c r="C6219" s="118"/>
      <c r="D6219" s="56"/>
      <c r="E6219" s="41"/>
      <c r="F6219" s="49"/>
      <c r="G6219" s="71"/>
      <c r="H6219" s="41"/>
      <c r="I6219" s="42"/>
      <c r="J6219" s="120"/>
      <c r="K6219" s="72"/>
      <c r="L6219" s="53"/>
      <c r="M6219" s="101"/>
      <c r="N6219" s="74"/>
      <c r="O6219" s="102"/>
      <c r="P6219" s="102"/>
      <c r="Q6219" s="57"/>
      <c r="R6219" s="58"/>
      <c r="S6219" s="57"/>
      <c r="T6219" s="77"/>
    </row>
    <row r="6220">
      <c r="A6220" s="119"/>
      <c r="B6220" s="118"/>
      <c r="C6220" s="118"/>
      <c r="D6220" s="56"/>
      <c r="E6220" s="41"/>
      <c r="F6220" s="49"/>
      <c r="G6220" s="71"/>
      <c r="H6220" s="41"/>
      <c r="I6220" s="42"/>
      <c r="J6220" s="120"/>
      <c r="K6220" s="72"/>
      <c r="L6220" s="53"/>
      <c r="M6220" s="101"/>
      <c r="N6220" s="74"/>
      <c r="O6220" s="102"/>
      <c r="P6220" s="102"/>
      <c r="Q6220" s="57"/>
      <c r="R6220" s="58"/>
      <c r="S6220" s="57"/>
      <c r="T6220" s="77"/>
    </row>
    <row r="6221">
      <c r="A6221" s="119"/>
      <c r="B6221" s="118"/>
      <c r="C6221" s="118"/>
      <c r="D6221" s="56"/>
      <c r="E6221" s="41"/>
      <c r="F6221" s="49"/>
      <c r="G6221" s="71"/>
      <c r="H6221" s="41"/>
      <c r="I6221" s="42"/>
      <c r="J6221" s="120"/>
      <c r="K6221" s="72"/>
      <c r="L6221" s="53"/>
      <c r="M6221" s="101"/>
      <c r="N6221" s="74"/>
      <c r="O6221" s="102"/>
      <c r="P6221" s="102"/>
      <c r="Q6221" s="57"/>
      <c r="R6221" s="58"/>
      <c r="S6221" s="57"/>
      <c r="T6221" s="77"/>
    </row>
    <row r="6222">
      <c r="A6222" s="119"/>
      <c r="B6222" s="118"/>
      <c r="C6222" s="118"/>
      <c r="D6222" s="56"/>
      <c r="E6222" s="41"/>
      <c r="F6222" s="49"/>
      <c r="G6222" s="71"/>
      <c r="H6222" s="41"/>
      <c r="I6222" s="42"/>
      <c r="J6222" s="120"/>
      <c r="K6222" s="72"/>
      <c r="L6222" s="53"/>
      <c r="M6222" s="101"/>
      <c r="N6222" s="74"/>
      <c r="O6222" s="102"/>
      <c r="P6222" s="102"/>
      <c r="Q6222" s="57"/>
      <c r="R6222" s="58"/>
      <c r="S6222" s="57"/>
      <c r="T6222" s="77"/>
    </row>
    <row r="6223">
      <c r="A6223" s="119"/>
      <c r="B6223" s="118"/>
      <c r="C6223" s="118"/>
      <c r="D6223" s="56"/>
      <c r="E6223" s="41"/>
      <c r="F6223" s="49"/>
      <c r="G6223" s="71"/>
      <c r="H6223" s="41"/>
      <c r="I6223" s="42"/>
      <c r="J6223" s="120"/>
      <c r="K6223" s="72"/>
      <c r="L6223" s="53"/>
      <c r="M6223" s="101"/>
      <c r="N6223" s="74"/>
      <c r="O6223" s="102"/>
      <c r="P6223" s="102"/>
      <c r="Q6223" s="57"/>
      <c r="R6223" s="58"/>
      <c r="S6223" s="57"/>
      <c r="T6223" s="77"/>
    </row>
  </sheetData>
  <autoFilter ref="$A$1:$U$5244"/>
  <customSheetViews>
    <customSheetView guid="{BC894DB0-F924-4C57-98DE-8C7F8F0663A9}" filter="1" showAutoFilter="1">
      <autoFilter ref="$Q$1:$Q$3194"/>
    </customSheetView>
    <customSheetView guid="{7D540248-96D0-4FD5-AAA0-BF782FD2D6F4}" filter="1" showAutoFilter="1">
      <autoFilter ref="$A$1:$U$5979">
        <filterColumn colId="3">
          <filters blank="1">
            <filter val="TAS-213"/>
            <filter val="TAS-214"/>
            <filter val="LAB-KJ1"/>
            <filter val="LAB-KJ2"/>
            <filter val="NAM-NB1"/>
            <filter val="TAS-NB264"/>
            <filter val="NOT-IM94"/>
            <filter val="NOT-IM91"/>
            <filter val="NOT-IM90"/>
            <filter val="PEN-CH28"/>
            <filter val="ABJ-NB12"/>
            <filter val="TAS-NB75"/>
            <filter val="TAS-NB298"/>
            <filter val="BOL-TZ334"/>
            <filter val="PIT-NB27"/>
            <filter val="PIT-NB28"/>
            <filter val="DOK-NB13"/>
            <filter val="DOK-NB6"/>
            <filter val="DOK-NB2"/>
            <filter val="DOK-NB4"/>
            <filter val="PEN-NB38"/>
            <filter val="PEN-NB24"/>
            <filter val="PAL-NB5"/>
            <filter val="PEN-NB40"/>
            <filter val="PEN-NB42"/>
            <filter val="IDC-IM23"/>
            <filter val="TIP-NB46"/>
            <filter val="TIP-NB45"/>
            <filter val="TIP-NB43"/>
            <filter val="JAR-NB1"/>
            <filter val="IPE-VO4"/>
            <filter val="F.CUT-KN6"/>
            <filter val="KAR-LG1"/>
            <filter val="PEN-TF23"/>
            <filter val="IPE-NB2"/>
            <filter val="PEN-TF29"/>
            <filter val="IPE-NB3"/>
            <filter val="PEN-TF43"/>
            <filter val="ASA-PY2"/>
            <filter val="ASA-PY132"/>
            <filter val="TIP-IM47"/>
            <filter val="TIP-IM49"/>
            <filter val="TIP-IM48"/>
            <filter val="DIS-KE9"/>
            <filter val="PEN-IM25"/>
            <filter val="PEN-IM26"/>
            <filter val="PEN-IM27"/>
            <filter val="PEN-ZH44"/>
            <filter val="PEN-IM41"/>
            <filter val="PEN-IM31"/>
            <filter val="PEN-IM32"/>
            <filter val="PEN-IM30"/>
            <filter val="PEN-IM35"/>
            <filter val="PEN-IM36"/>
            <filter val="PEN-IM33"/>
            <filter val="PEN-IM34"/>
            <filter val="PEN-IM39"/>
            <filter val="PEN-IM37"/>
            <filter val="MAP-IM246"/>
            <filter val="OIL-DB2"/>
            <filter val="OIL-DB6"/>
            <filter val="TAS-IM239"/>
            <filter val="MAP-IM247"/>
            <filter val="POS-TF9"/>
            <filter val="HOO-IM4"/>
            <filter val="MEC-TZ20"/>
            <filter val="MEC-TZ21"/>
            <filter val="MEC-TZ15"/>
            <filter val="MEC-TZ16"/>
            <filter val="MEC-TZ14"/>
          </filters>
        </filterColumn>
        <filterColumn colId="4">
          <filters blank="1">
            <filter val="MAP ZIPPER REST A6 16C"/>
            <filter val="MEKANIK PENSIL 2.0 TIZO TM01800"/>
            <filter val="ID CARD 2 SISI TRANSPARANT MERAH"/>
            <filter val="TAS KADO GGS 1833-5 GLITTER KECIL"/>
            <filter val="P WARNA 12W PANJANG TB 8891"/>
            <filter val="BUKU MEWARNAI SIKA"/>
            <filter val="MECHPEN TIZO G 9007 A"/>
            <filter val="ISI HITECH JOSS HITAM"/>
            <filter val="TIPEX KERTAS NO.9473"/>
            <filter val="KUAS 929-6 ETERNA YIJIAYI"/>
            <filter val="PENSIL CASE PC-613-7 KALENG"/>
            <filter val="ISI GEL ELSON ES-226 SANRIO"/>
            <filter val="TIPEX MINI FANCY 0888"/>
            <filter val="ID CARD KULIT BIRU"/>
            <filter val="MAGNIFIER LW-90"/>
            <filter val="P CASE REST IF 1502"/>
            <filter val="NOTEBOOK 18100-67"/>
            <filter val="PITA KADO 50MM LS 50"/>
            <filter val="OIL COLOUR VTRO 12W-6ML"/>
            <filter val="TIPEX KERTAS NO.9461"/>
            <filter val="TIPEX KERTAS NO.9462"/>
            <filter val="CRAYON PUTAR FANCY 12W PENDEK"/>
            <filter val="BINDER NOTE JHYB - 03306 B5"/>
            <filter val="NOTEBOOK 18100-61"/>
            <filter val="KARET GELANG BSR UTN"/>
            <filter val="NOTEBOOK 18100-62"/>
            <filter val="BALLPEN KENKO KR-6 NANOTIP"/>
            <filter val="MAGNET 504"/>
            <filter val="KUAS SHINING SET A5-1"/>
            <filter val="MAGNIFIER LW-80"/>
            <filter val="TAS 1925 GLITTER KECIL"/>
            <filter val="LOOSE LEAF BIASA A5 HELLO KITTY + PUZZLE DINO"/>
            <filter val="PITA KADO 18 BIASA"/>
            <filter val="BP HILLTOP HT-1020"/>
            <filter val="GUNTING STAINLESS SQUEZZY SQ06C WARNA"/>
            <filter val="P CASE REST SH 10"/>
            <filter val="NOTEBOOK 05204"/>
            <filter val="CLIP BOARD 303 (CLIP BESAR)"/>
            <filter val="NOTEBOOK 05202"/>
            <filter val="GARISAN MIKA 50CM ENTER"/>
            <filter val="TAS H-4007-M BIASA KECIL"/>
            <filter val="P CASE REST SH 05"/>
            <filter val="PITA KAIN GOLD 1CM-19/ GOLD GLITTER"/>
            <filter val="P CASE REST SH 06"/>
            <filter val="P CASE REST SH 08"/>
            <filter val="PC MAGNIT KM 5186-1"/>
            <filter val="TAS KADO TALI BESAR"/>
            <filter val="BP GEL ZUI ZHUA HY-1020 BIRU"/>
            <filter val="TIPEX KERTAS NO.9458"/>
            <filter val="NOTEBOOK 18100-71"/>
            <filter val="P CASE MAGNET XU 805"/>
            <filter val="TIPEX KERTAS NO.9459"/>
            <filter val="PIANIKA LOVELY PINK"/>
            <filter val="MAGNIFIER LW-70"/>
            <filter val="PENSIL 2B TF 88 BTK"/>
            <filter val="KUAS 21839-16"/>
            <filter val="TAS COKLAT POLOS BESAR"/>
            <filter val="TAS BATIK BESAR"/>
            <filter val="JARUM B POLOS 1206"/>
            <filter val="AGENDA DIARY 0"/>
            <filter val="MAP FILE RET 1801-2"/>
            <filter val="BP TIZO TG501"/>
            <filter val="MAGNET 3012"/>
            <filter val="PALET ANGGUR"/>
            <filter val="TIPEX KERTAS NO.9442"/>
            <filter val="TIPEX KERTAS NO.9443"/>
            <filter val="PENSIL TUKANG GEPENG MERAH"/>
            <filter val="TIPEX KERTAS NO.9446"/>
            <filter val="GUNTING GUNINDO FL GA-10 COKLAT"/>
            <filter val="BP ZHIXIN G 212 WARNA + ISI MINI"/>
            <filter val="PITA JEPANG GARIS EMAS (LISMAS)"/>
            <filter val="P WARNA 36W KYCP 0736"/>
            <filter val="MAGNIFIER LW-60"/>
            <filter val="BALLPEN HITECH VANCO 0.28 B"/>
            <filter val="TIPEX MINI FANCY 0857"/>
            <filter val="PENSIL 2B DM 5188"/>
            <filter val="CAT ACRYLIC MARRIES 812/ 12W BIASA (BT)"/>
            <filter val="PITA KADO 50MM LS 50-1"/>
            <filter val="DRAWING BOARD DJ 103"/>
            <filter val="KAWAT 504 6WR"/>
            <filter val="ASAHAN CL-113/2H 1X48"/>
            <filter val="BP D TIAN GP 529"/>
            <filter val="CLIP BOARD 2 MUKA WB"/>
            <filter val="BP GEL 8805 + STIP"/>
            <filter val="TAS SM 106 GLITTER BESAR"/>
            <filter val="BP TIZO KLIK TG 3300"/>
            <filter val="TAS GLITTER 9240 TG"/>
            <filter val="AGENDA KCG 25K MB 35-25"/>
            <filter val="TIPEX MINI FANCY 0846"/>
            <filter val="BP GANTUNGAN KUNCY 280"/>
            <filter val="TOPI ULTAH DISNRY ETJ"/>
            <filter val="TALI JEPITAN HITAM"/>
            <filter val="JARUM PENTOL CASING"/>
            <filter val="PW KIKO 12/12W"/>
            <filter val="GUNTING SISTER MFL"/>
            <filter val="GUNTING SISTER MFM"/>
            <filter val="BALON BL 1005"/>
            <filter val="BALON BL 1006"/>
            <filter val="WATER COLOR + KUAS PACMAN"/>
            <filter val="SAMPUL HUTANG PIUTANG"/>
            <filter val="BALLPEN GEL TIZO 31780 F"/>
            <filter val="ASAHAN EX 09"/>
            <filter val="STIP RENCAI RC 700"/>
            <filter val="GLITTER RENTENG EMAS"/>
            <filter val="PITA TARIK/KADO 30-1 RENDA"/>
            <filter val="BALON BL 1009"/>
            <filter val="GUNTING KUKU VANCO GK 605"/>
            <filter val="STIP DEBOZZ DB B40 P"/>
            <filter val="BALON BL 1007"/>
            <filter val="PITA JEPANG LIST EMAS"/>
            <filter val="KUAS 21839-6Q"/>
            <filter val="CUTTER GOLDEN 888 B"/>
            <filter val="NOTEBOOK 7050-18"/>
            <filter val="PC RET IMITASI 385"/>
            <filter val="NOTEBOOK 7050-19"/>
            <filter val="GARISAN SET 20CM SLO 0192"/>
            <filter val="STIP JK MER-01"/>
            <filter val="B NOTE B5 HYB 03305"/>
            <filter val="GARISAN SET FS 9810 UNICORN"/>
            <filter val="NOTEBOOK 7050-11"/>
            <filter val="STICK NOTE TF 0246"/>
            <filter val="PC MAGNIT B 3513-24"/>
            <filter val="NOTEBOOK 18100-36"/>
            <filter val="STICK NOTE TF 0243"/>
            <filter val="ASAHAN PAYU 825 KUDA"/>
            <filter val="GARISAN 8418"/>
            <filter val="NOTES 156-80"/>
            <filter val="ISI GEL DTIAN DT-090 (20PCS TABUNG)"/>
            <filter val="TAS TG GILAP 1839 (LAMA)"/>
            <filter val="ASAHAN XXY-1868"/>
            <filter val="KUAS 21839-4S"/>
            <filter val="MAP ZIPPER KANCING 2 SIKA MERAH"/>
            <filter val="TAS KADO GILAP 804 EMAS"/>
            <filter val="NOTEBOOK 7050-20"/>
            <filter val="BK MEWARNAI 016"/>
            <filter val="MAGNET  X3010 SMILE KUNING"/>
            <filter val="TIPEX KERTAS 0831 DISNEY"/>
            <filter val="AGENDA 25K GB35-25"/>
            <filter val="BENSIA 05LM2 (6021)"/>
            <filter val="TIPEX KERTAS NO.9480"/>
            <filter val="TAS LYSD 154 K"/>
            <filter val="BP GEL 708"/>
            <filter val="KUAS 21839-4Q"/>
            <filter val="NOTEBOOK 7050-2"/>
            <filter val="TIPEX KERTAS NO.5039"/>
            <filter val="PULL RIBBON LS-30-1"/>
            <filter val="TIPEX KERTAS NO.5037"/>
            <filter val="TIPEX KERTAS NO.5031"/>
            <filter val="OIL COLOR V-TRO 12W 6ML"/>
            <filter val="PENCIL CASE XLG BD954"/>
            <filter val="SIPOA KAKI B 808 MOSHI MOSHI"/>
            <filter val="AGENDA 25K 35 25"/>
            <filter val="BP GEL CS-G208"/>
            <filter val="BK MEWARNAI SIKA"/>
            <filter val="AGENDA 48K-1"/>
            <filter val="TAS JASMIN TANGGUNG"/>
            <filter val="GEL GP 9101"/>
            <filter val="BP VULLPEN TF 802"/>
            <filter val="TIPEX KERTAS NO.8546"/>
            <filter val="ASAHAN TY808"/>
            <filter val="P CASE 8109"/>
            <filter val="TIPEX KERTAS 7013 MINI"/>
            <filter val="BP VULLPEN TF 801"/>
            <filter val="TIPEX KERTAS NO.8539"/>
            <filter val="TIPEX KERTAS NO.5026"/>
            <filter val="MAP REST BN-55"/>
            <filter val="PENSIL CASE PC-633-5 MOBIL K"/>
            <filter val="NOTEBOOK 83100"/>
            <filter val="N BOOK WEEK 005 + STICKER"/>
            <filter val="MAP REST BN-53"/>
            <filter val="TAS KARUNG BG13-023"/>
            <filter val="P CASE GUNINDO PC 6"/>
            <filter val="JARUM PENTUL CASING"/>
            <filter val="PC K 93"/>
            <filter val="MAP TALI KENJOY"/>
            <filter val="COLOURING PAPER CP-01 MIX"/>
            <filter val="BP GEL DTIAN BIASA 6605"/>
            <filter val="MAGNET 8203 ANGKA"/>
            <filter val="P CASE B 122"/>
            <filter val="ZIPPER POCKET A5 GANDORI"/>
            <filter val="TIPEX KERTAS NO.8528"/>
            <filter val="N BOOK SPIRAL JF-36D (010/011/012)"/>
            <filter val="TAS TIMBUL GLITTER KECIL 2905"/>
            <filter val="TAS LYSD 572 K"/>
            <filter val="BOOK END SB-8899"/>
            <filter val="TAS 6-1 BIASA KECIL MIX"/>
            <filter val="P CASE SET 3348"/>
            <filter val="LETTER TRAY BESI 3 SUSUN (2003)"/>
            <filter val="BENSIA 03LM4 (6202)"/>
            <filter val="MAP TALI SIKA PUTIH"/>
            <filter val="BUKU MEWARNAI 6-8 04"/>
            <filter val="DISPENSER PLAKBAND PLASTIK A 805 MOSHI-MOSHI"/>
            <filter val="KUAS 251-11 PAGODA"/>
            <filter val="TIPEX KERTAS NO.8522"/>
            <filter val="TOPI ULTAH KERUCUT 11A"/>
            <filter val="STABILLO TIZO TF610"/>
            <filter val="MAP ZIPPER KANCING 2 SIKA HIJAU"/>
            <filter val="P CASE B 132"/>
            <filter val="P CASE B 133"/>
            <filter val="TIPEX KERTAS NO.8527"/>
            <filter val="ASAHAN CL 082"/>
            <filter val="STAMP PAD HERO BESAR"/>
            <filter val="L LEAF CEWEK LLP 15 BIASA"/>
            <filter val="KUAS 251-4 PAGODA"/>
            <filter val="TALI YOYO K BUTEK"/>
            <filter val="BP GEL KOALA GP-168-D VL"/>
            <filter val="PENSIL TF 995"/>
            <filter val="P WARNA 24W KY CP 0724"/>
            <filter val="LILIN ULTAH 12W SHINTOENG"/>
            <filter val="BULLDOG CLIP B-6"/>
            <filter val="BP GEL 6603"/>
            <filter val="BN A5 GASTA HP 2006 T"/>
            <filter val="DOKUMEN RISLETING OPTIMA"/>
            <filter val="TAS XM L-2097-1 GLITTER BESAR"/>
            <filter val="BP GEL 6608"/>
            <filter val="TAS KERTAS 8867A"/>
            <filter val="BP KENKO KR 6 NANOTIP"/>
            <filter val="KERTAS MEWARNAI CP5"/>
            <filter val="MAP KCG SIKA 3WR"/>
            <filter val="N BOOK A5 8C 020"/>
            <filter val="BENSIA BONEKA MOTIF CEWEK 921"/>
            <filter val="ASAHAN PAYU 846 KUDA GOYANG"/>
            <filter val="GARISAN 24CM LIPAT ALUMINIUM SO-7233"/>
            <filter val="KARET PENTIL KECIL"/>
            <filter val="PENSIL TM 00521"/>
            <filter val="ACRYLIC A6 11X16"/>
            <filter val="LETTER TRAY SUSUN 4 (2004) BESI"/>
            <filter val="GUNTING IDEAL K 100"/>
            <filter val="PC MAGNIT 1151"/>
            <filter val="DISPENSER BTS"/>
            <filter val="GARISAN 1890"/>
            <filter val="P CASE KLG K 905"/>
            <filter val="PITA KADO 30MM BIASA"/>
            <filter val="PENSIL CASE C-8023"/>
            <filter val="PENCIL CASE KODE 3D 3 SUSUN 1299"/>
            <filter val="ASAHAN TT 910 (48)"/>
            <filter val="KARET KECIL"/>
            <filter val="N BOOK A5 32-X019"/>
            <filter val="GARISAN 1896"/>
            <filter val="PENCIL CASE LPY99-3"/>
            <filter val="PALET KEPITING DOP PKD 202"/>
            <filter val="BP GEL 8803"/>
            <filter val="GARISAN SET 20CM 0122"/>
            <filter val="GUNTING GUNINDO FM GA-07 COKLAT"/>
            <filter val="PITA TARIK/KADO 23 LIST GOLD (LISMAS)"/>
            <filter val="EXPANDING FILE V-TECH 4511 B5"/>
            <filter val="BP TG 346 E"/>
            <filter val="BP TG 346 B"/>
            <filter val="BALON BL 10023"/>
            <filter val="BP GEL 8807"/>
            <filter val="BALON BL 10025"/>
            <filter val="BP GEL 8805"/>
            <filter val="BP GEL ZJIXIN 3118"/>
            <filter val="PENSIL CARPENTER 500"/>
            <filter val="BP SIKA GP 340"/>
            <filter val="TAS 1830 M GILAP TANGGUNG"/>
            <filter val="KUAS SET 255-6"/>
            <filter val="PENSIL CASE DZ-0061-3"/>
            <filter val="LOOSE LEAF HOLO FROZEN A5"/>
            <filter val="TAS 1842-L  (TANGGUNG)"/>
            <filter val="TAS TALI SB-223 KC TIKAR"/>
            <filter val="BP EXELENT 2079"/>
            <filter val="ISI GEL PEN DTIAN GR-088 (ISI 6 PCS TABUNG)"/>
            <filter val="TAS POLOS 131 K"/>
            <filter val="BP E 8805 MULTI WARNA (24)"/>
            <filter val="TALI ID CARD SET 168 PUTIH"/>
            <filter val="PENSIL CASE A-1301"/>
            <filter val="BNS XB 72K 1352"/>
            <filter val="PC MAGNIT A853"/>
            <filter val="OIL COLOR 12W VTRO"/>
            <filter val="STICKER 954 MIX"/>
            <filter val="PENGHAPUS WB CLEAR BESAR"/>
            <filter val="CAT ACRYLIC COLOUR TF AC-004N NEON"/>
            <filter val="TAS KADO 804 GUCI KECIL"/>
            <filter val="STABILLO 2W HL 221"/>
            <filter val="GARISAN MAL 190 ABJAD"/>
            <filter val="KEMUCHING KOMPUTER"/>
            <filter val="BP EXCELENY"/>
            <filter val="TIPEX KERTAS NO.8557"/>
            <filter val="GARISAN 30CM FANCY"/>
            <filter val="BENSIA 953"/>
            <filter val="TAS KARUNG 70 X 53"/>
            <filter val="BK TAMU ECO LOVE"/>
            <filter val="BENSIA 951"/>
            <filter val="BENSIA 950"/>
            <filter val="N BOOK SPIRAL JF-36C (007/008/009)"/>
            <filter val="HURUF MAGNIT 349 B"/>
            <filter val="HURUF MAGNIT 349 A"/>
            <filter val="GUNTING KUKU 777 H 211 B"/>
            <filter val="BP MEJA BPS 202 FOOT"/>
            <filter val="PISAU UKIR 8"/>
            <filter val="ASAHAN TOPLES PAYU MIX"/>
            <filter val="BP GP 1016 GOLD"/>
            <filter val="KUAS 21839-6HP"/>
            <filter val="P CASE MAGNET D 20065"/>
            <filter val="GEL ZHIXIN 3165"/>
            <filter val="TAS KADO MINI MIX TUTUP"/>
            <filter val="GARISAN KM-7733L"/>
            <filter val="STICKER JBE-SA"/>
            <filter val="BALON LKF 3200 M1"/>
            <filter val="STICKER JBE-SD"/>
            <filter val="STIP W/B ENTER 802K"/>
            <filter val="HIGHLIGHTER Q1313 STAR-STAMP ISI 5"/>
            <filter val="MAP KCG 1 SIKA 5WR"/>
            <filter val="CREATIVE PRINTING THT-S-6"/>
            <filter val="MAP DATA MICROTOP BS-57 B4"/>
            <filter val="N BOOK 005 STICKER"/>
            <filter val="KUAS 21839-6H4"/>
            <filter val="STICK NOTE TF 654-8C-M"/>
            <filter val="TAS TG GILAP 1803 (LAMA)"/>
            <filter val="N BOOK A 0321 17 K MIX"/>
            <filter val="CLIPBOARD SQ FANCY HOLO 2 MUKA"/>
            <filter val="JARUM PUNTUL HIJAB"/>
            <filter val="NOTEBOOK B0200 (A5）"/>
            <filter val="ID CARD SET DX 622 HITAM"/>
            <filter val="PENSIL CASE PC-619-3 MOBIL + KODE"/>
            <filter val="PC MAGNIT B 35165"/>
            <filter val="BALON METALIK LMP 2800"/>
            <filter val="BENSIA 938"/>
            <filter val="BUKU MEWARNAI SPS"/>
            <filter val="ZIPPER FILE CLEAR HOLDER TOPLA 555 60 FILE"/>
            <filter val="SAMPUL METALIK KWARTO WORRY (2)"/>
            <filter val="BENSIA 933"/>
            <filter val="BP TIZO TG340 BIRU"/>
            <filter val="MAGNET  3010J SMILE WARNA"/>
            <filter val="STAMP PAD HERO K"/>
            <filter val="ASAHAN HC2907"/>
            <filter val="KERTAS MEWARNAI THT5-6"/>
            <filter val="MAP REST ENTER KWARTO 4WR"/>
            <filter val="BENSIA 941"/>
            <filter val="BP GEL 223"/>
            <filter val="BENSIA 940"/>
            <filter val="NB SPIRAL A6-801 LUCKY NOTE"/>
            <filter val="BENSIA 948"/>
            <filter val="BENSIA 947"/>
            <filter val="ISOLASI WARNA POLOS KECIL (BO 5076)"/>
            <filter val="BINDER NOTE HYB - 15803 B5"/>
            <filter val="ISI GELL RETRACT DB GR-900"/>
            <filter val="PENCIL CASE 588-157 MAGNET"/>
            <filter val="BENDERA PLST TALI"/>
            <filter val="PITA TARIK/KADO 23 BIASA"/>
            <filter val="PENSIL 2.0 FANCY 0300"/>
            <filter val="ISI L LEAF A5 PAPER STAR"/>
            <filter val="ISI GEL V-TRO 2018 TSUM"/>
            <filter val="TINTA 20MM (1 LINE)"/>
            <filter val="LOOSE LEAF BIASA HELLO KITTY A5 (100GSM)"/>
            <filter val="GARISAN 6606"/>
            <filter val="JANGKA MS-403"/>
            <filter val="BP GEL 224"/>
            <filter val="JANGKA MS-404"/>
            <filter val="COIN BANK XL"/>
            <filter val="ASAHAN SH 002"/>
            <filter val="B NOTE JHYB-0502"/>
            <filter val="TALI ID CARD PEONY ORANYE"/>
            <filter val="BP ODEMI BATIK 9933"/>
            <filter val="BENSIA 917"/>
            <filter val="TAS TALI GG-03 BESAR GILAP"/>
            <filter val="BENSIA 915"/>
            <filter val="PALET SAKURA LKU"/>
            <filter val="GEL + GK 99085"/>
            <filter val="PENSIL HOROSCOPE"/>
            <filter val="BENSIA 909"/>
            <filter val="BP SPRAY GP-218"/>
            <filter val="KARET KECI"/>
            <filter val="KERTAS LIPAT ORIGAMI HL 305"/>
            <filter val="PENSIL 2B KY 2029"/>
            <filter val="MAGNET X3510"/>
            <filter val="LILIN TY 1020"/>
            <filter val="KUAS 251-1 PAGODA"/>
            <filter val="GLITTER 88 MIX"/>
            <filter val="GARISAN SEGITIGA KOJIKO NO.12"/>
            <filter val="HAND COUNTER DIGITAL1011"/>
            <filter val="BENSIA 925"/>
            <filter val="GARISAN SET 8020"/>
            <filter val="BENSIA 923"/>
            <filter val="PENSIL 2B KY 2025"/>
            <filter val="BENSIA 921"/>
            <filter val="TIPEX KERTAS NO.726"/>
            <filter val="STABILLO CS 8108"/>
            <filter val="BP TF G-3114 0.3MM HIGHTECH KNOCK"/>
            <filter val="P CASE MAGNET 16822"/>
            <filter val="CUTTER TACO 78 KECIL TRANSPARAN"/>
            <filter val="KUAS WLT 5796"/>
            <filter val="KUAS K7NIL"/>
            <filter val="PC MAGNIT C 9962"/>
            <filter val="GARISAN ALUMINIUM KOALA 30CM"/>
            <filter val="BP GEL DTIAN 923"/>
            <filter val="BINDER NOTE JHYB - 03303 B5"/>
            <filter val="GARISAN SEGITIGA KOJIKO NO.10"/>
            <filter val="STICKER JBE-SV"/>
            <filter val="GUNTING JUNIOR J 400"/>
            <filter val="MAP KANCING 4 UTN PINK"/>
            <filter val="TAS HZD 9101 A BSR BIASA"/>
            <filter val="ELEVATED TRAY MICROTOP 603"/>
            <filter val="GARISAN SET LM 0190 HERO"/>
            <filter val="ELEVATED TRAY MICROTOP 604"/>
            <filter val="GARISAN BESI YOEKER (5030) 30 CM"/>
            <filter val="BK GAMBAR A4 SIKA"/>
            <filter val="PEN HOLDER KOTAK HITAM"/>
            <filter val="TAS SM 926M TG GLITTER"/>
            <filter val="ASAHAN PAYU"/>
            <filter val="BALON DOF 12'' RI MERAH"/>
            <filter val="BP TF 1022"/>
            <filter val="BENSIA 903"/>
            <filter val="MECHPEB CO 0938"/>
            <filter val="GARISAN SET ZX 6110/ 20CM PPK"/>
            <filter val="TAS BATIK MJ 1 KECIL"/>
            <filter val="GUNTING IDEAL K-200"/>
            <filter val="BINDER CLIP 111 OUQIER"/>
            <filter val="PALET JOSS 009"/>
            <filter val="NOTEBOOK 50100-67"/>
            <filter val="PEMBATAS L LEAF A5 UTN"/>
            <filter val="PEN HOLDER HITAM BULAT"/>
            <filter val="TAS J 1706"/>
            <filter val="KAWAT POTONG"/>
            <filter val="MAGNET 002"/>
            <filter val="MAGNET 003"/>
            <filter val="PAPAN WHITE BOARD XG POLOS 30 X 40"/>
            <filter val="ASAHAN 103 PH (1X24)"/>
            <filter val="ASAHAN XX-09"/>
            <filter val="SEMPOA 8022"/>
            <filter val="PITA KAIN SILVER 1CM-19/ SILVER GLITTER"/>
            <filter val="SEMPOA 8023"/>
            <filter val="AGENDA 25K MB 35-2S"/>
            <filter val="SEMPOA 8025"/>
            <filter val="TAS LY HD 148 B"/>
            <filter val="TAS TG GILAP 1929 (BARU)"/>
            <filter val="TAS COKLAT TEBAL KECIL"/>
            <filter val="NOTEBOOK 7025-31"/>
            <filter val="AGENDA MB 35-50"/>
            <filter val="NOTEBOOK 7025-30"/>
            <filter val="NOTEBOOK 7025-28"/>
            <filter val="ASAHAN 8809"/>
            <filter val="BP ZHIXIN 5014"/>
            <filter val="PIANIKA LOVELY BIRU"/>
            <filter val="KAWAT ROLL 504 KUNING"/>
            <filter val="NOTEBOOK 7025-27"/>
            <filter val="TAS SM 1802 M-17 TG GILAP"/>
            <filter val="AGENDA 35-50"/>
            <filter val="STUDY BOARD (BK MEWARNAI) JQ-1909"/>
            <filter val="NOTEBOOK SPIRAL 28825-61 A5"/>
            <filter val="ISI L LEAF A5 LLP 15 A-006 MIX"/>
            <filter val="TIPEX KERTAS 91038HG"/>
            <filter val="CLIP BOARD 2 MUKA WB COWOK"/>
            <filter val="GARISAN SET 20 CM ZX-021"/>
            <filter val="GARISAN SET 20 CM ZX-022"/>
            <filter val="GEL LANTU LT 210C"/>
            <filter val="AGENDA 25K MB 35-25"/>
            <filter val="PITA KADO METALIK 15/ 8 BIRU"/>
            <filter val="PENCIL CASE SET RS 3000 FANCY"/>
            <filter val="STICKER DINDING 5210"/>
            <filter val="ID CARD B4 IMPORT"/>
            <filter val="ASAHAN 8811"/>
            <filter val="NOTEBOOK SPIRAL 28825-65"/>
            <filter val="ASAHAN 8810"/>
            <filter val="GEL LANTU LT 2108"/>
            <filter val="NOTEBOOK SPIRAL 28825-67"/>
            <filter val="ASAHAN MEJA 5530"/>
            <filter val="CLIP BOARD KWALITAS / ENTER ANTI API"/>
            <filter val="TAS 24X20"/>
            <filter val="BINDER CLIP 155 OUQIOER"/>
            <filter val="REFIL GEL TIZO 1.0"/>
            <filter val="BALON LMP 2800"/>
            <filter val="BK MEWARNAI IF BJA"/>
            <filter val="HITEC CS-651"/>
            <filter val="PENSIL BOX ISI 100"/>
            <filter val="M PENSIL TIZO G 9007 A"/>
            <filter val="KUAS 21839-7H"/>
            <filter val="N BOOK TALI A7 AA 0321"/>
            <filter val="PENSIL KAYAGI 2029"/>
            <filter val="PENSIL CASE SH-8603"/>
            <filter val="PENSIL CASE SH-8604"/>
            <filter val="BUSINESS FILE SIKA AC-106 PUTIH"/>
            <filter val="AGENDA MB35-50"/>
            <filter val="MECHPEN TIZO G 09309 24PCS"/>
            <filter val="GARISAN 20CM RENTENG SPD"/>
            <filter val="PENSIL CASE SH-8601"/>
            <filter val="L LEAF A5-50 KOTAK KECIL"/>
            <filter val="PENSIL CASE SH-8602"/>
            <filter val="ID CARD 501 MERAH"/>
            <filter val="GARISAN 30CM KM 1105 MIX"/>
            <filter val="BUKU TAMU BUNGA SPIRAL ENTER"/>
            <filter val="KARET PENTIL ESAR"/>
            <filter val="LOOSE LEAF BIASA TSUM A5 (100GSM)"/>
            <filter val="SIPOA MOSHI2 B"/>
            <filter val="AGENDA 100K 5685"/>
            <filter val="POST IT WALITO WLT-8838"/>
            <filter val="TALI JEPITAN KUNING"/>
            <filter val="GARISAN SET ZX-018 20 CM"/>
            <filter val="PITA TARIK/KADO 12 HC"/>
            <filter val="BP HITECH JOSS-188 B 0.28MM BIRU"/>
            <filter val="PITA KADO 18MM RENDA"/>
            <filter val="GARISAN SABLON 380"/>
            <filter val="MAGNET T 3008"/>
            <filter val="KUAS TF-2620"/>
            <filter val="BN TALI AA 0321-20/A7-80/SR"/>
            <filter val="NOTEBOOK SPIRAL 28850-61"/>
            <filter val="CUTTER KENKO L-500"/>
            <filter val="MAP KCG 2 DOP"/>
            <filter val="NOTEBOOK SPIRAL 28850-65"/>
            <filter val="PENSIL TF 885 BATIK"/>
            <filter val="NOTEBOOK SPIRAL 28850-67"/>
            <filter val="PENSIL CASE QY-2023 MOBIL"/>
            <filter val="NOTEBOOK SPIRAL 28850-68"/>
            <filter val="BRUSH PEN SH-764"/>
            <filter val="K LIPAT FLUORESCENT 14X14"/>
            <filter val="BENSIA ZC 9937 (50)"/>
            <filter val="GARISAN 20CM JK RL P20"/>
            <filter val="PITA KADO 12MM BIASA MIX"/>
            <filter val="TAS SM 1916 GILAP BESAR"/>
            <filter val="BP GEL TIZO 30801F S3 FANCY"/>
            <filter val="PITA KADO 30MM TH 30 1"/>
            <filter val="BP GEL 8801 + STIP"/>
            <filter val="ISI GEL ELSON ES-225 UNICORN"/>
            <filter val="MAGIC BOARD TK 901"/>
            <filter val="PENSIL CASE 168-69-3"/>
            <filter val="TAS KADO TALI TANGGUNG"/>
            <filter val="MAGNET 034"/>
            <filter val="OIL PASTEL DEBOZZ 36W"/>
            <filter val="TAS BATIK MOTIF TG 25 X 9 X 35"/>
            <filter val="#N/A"/>
            <filter val="GEL D TIAN 615"/>
            <filter val="KUAS K-5 NIL"/>
            <filter val="MAP ZIPPER REST-004 KECIL"/>
            <filter val="BK MEWARNAI SIKA JUMBO"/>
            <filter val="BP SIKA GP 001 HT"/>
            <filter val="BP DEBOZZ DB-530"/>
            <filter val="TAS BATIK TG SBS MICROTOP"/>
            <filter val="CLIP BULLDOG 6"/>
            <filter val="ISI L LEAF A5 BEE SMART COWOK"/>
            <filter val="PENCIL CASE KALENG BH-20232"/>
            <filter val="BP HITECH JOSS GP-168 0.28MM"/>
            <filter val="TAS 35895-4K KECIL"/>
            <filter val="NOTEBOOK 7025-18"/>
            <filter val="NOTEBOOK 7025-16"/>
            <filter val="GUNTING HY011"/>
            <filter val="BP GEL ZHIXIN G 3162"/>
            <filter val="GARISAN 20CM ALUMINIUM"/>
            <filter val="SAMPUL ROLL DUST 454"/>
            <filter val="BP GEL ZHIXIN G 3164"/>
            <filter val="N BOOK 005 + STICKER"/>
            <filter val="TAS SM 105 BESAR"/>
            <filter val="BP GEL ZHIXIN G 3165"/>
            <filter val="PITA TARIK/KADO 30 TH -1"/>
            <filter val="BP GEL ZHIXIN G 3167"/>
            <filter val="JANGKA JF 8021"/>
            <filter val="BALLPEN TF 31780 F"/>
            <filter val="TIPEX 0888HIJAU"/>
            <filter val="CAT ACRYLIC 12W VTRO"/>
            <filter val="BP GEL ZHIXIN G 3150"/>
            <filter val="MAP FILE RET 1802-3 B5"/>
            <filter val="MAGNET 8201 HURUF"/>
            <filter val="BP KOALA GP 303"/>
            <filter val="BP GEL ZHIXIN G 3156"/>
            <filter val="GARISAN 30CM ALUMINIUM GLITTER"/>
            <filter val="TAS BATIK MICROTOP 0218 BESAR"/>
            <filter val="MAP REST BX55"/>
            <filter val="MAGNET 009"/>
            <filter val="MAGNET 006"/>
            <filter val="ISI GEL 1.0 HITAM"/>
            <filter val="GUNTING INFICO SC 50"/>
            <filter val="BP GEL 8789"/>
            <filter val="MALAM SHINTOENG 6-12W K"/>
            <filter val="GARISAN 9443"/>
            <filter val="AGENDA 100 5674"/>
            <filter val="ISI BENSIA LT 11-3"/>
            <filter val="BP ST 500 LIGHT"/>
            <filter val="ISI PENSIL MEKANIK 0,5 0913 A"/>
            <filter val="GLITTER 88 EMAS"/>
            <filter val="GUNTING GUNINDO SPL COKLAT"/>
            <filter val="LOOSE LEAF BIASA UNTANO BIODATA A5 MIX"/>
            <filter val="STIP W/B CLEAR K"/>
            <filter val="TAS KARUNG 45X50"/>
            <filter val="CLIP BOARD 6688-TR TRANSP KOALA"/>
            <filter val="GUNTING INFICO SC 40"/>
            <filter val="MECHPEN G-09309"/>
            <filter val="ID CARD ID-168"/>
            <filter val="NAME TAG DUS MERAH 301"/>
            <filter val="GARISAN SET ACRYLIC 30CM GR-180456"/>
            <filter val="KARTU UNDANGAN UTN PANJANG"/>
            <filter val="GARISAN BT 15CM"/>
            <filter val="MECHPEN G-09307"/>
            <filter val="STIP W/B CLEAR B"/>
            <filter val="KARET PENTIL B"/>
            <filter val="TALI ID CARD SET 168 MERAH"/>
            <filter val="TIPEX KERTAS NO.6080"/>
            <filter val="GEL KOALA GP 708"/>
            <filter val="MAP SMILE JNT 8077 NO B6 5014 F"/>
            <filter val="GARISAN SET ZX-022 20 CM"/>
            <filter val="GARISAN SET ACRYLIC 20CM GR-180455"/>
            <filter val="STUDY BOARD 604"/>
            <filter val="PENSIL CASE 168-22 KALENG"/>
            <filter val="TAS SM L 2097-1"/>
            <filter val="ASAHAN PAYU 847 KURA-KURA"/>
            <filter val="ASAHAN BEAR 839"/>
            <filter val="GUNTING DAVIS DVL 6"/>
            <filter val="GEL GP 340 SIKA"/>
            <filter val="GUNTING KAIBO"/>
            <filter val="GARISAN SET 019"/>
            <filter val="CRAYON PUTAR 12W PANJANG M 1012"/>
            <filter val="ISOLASI FANCY 15 X 2"/>
            <filter val="GEL 2518"/>
            <filter val="CLIPBOARD ACRYLIC TF MIX"/>
            <filter val="ASAHAN TOPLES KITTY R-5842"/>
            <filter val="DISPENSER KEONG V-TECH 216"/>
            <filter val="BP GEL KOALA GP-168-J KNG"/>
            <filter val="KUAS MAOPI KECIL"/>
            <filter val="PITA KADO 30MM THT 30"/>
            <filter val="KUAS SET 889"/>
            <filter val="BALLPEN CS-651"/>
            <filter val="BENSIA 06 LMH 4M-3 HATI METALIK PENDEK"/>
            <filter val="GARISAN 30 CM ENTER 675"/>
            <filter val="ASAHAN RC 8042"/>
            <filter val="GANTUNGAN KUNCI 706"/>
            <filter val="BP KOXI KX-701 A"/>
            <filter val="JARUM PENTOL BUNGA NO.1 (SERUNI)"/>
            <filter val="ID CARD B1 IMPORT"/>
            <filter val="TAS GLITTER SM 1925 S GLITTER KECIL"/>
            <filter val="NOTEBOOK B0217 (B5）"/>
            <filter val="PALET CAT AIR SAKURA TRANS"/>
            <filter val="TAS BATIK EMAS K"/>
            <filter val="TALI YOYO BUTEK BIRU"/>
            <filter val="GARISAN SABLON 300"/>
            <filter val="KARET PENTIL LEGENDA KECIL"/>
            <filter val="SPIDOL WARNA BRUSH PEN MK 833-12"/>
            <filter val="P CASE SH 06"/>
            <filter val="GARISAN BESI YOEKER 40 CM"/>
            <filter val="CLIP CANDY NO 1"/>
            <filter val="GARISAN BC-8996"/>
            <filter val="TAS 1838-L (TANGGUNG GLITTER)"/>
            <filter val="BP GEL TF-1191 BODY WR 0.3MM HIGHTECH"/>
            <filter val="PITA KADO 50MM TH 50"/>
            <filter val="NB MINI POCKET MB 120 WARNA KULIT"/>
            <filter val="BP GEL 835"/>
            <filter val="BP TIZO TG 31590F FANCY"/>
            <filter val="BP GEL 832"/>
            <filter val="GUNTING 9002A"/>
            <filter val="BP GEL DTIAN DT-835 + STIP"/>
            <filter val="BP GEL 830"/>
            <filter val="ACRYLIC 7X25"/>
            <filter val="N BOOK A5 32X 052"/>
            <filter val="BP 4W TOZCHA 8401"/>
            <filter val="BP GELL 585"/>
            <filter val="BP GP 1016 SILVER"/>
            <filter val="KUAS 251-3 PAGODA"/>
            <filter val="ISOLASI 1503-CD PELANGI"/>
            <filter val="MAP KANCING BF-19 WARNA MIX"/>
            <filter val="GARISAN BUSUR TF 1991"/>
            <filter val="PITA JEPANG MOTIF"/>
            <filter val="PW KIKO 12/24W"/>
            <filter val="ASAHAN PAYU 844"/>
            <filter val="ID CARD 2 SISI TRANSPARANT BIRU"/>
            <filter val="LILIN TY 018 MAGIC"/>
            <filter val="P CASE SH 10"/>
            <filter val="PENCIL CASE B-136"/>
            <filter val="ASAHAN MEJA 9040 A RUMAH"/>
            <filter val="PENCIL CASE B-135"/>
            <filter val="CUTTER ZRM A 300"/>
            <filter val="TAS XM-M 2024-1 GLITTER TANGGUNG"/>
            <filter val="STICKER XTQ-E"/>
            <filter val="STICKER XTQ-F"/>
            <filter val="BUKU MEWARNAI ANGKA SPS"/>
            <filter val="N BOOK 32 8166"/>
            <filter val="ASAHAN 888 J"/>
            <filter val="TAS KADO 804 EMAS KECIL"/>
            <filter val="EXPANDING FILE MICROTOP MT-625 FOLIO"/>
            <filter val="GARISAN ZH-248"/>
            <filter val="LEM WATER GLUE TF 6038"/>
            <filter val="TAS 106 6M TG GLITTER"/>
            <filter val="MECHPEN TIZO G 9008 A"/>
            <filter val="PENSIL CASE AC-2893-3"/>
            <filter val="ASAHAN PAYU 831 IKAN"/>
            <filter val="KERTAS KADO GLITTER POLOS"/>
            <filter val="TAS KADO/ TALI TG 5 MOTIF"/>
            <filter val="PENCIL CASE B-126"/>
            <filter val="GARISAN BESI 15CM (ALUMINIUM)"/>
            <filter val="GARISAN ZH-243"/>
            <filter val="TAS GILAP LYH 804 MOTIF KECIL"/>
            <filter val="PENSIL TF 688"/>
            <filter val="PENCIL CASE B-122"/>
            <filter val="BP ZHIXIN 5037"/>
            <filter val="BP ZHIXIN 5035"/>
            <filter val="TAS 1803 M TG GILAP"/>
            <filter val="MAP REST SIKA 5 WR"/>
            <filter val="BP GEL KOALA GP-168-G PK"/>
            <filter val="PENCIL CASE B-118"/>
            <filter val="BUKU TAMU SPIRAL BUNGA ENTER"/>
            <filter val="KUAS 929-5 ETERNA YIJIAYI"/>
            <filter val="CLIP KAYU 8 GAMBAR MIX"/>
            <filter val="PENSIL 1921116-8"/>
            <filter val="GUNTING 6 (B 023)"/>
            <filter val="CAT ACRYLIC COLOUR PAINT V-TRO"/>
            <filter val="TIPEX 0847"/>
            <filter val="KUAS E01"/>
            <filter val="BALLPEN G 3162"/>
            <filter val="GARISAN 15CM SET 7505"/>
            <filter val="BALLPEN G 3165"/>
            <filter val="CAT ACRYLIC V-TECH"/>
            <filter val="BALLPEN G 3167"/>
            <filter val="GUNTING GUNINDO MM GU03"/>
            <filter val="DOKUMEN RISTLETING BATIK KAIN"/>
            <filter val="PENSIL 2B TF 995"/>
            <filter val="PC PLS 408"/>
            <filter val="MEJA BELAJAR FANCY"/>
            <filter val="PITA KADO 23MM BIASA"/>
            <filter val="L LEAF CEWEK LLP HOLO BARBIE"/>
            <filter val="ASAHAN DMS 038"/>
            <filter val="TIPEX 0857"/>
            <filter val="TAS TG GILAP 1841 (LAMA)"/>
            <filter val="GARISAN ROTARY KCL"/>
            <filter val="ISI GELL DEBOZZ DB GR 550 (24)"/>
            <filter val="BP GEL KOALA GP-168-H HJ MUDA"/>
            <filter val="PITA KADO METALIK 15/ 8 PUTIH"/>
            <filter val="TIPEX DT 5050-4"/>
            <filter val="ISI PENSIL 2B 2.0 DB-IMP062"/>
            <filter val="KERTAS LIPAT ORIGAMI ALFA FLUORESCENT 20 X 20"/>
            <filter val="STICKER QJF-A"/>
            <filter val="CREATIVE PRINTING CP-1"/>
            <filter val="PENCIL CASE 588-181-1 MAGNET"/>
            <filter val="ISOLASI FANCY POLOS HANSA"/>
            <filter val="TALI YOYO HJ TRANSPARAN"/>
            <filter val="B NOTE A5T JHYB 64840"/>
            <filter val="BOX FILE MICROTOP A.618/ 3 SUSUN"/>
            <filter val="MAP KECIL MICROTOP 128"/>
            <filter val="BP GEL BP-A8010"/>
            <filter val="PITA CH-30-1"/>
            <filter val="TAS BATIK TANGGUNG"/>
            <filter val="PC MAGNIT S 30"/>
            <filter val="PENSIL CASE 8300AV TIMBUL"/>
            <filter val="PENSIL 2B KY 3038"/>
            <filter val="BP PELNA 05 HT"/>
            <filter val="LILIN GOLD NO.8"/>
            <filter val="LILIN GOLD NO.7"/>
            <filter val="LILIN GOLD NO.6"/>
            <filter val="MAP REST BIO M SIKA"/>
            <filter val="LILIN GOLD NO.5"/>
            <filter val="STIP KAPSUL 966"/>
            <filter val="LILIN GOLD NO.4"/>
            <filter val="ISI GEL TZ-501 R HITAM"/>
            <filter val="LILIN GOLD NO.3"/>
            <filter val="LILIN GOLD NO.2"/>
            <filter val="LILIN GOLD NO.1"/>
            <filter val="LILIN GOLD NO.0"/>
            <filter val="GARISAN KM-7733"/>
            <filter val="BP GEL BP-A8005"/>
            <filter val="TALI ID CARD PEONY BIRU"/>
            <filter val="PITA SJ-50"/>
            <filter val="P CASE SH-02"/>
            <filter val="STABILLO BRUSH MARKER PEN WB TF-1050 12W"/>
            <filter val="ASAHAN TOPLES GOLDEN (24)"/>
            <filter val="BP GEL GP-801 NEW KOALA MRH"/>
            <filter val="P CASE SH-06"/>
            <filter val="LILIN GOLD NO.9"/>
            <filter val="P CASE KLG 3348"/>
            <filter val="STICK NOTE TF 654-8C"/>
            <filter val="M BOOK 76 BATIK"/>
            <filter val="TAS 33X27 B"/>
            <filter val="ASAHAN DINOSAURUS 8188"/>
            <filter val="CRAYON PUTAR FANCY 12W PANJANG"/>
            <filter val="P CASE SH-10"/>
            <filter val="GARISAN 30CM LIPAT"/>
            <filter val="BP FANCY SANMAO 9891"/>
            <filter val="PENSIL 2B KY 3055"/>
            <filter val="PENSIL 2B KY 3057"/>
            <filter val="BP FANCY SANMAO 9892"/>
            <filter val="CRAYON PUTAR 12W PANJANG MIX 1012"/>
            <filter val="PC MAGNIT AZ 3302"/>
            <filter val="TAS SEP 194"/>
            <filter val="P CASE SH-08"/>
            <filter val="BP GEL DTIAN 837"/>
            <filter val="GUNTING IDEAL K-400"/>
            <filter val="TAS SB 120 BRANDED COWK"/>
            <filter val="PC MAGNIT AZ 3300"/>
            <filter val="PC MAGNIT AZ 3301"/>
            <filter val="TIPEX KERTAS 8538"/>
            <filter val="NOTEBOOK SPIRAL 25100-67"/>
            <filter val="EXPANDING FILE DKFQB-5901"/>
            <filter val="MAP KANCING SIKA AC-05 KUNING"/>
            <filter val="BENSIA ZC 105 PLUIT"/>
            <filter val="ID CARD SET DX 622 ABU-1BU"/>
            <filter val="STICKER KL-70"/>
            <filter val="PALET PLT 009"/>
            <filter val="TAS GILAP BSR MIX"/>
            <filter val="PENSIL CASE KW-1919"/>
            <filter val="PENSIL 933"/>
            <filter val="TIPEX KERTAS XB-B221"/>
            <filter val="TIPEX KERTAS 9458"/>
            <filter val="BP WEIYADA 681 BIRU"/>
            <filter val="DESK SET GASTA 8312"/>
            <filter val="GLITTER POWDER 15GR CC888"/>
            <filter val="ASAHAN MEJA CL 204"/>
            <filter val="LEM FANCY MY 105 (12)"/>
            <filter val="TAS 2850-L (TANGGUNG TIMBUL GLITTER)"/>
            <filter val="PEN HOLDER BULAT HITAM"/>
            <filter val="BENSIA BONEKA MOTIF COWOK 90"/>
            <filter val="PC MAGNIT B 3513-15 (BIASA)"/>
            <filter val="GARISAN UMPTN (50)"/>
            <filter val="ID CARD 501 KUNING"/>
            <filter val="JANGKA SET STARMOON 856"/>
            <filter val="TAS KARUNG 33X27"/>
            <filter val="BALON LKM 2200"/>
            <filter val="BALON LJ 1836 JUMBO"/>
            <filter val="REFILL GEL TECHJOB 1.0"/>
            <filter val="KUAS 929-7 ETERNA YIJIAYI"/>
            <filter val="GEL 9101"/>
            <filter val="TIPEX KERTAS XB-B255"/>
            <filter val="TALI ID CARD PEONY PUTIH"/>
            <filter val="ID CARD 2 SISI TRANSPARANT HITAM"/>
            <filter val="PENCIL CASE K-96"/>
            <filter val="KUAS 21839-10B"/>
            <filter val="PENSIL HB 04"/>
            <filter val="NOTEBOOK 28850-64"/>
            <filter val="STIP RENCAI RC 6016"/>
            <filter val="MAP KANCING SIKA AC-05 HIJAU"/>
            <filter val="NOTEBOOK 28850-62"/>
            <filter val="CUTTER SDI 0406"/>
            <filter val="ISOLASI FANCY CP R"/>
            <filter val="MAP KANCING 2 MICROTOP A6 PARIS"/>
            <filter val="N BOOK SPIRAL JF 390 MIX"/>
            <filter val="PENSIL 2B+ASAHAN 2116"/>
            <filter val="PITA TARIK/KADO 30 JC"/>
            <filter val="PENSIL HB 09"/>
            <filter val="TAS KARUNG 45X33"/>
            <filter val="P CASE REST GS 3219"/>
            <filter val="TIPEX MICROTOP MT 737"/>
            <filter val="BK MEWARNAI IF BJ45"/>
            <filter val="PITA JEPANG NCL"/>
            <filter val="PC PLS 9008 SC"/>
            <filter val="PENSIL 2B KAYAGI PF3051L"/>
            <filter val="BENSIA 06LM1 (6034)"/>
            <filter val="GARISAN TF 1992"/>
            <filter val="GARISAN BESI 30CM GLITER HS 1906 (9030)"/>
            <filter val="BP GEL DTIAN 8801"/>
            <filter val="AGENDA 25K-35-25"/>
            <filter val="MAP FILE EN 1105 F"/>
            <filter val="PENCIL CASE KARTON KK 1299 3D/ 3 SUSUN"/>
            <filter val="GARISAN ELASTIS 15CM GR-2301 (WALITO)"/>
            <filter val="TAS BATIK BRS-ALP"/>
            <filter val="GEL D TIAN GP 619"/>
            <filter val="STIP RENCAI RC 6008"/>
            <filter val="B NOTE A5T JHYB 89706"/>
            <filter val="PW 12W PANJANG DEMO CLASSIC"/>
            <filter val="PENSIL KAYAGI 3062"/>
            <filter val="MECHPEN G 9009 A"/>
            <filter val="NOTEBOOK 25100-62"/>
            <filter val="BUKU MEWARNAI HT 604 A"/>
            <filter val="N BOOK SPIRAL JF-36B (004/005/006)"/>
            <filter val="TALI JEPITAN 5WR"/>
            <filter val="TAS GLITTER TG 5 MOTIF"/>
            <filter val="KUAS SET WLT 6636"/>
            <filter val="KERTAS LIPAT ORIGAMI C 037"/>
            <filter val="BK/ NB A 331B"/>
            <filter val="COIN BANK L"/>
            <filter val="P WARNA TB 8891-12"/>
            <filter val="BALON BL 10082"/>
            <filter val="BANNER B 311"/>
            <filter val="ISI GEL JOSS-268 HITAM"/>
            <filter val="GARISAN TW-8068"/>
            <filter val="GUNTING LIPAT TANGGUNG"/>
            <filter val="NOTEBOOK 25100-71"/>
            <filter val="ASAHAN 888 H (24)"/>
            <filter val="COIN BANK M"/>
            <filter val="COIN BANK S"/>
            <filter val="MAHKOTA EMAS"/>
            <filter val="BP WEIYADA E 681 HITAM"/>
            <filter val="P CASE REST B 109"/>
            <filter val="SAMPUL ROLL MIKA 25CM"/>
            <filter val="TIPEX KERTAS DY-8242"/>
            <filter val="KUAS SET WLT B 5795"/>
            <filter val="PENSIL KAYAGI 3055"/>
            <filter val="TAS SB-117 PARIS KECIL"/>
            <filter val="TALI ID CARD PEONY KUNING"/>
            <filter val="PENSIL KAYAGI 3057"/>
            <filter val="KARET GELANG BESAR"/>
            <filter val="SPIDOL 12W + KUAS DB 218-12"/>
            <filter val="EXPANDING FILE FQB-95309"/>
            <filter val="P WARNA 12W JOSS PANJANG"/>
            <filter val="EXPANDING FILE FQB-95308"/>
            <filter val="GEL ODEMI 977"/>
            <filter val="STICKER JBE-24"/>
            <filter val="CAT ACRYLIC COLOUR TF AC-006M METALIC"/>
            <filter val="TIPEX KERTAS DY-8240"/>
            <filter val="GARISAN BUSUR 180/ 10CM NEW"/>
            <filter val="GUNTACKER R-23"/>
            <filter val="DISPENSER CAMAT"/>
            <filter val="CRAYON 1012 12W PUTAR PANJANG"/>
            <filter val="NOTEBOOK  A5-UN"/>
            <filter val="B NOTE A5 MINION MIX"/>
            <filter val="LOOSE LEAF A5-50LBR DOTED TITIK"/>
            <filter val="PITA KAIN EMAS B"/>
            <filter val="P WARNA KAYAGI 24W CP-0724"/>
            <filter val="PENSIL+STIP MOBIL"/>
            <filter val="WATER COLOUR TFWC-010 (12X6ML)"/>
            <filter val="GARISAN BESI V-TRO 30CM"/>
            <filter val="EXPANDING FILE FQB-38710"/>
            <filter val="SAMPUL SAMSON KWARTO BATIK"/>
            <filter val="ALAT GUNTACKER"/>
            <filter val="PENSIL 2B +STIP 2116"/>
            <filter val="BENSIA LT 1311 SISIR BIASA"/>
            <filter val="ASAHAN DY-349B"/>
            <filter val="CUTTER KENKO 918 C"/>
            <filter val="TAS KADO/ TALI BSR 5 MOTIF"/>
            <filter val="KERTAS MEWARNAI COLORING PAPER CP-1"/>
            <filter val="NOTEBOOK 25100-56"/>
            <filter val="PIANIKA MARVEL BOX KAIN KOPER"/>
            <filter val="PITA TARIK/KADO 30 LS -1"/>
            <filter val="BP GEL TIZO 31762F FANCY"/>
            <filter val="STICK NOTE TF 654 5C"/>
            <filter val="STAPLER (GUN TACKER) 1008F JOSS"/>
            <filter val="BP GEL TIZO TG670"/>
            <filter val="PELNA LAPTOP TABLE"/>
            <filter val="STUDY BOARD DJ3020"/>
            <filter val="STUDY BOARD DJ3022"/>
            <filter val="GARISAN MAL 280 ABJAD"/>
            <filter val="MAP FILE RET 1802-2 A5"/>
            <filter val="TAPE LK-22305"/>
            <filter val="MIKA ROLL K"/>
            <filter val="TAS SPUNBOUND POLOS 30 X 40 TANGGUNG"/>
            <filter val="ALPHABET MAGNIT HURUF AK 17/ 005"/>
            <filter val="PITA KADO 30MM TH 30"/>
            <filter val="STICKER KL-63"/>
            <filter val="TIPEX KERTAS 0888 MINI MIX"/>
            <filter val="MAP ZIPPER JALA A5 SIKA BR"/>
            <filter val="CAT ACRYLIC MARIES ISI 8"/>
            <filter val="BP GEL CS-H764 6WR + STABILLO"/>
            <filter val="STUDY BOARD DJ3017"/>
            <filter val="N BOOK SPIRAL A6 MIX"/>
            <filter val="TAS BATIK B ALPINDO"/>
            <filter val="LOOSE LEAF HOLO BEE SMART A5 MIX"/>
            <filter val="MAGNET 2010T"/>
            <filter val="STAPLER V TECH MOD-10M"/>
            <filter val="GEL GP 3155"/>
            <filter val="SPIDOL 12W 555 YOEKER"/>
            <filter val="PC MAGNIT B 120 S 8065"/>
            <filter val="KUAS 929-1 ETERNA YIJIAYI"/>
            <filter val="STICKER KL 68"/>
            <filter val="TAS BRANDED 28 X 35.5"/>
            <filter val="TAS 2106 GLITTER K-2106"/>
            <filter val="GARISAN 20CM RENTENG CAT MOUSE"/>
            <filter val="TAS SM 180L-1 BESAR GLITTER"/>
            <filter val="GARISAN SABLON 270"/>
            <filter val="PENSIL CASE SH-8702"/>
            <filter val="PENSIL CASE SH-8703"/>
            <filter val="BP GEL 8807 + STIP"/>
            <filter val="PENSIL CASE SH-8704"/>
            <filter val="GARISAN BT 20 CM"/>
            <filter val="PENSIL COLLEN 2B"/>
            <filter val="TIPEX KERTAS 8525"/>
            <filter val="PENSIL CASE SH-8705"/>
            <filter val="GARISAN SET ZX-021 20 CM"/>
            <filter val="BP GEL 9165"/>
            <filter val="BALON LKP 3200"/>
            <filter val="PENSIL CASE SH-8701"/>
            <filter val="BALLPEN DTIAN 812"/>
            <filter val="MESIN LEM KECIL 20W PACMAN 82"/>
            <filter val="GUNTING IDEAL DR 7"/>
            <filter val="GUNTING IDEAL DR 5"/>
            <filter val="BP GEL TIZO TG690"/>
            <filter val="BALON BL 100178 M/ P"/>
            <filter val="ACARRY FILE TOPLA 8830 MIX"/>
            <filter val="PC MAGNIT MINION KT 535"/>
            <filter val="GUNTING MPL"/>
            <filter val="MAP ZIPPER JALA A5 SIKA HT"/>
            <filter val="BALLPEN ZHIXIN CLICK K 15"/>
            <filter val="GARISAN DB P 072 30CM"/>
            <filter val="GUNTING IDEAL K-300"/>
            <filter val="MAP/ ZIPPER BAG TRIX EN 1101"/>
            <filter val="BP 9892"/>
            <filter val="ELEVATED TRAY MICROTOP 602 BESI"/>
            <filter val="TAS KADO 804 SILVER KECIL"/>
            <filter val="BP GEL 9177"/>
            <filter val="BP GEL 9176"/>
            <filter val="KUAS 21839-W"/>
            <filter val="TAK SUSUN 3 SSN BESI"/>
            <filter val="JARUM PENTUL CASE"/>
            <filter val="LEM CAIR BY 820 30ML (24)"/>
            <filter val="GUNTING LIPAT HT KECIL"/>
            <filter val="MAP ZIPPER JALA A5 SIKA HJ"/>
            <filter val="GARISAN 20CM RENTENG FANCY MOUSE"/>
            <filter val="GUNTING RAMBUT TG 690"/>
            <filter val="PENSIL CASE A-777 + CAL"/>
            <filter val="BINDER NOTE HYB - 15802 B5"/>
            <filter val="BP TIZO TG 313B"/>
            <filter val="STICKER JBE-30"/>
            <filter val="BP TIZO TG 30600F FANCY"/>
            <filter val="CAT ACRYLIC ENTER A 912"/>
            <filter val="STICKER JBE-34"/>
            <filter val="CLEAR HOLDER TOPLA 40 LB"/>
            <filter val="STICKER JBE-35"/>
            <filter val="TAPE 1505 FANCY"/>
            <filter val="LABEL HARGA KOJIKO 103"/>
            <filter val="BENSIA 9938 CERMIN KACA (32)"/>
            <filter val="TALI ID CARD SET 168 BR MUDA"/>
            <filter val="GEL SM 910"/>
            <filter val="TAS TUTUP PITA KADO FG-201 TANGGUNG"/>
            <filter val="ASAHAN YM 052"/>
            <filter val="GEL ZHIXIN 5005"/>
            <filter val="ISI GEL V-TRO 2020 HIJAB"/>
            <filter val="KAWAT POTONG TIPIS 7 MACAM"/>
            <filter val="ISI GEL ELSON ES-230 DINO"/>
            <filter val="ID CARD 501 BIRU"/>
            <filter val="GARISAN SET PAYU 9810 20CM"/>
            <filter val="STABILLO VANCO 2W HL 219 ZENDI"/>
            <filter val="MAP BATIK SIKA"/>
            <filter val="PLASTIK PARCEL TRANSP POLOS"/>
            <filter val="GEL GP 3125"/>
            <filter val="TAS BI 3022 TANGGUNG"/>
            <filter val="STICKER JBE-43"/>
            <filter val="ASAHAN PAYU 849 STROBERI"/>
            <filter val="BALON BL 10092"/>
            <filter val="ASAHAN 655"/>
            <filter val="BENSIA 04LM1 (5921"/>
            <filter val="ASAHAN DMS 030"/>
            <filter val="GUNTING INFICO SC 100"/>
            <filter val="PC MAGNIT B 0011"/>
            <filter val="LABEL HARGA KOJIKO 112"/>
            <filter val="MAP HUTANG PIUTANG"/>
            <filter val="PENSIL TM 090 A"/>
            <filter val="BUKU MEWARNAI JUMBO SPS"/>
            <filter val="PENSIL 2B FANCY SET"/>
            <filter val="KUAS 929-3 ETERNA YIJIAYI"/>
            <filter val="P CASE 1504 IF"/>
            <filter val="BUKU MEEWARNAI HT 016"/>
            <filter val="BENSIA LT 1311 KACA SISIR"/>
            <filter val="GEL KOXI 704 A"/>
            <filter val="NOTEBOOK B1019 (B5）"/>
            <filter val="BANNER BALLET B312 BS"/>
            <filter val="MAP ZIPPER JALA A5 SIKA MR"/>
            <filter val="MAP ZIPPER REST A4 16C"/>
            <filter val="CLIP FILE YUSHINCA 318 HT"/>
            <filter val="PENSIL 2B KYPF 3057"/>
            <filter val="TALI YOYO B TRANSPARAN"/>
            <filter val="STUDY BOARD XG-106"/>
            <filter val="SIPOA 8013"/>
            <filter val="PENSIL CASE S-300"/>
            <filter val="BP GEL DTIAN DT 956"/>
            <filter val="TAS NO-1036-M BIASA KECIL"/>
            <filter val="MAP FILE RET 1804-1 A6"/>
            <filter val="CAT ACRYLIC TF 001"/>
            <filter val="GARISAN MIKA ENTER 60 CM"/>
            <filter val="CAT ACRYLIC TF 003"/>
            <filter val="LEM CAIR B.GLUE 75ML T"/>
            <filter val="BLOCK NOTE SPIRAL ENTER 501"/>
            <filter val="LOOSE LEAF HOLO ALFA A5 ZODIAK"/>
            <filter val="GARISAN BT NO 15 SEGITIGA"/>
            <filter val="PENSIL CASE SH-15"/>
            <filter val="BALLPEN G 3125"/>
            <filter val="BALLPEN G 3128"/>
            <filter val="PENSIL CASE SH-10"/>
            <filter val="BP GEL DTIAN A 93"/>
            <filter val="MIKA ROLL TG"/>
            <filter val="MAP KC 335 ENTER"/>
            <filter val="N BOOK SPIRAL XB 72K 1397"/>
            <filter val="BENSIA 10LM1 (6209)"/>
            <filter val="BP GEL TIZO TG 31780F"/>
            <filter val="BP GEL ZHIXIN G 5025"/>
            <filter val="ISI GEL 2022 TRANSFORMER 20 DOZ"/>
            <filter val="KUAS 21839-4"/>
            <filter val="TAS TALI GG-01 KECIL GLITTER"/>
            <filter val="ASAHAN UC-128A"/>
            <filter val="KUAS 21839-7"/>
            <filter val="KUAS 929-2 ETERNA YIJIAYI"/>
            <filter val="PENSIL CASE SH-16"/>
            <filter val="AGENDA 90K 5211"/>
            <filter val="TAS J 2729"/>
            <filter val="TAS TALI GILAP MIX BESAR"/>
            <filter val="TAS KARUNG 70X70"/>
            <filter val="MAP ZIPPER JALA A5 SIKA KN"/>
            <filter val="TAS BRANDED BUKA SAMPING BESAR SB-120"/>
            <filter val="BP TIZO TG 395F"/>
            <filter val="ASAHAN EX 09 ESELON"/>
            <filter val="ISI L LEAF LLP HOLO FANCY"/>
            <filter val="MECHPEN TIZO TM 01500"/>
            <filter val="BP GEL KOALA GP-168-C HJ"/>
            <filter val="BK TAMU BATIK"/>
            <filter val="TOPI ULTAH KERUCUT 3D HT MIX"/>
            <filter val="BP TIANJIAO TZ-501 HITAM"/>
            <filter val="BENSIA CYLN 6203/ 5333"/>
            <filter val="ACRYLIC NT 7X20"/>
            <filter val="BP GEL ZUI XUA HY-1020 HITAM"/>
            <filter val="JARUM PENTUL CASING 1 1/4"/>
            <filter val="PITA CH-30"/>
            <filter val="TAS KARUNG SPOON MOTIF MUKENA"/>
            <filter val="BP GEL ZHIXIN G 5017"/>
            <filter val="BP GEL ZHIXIN G 5013"/>
            <filter val="BENSIA 9935 PLUIT (42)"/>
            <filter val="ACRYLIC PLASTIK KOALA 8X30"/>
            <filter val="GARISAN MAL 270 ANGKA + HURUF"/>
            <filter val="TAS KARUNG TIDUR 40X30"/>
            <filter val="KUAS 929-4 ETERNA YIJIAYI"/>
            <filter val="PITA TARIK/KADO 18 BIASA"/>
            <filter val="PENSIL CASE BH-227"/>
            <filter val="PENSIL 2B KY122 COKLAT"/>
            <filter val="TAS KARUNG 50X55"/>
            <filter val="P CASE REST 777"/>
            <filter val="ASAHAN 006 IKAN (48)"/>
            <filter val="PENSIL 2B KAYAGI 2029"/>
            <filter val="BINDER NOTE JHYB - 89706 A5"/>
            <filter val="STIP W/B ENTER 803 B"/>
            <filter val="GARISAN 30CM ALUMINIUM"/>
            <filter val="PENSIL KAYAGI 3021"/>
            <filter val="PENSIL 2B KAYAGI 2025"/>
            <filter val="PW 8880-12"/>
            <filter val="MAP KANCING SIKA AC-05 MERAH"/>
            <filter val="TAS 2069 GLITTER TIMBUL BESAR"/>
            <filter val="BP GEL ZHIXIN G 5005"/>
            <filter val="PENSIL CASE AD-062"/>
            <filter val="BP GEL DTIAN DT-832 + STIP"/>
            <filter val="ISI GEL ELSON ES-227 TAYO"/>
            <filter val="NOTEBOOK B0196 (A5）"/>
            <filter val="PENSIL CASE SH-04"/>
            <filter val="GARISAN BUSUR ENTER 3.5 MIKA"/>
            <filter val="DOKUMEN RISLETING BOX BATIK"/>
            <filter val="TUSUK SURAT XINGLI XL-001"/>
            <filter val="GUNTING JUNIOR J-500"/>
            <filter val="KARET GELANG KCL"/>
            <filter val="SIMPOA 17 BARIS JAYA"/>
            <filter val="PALET KEPITING DOP"/>
            <filter val="BP GEL WM-7200 CETEK2"/>
            <filter val="PITA KADO 30MM JC30"/>
            <filter val="PITA KADO METALIK 15/ 8 UNGU"/>
            <filter val="JANGKA A5 3328 FANCY"/>
            <filter val="CLIPBOARD SQ KAYU KOTAK"/>
            <filter val="GEL 2801 + 6K"/>
            <filter val="NB POCKET 25-10"/>
            <filter val="PENSIL CASE SH-07"/>
            <filter val="PENSIL CASE SH-06"/>
            <filter val="LILIN ANGKA SHINTOENG NO. 6"/>
            <filter val="KAWAT MIX"/>
            <filter val="LILIN ANGKA SHINTOENG NO. 8"/>
            <filter val="LILIN ANGKA SHINTOENG NO. 9"/>
            <filter val="CLEAR HOLDER RET TOPLA 40LB"/>
            <filter val="PW 12W PANJANG BTS"/>
            <filter val="N BOOK 005 SET STICKER"/>
            <filter val="TALI ID CARD PEONY HITAM"/>
            <filter val="TINTA 18MM"/>
            <filter val="BP GEL GP-801 NEW KOALA HTM"/>
            <filter val="MECHPEN TIZO 01730"/>
            <filter val="BP SIKA GP 002 HT"/>
            <filter val="MAOPLE K"/>
            <filter val="BP GEL DTIAN BIASA 959"/>
            <filter val="ID CARD 2 SISI TRANSPARANT PUTIH"/>
            <filter val="TAS LYSD 229 K"/>
            <filter val="TALI YOYO M TRANSPARAN"/>
            <filter val="GLITTER GF-88 EMAS"/>
            <filter val="GEL ODEMI 989"/>
            <filter val="B NOTE B5 HYB 15802"/>
            <filter val="MAOPLE B"/>
            <filter val="AGENDA 60K 2960"/>
            <filter val="B NOTE B5 HYB 15803"/>
            <filter val="MAP REST A5 SIKA"/>
            <filter val="MAGNET X-3008"/>
            <filter val="PENSIL CASE BH-278"/>
            <filter val="LILIN ANGKA SHINTOENG NO. 1"/>
            <filter val="LILIN ANGKA SHINTOENG NO. 2"/>
            <filter val="ASAHAN 340 KUNING"/>
            <filter val="PENSIL TF 168"/>
            <filter val="LILIN ANGKA SHINTOENG NO. 4"/>
            <filter val="P CASE KK 22 COWOK"/>
            <filter val="LILIN ANGKA SHINTOENG NO. 5"/>
            <filter val="LEM BAKAR KECIL"/>
            <filter val="SAMPUL ROLL DUST 344"/>
            <filter val="ASAHAN 395 B"/>
            <filter val="MAP DATA MICROTOP BS-54 A5"/>
            <filter val="GARISAN MAL 280 ANGKA + HURUF"/>
            <filter val="POST IT WALITO WLT-8909"/>
            <filter val="BP GEL TIZO 31035F FANCY"/>
            <filter val="MAP KCG 2 SIKA"/>
            <filter val="WRITING BOARD JQ-666"/>
            <filter val="ASAHAN DY 395 B"/>
            <filter val="P CASE REST B 123"/>
            <filter val="P CASE REST B 124"/>
            <filter val="GARISAN 984"/>
            <filter val="BP GEL TIZO 1.0 TG31580"/>
            <filter val="GARISAN 20 CM SET SLO 0192"/>
            <filter val="PC MAGNIT DKK 9910"/>
            <filter val="LEM BAKAR STIK 11X29 WOMY PUTIH B"/>
            <filter val="TAS TUTUP PITA KADO FG-401 JUMBO"/>
            <filter val="BALON PUTIH"/>
            <filter val="STABILO DEBOZZ SB 007"/>
            <filter val="GARISAN ROTARY"/>
            <filter val="GARISAN BC-6018"/>
            <filter val="PEMBATAS A5 UTN ISI 5"/>
            <filter val="TAS TG GILAP 1832 (BARU)"/>
            <filter val="TAS C 808 GLITTER KECIL"/>
            <filter val="MIKA ROLL BSR"/>
            <filter val="BENSIA SISIR 1311"/>
            <filter val="TAS BATIK TG"/>
            <filter val="TAS TG GILAP 1873 (BARU)"/>
            <filter val="GUNTING GUNINDO HB65"/>
            <filter val="PENSIL CASE 8300TK TIMBUL"/>
            <filter val="TAS TG GILAP 1842 (LAMA)"/>
            <filter val="GLITTER GF-88"/>
            <filter val="MAP L SIKA AC-105 PUTIH"/>
            <filter val="GARISAN BESI TF 30CM"/>
            <filter val="TAS 1839-L  (TANGGUNG)"/>
            <filter val="TAS LYSD 241 K"/>
            <filter val="TAS KARUNG 60 X 45 X 20"/>
            <filter val="MAP ZIPPER REST SIKA"/>
            <filter val="GARISAN BUSUR TF 1988-180"/>
            <filter val="BK ABSEN"/>
            <filter val="BINDER NOTE GASTA HP 2008 A5"/>
            <filter val="BP FANCY SANMAO 9950"/>
            <filter val="TAS GM-M 106 GLITTER TANGGUNG"/>
            <filter val="BUKU MEWARNAI 8 DESAIN KECIL"/>
            <filter val="STIP W/B GUNINDO 803"/>
            <filter val="O PASTEL TITI 55W"/>
            <filter val="BP GEL 925"/>
            <filter val="GARISAN ENTER 180"/>
            <filter val="BP GEL 922"/>
            <filter val="PC MAGNIT JUMBO KALKULATOR PB33"/>
            <filter val="ISI GEL GR 089 (12PCS TABUNG)"/>
            <filter val="TAS XM-1 2097-1 BESAR GLITTER"/>
            <filter val="TIPEX KERTAS DP-902"/>
            <filter val="CRAYON PUTAR PJG 12W OUQIER"/>
            <filter val="PC MAGNIT A 6682"/>
            <filter val="TALI YOYO MERAH"/>
            <filter val="TAS BATIK T ALPINDO"/>
            <filter val="BP ZHIXIN K-15"/>
            <filter val="BALON FS POLKADOT LKF 3200 PP"/>
            <filter val="BALLPEN TF-729 4W"/>
            <filter val="BP X DATA M1"/>
            <filter val="TOPI ULTAH KERUCUT VITA"/>
            <filter val="BP X DATA M2"/>
            <filter val="TAS TG GILAP 1802 (BARU)"/>
            <filter val="PENSIL TUKANG GEPENG"/>
            <filter val="P WARNA 12W PJG 8891"/>
            <filter val="DOKUMEN RISLETING BRILLIANT"/>
            <filter val="STICKER KARAKTER"/>
            <filter val="COLOURING PAPER THTS-06 MIX"/>
            <filter val="GUNTING TREND SS"/>
            <filter val="NOTEBOOK 76205"/>
            <filter val="BP FANCY SANMAO 9917"/>
            <filter val="TAS SMS-2904 GLITTER KECIL"/>
            <filter val="PENSIL 2B X 001 FANCY"/>
            <filter val="MIKA ROLL KCL"/>
            <filter val="BALON HB LKF 4W LKF 3200 HB4"/>
            <filter val="TIPEX KERTAS DP-912"/>
            <filter val="TAS COKLAT TEBAL TANGGUNG"/>
            <filter val="BUKU MEWARNAI IF BJA"/>
            <filter val="PENSIL 8894-12"/>
            <filter val="CRAYON PUTAR DB 777 18W"/>
            <filter val="TAS 6603 HZD 9192 BESAR GLITTER TIMBUL"/>
            <filter val="GARISAN 30CM BESI 5030 YOEKER ORANGE"/>
            <filter val="BK MEWARNAI JUMBO SJ"/>
            <filter val="TAS BATIK MOTIF KAYU S"/>
            <filter val="PENSIL WARNA KY CP 1224"/>
            <filter val="BN WENGU A5-B 0164 (4W)"/>
            <filter val="P CASE MAGNET 8300 SUSUN 3"/>
            <filter val="GLITTER RENTENG 8891"/>
            <filter val="GARISAN SET ZX 6138"/>
            <filter val="PC REST 1245 FROZEN"/>
            <filter val="TAS BATIK KECIL"/>
            <filter val="TAS KADO TALI KECIL"/>
            <filter val="BP GEL TIZO 30900F FANCY"/>
            <filter val="JARUM PENTIL HIJAB"/>
            <filter val="ASAHAN 722B"/>
            <filter val="ASAHAN 722A"/>
            <filter val="TAS GLITTER BSR 5 MOTIF"/>
            <filter val="ASAHAN KM 9105 F/ FR"/>
            <filter val="BALLPEN JK 224"/>
            <filter val="TAS KARUNG 40 X 50 WIN/ LS"/>
            <filter val="TALI ID CARD PEONY MERAH"/>
            <filter val="PITA JEPANG ROLL POLOS WOMY"/>
            <filter val="STABILLO CS 2001 COSH"/>
            <filter val="MECHPEN TIZO G 9009 A"/>
            <filter val="ASAHAN PAYU 856 ANJING"/>
            <filter val="N BOOK MAGNIT A6 CR 64"/>
            <filter val="STABILLO TOPI"/>
            <filter val="PENSIL TF 788"/>
            <filter val="BP GEL 955"/>
            <filter val="ISI L LEAF A5 STICKER LLP 80"/>
            <filter val="TAS COKLAT POLOS KECIL"/>
            <filter val="ACRYLIC MARKER TF-AM 301-12"/>
            <filter val="JANGKA MT 2506"/>
            <filter val="MAP REST BIO K SIKA"/>
            <filter val="AGENDA 50K 35 50"/>
            <filter val="DOUBLE TAPE FOAM 24MM"/>
            <filter val="PENSIL 09308"/>
            <filter val="KUAS 929-8 ETERNA YIJIAYI"/>
            <filter val="GLITTER GF-32"/>
            <filter val="PEMBATAS L LEAF B5 UTM"/>
            <filter val="STICKY XTQ（333）"/>
            <filter val="Pc B 124"/>
            <filter val="TAS BATIK MJ-1 MERAH"/>
            <filter val="GARISAN GR 2302"/>
            <filter val="ASAHAN TOPLES 25PCS XLG R-5861"/>
            <filter val="BP GEL BP-8793"/>
            <filter val="AGENDA MB 35-50 50K"/>
            <filter val="MAP KCG 2 MOTIF"/>
            <filter val="P CASE KK 22 CEWEK"/>
            <filter val="GUNTING SET SC-826"/>
            <filter val="NOTEBOOK  707-44"/>
            <filter val="NOTEBOOK  707-45"/>
            <filter val="BP GEL 936"/>
            <filter val="PENSIL CASE DZ-32 KALENG"/>
            <filter val="EXPANDING FILE MICROTOP MT-632 F4"/>
            <filter val="BP GEL 935"/>
            <filter val="PALET CAT AIR SAKURA BIASA DOF"/>
            <filter val="ASAHAN TOPLES SP 8865 IKAN"/>
            <filter val="BP GEL 933"/>
            <filter val="KERTAS KREP POTONGAN JERSY"/>
            <filter val="BP GEL 931"/>
            <filter val="BP GEL BP-8785"/>
            <filter val="BP GEL BP-8783"/>
            <filter val="BP GEL BP-8782"/>
            <filter val="BP GEL BP-8781"/>
            <filter val="P CASE REST 1504"/>
            <filter val="LOOSE LEAF BIASA MINION A5"/>
            <filter val="BP TIZO TG 346 C"/>
            <filter val="CAT AIR MARRIES 1325 12W GM &amp; BT"/>
            <filter val="BP TIZO TG 346 B"/>
            <filter val="PPC REST PINK RABBIT4000"/>
            <filter val="BP GEL BP-8788"/>
            <filter val="ACRYLIC PLASTIK KOALA 11X2.5"/>
            <filter val="STICKER NAMA"/>
            <filter val="N BOOK A5 LUCKY NOTES 365"/>
            <filter val="BALLPEN ANTENA LASER LAMPU"/>
            <filter val="STIP FANCY TF 358"/>
            <filter val="BK MEWARNAI BJ45"/>
            <filter val="BP TIZO TG 346 D"/>
            <filter val="TAS KADO SM 2902 KECIL BIASA"/>
            <filter val="BP MAINAN + GANTUNGAN 9082"/>
            <filter val="TAS COKLAT TEBAL BESAR"/>
            <filter val="BALLPEN 12W"/>
            <filter val="POST IT MAGNIT MIX"/>
            <filter val="BP GEL DTIAN DT-227"/>
            <filter val="BP GEL DTIAN DT-225"/>
            <filter val="CAT ACRYLIC COLOUR TF AC-002"/>
            <filter val="LLP HOLO PUZZLE"/>
            <filter val="BP GEL DTIAN DT-221"/>
            <filter val="BP GEL DTIAN DT-222"/>
            <filter val="STICK NOTE WLT 8877"/>
            <filter val="MIKA SAMPUL 34 X 5 TANGGUNG"/>
            <filter val="TALI ID CARD 1.5 MERAH"/>
            <filter val="NOTEBOOK  707-24"/>
            <filter val="GUNTING TREND MM"/>
            <filter val="GARISAN STENSIL BESAR"/>
            <filter val="BALON LKP 3000"/>
            <filter val="TAS TALI GG-02 TANGGUNG GILAP"/>
            <filter val="MESIN LEM TEMBAK WOMY 60WATT"/>
            <filter val="STATIONERY SET 8898"/>
            <filter val="SAMPUL JERSY KWARTO"/>
            <filter val="BP GEL ZUI XUA HY-1020 MERAH"/>
            <filter val="TAS 1833 M GLITTER TG"/>
            <filter val="BALON LOVE 1022 20X5 LKL 2200"/>
            <filter val="BOX FILE 3SSN HUAJIE 618"/>
            <filter val="ISOLASI NATIONAL 20M"/>
            <filter val="GUNTING IDEAL K-500"/>
            <filter val="GUNTING TREND LL"/>
            <filter val="GARISAN 2540"/>
            <filter val="GARISAN BT NO.10"/>
            <filter val="TAS TIDUR BATIK SB/XXL 0121"/>
            <filter val="PENSIL CASE 8300SG TIMBUL"/>
            <filter val="ASAHAN SC 6023"/>
            <filter val="TALI ID CARD PEONY HIJAU"/>
            <filter val="STIP RENCAI RC 6031 (48)"/>
            <filter val="DOKUMEN RISLETING DK 512 AUTENTIK"/>
            <filter val="BENSIA LANTU LT 1311"/>
            <filter val="GARISAN ABC 280"/>
            <filter val="PW TF 194 24W"/>
            <filter val="N BOOK A5 68-10"/>
            <filter val="GARISAN ALUMINIUM 30CM 1530"/>
            <filter val="N BOOK SPIRAL 76"/>
            <filter val="GARISAN BT NO.12"/>
            <filter val="BALLPEN SPIRAL 860"/>
            <filter val="TIPEX KOALA 001"/>
            <filter val="EXPANDING FILE 8LFQB - 55333 + GANTUNGAN"/>
            <filter val="STICKER 955 MIX"/>
            <filter val="MAGIC BOARD 106"/>
            <filter val="NOTEBOOK  707-19"/>
            <filter val="PENSIL X 001"/>
            <filter val="BP GEL DTIAN DT-233"/>
            <filter val="TIPEX SET 0857"/>
            <filter val="KUAS 929-10 ETERNA YIJIAYI"/>
            <filter val="P CASE MAGNET XU-805"/>
            <filter val="BP TIZO TB SG 09"/>
            <filter val="TAS SM 2835 TG GLITTER"/>
            <filter val="TAS TG GILAP 1865 (BARU)"/>
            <filter val="GARISAN ABC 270"/>
            <filter val="GUNTING YOEKER 706"/>
            <filter val="BP GEL KOALA GP-168-F BR TUA"/>
            <filter val="ISOLASI FANCY GRAFINDO"/>
            <filter val="SAMPUL METALIK BOXY WORRY (20)"/>
            <filter val="PALET PLT 006 JOSS"/>
            <filter val="ASAHAN PAYU 845 KEPITING"/>
            <filter val="BP D TIAN 1015"/>
            <filter val="AGENDA CK POLOS"/>
            <filter val="MAP ZIPPER POCKET GAMDORI B5"/>
            <filter val="PC MAGNIT CALL MC 7121"/>
            <filter val="BP GEL DTIAN BIASA 9908"/>
            <filter val="BP GEL 8803 + STIP"/>
            <filter val="GARISAN 95"/>
            <filter val="CLIP BOARD TRIFELO MIS"/>
            <filter val="PENSIL CASE ZL-178-1 MOBIL K"/>
            <filter val="STIP W/B KENJOY LUBANG K"/>
            <filter val="PC MAGNIT KY 779"/>
            <filter val="PC MAGNIT + KUNCI KOMBINASI B 35113-20"/>
            <filter val="TAS TG GILAP 109 (LAMA)"/>
            <filter val="ISI GEL TIZO TG 308-AR"/>
            <filter val="P CASE H 466"/>
            <filter val="TAS KARUNG BG14-001"/>
            <filter val="MAP KANCING 4 UTN MERAH"/>
            <filter val="TIPEX KERTAS 8243"/>
            <filter val="NOTEBOOK SPIRAL JF-39A 001-003"/>
            <filter val="P CASE 3579-19"/>
            <filter val="PEMBATAS LOOSE LEAF NARIKO 690"/>
            <filter val="CAT ACRYLIC COLOUR TF AC-005P PASTEL"/>
            <filter val="ISI GEL ELSON ES-220 BTS"/>
            <filter val="MAP ZIPPER POCKET GAMDORI A5"/>
            <filter val="TAS 1545 KECIL BIASA"/>
            <filter val="ASAHAN 9022"/>
            <filter val="MECHPEN TIZO TM 030-A"/>
            <filter val="MECHPEN TIZO TM 030-C"/>
            <filter val="AGENDA 5674"/>
            <filter val="TAS NO-3026-M GLITTER KECIL"/>
            <filter val="N BOOK Q 64 K 5-001"/>
            <filter val="PALET KUMBANG 1011"/>
            <filter val="TIPEX KERTAS 91040HG"/>
            <filter val="KUAS B-11"/>
            <filter val="ZIPPER FILE CLEAR HOLDER TOPLA 555 20 FILE"/>
            <filter val="SIMPOA 8012"/>
            <filter val="L LEAF A5 LLP 15 BIASA"/>
            <filter val="STICK NOTE WLT 8803"/>
            <filter val="TIPEX KERTAS NO.0847"/>
            <filter val="MESIN LEM TEMBAK BOSCO 5538"/>
            <filter val="ISI GEL V-TRO VRG-2022 TRANSFORMER"/>
            <filter val="ASAHAN 007"/>
            <filter val="W COLOR 21839"/>
            <filter val="PENCIL CASE MAGNIT AC 2829-5"/>
            <filter val="BALLPEN DTIAN BIASA 812"/>
            <filter val="MESIN TEMBAK BIXDONE HE E2010 K (65 BLK) KECIL"/>
            <filter val="TAS 3589-5-4 KECIL"/>
            <filter val="MECHPEN G-0938"/>
            <filter val="BENSIA 09LM1 (6213)"/>
            <filter val="GARISAN 30CM ENTER"/>
            <filter val="PENCIL CASE XLG BD786"/>
            <filter val="BP COSH CS 8501"/>
            <filter val="STIP TRIFELLO TF-377 (24)"/>
            <filter val="TAS 203C GLITTER KECIL"/>
            <filter val="BP COSH CS 8503"/>
            <filter val="BP TIZO TG 31060"/>
            <filter val="MAP L MERAH VTRO"/>
            <filter val="PAPAN WB 25 X 35"/>
            <filter val="TIPEX KY DB 7002"/>
            <filter val="PENCIL CASE MAGNET 8631 + CALL"/>
            <filter val="TIPEX KY DB 7001"/>
            <filter val="ISI BALLOEN GEL 1.0"/>
            <filter val="MAP V-TECH W209 A3"/>
            <filter val="KOMPAS VTECH 45-3"/>
            <filter val="MAGNET 8101"/>
            <filter val="BALON WOMY MERAH"/>
            <filter val="MAGNET 8102"/>
            <filter val="ASAHAN TG3695"/>
            <filter val="PENCIL CASE RET KY 6159"/>
            <filter val="BENSIA 711"/>
            <filter val="P CASE 8300-56-3"/>
            <filter val="BOX FILE KANCING  LIPAT ENTER HITAM"/>
            <filter val="ASAHAN TIKO 544 (24)"/>
            <filter val="BP GEL KOALA GP-168-A MERAH"/>
            <filter val="KARET GELANG KECIL"/>
            <filter val="PITA KADO 50 RENDA"/>
            <filter val="BP TIZO 31810F FANCY"/>
            <filter val="N BOOK SPIRAL JF-36A (001/002/003)"/>
            <filter val="BUKU TAMU ENTER BUNGA"/>
            <filter val="PITA KADO 30MM LS 30"/>
            <filter val="ID CARD 501 B"/>
            <filter val="TAS SM 1035-4 GLITTER TIMBUL KECIL"/>
            <filter val="TAS GM 1800 MT6 GILAP"/>
            <filter val="BUSINESS FILE MICROTOP"/>
            <filter val="ID CARD 501 P"/>
            <filter val="LEM BAKAR K 7X29 H 538 A POLOS"/>
            <filter val="N BOOK 2560"/>
            <filter val="BUKU TAMU BUNGA ENTER"/>
            <filter val="TAS GLITTER SM 105 BESAR"/>
            <filter val="BP GEL DTIAN DT-612"/>
            <filter val="DISPENSER KENJOY 25"/>
            <filter val="TAS NO-3026-L GLITTER TANGGUNG"/>
            <filter val="NOTEBOOK 28825-63"/>
            <filter val="BALLPEN KOALA GP-303"/>
            <filter val="NOTEBOOK 28825-62"/>
            <filter val="GENERAL 220"/>
            <filter val="BUKU MEWARNAI 878"/>
            <filter val="SLIDE BINDER 7MM B"/>
            <filter val="BK/ NB A 342K"/>
            <filter val="N BOOK 25K MB 35-25"/>
            <filter val="KUAS 251-6CJ"/>
            <filter val="CARRY FILE 8820 MIX"/>
            <filter val="TAS 6M 1841 TG GILAP"/>
            <filter val="B NOTE B5 RABBIT"/>
            <filter val="MALAM SHINTOENG 1W POLOS K"/>
            <filter val="BP TIZO TG 31975F FANCY"/>
            <filter val="SAMPUL BOXY FANCY (STOK 26)"/>
            <filter val="GARISAN 050 (SABLON)"/>
            <filter val="GLITTER GF 88 MIX"/>
            <filter val="MAP REST VZ/ B5"/>
            <filter val="BP TF-3115 HIGHTECH KNOCK"/>
            <filter val="BP GEL TIZO 1.0 TG630-A"/>
            <filter val="BK MEWARNAI / FANCY BJ45"/>
            <filter val="BP GEL (706) GP-189"/>
            <filter val="KUAS 251-10 PAGODA"/>
            <filter val="PITA TARIK/KADO 30 THT -1"/>
            <filter val="ISI STAPLER 13/8 JOSS"/>
            <filter val="BP TIZO TG 31475F FANCY"/>
            <filter val="TALI ID CARD SET 168 HIJAU"/>
            <filter val="TAS 1833 L GLITTER BESAR"/>
            <filter val="ISOLASI FANCY POLOS TRANSPARAN"/>
            <filter val="PITA TARIK/KADO 30 LS"/>
            <filter val="LEM BAKAR STIK 7X30 WOMY PUTIH K"/>
            <filter val="TAS TALI GG-03 BESAR GLITTER"/>
            <filter val="GARISAN ABC 300"/>
            <filter val="TAS JASMIN BESAR"/>
            <filter val="MAP REST VZ/ A6"/>
            <filter val="STABILLO DB ST 007"/>
            <filter val="TAS KADO 4007 S-4 KECIL"/>
            <filter val="TAS KARUNG B614-001"/>
            <filter val="WC 12W MOZAKI"/>
            <filter val="BUKU MEWARNAI HT 604"/>
            <filter val="PENCIL CASE XLG BD194-B"/>
            <filter val="LOOSE LEAF A5100 MIX"/>
            <filter val="BENDERA PLST RENTENG TRISULA TALI"/>
            <filter val="KUAS 251-6HB"/>
            <filter val="BP TEACH JOB TG 501"/>
            <filter val="BP GEL DT-236"/>
            <filter val="P CASE KLG K-905"/>
            <filter val="STANDARD BUKU FANCY MIX"/>
            <filter val="BP GEL DT-239"/>
            <filter val="PEN HOLDER HITAM KOTAK"/>
            <filter val="BP GEL DT-238"/>
            <filter val="BP GEL DT 9906"/>
            <filter val="STICK NOTE POST A"/>
            <filter val="TAS GG 1 1833 L BESAR"/>
            <filter val="PENCIL CASE 5864"/>
            <filter val="BULDOG CLIP 3 V-TECH (24) 0024"/>
            <filter val="SAMPUL BUKU BOXY SIKA BATIK"/>
            <filter val="MAGNET ZRM 0840"/>
            <filter val="CALL BELL QJ125"/>
            <filter val="GARISAN LENTUR 30CM FANCY 0030"/>
            <filter val="MAP FABRIC CASE"/>
            <filter val="ID CARD 2 SISI TRANSPARANT KUNING"/>
            <filter val="CRAYON 12W HW"/>
            <filter val="PENCIL CASE 5848"/>
            <filter val="BP V-TRO 239"/>
            <filter val="ASAHAN BOX 166 BEBEK"/>
            <filter val="GARISAN YS 2020"/>
            <filter val="GUNTING STAINLESS SQ 05 B HITAM"/>
            <filter val="TALI YOYO [INK"/>
            <filter val="PENSIL 2B KAYAGI 3060"/>
            <filter val="MAOPIE B"/>
            <filter val="TAS KADO BSR SM L 2097 GLITER"/>
            <filter val="PENSIL CASE 5872"/>
            <filter val="PENCIL CASE RET KY 1203"/>
            <filter val="PENSIL CASE 5871"/>
            <filter val="PENSIL CASE 5870"/>
            <filter val="MAP FILE RET 1802-1 A6"/>
            <filter val="CLIP BOARD TRIFELO"/>
            <filter val="TAS 30X23"/>
            <filter val="BP 7022 KUNCI"/>
            <filter val="ACRYLIC PLASTIK KOALA 7X30"/>
            <filter val="STEMPEL FANCY 2000 G"/>
            <filter val="PENSIL CASE 168-18"/>
            <filter val="STICK NOTE WLT 8894"/>
            <filter val="PENSIL 2B KAYAGI 3057"/>
            <filter val="BALON LMP 2200"/>
            <filter val="SPIDOL GOLDEN 838 12W"/>
            <filter val="P WARNA KAYAGI 12W 1210"/>
            <filter val="PENSIL 2B KAYAGI 3056"/>
            <filter val="PENSIL 2B KAYAGI 3053"/>
            <filter val="BP GEL TF-1190 0.3MM HIGHTECH (B)"/>
            <filter val="DOKUMEN RISLETING INFINITY"/>
            <filter val="BINDER NOTE HYB - 86803 A5"/>
            <filter val="TAS GG 03 SM 1865 MIX"/>
            <filter val="BP V-TRO 237"/>
            <filter val="PENSIL CASE 5843"/>
            <filter val="PENSIL CASE 5842"/>
            <filter val="BP V-TRO 238"/>
            <filter val="BALLPEN ZHIXIN 5019"/>
            <filter val="BP V-TRO 235"/>
            <filter val="PENSIL CASE 5840"/>
            <filter val="BP V-TRO 236"/>
            <filter val="BP V-TRO 231"/>
            <filter val="NOTEBOOK SPIRAL 50100-71"/>
            <filter val="ACRYLIC PLASTIK KOALA 7X25"/>
            <filter val="GUNTING STAINLESS SQ 08 B HITAM"/>
            <filter val="BP V-TRO 217"/>
            <filter val="P CASE REST 9907"/>
            <filter val="PENCIL CASE 5866"/>
            <filter val="ACRYLIC PLASTIK KOALA 7X20"/>
            <filter val="N BOOK SPIRAL A6 114"/>
            <filter val="CEPITAN SAJA"/>
            <filter val="BP TG 501 B"/>
            <filter val="TAS KADO 249 A BSR"/>
            <filter val="LOOSE LEAF HOLO MOBILE LEGENDS A5"/>
            <filter val="BP YOEKER 4W 2357"/>
            <filter val="PENSIL CASE C-9960"/>
            <filter val="PENSIL 2B KAYAGI 3041"/>
            <filter val="PITA TARIK/KADO 50 CM BIASA"/>
            <filter val="TAS BATIK MJ-1 HIJAU"/>
            <filter val="PENSIL G 9008 A"/>
            <filter val="GARISAN ABC 350"/>
            <filter val="GARISAN SEGITIGA KOJIKO NO.6"/>
            <filter val="PENSIL CASE 5853"/>
            <filter val="PENSIL CASE 5851"/>
            <filter val="BP V-TRO 225"/>
            <filter val="BP V-TRO 222"/>
            <filter val="AGENDA 25K (BC 510)"/>
            <filter val="PENSIL CASE 5850"/>
            <filter val="KUAS UTN 661-12"/>
            <filter val="KUAS UTN 661-11"/>
            <filter val="GARISAN SET ZX-015 20 CM"/>
            <filter val="BP GEL BP-A8025"/>
            <filter val="KUAS UTN 661-10"/>
            <filter val="PITA KADO METALIK 15/ 8 MERAH TUA"/>
            <filter val="TAS GMS 2904-5 GLITTER KECIL"/>
            <filter val="KAWAT ROLL 504 5W"/>
            <filter val="BP TIZO TG 31142 F"/>
            <filter val="PENGHAPUS WB CLEAR KCL"/>
            <filter val="KUAS VANART NO.3"/>
            <filter val="GARISAN BESI 30CM FANCY A 300"/>
            <filter val="KUAS VANART NO.2"/>
            <filter val="KUAS VANART NO.1"/>
            <filter val="GARISAN ROTARY 1020 (JOS) BSR"/>
            <filter val="PENSIL HB FANCY"/>
            <filter val="BK MEWARNAI HT 604 A"/>
            <filter val="BP V-TRO 216"/>
            <filter val="PENSIL JUMBO + ASAHAN (458)"/>
            <filter val="PC MAGNIT 35145 (BIASA)"/>
            <filter val="CLEAR HOLDER UTN CH 040 BIRU"/>
            <filter val="ASAHAN 7712"/>
            <filter val="BP TIZO TG 30541F FANCY"/>
            <filter val="BALLPEN MEJA 851"/>
            <filter val="TAS 2106 GLITTER KECIL"/>
            <filter val="PITA TARIK/KADO 30 LIST EMAS (LISMAS)"/>
            <filter val="LILIN ULTAH 33;"/>
            <filter val="BK MEWARNAI SPS"/>
            <filter val="KUAS SET 577-6"/>
            <filter val="ISI L LEAF A5 BIODATA UTN"/>
            <filter val="POST IT MAGNIT"/>
            <filter val="BUSINESS FILE BIG"/>
            <filter val="BP TIZO TG 30802F S3 FANCY"/>
            <filter val="BALLPEN MEJA 860"/>
            <filter val="ISI PENSIL VTRO"/>
            <filter val="BN RABBIT KOALA A5"/>
            <filter val="MAP REST A6 UTN PARIS"/>
            <filter val="TAS 9155 GLITTER KECIL"/>
            <filter val="ID CARD B2 IMPORT"/>
            <filter val="TAS 280 GLITTER TIMBUL TG"/>
            <filter val="PITA TARIK/KADO 30 CM BIASA"/>
            <filter val="ASAHAN HIPPO X357"/>
            <filter val="STABILLO JK J-356"/>
            <filter val="BP TIZO TG 3302 KLIK"/>
            <filter val="ASAHAN PAYU 830 KUPU-KUPU"/>
            <filter val="STANDART BUKU FANCY"/>
            <filter val="GEL TG 31780 F"/>
            <filter val="TAS BATIK MICROTOP KECIL"/>
            <filter val="MATERAI 25861"/>
            <filter val="P CASE GA 26"/>
            <filter val="P CASE GA 25"/>
            <filter val="GANTUNGAN KUNCI + AIR GLITER 706-1"/>
            <filter val="P CASE GA 28"/>
            <filter val="GUNTING CUKUR JB-004"/>
            <filter val="GARISAN KAYU ENTER 1 METER"/>
            <filter val="SAMPUL ROLL DUST 254"/>
            <filter val="GUNTING JUNIOR J 200"/>
            <filter val="BP DEBOZZ 0.28 DB-GP 800 HI-Q"/>
            <filter val="MAP FILE EN 0103F"/>
            <filter val="ASAHAN 9910"/>
            <filter val="PENCIL CASE DZ-8057 MAGNET"/>
            <filter val="SELANG PIANIKA SP 12 (1) 246"/>
            <filter val="PENCIL CASE KALENG H-9888"/>
            <filter val="TAS TALI GLITTER TG 105"/>
            <filter val="MAP DATA MICROTOP BS-55 B5"/>
            <filter val="TAS TALI 263 GLITTER TANGGUNG"/>
            <filter val="BP GEL TF-1190 0.3MM HIGHTECH (H)"/>
            <filter val="SIPOA MOSHI-MOSHI K"/>
            <filter val="MECHPEN TIZO G 09308 24PCS"/>
            <filter val="KUAS 251-8 PAGODA"/>
            <filter val="BLOCK NOTE SPIRAL ENTER 404"/>
            <filter val="BLOCK NOTE SPIRAL ENTER 403"/>
            <filter val="BP GEL 837 + STIP"/>
            <filter val="CLIP BOARD KAYU"/>
            <filter val="KUAS K5NIL"/>
            <filter val="PENCIL CASE KALENG B233 MOBIL"/>
            <filter val="TALI YOYO HITAM"/>
            <filter val="TAS BATIK EMAS KECIL"/>
            <filter val="BP DB 550"/>
            <filter val="GARISAN AURA"/>
            <filter val="ISI GEL 2017 SUPER HERO 20 DOZ"/>
            <filter val="BK MEWARNAI BJA"/>
            <filter val="TAS TALI GG-01 KECIL TIMBUL"/>
            <filter val="MAGNET 2012"/>
            <filter val="P CASE BOX MAGNIT MY 004"/>
            <filter val="CAT AIR OPINI 120"/>
            <filter val="MIKA 10.5 X 16"/>
            <filter val="DOKUMEN RISLETING NEW DIPLOMAT"/>
            <filter val="BP DEBOZZ DB G 028 CLICK"/>
            <filter val="TAS GLITTER KCL 5 MOTIF"/>
            <filter val="OIL PASTEL DEBOZZ 12W"/>
            <filter val="STABILLO HL 520"/>
            <filter val="ASAHAN 8608"/>
            <filter val="GARISAN BESI 30CM JOS (PETI) IMPORTER"/>
            <filter val="SULING YAMAHA"/>
            <filter val="TAS TUTUP PITA KADO FG-101 KECIL"/>
            <filter val="BP GEL 7502 / 3211"/>
            <filter val="AGENDA 25 K MB 35 25"/>
            <filter val="ASAHAN 906"/>
            <filter val="BINDER NOTE WENGU A5-60 FPHY 001"/>
            <filter val="CAT AIR OPINI 110"/>
            <filter val="TALI ID CARD SET 168 BR TUA"/>
            <filter val="TAS XMS-52083 G;ITTER KECIL"/>
            <filter val="OIL PASTEL HW 12"/>
            <filter val="L LEAF A5-50 KOTAK BESAR"/>
            <filter val="PENSIL CASE A-870"/>
            <filter val="BK MEWARNAI BJP"/>
            <filter val="P WARNA 24 W KYCP 0724"/>
            <filter val="TAS KADO SM 1925L-4 GLITTER KECIL"/>
            <filter val="BUSINESS FILE SIKA AC-106 HIJAU"/>
            <filter val="TAS KAIN POLOS 38 X 45"/>
            <filter val="PENSIL 2B KYPF 2029"/>
            <filter val="MAP ZIPPER A5-16C 5 MACAM"/>
            <filter val="MECHPEN DF 125"/>
            <filter val="GEL SIKA GP 340"/>
            <filter val="TAS NO-1036-M/ K"/>
            <filter val="LOOSE LEAF A5-50LBR RAINBOW POLOS"/>
            <filter val="GEL ZHIXIN K-15"/>
            <filter val="PENSIL TF 288"/>
            <filter val="AGENDA 48K HITAM 513"/>
            <filter val="PITA KADO TH-50"/>
            <filter val="P WARNA KAYAGI 12W CP 1210"/>
            <filter val="POST IT FANCY PLASTIK"/>
            <filter val="BKGAMBAR SIKA"/>
            <filter val="PITA KADO 30MM RENDA"/>
            <filter val="N BOOK SPIRAL Q32K S002"/>
            <filter val="GARISAN BESI TF 100 CM"/>
            <filter val="ALPHABET HURUF ABC 8715"/>
            <filter val="NOTEBOOK B1012 (A5）"/>
            <filter val="KAWAT 504 MIX"/>
            <filter val="PENSIL UNICORN P588 (50)"/>
            <filter val="PALET SAKURA KEPITING"/>
            <filter val="MAP KANCING SIKA AC-05 BIRU"/>
            <filter val="ASAHAN PAYU 827 ANGSA"/>
            <filter val="TAS LYSD 234"/>
            <filter val="PENSIL CASE WLT9902"/>
            <filter val="PENSIL CASE WLT9903"/>
            <filter val="MAP ZIPPER A5 MOSHI"/>
            <filter val="MAGNET 2008"/>
            <filter val="BP GEL ZHIXIN 5005"/>
            <filter val="MAHKOTA PERAK"/>
            <filter val="STICK NOTE TF-010"/>
            <filter val="NOTEBOOK B1018 (B5）"/>
            <filter val="BK MEWARNAI JQ 990-2"/>
            <filter val="CAT ACRYLIC PACMAN"/>
            <filter val="PENSIL + STIP BONEKA"/>
            <filter val="MAGNET G-05"/>
            <filter val="PEMBATAS B5 UTN"/>
            <filter val="MAP FILE RET 1804-3 B5"/>
            <filter val="ACRYLIC 8 X 25"/>
            <filter val="PW 12W PANJANG KOALA"/>
            <filter val="MAP ZIPPER REST WARNA"/>
            <filter val="TEMPELAN KACA 6"/>
            <filter val="TEMPELAN KACA 5"/>
            <filter val="ACRYLIC 8 X 20"/>
            <filter val="MAP A-54 MICROTOP"/>
            <filter val="B NOTE A5T JHYB 86803"/>
            <filter val="B NOTE A5T JHYB 86804"/>
            <filter val="PENSIL KY*3041"/>
            <filter val="NB SPIRAL A6 SQY 190402"/>
            <filter val="B NOTE A5T JHYB 86801"/>
            <filter val="BP PELNA ULIR 01 HT"/>
            <filter val="B NOTE A5T JHYB 86802"/>
            <filter val="TAS HD 234"/>
            <filter val="UNDANGAN ULTAH ANAK PON 233"/>
            <filter val="EXPANDING FILE V-TECH 4512 B5"/>
            <filter val="MAP REST 1928 TOPLA"/>
            <filter val="BK/ NB A 326K(4)"/>
            <filter val="BP TIZO TG 31035F FANCY"/>
            <filter val="GUNTING JUNIOR J-300"/>
            <filter val="ISI L LEAF HOLO HK 100 GRAM"/>
            <filter val="BALON LKM 2800"/>
            <filter val="BP GEL ZHIXIN G 3137"/>
            <filter val="BP GEL ZHIXIN G 3139"/>
            <filter val="BN WENGU A5-B 0164 (3W)"/>
            <filter val="GARISAN BESI 1M TP"/>
            <filter val="GUNTING STAINLESS SQ 5006 C WARNA"/>
            <filter val="BP GEL A8001"/>
            <filter val="BALON DOF 12&quot; RI PUTIH"/>
            <filter val="BP TRIX 150"/>
            <filter val="GEL TG 33404-2"/>
            <filter val="TIPEX KERTAS NO.8017"/>
            <filter val="TIPEX KERTAS NO.8018"/>
            <filter val="KUAS JOSS E-05"/>
            <filter val="GARISAN ZH-251 20 CM"/>
            <filter val="MAP DATA MICROTOP BS-53 A6"/>
            <filter val="CLIP BOARD 2 MUKA WB CEWEK"/>
            <filter val="TAS KADO GGS SM 105 GLITTER KECIL"/>
            <filter val="GARISAN BESI 30CM 5030 YOEKER ORANGE"/>
            <filter val="PITA KADO 23MM GARIS EMAS"/>
            <filter val="BP GEL ZHIXIN G 3125"/>
            <filter val="BP GEL + GANTUNGAN 9169"/>
            <filter val="MECHPEN TIZO G 9006 A"/>
            <filter val="KUAS UTN 661-9"/>
            <filter val="BP GEL ZHIXIN G 3128"/>
            <filter val="KARTU UNDANGAN ANAK BESAR A1100"/>
            <filter val="BP GEL ZHIXIN G 3122"/>
            <filter val="BP B155 (0366)"/>
            <filter val="GARISAN 30CM FANCY GLITTER"/>
            <filter val="GARISAN LIPAT 008 (40) 30 CM FANCY"/>
            <filter val="BK MEWARNA + CERITA"/>
            <filter val="BP TF-2037 6W"/>
            <filter val="KUAS UTN 661-2"/>
            <filter val="BP GEL KOALA GP-168-B BR"/>
            <filter val="KUAS UTN 661-1"/>
            <filter val="KUAS UTN 661-4"/>
            <filter val="DISPENSER PLAKBAND BESI A 806 MOSHI-MOSHI"/>
            <filter val="KUAS UTN 661-3"/>
            <filter val="LOOSE LEAF BEE SMART COWOK"/>
            <filter val="KUAS UTN 661-6"/>
            <filter val="BP GEL ZHIXIN G 3129"/>
            <filter val="KUAS UTN 661-5"/>
            <filter val="KUAS UTN 661-8"/>
            <filter val="BP GEL + GANTUNGAN 9166"/>
            <filter val="STIP RC 6034"/>
            <filter val="PENSIL TF 488"/>
            <filter val="TAS 61 GLITTER KECIL MIX"/>
            <filter val="KUAS UTN 661-7"/>
            <filter val="KUAS SET 251-6CB"/>
            <filter val="BP GEL + GANTUNGAN 9170"/>
            <filter val="P WARNA 12W PENDEK IF"/>
            <filter val="CUTTER KENKO L 500"/>
            <filter val="HURUF MAGNIT 8550 B"/>
            <filter val="STICKER JN-H"/>
            <filter val="MAP ZIPPER REST B5 234561-2"/>
            <filter val="TAS BATIK SB XXL-0121"/>
            <filter val="BNS XB 72K 1273"/>
            <filter val="HURUF MAGNIT 8550 A"/>
            <filter val="JANGKA MS-4001 KOALA"/>
            <filter val="MAP TALI SIKA MERAH"/>
            <filter val="BP GEL + GANTUNGAN 9173"/>
            <filter val="NOTEBOOK 70100-2"/>
            <filter val="STICKER JN-S"/>
            <filter val="MAP KANCING SIKA AC-05 PUTIH"/>
            <filter val="BP GEL ZHIXIN G 3118"/>
            <filter val="BP GEL ZHIXIN G 3119"/>
            <filter val="GARISAN 15CM 536-750 CARTOON NETWORK (48)"/>
            <filter val="PENSIL CASE BX-3971"/>
            <filter val="PENSIL NB06"/>
            <filter val="CLEAR HOLDER RET TOPLA 20LB"/>
            <filter val="BULDOG CLIP 4 V-TECH (18) 0023"/>
            <filter val="PENSIL NB04"/>
            <filter val="TAS KARUNG 60 X 45"/>
            <filter val="TALI JEPITAN ORANGE"/>
            <filter val="PENSIL CASE A-6500"/>
            <filter val="TIPEX PEN 001 C7061"/>
            <filter val="KUAS SET B-6636"/>
            <filter val="TAS BATIK MICROTOP 0218 TANGGUNG"/>
            <filter val="GARISAN 30CM LIPAT CV-5012 (24)"/>
            <filter val="ASAHAN 3006 PESAWAT (45)"/>
            <filter val="BALON WOMY PUTIH"/>
            <filter val="ASAHAN 0310 WTP 103"/>
            <filter val="PENCIL CASE H-9905 KLG"/>
            <filter val="KARET GELANG BESAR UTN"/>
            <filter val="GUNTING LIPAT BESAR"/>
            <filter val="PITA KADO 50MM THT 50 1"/>
            <filter val="SLIDE BINDER 7MM K PUTIH"/>
            <filter val="BP GEL ZHIXIN G 3109"/>
            <filter val="ASAHAN PAYU 823 AYAM"/>
            <filter val="CAT ACRYLIC A12 - 9 12W"/>
            <filter val="BP GEL TIZO 31590E FANCY"/>
            <filter val="MAP DATA FC 53"/>
            <filter val="BP GEL TIZO TG 348F FANCY"/>
            <filter val="AGENDA 100K 72100"/>
            <filter val="STAMP 1000"/>
            <filter val="NOTEBOOK  A5-105"/>
            <filter val="NOTEBOOK  A5-106"/>
            <filter val="NOTEBOOK  A5-107"/>
            <filter val="GARISAN MIKA 40CM ENTER"/>
            <filter val="NOTEBOOK  A5-103"/>
            <filter val="NB POCKET 2507"/>
            <filter val="NOTEBOOK  A5-104"/>
            <filter val="PITA TARIK/KADO 30 THT"/>
            <filter val="PENSIL G 9001 A"/>
            <filter val="TAS GLITTER 690 TIMBUL TANGGUNG"/>
            <filter val="AGENDA 7025-25K (BC 333)"/>
            <filter val="KACA PEMBESAR 100"/>
            <filter val="BP GEL ZHIXIN 3125"/>
            <filter val="KERTAS LIPAT ORIGAMI ALFA FLUORESCENT 12 X 12"/>
            <filter val="PENCIL CASE XLG BD814"/>
            <filter val="ISOLASI 1503-CD BIASA"/>
            <filter val="PENSIL TF 88 BATIK"/>
            <filter val="BINDER NOTE WENGU A5 FPHY 002"/>
            <filter val="TAS KADO BATIK PANJANG"/>
            <filter val="BP GEL KOALA GP-168"/>
            <filter val="BP GEL ZHIXIN 3119"/>
            <filter val="TAS TUTUP PITA MINI"/>
            <filter val="KUAS ENTER 11"/>
            <filter val="KUAS ENTER 12"/>
            <filter val="PENSIL CASE A-207"/>
            <filter val="ISI STAPLER NOVUS NO.10"/>
            <filter val="ISI BENSIA"/>
            <filter val="ISOLASI FANCY 612"/>
            <filter val="KUAS 251-6 PAGODA"/>
            <filter val="BN 7102 A5-20"/>
            <filter val="GARISAN ELASTIS 30CM GR-2303 (WALITO)"/>
            <filter val="BOX FILE MICROTOP A.648/ 4 SUSUN"/>
            <filter val="BUSINESS FILE SIKA AC-106 KUNING"/>
            <filter val="BP GEL + GANTUNGAN A931"/>
            <filter val="BENSIA RUMBAL GLITTER"/>
            <filter val="ISI PENSIL DB IMP-096"/>
            <filter val="GLITTER RENTENG SILVER"/>
            <filter val="ASAHAN XL 378"/>
            <filter val="KUAS SET 255-16"/>
            <filter val="PENCIL CASE 5815"/>
            <filter val="BENSIA 08LM1 (6221)"/>
            <filter val="ISI L LEAF HOLO ZODIAC"/>
            <filter val="PENCIL CASE 5811"/>
            <filter val="MAP ZIPPER KANCING 2 SIKA BIRU"/>
            <filter val="PUZZZLE B 6661"/>
            <filter val="ISOLASI FANCY 1503 PELANGI"/>
            <filter val="PENSIL CASE 168-35"/>
            <filter val="BP GEL KOALA GP-168-E OR"/>
            <filter val="TAS 2066-1 B GLITTER"/>
            <filter val="N BOOK MAGNIT A6 CK64"/>
            <filter val="PENCIL CASE XLG BD838"/>
            <filter val="BENSIA ZC 131 FAN (30 BOX) ISI 48"/>
            <filter val="PEMBATAS A5 UTN"/>
            <filter val="ASAHAN PAYU 851 PERMEN"/>
            <filter val="BP DEBOZZ 0.28 DB-GP 800 BIRU"/>
            <filter val="PENSIL CASE KW-1717"/>
            <filter val="B NOTE A5 RABBIT"/>
            <filter val="TALI TAMBANG 2808 GLITTER TIMBUL TANGGUNG"/>
            <filter val="MAP A4 6-J-018"/>
            <filter val="PENSIL CASE 168-21"/>
            <filter val="BP GEL TIZO 31763F FANCY"/>
            <filter val="PENSIL CASE 168-20"/>
            <filter val="LOOSE LEAF HOLO PRINCESS A5"/>
            <filter val="PAPAN WHITE BOARD XG POLOS 25 X 35"/>
            <filter val="BP COSH CS 8601"/>
            <filter val="PENSIL CASE 8300D TIMBUL"/>
            <filter val="PITA KADO 30MM GARIS EMAS"/>
            <filter val="PENSIL CASE 168-28"/>
            <filter val="ISOLASI FANCY 1503 BIASA"/>
            <filter val="PENSIL CASE 168-27"/>
            <filter val="PENSIL CASE 168-26"/>
            <filter val="ASAHAN GOZTAR GS 387"/>
            <filter val="PW KY CF 1224"/>
            <filter val="PENSIL CASE 168-25"/>
            <filter val="B NOTE A5 FANCY 1603"/>
            <filter val="ASAHAN TOPLES TR 385 HIPPO (54)"/>
            <filter val="KUAS G 02"/>
            <filter val="GARISAN 20CM 2011(10)/ 2010(2)"/>
            <filter val="BINDER NOTE HYB - 86804 A5"/>
            <filter val="ISI BENSIA LANTU LT 1132"/>
            <filter val="TAS 30X20"/>
            <filter val="TAS GLITTER SM 105 L BESAR"/>
            <filter val="TAS KADO/ TALI KCL 5 MOTIF"/>
            <filter val="JANGKA TOZCHA TZ 8186"/>
            <filter val="PITA KADO METALIK 15/ 8 EMAS"/>
            <filter val="GARISAN 18CM 322 (84) TRANSFORMER"/>
            <filter val="BALON MERAH"/>
            <filter val="TAS KERTAS 8853A"/>
            <filter val="CRAYON PUTAR FANCY 1011/2011 PENDEK CEWEK COWOK 12W"/>
            <filter val="PENSIL CASE KD-50J"/>
            <filter val="ASAHAN TR-3006"/>
            <filter val="TIPEX KERTAS 0821"/>
            <filter val="TAS BATIK TG MICROTOP PB S0218 Q"/>
            <filter val="GARISAN KM-8833"/>
            <filter val="KUAS SHINING A5-1"/>
            <filter val="PENSIL TF 888"/>
            <filter val="GARISAN 030-3"/>
            <filter val="ASAHAN 717A"/>
            <filter val="MAP ZIPPER KANCING 2 SIKA KUNING"/>
            <filter val="ASAHAN TIKO 0531"/>
            <filter val="CUTTER TACO 88 BESAR"/>
            <filter val="PENSIL CASE 5813"/>
            <filter val="PENCIL CASE XLG BD861"/>
            <filter val="WATER COLOUR ACRYLIC 12W MOZAKI"/>
            <filter val="PENCIL CASE XLG BD860"/>
            <filter val="PALET KUMBANG 1101"/>
            <filter val="BP D TIAN 108"/>
            <filter val="N BOOK 1003575"/>
            <filter val="STICK NOTE WLT 8961"/>
            <filter val="STICK NOTE WLT 8963"/>
            <filter val="BULLDOG CLIP T-4"/>
            <filter val="BP MAINAN 99096"/>
            <filter val="MAP TALI SIKA BIRU"/>
            <filter val="BP GEL TIZO 31037F FANCY"/>
            <filter val="STICKER YLD"/>
            <filter val="LOOSE LEAF HOLO A5 SOFIA"/>
            <filter val="TAS BRANDED TANGGUNG SB-116"/>
            <filter val="ZIPPER FILE CLEAR HOLDER TOPLA 555 40 FILE"/>
            <filter val="PALET 21839-12"/>
            <filter val="PENSIL TUKANG GREATWALL"/>
            <filter val="TAS BATIK KC-B5 MH"/>
            <filter val="KACA PEMBESAR 75"/>
            <filter val="ID CARD BEKNN PUTIH"/>
            <filter val="ASAHAN 344"/>
            <filter val="KAWAT POTONG EMAS TIPIS"/>
            <filter val="STUDY BOARD 878"/>
            <filter val="GLITTER GF 88 SI;VER"/>
            <filter val="TALI JEPITAN MERAH"/>
            <filter val="PITA JEPANG POLOS"/>
            <filter val="WATER COLOR TF 1331 PP"/>
            <filter val="KUAS Y-03"/>
            <filter val="KUAS Y-02"/>
            <filter val="KUAS Y-01"/>
            <filter val="PW 9999-12"/>
            <filter val="TAS GLITTER 1833M TG GLITTER"/>
            <filter val="GARISAN ENTER TEBAL NO.4"/>
            <filter val="KUAS Y-04"/>
            <filter val="GARISAN KAYAGI 3124 30CM"/>
            <filter val="TAS S/B 223 M TIKAR"/>
            <filter val="NOTEBOOK  A5-508"/>
            <filter val="MAP REST SIKA KWARTO 4WR"/>
            <filter val="KUAS TF ART TF-2023"/>
            <filter val="GARISAN SET BJ 20136"/>
            <filter val="TAS BG14 001"/>
            <filter val="FULPEN HERO"/>
            <filter val="DOKUMEN RST HD-55"/>
            <filter val="TAS GILAP TG 5 MOTIF"/>
            <filter val="TIPEX KERTAS NO.9304"/>
            <filter val="TIPEX KERTAS NO.8458"/>
            <filter val="KACA PEMBESAR 50"/>
            <filter val="TIPEX (706) 001"/>
            <filter val="ASAHAN NO.8807"/>
            <filter val="HOOKS 4.5CM GANTUNGAN BAJU"/>
            <filter val="STICK NOTE WLT 8923"/>
            <filter val="PENSIL CASE A-1037 + CAL"/>
            <filter val="BENSIA RUMBAL METALIK"/>
            <filter val="SERBUK EMAS"/>
            <filter val="BENSIA DINO 08 LM1"/>
            <filter val="KUAS 251-12 PAGODA"/>
            <filter val="PC MAGNIT XU 0084"/>
            <filter val="JARUM CASING"/>
            <filter val="BINDER NOTE B5-60 FPHY 001"/>
            <filter val="BINDER NOTE B5-60 FPHY 002"/>
            <filter val="ASAHAN XH8082"/>
            <filter val="TALI ID CARD SET 168 ABU ABU"/>
            <filter val="STEMPEL 2000"/>
            <filter val="DOKUMEN RISLETING DK-520"/>
            <filter val="JARUM PENTUL HIJAB"/>
            <filter val="P WARNA 12W PANJANG 8881"/>
            <filter val="JANGKA BESI 4001 BOFA"/>
            <filter val="TAS 8866 B TIMBUL GLITTER BESAR"/>
            <filter val="ASAHAN XH8077"/>
            <filter val="NOTEBOOK  A5-521"/>
            <filter val="ASAHAN 371"/>
            <filter val="CEPITAN KAYU"/>
            <filter val="STABILLO TOZCHA TZ 8001"/>
            <filter val="TAS GM 1803-4 GILAP TANGGUNG"/>
            <filter val="PW VANCO 12W PJG ZOO"/>
            <filter val="BUSINESS FILE SIKA AC-106 MERAH"/>
            <filter val="ASAHAN DY-347"/>
            <filter val="ASAHAN DY 393 B"/>
            <filter val="GARISAN TF-1191"/>
            <filter val="STABILLO TF MINI 105"/>
            <filter val="ASAHAN 814"/>
            <filter val="BP STAND PEN B 9212"/>
            <filter val="ID CARD A3"/>
            <filter val="TAS KARUNG 40X45"/>
            <filter val="GARISAN 4317"/>
            <filter val="GEL 1088"/>
            <filter val="BP ZHIXIN 3129"/>
            <filter val="GARISAN 4311"/>
            <filter val="MAP REST WARNA 4WR"/>
            <filter val="GARISAN 30CM MICROTOP 930"/>
            <filter val="TAS TIDUR SB 120 BRANDED"/>
            <filter val="TAS TALI GG-02 TANGGUNG GLITTER"/>
            <filter val="MAP TALI SIKA KUNING"/>
            <filter val="PW PASTEL TF 195 12W"/>
            <filter val="TAS MJ-1 KCL HIJAU"/>
            <filter val="ASAHAN 8095"/>
            <filter val="POMPA BALON"/>
            <filter val="ASAHAN 8096"/>
            <filter val="BP ZHIXIN ZH 102"/>
            <filter val="CLIP FILE YUSHINCA C-322"/>
            <filter val="PENCIL CASE RET KY 1123"/>
            <filter val="TAS TUTUP PITA KADO FG-301 BESAR"/>
            <filter val="ISI GEL ELSON ES-228 SUPER HEROES"/>
            <filter val="MAP TALI SIKA HIJAU"/>
            <filter val="BP DEBOZZ DB G 05"/>
            <filter val="BP DEBOZZ DB G 07"/>
            <filter val="BP DEBOZZ DB G 09"/>
            <filter val="TALI YOYO HIJAU"/>
            <filter val="GARISAN SET 7006"/>
            <filter val="BP TIZO TG340 HITAM"/>
            <filter val="PENSIL CASE 6A-28"/>
            <filter val="PITA TARIK/KADO 18 LS"/>
            <filter val="ID CARD 2 SISI TRANSPARANT HIJAU"/>
            <filter val="PENSIL CASE 6A-26"/>
            <filter val="PENSIL CASE 6A-25"/>
            <filter val="BP 7064"/>
            <filter val="GARISAN KT005"/>
            <filter val="BUKU MEWARNAI DM 2206"/>
            <filter val="PENSIL KY 3055"/>
            <filter val="ID CARD 501 PUTIH"/>
            <filter val="MAP REST TN 15"/>
            <filter val="BP 994 4 WARNA"/>
            <filter val="TALI JEPITAN BIRU"/>
            <filter val="TAS BATIK KC MICROTOP PB S0218 A"/>
            <filter val="CLIP FILE YUSHINCA 318 BIRU TUA"/>
            <filter val="GARISAN KM-8833L"/>
            <filter val="N BOOK A6 6801"/>
            <filter val="SAMPUL BOXY OPP ALEXANDER"/>
            <filter val="BP 7054"/>
            <filter val="GARISAN BT 30 CM"/>
            <filter val="JARUM CASING KOTAK 1.5"/>
            <filter val="GARISAN 308"/>
            <filter val="TAS POLOS 804/ 832/ 838"/>
            <filter val="ISI GEL ELSON ES-223"/>
            <filter val="ASAHAN MEJA S 5227"/>
            <filter val="MAP TENTENG ZF 830"/>
            <filter val="DOKUMEN RISLETING STATEMENT"/>
            <filter val="BP GEL TIZO 30734F FANCY"/>
            <filter val="BUKU MEARNAI SPS"/>
            <filter val="MAP ZIPPER REST B4 NCL"/>
            <filter val="STABILLO TF-1145 LIVE COLOUR PASTEL"/>
            <filter val="MECHPEN G 9007 A"/>
            <filter val="GARISAN 100CM BESI"/>
            <filter val="L LEAF A5 FANCY"/>
            <filter val="MAGNET 8011-6"/>
            <filter val="BUKU MEWARNAI 23"/>
            <filter val="BP GEL DTIAN DT-830 + STIP"/>
            <filter val="PALET CAT AIR SAKURA PUTIH UTN"/>
            <filter val="BP ZHIXIN 3568"/>
            <filter val="MECHPEN TIZO G 9001 A"/>
            <filter val="ASAHAN AKROBAT"/>
            <filter val="TAS SM 3589-4 KECIL BIASA"/>
            <filter val="N BOOK A6 190402 FLAMINGO"/>
            <filter val="GARISAN KT-005"/>
            <filter val="GARISAN KT-006"/>
            <filter val="TAS KAIN POLOS 30 X 40"/>
            <filter val="MAP DATA MICROTOP BS-56 A4"/>
            <filter val="GUNTING 8 (B 021)"/>
            <filter val="GARISAN ABC 250"/>
            <filter val="ASAHAN XXY 1868"/>
            <filter val="PC MAGNIT MC 8088 TIMBUL"/>
            <filter val="TAS BATIK BSR"/>
            <filter val="BENSIA 13LM1 (6212)"/>
            <filter val="GARISAN TF 1989 LINGKARAN"/>
            <filter val="MESIN LEM TEMBAK 189 WOMY 60WATT"/>
            <filter val="BP GEL KOALA GP-168-I COKLAT"/>
            <filter val="ISI PENSIL 2.0 HB K-166"/>
            <filter val="BENDERA PLST BIASA"/>
            <filter val="P WARNA PANJANG TB-9022-12"/>
            <filter val="ISI GEL DTIAN GR-089 (12PCS TABUNG)"/>
            <filter val="GARISAN 20CM RENTENG SUPERMAN"/>
            <filter val="STIP W/B ENTER 823 K"/>
            <filter val="DOKUMEN HD62"/>
            <filter val="BP 7026"/>
            <filter val="BP KLIK DEBOZZ FANCY DB-GF 10"/>
            <filter val="TAS HZD 9101 A3 BSR"/>
            <filter val="DOKUMEN HD64"/>
            <filter val="KEMOCHENG KOMPUTER"/>
            <filter val="TIPEX KERTAS 91033HG"/>
            <filter val="MEJA BELAJAR POLOS JUMBO (DOS MERAH)"/>
            <filter val="P CASE K98"/>
            <filter val="GARISAN 30CM DF 3109"/>
            <filter val="PC MAGNIT JUMBO 3575-19"/>
            <filter val="EXPANDING FILE QLFQB-55333"/>
            <filter val="MAP KC 1 SIKA"/>
            <filter val="BUSINESS FILE SIKA AC-106 BIRU"/>
            <filter val="BUKU MEWARNAI JQ 990"/>
            <filter val="LOOSE LEAF BIASA FROZEN A5 (100GSM)"/>
            <filter val="GARISAN 30CM KAYAGI 3121"/>
            <filter val="GARISAN 30CM KAYAGI 3122"/>
            <filter val="GARISAN 30CM KAYAGI 3123"/>
            <filter val="MAP ZIPPER KANCING 2 SIKA"/>
            <filter val="LLP HOLO CEWEK"/>
            <filter val="GARISAN 30CM KAYAGI 3125"/>
            <filter val="BN WENGU A5-B 0164"/>
            <filter val="BK TABUNGAN ENTER"/>
            <filter val="P CASE MAGNIT CC 7810"/>
            <filter val="MAP FILE EN 1020"/>
            <filter val="BUKU MEWARNAI ZQ 990-2"/>
            <filter val="ISOLASI FANCY"/>
            <filter val="KEY RING KC-008"/>
            <filter val="PC MAGNIT 9363"/>
            <filter val="BP GEL TIZO TG31220"/>
            <filter val="BUSINESS FILE ENTER"/>
            <filter val="NOTEBOOK 93846"/>
            <filter val="ID CARD SET DX 622 PUTIH"/>
            <filter val="BP GEL GP 303 KOALA"/>
            <filter val="KARET GELANG ECIL 1 ONS"/>
            <filter val="MAP CLEAR HOLDER KALUBI CH A5"/>
            <filter val="PENSIL KAYAGI 2B PF3093"/>
            <filter val="P CASE REST B-123"/>
            <filter val="BP TIZO TG 30630"/>
            <filter val="STICKER 333"/>
            <filter val="TALI JEPITAN HIJAU"/>
            <filter val="DOKUMEN RISLETING PRESTIGE"/>
            <filter val="PENSIL 2B COWRY FANCY"/>
            <filter val="GUNTING TREND 555"/>
            <filter val="BALON METALIK HB LMS 2800 HB"/>
            <filter val="P CASE K 98"/>
            <filter val="KERTAS KADO GLITTER MOTIF"/>
            <filter val="BALLPEN GEL TIZO 31037 F"/>
            <filter val="MAGNET X3006"/>
            <filter val="BP ODOMEI GP-9932"/>
            <filter val="DOKUMEN HD55"/>
            <filter val="AMPLOP MICROTOP DATA F 54 A5"/>
            <filter val="DIARY CK64-6031 HAHA (112LBR)"/>
            <filter val="CLIPBOARD ENTER ANTI PECAH (GAP 03)"/>
            <filter val="BP GEL ZHIXIN 3167"/>
            <filter val="MAP TOPLA 3090"/>
            <filter val="BP GEL ZHIXIN 3162"/>
            <filter val="PC MAGNIT + CALL 7806"/>
            <filter val="TIPEX MICROTOP MT-767"/>
            <filter val="ISI PENSIL DEBOZZ DB 096"/>
            <filter val="ID CARD UTN 501 PUTIH"/>
            <filter val="TAS LY HD 149 B"/>
            <filter val="CLIPBOARD ACRYLIC TF-012"/>
            <filter val="CLIPBOARD ACRYLIC TF-013"/>
            <filter val="CLIPBOARD ACRYLIC TF-015"/>
            <filter val="CLIPBOARD ACRYLIC TF-016"/>
            <filter val="BP GEL TIZO 30900E FANCY"/>
            <filter val="CRAYON PUTAR 12W PANJANG"/>
            <filter val="PITA KADO 30MM THT 30 1"/>
            <filter val="STABILLO HL 220"/>
            <filter val="PITA JEPANG ROLL MOTIF WOMY"/>
            <filter val="PC MAGNIT CC 7808"/>
            <filter val="W COLOUR 21839"/>
            <filter val="GUNTING STAINLESS SQ 04 C WARNA"/>
            <filter val="BN TALI AA 0321-16/ 17 A7-80"/>
            <filter val="KUAS CAT 251-163 A"/>
            <filter val="PITA TARIK/KADO 50-1 RENDA"/>
            <filter val="STICK NOTE WLT 9018"/>
            <filter val="STABILLO 220"/>
            <filter val="BUSINESS FILE SIKA"/>
            <filter val="KAWAT POTONG MIX"/>
            <filter val="BUKU MEWARNAI 68A41"/>
            <filter val="PENSIL CASE AC-2860-3"/>
            <filter val="ISI GEL ELSON ES-222 DORAEMON"/>
            <filter val="B NOTE B5 GASTA L1909"/>
            <filter val="TAS BRANDED KECIL SB 115"/>
            <filter val="CLIP BOARD TRANS FOLIO FANCY TR 2335"/>
            <filter val="N BOOK SPIRAL PL-090 (A)"/>
            <filter val="PALET APEL"/>
            <filter val="TAS XM-2019-L GLITTER TANGGUNG"/>
            <filter val="ISI GEL GR 090 (20PCS TABUNG)"/>
            <filter val="BP ZHIXIN 3161"/>
            <filter val="MECHPEN TIZO G 9005 A"/>
            <filter val="MAP ZIPPER REST A5 16C"/>
            <filter val="PENSIL CASE 17-01A"/>
            <filter val="PITA TARIK/KADO 50 LS -1 RENDA"/>
            <filter val="GUNTING JUNIOR J 100"/>
            <filter val="MAP KANCING TOPLA 3080 HITAM"/>
            <filter val="GARISAN SABLON 430"/>
            <filter val="PENSIL 2.0 JOSS FANCY"/>
            <filter val="N BOOK SPIRAL 76 BATIK"/>
            <filter val="TAS 16 X 21"/>
            <filter val="GARISAN 20CM RENTENG PRETTY WHITE"/>
            <filter val="BP ZHIXIN 3155"/>
            <filter val="PENSIL KAYAGI 2B PF3050"/>
            <filter val="BP ZHIXIN 3154"/>
            <filter val="GUNTING TREND XL"/>
            <filter val="AGENDA PRO DELUXE PC-121 WK KECIL"/>
            <filter val="MAP TOPLA 3080"/>
            <filter val="TAS BATIK MJ1 HIJAU"/>
            <filter val="BP GEL ZHIXIN G 3051"/>
            <filter val="BP GELL VC 1602 BTS"/>
            <filter val="BP ZHIXIN 3151"/>
            <filter val="SULING TREND 900"/>
            <filter val="BP ZHIXIN 3150"/>
            <filter val="PENSIL KY 3021"/>
            <filter val="KARTU ABSENSI KOJIKO DUS MERAH"/>
            <filter val="PAYET"/>
            <filter val="MAP KCG 2 WARNA"/>
            <filter val="MAP ZIPPER JALA SIKA BIRU"/>
            <filter val="MALAM Y4 KG TG 1 WARNA"/>
            <filter val="BP GEL + GANTUNGAN 221"/>
            <filter val="PENSIL CASE SH-02 (HARUS DIPISAH, ADA 6 MACAM)"/>
            <filter val="PW INFICO 12W PDK 1235"/>
            <filter val="BK MEWARNAI BOTD"/>
            <filter val="GARISAN SET 15CM 7505"/>
            <filter val="GUNTING SH-2302 PLST MINI 1X52"/>
            <filter val="TAS HZD 9101 A-3 BESAR"/>
            <filter val="B NOTE B5T JHYB 03306"/>
            <filter val="TAS HZD 2133 GLITTER KECIL"/>
            <filter val="GARISAN TF-360"/>
            <filter val="STAMP PAD SK 1602 FANCY"/>
            <filter val="B NOTE B5T JHYB 03303"/>
            <filter val="MAP REST TOPLA 1383"/>
            <filter val="BK/ NB A 343K(1)"/>
            <filter val="P CASE B133 OFF ROAD"/>
            <filter val="PC MAGNIT CC 7806 + CALL"/>
            <filter val="PC MAGNIT 9340"/>
            <filter val="P CASE 1502 IF"/>
            <filter val="PAPAN WB FANCY 0902"/>
            <filter val="BP GEL A8015"/>
            <filter val="SOLASI MINI SET"/>
            <filter val="BALON LKF 3200 M"/>
            <filter val="TAS SM 3589 S-4 KECIL"/>
            <filter val="TAS KARUNG 60X70"/>
            <filter val="PENSIL 2B GLX"/>
            <filter val="BP MINI FISH 7200"/>
            <filter val="ISI PENSIL COLLEN GOLD"/>
            <filter val="TAS 33X27 L TIDUR"/>
            <filter val="GARISAN 30CM 360 WR"/>
            <filter val="N BOOK A5 60 404"/>
            <filter val="BALLPEN JOSS JS-7B"/>
            <filter val="BN TALI AA 0321-18/A7-80/LUCU"/>
            <filter val="KUAS 251-2 PAGODA"/>
            <filter val="BP WEIYADA 681 HITAM"/>
            <filter val="ASAHAN TG3086A"/>
            <filter val="ID CARD B3 IMPORT"/>
            <filter val="ISI GEL DOS 20PCS VTRO 2020"/>
            <filter val="PENCIL CASE DZ-0065 MAGNET"/>
            <filter val="PENSIL CASE QC-771"/>
            <filter val="BP GEL A8028"/>
            <filter val="LOOSE LEAF HOLO ALFA A5 HELLO KITTY"/>
            <filter val="PITA TARIK/KADO 23 LS"/>
          </filters>
        </filterColumn>
        <filterColumn colId="19">
          <filters>
            <filter val="BIRU/ COWOK"/>
            <filter val="WARNA BIRU/ COWOK"/>
            <filter val="WARNA PINK/ CEWEK"/>
            <filter val="KODE BENTROK SAMA PENCIL CASE B-126"/>
            <filter val="KODE BARANG DOBEL SAMA STICK NOTE POST A"/>
            <filter val="KODE BENTROK"/>
            <filter val="KODE BARANG BENTROK SAMA NOTEBOOK 707-24"/>
            <filter val="ASAHAN + STIP"/>
            <filter val="KODE BARANG DOBEL SAMA ID CARD B4 IMPORT"/>
            <filter val="STOCK BELUM LENGKAP"/>
            <filter val="KODE BARANG BENTROK SAMA NOTEBOOK 18100-67"/>
            <filter val="BEDA SATUAM"/>
            <filter val="PINK/ CEWEK"/>
            <filter val="KODE BARANG BENTROK"/>
            <filter val="KODE BARANG BENTROK SAMA ID CARD B4 IMPORT"/>
            <filter val="MOTIF COWOK"/>
            <filter val="BARANG TUKAR, STOCK BELUM LENGKAP"/>
            <filter val="MOTIF CEWEK"/>
            <filter val="KODE BENTROK SAMA PC KLG B 652"/>
            <filter val="KODE BENTROK SAMA NOTEBOOK 707-24"/>
            <filter val="KODE BARANG DOBEL SAMA PC KLG B 652"/>
          </filters>
        </filterColumn>
      </autoFilter>
    </customSheetView>
  </customSheetView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2.13"/>
  </cols>
  <sheetData>
    <row r="1"/>
    <row r="2"/>
    <row r="3"/>
    <row r="4">
      <c r="F4" s="21" t="s">
        <v>4288</v>
      </c>
    </row>
    <row r="5">
      <c r="F5" s="21" t="s">
        <v>4289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8.5"/>
    <col customWidth="1" min="3" max="3" width="28.75"/>
    <col customWidth="1" min="5" max="5" width="37.38"/>
    <col hidden="1" min="6" max="9" width="12.63"/>
    <col customWidth="1" min="16" max="16" width="23.75"/>
    <col customWidth="1" min="20" max="20" width="19.5"/>
  </cols>
  <sheetData>
    <row r="1">
      <c r="A1" s="59" t="s">
        <v>36</v>
      </c>
      <c r="B1" s="135" t="s">
        <v>37</v>
      </c>
      <c r="C1" s="61" t="s">
        <v>38</v>
      </c>
      <c r="D1" s="61" t="s">
        <v>39</v>
      </c>
      <c r="E1" s="136" t="s">
        <v>40</v>
      </c>
      <c r="F1" s="62" t="s">
        <v>41</v>
      </c>
      <c r="G1" s="62" t="s">
        <v>42</v>
      </c>
      <c r="H1" s="62" t="s">
        <v>43</v>
      </c>
      <c r="I1" s="137" t="s">
        <v>44</v>
      </c>
      <c r="J1" s="138" t="s">
        <v>45</v>
      </c>
      <c r="K1" s="61" t="s">
        <v>46</v>
      </c>
      <c r="L1" s="139" t="s">
        <v>47</v>
      </c>
      <c r="M1" s="140" t="s">
        <v>48</v>
      </c>
      <c r="N1" s="141" t="s">
        <v>49</v>
      </c>
      <c r="O1" s="23" t="s">
        <v>50</v>
      </c>
      <c r="P1" s="65" t="s">
        <v>51</v>
      </c>
      <c r="Q1" s="66" t="s">
        <v>52</v>
      </c>
      <c r="R1" s="67" t="s">
        <v>53</v>
      </c>
      <c r="S1" s="68" t="s">
        <v>54</v>
      </c>
      <c r="T1" s="21" t="s">
        <v>4379</v>
      </c>
      <c r="U1" s="21" t="s">
        <v>4380</v>
      </c>
      <c r="V1" s="21" t="s">
        <v>4381</v>
      </c>
    </row>
    <row r="2">
      <c r="A2" s="142">
        <v>4645.0</v>
      </c>
      <c r="B2" s="143" t="s">
        <v>65</v>
      </c>
      <c r="C2" s="143" t="s">
        <v>120</v>
      </c>
      <c r="D2" s="144" t="s">
        <v>4382</v>
      </c>
      <c r="E2" s="145" t="str">
        <f>IFERROR(__xludf.DUMMYFUNCTION("vlookup(D2,IMPORTRANGE(""https://docs.google.com/spreadsheets/d/1swGwZOEqYlTEUCJLY-eeJM1911Kvaei5oySBIxdgtNo/edit?pli=1#gid=257618397"",""stock FAKTUR!B:C""),2,false)"),"PENSIL 2B ZHONG HUA 6925 OVAL")</f>
        <v>PENSIL 2B ZHONG HUA 6925 OVAL</v>
      </c>
      <c r="F2" s="53" t="str">
        <f>IFERROR(__xludf.DUMMYFUNCTION("vlookup($D2,IMPORTRANGE(""https://docs.google.com/spreadsheets/d/1swGwZOEqYlTEUCJLY-eeJM1911Kvaei5oySBIxdgtNo/edit?pli=1#gid=257618397"",""stock FAKTUR!B:d""),3,false)"),"")</f>
        <v/>
      </c>
      <c r="G2" s="53" t="str">
        <f>IFERROR(__xludf.DUMMYFUNCTION("vlookup($D2,IMPORTRANGE(""https://docs.google.com/spreadsheets/d/1swGwZOEqYlTEUCJLY-eeJM1911Kvaei5oySBIxdgtNo/edit?pli=1#gid=257618397"",""stock FAKTUR!B:e""),4,false)"),"")</f>
        <v/>
      </c>
      <c r="H2" s="53" t="str">
        <f>IFERROR(__xludf.DUMMYFUNCTION("vlookup($D2,IMPORTRANGE(""https://docs.google.com/spreadsheets/d/1swGwZOEqYlTEUCJLY-eeJM1911Kvaei5oySBIxdgtNo/edit?pli=1#gid=257618397"",""stock FAKTUR!B:F""),5,false)"),"ZH")</f>
        <v>ZH</v>
      </c>
      <c r="I2" s="53" t="str">
        <f>IFERROR(__xludf.DUMMYFUNCTION("vlookup($D2,IMPORTRANGE(""https://docs.google.com/spreadsheets/d/1swGwZOEqYlTEUCJLY-eeJM1911Kvaei5oySBIxdgtNo/edit?pli=1#gid=257618397"",""stock FAKTUR!B:G""),6,false)"),"6925")</f>
        <v>6925</v>
      </c>
      <c r="J2" s="43" t="str">
        <f t="shared" ref="J2:J73" si="1">IF(D2="","TIDAK ADA","ADA")</f>
        <v>ADA</v>
      </c>
      <c r="K2" s="146">
        <v>6.0</v>
      </c>
      <c r="L2" s="145" t="str">
        <f>IFERROR(__xludf.DUMMYFUNCTION("vlookup($D2,IMPORTRANGE(""https://docs.google.com/spreadsheets/d/1swGwZOEqYlTEUCJLY-eeJM1911Kvaei5oySBIxdgtNo/edit?pli=1#gid=257618397"",""stock FAKTUR!B:q""),16,false)"),"BOX")</f>
        <v>BOX</v>
      </c>
      <c r="M2" s="147">
        <v>75000.0</v>
      </c>
      <c r="N2" s="148"/>
      <c r="O2" s="147">
        <f t="shared" ref="O2:O245" si="2">(K2*M2)-((M2*K2)*N2)</f>
        <v>450000</v>
      </c>
      <c r="P2" s="147" t="str">
        <f t="shared" ref="P2:P1233" si="3">CONCATENATE(TEXT(M2, "Rp#,##0"), "-", K2, " ", L2, "-", TEXT(N2, "0.00%"))</f>
        <v>Rp75,000-6 BOX-0.00%</v>
      </c>
      <c r="Q2" s="149">
        <v>45408.0</v>
      </c>
      <c r="R2" s="150"/>
      <c r="S2" s="149">
        <v>45414.0</v>
      </c>
      <c r="T2" s="151"/>
      <c r="U2" s="151"/>
      <c r="V2" s="151"/>
      <c r="W2" s="151"/>
    </row>
    <row r="3">
      <c r="A3" s="142">
        <v>4645.0</v>
      </c>
      <c r="B3" s="143" t="str">
        <f t="shared" ref="B3:B5" si="4">IF(A3=A2,B2,"")</f>
        <v>A</v>
      </c>
      <c r="C3" s="143" t="str">
        <f t="shared" ref="C3:C5" si="5">IF(A3=A2,C2,"")</f>
        <v>PUTRA MURIA-PATI</v>
      </c>
      <c r="D3" s="144" t="s">
        <v>4210</v>
      </c>
      <c r="E3" s="145" t="str">
        <f>IFERROR(__xludf.DUMMYFUNCTION("vlookup(D3,IMPORTRANGE(""https://docs.google.com/spreadsheets/d/1swGwZOEqYlTEUCJLY-eeJM1911Kvaei5oySBIxdgtNo/edit?pli=1#gid=257618397"",""stock FAKTUR!B:C""),2,false)"),"CUTTER KENKO L-500")</f>
        <v>CUTTER KENKO L-500</v>
      </c>
      <c r="F3" s="53" t="str">
        <f>IFERROR(__xludf.DUMMYFUNCTION("vlookup($D3,IMPORTRANGE(""https://docs.google.com/spreadsheets/d/1swGwZOEqYlTEUCJLY-eeJM1911Kvaei5oySBIxdgtNo/edit?pli=1#gid=257618397"",""stock FAKTUR!B:d""),3,false)"),"18 MM")</f>
        <v>18 MM</v>
      </c>
      <c r="G3" s="53" t="str">
        <f>IFERROR(__xludf.DUMMYFUNCTION("vlookup($D3,IMPORTRANGE(""https://docs.google.com/spreadsheets/d/1swGwZOEqYlTEUCJLY-eeJM1911Kvaei5oySBIxdgtNo/edit?pli=1#gid=257618397"",""stock FAKTUR!B:e""),4,false)"),"")</f>
        <v/>
      </c>
      <c r="H3" s="53" t="str">
        <f>IFERROR(__xludf.DUMMYFUNCTION("vlookup($D3,IMPORTRANGE(""https://docs.google.com/spreadsheets/d/1swGwZOEqYlTEUCJLY-eeJM1911Kvaei5oySBIxdgtNo/edit?pli=1#gid=257618397"",""stock FAKTUR!B:F""),5,false)"),"KN")</f>
        <v>KN</v>
      </c>
      <c r="I3" s="53" t="str">
        <f>IFERROR(__xludf.DUMMYFUNCTION("vlookup($D3,IMPORTRANGE(""https://docs.google.com/spreadsheets/d/1swGwZOEqYlTEUCJLY-eeJM1911Kvaei5oySBIxdgtNo/edit?pli=1#gid=257618397"",""stock FAKTUR!B:G""),6,false)"),"CTR-007")</f>
        <v>CTR-007</v>
      </c>
      <c r="J3" s="43" t="str">
        <f t="shared" si="1"/>
        <v>ADA</v>
      </c>
      <c r="K3" s="146">
        <v>2.0</v>
      </c>
      <c r="L3" s="145" t="str">
        <f>IFERROR(__xludf.DUMMYFUNCTION("vlookup($D3,IMPORTRANGE(""https://docs.google.com/spreadsheets/d/1swGwZOEqYlTEUCJLY-eeJM1911Kvaei5oySBIxdgtNo/edit?pli=1#gid=257618397"",""stock FAKTUR!B:q""),16,false)"),"LSN")</f>
        <v>LSN</v>
      </c>
      <c r="M3" s="147">
        <v>147600.0</v>
      </c>
      <c r="N3" s="152">
        <v>0.1</v>
      </c>
      <c r="O3" s="147">
        <f t="shared" si="2"/>
        <v>265680</v>
      </c>
      <c r="P3" s="147" t="str">
        <f t="shared" si="3"/>
        <v>Rp147,600-2 LSN-10.00%</v>
      </c>
      <c r="Q3" s="149">
        <v>45408.0</v>
      </c>
      <c r="R3" s="150"/>
      <c r="S3" s="149">
        <v>45414.0</v>
      </c>
      <c r="T3" s="151"/>
      <c r="U3" s="151"/>
      <c r="V3" s="151"/>
      <c r="W3" s="151"/>
    </row>
    <row r="4">
      <c r="A4" s="142">
        <v>4645.0</v>
      </c>
      <c r="B4" s="143" t="str">
        <f t="shared" si="4"/>
        <v>A</v>
      </c>
      <c r="C4" s="143" t="str">
        <f t="shared" si="5"/>
        <v>PUTRA MURIA-PATI</v>
      </c>
      <c r="D4" s="144" t="s">
        <v>4383</v>
      </c>
      <c r="E4" s="145" t="str">
        <f>IFERROR(__xludf.DUMMYFUNCTION("vlookup(D4,IMPORTRANGE(""https://docs.google.com/spreadsheets/d/1swGwZOEqYlTEUCJLY-eeJM1911Kvaei5oySBIxdgtNo/edit?pli=1#gid=257618397"",""stock FAKTUR!B:C""),2,false)"),"PC MAGNIT C-1755-1 (22X7.5)")</f>
        <v>PC MAGNIT C-1755-1 (22X7.5)</v>
      </c>
      <c r="F4" s="53" t="str">
        <f>IFERROR(__xludf.DUMMYFUNCTION("vlookup($D4,IMPORTRANGE(""https://docs.google.com/spreadsheets/d/1swGwZOEqYlTEUCJLY-eeJM1911Kvaei5oySBIxdgtNo/edit?pli=1#gid=257618397"",""stock FAKTUR!B:d""),3,false)"),"")</f>
        <v/>
      </c>
      <c r="G4" s="53" t="str">
        <f>IFERROR(__xludf.DUMMYFUNCTION("vlookup($D4,IMPORTRANGE(""https://docs.google.com/spreadsheets/d/1swGwZOEqYlTEUCJLY-eeJM1911Kvaei5oySBIxdgtNo/edit?pli=1#gid=257618397"",""stock FAKTUR!B:e""),4,false)"),"")</f>
        <v/>
      </c>
      <c r="H4" s="53" t="str">
        <f>IFERROR(__xludf.DUMMYFUNCTION("vlookup($D4,IMPORTRANGE(""https://docs.google.com/spreadsheets/d/1swGwZOEqYlTEUCJLY-eeJM1911Kvaei5oySBIxdgtNo/edit?pli=1#gid=257618397"",""stock FAKTUR!B:F""),5,false)"),"NB")</f>
        <v>NB</v>
      </c>
      <c r="I4" s="53" t="str">
        <f>IFERROR(__xludf.DUMMYFUNCTION("vlookup($D4,IMPORTRANGE(""https://docs.google.com/spreadsheets/d/1swGwZOEqYlTEUCJLY-eeJM1911Kvaei5oySBIxdgtNo/edit?pli=1#gid=257618397"",""stock FAKTUR!B:G""),6,false)"),"")</f>
        <v/>
      </c>
      <c r="J4" s="43" t="str">
        <f t="shared" si="1"/>
        <v>ADA</v>
      </c>
      <c r="K4" s="146">
        <v>12.0</v>
      </c>
      <c r="L4" s="145" t="str">
        <f>IFERROR(__xludf.DUMMYFUNCTION("vlookup($D4,IMPORTRANGE(""https://docs.google.com/spreadsheets/d/1swGwZOEqYlTEUCJLY-eeJM1911Kvaei5oySBIxdgtNo/edit?pli=1#gid=257618397"",""stock FAKTUR!B:q""),16,false)"),"PCS")</f>
        <v>PCS</v>
      </c>
      <c r="M4" s="147">
        <f t="shared" ref="M4:M5" si="6">132000/12</f>
        <v>11000</v>
      </c>
      <c r="N4" s="148"/>
      <c r="O4" s="147">
        <f t="shared" si="2"/>
        <v>132000</v>
      </c>
      <c r="P4" s="147" t="str">
        <f t="shared" si="3"/>
        <v>Rp11,000-12 PCS-0.00%</v>
      </c>
      <c r="Q4" s="149">
        <v>45408.0</v>
      </c>
      <c r="R4" s="150"/>
      <c r="S4" s="149">
        <v>45414.0</v>
      </c>
      <c r="T4" s="151"/>
      <c r="U4" s="151"/>
      <c r="V4" s="151"/>
      <c r="W4" s="151"/>
    </row>
    <row r="5">
      <c r="A5" s="142">
        <v>4645.0</v>
      </c>
      <c r="B5" s="143" t="str">
        <f t="shared" si="4"/>
        <v>A</v>
      </c>
      <c r="C5" s="143" t="str">
        <f t="shared" si="5"/>
        <v>PUTRA MURIA-PATI</v>
      </c>
      <c r="D5" s="144" t="s">
        <v>4384</v>
      </c>
      <c r="E5" s="145" t="str">
        <f>IFERROR(__xludf.DUMMYFUNCTION("vlookup(D5,IMPORTRANGE(""https://docs.google.com/spreadsheets/d/1swGwZOEqYlTEUCJLY-eeJM1911Kvaei5oySBIxdgtNo/edit?pli=1#gid=257618397"",""stock FAKTUR!B:C""),2,false)"),"PC MAGNIT FC-1757 (22X7.5)")</f>
        <v>PC MAGNIT FC-1757 (22X7.5)</v>
      </c>
      <c r="F5" s="53" t="str">
        <f>IFERROR(__xludf.DUMMYFUNCTION("vlookup($D5,IMPORTRANGE(""https://docs.google.com/spreadsheets/d/1swGwZOEqYlTEUCJLY-eeJM1911Kvaei5oySBIxdgtNo/edit?pli=1#gid=257618397"",""stock FAKTUR!B:d""),3,false)"),"")</f>
        <v/>
      </c>
      <c r="G5" s="53" t="str">
        <f>IFERROR(__xludf.DUMMYFUNCTION("vlookup($D5,IMPORTRANGE(""https://docs.google.com/spreadsheets/d/1swGwZOEqYlTEUCJLY-eeJM1911Kvaei5oySBIxdgtNo/edit?pli=1#gid=257618397"",""stock FAKTUR!B:e""),4,false)"),"")</f>
        <v/>
      </c>
      <c r="H5" s="53" t="str">
        <f>IFERROR(__xludf.DUMMYFUNCTION("vlookup($D5,IMPORTRANGE(""https://docs.google.com/spreadsheets/d/1swGwZOEqYlTEUCJLY-eeJM1911Kvaei5oySBIxdgtNo/edit?pli=1#gid=257618397"",""stock FAKTUR!B:F""),5,false)"),"NB")</f>
        <v>NB</v>
      </c>
      <c r="I5" s="53" t="str">
        <f>IFERROR(__xludf.DUMMYFUNCTION("vlookup($D5,IMPORTRANGE(""https://docs.google.com/spreadsheets/d/1swGwZOEqYlTEUCJLY-eeJM1911Kvaei5oySBIxdgtNo/edit?pli=1#gid=257618397"",""stock FAKTUR!B:G""),6,false)"),"")</f>
        <v/>
      </c>
      <c r="J5" s="43" t="str">
        <f t="shared" si="1"/>
        <v>ADA</v>
      </c>
      <c r="K5" s="146">
        <v>12.0</v>
      </c>
      <c r="L5" s="145" t="str">
        <f>IFERROR(__xludf.DUMMYFUNCTION("vlookup($D5,IMPORTRANGE(""https://docs.google.com/spreadsheets/d/1swGwZOEqYlTEUCJLY-eeJM1911Kvaei5oySBIxdgtNo/edit?pli=1#gid=257618397"",""stock FAKTUR!B:q""),16,false)"),"PCS")</f>
        <v>PCS</v>
      </c>
      <c r="M5" s="147">
        <f t="shared" si="6"/>
        <v>11000</v>
      </c>
      <c r="N5" s="148"/>
      <c r="O5" s="147">
        <f t="shared" si="2"/>
        <v>132000</v>
      </c>
      <c r="P5" s="147" t="str">
        <f t="shared" si="3"/>
        <v>Rp11,000-12 PCS-0.00%</v>
      </c>
      <c r="Q5" s="149">
        <v>45408.0</v>
      </c>
      <c r="R5" s="150"/>
      <c r="S5" s="149">
        <v>45414.0</v>
      </c>
      <c r="T5" s="151"/>
      <c r="U5" s="151"/>
      <c r="V5" s="151"/>
      <c r="W5" s="151"/>
    </row>
    <row r="6">
      <c r="A6" s="142">
        <v>2920.0</v>
      </c>
      <c r="B6" s="143" t="s">
        <v>33</v>
      </c>
      <c r="C6" s="143" t="s">
        <v>4385</v>
      </c>
      <c r="D6" s="144" t="s">
        <v>4386</v>
      </c>
      <c r="E6" s="145" t="str">
        <f>IFERROR(__xludf.DUMMYFUNCTION("vlookup(D6,IMPORTRANGE(""https://docs.google.com/spreadsheets/d/1swGwZOEqYlTEUCJLY-eeJM1911Kvaei5oySBIxdgtNo/edit?pli=1#gid=257618397"",""stock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6" s="53" t="str">
        <f>IFERROR(__xludf.DUMMYFUNCTION("vlookup($D6,IMPORTRANGE(""https://docs.google.com/spreadsheets/d/1swGwZOEqYlTEUCJLY-eeJM1911Kvaei5oySBIxdgtNo/edit?pli=1#gid=257618397"",""stock FAKTUR!B:d""),3,false)"),"")</f>
        <v/>
      </c>
      <c r="G6" s="53" t="str">
        <f>IFERROR(__xludf.DUMMYFUNCTION("vlookup($D6,IMPORTRANGE(""https://docs.google.com/spreadsheets/d/1swGwZOEqYlTEUCJLY-eeJM1911Kvaei5oySBIxdgtNo/edit?pli=1#gid=257618397"",""stock FAKTUR!B:e""),4,false)"),"12W")</f>
        <v>12W</v>
      </c>
      <c r="H6" s="53" t="str">
        <f>IFERROR(__xludf.DUMMYFUNCTION("vlookup($D6,IMPORTRANGE(""https://docs.google.com/spreadsheets/d/1swGwZOEqYlTEUCJLY-eeJM1911Kvaei5oySBIxdgtNo/edit?pli=1#gid=257618397"",""stock FAKTUR!B:F""),5,false)"),"JK")</f>
        <v>JK</v>
      </c>
      <c r="I6" s="53" t="str">
        <f>IFERROR(__xludf.DUMMYFUNCTION("vlookup($D6,IMPORTRANGE(""https://docs.google.com/spreadsheets/d/1swGwZOEqYlTEUCJLY-eeJM1911Kvaei5oySBIxdgtNo/edit?pli=1#gid=257618397"",""stock FAKTUR!B:G""),6,false)"),"OP-12S")</f>
        <v>OP-12S</v>
      </c>
      <c r="J6" s="43" t="str">
        <f t="shared" si="1"/>
        <v>ADA</v>
      </c>
      <c r="K6" s="146">
        <v>144.0</v>
      </c>
      <c r="L6" s="145" t="str">
        <f>IFERROR(__xludf.DUMMYFUNCTION("vlookup($D6,IMPORTRANGE(""https://docs.google.com/spreadsheets/d/1swGwZOEqYlTEUCJLY-eeJM1911Kvaei5oySBIxdgtNo/edit?pli=1#gid=257618397"",""stock FAKTUR!B:q""),16,false)"),"PCS")</f>
        <v>PCS</v>
      </c>
      <c r="M6" s="147">
        <v>12300.0</v>
      </c>
      <c r="N6" s="152">
        <v>0.125</v>
      </c>
      <c r="O6" s="147">
        <f t="shared" si="2"/>
        <v>1549800</v>
      </c>
      <c r="P6" s="147" t="str">
        <f t="shared" si="3"/>
        <v>Rp12,300-144 PCS-12.50%</v>
      </c>
      <c r="Q6" s="149">
        <v>45408.0</v>
      </c>
      <c r="R6" s="150"/>
      <c r="S6" s="149">
        <v>45414.0</v>
      </c>
      <c r="T6" s="151"/>
      <c r="U6" s="151"/>
      <c r="V6" s="151"/>
      <c r="W6" s="151"/>
    </row>
    <row r="7">
      <c r="A7" s="142">
        <v>2920.0</v>
      </c>
      <c r="B7" s="143" t="str">
        <f t="shared" ref="B7:B8" si="7">IF(A7=A6,B6,"")</f>
        <v>H</v>
      </c>
      <c r="C7" s="143" t="str">
        <f t="shared" ref="C7:C9" si="8">IF(A7=A6,C6,"")</f>
        <v>24-MALANG</v>
      </c>
      <c r="D7" s="144" t="s">
        <v>4387</v>
      </c>
      <c r="E7" s="145" t="str">
        <f>IFERROR(__xludf.DUMMYFUNCTION("vlookup(D7,IMPORTRANGE(""https://docs.google.com/spreadsheets/d/1swGwZOEqYlTEUCJLY-eeJM1911Kvaei5oySBIxdgtNo/edit?pli=1#gid=257618397"",""stock FAKTUR!B:C""),2,false)"),"BP KENKO HI-TECH 0.28MM HITAM")</f>
        <v>BP KENKO HI-TECH 0.28MM HITAM</v>
      </c>
      <c r="F7" s="53" t="str">
        <f>IFERROR(__xludf.DUMMYFUNCTION("vlookup($D7,IMPORTRANGE(""https://docs.google.com/spreadsheets/d/1swGwZOEqYlTEUCJLY-eeJM1911Kvaei5oySBIxdgtNo/edit?pli=1#gid=257618397"",""stock FAKTUR!B:d""),3,false)"),"")</f>
        <v/>
      </c>
      <c r="G7" s="53" t="str">
        <f>IFERROR(__xludf.DUMMYFUNCTION("vlookup($D7,IMPORTRANGE(""https://docs.google.com/spreadsheets/d/1swGwZOEqYlTEUCJLY-eeJM1911Kvaei5oySBIxdgtNo/edit?pli=1#gid=257618397"",""stock FAKTUR!B:e""),4,false)"),"HITAM")</f>
        <v>HITAM</v>
      </c>
      <c r="H7" s="53" t="str">
        <f>IFERROR(__xludf.DUMMYFUNCTION("vlookup($D7,IMPORTRANGE(""https://docs.google.com/spreadsheets/d/1swGwZOEqYlTEUCJLY-eeJM1911Kvaei5oySBIxdgtNo/edit?pli=1#gid=257618397"",""stock FAKTUR!B:F""),5,false)"),"KN")</f>
        <v>KN</v>
      </c>
      <c r="I7" s="53" t="str">
        <f>IFERROR(__xludf.DUMMYFUNCTION("vlookup($D7,IMPORTRANGE(""https://docs.google.com/spreadsheets/d/1swGwZOEqYlTEUCJLY-eeJM1911Kvaei5oySBIxdgtNo/edit?pli=1#gid=257618397"",""stock FAKTUR!B:G""),6,false)"),"GPT-018B")</f>
        <v>GPT-018B</v>
      </c>
      <c r="J7" s="43" t="str">
        <f t="shared" si="1"/>
        <v>ADA</v>
      </c>
      <c r="K7" s="146">
        <v>144.0</v>
      </c>
      <c r="L7" s="145" t="str">
        <f>IFERROR(__xludf.DUMMYFUNCTION("vlookup($D7,IMPORTRANGE(""https://docs.google.com/spreadsheets/d/1swGwZOEqYlTEUCJLY-eeJM1911Kvaei5oySBIxdgtNo/edit?pli=1#gid=257618397"",""stock FAKTUR!B:q""),16,false)"),"LSN")</f>
        <v>LSN</v>
      </c>
      <c r="M7" s="147">
        <v>39000.0</v>
      </c>
      <c r="N7" s="152">
        <v>0.125</v>
      </c>
      <c r="O7" s="147">
        <f t="shared" si="2"/>
        <v>4914000</v>
      </c>
      <c r="P7" s="147" t="str">
        <f t="shared" si="3"/>
        <v>Rp39,000-144 LSN-12.50%</v>
      </c>
      <c r="Q7" s="149">
        <v>45408.0</v>
      </c>
      <c r="R7" s="150"/>
      <c r="S7" s="149">
        <v>45414.0</v>
      </c>
      <c r="T7" s="151"/>
      <c r="U7" s="151"/>
      <c r="V7" s="151"/>
      <c r="W7" s="151"/>
    </row>
    <row r="8">
      <c r="A8" s="153">
        <v>2920.0</v>
      </c>
      <c r="B8" s="144" t="str">
        <f t="shared" si="7"/>
        <v>H</v>
      </c>
      <c r="C8" s="144" t="str">
        <f t="shared" si="8"/>
        <v>24-MALANG</v>
      </c>
      <c r="D8" s="144" t="s">
        <v>4388</v>
      </c>
      <c r="E8" s="145" t="str">
        <f>IFERROR(__xludf.DUMMYFUNCTION("vlookup(D8,IMPORTRANGE(""https://docs.google.com/spreadsheets/d/1swGwZOEqYlTEUCJLY-eeJM1911Kvaei5oySBIxdgtNo/edit?pli=1#gid=257618397"",""stock FAKTUR!B:C""),2,false)"),"PC JK PC-0719TV-33A/F TRAVEL")</f>
        <v>PC JK PC-0719TV-33A/F TRAVEL</v>
      </c>
      <c r="F8" s="53" t="str">
        <f>IFERROR(__xludf.DUMMYFUNCTION("vlookup($D8,IMPORTRANGE(""https://docs.google.com/spreadsheets/d/1swGwZOEqYlTEUCJLY-eeJM1911Kvaei5oySBIxdgtNo/edit?pli=1#gid=257618397"",""stock FAKTUR!B:d""),3,false)"),"")</f>
        <v/>
      </c>
      <c r="G8" s="53" t="str">
        <f>IFERROR(__xludf.DUMMYFUNCTION("vlookup($D8,IMPORTRANGE(""https://docs.google.com/spreadsheets/d/1swGwZOEqYlTEUCJLY-eeJM1911Kvaei5oySBIxdgtNo/edit?pli=1#gid=257618397"",""stock FAKTUR!B:e""),4,false)"),"")</f>
        <v/>
      </c>
      <c r="H8" s="53" t="str">
        <f>IFERROR(__xludf.DUMMYFUNCTION("vlookup($D8,IMPORTRANGE(""https://docs.google.com/spreadsheets/d/1swGwZOEqYlTEUCJLY-eeJM1911Kvaei5oySBIxdgtNo/edit?pli=1#gid=257618397"",""stock FAKTUR!B:F""),5,false)"),"JK")</f>
        <v>JK</v>
      </c>
      <c r="I8" s="53" t="str">
        <f>IFERROR(__xludf.DUMMYFUNCTION("vlookup($D8,IMPORTRANGE(""https://docs.google.com/spreadsheets/d/1swGwZOEqYlTEUCJLY-eeJM1911Kvaei5oySBIxdgtNo/edit?pli=1#gid=257618397"",""stock FAKTUR!B:G""),6,false)"),"0719TV-33A/F")</f>
        <v>0719TV-33A/F</v>
      </c>
      <c r="J8" s="43" t="str">
        <f t="shared" si="1"/>
        <v>ADA</v>
      </c>
      <c r="K8" s="154">
        <v>12.0</v>
      </c>
      <c r="L8" s="145" t="str">
        <f>IFERROR(__xludf.DUMMYFUNCTION("vlookup($D8,IMPORTRANGE(""https://docs.google.com/spreadsheets/d/1swGwZOEqYlTEUCJLY-eeJM1911Kvaei5oySBIxdgtNo/edit?pli=1#gid=257618397"",""stock FAKTUR!B:q""),16,false)"),"LSN")</f>
        <v>LSN</v>
      </c>
      <c r="M8" s="155">
        <v>57600.0</v>
      </c>
      <c r="N8" s="156">
        <v>0.125</v>
      </c>
      <c r="O8" s="155">
        <f t="shared" si="2"/>
        <v>604800</v>
      </c>
      <c r="P8" s="155" t="str">
        <f t="shared" si="3"/>
        <v>Rp57,600-12 LSN-12.50%</v>
      </c>
      <c r="Q8" s="157">
        <v>45408.0</v>
      </c>
      <c r="R8" s="158"/>
      <c r="S8" s="157">
        <v>45414.0</v>
      </c>
      <c r="T8" s="145" t="s">
        <v>4389</v>
      </c>
      <c r="U8" s="145" t="s">
        <v>4390</v>
      </c>
      <c r="V8" s="145"/>
      <c r="W8" s="159"/>
    </row>
    <row r="9">
      <c r="A9" s="160">
        <v>2920.0</v>
      </c>
      <c r="B9" s="161" t="s">
        <v>33</v>
      </c>
      <c r="C9" s="161" t="str">
        <f t="shared" si="8"/>
        <v>24-MALANG</v>
      </c>
      <c r="D9" s="161" t="s">
        <v>4391</v>
      </c>
      <c r="E9" s="162" t="str">
        <f>IFERROR(__xludf.DUMMYFUNCTION("vlookup(D9,IMPORTRANGE(""https://docs.google.com/spreadsheets/d/1swGwZOEqYlTEUCJLY-eeJM1911Kvaei5oySBIxdgtNo/edit?pli=1#gid=257618397"",""stock FAKTUR!B:C""),2,false)"),"PC JK PC-0719AC-36A/F ANIMAL CALENDER")</f>
        <v>PC JK PC-0719AC-36A/F ANIMAL CALENDER</v>
      </c>
      <c r="F9" s="53" t="str">
        <f>IFERROR(__xludf.DUMMYFUNCTION("vlookup($D9,IMPORTRANGE(""https://docs.google.com/spreadsheets/d/1swGwZOEqYlTEUCJLY-eeJM1911Kvaei5oySBIxdgtNo/edit?pli=1#gid=257618397"",""stock FAKTUR!B:d""),3,false)"),"")</f>
        <v/>
      </c>
      <c r="G9" s="53" t="str">
        <f>IFERROR(__xludf.DUMMYFUNCTION("vlookup($D9,IMPORTRANGE(""https://docs.google.com/spreadsheets/d/1swGwZOEqYlTEUCJLY-eeJM1911Kvaei5oySBIxdgtNo/edit?pli=1#gid=257618397"",""stock FAKTUR!B:e""),4,false)"),"")</f>
        <v/>
      </c>
      <c r="H9" s="53" t="str">
        <f>IFERROR(__xludf.DUMMYFUNCTION("vlookup($D9,IMPORTRANGE(""https://docs.google.com/spreadsheets/d/1swGwZOEqYlTEUCJLY-eeJM1911Kvaei5oySBIxdgtNo/edit?pli=1#gid=257618397"",""stock FAKTUR!B:F""),5,false)"),"JK")</f>
        <v>JK</v>
      </c>
      <c r="I9" s="53" t="str">
        <f>IFERROR(__xludf.DUMMYFUNCTION("vlookup($D9,IMPORTRANGE(""https://docs.google.com/spreadsheets/d/1swGwZOEqYlTEUCJLY-eeJM1911Kvaei5oySBIxdgtNo/edit?pli=1#gid=257618397"",""stock FAKTUR!B:G""),6,false)"),"PC-0719AC-36A/F")</f>
        <v>PC-0719AC-36A/F</v>
      </c>
      <c r="J9" s="43" t="str">
        <f t="shared" si="1"/>
        <v>ADA</v>
      </c>
      <c r="K9" s="163">
        <v>12.0</v>
      </c>
      <c r="L9" s="145" t="str">
        <f>IFERROR(__xludf.DUMMYFUNCTION("vlookup($D9,IMPORTRANGE(""https://docs.google.com/spreadsheets/d/1swGwZOEqYlTEUCJLY-eeJM1911Kvaei5oySBIxdgtNo/edit?pli=1#gid=257618397"",""stock FAKTUR!B:q""),16,false)"),"LSN")</f>
        <v>LSN</v>
      </c>
      <c r="M9" s="164">
        <v>57600.0</v>
      </c>
      <c r="N9" s="165">
        <v>0.125</v>
      </c>
      <c r="O9" s="164">
        <f t="shared" si="2"/>
        <v>604800</v>
      </c>
      <c r="P9" s="164" t="str">
        <f t="shared" si="3"/>
        <v>Rp57,600-12 LSN-12.50%</v>
      </c>
      <c r="Q9" s="166">
        <v>45408.0</v>
      </c>
      <c r="R9" s="167"/>
      <c r="S9" s="166">
        <v>45414.0</v>
      </c>
      <c r="T9" s="162"/>
      <c r="U9" s="162"/>
      <c r="V9" s="162"/>
      <c r="W9" s="162"/>
    </row>
    <row r="10">
      <c r="A10" s="142">
        <v>3113.0</v>
      </c>
      <c r="B10" s="143" t="s">
        <v>33</v>
      </c>
      <c r="C10" s="143" t="s">
        <v>2474</v>
      </c>
      <c r="D10" s="144" t="s">
        <v>4386</v>
      </c>
      <c r="E10" s="145" t="str">
        <f>IFERROR(__xludf.DUMMYFUNCTION("vlookup(D10,IMPORTRANGE(""https://docs.google.com/spreadsheets/d/1swGwZOEqYlTEUCJLY-eeJM1911Kvaei5oySBIxdgtNo/edit?pli=1#gid=257618397"",""stock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10" s="53" t="str">
        <f>IFERROR(__xludf.DUMMYFUNCTION("vlookup($D10,IMPORTRANGE(""https://docs.google.com/spreadsheets/d/1swGwZOEqYlTEUCJLY-eeJM1911Kvaei5oySBIxdgtNo/edit?pli=1#gid=257618397"",""stock FAKTUR!B:d""),3,false)"),"")</f>
        <v/>
      </c>
      <c r="G10" s="53" t="str">
        <f>IFERROR(__xludf.DUMMYFUNCTION("vlookup($D10,IMPORTRANGE(""https://docs.google.com/spreadsheets/d/1swGwZOEqYlTEUCJLY-eeJM1911Kvaei5oySBIxdgtNo/edit?pli=1#gid=257618397"",""stock FAKTUR!B:e""),4,false)"),"12W")</f>
        <v>12W</v>
      </c>
      <c r="H10" s="53" t="str">
        <f>IFERROR(__xludf.DUMMYFUNCTION("vlookup($D10,IMPORTRANGE(""https://docs.google.com/spreadsheets/d/1swGwZOEqYlTEUCJLY-eeJM1911Kvaei5oySBIxdgtNo/edit?pli=1#gid=257618397"",""stock FAKTUR!B:F""),5,false)"),"JK")</f>
        <v>JK</v>
      </c>
      <c r="I10" s="53" t="str">
        <f>IFERROR(__xludf.DUMMYFUNCTION("vlookup($D10,IMPORTRANGE(""https://docs.google.com/spreadsheets/d/1swGwZOEqYlTEUCJLY-eeJM1911Kvaei5oySBIxdgtNo/edit?pli=1#gid=257618397"",""stock FAKTUR!B:G""),6,false)"),"OP-12S")</f>
        <v>OP-12S</v>
      </c>
      <c r="J10" s="43" t="str">
        <f t="shared" si="1"/>
        <v>ADA</v>
      </c>
      <c r="K10" s="146">
        <v>1440.0</v>
      </c>
      <c r="L10" s="145" t="str">
        <f>IFERROR(__xludf.DUMMYFUNCTION("vlookup($D10,IMPORTRANGE(""https://docs.google.com/spreadsheets/d/1swGwZOEqYlTEUCJLY-eeJM1911Kvaei5oySBIxdgtNo/edit?pli=1#gid=257618397"",""stock FAKTUR!B:q""),16,false)"),"PCS")</f>
        <v>PCS</v>
      </c>
      <c r="M10" s="147">
        <v>11900.0</v>
      </c>
      <c r="N10" s="152">
        <v>0.15</v>
      </c>
      <c r="O10" s="147">
        <f t="shared" si="2"/>
        <v>14565600</v>
      </c>
      <c r="P10" s="147" t="str">
        <f t="shared" si="3"/>
        <v>Rp11,900-1440 PCS-15.00%</v>
      </c>
      <c r="Q10" s="149">
        <v>45408.0</v>
      </c>
      <c r="R10" s="150"/>
      <c r="S10" s="149">
        <v>45414.0</v>
      </c>
      <c r="T10" s="151"/>
      <c r="U10" s="151"/>
      <c r="V10" s="151"/>
      <c r="W10" s="151"/>
    </row>
    <row r="11">
      <c r="A11" s="142">
        <v>3113.0</v>
      </c>
      <c r="B11" s="143" t="str">
        <f>IF(A11=A10,B10,"")</f>
        <v>H</v>
      </c>
      <c r="C11" s="143" t="str">
        <f>IF(A11=A10,C10,"")</f>
        <v>LANCAR-MALANG</v>
      </c>
      <c r="D11" s="144" t="s">
        <v>4392</v>
      </c>
      <c r="E11" s="145" t="str">
        <f>IFERROR(__xludf.DUMMYFUNCTION("vlookup(D11,IMPORTRANGE(""https://docs.google.com/spreadsheets/d/1swGwZOEqYlTEUCJLY-eeJM1911Kvaei5oySBIxdgtNo/edit?pli=1#gid=257618397"",""stock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1" s="53" t="str">
        <f>IFERROR(__xludf.DUMMYFUNCTION("vlookup($D11,IMPORTRANGE(""https://docs.google.com/spreadsheets/d/1swGwZOEqYlTEUCJLY-eeJM1911Kvaei5oySBIxdgtNo/edit?pli=1#gid=257618397"",""stock FAKTUR!B:d""),3,false)"),"")</f>
        <v/>
      </c>
      <c r="G11" s="53" t="str">
        <f>IFERROR(__xludf.DUMMYFUNCTION("vlookup($D11,IMPORTRANGE(""https://docs.google.com/spreadsheets/d/1swGwZOEqYlTEUCJLY-eeJM1911Kvaei5oySBIxdgtNo/edit?pli=1#gid=257618397"",""stock FAKTUR!B:e""),4,false)"),"18W")</f>
        <v>18W</v>
      </c>
      <c r="H11" s="53" t="str">
        <f>IFERROR(__xludf.DUMMYFUNCTION("vlookup($D11,IMPORTRANGE(""https://docs.google.com/spreadsheets/d/1swGwZOEqYlTEUCJLY-eeJM1911Kvaei5oySBIxdgtNo/edit?pli=1#gid=257618397"",""stock FAKTUR!B:F""),5,false)"),"JK")</f>
        <v>JK</v>
      </c>
      <c r="I11" s="53" t="str">
        <f>IFERROR(__xludf.DUMMYFUNCTION("vlookup($D11,IMPORTRANGE(""https://docs.google.com/spreadsheets/d/1swGwZOEqYlTEUCJLY-eeJM1911Kvaei5oySBIxdgtNo/edit?pli=1#gid=257618397"",""stock FAKTUR!B:G""),6,false)"),"OP-18S")</f>
        <v>OP-18S</v>
      </c>
      <c r="J11" s="43" t="str">
        <f t="shared" si="1"/>
        <v>ADA</v>
      </c>
      <c r="K11" s="146">
        <v>720.0</v>
      </c>
      <c r="L11" s="145" t="str">
        <f>IFERROR(__xludf.DUMMYFUNCTION("vlookup($D11,IMPORTRANGE(""https://docs.google.com/spreadsheets/d/1swGwZOEqYlTEUCJLY-eeJM1911Kvaei5oySBIxdgtNo/edit?pli=1#gid=257618397"",""stock FAKTUR!B:q""),16,false)"),"PCS")</f>
        <v>PCS</v>
      </c>
      <c r="M11" s="147">
        <v>23000.0</v>
      </c>
      <c r="N11" s="152">
        <v>0.15</v>
      </c>
      <c r="O11" s="147">
        <f t="shared" si="2"/>
        <v>14076000</v>
      </c>
      <c r="P11" s="147" t="str">
        <f t="shared" si="3"/>
        <v>Rp23,000-720 PCS-15.00%</v>
      </c>
      <c r="Q11" s="149">
        <v>45408.0</v>
      </c>
      <c r="R11" s="150"/>
      <c r="S11" s="149">
        <v>45414.0</v>
      </c>
      <c r="T11" s="151"/>
      <c r="U11" s="151"/>
      <c r="V11" s="151"/>
      <c r="W11" s="151"/>
    </row>
    <row r="12">
      <c r="A12" s="142">
        <v>3114.0</v>
      </c>
      <c r="B12" s="143" t="s">
        <v>33</v>
      </c>
      <c r="C12" s="143" t="s">
        <v>2355</v>
      </c>
      <c r="D12" s="144" t="s">
        <v>4386</v>
      </c>
      <c r="E12" s="145" t="str">
        <f>IFERROR(__xludf.DUMMYFUNCTION("vlookup(D12,IMPORTRANGE(""https://docs.google.com/spreadsheets/d/1swGwZOEqYlTEUCJLY-eeJM1911Kvaei5oySBIxdgtNo/edit?pli=1#gid=257618397"",""stock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12" s="53" t="str">
        <f>IFERROR(__xludf.DUMMYFUNCTION("vlookup($D12,IMPORTRANGE(""https://docs.google.com/spreadsheets/d/1swGwZOEqYlTEUCJLY-eeJM1911Kvaei5oySBIxdgtNo/edit?pli=1#gid=257618397"",""stock FAKTUR!B:d""),3,false)"),"")</f>
        <v/>
      </c>
      <c r="G12" s="53" t="str">
        <f>IFERROR(__xludf.DUMMYFUNCTION("vlookup($D12,IMPORTRANGE(""https://docs.google.com/spreadsheets/d/1swGwZOEqYlTEUCJLY-eeJM1911Kvaei5oySBIxdgtNo/edit?pli=1#gid=257618397"",""stock FAKTUR!B:e""),4,false)"),"12W")</f>
        <v>12W</v>
      </c>
      <c r="H12" s="53" t="str">
        <f>IFERROR(__xludf.DUMMYFUNCTION("vlookup($D12,IMPORTRANGE(""https://docs.google.com/spreadsheets/d/1swGwZOEqYlTEUCJLY-eeJM1911Kvaei5oySBIxdgtNo/edit?pli=1#gid=257618397"",""stock FAKTUR!B:F""),5,false)"),"JK")</f>
        <v>JK</v>
      </c>
      <c r="I12" s="53" t="str">
        <f>IFERROR(__xludf.DUMMYFUNCTION("vlookup($D12,IMPORTRANGE(""https://docs.google.com/spreadsheets/d/1swGwZOEqYlTEUCJLY-eeJM1911Kvaei5oySBIxdgtNo/edit?pli=1#gid=257618397"",""stock FAKTUR!B:G""),6,false)"),"OP-12S")</f>
        <v>OP-12S</v>
      </c>
      <c r="J12" s="43" t="str">
        <f t="shared" si="1"/>
        <v>ADA</v>
      </c>
      <c r="K12" s="146">
        <v>720.0</v>
      </c>
      <c r="L12" s="145" t="str">
        <f>IFERROR(__xludf.DUMMYFUNCTION("vlookup($D12,IMPORTRANGE(""https://docs.google.com/spreadsheets/d/1swGwZOEqYlTEUCJLY-eeJM1911Kvaei5oySBIxdgtNo/edit?pli=1#gid=257618397"",""stock FAKTUR!B:q""),16,false)"),"PCS")</f>
        <v>PCS</v>
      </c>
      <c r="M12" s="147">
        <v>11900.0</v>
      </c>
      <c r="N12" s="152">
        <v>0.125</v>
      </c>
      <c r="O12" s="147">
        <f t="shared" si="2"/>
        <v>7497000</v>
      </c>
      <c r="P12" s="147" t="str">
        <f t="shared" si="3"/>
        <v>Rp11,900-720 PCS-12.50%</v>
      </c>
      <c r="Q12" s="149">
        <v>45408.0</v>
      </c>
      <c r="R12" s="150"/>
      <c r="S12" s="149">
        <v>45414.0</v>
      </c>
      <c r="T12" s="151"/>
      <c r="U12" s="151"/>
      <c r="V12" s="151"/>
      <c r="W12" s="151"/>
    </row>
    <row r="13">
      <c r="A13" s="142">
        <v>3114.0</v>
      </c>
      <c r="B13" s="143" t="str">
        <f>IF(A13=A12,B12,"")</f>
        <v>H</v>
      </c>
      <c r="C13" s="143" t="str">
        <f>IF(A13=A12,C12,"")</f>
        <v>ANEKA-MALANG</v>
      </c>
      <c r="D13" s="144" t="s">
        <v>4392</v>
      </c>
      <c r="E13" s="145" t="str">
        <f>IFERROR(__xludf.DUMMYFUNCTION("vlookup(D13,IMPORTRANGE(""https://docs.google.com/spreadsheets/d/1swGwZOEqYlTEUCJLY-eeJM1911Kvaei5oySBIxdgtNo/edit?pli=1#gid=257618397"",""stock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3" s="53" t="str">
        <f>IFERROR(__xludf.DUMMYFUNCTION("vlookup($D13,IMPORTRANGE(""https://docs.google.com/spreadsheets/d/1swGwZOEqYlTEUCJLY-eeJM1911Kvaei5oySBIxdgtNo/edit?pli=1#gid=257618397"",""stock FAKTUR!B:d""),3,false)"),"")</f>
        <v/>
      </c>
      <c r="G13" s="53" t="str">
        <f>IFERROR(__xludf.DUMMYFUNCTION("vlookup($D13,IMPORTRANGE(""https://docs.google.com/spreadsheets/d/1swGwZOEqYlTEUCJLY-eeJM1911Kvaei5oySBIxdgtNo/edit?pli=1#gid=257618397"",""stock FAKTUR!B:e""),4,false)"),"18W")</f>
        <v>18W</v>
      </c>
      <c r="H13" s="53" t="str">
        <f>IFERROR(__xludf.DUMMYFUNCTION("vlookup($D13,IMPORTRANGE(""https://docs.google.com/spreadsheets/d/1swGwZOEqYlTEUCJLY-eeJM1911Kvaei5oySBIxdgtNo/edit?pli=1#gid=257618397"",""stock FAKTUR!B:F""),5,false)"),"JK")</f>
        <v>JK</v>
      </c>
      <c r="I13" s="53" t="str">
        <f>IFERROR(__xludf.DUMMYFUNCTION("vlookup($D13,IMPORTRANGE(""https://docs.google.com/spreadsheets/d/1swGwZOEqYlTEUCJLY-eeJM1911Kvaei5oySBIxdgtNo/edit?pli=1#gid=257618397"",""stock FAKTUR!B:G""),6,false)"),"OP-18S")</f>
        <v>OP-18S</v>
      </c>
      <c r="J13" s="43" t="str">
        <f t="shared" si="1"/>
        <v>ADA</v>
      </c>
      <c r="K13" s="146">
        <v>360.0</v>
      </c>
      <c r="L13" s="145" t="str">
        <f>IFERROR(__xludf.DUMMYFUNCTION("vlookup($D13,IMPORTRANGE(""https://docs.google.com/spreadsheets/d/1swGwZOEqYlTEUCJLY-eeJM1911Kvaei5oySBIxdgtNo/edit?pli=1#gid=257618397"",""stock FAKTUR!B:q""),16,false)"),"PCS")</f>
        <v>PCS</v>
      </c>
      <c r="M13" s="147">
        <v>23000.0</v>
      </c>
      <c r="N13" s="152">
        <v>0.125</v>
      </c>
      <c r="O13" s="147">
        <f t="shared" si="2"/>
        <v>7245000</v>
      </c>
      <c r="P13" s="147" t="str">
        <f t="shared" si="3"/>
        <v>Rp23,000-360 PCS-12.50%</v>
      </c>
      <c r="Q13" s="149">
        <v>45408.0</v>
      </c>
      <c r="R13" s="150"/>
      <c r="S13" s="149">
        <v>45414.0</v>
      </c>
      <c r="T13" s="151"/>
      <c r="U13" s="151"/>
      <c r="V13" s="151"/>
      <c r="W13" s="151"/>
    </row>
    <row r="14">
      <c r="A14" s="142">
        <v>4644.0</v>
      </c>
      <c r="B14" s="143" t="s">
        <v>58</v>
      </c>
      <c r="C14" s="143" t="s">
        <v>103</v>
      </c>
      <c r="D14" s="144" t="s">
        <v>4386</v>
      </c>
      <c r="E14" s="145" t="str">
        <f>IFERROR(__xludf.DUMMYFUNCTION("vlookup(D14,IMPORTRANGE(""https://docs.google.com/spreadsheets/d/1swGwZOEqYlTEUCJLY-eeJM1911Kvaei5oySBIxdgtNo/edit?pli=1#gid=257618397"",""stock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14" s="53" t="str">
        <f>IFERROR(__xludf.DUMMYFUNCTION("vlookup($D14,IMPORTRANGE(""https://docs.google.com/spreadsheets/d/1swGwZOEqYlTEUCJLY-eeJM1911Kvaei5oySBIxdgtNo/edit?pli=1#gid=257618397"",""stock FAKTUR!B:d""),3,false)"),"")</f>
        <v/>
      </c>
      <c r="G14" s="53" t="str">
        <f>IFERROR(__xludf.DUMMYFUNCTION("vlookup($D14,IMPORTRANGE(""https://docs.google.com/spreadsheets/d/1swGwZOEqYlTEUCJLY-eeJM1911Kvaei5oySBIxdgtNo/edit?pli=1#gid=257618397"",""stock FAKTUR!B:e""),4,false)"),"12W")</f>
        <v>12W</v>
      </c>
      <c r="H14" s="53" t="str">
        <f>IFERROR(__xludf.DUMMYFUNCTION("vlookup($D14,IMPORTRANGE(""https://docs.google.com/spreadsheets/d/1swGwZOEqYlTEUCJLY-eeJM1911Kvaei5oySBIxdgtNo/edit?pli=1#gid=257618397"",""stock FAKTUR!B:F""),5,false)"),"JK")</f>
        <v>JK</v>
      </c>
      <c r="I14" s="53" t="str">
        <f>IFERROR(__xludf.DUMMYFUNCTION("vlookup($D14,IMPORTRANGE(""https://docs.google.com/spreadsheets/d/1swGwZOEqYlTEUCJLY-eeJM1911Kvaei5oySBIxdgtNo/edit?pli=1#gid=257618397"",""stock FAKTUR!B:G""),6,false)"),"OP-12S")</f>
        <v>OP-12S</v>
      </c>
      <c r="J14" s="43" t="str">
        <f t="shared" si="1"/>
        <v>ADA</v>
      </c>
      <c r="K14" s="146">
        <v>144.0</v>
      </c>
      <c r="L14" s="145" t="str">
        <f>IFERROR(__xludf.DUMMYFUNCTION("vlookup($D14,IMPORTRANGE(""https://docs.google.com/spreadsheets/d/1swGwZOEqYlTEUCJLY-eeJM1911Kvaei5oySBIxdgtNo/edit?pli=1#gid=257618397"",""stock FAKTUR!B:q""),16,false)"),"PCS")</f>
        <v>PCS</v>
      </c>
      <c r="M14" s="147">
        <v>11900.0</v>
      </c>
      <c r="N14" s="152">
        <v>0.125</v>
      </c>
      <c r="O14" s="147">
        <f t="shared" si="2"/>
        <v>1499400</v>
      </c>
      <c r="P14" s="147" t="str">
        <f t="shared" si="3"/>
        <v>Rp11,900-144 PCS-12.50%</v>
      </c>
      <c r="Q14" s="149">
        <v>45408.0</v>
      </c>
      <c r="R14" s="150"/>
      <c r="S14" s="149">
        <v>45414.0</v>
      </c>
      <c r="T14" s="151"/>
      <c r="U14" s="151"/>
      <c r="V14" s="151"/>
      <c r="W14" s="151"/>
    </row>
    <row r="15">
      <c r="A15" s="142">
        <v>4644.0</v>
      </c>
      <c r="B15" s="143" t="str">
        <f t="shared" ref="B15:B18" si="9">IF(A15=A14,B14,"")</f>
        <v>G</v>
      </c>
      <c r="C15" s="143" t="str">
        <f t="shared" ref="C15:C18" si="10">IF(A15=A14,C14,"")</f>
        <v>SASA-BOJONEGORO</v>
      </c>
      <c r="D15" s="144" t="s">
        <v>4392</v>
      </c>
      <c r="E15" s="145" t="str">
        <f>IFERROR(__xludf.DUMMYFUNCTION("vlookup(D15,IMPORTRANGE(""https://docs.google.com/spreadsheets/d/1swGwZOEqYlTEUCJLY-eeJM1911Kvaei5oySBIxdgtNo/edit?pli=1#gid=257618397"",""stock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5" s="53" t="str">
        <f>IFERROR(__xludf.DUMMYFUNCTION("vlookup($D15,IMPORTRANGE(""https://docs.google.com/spreadsheets/d/1swGwZOEqYlTEUCJLY-eeJM1911Kvaei5oySBIxdgtNo/edit?pli=1#gid=257618397"",""stock FAKTUR!B:d""),3,false)"),"")</f>
        <v/>
      </c>
      <c r="G15" s="53" t="str">
        <f>IFERROR(__xludf.DUMMYFUNCTION("vlookup($D15,IMPORTRANGE(""https://docs.google.com/spreadsheets/d/1swGwZOEqYlTEUCJLY-eeJM1911Kvaei5oySBIxdgtNo/edit?pli=1#gid=257618397"",""stock FAKTUR!B:e""),4,false)"),"18W")</f>
        <v>18W</v>
      </c>
      <c r="H15" s="53" t="str">
        <f>IFERROR(__xludf.DUMMYFUNCTION("vlookup($D15,IMPORTRANGE(""https://docs.google.com/spreadsheets/d/1swGwZOEqYlTEUCJLY-eeJM1911Kvaei5oySBIxdgtNo/edit?pli=1#gid=257618397"",""stock FAKTUR!B:F""),5,false)"),"JK")</f>
        <v>JK</v>
      </c>
      <c r="I15" s="53" t="str">
        <f>IFERROR(__xludf.DUMMYFUNCTION("vlookup($D15,IMPORTRANGE(""https://docs.google.com/spreadsheets/d/1swGwZOEqYlTEUCJLY-eeJM1911Kvaei5oySBIxdgtNo/edit?pli=1#gid=257618397"",""stock FAKTUR!B:G""),6,false)"),"OP-18S")</f>
        <v>OP-18S</v>
      </c>
      <c r="J15" s="43" t="str">
        <f t="shared" si="1"/>
        <v>ADA</v>
      </c>
      <c r="K15" s="146">
        <v>216.0</v>
      </c>
      <c r="L15" s="145" t="str">
        <f>IFERROR(__xludf.DUMMYFUNCTION("vlookup($D15,IMPORTRANGE(""https://docs.google.com/spreadsheets/d/1swGwZOEqYlTEUCJLY-eeJM1911Kvaei5oySBIxdgtNo/edit?pli=1#gid=257618397"",""stock FAKTUR!B:q""),16,false)"),"PCS")</f>
        <v>PCS</v>
      </c>
      <c r="M15" s="147">
        <v>23000.0</v>
      </c>
      <c r="N15" s="152">
        <v>0.125</v>
      </c>
      <c r="O15" s="147">
        <f t="shared" si="2"/>
        <v>4347000</v>
      </c>
      <c r="P15" s="147" t="str">
        <f t="shared" si="3"/>
        <v>Rp23,000-216 PCS-12.50%</v>
      </c>
      <c r="Q15" s="149">
        <v>45408.0</v>
      </c>
      <c r="R15" s="150"/>
      <c r="S15" s="149">
        <v>45414.0</v>
      </c>
      <c r="T15" s="151"/>
      <c r="U15" s="151"/>
      <c r="V15" s="151"/>
      <c r="W15" s="151"/>
    </row>
    <row r="16">
      <c r="A16" s="142">
        <v>4644.0</v>
      </c>
      <c r="B16" s="143" t="str">
        <f t="shared" si="9"/>
        <v>G</v>
      </c>
      <c r="C16" s="143" t="str">
        <f t="shared" si="10"/>
        <v>SASA-BOJONEGORO</v>
      </c>
      <c r="D16" s="144" t="s">
        <v>4393</v>
      </c>
      <c r="E16" s="145" t="str">
        <f>IFERROR(__xludf.DUMMYFUNCTION("vlookup(D16,IMPORTRANGE(""https://docs.google.com/spreadsheets/d/1swGwZOEqYlTEUCJLY-eeJM1911Kvaei5oySBIxdgtNo/edit?pli=1#gid=257618397"",""stock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16" s="53" t="str">
        <f>IFERROR(__xludf.DUMMYFUNCTION("vlookup($D16,IMPORTRANGE(""https://docs.google.com/spreadsheets/d/1swGwZOEqYlTEUCJLY-eeJM1911Kvaei5oySBIxdgtNo/edit?pli=1#gid=257618397"",""stock FAKTUR!B:d""),3,false)"),"")</f>
        <v/>
      </c>
      <c r="G16" s="53" t="str">
        <f>IFERROR(__xludf.DUMMYFUNCTION("vlookup($D16,IMPORTRANGE(""https://docs.google.com/spreadsheets/d/1swGwZOEqYlTEUCJLY-eeJM1911Kvaei5oySBIxdgtNo/edit?pli=1#gid=257618397"",""stock FAKTUR!B:e""),4,false)"),"36W")</f>
        <v>36W</v>
      </c>
      <c r="H16" s="53" t="str">
        <f>IFERROR(__xludf.DUMMYFUNCTION("vlookup($D16,IMPORTRANGE(""https://docs.google.com/spreadsheets/d/1swGwZOEqYlTEUCJLY-eeJM1911Kvaei5oySBIxdgtNo/edit?pli=1#gid=257618397"",""stock FAKTUR!B:F""),5,false)"),"JK")</f>
        <v>JK</v>
      </c>
      <c r="I16" s="53" t="str">
        <f>IFERROR(__xludf.DUMMYFUNCTION("vlookup($D16,IMPORTRANGE(""https://docs.google.com/spreadsheets/d/1swGwZOEqYlTEUCJLY-eeJM1911Kvaei5oySBIxdgtNo/edit?pli=1#gid=257618397"",""stock FAKTUR!B:G""),6,false)"),"OP-36S")</f>
        <v>OP-36S</v>
      </c>
      <c r="J16" s="43" t="str">
        <f t="shared" si="1"/>
        <v>ADA</v>
      </c>
      <c r="K16" s="146">
        <v>36.0</v>
      </c>
      <c r="L16" s="145" t="str">
        <f>IFERROR(__xludf.DUMMYFUNCTION("vlookup($D16,IMPORTRANGE(""https://docs.google.com/spreadsheets/d/1swGwZOEqYlTEUCJLY-eeJM1911Kvaei5oySBIxdgtNo/edit?pli=1#gid=257618397"",""stock FAKTUR!B:q""),16,false)"),"PCS")</f>
        <v>PCS</v>
      </c>
      <c r="M16" s="147">
        <v>41500.0</v>
      </c>
      <c r="N16" s="152">
        <v>0.125</v>
      </c>
      <c r="O16" s="147">
        <f t="shared" si="2"/>
        <v>1307250</v>
      </c>
      <c r="P16" s="147" t="str">
        <f t="shared" si="3"/>
        <v>Rp41,500-36 PCS-12.50%</v>
      </c>
      <c r="Q16" s="149">
        <v>45408.0</v>
      </c>
      <c r="R16" s="150"/>
      <c r="S16" s="149">
        <v>45414.0</v>
      </c>
      <c r="T16" s="151"/>
      <c r="U16" s="151"/>
      <c r="V16" s="151"/>
      <c r="W16" s="151"/>
    </row>
    <row r="17">
      <c r="A17" s="142">
        <v>4644.0</v>
      </c>
      <c r="B17" s="143" t="str">
        <f t="shared" si="9"/>
        <v>G</v>
      </c>
      <c r="C17" s="143" t="str">
        <f t="shared" si="10"/>
        <v>SASA-BOJONEGORO</v>
      </c>
      <c r="D17" s="144" t="s">
        <v>4394</v>
      </c>
      <c r="E17" s="145" t="str">
        <f>IFERROR(__xludf.DUMMYFUNCTION("vlookup(D17,IMPORTRANGE(""https://docs.google.com/spreadsheets/d/1swGwZOEqYlTEUCJLY-eeJM1911Kvaei5oySBIxdgtNo/edit?pli=1#gid=257618397"",""stock FAKTUR!B:C""),2,false)"),"CRAYON PUTAR JK 12W PANJANG")</f>
        <v>CRAYON PUTAR JK 12W PANJANG</v>
      </c>
      <c r="F17" s="53" t="str">
        <f>IFERROR(__xludf.DUMMYFUNCTION("vlookup($D17,IMPORTRANGE(""https://docs.google.com/spreadsheets/d/1swGwZOEqYlTEUCJLY-eeJM1911Kvaei5oySBIxdgtNo/edit?pli=1#gid=257618397"",""stock FAKTUR!B:d""),3,false)"),"")</f>
        <v/>
      </c>
      <c r="G17" s="53" t="str">
        <f>IFERROR(__xludf.DUMMYFUNCTION("vlookup($D17,IMPORTRANGE(""https://docs.google.com/spreadsheets/d/1swGwZOEqYlTEUCJLY-eeJM1911Kvaei5oySBIxdgtNo/edit?pli=1#gid=257618397"",""stock FAKTUR!B:e""),4,false)"),"12W")</f>
        <v>12W</v>
      </c>
      <c r="H17" s="53" t="str">
        <f>IFERROR(__xludf.DUMMYFUNCTION("vlookup($D17,IMPORTRANGE(""https://docs.google.com/spreadsheets/d/1swGwZOEqYlTEUCJLY-eeJM1911Kvaei5oySBIxdgtNo/edit?pli=1#gid=257618397"",""stock FAKTUR!B:F""),5,false)"),"JK")</f>
        <v>JK</v>
      </c>
      <c r="I17" s="53" t="str">
        <f>IFERROR(__xludf.DUMMYFUNCTION("vlookup($D17,IMPORTRANGE(""https://docs.google.com/spreadsheets/d/1swGwZOEqYlTEUCJLY-eeJM1911Kvaei5oySBIxdgtNo/edit?pli=1#gid=257618397"",""stock FAKTUR!B:G""),6,false)"),"")</f>
        <v/>
      </c>
      <c r="J17" s="43" t="str">
        <f t="shared" si="1"/>
        <v>ADA</v>
      </c>
      <c r="K17" s="146">
        <v>12.0</v>
      </c>
      <c r="L17" s="145" t="str">
        <f>IFERROR(__xludf.DUMMYFUNCTION("vlookup($D17,IMPORTRANGE(""https://docs.google.com/spreadsheets/d/1swGwZOEqYlTEUCJLY-eeJM1911Kvaei5oySBIxdgtNo/edit?pli=1#gid=257618397"",""stock FAKTUR!B:q""),16,false)"),"LSN")</f>
        <v>LSN</v>
      </c>
      <c r="M17" s="147">
        <f>23900*12</f>
        <v>286800</v>
      </c>
      <c r="N17" s="152">
        <v>0.125</v>
      </c>
      <c r="O17" s="147">
        <f t="shared" si="2"/>
        <v>3011400</v>
      </c>
      <c r="P17" s="147" t="str">
        <f t="shared" si="3"/>
        <v>Rp286,800-12 LSN-12.50%</v>
      </c>
      <c r="Q17" s="149">
        <v>45408.0</v>
      </c>
      <c r="R17" s="150"/>
      <c r="S17" s="149">
        <v>45414.0</v>
      </c>
      <c r="T17" s="151"/>
      <c r="U17" s="151"/>
      <c r="V17" s="151"/>
      <c r="W17" s="151"/>
    </row>
    <row r="18">
      <c r="A18" s="142">
        <v>4644.0</v>
      </c>
      <c r="B18" s="143" t="str">
        <f t="shared" si="9"/>
        <v>G</v>
      </c>
      <c r="C18" s="143" t="str">
        <f t="shared" si="10"/>
        <v>SASA-BOJONEGORO</v>
      </c>
      <c r="D18" s="144" t="s">
        <v>4395</v>
      </c>
      <c r="E18" s="145" t="str">
        <f>IFERROR(__xludf.DUMMYFUNCTION("vlookup(D18,IMPORTRANGE(""https://docs.google.com/spreadsheets/d/1swGwZOEqYlTEUCJLY-eeJM1911Kvaei5oySBIxdgtNo/edit?pli=1#gid=257618397"",""stock FAKTUR!B:C""),2,false)"),"CRAYON PUTAR JK 12W PENDEK/MINI")</f>
        <v>CRAYON PUTAR JK 12W PENDEK/MINI</v>
      </c>
      <c r="F18" s="53" t="str">
        <f>IFERROR(__xludf.DUMMYFUNCTION("vlookup($D18,IMPORTRANGE(""https://docs.google.com/spreadsheets/d/1swGwZOEqYlTEUCJLY-eeJM1911Kvaei5oySBIxdgtNo/edit?pli=1#gid=257618397"",""stock FAKTUR!B:d""),3,false)"),"")</f>
        <v/>
      </c>
      <c r="G18" s="53" t="str">
        <f>IFERROR(__xludf.DUMMYFUNCTION("vlookup($D18,IMPORTRANGE(""https://docs.google.com/spreadsheets/d/1swGwZOEqYlTEUCJLY-eeJM1911Kvaei5oySBIxdgtNo/edit?pli=1#gid=257618397"",""stock FAKTUR!B:e""),4,false)"),"12W")</f>
        <v>12W</v>
      </c>
      <c r="H18" s="53" t="str">
        <f>IFERROR(__xludf.DUMMYFUNCTION("vlookup($D18,IMPORTRANGE(""https://docs.google.com/spreadsheets/d/1swGwZOEqYlTEUCJLY-eeJM1911Kvaei5oySBIxdgtNo/edit?pli=1#gid=257618397"",""stock FAKTUR!B:F""),5,false)"),"JK")</f>
        <v>JK</v>
      </c>
      <c r="I18" s="53" t="str">
        <f>IFERROR(__xludf.DUMMYFUNCTION("vlookup($D18,IMPORTRANGE(""https://docs.google.com/spreadsheets/d/1swGwZOEqYlTEUCJLY-eeJM1911Kvaei5oySBIxdgtNo/edit?pli=1#gid=257618397"",""stock FAKTUR!B:G""),6,false)"),"")</f>
        <v/>
      </c>
      <c r="J18" s="43" t="str">
        <f t="shared" si="1"/>
        <v>ADA</v>
      </c>
      <c r="K18" s="146">
        <v>12.0</v>
      </c>
      <c r="L18" s="145" t="str">
        <f>IFERROR(__xludf.DUMMYFUNCTION("vlookup($D18,IMPORTRANGE(""https://docs.google.com/spreadsheets/d/1swGwZOEqYlTEUCJLY-eeJM1911Kvaei5oySBIxdgtNo/edit?pli=1#gid=257618397"",""stock FAKTUR!B:q""),16,false)"),"LSN")</f>
        <v>LSN</v>
      </c>
      <c r="M18" s="147">
        <f>18600*12</f>
        <v>223200</v>
      </c>
      <c r="N18" s="152">
        <v>0.125</v>
      </c>
      <c r="O18" s="147">
        <f t="shared" si="2"/>
        <v>2343600</v>
      </c>
      <c r="P18" s="147" t="str">
        <f t="shared" si="3"/>
        <v>Rp223,200-12 LSN-12.50%</v>
      </c>
      <c r="Q18" s="149">
        <v>45408.0</v>
      </c>
      <c r="R18" s="150"/>
      <c r="S18" s="149">
        <v>45414.0</v>
      </c>
      <c r="T18" s="151"/>
      <c r="U18" s="151"/>
      <c r="V18" s="151"/>
      <c r="W18" s="151"/>
    </row>
    <row r="19">
      <c r="A19" s="142">
        <v>4651.0</v>
      </c>
      <c r="B19" s="143" t="s">
        <v>65</v>
      </c>
      <c r="C19" s="143" t="s">
        <v>92</v>
      </c>
      <c r="D19" s="144" t="s">
        <v>4396</v>
      </c>
      <c r="E19" s="145" t="str">
        <f>IFERROR(__xludf.DUMMYFUNCTION("vlookup(D19,IMPORTRANGE(""https://docs.google.com/spreadsheets/d/1swGwZOEqYlTEUCJLY-eeJM1911Kvaei5oySBIxdgtNo/edit?pli=1#gid=257618397"",""stock FAKTUR!B:C""),2,false)"),"STAPLER KENKO HD-10")</f>
        <v>STAPLER KENKO HD-10</v>
      </c>
      <c r="F19" s="53" t="str">
        <f>IFERROR(__xludf.DUMMYFUNCTION("vlookup($D19,IMPORTRANGE(""https://docs.google.com/spreadsheets/d/1swGwZOEqYlTEUCJLY-eeJM1911Kvaei5oySBIxdgtNo/edit?pli=1#gid=257618397"",""stock FAKTUR!B:d""),3,false)"),"")</f>
        <v/>
      </c>
      <c r="G19" s="53" t="str">
        <f>IFERROR(__xludf.DUMMYFUNCTION("vlookup($D19,IMPORTRANGE(""https://docs.google.com/spreadsheets/d/1swGwZOEqYlTEUCJLY-eeJM1911Kvaei5oySBIxdgtNo/edit?pli=1#gid=257618397"",""stock FAKTUR!B:e""),4,false)"),"")</f>
        <v/>
      </c>
      <c r="H19" s="53" t="str">
        <f>IFERROR(__xludf.DUMMYFUNCTION("vlookup($D19,IMPORTRANGE(""https://docs.google.com/spreadsheets/d/1swGwZOEqYlTEUCJLY-eeJM1911Kvaei5oySBIxdgtNo/edit?pli=1#gid=257618397"",""stock FAKTUR!B:F""),5,false)"),"KN")</f>
        <v>KN</v>
      </c>
      <c r="I19" s="53" t="str">
        <f>IFERROR(__xludf.DUMMYFUNCTION("vlookup($D19,IMPORTRANGE(""https://docs.google.com/spreadsheets/d/1swGwZOEqYlTEUCJLY-eeJM1911Kvaei5oySBIxdgtNo/edit?pli=1#gid=257618397"",""stock FAKTUR!B:G""),6,false)"),"HD-10")</f>
        <v>HD-10</v>
      </c>
      <c r="J19" s="43" t="str">
        <f t="shared" si="1"/>
        <v>ADA</v>
      </c>
      <c r="K19" s="146">
        <v>20.0</v>
      </c>
      <c r="L19" s="145" t="str">
        <f>IFERROR(__xludf.DUMMYFUNCTION("vlookup($D19,IMPORTRANGE(""https://docs.google.com/spreadsheets/d/1swGwZOEqYlTEUCJLY-eeJM1911Kvaei5oySBIxdgtNo/edit?pli=1#gid=257618397"",""stock FAKTUR!B:q""),16,false)"),"LSN")</f>
        <v>LSN</v>
      </c>
      <c r="M19" s="147">
        <v>93000.0</v>
      </c>
      <c r="N19" s="152">
        <v>0.125</v>
      </c>
      <c r="O19" s="147">
        <f t="shared" si="2"/>
        <v>1627500</v>
      </c>
      <c r="P19" s="147" t="str">
        <f t="shared" si="3"/>
        <v>Rp93,000-20 LSN-12.50%</v>
      </c>
      <c r="Q19" s="149">
        <v>45408.0</v>
      </c>
      <c r="R19" s="150"/>
      <c r="S19" s="149">
        <v>45414.0</v>
      </c>
      <c r="T19" s="151"/>
      <c r="U19" s="151"/>
      <c r="V19" s="151"/>
      <c r="W19" s="151"/>
    </row>
    <row r="20">
      <c r="A20" s="142">
        <v>4651.0</v>
      </c>
      <c r="B20" s="143" t="str">
        <f t="shared" ref="B20:B32" si="11">IF(A20=A19,B19,"")</f>
        <v>A</v>
      </c>
      <c r="C20" s="143" t="str">
        <f t="shared" ref="C20:C32" si="12">IF(A20=A19,C19,"")</f>
        <v>INDOGLOBAL-PATI</v>
      </c>
      <c r="D20" s="144" t="s">
        <v>4397</v>
      </c>
      <c r="E20" s="145" t="str">
        <f>IFERROR(__xludf.DUMMYFUNCTION("vlookup(D20,IMPORTRANGE(""https://docs.google.com/spreadsheets/d/1swGwZOEqYlTEUCJLY-eeJM1911Kvaei5oySBIxdgtNo/edit?pli=1#gid=257618397"",""stock FAKTUR!B:C""),2,false)"),"TIPEX KENKO KE-107M")</f>
        <v>TIPEX KENKO KE-107M</v>
      </c>
      <c r="F20" s="53" t="str">
        <f>IFERROR(__xludf.DUMMYFUNCTION("vlookup($D20,IMPORTRANGE(""https://docs.google.com/spreadsheets/d/1swGwZOEqYlTEUCJLY-eeJM1911Kvaei5oySBIxdgtNo/edit?pli=1#gid=257618397"",""stock FAKTUR!B:d""),3,false)"),"")</f>
        <v/>
      </c>
      <c r="G20" s="53" t="str">
        <f>IFERROR(__xludf.DUMMYFUNCTION("vlookup($D20,IMPORTRANGE(""https://docs.google.com/spreadsheets/d/1swGwZOEqYlTEUCJLY-eeJM1911Kvaei5oySBIxdgtNo/edit?pli=1#gid=257618397"",""stock FAKTUR!B:e""),4,false)"),"")</f>
        <v/>
      </c>
      <c r="H20" s="53" t="str">
        <f>IFERROR(__xludf.DUMMYFUNCTION("vlookup($D20,IMPORTRANGE(""https://docs.google.com/spreadsheets/d/1swGwZOEqYlTEUCJLY-eeJM1911Kvaei5oySBIxdgtNo/edit?pli=1#gid=257618397"",""stock FAKTUR!B:F""),5,false)"),"KN")</f>
        <v>KN</v>
      </c>
      <c r="I20" s="53" t="str">
        <f>IFERROR(__xludf.DUMMYFUNCTION("vlookup($D20,IMPORTRANGE(""https://docs.google.com/spreadsheets/d/1swGwZOEqYlTEUCJLY-eeJM1911Kvaei5oySBIxdgtNo/edit?pli=1#gid=257618397"",""stock FAKTUR!B:G""),6,false)"),"CFL-002")</f>
        <v>CFL-002</v>
      </c>
      <c r="J20" s="43" t="str">
        <f t="shared" si="1"/>
        <v>ADA</v>
      </c>
      <c r="K20" s="146">
        <v>36.0</v>
      </c>
      <c r="L20" s="145" t="str">
        <f>IFERROR(__xludf.DUMMYFUNCTION("vlookup($D20,IMPORTRANGE(""https://docs.google.com/spreadsheets/d/1swGwZOEqYlTEUCJLY-eeJM1911Kvaei5oySBIxdgtNo/edit?pli=1#gid=257618397"",""stock FAKTUR!B:q""),16,false)"),"LSN")</f>
        <v>LSN</v>
      </c>
      <c r="M20" s="147">
        <v>55800.0</v>
      </c>
      <c r="N20" s="152">
        <v>0.125</v>
      </c>
      <c r="O20" s="147">
        <f t="shared" si="2"/>
        <v>1757700</v>
      </c>
      <c r="P20" s="147" t="str">
        <f t="shared" si="3"/>
        <v>Rp55,800-36 LSN-12.50%</v>
      </c>
      <c r="Q20" s="149">
        <v>45408.0</v>
      </c>
      <c r="R20" s="150"/>
      <c r="S20" s="149">
        <v>45414.0</v>
      </c>
      <c r="T20" s="151"/>
      <c r="U20" s="151"/>
      <c r="V20" s="151"/>
      <c r="W20" s="151"/>
    </row>
    <row r="21">
      <c r="A21" s="142">
        <v>4651.0</v>
      </c>
      <c r="B21" s="143" t="str">
        <f t="shared" si="11"/>
        <v>A</v>
      </c>
      <c r="C21" s="143" t="str">
        <f t="shared" si="12"/>
        <v>INDOGLOBAL-PATI</v>
      </c>
      <c r="D21" s="144" t="s">
        <v>4210</v>
      </c>
      <c r="E21" s="145" t="str">
        <f>IFERROR(__xludf.DUMMYFUNCTION("vlookup(D21,IMPORTRANGE(""https://docs.google.com/spreadsheets/d/1swGwZOEqYlTEUCJLY-eeJM1911Kvaei5oySBIxdgtNo/edit?pli=1#gid=257618397"",""stock FAKTUR!B:C""),2,false)"),"CUTTER KENKO L-500")</f>
        <v>CUTTER KENKO L-500</v>
      </c>
      <c r="F21" s="53" t="str">
        <f>IFERROR(__xludf.DUMMYFUNCTION("vlookup($D21,IMPORTRANGE(""https://docs.google.com/spreadsheets/d/1swGwZOEqYlTEUCJLY-eeJM1911Kvaei5oySBIxdgtNo/edit?pli=1#gid=257618397"",""stock FAKTUR!B:d""),3,false)"),"18 MM")</f>
        <v>18 MM</v>
      </c>
      <c r="G21" s="53" t="str">
        <f>IFERROR(__xludf.DUMMYFUNCTION("vlookup($D21,IMPORTRANGE(""https://docs.google.com/spreadsheets/d/1swGwZOEqYlTEUCJLY-eeJM1911Kvaei5oySBIxdgtNo/edit?pli=1#gid=257618397"",""stock FAKTUR!B:e""),4,false)"),"")</f>
        <v/>
      </c>
      <c r="H21" s="53" t="str">
        <f>IFERROR(__xludf.DUMMYFUNCTION("vlookup($D21,IMPORTRANGE(""https://docs.google.com/spreadsheets/d/1swGwZOEqYlTEUCJLY-eeJM1911Kvaei5oySBIxdgtNo/edit?pli=1#gid=257618397"",""stock FAKTUR!B:F""),5,false)"),"KN")</f>
        <v>KN</v>
      </c>
      <c r="I21" s="53" t="str">
        <f>IFERROR(__xludf.DUMMYFUNCTION("vlookup($D21,IMPORTRANGE(""https://docs.google.com/spreadsheets/d/1swGwZOEqYlTEUCJLY-eeJM1911Kvaei5oySBIxdgtNo/edit?pli=1#gid=257618397"",""stock FAKTUR!B:G""),6,false)"),"CTR-007")</f>
        <v>CTR-007</v>
      </c>
      <c r="J21" s="43" t="str">
        <f t="shared" si="1"/>
        <v>ADA</v>
      </c>
      <c r="K21" s="146">
        <v>20.0</v>
      </c>
      <c r="L21" s="145" t="str">
        <f>IFERROR(__xludf.DUMMYFUNCTION("vlookup($D21,IMPORTRANGE(""https://docs.google.com/spreadsheets/d/1swGwZOEqYlTEUCJLY-eeJM1911Kvaei5oySBIxdgtNo/edit?pli=1#gid=257618397"",""stock FAKTUR!B:q""),16,false)"),"LSN")</f>
        <v>LSN</v>
      </c>
      <c r="M21" s="147">
        <v>147600.0</v>
      </c>
      <c r="N21" s="152">
        <v>0.125</v>
      </c>
      <c r="O21" s="147">
        <f t="shared" si="2"/>
        <v>2583000</v>
      </c>
      <c r="P21" s="147" t="str">
        <f t="shared" si="3"/>
        <v>Rp147,600-20 LSN-12.50%</v>
      </c>
      <c r="Q21" s="149">
        <v>45408.0</v>
      </c>
      <c r="R21" s="150"/>
      <c r="S21" s="149">
        <v>45414.0</v>
      </c>
      <c r="T21" s="151"/>
      <c r="U21" s="151"/>
      <c r="V21" s="151"/>
      <c r="W21" s="151"/>
    </row>
    <row r="22">
      <c r="A22" s="142">
        <v>4651.0</v>
      </c>
      <c r="B22" s="143" t="str">
        <f t="shared" si="11"/>
        <v>A</v>
      </c>
      <c r="C22" s="143" t="str">
        <f t="shared" si="12"/>
        <v>INDOGLOBAL-PATI</v>
      </c>
      <c r="D22" s="144" t="s">
        <v>4398</v>
      </c>
      <c r="E22" s="145" t="str">
        <f>IFERROR(__xludf.DUMMYFUNCTION("vlookup(D22,IMPORTRANGE(""https://docs.google.com/spreadsheets/d/1swGwZOEqYlTEUCJLY-eeJM1911Kvaei5oySBIxdgtNo/edit?pli=1#gid=257618397"",""stock FAKTUR!B:C""),2,false)"),"ISI CUTTER KENKO L-150 BESAR")</f>
        <v>ISI CUTTER KENKO L-150 BESAR</v>
      </c>
      <c r="F22" s="53" t="str">
        <f>IFERROR(__xludf.DUMMYFUNCTION("vlookup($D22,IMPORTRANGE(""https://docs.google.com/spreadsheets/d/1swGwZOEqYlTEUCJLY-eeJM1911Kvaei5oySBIxdgtNo/edit?pli=1#gid=257618397"",""stock FAKTUR!B:d""),3,false)"),"18 MM")</f>
        <v>18 MM</v>
      </c>
      <c r="G22" s="53" t="str">
        <f>IFERROR(__xludf.DUMMYFUNCTION("vlookup($D22,IMPORTRANGE(""https://docs.google.com/spreadsheets/d/1swGwZOEqYlTEUCJLY-eeJM1911Kvaei5oySBIxdgtNo/edit?pli=1#gid=257618397"",""stock FAKTUR!B:e""),4,false)"),"")</f>
        <v/>
      </c>
      <c r="H22" s="53" t="str">
        <f>IFERROR(__xludf.DUMMYFUNCTION("vlookup($D22,IMPORTRANGE(""https://docs.google.com/spreadsheets/d/1swGwZOEqYlTEUCJLY-eeJM1911Kvaei5oySBIxdgtNo/edit?pli=1#gid=257618397"",""stock FAKTUR!B:F""),5,false)"),"KN")</f>
        <v>KN</v>
      </c>
      <c r="I22" s="53" t="str">
        <f>IFERROR(__xludf.DUMMYFUNCTION("vlookup($D22,IMPORTRANGE(""https://docs.google.com/spreadsheets/d/1swGwZOEqYlTEUCJLY-eeJM1911Kvaei5oySBIxdgtNo/edit?pli=1#gid=257618397"",""stock FAKTUR!B:G""),6,false)"),"CTB-002")</f>
        <v>CTB-002</v>
      </c>
      <c r="J22" s="43" t="str">
        <f t="shared" si="1"/>
        <v>ADA</v>
      </c>
      <c r="K22" s="146">
        <v>60.0</v>
      </c>
      <c r="L22" s="145" t="str">
        <f>IFERROR(__xludf.DUMMYFUNCTION("vlookup($D22,IMPORTRANGE(""https://docs.google.com/spreadsheets/d/1swGwZOEqYlTEUCJLY-eeJM1911Kvaei5oySBIxdgtNo/edit?pli=1#gid=257618397"",""stock FAKTUR!B:q""),16,false)"),"LSN")</f>
        <v>LSN</v>
      </c>
      <c r="M22" s="147">
        <v>64800.0</v>
      </c>
      <c r="N22" s="152">
        <v>0.125</v>
      </c>
      <c r="O22" s="147">
        <f t="shared" si="2"/>
        <v>3402000</v>
      </c>
      <c r="P22" s="147" t="str">
        <f t="shared" si="3"/>
        <v>Rp64,800-60 LSN-12.50%</v>
      </c>
      <c r="Q22" s="149">
        <v>45408.0</v>
      </c>
      <c r="R22" s="150"/>
      <c r="S22" s="149">
        <v>45414.0</v>
      </c>
      <c r="T22" s="151"/>
      <c r="U22" s="151"/>
      <c r="V22" s="151"/>
      <c r="W22" s="151"/>
    </row>
    <row r="23">
      <c r="A23" s="142">
        <v>4651.0</v>
      </c>
      <c r="B23" s="143" t="str">
        <f t="shared" si="11"/>
        <v>A</v>
      </c>
      <c r="C23" s="143" t="str">
        <f t="shared" si="12"/>
        <v>INDOGLOBAL-PATI</v>
      </c>
      <c r="D23" s="144" t="s">
        <v>4399</v>
      </c>
      <c r="E23" s="145" t="str">
        <f>IFERROR(__xludf.DUMMYFUNCTION("vlookup(D23,IMPORTRANGE(""https://docs.google.com/spreadsheets/d/1swGwZOEqYlTEUCJLY-eeJM1911Kvaei5oySBIxdgtNo/edit?pli=1#gid=257618397"",""stock FAKTUR!B:C""),2,false)"),"PW KENKO 12W CP-12F CLASSIC PANJANG")</f>
        <v>PW KENKO 12W CP-12F CLASSIC PANJANG</v>
      </c>
      <c r="F23" s="53" t="str">
        <f>IFERROR(__xludf.DUMMYFUNCTION("vlookup($D23,IMPORTRANGE(""https://docs.google.com/spreadsheets/d/1swGwZOEqYlTEUCJLY-eeJM1911Kvaei5oySBIxdgtNo/edit?pli=1#gid=257618397"",""stock FAKTUR!B:d""),3,false)"),"")</f>
        <v/>
      </c>
      <c r="G23" s="53" t="str">
        <f>IFERROR(__xludf.DUMMYFUNCTION("vlookup($D23,IMPORTRANGE(""https://docs.google.com/spreadsheets/d/1swGwZOEqYlTEUCJLY-eeJM1911Kvaei5oySBIxdgtNo/edit?pli=1#gid=257618397"",""stock FAKTUR!B:e""),4,false)"),"12W")</f>
        <v>12W</v>
      </c>
      <c r="H23" s="53" t="str">
        <f>IFERROR(__xludf.DUMMYFUNCTION("vlookup($D23,IMPORTRANGE(""https://docs.google.com/spreadsheets/d/1swGwZOEqYlTEUCJLY-eeJM1911Kvaei5oySBIxdgtNo/edit?pli=1#gid=257618397"",""stock FAKTUR!B:F""),5,false)"),"KN")</f>
        <v>KN</v>
      </c>
      <c r="I23" s="53" t="str">
        <f>IFERROR(__xludf.DUMMYFUNCTION("vlookup($D23,IMPORTRANGE(""https://docs.google.com/spreadsheets/d/1swGwZOEqYlTEUCJLY-eeJM1911Kvaei5oySBIxdgtNo/edit?pli=1#gid=257618397"",""stock FAKTUR!B:G""),6,false)"),"CP-12F")</f>
        <v>CP-12F</v>
      </c>
      <c r="J23" s="43" t="str">
        <f t="shared" si="1"/>
        <v>ADA</v>
      </c>
      <c r="K23" s="146">
        <v>24.0</v>
      </c>
      <c r="L23" s="145" t="str">
        <f>IFERROR(__xludf.DUMMYFUNCTION("vlookup($D23,IMPORTRANGE(""https://docs.google.com/spreadsheets/d/1swGwZOEqYlTEUCJLY-eeJM1911Kvaei5oySBIxdgtNo/edit?pli=1#gid=257618397"",""stock FAKTUR!B:q""),16,false)"),"LSN")</f>
        <v>LSN</v>
      </c>
      <c r="M23" s="147">
        <v>124200.0</v>
      </c>
      <c r="N23" s="152">
        <v>0.125</v>
      </c>
      <c r="O23" s="147">
        <f t="shared" si="2"/>
        <v>2608200</v>
      </c>
      <c r="P23" s="147" t="str">
        <f t="shared" si="3"/>
        <v>Rp124,200-24 LSN-12.50%</v>
      </c>
      <c r="Q23" s="149">
        <v>45408.0</v>
      </c>
      <c r="R23" s="150"/>
      <c r="S23" s="149">
        <v>45414.0</v>
      </c>
      <c r="T23" s="151"/>
      <c r="U23" s="151"/>
      <c r="V23" s="151"/>
      <c r="W23" s="151"/>
    </row>
    <row r="24">
      <c r="A24" s="142">
        <v>4651.0</v>
      </c>
      <c r="B24" s="143" t="str">
        <f t="shared" si="11"/>
        <v>A</v>
      </c>
      <c r="C24" s="143" t="str">
        <f t="shared" si="12"/>
        <v>INDOGLOBAL-PATI</v>
      </c>
      <c r="D24" s="144" t="s">
        <v>4400</v>
      </c>
      <c r="E24" s="145" t="str">
        <f>IFERROR(__xludf.DUMMYFUNCTION("vlookup(D24,IMPORTRANGE(""https://docs.google.com/spreadsheets/d/1swGwZOEqYlTEUCJLY-eeJM1911Kvaei5oySBIxdgtNo/edit?pli=1#gid=257618397"",""stock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24" s="53" t="str">
        <f>IFERROR(__xludf.DUMMYFUNCTION("vlookup($D24,IMPORTRANGE(""https://docs.google.com/spreadsheets/d/1swGwZOEqYlTEUCJLY-eeJM1911Kvaei5oySBIxdgtNo/edit?pli=1#gid=257618397"",""stock FAKTUR!B:d""),3,false)"),"")</f>
        <v/>
      </c>
      <c r="G24" s="53" t="str">
        <f>IFERROR(__xludf.DUMMYFUNCTION("vlookup($D24,IMPORTRANGE(""https://docs.google.com/spreadsheets/d/1swGwZOEqYlTEUCJLY-eeJM1911Kvaei5oySBIxdgtNo/edit?pli=1#gid=257618397"",""stock FAKTUR!B:e""),4,false)"),"12W")</f>
        <v>12W</v>
      </c>
      <c r="H24" s="53" t="str">
        <f>IFERROR(__xludf.DUMMYFUNCTION("vlookup($D24,IMPORTRANGE(""https://docs.google.com/spreadsheets/d/1swGwZOEqYlTEUCJLY-eeJM1911Kvaei5oySBIxdgtNo/edit?pli=1#gid=257618397"",""stock FAKTUR!B:F""),5,false)"),"KN")</f>
        <v>KN</v>
      </c>
      <c r="I24" s="53" t="str">
        <f>IFERROR(__xludf.DUMMYFUNCTION("vlookup($D24,IMPORTRANGE(""https://docs.google.com/spreadsheets/d/1swGwZOEqYlTEUCJLY-eeJM1911Kvaei5oySBIxdgtNo/edit?pli=1#gid=257618397"",""stock FAKTUR!B:G""),6,false)"),"CP-12")</f>
        <v>CP-12</v>
      </c>
      <c r="J24" s="43" t="str">
        <f t="shared" si="1"/>
        <v>ADA</v>
      </c>
      <c r="K24" s="146">
        <v>48.0</v>
      </c>
      <c r="L24" s="145" t="str">
        <f>IFERROR(__xludf.DUMMYFUNCTION("vlookup($D24,IMPORTRANGE(""https://docs.google.com/spreadsheets/d/1swGwZOEqYlTEUCJLY-eeJM1911Kvaei5oySBIxdgtNo/edit?pli=1#gid=257618397"",""stock FAKTUR!B:q""),16,false)"),"LSN")</f>
        <v>LSN</v>
      </c>
      <c r="M24" s="147">
        <v>79200.0</v>
      </c>
      <c r="N24" s="152">
        <v>0.125</v>
      </c>
      <c r="O24" s="147">
        <f t="shared" si="2"/>
        <v>3326400</v>
      </c>
      <c r="P24" s="147" t="str">
        <f t="shared" si="3"/>
        <v>Rp79,200-48 LSN-12.50%</v>
      </c>
      <c r="Q24" s="149">
        <v>45408.0</v>
      </c>
      <c r="R24" s="150"/>
      <c r="S24" s="149">
        <v>45414.0</v>
      </c>
      <c r="T24" s="151"/>
      <c r="U24" s="151"/>
      <c r="V24" s="151"/>
      <c r="W24" s="151"/>
    </row>
    <row r="25">
      <c r="A25" s="142">
        <v>4651.0</v>
      </c>
      <c r="B25" s="143" t="str">
        <f t="shared" si="11"/>
        <v>A</v>
      </c>
      <c r="C25" s="143" t="str">
        <f t="shared" si="12"/>
        <v>INDOGLOBAL-PATI</v>
      </c>
      <c r="D25" s="144" t="s">
        <v>4387</v>
      </c>
      <c r="E25" s="145" t="str">
        <f>IFERROR(__xludf.DUMMYFUNCTION("vlookup(D25,IMPORTRANGE(""https://docs.google.com/spreadsheets/d/1swGwZOEqYlTEUCJLY-eeJM1911Kvaei5oySBIxdgtNo/edit?pli=1#gid=257618397"",""stock FAKTUR!B:C""),2,false)"),"BP KENKO HI-TECH 0.28MM HITAM")</f>
        <v>BP KENKO HI-TECH 0.28MM HITAM</v>
      </c>
      <c r="F25" s="53" t="str">
        <f>IFERROR(__xludf.DUMMYFUNCTION("vlookup($D25,IMPORTRANGE(""https://docs.google.com/spreadsheets/d/1swGwZOEqYlTEUCJLY-eeJM1911Kvaei5oySBIxdgtNo/edit?pli=1#gid=257618397"",""stock FAKTUR!B:d""),3,false)"),"")</f>
        <v/>
      </c>
      <c r="G25" s="53" t="str">
        <f>IFERROR(__xludf.DUMMYFUNCTION("vlookup($D25,IMPORTRANGE(""https://docs.google.com/spreadsheets/d/1swGwZOEqYlTEUCJLY-eeJM1911Kvaei5oySBIxdgtNo/edit?pli=1#gid=257618397"",""stock FAKTUR!B:e""),4,false)"),"HITAM")</f>
        <v>HITAM</v>
      </c>
      <c r="H25" s="53" t="str">
        <f>IFERROR(__xludf.DUMMYFUNCTION("vlookup($D25,IMPORTRANGE(""https://docs.google.com/spreadsheets/d/1swGwZOEqYlTEUCJLY-eeJM1911Kvaei5oySBIxdgtNo/edit?pli=1#gid=257618397"",""stock FAKTUR!B:F""),5,false)"),"KN")</f>
        <v>KN</v>
      </c>
      <c r="I25" s="53" t="str">
        <f>IFERROR(__xludf.DUMMYFUNCTION("vlookup($D25,IMPORTRANGE(""https://docs.google.com/spreadsheets/d/1swGwZOEqYlTEUCJLY-eeJM1911Kvaei5oySBIxdgtNo/edit?pli=1#gid=257618397"",""stock FAKTUR!B:G""),6,false)"),"GPT-018B")</f>
        <v>GPT-018B</v>
      </c>
      <c r="J25" s="43" t="str">
        <f t="shared" si="1"/>
        <v>ADA</v>
      </c>
      <c r="K25" s="146">
        <v>144.0</v>
      </c>
      <c r="L25" s="145" t="str">
        <f>IFERROR(__xludf.DUMMYFUNCTION("vlookup($D25,IMPORTRANGE(""https://docs.google.com/spreadsheets/d/1swGwZOEqYlTEUCJLY-eeJM1911Kvaei5oySBIxdgtNo/edit?pli=1#gid=257618397"",""stock FAKTUR!B:q""),16,false)"),"LSN")</f>
        <v>LSN</v>
      </c>
      <c r="M25" s="147">
        <v>39000.0</v>
      </c>
      <c r="N25" s="152">
        <v>0.125</v>
      </c>
      <c r="O25" s="147">
        <f t="shared" si="2"/>
        <v>4914000</v>
      </c>
      <c r="P25" s="147" t="str">
        <f t="shared" si="3"/>
        <v>Rp39,000-144 LSN-12.50%</v>
      </c>
      <c r="Q25" s="149">
        <v>45408.0</v>
      </c>
      <c r="R25" s="150"/>
      <c r="S25" s="149">
        <v>45414.0</v>
      </c>
      <c r="T25" s="151"/>
      <c r="U25" s="151"/>
      <c r="V25" s="151"/>
      <c r="W25" s="151"/>
    </row>
    <row r="26">
      <c r="A26" s="142">
        <v>4651.0</v>
      </c>
      <c r="B26" s="143" t="str">
        <f t="shared" si="11"/>
        <v>A</v>
      </c>
      <c r="C26" s="143" t="str">
        <f t="shared" si="12"/>
        <v>INDOGLOBAL-PATI</v>
      </c>
      <c r="D26" s="144" t="s">
        <v>4401</v>
      </c>
      <c r="E26" s="145" t="str">
        <f>IFERROR(__xludf.DUMMYFUNCTION("vlookup(D26,IMPORTRANGE(""https://docs.google.com/spreadsheets/d/1swGwZOEqYlTEUCJLY-eeJM1911Kvaei5oySBIxdgtNo/edit?pli=1#gid=257618397"",""stock FAKTUR!B:C""),2,false)"),"BP GEL KENKO EASY HITAM")</f>
        <v>BP GEL KENKO EASY HITAM</v>
      </c>
      <c r="F26" s="53" t="str">
        <f>IFERROR(__xludf.DUMMYFUNCTION("vlookup($D26,IMPORTRANGE(""https://docs.google.com/spreadsheets/d/1swGwZOEqYlTEUCJLY-eeJM1911Kvaei5oySBIxdgtNo/edit?pli=1#gid=257618397"",""stock FAKTUR!B:d""),3,false)"),"")</f>
        <v/>
      </c>
      <c r="G26" s="53" t="str">
        <f>IFERROR(__xludf.DUMMYFUNCTION("vlookup($D26,IMPORTRANGE(""https://docs.google.com/spreadsheets/d/1swGwZOEqYlTEUCJLY-eeJM1911Kvaei5oySBIxdgtNo/edit?pli=1#gid=257618397"",""stock FAKTUR!B:e""),4,false)"),"HITAM")</f>
        <v>HITAM</v>
      </c>
      <c r="H26" s="53" t="str">
        <f>IFERROR(__xludf.DUMMYFUNCTION("vlookup($D26,IMPORTRANGE(""https://docs.google.com/spreadsheets/d/1swGwZOEqYlTEUCJLY-eeJM1911Kvaei5oySBIxdgtNo/edit?pli=1#gid=257618397"",""stock FAKTUR!B:F""),5,false)"),"KN")</f>
        <v>KN</v>
      </c>
      <c r="I26" s="53" t="str">
        <f>IFERROR(__xludf.DUMMYFUNCTION("vlookup($D26,IMPORTRANGE(""https://docs.google.com/spreadsheets/d/1swGwZOEqYlTEUCJLY-eeJM1911Kvaei5oySBIxdgtNo/edit?pli=1#gid=257618397"",""stock FAKTUR!B:G""),6,false)"),"GPT-005B")</f>
        <v>GPT-005B</v>
      </c>
      <c r="J26" s="43" t="str">
        <f t="shared" si="1"/>
        <v>ADA</v>
      </c>
      <c r="K26" s="146">
        <v>144.0</v>
      </c>
      <c r="L26" s="145" t="str">
        <f>IFERROR(__xludf.DUMMYFUNCTION("vlookup($D26,IMPORTRANGE(""https://docs.google.com/spreadsheets/d/1swGwZOEqYlTEUCJLY-eeJM1911Kvaei5oySBIxdgtNo/edit?pli=1#gid=257618397"",""stock FAKTUR!B:q""),16,false)"),"LSN")</f>
        <v>LSN</v>
      </c>
      <c r="M26" s="147">
        <v>26100.0</v>
      </c>
      <c r="N26" s="152">
        <v>0.125</v>
      </c>
      <c r="O26" s="147">
        <f t="shared" si="2"/>
        <v>3288600</v>
      </c>
      <c r="P26" s="147" t="str">
        <f t="shared" si="3"/>
        <v>Rp26,100-144 LSN-12.50%</v>
      </c>
      <c r="Q26" s="149">
        <v>45408.0</v>
      </c>
      <c r="R26" s="150"/>
      <c r="S26" s="149">
        <v>45414.0</v>
      </c>
      <c r="T26" s="151"/>
      <c r="U26" s="151"/>
      <c r="V26" s="151"/>
      <c r="W26" s="151"/>
    </row>
    <row r="27">
      <c r="A27" s="142">
        <v>4651.0</v>
      </c>
      <c r="B27" s="143" t="str">
        <f t="shared" si="11"/>
        <v>A</v>
      </c>
      <c r="C27" s="143" t="str">
        <f t="shared" si="12"/>
        <v>INDOGLOBAL-PATI</v>
      </c>
      <c r="D27" s="144" t="s">
        <v>4394</v>
      </c>
      <c r="E27" s="145" t="str">
        <f>IFERROR(__xludf.DUMMYFUNCTION("vlookup(D27,IMPORTRANGE(""https://docs.google.com/spreadsheets/d/1swGwZOEqYlTEUCJLY-eeJM1911Kvaei5oySBIxdgtNo/edit?pli=1#gid=257618397"",""stock FAKTUR!B:C""),2,false)"),"CRAYON PUTAR JK 12W PANJANG")</f>
        <v>CRAYON PUTAR JK 12W PANJANG</v>
      </c>
      <c r="F27" s="53" t="str">
        <f>IFERROR(__xludf.DUMMYFUNCTION("vlookup($D27,IMPORTRANGE(""https://docs.google.com/spreadsheets/d/1swGwZOEqYlTEUCJLY-eeJM1911Kvaei5oySBIxdgtNo/edit?pli=1#gid=257618397"",""stock FAKTUR!B:d""),3,false)"),"")</f>
        <v/>
      </c>
      <c r="G27" s="53" t="str">
        <f>IFERROR(__xludf.DUMMYFUNCTION("vlookup($D27,IMPORTRANGE(""https://docs.google.com/spreadsheets/d/1swGwZOEqYlTEUCJLY-eeJM1911Kvaei5oySBIxdgtNo/edit?pli=1#gid=257618397"",""stock FAKTUR!B:e""),4,false)"),"12W")</f>
        <v>12W</v>
      </c>
      <c r="H27" s="53" t="str">
        <f>IFERROR(__xludf.DUMMYFUNCTION("vlookup($D27,IMPORTRANGE(""https://docs.google.com/spreadsheets/d/1swGwZOEqYlTEUCJLY-eeJM1911Kvaei5oySBIxdgtNo/edit?pli=1#gid=257618397"",""stock FAKTUR!B:F""),5,false)"),"JK")</f>
        <v>JK</v>
      </c>
      <c r="I27" s="53" t="str">
        <f>IFERROR(__xludf.DUMMYFUNCTION("vlookup($D27,IMPORTRANGE(""https://docs.google.com/spreadsheets/d/1swGwZOEqYlTEUCJLY-eeJM1911Kvaei5oySBIxdgtNo/edit?pli=1#gid=257618397"",""stock FAKTUR!B:G""),6,false)"),"")</f>
        <v/>
      </c>
      <c r="J27" s="43" t="str">
        <f t="shared" si="1"/>
        <v>ADA</v>
      </c>
      <c r="K27" s="146">
        <v>12.0</v>
      </c>
      <c r="L27" s="145" t="str">
        <f>IFERROR(__xludf.DUMMYFUNCTION("vlookup($D27,IMPORTRANGE(""https://docs.google.com/spreadsheets/d/1swGwZOEqYlTEUCJLY-eeJM1911Kvaei5oySBIxdgtNo/edit?pli=1#gid=257618397"",""stock FAKTUR!B:q""),16,false)"),"LSN")</f>
        <v>LSN</v>
      </c>
      <c r="M27" s="147">
        <f>23900*12</f>
        <v>286800</v>
      </c>
      <c r="N27" s="152">
        <v>0.125</v>
      </c>
      <c r="O27" s="147">
        <f t="shared" si="2"/>
        <v>3011400</v>
      </c>
      <c r="P27" s="147" t="str">
        <f t="shared" si="3"/>
        <v>Rp286,800-12 LSN-12.50%</v>
      </c>
      <c r="Q27" s="149">
        <v>45408.0</v>
      </c>
      <c r="R27" s="150"/>
      <c r="S27" s="149">
        <v>45414.0</v>
      </c>
      <c r="T27" s="151"/>
      <c r="U27" s="151"/>
      <c r="V27" s="151"/>
      <c r="W27" s="151"/>
    </row>
    <row r="28">
      <c r="A28" s="142">
        <v>4651.0</v>
      </c>
      <c r="B28" s="143" t="str">
        <f t="shared" si="11"/>
        <v>A</v>
      </c>
      <c r="C28" s="143" t="str">
        <f t="shared" si="12"/>
        <v>INDOGLOBAL-PATI</v>
      </c>
      <c r="D28" s="144" t="s">
        <v>4395</v>
      </c>
      <c r="E28" s="145" t="str">
        <f>IFERROR(__xludf.DUMMYFUNCTION("vlookup(D28,IMPORTRANGE(""https://docs.google.com/spreadsheets/d/1swGwZOEqYlTEUCJLY-eeJM1911Kvaei5oySBIxdgtNo/edit?pli=1#gid=257618397"",""stock FAKTUR!B:C""),2,false)"),"CRAYON PUTAR JK 12W PENDEK/MINI")</f>
        <v>CRAYON PUTAR JK 12W PENDEK/MINI</v>
      </c>
      <c r="F28" s="53" t="str">
        <f>IFERROR(__xludf.DUMMYFUNCTION("vlookup($D28,IMPORTRANGE(""https://docs.google.com/spreadsheets/d/1swGwZOEqYlTEUCJLY-eeJM1911Kvaei5oySBIxdgtNo/edit?pli=1#gid=257618397"",""stock FAKTUR!B:d""),3,false)"),"")</f>
        <v/>
      </c>
      <c r="G28" s="53" t="str">
        <f>IFERROR(__xludf.DUMMYFUNCTION("vlookup($D28,IMPORTRANGE(""https://docs.google.com/spreadsheets/d/1swGwZOEqYlTEUCJLY-eeJM1911Kvaei5oySBIxdgtNo/edit?pli=1#gid=257618397"",""stock FAKTUR!B:e""),4,false)"),"12W")</f>
        <v>12W</v>
      </c>
      <c r="H28" s="53" t="str">
        <f>IFERROR(__xludf.DUMMYFUNCTION("vlookup($D28,IMPORTRANGE(""https://docs.google.com/spreadsheets/d/1swGwZOEqYlTEUCJLY-eeJM1911Kvaei5oySBIxdgtNo/edit?pli=1#gid=257618397"",""stock FAKTUR!B:F""),5,false)"),"JK")</f>
        <v>JK</v>
      </c>
      <c r="I28" s="53" t="str">
        <f>IFERROR(__xludf.DUMMYFUNCTION("vlookup($D28,IMPORTRANGE(""https://docs.google.com/spreadsheets/d/1swGwZOEqYlTEUCJLY-eeJM1911Kvaei5oySBIxdgtNo/edit?pli=1#gid=257618397"",""stock FAKTUR!B:G""),6,false)"),"")</f>
        <v/>
      </c>
      <c r="J28" s="43" t="str">
        <f t="shared" si="1"/>
        <v>ADA</v>
      </c>
      <c r="K28" s="146">
        <v>12.0</v>
      </c>
      <c r="L28" s="145" t="str">
        <f>IFERROR(__xludf.DUMMYFUNCTION("vlookup($D28,IMPORTRANGE(""https://docs.google.com/spreadsheets/d/1swGwZOEqYlTEUCJLY-eeJM1911Kvaei5oySBIxdgtNo/edit?pli=1#gid=257618397"",""stock FAKTUR!B:q""),16,false)"),"LSN")</f>
        <v>LSN</v>
      </c>
      <c r="M28" s="147">
        <f>18600*12</f>
        <v>223200</v>
      </c>
      <c r="N28" s="152">
        <v>0.125</v>
      </c>
      <c r="O28" s="147">
        <f t="shared" si="2"/>
        <v>2343600</v>
      </c>
      <c r="P28" s="147" t="str">
        <f t="shared" si="3"/>
        <v>Rp223,200-12 LSN-12.50%</v>
      </c>
      <c r="Q28" s="149">
        <v>45408.0</v>
      </c>
      <c r="R28" s="150"/>
      <c r="S28" s="149">
        <v>45414.0</v>
      </c>
      <c r="T28" s="151"/>
      <c r="U28" s="151"/>
      <c r="V28" s="151"/>
      <c r="W28" s="151"/>
    </row>
    <row r="29">
      <c r="A29" s="142">
        <v>4651.0</v>
      </c>
      <c r="B29" s="143" t="str">
        <f t="shared" si="11"/>
        <v>A</v>
      </c>
      <c r="C29" s="143" t="str">
        <f t="shared" si="12"/>
        <v>INDOGLOBAL-PATI</v>
      </c>
      <c r="D29" s="144" t="s">
        <v>4392</v>
      </c>
      <c r="E29" s="145" t="str">
        <f>IFERROR(__xludf.DUMMYFUNCTION("vlookup(D29,IMPORTRANGE(""https://docs.google.com/spreadsheets/d/1swGwZOEqYlTEUCJLY-eeJM1911Kvaei5oySBIxdgtNo/edit?pli=1#gid=257618397"",""stock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29" s="53" t="str">
        <f>IFERROR(__xludf.DUMMYFUNCTION("vlookup($D29,IMPORTRANGE(""https://docs.google.com/spreadsheets/d/1swGwZOEqYlTEUCJLY-eeJM1911Kvaei5oySBIxdgtNo/edit?pli=1#gid=257618397"",""stock FAKTUR!B:d""),3,false)"),"")</f>
        <v/>
      </c>
      <c r="G29" s="53" t="str">
        <f>IFERROR(__xludf.DUMMYFUNCTION("vlookup($D29,IMPORTRANGE(""https://docs.google.com/spreadsheets/d/1swGwZOEqYlTEUCJLY-eeJM1911Kvaei5oySBIxdgtNo/edit?pli=1#gid=257618397"",""stock FAKTUR!B:e""),4,false)"),"18W")</f>
        <v>18W</v>
      </c>
      <c r="H29" s="53" t="str">
        <f>IFERROR(__xludf.DUMMYFUNCTION("vlookup($D29,IMPORTRANGE(""https://docs.google.com/spreadsheets/d/1swGwZOEqYlTEUCJLY-eeJM1911Kvaei5oySBIxdgtNo/edit?pli=1#gid=257618397"",""stock FAKTUR!B:F""),5,false)"),"JK")</f>
        <v>JK</v>
      </c>
      <c r="I29" s="53" t="str">
        <f>IFERROR(__xludf.DUMMYFUNCTION("vlookup($D29,IMPORTRANGE(""https://docs.google.com/spreadsheets/d/1swGwZOEqYlTEUCJLY-eeJM1911Kvaei5oySBIxdgtNo/edit?pli=1#gid=257618397"",""stock FAKTUR!B:G""),6,false)"),"OP-18S")</f>
        <v>OP-18S</v>
      </c>
      <c r="J29" s="43" t="str">
        <f t="shared" si="1"/>
        <v>ADA</v>
      </c>
      <c r="K29" s="146">
        <v>72.0</v>
      </c>
      <c r="L29" s="145" t="str">
        <f>IFERROR(__xludf.DUMMYFUNCTION("vlookup($D29,IMPORTRANGE(""https://docs.google.com/spreadsheets/d/1swGwZOEqYlTEUCJLY-eeJM1911Kvaei5oySBIxdgtNo/edit?pli=1#gid=257618397"",""stock FAKTUR!B:q""),16,false)"),"PCS")</f>
        <v>PCS</v>
      </c>
      <c r="M29" s="147">
        <v>23000.0</v>
      </c>
      <c r="N29" s="152">
        <v>0.125</v>
      </c>
      <c r="O29" s="147">
        <f t="shared" si="2"/>
        <v>1449000</v>
      </c>
      <c r="P29" s="147" t="str">
        <f t="shared" si="3"/>
        <v>Rp23,000-72 PCS-12.50%</v>
      </c>
      <c r="Q29" s="149">
        <v>45408.0</v>
      </c>
      <c r="R29" s="150"/>
      <c r="S29" s="149">
        <v>45414.0</v>
      </c>
      <c r="T29" s="151"/>
      <c r="U29" s="151"/>
      <c r="V29" s="151"/>
      <c r="W29" s="151"/>
    </row>
    <row r="30">
      <c r="A30" s="142">
        <v>4651.0</v>
      </c>
      <c r="B30" s="143" t="str">
        <f t="shared" si="11"/>
        <v>A</v>
      </c>
      <c r="C30" s="143" t="str">
        <f t="shared" si="12"/>
        <v>INDOGLOBAL-PATI</v>
      </c>
      <c r="D30" s="144" t="s">
        <v>4393</v>
      </c>
      <c r="E30" s="145" t="str">
        <f>IFERROR(__xludf.DUMMYFUNCTION("vlookup(D30,IMPORTRANGE(""https://docs.google.com/spreadsheets/d/1swGwZOEqYlTEUCJLY-eeJM1911Kvaei5oySBIxdgtNo/edit?pli=1#gid=257618397"",""stock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30" s="53" t="str">
        <f>IFERROR(__xludf.DUMMYFUNCTION("vlookup($D30,IMPORTRANGE(""https://docs.google.com/spreadsheets/d/1swGwZOEqYlTEUCJLY-eeJM1911Kvaei5oySBIxdgtNo/edit?pli=1#gid=257618397"",""stock FAKTUR!B:d""),3,false)"),"")</f>
        <v/>
      </c>
      <c r="G30" s="53" t="str">
        <f>IFERROR(__xludf.DUMMYFUNCTION("vlookup($D30,IMPORTRANGE(""https://docs.google.com/spreadsheets/d/1swGwZOEqYlTEUCJLY-eeJM1911Kvaei5oySBIxdgtNo/edit?pli=1#gid=257618397"",""stock FAKTUR!B:e""),4,false)"),"36W")</f>
        <v>36W</v>
      </c>
      <c r="H30" s="53" t="str">
        <f>IFERROR(__xludf.DUMMYFUNCTION("vlookup($D30,IMPORTRANGE(""https://docs.google.com/spreadsheets/d/1swGwZOEqYlTEUCJLY-eeJM1911Kvaei5oySBIxdgtNo/edit?pli=1#gid=257618397"",""stock FAKTUR!B:F""),5,false)"),"JK")</f>
        <v>JK</v>
      </c>
      <c r="I30" s="53" t="str">
        <f>IFERROR(__xludf.DUMMYFUNCTION("vlookup($D30,IMPORTRANGE(""https://docs.google.com/spreadsheets/d/1swGwZOEqYlTEUCJLY-eeJM1911Kvaei5oySBIxdgtNo/edit?pli=1#gid=257618397"",""stock FAKTUR!B:G""),6,false)"),"OP-36S")</f>
        <v>OP-36S</v>
      </c>
      <c r="J30" s="43" t="str">
        <f t="shared" si="1"/>
        <v>ADA</v>
      </c>
      <c r="K30" s="146">
        <v>36.0</v>
      </c>
      <c r="L30" s="145" t="str">
        <f>IFERROR(__xludf.DUMMYFUNCTION("vlookup($D30,IMPORTRANGE(""https://docs.google.com/spreadsheets/d/1swGwZOEqYlTEUCJLY-eeJM1911Kvaei5oySBIxdgtNo/edit?pli=1#gid=257618397"",""stock FAKTUR!B:q""),16,false)"),"PCS")</f>
        <v>PCS</v>
      </c>
      <c r="M30" s="147">
        <v>41500.0</v>
      </c>
      <c r="N30" s="152">
        <v>0.125</v>
      </c>
      <c r="O30" s="147">
        <f t="shared" si="2"/>
        <v>1307250</v>
      </c>
      <c r="P30" s="147" t="str">
        <f t="shared" si="3"/>
        <v>Rp41,500-36 PCS-12.50%</v>
      </c>
      <c r="Q30" s="149">
        <v>45408.0</v>
      </c>
      <c r="R30" s="150"/>
      <c r="S30" s="149">
        <v>45414.0</v>
      </c>
      <c r="T30" s="151"/>
      <c r="U30" s="151"/>
      <c r="V30" s="151"/>
      <c r="W30" s="151"/>
    </row>
    <row r="31">
      <c r="A31" s="142">
        <v>4651.0</v>
      </c>
      <c r="B31" s="143" t="str">
        <f t="shared" si="11"/>
        <v>A</v>
      </c>
      <c r="C31" s="143" t="str">
        <f t="shared" si="12"/>
        <v>INDOGLOBAL-PATI</v>
      </c>
      <c r="D31" s="144" t="s">
        <v>4402</v>
      </c>
      <c r="E31" s="145" t="str">
        <f>IFERROR(__xludf.DUMMYFUNCTION("vlookup(D31,IMPORTRANGE(""https://docs.google.com/spreadsheets/d/1swGwZOEqYlTEUCJLY-eeJM1911Kvaei5oySBIxdgtNo/edit?pli=1#gid=257618397"",""stock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31" s="53" t="str">
        <f>IFERROR(__xludf.DUMMYFUNCTION("vlookup($D31,IMPORTRANGE(""https://docs.google.com/spreadsheets/d/1swGwZOEqYlTEUCJLY-eeJM1911Kvaei5oySBIxdgtNo/edit?pli=1#gid=257618397"",""stock FAKTUR!B:d""),3,false)"),"")</f>
        <v/>
      </c>
      <c r="G31" s="53" t="str">
        <f>IFERROR(__xludf.DUMMYFUNCTION("vlookup($D31,IMPORTRANGE(""https://docs.google.com/spreadsheets/d/1swGwZOEqYlTEUCJLY-eeJM1911Kvaei5oySBIxdgtNo/edit?pli=1#gid=257618397"",""stock FAKTUR!B:e""),4,false)"),"55W")</f>
        <v>55W</v>
      </c>
      <c r="H31" s="53" t="str">
        <f>IFERROR(__xludf.DUMMYFUNCTION("vlookup($D31,IMPORTRANGE(""https://docs.google.com/spreadsheets/d/1swGwZOEqYlTEUCJLY-eeJM1911Kvaei5oySBIxdgtNo/edit?pli=1#gid=257618397"",""stock FAKTUR!B:F""),5,false)"),"JK")</f>
        <v>JK</v>
      </c>
      <c r="I31" s="53" t="str">
        <f>IFERROR(__xludf.DUMMYFUNCTION("vlookup($D31,IMPORTRANGE(""https://docs.google.com/spreadsheets/d/1swGwZOEqYlTEUCJLY-eeJM1911Kvaei5oySBIxdgtNo/edit?pli=1#gid=257618397"",""stock FAKTUR!B:G""),6,false)"),"")</f>
        <v/>
      </c>
      <c r="J31" s="43" t="str">
        <f t="shared" si="1"/>
        <v>ADA</v>
      </c>
      <c r="K31" s="146">
        <v>24.0</v>
      </c>
      <c r="L31" s="145" t="str">
        <f>IFERROR(__xludf.DUMMYFUNCTION("vlookup($D31,IMPORTRANGE(""https://docs.google.com/spreadsheets/d/1swGwZOEqYlTEUCJLY-eeJM1911Kvaei5oySBIxdgtNo/edit?pli=1#gid=257618397"",""stock FAKTUR!B:q""),16,false)"),"PCS")</f>
        <v>PCS</v>
      </c>
      <c r="M31" s="147">
        <v>66900.0</v>
      </c>
      <c r="N31" s="152">
        <v>0.125</v>
      </c>
      <c r="O31" s="147">
        <f t="shared" si="2"/>
        <v>1404900</v>
      </c>
      <c r="P31" s="147" t="str">
        <f t="shared" si="3"/>
        <v>Rp66,900-24 PCS-12.50%</v>
      </c>
      <c r="Q31" s="149">
        <v>45408.0</v>
      </c>
      <c r="R31" s="150"/>
      <c r="S31" s="149">
        <v>45414.0</v>
      </c>
      <c r="T31" s="151"/>
      <c r="U31" s="151"/>
      <c r="V31" s="151"/>
      <c r="W31" s="151"/>
    </row>
    <row r="32">
      <c r="A32" s="142">
        <v>4651.0</v>
      </c>
      <c r="B32" s="143" t="str">
        <f t="shared" si="11"/>
        <v>A</v>
      </c>
      <c r="C32" s="143" t="str">
        <f t="shared" si="12"/>
        <v>INDOGLOBAL-PATI</v>
      </c>
      <c r="D32" s="144" t="s">
        <v>4386</v>
      </c>
      <c r="E32" s="145" t="str">
        <f>IFERROR(__xludf.DUMMYFUNCTION("vlookup(D32,IMPORTRANGE(""https://docs.google.com/spreadsheets/d/1swGwZOEqYlTEUCJLY-eeJM1911Kvaei5oySBIxdgtNo/edit?pli=1#gid=257618397"",""stock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32" s="53" t="str">
        <f>IFERROR(__xludf.DUMMYFUNCTION("vlookup($D32,IMPORTRANGE(""https://docs.google.com/spreadsheets/d/1swGwZOEqYlTEUCJLY-eeJM1911Kvaei5oySBIxdgtNo/edit?pli=1#gid=257618397"",""stock FAKTUR!B:d""),3,false)"),"")</f>
        <v/>
      </c>
      <c r="G32" s="53" t="str">
        <f>IFERROR(__xludf.DUMMYFUNCTION("vlookup($D32,IMPORTRANGE(""https://docs.google.com/spreadsheets/d/1swGwZOEqYlTEUCJLY-eeJM1911Kvaei5oySBIxdgtNo/edit?pli=1#gid=257618397"",""stock FAKTUR!B:e""),4,false)"),"12W")</f>
        <v>12W</v>
      </c>
      <c r="H32" s="53" t="str">
        <f>IFERROR(__xludf.DUMMYFUNCTION("vlookup($D32,IMPORTRANGE(""https://docs.google.com/spreadsheets/d/1swGwZOEqYlTEUCJLY-eeJM1911Kvaei5oySBIxdgtNo/edit?pli=1#gid=257618397"",""stock FAKTUR!B:F""),5,false)"),"JK")</f>
        <v>JK</v>
      </c>
      <c r="I32" s="53" t="str">
        <f>IFERROR(__xludf.DUMMYFUNCTION("vlookup($D32,IMPORTRANGE(""https://docs.google.com/spreadsheets/d/1swGwZOEqYlTEUCJLY-eeJM1911Kvaei5oySBIxdgtNo/edit?pli=1#gid=257618397"",""stock FAKTUR!B:G""),6,false)"),"OP-12S")</f>
        <v>OP-12S</v>
      </c>
      <c r="J32" s="43" t="str">
        <f t="shared" si="1"/>
        <v>ADA</v>
      </c>
      <c r="K32" s="146">
        <v>288.0</v>
      </c>
      <c r="L32" s="145" t="str">
        <f>IFERROR(__xludf.DUMMYFUNCTION("vlookup($D32,IMPORTRANGE(""https://docs.google.com/spreadsheets/d/1swGwZOEqYlTEUCJLY-eeJM1911Kvaei5oySBIxdgtNo/edit?pli=1#gid=257618397"",""stock FAKTUR!B:q""),16,false)"),"PCS")</f>
        <v>PCS</v>
      </c>
      <c r="M32" s="147">
        <v>11900.0</v>
      </c>
      <c r="N32" s="152">
        <v>0.125</v>
      </c>
      <c r="O32" s="147">
        <f t="shared" si="2"/>
        <v>2998800</v>
      </c>
      <c r="P32" s="147" t="str">
        <f t="shared" si="3"/>
        <v>Rp11,900-288 PCS-12.50%</v>
      </c>
      <c r="Q32" s="149">
        <v>45408.0</v>
      </c>
      <c r="R32" s="150"/>
      <c r="S32" s="149">
        <v>45414.0</v>
      </c>
      <c r="T32" s="151"/>
      <c r="U32" s="151"/>
      <c r="V32" s="151"/>
      <c r="W32" s="151"/>
    </row>
    <row r="33">
      <c r="A33" s="142">
        <v>4669.0</v>
      </c>
      <c r="B33" s="143" t="s">
        <v>33</v>
      </c>
      <c r="C33" s="143" t="s">
        <v>155</v>
      </c>
      <c r="D33" s="143" t="s">
        <v>4403</v>
      </c>
      <c r="E33" s="145" t="str">
        <f>IFERROR(__xludf.DUMMYFUNCTION("vlookup(D33,IMPORTRANGE(""https://docs.google.com/spreadsheets/d/1swGwZOEqYlTEUCJLY-eeJM1911Kvaei5oySBIxdgtNo/edit?pli=1#gid=257618397"",""stock FAKTUR!B:C""),2,false)"),"BENSIA SF 9925 B TANGAN (1 box=24 pcs)")</f>
        <v>BENSIA SF 9925 B TANGAN (1 box=24 pcs)</v>
      </c>
      <c r="F33" s="53" t="str">
        <f>IFERROR(__xludf.DUMMYFUNCTION("vlookup($D33,IMPORTRANGE(""https://docs.google.com/spreadsheets/d/1swGwZOEqYlTEUCJLY-eeJM1911Kvaei5oySBIxdgtNo/edit?pli=1#gid=257618397"",""stock FAKTUR!B:d""),3,false)"),"")</f>
        <v/>
      </c>
      <c r="G33" s="53" t="str">
        <f>IFERROR(__xludf.DUMMYFUNCTION("vlookup($D33,IMPORTRANGE(""https://docs.google.com/spreadsheets/d/1swGwZOEqYlTEUCJLY-eeJM1911Kvaei5oySBIxdgtNo/edit?pli=1#gid=257618397"",""stock FAKTUR!B:e""),4,false)"),"TANGAN")</f>
        <v>TANGAN</v>
      </c>
      <c r="H33" s="53" t="str">
        <f>IFERROR(__xludf.DUMMYFUNCTION("vlookup($D33,IMPORTRANGE(""https://docs.google.com/spreadsheets/d/1swGwZOEqYlTEUCJLY-eeJM1911Kvaei5oySBIxdgtNo/edit?pli=1#gid=257618397"",""stock FAKTUR!B:F""),5,false)"),"NB")</f>
        <v>NB</v>
      </c>
      <c r="I33" s="53" t="str">
        <f>IFERROR(__xludf.DUMMYFUNCTION("vlookup($D33,IMPORTRANGE(""https://docs.google.com/spreadsheets/d/1swGwZOEqYlTEUCJLY-eeJM1911Kvaei5oySBIxdgtNo/edit?pli=1#gid=257618397"",""stock FAKTUR!B:G""),6,false)"),"9925B")</f>
        <v>9925B</v>
      </c>
      <c r="J33" s="43" t="str">
        <f t="shared" si="1"/>
        <v>ADA</v>
      </c>
      <c r="K33" s="146">
        <v>2.0</v>
      </c>
      <c r="L33" s="145" t="str">
        <f>IFERROR(__xludf.DUMMYFUNCTION("vlookup($D33,IMPORTRANGE(""https://docs.google.com/spreadsheets/d/1swGwZOEqYlTEUCJLY-eeJM1911Kvaei5oySBIxdgtNo/edit?pli=1#gid=257618397"",""stock FAKTUR!B:q""),16,false)"),"BOX")</f>
        <v>BOX</v>
      </c>
      <c r="M33" s="147">
        <v>57750.0</v>
      </c>
      <c r="N33" s="148"/>
      <c r="O33" s="147">
        <f t="shared" si="2"/>
        <v>115500</v>
      </c>
      <c r="P33" s="147" t="str">
        <f t="shared" si="3"/>
        <v>Rp57,750-2 BOX-0.00%</v>
      </c>
      <c r="Q33" s="149">
        <v>45408.0</v>
      </c>
      <c r="R33" s="150"/>
      <c r="S33" s="149">
        <v>45414.0</v>
      </c>
      <c r="T33" s="151"/>
      <c r="U33" s="151"/>
      <c r="V33" s="151"/>
      <c r="W33" s="151"/>
    </row>
    <row r="34">
      <c r="A34" s="142">
        <v>4669.0</v>
      </c>
      <c r="B34" s="143" t="str">
        <f t="shared" ref="B34:B45" si="13">IF(A34=A33,B33,"")</f>
        <v>H</v>
      </c>
      <c r="C34" s="143" t="str">
        <f t="shared" ref="C34:C45" si="14">IF(A34=A33,C33,"")</f>
        <v>METRO-PURWOKERTO</v>
      </c>
      <c r="D34" s="144" t="s">
        <v>4404</v>
      </c>
      <c r="E34" s="145" t="str">
        <f>IFERROR(__xludf.DUMMYFUNCTION("vlookup(D34,IMPORTRANGE(""https://docs.google.com/spreadsheets/d/1swGwZOEqYlTEUCJLY-eeJM1911Kvaei5oySBIxdgtNo/edit?pli=1#gid=257618397"",""stock FAKTUR!B:C""),2,false)"),"BENSIA SF 9925 A PLUIT (1 box=24 pcs)")</f>
        <v>BENSIA SF 9925 A PLUIT (1 box=24 pcs)</v>
      </c>
      <c r="F34" s="53" t="str">
        <f>IFERROR(__xludf.DUMMYFUNCTION("vlookup($D34,IMPORTRANGE(""https://docs.google.com/spreadsheets/d/1swGwZOEqYlTEUCJLY-eeJM1911Kvaei5oySBIxdgtNo/edit?pli=1#gid=257618397"",""stock FAKTUR!B:d""),3,false)"),"")</f>
        <v/>
      </c>
      <c r="G34" s="53" t="str">
        <f>IFERROR(__xludf.DUMMYFUNCTION("vlookup($D34,IMPORTRANGE(""https://docs.google.com/spreadsheets/d/1swGwZOEqYlTEUCJLY-eeJM1911Kvaei5oySBIxdgtNo/edit?pli=1#gid=257618397"",""stock FAKTUR!B:e""),4,false)"),"PLUIT")</f>
        <v>PLUIT</v>
      </c>
      <c r="H34" s="53" t="str">
        <f>IFERROR(__xludf.DUMMYFUNCTION("vlookup($D34,IMPORTRANGE(""https://docs.google.com/spreadsheets/d/1swGwZOEqYlTEUCJLY-eeJM1911Kvaei5oySBIxdgtNo/edit?pli=1#gid=257618397"",""stock FAKTUR!B:F""),5,false)"),"NB")</f>
        <v>NB</v>
      </c>
      <c r="I34" s="53" t="str">
        <f>IFERROR(__xludf.DUMMYFUNCTION("vlookup($D34,IMPORTRANGE(""https://docs.google.com/spreadsheets/d/1swGwZOEqYlTEUCJLY-eeJM1911Kvaei5oySBIxdgtNo/edit?pli=1#gid=257618397"",""stock FAKTUR!B:G""),6,false)"),"9925A")</f>
        <v>9925A</v>
      </c>
      <c r="J34" s="43" t="str">
        <f t="shared" si="1"/>
        <v>ADA</v>
      </c>
      <c r="K34" s="146">
        <v>2.0</v>
      </c>
      <c r="L34" s="145" t="str">
        <f>IFERROR(__xludf.DUMMYFUNCTION("vlookup($D34,IMPORTRANGE(""https://docs.google.com/spreadsheets/d/1swGwZOEqYlTEUCJLY-eeJM1911Kvaei5oySBIxdgtNo/edit?pli=1#gid=257618397"",""stock FAKTUR!B:q""),16,false)"),"BOX")</f>
        <v>BOX</v>
      </c>
      <c r="M34" s="147">
        <v>57750.0</v>
      </c>
      <c r="N34" s="148"/>
      <c r="O34" s="147">
        <f t="shared" si="2"/>
        <v>115500</v>
      </c>
      <c r="P34" s="147" t="str">
        <f t="shared" si="3"/>
        <v>Rp57,750-2 BOX-0.00%</v>
      </c>
      <c r="Q34" s="149">
        <v>45408.0</v>
      </c>
      <c r="R34" s="150"/>
      <c r="S34" s="149">
        <v>45414.0</v>
      </c>
      <c r="T34" s="151"/>
      <c r="U34" s="151"/>
      <c r="V34" s="151"/>
      <c r="W34" s="151"/>
    </row>
    <row r="35">
      <c r="A35" s="142">
        <v>4669.0</v>
      </c>
      <c r="B35" s="143" t="str">
        <f t="shared" si="13"/>
        <v>H</v>
      </c>
      <c r="C35" s="143" t="str">
        <f t="shared" si="14"/>
        <v>METRO-PURWOKERTO</v>
      </c>
      <c r="D35" s="144" t="s">
        <v>4405</v>
      </c>
      <c r="E35" s="145" t="str">
        <f>IFERROR(__xludf.DUMMYFUNCTION("vlookup(D35,IMPORTRANGE(""https://docs.google.com/spreadsheets/d/1swGwZOEqYlTEUCJLY-eeJM1911Kvaei5oySBIxdgtNo/edit?pli=1#gid=257618397"",""stock FAKTUR!B:C""),2,false)"),"BK KAS KWARTO")</f>
        <v>BK KAS KWARTO</v>
      </c>
      <c r="F35" s="53" t="str">
        <f>IFERROR(__xludf.DUMMYFUNCTION("vlookup($D35,IMPORTRANGE(""https://docs.google.com/spreadsheets/d/1swGwZOEqYlTEUCJLY-eeJM1911Kvaei5oySBIxdgtNo/edit?pli=1#gid=257618397"",""stock FAKTUR!B:d""),3,false)"),"A4")</f>
        <v>A4</v>
      </c>
      <c r="G35" s="53" t="str">
        <f>IFERROR(__xludf.DUMMYFUNCTION("vlookup($D35,IMPORTRANGE(""https://docs.google.com/spreadsheets/d/1swGwZOEqYlTEUCJLY-eeJM1911Kvaei5oySBIxdgtNo/edit?pli=1#gid=257618397"",""stock FAKTUR!B:e""),4,false)"),"")</f>
        <v/>
      </c>
      <c r="H35" s="53" t="str">
        <f>IFERROR(__xludf.DUMMYFUNCTION("vlookup($D35,IMPORTRANGE(""https://docs.google.com/spreadsheets/d/1swGwZOEqYlTEUCJLY-eeJM1911Kvaei5oySBIxdgtNo/edit?pli=1#gid=257618397"",""stock FAKTUR!B:F""),5,false)"),"NB")</f>
        <v>NB</v>
      </c>
      <c r="I35" s="53" t="str">
        <f>IFERROR(__xludf.DUMMYFUNCTION("vlookup($D35,IMPORTRANGE(""https://docs.google.com/spreadsheets/d/1swGwZOEqYlTEUCJLY-eeJM1911Kvaei5oySBIxdgtNo/edit?pli=1#gid=257618397"",""stock FAKTUR!B:G""),6,false)"),"")</f>
        <v/>
      </c>
      <c r="J35" s="43" t="str">
        <f t="shared" si="1"/>
        <v>ADA</v>
      </c>
      <c r="K35" s="146">
        <v>20.0</v>
      </c>
      <c r="L35" s="145" t="str">
        <f>IFERROR(__xludf.DUMMYFUNCTION("vlookup($D35,IMPORTRANGE(""https://docs.google.com/spreadsheets/d/1swGwZOEqYlTEUCJLY-eeJM1911Kvaei5oySBIxdgtNo/edit?pli=1#gid=257618397"",""stock FAKTUR!B:q""),16,false)"),"PCS")</f>
        <v>PCS</v>
      </c>
      <c r="M35" s="147">
        <v>10000.0</v>
      </c>
      <c r="N35" s="148"/>
      <c r="O35" s="147">
        <f t="shared" si="2"/>
        <v>200000</v>
      </c>
      <c r="P35" s="147" t="str">
        <f t="shared" si="3"/>
        <v>Rp10,000-20 PCS-0.00%</v>
      </c>
      <c r="Q35" s="149">
        <v>45408.0</v>
      </c>
      <c r="R35" s="150"/>
      <c r="S35" s="149">
        <v>45414.0</v>
      </c>
      <c r="T35" s="151"/>
      <c r="U35" s="151"/>
      <c r="V35" s="151"/>
      <c r="W35" s="151"/>
    </row>
    <row r="36">
      <c r="A36" s="142">
        <v>4669.0</v>
      </c>
      <c r="B36" s="143" t="str">
        <f t="shared" si="13"/>
        <v>H</v>
      </c>
      <c r="C36" s="143" t="str">
        <f t="shared" si="14"/>
        <v>METRO-PURWOKERTO</v>
      </c>
      <c r="D36" s="144" t="s">
        <v>4406</v>
      </c>
      <c r="E36" s="145" t="str">
        <f>IFERROR(__xludf.DUMMYFUNCTION("vlookup(D36,IMPORTRANGE(""https://docs.google.com/spreadsheets/d/1swGwZOEqYlTEUCJLY-eeJM1911Kvaei5oySBIxdgtNo/edit?pli=1#gid=257618397"",""stock FAKTUR!B:C""),2,false)"),"BK KAS FOLIO")</f>
        <v>BK KAS FOLIO</v>
      </c>
      <c r="F36" s="53" t="str">
        <f>IFERROR(__xludf.DUMMYFUNCTION("vlookup($D36,IMPORTRANGE(""https://docs.google.com/spreadsheets/d/1swGwZOEqYlTEUCJLY-eeJM1911Kvaei5oySBIxdgtNo/edit?pli=1#gid=257618397"",""stock FAKTUR!B:d""),3,false)"),"F4")</f>
        <v>F4</v>
      </c>
      <c r="G36" s="53" t="str">
        <f>IFERROR(__xludf.DUMMYFUNCTION("vlookup($D36,IMPORTRANGE(""https://docs.google.com/spreadsheets/d/1swGwZOEqYlTEUCJLY-eeJM1911Kvaei5oySBIxdgtNo/edit?pli=1#gid=257618397"",""stock FAKTUR!B:e""),4,false)"),"")</f>
        <v/>
      </c>
      <c r="H36" s="53" t="str">
        <f>IFERROR(__xludf.DUMMYFUNCTION("vlookup($D36,IMPORTRANGE(""https://docs.google.com/spreadsheets/d/1swGwZOEqYlTEUCJLY-eeJM1911Kvaei5oySBIxdgtNo/edit?pli=1#gid=257618397"",""stock FAKTUR!B:F""),5,false)"),"NB")</f>
        <v>NB</v>
      </c>
      <c r="I36" s="53" t="str">
        <f>IFERROR(__xludf.DUMMYFUNCTION("vlookup($D36,IMPORTRANGE(""https://docs.google.com/spreadsheets/d/1swGwZOEqYlTEUCJLY-eeJM1911Kvaei5oySBIxdgtNo/edit?pli=1#gid=257618397"",""stock FAKTUR!B:G""),6,false)"),"")</f>
        <v/>
      </c>
      <c r="J36" s="43" t="str">
        <f t="shared" si="1"/>
        <v>ADA</v>
      </c>
      <c r="K36" s="146">
        <v>20.0</v>
      </c>
      <c r="L36" s="145" t="str">
        <f>IFERROR(__xludf.DUMMYFUNCTION("vlookup($D36,IMPORTRANGE(""https://docs.google.com/spreadsheets/d/1swGwZOEqYlTEUCJLY-eeJM1911Kvaei5oySBIxdgtNo/edit?pli=1#gid=257618397"",""stock FAKTUR!B:q""),16,false)"),"PCS")</f>
        <v>PCS</v>
      </c>
      <c r="M36" s="147">
        <v>19000.0</v>
      </c>
      <c r="N36" s="148"/>
      <c r="O36" s="147">
        <f t="shared" si="2"/>
        <v>380000</v>
      </c>
      <c r="P36" s="147" t="str">
        <f t="shared" si="3"/>
        <v>Rp19,000-20 PCS-0.00%</v>
      </c>
      <c r="Q36" s="149">
        <v>45408.0</v>
      </c>
      <c r="R36" s="150"/>
      <c r="S36" s="149">
        <v>45414.0</v>
      </c>
      <c r="T36" s="151"/>
      <c r="U36" s="151"/>
      <c r="V36" s="151"/>
      <c r="W36" s="151"/>
    </row>
    <row r="37">
      <c r="A37" s="142">
        <v>4669.0</v>
      </c>
      <c r="B37" s="143" t="str">
        <f t="shared" si="13"/>
        <v>H</v>
      </c>
      <c r="C37" s="143" t="str">
        <f t="shared" si="14"/>
        <v>METRO-PURWOKERTO</v>
      </c>
      <c r="D37" s="144" t="s">
        <v>24</v>
      </c>
      <c r="E37" s="145" t="str">
        <f>IFERROR(__xludf.DUMMYFUNCTION("vlookup(D37,IMPORTRANGE(""https://docs.google.com/spreadsheets/d/1swGwZOEqYlTEUCJLY-eeJM1911Kvaei5oySBIxdgtNo/edit?pli=1#gid=257618397"",""stock FAKTUR!B:C""),2,false)"),"KARTU STOCK KWARTO PINK")</f>
        <v>KARTU STOCK KWARTO PINK</v>
      </c>
      <c r="F37" s="53" t="str">
        <f>IFERROR(__xludf.DUMMYFUNCTION("vlookup($D37,IMPORTRANGE(""https://docs.google.com/spreadsheets/d/1swGwZOEqYlTEUCJLY-eeJM1911Kvaei5oySBIxdgtNo/edit?pli=1#gid=257618397"",""stock FAKTUR!B:d""),3,false)"),"A4")</f>
        <v>A4</v>
      </c>
      <c r="G37" s="53" t="str">
        <f>IFERROR(__xludf.DUMMYFUNCTION("vlookup($D37,IMPORTRANGE(""https://docs.google.com/spreadsheets/d/1swGwZOEqYlTEUCJLY-eeJM1911Kvaei5oySBIxdgtNo/edit?pli=1#gid=257618397"",""stock FAKTUR!B:e""),4,false)"),"PINK")</f>
        <v>PINK</v>
      </c>
      <c r="H37" s="53" t="str">
        <f>IFERROR(__xludf.DUMMYFUNCTION("vlookup($D37,IMPORTRANGE(""https://docs.google.com/spreadsheets/d/1swGwZOEqYlTEUCJLY-eeJM1911Kvaei5oySBIxdgtNo/edit?pli=1#gid=257618397"",""stock FAKTUR!B:F""),5,false)"),"NB")</f>
        <v>NB</v>
      </c>
      <c r="I37" s="53" t="str">
        <f>IFERROR(__xludf.DUMMYFUNCTION("vlookup($D37,IMPORTRANGE(""https://docs.google.com/spreadsheets/d/1swGwZOEqYlTEUCJLY-eeJM1911Kvaei5oySBIxdgtNo/edit?pli=1#gid=257618397"",""stock FAKTUR!B:G""),6,false)"),"")</f>
        <v/>
      </c>
      <c r="J37" s="43" t="str">
        <f t="shared" si="1"/>
        <v>ADA</v>
      </c>
      <c r="K37" s="146">
        <v>4.0</v>
      </c>
      <c r="L37" s="145" t="str">
        <f>IFERROR(__xludf.DUMMYFUNCTION("vlookup($D37,IMPORTRANGE(""https://docs.google.com/spreadsheets/d/1swGwZOEqYlTEUCJLY-eeJM1911Kvaei5oySBIxdgtNo/edit?pli=1#gid=257618397"",""stock FAKTUR!B:q""),16,false)"),"PAK")</f>
        <v>PAK</v>
      </c>
      <c r="M37" s="147">
        <v>21000.0</v>
      </c>
      <c r="N37" s="148"/>
      <c r="O37" s="147">
        <f t="shared" si="2"/>
        <v>84000</v>
      </c>
      <c r="P37" s="147" t="str">
        <f t="shared" si="3"/>
        <v>Rp21,000-4 PAK-0.00%</v>
      </c>
      <c r="Q37" s="149">
        <v>45408.0</v>
      </c>
      <c r="R37" s="150"/>
      <c r="S37" s="149">
        <v>45414.0</v>
      </c>
      <c r="T37" s="151"/>
      <c r="U37" s="151"/>
      <c r="V37" s="151"/>
      <c r="W37" s="151"/>
    </row>
    <row r="38">
      <c r="A38" s="142">
        <v>4669.0</v>
      </c>
      <c r="B38" s="143" t="str">
        <f t="shared" si="13"/>
        <v>H</v>
      </c>
      <c r="C38" s="143" t="str">
        <f t="shared" si="14"/>
        <v>METRO-PURWOKERTO</v>
      </c>
      <c r="D38" s="144" t="s">
        <v>4407</v>
      </c>
      <c r="E38" s="145" t="str">
        <f>IFERROR(__xludf.DUMMYFUNCTION("vlookup(D38,IMPORTRANGE(""https://docs.google.com/spreadsheets/d/1swGwZOEqYlTEUCJLY-eeJM1911Kvaei5oySBIxdgtNo/edit?pli=1#gid=257618397"",""stock FAKTUR!B:C""),2,false)"),"KARTU STOCK KWARTO HIJAU")</f>
        <v>KARTU STOCK KWARTO HIJAU</v>
      </c>
      <c r="F38" s="53" t="str">
        <f>IFERROR(__xludf.DUMMYFUNCTION("vlookup($D38,IMPORTRANGE(""https://docs.google.com/spreadsheets/d/1swGwZOEqYlTEUCJLY-eeJM1911Kvaei5oySBIxdgtNo/edit?pli=1#gid=257618397"",""stock FAKTUR!B:d""),3,false)"),"A4")</f>
        <v>A4</v>
      </c>
      <c r="G38" s="53" t="str">
        <f>IFERROR(__xludf.DUMMYFUNCTION("vlookup($D38,IMPORTRANGE(""https://docs.google.com/spreadsheets/d/1swGwZOEqYlTEUCJLY-eeJM1911Kvaei5oySBIxdgtNo/edit?pli=1#gid=257618397"",""stock FAKTUR!B:e""),4,false)"),"HIJAU")</f>
        <v>HIJAU</v>
      </c>
      <c r="H38" s="53" t="str">
        <f>IFERROR(__xludf.DUMMYFUNCTION("vlookup($D38,IMPORTRANGE(""https://docs.google.com/spreadsheets/d/1swGwZOEqYlTEUCJLY-eeJM1911Kvaei5oySBIxdgtNo/edit?pli=1#gid=257618397"",""stock FAKTUR!B:F""),5,false)"),"NB")</f>
        <v>NB</v>
      </c>
      <c r="I38" s="53" t="str">
        <f>IFERROR(__xludf.DUMMYFUNCTION("vlookup($D38,IMPORTRANGE(""https://docs.google.com/spreadsheets/d/1swGwZOEqYlTEUCJLY-eeJM1911Kvaei5oySBIxdgtNo/edit?pli=1#gid=257618397"",""stock FAKTUR!B:G""),6,false)"),"")</f>
        <v/>
      </c>
      <c r="J38" s="43" t="str">
        <f t="shared" si="1"/>
        <v>ADA</v>
      </c>
      <c r="K38" s="146">
        <v>4.0</v>
      </c>
      <c r="L38" s="145" t="str">
        <f>IFERROR(__xludf.DUMMYFUNCTION("vlookup($D38,IMPORTRANGE(""https://docs.google.com/spreadsheets/d/1swGwZOEqYlTEUCJLY-eeJM1911Kvaei5oySBIxdgtNo/edit?pli=1#gid=257618397"",""stock FAKTUR!B:q""),16,false)"),"PAK")</f>
        <v>PAK</v>
      </c>
      <c r="M38" s="147">
        <v>21000.0</v>
      </c>
      <c r="N38" s="148"/>
      <c r="O38" s="147">
        <f t="shared" si="2"/>
        <v>84000</v>
      </c>
      <c r="P38" s="147" t="str">
        <f t="shared" si="3"/>
        <v>Rp21,000-4 PAK-0.00%</v>
      </c>
      <c r="Q38" s="149">
        <v>45408.0</v>
      </c>
      <c r="R38" s="150"/>
      <c r="S38" s="149">
        <v>45414.0</v>
      </c>
      <c r="T38" s="151"/>
      <c r="U38" s="151"/>
      <c r="V38" s="151"/>
      <c r="W38" s="151"/>
    </row>
    <row r="39">
      <c r="A39" s="142">
        <v>4669.0</v>
      </c>
      <c r="B39" s="143" t="str">
        <f t="shared" si="13"/>
        <v>H</v>
      </c>
      <c r="C39" s="143" t="str">
        <f t="shared" si="14"/>
        <v>METRO-PURWOKERTO</v>
      </c>
      <c r="D39" s="144" t="s">
        <v>4408</v>
      </c>
      <c r="E39" s="145" t="str">
        <f>IFERROR(__xludf.DUMMYFUNCTION("vlookup(D39,IMPORTRANGE(""https://docs.google.com/spreadsheets/d/1swGwZOEqYlTEUCJLY-eeJM1911Kvaei5oySBIxdgtNo/edit?pli=1#gid=257618397"",""stock FAKTUR!B:C""),2,false)"),"KARTU STOCK KWARTO KUNING")</f>
        <v>KARTU STOCK KWARTO KUNING</v>
      </c>
      <c r="F39" s="53" t="str">
        <f>IFERROR(__xludf.DUMMYFUNCTION("vlookup($D39,IMPORTRANGE(""https://docs.google.com/spreadsheets/d/1swGwZOEqYlTEUCJLY-eeJM1911Kvaei5oySBIxdgtNo/edit?pli=1#gid=257618397"",""stock FAKTUR!B:d""),3,false)"),"A4")</f>
        <v>A4</v>
      </c>
      <c r="G39" s="53" t="str">
        <f>IFERROR(__xludf.DUMMYFUNCTION("vlookup($D39,IMPORTRANGE(""https://docs.google.com/spreadsheets/d/1swGwZOEqYlTEUCJLY-eeJM1911Kvaei5oySBIxdgtNo/edit?pli=1#gid=257618397"",""stock FAKTUR!B:e""),4,false)"),"KUNING")</f>
        <v>KUNING</v>
      </c>
      <c r="H39" s="53" t="str">
        <f>IFERROR(__xludf.DUMMYFUNCTION("vlookup($D39,IMPORTRANGE(""https://docs.google.com/spreadsheets/d/1swGwZOEqYlTEUCJLY-eeJM1911Kvaei5oySBIxdgtNo/edit?pli=1#gid=257618397"",""stock FAKTUR!B:F""),5,false)"),"NB")</f>
        <v>NB</v>
      </c>
      <c r="I39" s="53" t="str">
        <f>IFERROR(__xludf.DUMMYFUNCTION("vlookup($D39,IMPORTRANGE(""https://docs.google.com/spreadsheets/d/1swGwZOEqYlTEUCJLY-eeJM1911Kvaei5oySBIxdgtNo/edit?pli=1#gid=257618397"",""stock FAKTUR!B:G""),6,false)"),"")</f>
        <v/>
      </c>
      <c r="J39" s="43" t="str">
        <f t="shared" si="1"/>
        <v>ADA</v>
      </c>
      <c r="K39" s="146">
        <v>4.0</v>
      </c>
      <c r="L39" s="145" t="str">
        <f>IFERROR(__xludf.DUMMYFUNCTION("vlookup($D39,IMPORTRANGE(""https://docs.google.com/spreadsheets/d/1swGwZOEqYlTEUCJLY-eeJM1911Kvaei5oySBIxdgtNo/edit?pli=1#gid=257618397"",""stock FAKTUR!B:q""),16,false)"),"PAK")</f>
        <v>PAK</v>
      </c>
      <c r="M39" s="147">
        <v>21000.0</v>
      </c>
      <c r="N39" s="148"/>
      <c r="O39" s="147">
        <f t="shared" si="2"/>
        <v>84000</v>
      </c>
      <c r="P39" s="147" t="str">
        <f t="shared" si="3"/>
        <v>Rp21,000-4 PAK-0.00%</v>
      </c>
      <c r="Q39" s="149">
        <v>45408.0</v>
      </c>
      <c r="R39" s="150"/>
      <c r="S39" s="149">
        <v>45414.0</v>
      </c>
      <c r="T39" s="151"/>
      <c r="U39" s="151"/>
      <c r="V39" s="151"/>
      <c r="W39" s="151"/>
    </row>
    <row r="40">
      <c r="A40" s="142">
        <v>4669.0</v>
      </c>
      <c r="B40" s="143" t="str">
        <f t="shared" si="13"/>
        <v>H</v>
      </c>
      <c r="C40" s="143" t="str">
        <f t="shared" si="14"/>
        <v>METRO-PURWOKERTO</v>
      </c>
      <c r="D40" s="144" t="s">
        <v>4409</v>
      </c>
      <c r="E40" s="145" t="str">
        <f>IFERROR(__xludf.DUMMYFUNCTION("vlookup(D40,IMPORTRANGE(""https://docs.google.com/spreadsheets/d/1swGwZOEqYlTEUCJLY-eeJM1911Kvaei5oySBIxdgtNo/edit?pli=1#gid=257618397"",""stock FAKTUR!B:C""),2,false)"),"KARTU STOCK KWARTO PUTIH")</f>
        <v>KARTU STOCK KWARTO PUTIH</v>
      </c>
      <c r="F40" s="53" t="str">
        <f>IFERROR(__xludf.DUMMYFUNCTION("vlookup($D40,IMPORTRANGE(""https://docs.google.com/spreadsheets/d/1swGwZOEqYlTEUCJLY-eeJM1911Kvaei5oySBIxdgtNo/edit?pli=1#gid=257618397"",""stock FAKTUR!B:d""),3,false)"),"A4")</f>
        <v>A4</v>
      </c>
      <c r="G40" s="53" t="str">
        <f>IFERROR(__xludf.DUMMYFUNCTION("vlookup($D40,IMPORTRANGE(""https://docs.google.com/spreadsheets/d/1swGwZOEqYlTEUCJLY-eeJM1911Kvaei5oySBIxdgtNo/edit?pli=1#gid=257618397"",""stock FAKTUR!B:e""),4,false)"),"PUTIH")</f>
        <v>PUTIH</v>
      </c>
      <c r="H40" s="53" t="str">
        <f>IFERROR(__xludf.DUMMYFUNCTION("vlookup($D40,IMPORTRANGE(""https://docs.google.com/spreadsheets/d/1swGwZOEqYlTEUCJLY-eeJM1911Kvaei5oySBIxdgtNo/edit?pli=1#gid=257618397"",""stock FAKTUR!B:F""),5,false)"),"NB")</f>
        <v>NB</v>
      </c>
      <c r="I40" s="53" t="str">
        <f>IFERROR(__xludf.DUMMYFUNCTION("vlookup($D40,IMPORTRANGE(""https://docs.google.com/spreadsheets/d/1swGwZOEqYlTEUCJLY-eeJM1911Kvaei5oySBIxdgtNo/edit?pli=1#gid=257618397"",""stock FAKTUR!B:G""),6,false)"),"")</f>
        <v/>
      </c>
      <c r="J40" s="43" t="str">
        <f t="shared" si="1"/>
        <v>ADA</v>
      </c>
      <c r="K40" s="146">
        <v>4.0</v>
      </c>
      <c r="L40" s="145" t="str">
        <f>IFERROR(__xludf.DUMMYFUNCTION("vlookup($D40,IMPORTRANGE(""https://docs.google.com/spreadsheets/d/1swGwZOEqYlTEUCJLY-eeJM1911Kvaei5oySBIxdgtNo/edit?pli=1#gid=257618397"",""stock FAKTUR!B:q""),16,false)"),"PAK")</f>
        <v>PAK</v>
      </c>
      <c r="M40" s="147">
        <v>21000.0</v>
      </c>
      <c r="N40" s="148"/>
      <c r="O40" s="147">
        <f t="shared" si="2"/>
        <v>84000</v>
      </c>
      <c r="P40" s="147" t="str">
        <f t="shared" si="3"/>
        <v>Rp21,000-4 PAK-0.00%</v>
      </c>
      <c r="Q40" s="149">
        <v>45408.0</v>
      </c>
      <c r="R40" s="150"/>
      <c r="S40" s="149">
        <v>45414.0</v>
      </c>
      <c r="T40" s="151"/>
      <c r="U40" s="151"/>
      <c r="V40" s="151"/>
      <c r="W40" s="151"/>
    </row>
    <row r="41">
      <c r="A41" s="142">
        <v>4669.0</v>
      </c>
      <c r="B41" s="143" t="str">
        <f t="shared" si="13"/>
        <v>H</v>
      </c>
      <c r="C41" s="143" t="str">
        <f t="shared" si="14"/>
        <v>METRO-PURWOKERTO</v>
      </c>
      <c r="D41" s="144" t="s">
        <v>4410</v>
      </c>
      <c r="E41" s="145" t="str">
        <f>IFERROR(__xludf.DUMMYFUNCTION("vlookup(D41,IMPORTRANGE(""https://docs.google.com/spreadsheets/d/1swGwZOEqYlTEUCJLY-eeJM1911Kvaei5oySBIxdgtNo/edit?pli=1#gid=257618397"",""stock FAKTUR!B:C""),2,false)"),"KARTU STOCK KWARTO BIRU")</f>
        <v>KARTU STOCK KWARTO BIRU</v>
      </c>
      <c r="F41" s="53" t="str">
        <f>IFERROR(__xludf.DUMMYFUNCTION("vlookup($D41,IMPORTRANGE(""https://docs.google.com/spreadsheets/d/1swGwZOEqYlTEUCJLY-eeJM1911Kvaei5oySBIxdgtNo/edit?pli=1#gid=257618397"",""stock FAKTUR!B:d""),3,false)"),"A4")</f>
        <v>A4</v>
      </c>
      <c r="G41" s="53" t="str">
        <f>IFERROR(__xludf.DUMMYFUNCTION("vlookup($D41,IMPORTRANGE(""https://docs.google.com/spreadsheets/d/1swGwZOEqYlTEUCJLY-eeJM1911Kvaei5oySBIxdgtNo/edit?pli=1#gid=257618397"",""stock FAKTUR!B:e""),4,false)"),"BIRU")</f>
        <v>BIRU</v>
      </c>
      <c r="H41" s="53" t="str">
        <f>IFERROR(__xludf.DUMMYFUNCTION("vlookup($D41,IMPORTRANGE(""https://docs.google.com/spreadsheets/d/1swGwZOEqYlTEUCJLY-eeJM1911Kvaei5oySBIxdgtNo/edit?pli=1#gid=257618397"",""stock FAKTUR!B:F""),5,false)"),"NB")</f>
        <v>NB</v>
      </c>
      <c r="I41" s="53" t="str">
        <f>IFERROR(__xludf.DUMMYFUNCTION("vlookup($D41,IMPORTRANGE(""https://docs.google.com/spreadsheets/d/1swGwZOEqYlTEUCJLY-eeJM1911Kvaei5oySBIxdgtNo/edit?pli=1#gid=257618397"",""stock FAKTUR!B:G""),6,false)"),"")</f>
        <v/>
      </c>
      <c r="J41" s="43" t="str">
        <f t="shared" si="1"/>
        <v>ADA</v>
      </c>
      <c r="K41" s="146">
        <v>4.0</v>
      </c>
      <c r="L41" s="145" t="str">
        <f>IFERROR(__xludf.DUMMYFUNCTION("vlookup($D41,IMPORTRANGE(""https://docs.google.com/spreadsheets/d/1swGwZOEqYlTEUCJLY-eeJM1911Kvaei5oySBIxdgtNo/edit?pli=1#gid=257618397"",""stock FAKTUR!B:q""),16,false)"),"PAK")</f>
        <v>PAK</v>
      </c>
      <c r="M41" s="147">
        <v>21000.0</v>
      </c>
      <c r="N41" s="148"/>
      <c r="O41" s="147">
        <f t="shared" si="2"/>
        <v>84000</v>
      </c>
      <c r="P41" s="147" t="str">
        <f t="shared" si="3"/>
        <v>Rp21,000-4 PAK-0.00%</v>
      </c>
      <c r="Q41" s="149">
        <v>45408.0</v>
      </c>
      <c r="R41" s="150"/>
      <c r="S41" s="149">
        <v>45414.0</v>
      </c>
      <c r="T41" s="151"/>
      <c r="U41" s="151"/>
      <c r="V41" s="151"/>
      <c r="W41" s="151"/>
    </row>
    <row r="42">
      <c r="A42" s="142">
        <v>4669.0</v>
      </c>
      <c r="B42" s="143" t="str">
        <f t="shared" si="13"/>
        <v>H</v>
      </c>
      <c r="C42" s="143" t="str">
        <f t="shared" si="14"/>
        <v>METRO-PURWOKERTO</v>
      </c>
      <c r="D42" s="144" t="s">
        <v>4411</v>
      </c>
      <c r="E42" s="145" t="str">
        <f>IFERROR(__xludf.DUMMYFUNCTION("vlookup(D42,IMPORTRANGE(""https://docs.google.com/spreadsheets/d/1swGwZOEqYlTEUCJLY-eeJM1911Kvaei5oySBIxdgtNo/edit?pli=1#gid=257618397"",""stock FAKTUR!B:C""),2,false)"),"PC KLG TY-552 MOBIL+ANAK 21X6.5")</f>
        <v>PC KLG TY-552 MOBIL+ANAK 21X6.5</v>
      </c>
      <c r="F42" s="53" t="str">
        <f>IFERROR(__xludf.DUMMYFUNCTION("vlookup($D42,IMPORTRANGE(""https://docs.google.com/spreadsheets/d/1swGwZOEqYlTEUCJLY-eeJM1911Kvaei5oySBIxdgtNo/edit?pli=1#gid=257618397"",""stock FAKTUR!B:d""),3,false)"),"")</f>
        <v/>
      </c>
      <c r="G42" s="53" t="str">
        <f>IFERROR(__xludf.DUMMYFUNCTION("vlookup($D42,IMPORTRANGE(""https://docs.google.com/spreadsheets/d/1swGwZOEqYlTEUCJLY-eeJM1911Kvaei5oySBIxdgtNo/edit?pli=1#gid=257618397"",""stock FAKTUR!B:e""),4,false)"),"")</f>
        <v/>
      </c>
      <c r="H42" s="53" t="str">
        <f>IFERROR(__xludf.DUMMYFUNCTION("vlookup($D42,IMPORTRANGE(""https://docs.google.com/spreadsheets/d/1swGwZOEqYlTEUCJLY-eeJM1911Kvaei5oySBIxdgtNo/edit?pli=1#gid=257618397"",""stock FAKTUR!B:F""),5,false)"),"NB")</f>
        <v>NB</v>
      </c>
      <c r="I42" s="53" t="str">
        <f>IFERROR(__xludf.DUMMYFUNCTION("vlookup($D42,IMPORTRANGE(""https://docs.google.com/spreadsheets/d/1swGwZOEqYlTEUCJLY-eeJM1911Kvaei5oySBIxdgtNo/edit?pli=1#gid=257618397"",""stock FAKTUR!B:G""),6,false)"),"")</f>
        <v/>
      </c>
      <c r="J42" s="43" t="str">
        <f t="shared" si="1"/>
        <v>ADA</v>
      </c>
      <c r="K42" s="146">
        <v>12.0</v>
      </c>
      <c r="L42" s="145" t="str">
        <f>IFERROR(__xludf.DUMMYFUNCTION("vlookup($D42,IMPORTRANGE(""https://docs.google.com/spreadsheets/d/1swGwZOEqYlTEUCJLY-eeJM1911Kvaei5oySBIxdgtNo/edit?pli=1#gid=257618397"",""stock FAKTUR!B:q""),16,false)"),"PCS")</f>
        <v>PCS</v>
      </c>
      <c r="M42" s="147">
        <f>150000/12</f>
        <v>12500</v>
      </c>
      <c r="N42" s="148"/>
      <c r="O42" s="147">
        <f t="shared" si="2"/>
        <v>150000</v>
      </c>
      <c r="P42" s="147" t="str">
        <f t="shared" si="3"/>
        <v>Rp12,500-12 PCS-0.00%</v>
      </c>
      <c r="Q42" s="149">
        <v>45408.0</v>
      </c>
      <c r="R42" s="150"/>
      <c r="S42" s="149">
        <v>45414.0</v>
      </c>
      <c r="T42" s="151"/>
      <c r="U42" s="151"/>
      <c r="V42" s="151"/>
      <c r="W42" s="151"/>
    </row>
    <row r="43">
      <c r="A43" s="142">
        <v>4669.0</v>
      </c>
      <c r="B43" s="143" t="str">
        <f t="shared" si="13"/>
        <v>H</v>
      </c>
      <c r="C43" s="143" t="str">
        <f t="shared" si="14"/>
        <v>METRO-PURWOKERTO</v>
      </c>
      <c r="D43" s="144" t="s">
        <v>4412</v>
      </c>
      <c r="E43" s="145" t="str">
        <f>IFERROR(__xludf.DUMMYFUNCTION("vlookup(D43,IMPORTRANGE(""https://docs.google.com/spreadsheets/d/1swGwZOEqYlTEUCJLY-eeJM1911Kvaei5oySBIxdgtNo/edit?pli=1#gid=257618397"",""stock FAKTUR!B:C""),2,false)"),"PC MAGNIT C-2755-1 (22X7.5)")</f>
        <v>PC MAGNIT C-2755-1 (22X7.5)</v>
      </c>
      <c r="F43" s="53" t="str">
        <f>IFERROR(__xludf.DUMMYFUNCTION("vlookup($D43,IMPORTRANGE(""https://docs.google.com/spreadsheets/d/1swGwZOEqYlTEUCJLY-eeJM1911Kvaei5oySBIxdgtNo/edit?pli=1#gid=257618397"",""stock FAKTUR!B:d""),3,false)"),"")</f>
        <v/>
      </c>
      <c r="G43" s="53" t="str">
        <f>IFERROR(__xludf.DUMMYFUNCTION("vlookup($D43,IMPORTRANGE(""https://docs.google.com/spreadsheets/d/1swGwZOEqYlTEUCJLY-eeJM1911Kvaei5oySBIxdgtNo/edit?pli=1#gid=257618397"",""stock FAKTUR!B:e""),4,false)"),"")</f>
        <v/>
      </c>
      <c r="H43" s="53" t="str">
        <f>IFERROR(__xludf.DUMMYFUNCTION("vlookup($D43,IMPORTRANGE(""https://docs.google.com/spreadsheets/d/1swGwZOEqYlTEUCJLY-eeJM1911Kvaei5oySBIxdgtNo/edit?pli=1#gid=257618397"",""stock FAKTUR!B:F""),5,false)"),"NB")</f>
        <v>NB</v>
      </c>
      <c r="I43" s="53" t="str">
        <f>IFERROR(__xludf.DUMMYFUNCTION("vlookup($D43,IMPORTRANGE(""https://docs.google.com/spreadsheets/d/1swGwZOEqYlTEUCJLY-eeJM1911Kvaei5oySBIxdgtNo/edit?pli=1#gid=257618397"",""stock FAKTUR!B:G""),6,false)"),"")</f>
        <v/>
      </c>
      <c r="J43" s="43" t="str">
        <f t="shared" si="1"/>
        <v>ADA</v>
      </c>
      <c r="K43" s="146">
        <v>12.0</v>
      </c>
      <c r="L43" s="145" t="str">
        <f>IFERROR(__xludf.DUMMYFUNCTION("vlookup($D43,IMPORTRANGE(""https://docs.google.com/spreadsheets/d/1swGwZOEqYlTEUCJLY-eeJM1911Kvaei5oySBIxdgtNo/edit?pli=1#gid=257618397"",""stock FAKTUR!B:q""),16,false)"),"PCS")</f>
        <v>PCS</v>
      </c>
      <c r="M43" s="147">
        <f>200000/12</f>
        <v>16666.66667</v>
      </c>
      <c r="N43" s="148"/>
      <c r="O43" s="147">
        <f t="shared" si="2"/>
        <v>200000</v>
      </c>
      <c r="P43" s="147" t="str">
        <f t="shared" si="3"/>
        <v>Rp16,667-12 PCS-0.00%</v>
      </c>
      <c r="Q43" s="149">
        <v>45408.0</v>
      </c>
      <c r="R43" s="150"/>
      <c r="S43" s="149">
        <v>45414.0</v>
      </c>
      <c r="T43" s="151"/>
      <c r="U43" s="151"/>
      <c r="V43" s="151"/>
      <c r="W43" s="151"/>
    </row>
    <row r="44">
      <c r="A44" s="142">
        <v>4669.0</v>
      </c>
      <c r="B44" s="143" t="str">
        <f t="shared" si="13"/>
        <v>H</v>
      </c>
      <c r="C44" s="143" t="str">
        <f t="shared" si="14"/>
        <v>METRO-PURWOKERTO</v>
      </c>
      <c r="D44" s="144" t="s">
        <v>4413</v>
      </c>
      <c r="E44" s="145" t="str">
        <f>IFERROR(__xludf.DUMMYFUNCTION("vlookup(D44,IMPORTRANGE(""https://docs.google.com/spreadsheets/d/1swGwZOEqYlTEUCJLY-eeJM1911Kvaei5oySBIxdgtNo/edit?pli=1#gid=257618397"",""stock FAKTUR!B:C""),2,false)"),"PENSIL GLASS JK PG-100 (HITAM)")</f>
        <v>PENSIL GLASS JK PG-100 (HITAM)</v>
      </c>
      <c r="F44" s="53" t="str">
        <f>IFERROR(__xludf.DUMMYFUNCTION("vlookup($D44,IMPORTRANGE(""https://docs.google.com/spreadsheets/d/1swGwZOEqYlTEUCJLY-eeJM1911Kvaei5oySBIxdgtNo/edit?pli=1#gid=257618397"",""stock FAKTUR!B:d""),3,false)"),"")</f>
        <v/>
      </c>
      <c r="G44" s="53" t="str">
        <f>IFERROR(__xludf.DUMMYFUNCTION("vlookup($D44,IMPORTRANGE(""https://docs.google.com/spreadsheets/d/1swGwZOEqYlTEUCJLY-eeJM1911Kvaei5oySBIxdgtNo/edit?pli=1#gid=257618397"",""stock FAKTUR!B:e""),4,false)"),"HITAM")</f>
        <v>HITAM</v>
      </c>
      <c r="H44" s="53" t="str">
        <f>IFERROR(__xludf.DUMMYFUNCTION("vlookup($D44,IMPORTRANGE(""https://docs.google.com/spreadsheets/d/1swGwZOEqYlTEUCJLY-eeJM1911Kvaei5oySBIxdgtNo/edit?pli=1#gid=257618397"",""stock FAKTUR!B:F""),5,false)"),"JK")</f>
        <v>JK</v>
      </c>
      <c r="I44" s="53" t="str">
        <f>IFERROR(__xludf.DUMMYFUNCTION("vlookup($D44,IMPORTRANGE(""https://docs.google.com/spreadsheets/d/1swGwZOEqYlTEUCJLY-eeJM1911Kvaei5oySBIxdgtNo/edit?pli=1#gid=257618397"",""stock FAKTUR!B:G""),6,false)"),"")</f>
        <v/>
      </c>
      <c r="J44" s="43" t="str">
        <f t="shared" si="1"/>
        <v>ADA</v>
      </c>
      <c r="K44" s="146">
        <v>0.5</v>
      </c>
      <c r="L44" s="145" t="str">
        <f>IFERROR(__xludf.DUMMYFUNCTION("vlookup($D44,IMPORTRANGE(""https://docs.google.com/spreadsheets/d/1swGwZOEqYlTEUCJLY-eeJM1911Kvaei5oySBIxdgtNo/edit?pli=1#gid=257618397"",""stock FAKTUR!B:q""),16,false)"),"GRS")</f>
        <v>GRS</v>
      </c>
      <c r="M44" s="147">
        <f t="shared" ref="M44:M45" si="15">22500*12</f>
        <v>270000</v>
      </c>
      <c r="N44" s="148"/>
      <c r="O44" s="147">
        <f t="shared" si="2"/>
        <v>135000</v>
      </c>
      <c r="P44" s="147" t="str">
        <f t="shared" si="3"/>
        <v>Rp270,000-0.5 GRS-0.00%</v>
      </c>
      <c r="Q44" s="149">
        <v>45408.0</v>
      </c>
      <c r="R44" s="150"/>
      <c r="S44" s="149">
        <v>45414.0</v>
      </c>
      <c r="T44" s="151"/>
      <c r="U44" s="151"/>
      <c r="V44" s="151"/>
      <c r="W44" s="151"/>
    </row>
    <row r="45">
      <c r="A45" s="142">
        <v>4669.0</v>
      </c>
      <c r="B45" s="143" t="str">
        <f t="shared" si="13"/>
        <v>H</v>
      </c>
      <c r="C45" s="143" t="str">
        <f t="shared" si="14"/>
        <v>METRO-PURWOKERTO</v>
      </c>
      <c r="D45" s="144" t="s">
        <v>4414</v>
      </c>
      <c r="E45" s="145" t="str">
        <f>IFERROR(__xludf.DUMMYFUNCTION("vlookup(D45,IMPORTRANGE(""https://docs.google.com/spreadsheets/d/1swGwZOEqYlTEUCJLY-eeJM1911Kvaei5oySBIxdgtNo/edit?pli=1#gid=257618397"",""stock FAKTUR!B:C""),2,false)"),"PENSIL GLASS JK PG-100 (PUTIH)")</f>
        <v>PENSIL GLASS JK PG-100 (PUTIH)</v>
      </c>
      <c r="F45" s="53" t="str">
        <f>IFERROR(__xludf.DUMMYFUNCTION("vlookup($D45,IMPORTRANGE(""https://docs.google.com/spreadsheets/d/1swGwZOEqYlTEUCJLY-eeJM1911Kvaei5oySBIxdgtNo/edit?pli=1#gid=257618397"",""stock FAKTUR!B:d""),3,false)"),"")</f>
        <v/>
      </c>
      <c r="G45" s="53" t="str">
        <f>IFERROR(__xludf.DUMMYFUNCTION("vlookup($D45,IMPORTRANGE(""https://docs.google.com/spreadsheets/d/1swGwZOEqYlTEUCJLY-eeJM1911Kvaei5oySBIxdgtNo/edit?pli=1#gid=257618397"",""stock FAKTUR!B:e""),4,false)"),"PUTIH")</f>
        <v>PUTIH</v>
      </c>
      <c r="H45" s="53" t="str">
        <f>IFERROR(__xludf.DUMMYFUNCTION("vlookup($D45,IMPORTRANGE(""https://docs.google.com/spreadsheets/d/1swGwZOEqYlTEUCJLY-eeJM1911Kvaei5oySBIxdgtNo/edit?pli=1#gid=257618397"",""stock FAKTUR!B:F""),5,false)"),"JK")</f>
        <v>JK</v>
      </c>
      <c r="I45" s="53" t="str">
        <f>IFERROR(__xludf.DUMMYFUNCTION("vlookup($D45,IMPORTRANGE(""https://docs.google.com/spreadsheets/d/1swGwZOEqYlTEUCJLY-eeJM1911Kvaei5oySBIxdgtNo/edit?pli=1#gid=257618397"",""stock FAKTUR!B:G""),6,false)"),"")</f>
        <v/>
      </c>
      <c r="J45" s="43" t="str">
        <f t="shared" si="1"/>
        <v>ADA</v>
      </c>
      <c r="K45" s="146">
        <v>0.5</v>
      </c>
      <c r="L45" s="145" t="str">
        <f>IFERROR(__xludf.DUMMYFUNCTION("vlookup($D45,IMPORTRANGE(""https://docs.google.com/spreadsheets/d/1swGwZOEqYlTEUCJLY-eeJM1911Kvaei5oySBIxdgtNo/edit?pli=1#gid=257618397"",""stock FAKTUR!B:q""),16,false)"),"GRS")</f>
        <v>GRS</v>
      </c>
      <c r="M45" s="147">
        <f t="shared" si="15"/>
        <v>270000</v>
      </c>
      <c r="N45" s="148"/>
      <c r="O45" s="147">
        <f t="shared" si="2"/>
        <v>135000</v>
      </c>
      <c r="P45" s="147" t="str">
        <f t="shared" si="3"/>
        <v>Rp270,000-0.5 GRS-0.00%</v>
      </c>
      <c r="Q45" s="149">
        <v>45408.0</v>
      </c>
      <c r="R45" s="150"/>
      <c r="S45" s="149">
        <v>45414.0</v>
      </c>
      <c r="T45" s="151"/>
      <c r="U45" s="151"/>
      <c r="V45" s="151"/>
      <c r="W45" s="151"/>
    </row>
    <row r="46">
      <c r="A46" s="142">
        <v>4654.0</v>
      </c>
      <c r="B46" s="143" t="s">
        <v>33</v>
      </c>
      <c r="C46" s="143" t="s">
        <v>34</v>
      </c>
      <c r="D46" s="144" t="s">
        <v>4415</v>
      </c>
      <c r="E46" s="145" t="str">
        <f>IFERROR(__xludf.DUMMYFUNCTION("vlookup(D46,IMPORTRANGE(""https://docs.google.com/spreadsheets/d/1swGwZOEqYlTEUCJLY-eeJM1911Kvaei5oySBIxdgtNo/edit?pli=1#gid=257618397"",""stock FAKTUR!B:C""),2,false)"),"BP KENKO K-1 HITAM")</f>
        <v>BP KENKO K-1 HITAM</v>
      </c>
      <c r="F46" s="53" t="str">
        <f>IFERROR(__xludf.DUMMYFUNCTION("vlookup($D46,IMPORTRANGE(""https://docs.google.com/spreadsheets/d/1swGwZOEqYlTEUCJLY-eeJM1911Kvaei5oySBIxdgtNo/edit?pli=1#gid=257618397"",""stock FAKTUR!B:d""),3,false)"),"")</f>
        <v/>
      </c>
      <c r="G46" s="53" t="str">
        <f>IFERROR(__xludf.DUMMYFUNCTION("vlookup($D46,IMPORTRANGE(""https://docs.google.com/spreadsheets/d/1swGwZOEqYlTEUCJLY-eeJM1911Kvaei5oySBIxdgtNo/edit?pli=1#gid=257618397"",""stock FAKTUR!B:e""),4,false)"),"HITAM")</f>
        <v>HITAM</v>
      </c>
      <c r="H46" s="53" t="str">
        <f>IFERROR(__xludf.DUMMYFUNCTION("vlookup($D46,IMPORTRANGE(""https://docs.google.com/spreadsheets/d/1swGwZOEqYlTEUCJLY-eeJM1911Kvaei5oySBIxdgtNo/edit?pli=1#gid=257618397"",""stock FAKTUR!B:F""),5,false)"),"KN")</f>
        <v>KN</v>
      </c>
      <c r="I46" s="53" t="str">
        <f>IFERROR(__xludf.DUMMYFUNCTION("vlookup($D46,IMPORTRANGE(""https://docs.google.com/spreadsheets/d/1swGwZOEqYlTEUCJLY-eeJM1911Kvaei5oySBIxdgtNo/edit?pli=1#gid=257618397"",""stock FAKTUR!B:G""),6,false)"),"GPR-003B")</f>
        <v>GPR-003B</v>
      </c>
      <c r="J46" s="43" t="str">
        <f t="shared" si="1"/>
        <v>ADA</v>
      </c>
      <c r="K46" s="146">
        <v>144.0</v>
      </c>
      <c r="L46" s="145" t="str">
        <f>IFERROR(__xludf.DUMMYFUNCTION("vlookup($D46,IMPORTRANGE(""https://docs.google.com/spreadsheets/d/1swGwZOEqYlTEUCJLY-eeJM1911Kvaei5oySBIxdgtNo/edit?pli=1#gid=257618397"",""stock FAKTUR!B:q""),16,false)"),"LSN")</f>
        <v>LSN</v>
      </c>
      <c r="M46" s="147">
        <v>39600.0</v>
      </c>
      <c r="N46" s="152">
        <v>0.13</v>
      </c>
      <c r="O46" s="147">
        <f t="shared" si="2"/>
        <v>4961088</v>
      </c>
      <c r="P46" s="147" t="str">
        <f t="shared" si="3"/>
        <v>Rp39,600-144 LSN-13.00%</v>
      </c>
      <c r="Q46" s="149">
        <v>45409.0</v>
      </c>
      <c r="R46" s="150"/>
      <c r="S46" s="149">
        <v>45414.0</v>
      </c>
      <c r="T46" s="151"/>
      <c r="U46" s="151"/>
      <c r="V46" s="151"/>
      <c r="W46" s="151"/>
    </row>
    <row r="47">
      <c r="A47" s="142">
        <v>4654.0</v>
      </c>
      <c r="B47" s="143" t="str">
        <f>IF(A47=A46,B46,"")</f>
        <v>H</v>
      </c>
      <c r="C47" s="143" t="str">
        <f>IF(A47=A46,C46,"")</f>
        <v>SISWA-KUTOARJO</v>
      </c>
      <c r="D47" s="144" t="s">
        <v>4416</v>
      </c>
      <c r="E47" s="145" t="str">
        <f>IFERROR(__xludf.DUMMYFUNCTION("vlookup(D47,IMPORTRANGE(""https://docs.google.com/spreadsheets/d/1swGwZOEqYlTEUCJLY-eeJM1911Kvaei5oySBIxdgtNo/edit?pli=1#gid=257618397"",""stock FAKTUR!B:C""),2,false)"),"BP KENKO KE-303 T-GEL HITAM")</f>
        <v>BP KENKO KE-303 T-GEL HITAM</v>
      </c>
      <c r="F47" s="53" t="str">
        <f>IFERROR(__xludf.DUMMYFUNCTION("vlookup($D47,IMPORTRANGE(""https://docs.google.com/spreadsheets/d/1swGwZOEqYlTEUCJLY-eeJM1911Kvaei5oySBIxdgtNo/edit?pli=1#gid=257618397"",""stock FAKTUR!B:d""),3,false)"),"")</f>
        <v/>
      </c>
      <c r="G47" s="53" t="str">
        <f>IFERROR(__xludf.DUMMYFUNCTION("vlookup($D47,IMPORTRANGE(""https://docs.google.com/spreadsheets/d/1swGwZOEqYlTEUCJLY-eeJM1911Kvaei5oySBIxdgtNo/edit?pli=1#gid=257618397"",""stock FAKTUR!B:e""),4,false)"),"")</f>
        <v/>
      </c>
      <c r="H47" s="53" t="str">
        <f>IFERROR(__xludf.DUMMYFUNCTION("vlookup($D47,IMPORTRANGE(""https://docs.google.com/spreadsheets/d/1swGwZOEqYlTEUCJLY-eeJM1911Kvaei5oySBIxdgtNo/edit?pli=1#gid=257618397"",""stock FAKTUR!B:F""),5,false)"),"KN")</f>
        <v>KN</v>
      </c>
      <c r="I47" s="53" t="str">
        <f>IFERROR(__xludf.DUMMYFUNCTION("vlookup($D47,IMPORTRANGE(""https://docs.google.com/spreadsheets/d/1swGwZOEqYlTEUCJLY-eeJM1911Kvaei5oySBIxdgtNo/edit?pli=1#gid=257618397"",""stock FAKTUR!B:G""),6,false)"),"KE-303")</f>
        <v>KE-303</v>
      </c>
      <c r="J47" s="43" t="str">
        <f t="shared" si="1"/>
        <v>ADA</v>
      </c>
      <c r="K47" s="146">
        <v>144.0</v>
      </c>
      <c r="L47" s="145" t="str">
        <f>IFERROR(__xludf.DUMMYFUNCTION("vlookup($D47,IMPORTRANGE(""https://docs.google.com/spreadsheets/d/1swGwZOEqYlTEUCJLY-eeJM1911Kvaei5oySBIxdgtNo/edit?pli=1#gid=257618397"",""stock FAKTUR!B:q""),16,false)"),"LSN")</f>
        <v>LSN</v>
      </c>
      <c r="M47" s="147">
        <v>21600.0</v>
      </c>
      <c r="N47" s="152">
        <v>0.13</v>
      </c>
      <c r="O47" s="147">
        <f t="shared" si="2"/>
        <v>2706048</v>
      </c>
      <c r="P47" s="147" t="str">
        <f t="shared" si="3"/>
        <v>Rp21,600-144 LSN-13.00%</v>
      </c>
      <c r="Q47" s="149">
        <v>45409.0</v>
      </c>
      <c r="R47" s="150"/>
      <c r="S47" s="149">
        <v>45414.0</v>
      </c>
      <c r="T47" s="151"/>
      <c r="U47" s="151"/>
      <c r="V47" s="151"/>
      <c r="W47" s="151"/>
    </row>
    <row r="48">
      <c r="A48" s="142">
        <v>4649.0</v>
      </c>
      <c r="B48" s="143" t="s">
        <v>33</v>
      </c>
      <c r="C48" s="143" t="s">
        <v>761</v>
      </c>
      <c r="D48" s="144" t="s">
        <v>4417</v>
      </c>
      <c r="E48" s="145" t="str">
        <f>IFERROR(__xludf.DUMMYFUNCTION("vlookup(D48,IMPORTRANGE(""https://docs.google.com/spreadsheets/d/1swGwZOEqYlTEUCJLY-eeJM1911Kvaei5oySBIxdgtNo/edit?pli=1#gid=257618397"",""stock FAKTUR!B:C""),2,false)"),"KUAS SET JK BR-8")</f>
        <v>KUAS SET JK BR-8</v>
      </c>
      <c r="F48" s="53" t="str">
        <f>IFERROR(__xludf.DUMMYFUNCTION("vlookup($D48,IMPORTRANGE(""https://docs.google.com/spreadsheets/d/1swGwZOEqYlTEUCJLY-eeJM1911Kvaei5oySBIxdgtNo/edit?pli=1#gid=257618397"",""stock FAKTUR!B:d""),3,false)"),"")</f>
        <v/>
      </c>
      <c r="G48" s="53" t="str">
        <f>IFERROR(__xludf.DUMMYFUNCTION("vlookup($D48,IMPORTRANGE(""https://docs.google.com/spreadsheets/d/1swGwZOEqYlTEUCJLY-eeJM1911Kvaei5oySBIxdgtNo/edit?pli=1#gid=257618397"",""stock FAKTUR!B:e""),4,false)"),"")</f>
        <v/>
      </c>
      <c r="H48" s="53" t="str">
        <f>IFERROR(__xludf.DUMMYFUNCTION("vlookup($D48,IMPORTRANGE(""https://docs.google.com/spreadsheets/d/1swGwZOEqYlTEUCJLY-eeJM1911Kvaei5oySBIxdgtNo/edit?pli=1#gid=257618397"",""stock FAKTUR!B:F""),5,false)"),"JK")</f>
        <v>JK</v>
      </c>
      <c r="I48" s="53" t="str">
        <f>IFERROR(__xludf.DUMMYFUNCTION("vlookup($D48,IMPORTRANGE(""https://docs.google.com/spreadsheets/d/1swGwZOEqYlTEUCJLY-eeJM1911Kvaei5oySBIxdgtNo/edit?pli=1#gid=257618397"",""stock FAKTUR!B:G""),6,false)"),"BR-8")</f>
        <v>BR-8</v>
      </c>
      <c r="J48" s="43" t="str">
        <f t="shared" si="1"/>
        <v>ADA</v>
      </c>
      <c r="K48" s="146">
        <v>24.0</v>
      </c>
      <c r="L48" s="145" t="str">
        <f>IFERROR(__xludf.DUMMYFUNCTION("vlookup($D48,IMPORTRANGE(""https://docs.google.com/spreadsheets/d/1swGwZOEqYlTEUCJLY-eeJM1911Kvaei5oySBIxdgtNo/edit?pli=1#gid=257618397"",""stock FAKTUR!B:q""),16,false)"),"SET")</f>
        <v>SET</v>
      </c>
      <c r="M48" s="147">
        <v>7800.0</v>
      </c>
      <c r="N48" s="152">
        <v>0.1</v>
      </c>
      <c r="O48" s="147">
        <f t="shared" si="2"/>
        <v>168480</v>
      </c>
      <c r="P48" s="147" t="str">
        <f t="shared" si="3"/>
        <v>Rp7,800-24 SET-10.00%</v>
      </c>
      <c r="Q48" s="149">
        <v>45409.0</v>
      </c>
      <c r="R48" s="150"/>
      <c r="S48" s="149">
        <v>45414.0</v>
      </c>
      <c r="T48" s="151"/>
      <c r="U48" s="151"/>
      <c r="V48" s="151"/>
      <c r="W48" s="151"/>
    </row>
    <row r="49">
      <c r="A49" s="142">
        <v>4649.0</v>
      </c>
      <c r="B49" s="143" t="str">
        <f t="shared" ref="B49:B60" si="16">IF(A49=A48,B48,"")</f>
        <v>H</v>
      </c>
      <c r="C49" s="143" t="str">
        <f t="shared" ref="C49:C60" si="17">IF(A49=A48,C48,"")</f>
        <v>SUMBER BUKIT-SALATIGA</v>
      </c>
      <c r="D49" s="144" t="s">
        <v>4418</v>
      </c>
      <c r="E49" s="145" t="str">
        <f>IFERROR(__xludf.DUMMYFUNCTION("vlookup(D49,IMPORTRANGE(""https://docs.google.com/spreadsheets/d/1swGwZOEqYlTEUCJLY-eeJM1911Kvaei5oySBIxdgtNo/edit?pli=1#gid=257618397"",""stock FAKTUR!B:C""),2,false)"),"BP GEL WEIYADA 681 BIRU")</f>
        <v>BP GEL WEIYADA 681 BIRU</v>
      </c>
      <c r="F49" s="53" t="str">
        <f>IFERROR(__xludf.DUMMYFUNCTION("vlookup($D49,IMPORTRANGE(""https://docs.google.com/spreadsheets/d/1swGwZOEqYlTEUCJLY-eeJM1911Kvaei5oySBIxdgtNo/edit?pli=1#gid=257618397"",""stock FAKTUR!B:d""),3,false)"),"")</f>
        <v/>
      </c>
      <c r="G49" s="53" t="str">
        <f>IFERROR(__xludf.DUMMYFUNCTION("vlookup($D49,IMPORTRANGE(""https://docs.google.com/spreadsheets/d/1swGwZOEqYlTEUCJLY-eeJM1911Kvaei5oySBIxdgtNo/edit?pli=1#gid=257618397"",""stock FAKTUR!B:e""),4,false)"),"BIRU")</f>
        <v>BIRU</v>
      </c>
      <c r="H49" s="53" t="str">
        <f>IFERROR(__xludf.DUMMYFUNCTION("vlookup($D49,IMPORTRANGE(""https://docs.google.com/spreadsheets/d/1swGwZOEqYlTEUCJLY-eeJM1911Kvaei5oySBIxdgtNo/edit?pli=1#gid=257618397"",""stock FAKTUR!B:F""),5,false)"),"WY")</f>
        <v>WY</v>
      </c>
      <c r="I49" s="53" t="str">
        <f>IFERROR(__xludf.DUMMYFUNCTION("vlookup($D49,IMPORTRANGE(""https://docs.google.com/spreadsheets/d/1swGwZOEqYlTEUCJLY-eeJM1911Kvaei5oySBIxdgtNo/edit?pli=1#gid=257618397"",""stock FAKTUR!B:G""),6,false)"),"E681B")</f>
        <v>E681B</v>
      </c>
      <c r="J49" s="43" t="str">
        <f t="shared" si="1"/>
        <v>ADA</v>
      </c>
      <c r="K49" s="146">
        <v>3.0</v>
      </c>
      <c r="L49" s="145" t="str">
        <f>IFERROR(__xludf.DUMMYFUNCTION("vlookup($D49,IMPORTRANGE(""https://docs.google.com/spreadsheets/d/1swGwZOEqYlTEUCJLY-eeJM1911Kvaei5oySBIxdgtNo/edit?pli=1#gid=257618397"",""stock FAKTUR!B:q""),16,false)"),"LSN")</f>
        <v>LSN</v>
      </c>
      <c r="M49" s="147">
        <v>42000.0</v>
      </c>
      <c r="N49" s="148"/>
      <c r="O49" s="147">
        <f t="shared" si="2"/>
        <v>126000</v>
      </c>
      <c r="P49" s="147" t="str">
        <f t="shared" si="3"/>
        <v>Rp42,000-3 LSN-0.00%</v>
      </c>
      <c r="Q49" s="149">
        <v>45409.0</v>
      </c>
      <c r="R49" s="150"/>
      <c r="S49" s="149">
        <v>45414.0</v>
      </c>
      <c r="T49" s="151"/>
      <c r="U49" s="151"/>
      <c r="V49" s="151"/>
      <c r="W49" s="151"/>
    </row>
    <row r="50">
      <c r="A50" s="142">
        <v>4649.0</v>
      </c>
      <c r="B50" s="143" t="str">
        <f t="shared" si="16"/>
        <v>H</v>
      </c>
      <c r="C50" s="143" t="str">
        <f t="shared" si="17"/>
        <v>SUMBER BUKIT-SALATIGA</v>
      </c>
      <c r="D50" s="144" t="s">
        <v>4419</v>
      </c>
      <c r="E50" s="145" t="str">
        <f>IFERROR(__xludf.DUMMYFUNCTION("vlookup(D50,IMPORTRANGE(""https://docs.google.com/spreadsheets/d/1swGwZOEqYlTEUCJLY-eeJM1911Kvaei5oySBIxdgtNo/edit?pli=1#gid=257618397"",""stock FAKTUR!B:C""),2,false)"),"STAPLER KENKO HD-10D")</f>
        <v>STAPLER KENKO HD-10D</v>
      </c>
      <c r="F50" s="53" t="str">
        <f>IFERROR(__xludf.DUMMYFUNCTION("vlookup($D50,IMPORTRANGE(""https://docs.google.com/spreadsheets/d/1swGwZOEqYlTEUCJLY-eeJM1911Kvaei5oySBIxdgtNo/edit?pli=1#gid=257618397"",""stock FAKTUR!B:d""),3,false)"),"")</f>
        <v/>
      </c>
      <c r="G50" s="53" t="str">
        <f>IFERROR(__xludf.DUMMYFUNCTION("vlookup($D50,IMPORTRANGE(""https://docs.google.com/spreadsheets/d/1swGwZOEqYlTEUCJLY-eeJM1911Kvaei5oySBIxdgtNo/edit?pli=1#gid=257618397"",""stock FAKTUR!B:e""),4,false)"),"")</f>
        <v/>
      </c>
      <c r="H50" s="53" t="str">
        <f>IFERROR(__xludf.DUMMYFUNCTION("vlookup($D50,IMPORTRANGE(""https://docs.google.com/spreadsheets/d/1swGwZOEqYlTEUCJLY-eeJM1911Kvaei5oySBIxdgtNo/edit?pli=1#gid=257618397"",""stock FAKTUR!B:F""),5,false)"),"KN")</f>
        <v>KN</v>
      </c>
      <c r="I50" s="53" t="str">
        <f>IFERROR(__xludf.DUMMYFUNCTION("vlookup($D50,IMPORTRANGE(""https://docs.google.com/spreadsheets/d/1swGwZOEqYlTEUCJLY-eeJM1911Kvaei5oySBIxdgtNo/edit?pli=1#gid=257618397"",""stock FAKTUR!B:G""),6,false)"),"STR-005")</f>
        <v>STR-005</v>
      </c>
      <c r="J50" s="43" t="str">
        <f t="shared" si="1"/>
        <v>ADA</v>
      </c>
      <c r="K50" s="146">
        <v>2.0</v>
      </c>
      <c r="L50" s="145" t="str">
        <f>IFERROR(__xludf.DUMMYFUNCTION("vlookup($D50,IMPORTRANGE(""https://docs.google.com/spreadsheets/d/1swGwZOEqYlTEUCJLY-eeJM1911Kvaei5oySBIxdgtNo/edit?pli=1#gid=257618397"",""stock FAKTUR!B:q""),16,false)"),"LSN")</f>
        <v>LSN</v>
      </c>
      <c r="M50" s="147">
        <v>117600.0</v>
      </c>
      <c r="N50" s="152">
        <v>0.1</v>
      </c>
      <c r="O50" s="147">
        <f t="shared" si="2"/>
        <v>211680</v>
      </c>
      <c r="P50" s="147" t="str">
        <f t="shared" si="3"/>
        <v>Rp117,600-2 LSN-10.00%</v>
      </c>
      <c r="Q50" s="149">
        <v>45409.0</v>
      </c>
      <c r="R50" s="150"/>
      <c r="S50" s="149">
        <v>45414.0</v>
      </c>
      <c r="T50" s="151"/>
      <c r="U50" s="151"/>
      <c r="V50" s="151"/>
      <c r="W50" s="151"/>
    </row>
    <row r="51">
      <c r="A51" s="142">
        <v>4649.0</v>
      </c>
      <c r="B51" s="143" t="str">
        <f t="shared" si="16"/>
        <v>H</v>
      </c>
      <c r="C51" s="143" t="str">
        <f t="shared" si="17"/>
        <v>SUMBER BUKIT-SALATIGA</v>
      </c>
      <c r="D51" s="144" t="s">
        <v>4420</v>
      </c>
      <c r="E51" s="145" t="str">
        <f>IFERROR(__xludf.DUMMYFUNCTION("vlookup(D51,IMPORTRANGE(""https://docs.google.com/spreadsheets/d/1swGwZOEqYlTEUCJLY-eeJM1911Kvaei5oySBIxdgtNo/edit?pli=1#gid=257618397"",""stock FAKTUR!B:C""),2,false)"),"LEM KENKO LG-50")</f>
        <v>LEM KENKO LG-50</v>
      </c>
      <c r="F51" s="53" t="str">
        <f>IFERROR(__xludf.DUMMYFUNCTION("vlookup($D51,IMPORTRANGE(""https://docs.google.com/spreadsheets/d/1swGwZOEqYlTEUCJLY-eeJM1911Kvaei5oySBIxdgtNo/edit?pli=1#gid=257618397"",""stock FAKTUR!B:d""),3,false)"),"")</f>
        <v/>
      </c>
      <c r="G51" s="53" t="str">
        <f>IFERROR(__xludf.DUMMYFUNCTION("vlookup($D51,IMPORTRANGE(""https://docs.google.com/spreadsheets/d/1swGwZOEqYlTEUCJLY-eeJM1911Kvaei5oySBIxdgtNo/edit?pli=1#gid=257618397"",""stock FAKTUR!B:e""),4,false)"),"")</f>
        <v/>
      </c>
      <c r="H51" s="53" t="str">
        <f>IFERROR(__xludf.DUMMYFUNCTION("vlookup($D51,IMPORTRANGE(""https://docs.google.com/spreadsheets/d/1swGwZOEqYlTEUCJLY-eeJM1911Kvaei5oySBIxdgtNo/edit?pli=1#gid=257618397"",""stock FAKTUR!B:F""),5,false)"),"KN")</f>
        <v>KN</v>
      </c>
      <c r="I51" s="53" t="str">
        <f>IFERROR(__xludf.DUMMYFUNCTION("vlookup($D51,IMPORTRANGE(""https://docs.google.com/spreadsheets/d/1swGwZOEqYlTEUCJLY-eeJM1911Kvaei5oySBIxdgtNo/edit?pli=1#gid=257618397"",""stock FAKTUR!B:G""),6,false)"),"LG-50")</f>
        <v>LG-50</v>
      </c>
      <c r="J51" s="43" t="str">
        <f t="shared" si="1"/>
        <v>ADA</v>
      </c>
      <c r="K51" s="146">
        <v>5.0</v>
      </c>
      <c r="L51" s="145" t="str">
        <f>IFERROR(__xludf.DUMMYFUNCTION("vlookup($D51,IMPORTRANGE(""https://docs.google.com/spreadsheets/d/1swGwZOEqYlTEUCJLY-eeJM1911Kvaei5oySBIxdgtNo/edit?pli=1#gid=257618397"",""stock FAKTUR!B:q""),16,false)"),"LSN")</f>
        <v>LSN</v>
      </c>
      <c r="M51" s="147">
        <v>25200.0</v>
      </c>
      <c r="N51" s="152">
        <v>0.1</v>
      </c>
      <c r="O51" s="147">
        <f t="shared" si="2"/>
        <v>113400</v>
      </c>
      <c r="P51" s="147" t="str">
        <f t="shared" si="3"/>
        <v>Rp25,200-5 LSN-10.00%</v>
      </c>
      <c r="Q51" s="149">
        <v>45409.0</v>
      </c>
      <c r="R51" s="150"/>
      <c r="S51" s="149">
        <v>45414.0</v>
      </c>
      <c r="T51" s="151"/>
      <c r="U51" s="151"/>
      <c r="V51" s="151"/>
      <c r="W51" s="151"/>
    </row>
    <row r="52">
      <c r="A52" s="142">
        <v>4649.0</v>
      </c>
      <c r="B52" s="143" t="str">
        <f t="shared" si="16"/>
        <v>H</v>
      </c>
      <c r="C52" s="143" t="str">
        <f t="shared" si="17"/>
        <v>SUMBER BUKIT-SALATIGA</v>
      </c>
      <c r="D52" s="143" t="s">
        <v>4421</v>
      </c>
      <c r="E52" s="145" t="str">
        <f>IFERROR(__xludf.DUMMYFUNCTION("vlookup(D52,IMPORTRANGE(""https://docs.google.com/spreadsheets/d/1swGwZOEqYlTEUCJLY-eeJM1911Kvaei5oySBIxdgtNo/edit?pli=1#gid=257618397"",""stock FAKTUR!B:C""),2,false)"),"BP KENKO K-1 ECO MERAH")</f>
        <v>BP KENKO K-1 ECO MERAH</v>
      </c>
      <c r="F52" s="53" t="str">
        <f>IFERROR(__xludf.DUMMYFUNCTION("vlookup($D52,IMPORTRANGE(""https://docs.google.com/spreadsheets/d/1swGwZOEqYlTEUCJLY-eeJM1911Kvaei5oySBIxdgtNo/edit?pli=1#gid=257618397"",""stock FAKTUR!B:d""),3,false)"),"")</f>
        <v/>
      </c>
      <c r="G52" s="53" t="str">
        <f>IFERROR(__xludf.DUMMYFUNCTION("vlookup($D52,IMPORTRANGE(""https://docs.google.com/spreadsheets/d/1swGwZOEqYlTEUCJLY-eeJM1911Kvaei5oySBIxdgtNo/edit?pli=1#gid=257618397"",""stock FAKTUR!B:e""),4,false)"),"")</f>
        <v/>
      </c>
      <c r="H52" s="53" t="str">
        <f>IFERROR(__xludf.DUMMYFUNCTION("vlookup($D52,IMPORTRANGE(""https://docs.google.com/spreadsheets/d/1swGwZOEqYlTEUCJLY-eeJM1911Kvaei5oySBIxdgtNo/edit?pli=1#gid=257618397"",""stock FAKTUR!B:F""),5,false)"),"KN")</f>
        <v>KN</v>
      </c>
      <c r="I52" s="53" t="str">
        <f>IFERROR(__xludf.DUMMYFUNCTION("vlookup($D52,IMPORTRANGE(""https://docs.google.com/spreadsheets/d/1swGwZOEqYlTEUCJLY-eeJM1911Kvaei5oySBIxdgtNo/edit?pli=1#gid=257618397"",""stock FAKTUR!B:G""),6,false)"),"")</f>
        <v/>
      </c>
      <c r="J52" s="43" t="str">
        <f t="shared" si="1"/>
        <v>ADA</v>
      </c>
      <c r="K52" s="146">
        <v>3.0</v>
      </c>
      <c r="L52" s="145" t="str">
        <f>IFERROR(__xludf.DUMMYFUNCTION("vlookup($D52,IMPORTRANGE(""https://docs.google.com/spreadsheets/d/1swGwZOEqYlTEUCJLY-eeJM1911Kvaei5oySBIxdgtNo/edit?pli=1#gid=257618397"",""stock FAKTUR!B:q""),16,false)"),"LSN")</f>
        <v>LSN</v>
      </c>
      <c r="M52" s="147">
        <v>27000.0</v>
      </c>
      <c r="N52" s="152">
        <v>0.1</v>
      </c>
      <c r="O52" s="147">
        <f t="shared" si="2"/>
        <v>72900</v>
      </c>
      <c r="P52" s="147" t="str">
        <f t="shared" si="3"/>
        <v>Rp27,000-3 LSN-10.00%</v>
      </c>
      <c r="Q52" s="149">
        <v>45409.0</v>
      </c>
      <c r="R52" s="150"/>
      <c r="S52" s="149">
        <v>45414.0</v>
      </c>
      <c r="T52" s="151"/>
      <c r="U52" s="151"/>
      <c r="V52" s="151"/>
      <c r="W52" s="151"/>
    </row>
    <row r="53">
      <c r="A53" s="142">
        <v>4649.0</v>
      </c>
      <c r="B53" s="143" t="str">
        <f t="shared" si="16"/>
        <v>H</v>
      </c>
      <c r="C53" s="143" t="str">
        <f t="shared" si="17"/>
        <v>SUMBER BUKIT-SALATIGA</v>
      </c>
      <c r="D53" s="143" t="s">
        <v>4422</v>
      </c>
      <c r="E53" s="145" t="str">
        <f>IFERROR(__xludf.DUMMYFUNCTION("vlookup(D53,IMPORTRANGE(""https://docs.google.com/spreadsheets/d/1swGwZOEqYlTEUCJLY-eeJM1911Kvaei5oySBIxdgtNo/edit?pli=1#gid=257618397"",""stock FAKTUR!B:C""),2,false)"),"BP KENKO K-1 ECO BIRU")</f>
        <v>BP KENKO K-1 ECO BIRU</v>
      </c>
      <c r="F53" s="53" t="str">
        <f>IFERROR(__xludf.DUMMYFUNCTION("vlookup($D53,IMPORTRANGE(""https://docs.google.com/spreadsheets/d/1swGwZOEqYlTEUCJLY-eeJM1911Kvaei5oySBIxdgtNo/edit?pli=1#gid=257618397"",""stock FAKTUR!B:d""),3,false)"),"")</f>
        <v/>
      </c>
      <c r="G53" s="53" t="str">
        <f>IFERROR(__xludf.DUMMYFUNCTION("vlookup($D53,IMPORTRANGE(""https://docs.google.com/spreadsheets/d/1swGwZOEqYlTEUCJLY-eeJM1911Kvaei5oySBIxdgtNo/edit?pli=1#gid=257618397"",""stock FAKTUR!B:e""),4,false)"),"")</f>
        <v/>
      </c>
      <c r="H53" s="53" t="str">
        <f>IFERROR(__xludf.DUMMYFUNCTION("vlookup($D53,IMPORTRANGE(""https://docs.google.com/spreadsheets/d/1swGwZOEqYlTEUCJLY-eeJM1911Kvaei5oySBIxdgtNo/edit?pli=1#gid=257618397"",""stock FAKTUR!B:F""),5,false)"),"KN")</f>
        <v>KN</v>
      </c>
      <c r="I53" s="53" t="str">
        <f>IFERROR(__xludf.DUMMYFUNCTION("vlookup($D53,IMPORTRANGE(""https://docs.google.com/spreadsheets/d/1swGwZOEqYlTEUCJLY-eeJM1911Kvaei5oySBIxdgtNo/edit?pli=1#gid=257618397"",""stock FAKTUR!B:G""),6,false)"),"")</f>
        <v/>
      </c>
      <c r="J53" s="43" t="str">
        <f t="shared" si="1"/>
        <v>ADA</v>
      </c>
      <c r="K53" s="146">
        <v>3.0</v>
      </c>
      <c r="L53" s="145" t="str">
        <f>IFERROR(__xludf.DUMMYFUNCTION("vlookup($D53,IMPORTRANGE(""https://docs.google.com/spreadsheets/d/1swGwZOEqYlTEUCJLY-eeJM1911Kvaei5oySBIxdgtNo/edit?pli=1#gid=257618397"",""stock FAKTUR!B:q""),16,false)"),"LSN")</f>
        <v>LSN</v>
      </c>
      <c r="M53" s="147">
        <v>27000.0</v>
      </c>
      <c r="N53" s="152">
        <v>0.1</v>
      </c>
      <c r="O53" s="147">
        <f t="shared" si="2"/>
        <v>72900</v>
      </c>
      <c r="P53" s="147" t="str">
        <f t="shared" si="3"/>
        <v>Rp27,000-3 LSN-10.00%</v>
      </c>
      <c r="Q53" s="149">
        <v>45409.0</v>
      </c>
      <c r="R53" s="150"/>
      <c r="S53" s="149">
        <v>45414.0</v>
      </c>
      <c r="T53" s="151"/>
      <c r="U53" s="151"/>
      <c r="V53" s="151"/>
      <c r="W53" s="151"/>
    </row>
    <row r="54">
      <c r="A54" s="142">
        <v>4649.0</v>
      </c>
      <c r="B54" s="143" t="str">
        <f t="shared" si="16"/>
        <v>H</v>
      </c>
      <c r="C54" s="143" t="str">
        <f t="shared" si="17"/>
        <v>SUMBER BUKIT-SALATIGA</v>
      </c>
      <c r="D54" s="144" t="s">
        <v>4423</v>
      </c>
      <c r="E54" s="145" t="str">
        <f>IFERROR(__xludf.DUMMYFUNCTION("vlookup(D54,IMPORTRANGE(""https://docs.google.com/spreadsheets/d/1swGwZOEqYlTEUCJLY-eeJM1911Kvaei5oySBIxdgtNo/edit?pli=1#gid=257618397"",""stock FAKTUR!B:C""),2,false)"),"BP KENKO K-1 MINI HITAM")</f>
        <v>BP KENKO K-1 MINI HITAM</v>
      </c>
      <c r="F54" s="53" t="str">
        <f>IFERROR(__xludf.DUMMYFUNCTION("vlookup($D54,IMPORTRANGE(""https://docs.google.com/spreadsheets/d/1swGwZOEqYlTEUCJLY-eeJM1911Kvaei5oySBIxdgtNo/edit?pli=1#gid=257618397"",""stock FAKTUR!B:d""),3,false)"),"")</f>
        <v/>
      </c>
      <c r="G54" s="53" t="str">
        <f>IFERROR(__xludf.DUMMYFUNCTION("vlookup($D54,IMPORTRANGE(""https://docs.google.com/spreadsheets/d/1swGwZOEqYlTEUCJLY-eeJM1911Kvaei5oySBIxdgtNo/edit?pli=1#gid=257618397"",""stock FAKTUR!B:e""),4,false)"),"")</f>
        <v/>
      </c>
      <c r="H54" s="53" t="str">
        <f>IFERROR(__xludf.DUMMYFUNCTION("vlookup($D54,IMPORTRANGE(""https://docs.google.com/spreadsheets/d/1swGwZOEqYlTEUCJLY-eeJM1911Kvaei5oySBIxdgtNo/edit?pli=1#gid=257618397"",""stock FAKTUR!B:F""),5,false)"),"KN")</f>
        <v>KN</v>
      </c>
      <c r="I54" s="53" t="str">
        <f>IFERROR(__xludf.DUMMYFUNCTION("vlookup($D54,IMPORTRANGE(""https://docs.google.com/spreadsheets/d/1swGwZOEqYlTEUCJLY-eeJM1911Kvaei5oySBIxdgtNo/edit?pli=1#gid=257618397"",""stock FAKTUR!B:G""),6,false)"),"")</f>
        <v/>
      </c>
      <c r="J54" s="43" t="str">
        <f t="shared" si="1"/>
        <v>ADA</v>
      </c>
      <c r="K54" s="146">
        <v>1.0</v>
      </c>
      <c r="L54" s="145" t="str">
        <f>IFERROR(__xludf.DUMMYFUNCTION("vlookup($D54,IMPORTRANGE(""https://docs.google.com/spreadsheets/d/1swGwZOEqYlTEUCJLY-eeJM1911Kvaei5oySBIxdgtNo/edit?pli=1#gid=257618397"",""stock FAKTUR!B:q""),16,false)"),"LSN")</f>
        <v>LSN</v>
      </c>
      <c r="M54" s="147">
        <v>33000.0</v>
      </c>
      <c r="N54" s="152">
        <v>0.1</v>
      </c>
      <c r="O54" s="147">
        <f t="shared" si="2"/>
        <v>29700</v>
      </c>
      <c r="P54" s="147" t="str">
        <f t="shared" si="3"/>
        <v>Rp33,000-1 LSN-10.00%</v>
      </c>
      <c r="Q54" s="149">
        <v>45409.0</v>
      </c>
      <c r="R54" s="150"/>
      <c r="S54" s="149">
        <v>45414.0</v>
      </c>
      <c r="T54" s="151"/>
      <c r="U54" s="151"/>
      <c r="V54" s="151"/>
      <c r="W54" s="151"/>
    </row>
    <row r="55">
      <c r="A55" s="142">
        <v>4649.0</v>
      </c>
      <c r="B55" s="143" t="str">
        <f t="shared" si="16"/>
        <v>H</v>
      </c>
      <c r="C55" s="143" t="str">
        <f t="shared" si="17"/>
        <v>SUMBER BUKIT-SALATIGA</v>
      </c>
      <c r="D55" s="144" t="s">
        <v>4386</v>
      </c>
      <c r="E55" s="145" t="str">
        <f>IFERROR(__xludf.DUMMYFUNCTION("vlookup(D55,IMPORTRANGE(""https://docs.google.com/spreadsheets/d/1swGwZOEqYlTEUCJLY-eeJM1911Kvaei5oySBIxdgtNo/edit?pli=1#gid=257618397"",""stock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55" s="53" t="str">
        <f>IFERROR(__xludf.DUMMYFUNCTION("vlookup($D55,IMPORTRANGE(""https://docs.google.com/spreadsheets/d/1swGwZOEqYlTEUCJLY-eeJM1911Kvaei5oySBIxdgtNo/edit?pli=1#gid=257618397"",""stock FAKTUR!B:d""),3,false)"),"")</f>
        <v/>
      </c>
      <c r="G55" s="53" t="str">
        <f>IFERROR(__xludf.DUMMYFUNCTION("vlookup($D55,IMPORTRANGE(""https://docs.google.com/spreadsheets/d/1swGwZOEqYlTEUCJLY-eeJM1911Kvaei5oySBIxdgtNo/edit?pli=1#gid=257618397"",""stock FAKTUR!B:e""),4,false)"),"12W")</f>
        <v>12W</v>
      </c>
      <c r="H55" s="53" t="str">
        <f>IFERROR(__xludf.DUMMYFUNCTION("vlookup($D55,IMPORTRANGE(""https://docs.google.com/spreadsheets/d/1swGwZOEqYlTEUCJLY-eeJM1911Kvaei5oySBIxdgtNo/edit?pli=1#gid=257618397"",""stock FAKTUR!B:F""),5,false)"),"JK")</f>
        <v>JK</v>
      </c>
      <c r="I55" s="53" t="str">
        <f>IFERROR(__xludf.DUMMYFUNCTION("vlookup($D55,IMPORTRANGE(""https://docs.google.com/spreadsheets/d/1swGwZOEqYlTEUCJLY-eeJM1911Kvaei5oySBIxdgtNo/edit?pli=1#gid=257618397"",""stock FAKTUR!B:G""),6,false)"),"OP-12S")</f>
        <v>OP-12S</v>
      </c>
      <c r="J55" s="43" t="str">
        <f t="shared" si="1"/>
        <v>ADA</v>
      </c>
      <c r="K55" s="146">
        <v>36.0</v>
      </c>
      <c r="L55" s="145" t="str">
        <f>IFERROR(__xludf.DUMMYFUNCTION("vlookup($D55,IMPORTRANGE(""https://docs.google.com/spreadsheets/d/1swGwZOEqYlTEUCJLY-eeJM1911Kvaei5oySBIxdgtNo/edit?pli=1#gid=257618397"",""stock FAKTUR!B:q""),16,false)"),"PCS")</f>
        <v>PCS</v>
      </c>
      <c r="M55" s="147">
        <f>142800/12</f>
        <v>11900</v>
      </c>
      <c r="N55" s="152">
        <v>0.1</v>
      </c>
      <c r="O55" s="147">
        <f t="shared" si="2"/>
        <v>385560</v>
      </c>
      <c r="P55" s="147" t="str">
        <f t="shared" si="3"/>
        <v>Rp11,900-36 PCS-10.00%</v>
      </c>
      <c r="Q55" s="149">
        <v>45409.0</v>
      </c>
      <c r="R55" s="150"/>
      <c r="S55" s="149">
        <v>45414.0</v>
      </c>
      <c r="T55" s="151"/>
      <c r="U55" s="151"/>
      <c r="V55" s="151"/>
      <c r="W55" s="151"/>
    </row>
    <row r="56">
      <c r="A56" s="142">
        <v>4649.0</v>
      </c>
      <c r="B56" s="143" t="str">
        <f t="shared" si="16"/>
        <v>H</v>
      </c>
      <c r="C56" s="143" t="str">
        <f t="shared" si="17"/>
        <v>SUMBER BUKIT-SALATIGA</v>
      </c>
      <c r="D56" s="144" t="s">
        <v>4400</v>
      </c>
      <c r="E56" s="145" t="str">
        <f>IFERROR(__xludf.DUMMYFUNCTION("vlookup(D56,IMPORTRANGE(""https://docs.google.com/spreadsheets/d/1swGwZOEqYlTEUCJLY-eeJM1911Kvaei5oySBIxdgtNo/edit?pli=1#gid=257618397"",""stock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56" s="53" t="str">
        <f>IFERROR(__xludf.DUMMYFUNCTION("vlookup($D56,IMPORTRANGE(""https://docs.google.com/spreadsheets/d/1swGwZOEqYlTEUCJLY-eeJM1911Kvaei5oySBIxdgtNo/edit?pli=1#gid=257618397"",""stock FAKTUR!B:d""),3,false)"),"")</f>
        <v/>
      </c>
      <c r="G56" s="53" t="str">
        <f>IFERROR(__xludf.DUMMYFUNCTION("vlookup($D56,IMPORTRANGE(""https://docs.google.com/spreadsheets/d/1swGwZOEqYlTEUCJLY-eeJM1911Kvaei5oySBIxdgtNo/edit?pli=1#gid=257618397"",""stock FAKTUR!B:e""),4,false)"),"12W")</f>
        <v>12W</v>
      </c>
      <c r="H56" s="53" t="str">
        <f>IFERROR(__xludf.DUMMYFUNCTION("vlookup($D56,IMPORTRANGE(""https://docs.google.com/spreadsheets/d/1swGwZOEqYlTEUCJLY-eeJM1911Kvaei5oySBIxdgtNo/edit?pli=1#gid=257618397"",""stock FAKTUR!B:F""),5,false)"),"KN")</f>
        <v>KN</v>
      </c>
      <c r="I56" s="53" t="str">
        <f>IFERROR(__xludf.DUMMYFUNCTION("vlookup($D56,IMPORTRANGE(""https://docs.google.com/spreadsheets/d/1swGwZOEqYlTEUCJLY-eeJM1911Kvaei5oySBIxdgtNo/edit?pli=1#gid=257618397"",""stock FAKTUR!B:G""),6,false)"),"CP-12")</f>
        <v>CP-12</v>
      </c>
      <c r="J56" s="43" t="str">
        <f t="shared" si="1"/>
        <v>ADA</v>
      </c>
      <c r="K56" s="146">
        <v>6.0</v>
      </c>
      <c r="L56" s="145" t="str">
        <f>IFERROR(__xludf.DUMMYFUNCTION("vlookup($D56,IMPORTRANGE(""https://docs.google.com/spreadsheets/d/1swGwZOEqYlTEUCJLY-eeJM1911Kvaei5oySBIxdgtNo/edit?pli=1#gid=257618397"",""stock FAKTUR!B:q""),16,false)"),"LSN")</f>
        <v>LSN</v>
      </c>
      <c r="M56" s="147">
        <v>79200.0</v>
      </c>
      <c r="N56" s="152">
        <v>0.1</v>
      </c>
      <c r="O56" s="147">
        <f t="shared" si="2"/>
        <v>427680</v>
      </c>
      <c r="P56" s="147" t="str">
        <f t="shared" si="3"/>
        <v>Rp79,200-6 LSN-10.00%</v>
      </c>
      <c r="Q56" s="149">
        <v>45409.0</v>
      </c>
      <c r="R56" s="150"/>
      <c r="S56" s="149">
        <v>45414.0</v>
      </c>
      <c r="T56" s="151"/>
      <c r="U56" s="151"/>
      <c r="V56" s="151"/>
      <c r="W56" s="151"/>
    </row>
    <row r="57">
      <c r="A57" s="142">
        <v>4649.0</v>
      </c>
      <c r="B57" s="143" t="str">
        <f t="shared" si="16"/>
        <v>H</v>
      </c>
      <c r="C57" s="143" t="str">
        <f t="shared" si="17"/>
        <v>SUMBER BUKIT-SALATIGA</v>
      </c>
      <c r="D57" s="144" t="s">
        <v>4399</v>
      </c>
      <c r="E57" s="145" t="str">
        <f>IFERROR(__xludf.DUMMYFUNCTION("vlookup(D57,IMPORTRANGE(""https://docs.google.com/spreadsheets/d/1swGwZOEqYlTEUCJLY-eeJM1911Kvaei5oySBIxdgtNo/edit?pli=1#gid=257618397"",""stock FAKTUR!B:C""),2,false)"),"PW KENKO 12W CP-12F CLASSIC PANJANG")</f>
        <v>PW KENKO 12W CP-12F CLASSIC PANJANG</v>
      </c>
      <c r="F57" s="53" t="str">
        <f>IFERROR(__xludf.DUMMYFUNCTION("vlookup($D57,IMPORTRANGE(""https://docs.google.com/spreadsheets/d/1swGwZOEqYlTEUCJLY-eeJM1911Kvaei5oySBIxdgtNo/edit?pli=1#gid=257618397"",""stock FAKTUR!B:d""),3,false)"),"")</f>
        <v/>
      </c>
      <c r="G57" s="53" t="str">
        <f>IFERROR(__xludf.DUMMYFUNCTION("vlookup($D57,IMPORTRANGE(""https://docs.google.com/spreadsheets/d/1swGwZOEqYlTEUCJLY-eeJM1911Kvaei5oySBIxdgtNo/edit?pli=1#gid=257618397"",""stock FAKTUR!B:e""),4,false)"),"12W")</f>
        <v>12W</v>
      </c>
      <c r="H57" s="53" t="str">
        <f>IFERROR(__xludf.DUMMYFUNCTION("vlookup($D57,IMPORTRANGE(""https://docs.google.com/spreadsheets/d/1swGwZOEqYlTEUCJLY-eeJM1911Kvaei5oySBIxdgtNo/edit?pli=1#gid=257618397"",""stock FAKTUR!B:F""),5,false)"),"KN")</f>
        <v>KN</v>
      </c>
      <c r="I57" s="53" t="str">
        <f>IFERROR(__xludf.DUMMYFUNCTION("vlookup($D57,IMPORTRANGE(""https://docs.google.com/spreadsheets/d/1swGwZOEqYlTEUCJLY-eeJM1911Kvaei5oySBIxdgtNo/edit?pli=1#gid=257618397"",""stock FAKTUR!B:G""),6,false)"),"CP-12F")</f>
        <v>CP-12F</v>
      </c>
      <c r="J57" s="43" t="str">
        <f t="shared" si="1"/>
        <v>ADA</v>
      </c>
      <c r="K57" s="146">
        <v>5.0</v>
      </c>
      <c r="L57" s="145" t="str">
        <f>IFERROR(__xludf.DUMMYFUNCTION("vlookup($D57,IMPORTRANGE(""https://docs.google.com/spreadsheets/d/1swGwZOEqYlTEUCJLY-eeJM1911Kvaei5oySBIxdgtNo/edit?pli=1#gid=257618397"",""stock FAKTUR!B:q""),16,false)"),"LSN")</f>
        <v>LSN</v>
      </c>
      <c r="M57" s="147">
        <v>124200.0</v>
      </c>
      <c r="N57" s="152">
        <v>0.1</v>
      </c>
      <c r="O57" s="147">
        <f t="shared" si="2"/>
        <v>558900</v>
      </c>
      <c r="P57" s="147" t="str">
        <f t="shared" si="3"/>
        <v>Rp124,200-5 LSN-10.00%</v>
      </c>
      <c r="Q57" s="149">
        <v>45409.0</v>
      </c>
      <c r="R57" s="150"/>
      <c r="S57" s="149">
        <v>45414.0</v>
      </c>
      <c r="T57" s="151"/>
      <c r="U57" s="151"/>
      <c r="V57" s="151"/>
      <c r="W57" s="151"/>
    </row>
    <row r="58">
      <c r="A58" s="153">
        <v>4649.0</v>
      </c>
      <c r="B58" s="144" t="str">
        <f t="shared" si="16"/>
        <v>H</v>
      </c>
      <c r="C58" s="144" t="str">
        <f t="shared" si="17"/>
        <v>SUMBER BUKIT-SALATIGA</v>
      </c>
      <c r="D58" s="144" t="s">
        <v>4424</v>
      </c>
      <c r="E58" s="145" t="str">
        <f>IFERROR(__xludf.DUMMYFUNCTION("vlookup(D58,IMPORTRANGE(""https://docs.google.com/spreadsheets/d/1swGwZOEqYlTEUCJLY-eeJM1911Kvaei5oySBIxdgtNo/edit?pli=1#gid=257618397"",""stock FAKTUR!B:C""),2,false)"),"BP GEL KENKO KS-97 BIRU")</f>
        <v>BP GEL KENKO KS-97 BIRU</v>
      </c>
      <c r="F58" s="53" t="str">
        <f>IFERROR(__xludf.DUMMYFUNCTION("vlookup($D58,IMPORTRANGE(""https://docs.google.com/spreadsheets/d/1swGwZOEqYlTEUCJLY-eeJM1911Kvaei5oySBIxdgtNo/edit?pli=1#gid=257618397"",""stock FAKTUR!B:d""),3,false)"),"")</f>
        <v/>
      </c>
      <c r="G58" s="53" t="str">
        <f>IFERROR(__xludf.DUMMYFUNCTION("vlookup($D58,IMPORTRANGE(""https://docs.google.com/spreadsheets/d/1swGwZOEqYlTEUCJLY-eeJM1911Kvaei5oySBIxdgtNo/edit?pli=1#gid=257618397"",""stock FAKTUR!B:e""),4,false)"),"BIRU")</f>
        <v>BIRU</v>
      </c>
      <c r="H58" s="53" t="str">
        <f>IFERROR(__xludf.DUMMYFUNCTION("vlookup($D58,IMPORTRANGE(""https://docs.google.com/spreadsheets/d/1swGwZOEqYlTEUCJLY-eeJM1911Kvaei5oySBIxdgtNo/edit?pli=1#gid=257618397"",""stock FAKTUR!B:F""),5,false)"),"KN")</f>
        <v>KN</v>
      </c>
      <c r="I58" s="53" t="str">
        <f>IFERROR(__xludf.DUMMYFUNCTION("vlookup($D58,IMPORTRANGE(""https://docs.google.com/spreadsheets/d/1swGwZOEqYlTEUCJLY-eeJM1911Kvaei5oySBIxdgtNo/edit?pli=1#gid=257618397"",""stock FAKTUR!B:G""),6,false)"),"KS-97")</f>
        <v>KS-97</v>
      </c>
      <c r="J58" s="43" t="str">
        <f t="shared" si="1"/>
        <v>ADA</v>
      </c>
      <c r="K58" s="154">
        <v>3.0</v>
      </c>
      <c r="L58" s="145" t="str">
        <f>IFERROR(__xludf.DUMMYFUNCTION("vlookup($D58,IMPORTRANGE(""https://docs.google.com/spreadsheets/d/1swGwZOEqYlTEUCJLY-eeJM1911Kvaei5oySBIxdgtNo/edit?pli=1#gid=257618397"",""stock FAKTUR!B:q""),16,false)"),"LSN")</f>
        <v>LSN</v>
      </c>
      <c r="M58" s="155">
        <v>39000.0</v>
      </c>
      <c r="N58" s="156">
        <v>0.1</v>
      </c>
      <c r="O58" s="155">
        <f t="shared" si="2"/>
        <v>105300</v>
      </c>
      <c r="P58" s="155" t="str">
        <f t="shared" si="3"/>
        <v>Rp39,000-3 LSN-10.00%</v>
      </c>
      <c r="Q58" s="157">
        <v>45409.0</v>
      </c>
      <c r="R58" s="158"/>
      <c r="S58" s="157">
        <v>45414.0</v>
      </c>
      <c r="T58" s="145" t="s">
        <v>4425</v>
      </c>
      <c r="U58" s="145" t="s">
        <v>4390</v>
      </c>
      <c r="V58" s="145"/>
      <c r="W58" s="159"/>
    </row>
    <row r="59">
      <c r="A59" s="142">
        <v>4649.0</v>
      </c>
      <c r="B59" s="143" t="str">
        <f t="shared" si="16"/>
        <v>H</v>
      </c>
      <c r="C59" s="143" t="str">
        <f t="shared" si="17"/>
        <v>SUMBER BUKIT-SALATIGA</v>
      </c>
      <c r="D59" s="144" t="s">
        <v>4426</v>
      </c>
      <c r="E59" s="145" t="str">
        <f>IFERROR(__xludf.DUMMYFUNCTION("vlookup(D59,IMPORTRANGE(""https://docs.google.com/spreadsheets/d/1swGwZOEqYlTEUCJLY-eeJM1911Kvaei5oySBIxdgtNo/edit?pli=1#gid=257618397"",""stock FAKTUR!B:C""),2,false)"),"STABILLO HIGHLIGHTER ERASABLE + STIP 935-6")</f>
        <v>STABILLO HIGHLIGHTER ERASABLE + STIP 935-6</v>
      </c>
      <c r="F59" s="53" t="str">
        <f>IFERROR(__xludf.DUMMYFUNCTION("vlookup($D59,IMPORTRANGE(""https://docs.google.com/spreadsheets/d/1swGwZOEqYlTEUCJLY-eeJM1911Kvaei5oySBIxdgtNo/edit?pli=1#gid=257618397"",""stock FAKTUR!B:d""),3,false)"),"")</f>
        <v/>
      </c>
      <c r="G59" s="53" t="str">
        <f>IFERROR(__xludf.DUMMYFUNCTION("vlookup($D59,IMPORTRANGE(""https://docs.google.com/spreadsheets/d/1swGwZOEqYlTEUCJLY-eeJM1911Kvaei5oySBIxdgtNo/edit?pli=1#gid=257618397"",""stock FAKTUR!B:e""),4,false)"),"")</f>
        <v/>
      </c>
      <c r="H59" s="53" t="str">
        <f>IFERROR(__xludf.DUMMYFUNCTION("vlookup($D59,IMPORTRANGE(""https://docs.google.com/spreadsheets/d/1swGwZOEqYlTEUCJLY-eeJM1911Kvaei5oySBIxdgtNo/edit?pli=1#gid=257618397"",""stock FAKTUR!B:F""),5,false)"),"NB")</f>
        <v>NB</v>
      </c>
      <c r="I59" s="53" t="str">
        <f>IFERROR(__xludf.DUMMYFUNCTION("vlookup($D59,IMPORTRANGE(""https://docs.google.com/spreadsheets/d/1swGwZOEqYlTEUCJLY-eeJM1911Kvaei5oySBIxdgtNo/edit?pli=1#gid=257618397"",""stock FAKTUR!B:G""),6,false)"),"935-6")</f>
        <v>935-6</v>
      </c>
      <c r="J59" s="43" t="str">
        <f t="shared" si="1"/>
        <v>ADA</v>
      </c>
      <c r="K59" s="146">
        <v>3.0</v>
      </c>
      <c r="L59" s="145" t="str">
        <f>IFERROR(__xludf.DUMMYFUNCTION("vlookup($D59,IMPORTRANGE(""https://docs.google.com/spreadsheets/d/1swGwZOEqYlTEUCJLY-eeJM1911Kvaei5oySBIxdgtNo/edit?pli=1#gid=257618397"",""stock FAKTUR!B:q""),16,false)"),"SET")</f>
        <v>SET</v>
      </c>
      <c r="M59" s="147">
        <v>17500.0</v>
      </c>
      <c r="N59" s="148"/>
      <c r="O59" s="147">
        <f t="shared" si="2"/>
        <v>52500</v>
      </c>
      <c r="P59" s="147" t="str">
        <f t="shared" si="3"/>
        <v>Rp17,500-3 SET-0.00%</v>
      </c>
      <c r="Q59" s="149">
        <v>45409.0</v>
      </c>
      <c r="R59" s="150"/>
      <c r="S59" s="149">
        <v>45414.0</v>
      </c>
      <c r="T59" s="151"/>
      <c r="U59" s="151"/>
      <c r="V59" s="151"/>
      <c r="W59" s="151"/>
    </row>
    <row r="60">
      <c r="A60" s="142">
        <v>4649.0</v>
      </c>
      <c r="B60" s="143" t="str">
        <f t="shared" si="16"/>
        <v>H</v>
      </c>
      <c r="C60" s="143" t="str">
        <f t="shared" si="17"/>
        <v>SUMBER BUKIT-SALATIGA</v>
      </c>
      <c r="D60" s="143" t="s">
        <v>4427</v>
      </c>
      <c r="E60" s="145" t="str">
        <f>IFERROR(__xludf.DUMMYFUNCTION("vlookup(D60,IMPORTRANGE(""https://docs.google.com/spreadsheets/d/1swGwZOEqYlTEUCJLY-eeJM1911Kvaei5oySBIxdgtNo/edit?pli=1#gid=257618397"",""stock FAKTUR!B:C""),2,false)"),"PENSIL KENKO 2B-6388 ZOO N ZOO")</f>
        <v>PENSIL KENKO 2B-6388 ZOO N ZOO</v>
      </c>
      <c r="F60" s="53" t="str">
        <f>IFERROR(__xludf.DUMMYFUNCTION("vlookup($D60,IMPORTRANGE(""https://docs.google.com/spreadsheets/d/1swGwZOEqYlTEUCJLY-eeJM1911Kvaei5oySBIxdgtNo/edit?pli=1#gid=257618397"",""stock FAKTUR!B:d""),3,false)"),"")</f>
        <v/>
      </c>
      <c r="G60" s="53" t="str">
        <f>IFERROR(__xludf.DUMMYFUNCTION("vlookup($D60,IMPORTRANGE(""https://docs.google.com/spreadsheets/d/1swGwZOEqYlTEUCJLY-eeJM1911Kvaei5oySBIxdgtNo/edit?pli=1#gid=257618397"",""stock FAKTUR!B:e""),4,false)"),"")</f>
        <v/>
      </c>
      <c r="H60" s="53" t="str">
        <f>IFERROR(__xludf.DUMMYFUNCTION("vlookup($D60,IMPORTRANGE(""https://docs.google.com/spreadsheets/d/1swGwZOEqYlTEUCJLY-eeJM1911Kvaei5oySBIxdgtNo/edit?pli=1#gid=257618397"",""stock FAKTUR!B:F""),5,false)"),"KN")</f>
        <v>KN</v>
      </c>
      <c r="I60" s="53" t="str">
        <f>IFERROR(__xludf.DUMMYFUNCTION("vlookup($D60,IMPORTRANGE(""https://docs.google.com/spreadsheets/d/1swGwZOEqYlTEUCJLY-eeJM1911Kvaei5oySBIxdgtNo/edit?pli=1#gid=257618397"",""stock FAKTUR!B:G""),6,false)"),"6388")</f>
        <v>6388</v>
      </c>
      <c r="J60" s="43" t="str">
        <f t="shared" si="1"/>
        <v>ADA</v>
      </c>
      <c r="K60" s="146">
        <v>1.0</v>
      </c>
      <c r="L60" s="145" t="str">
        <f>IFERROR(__xludf.DUMMYFUNCTION("vlookup($D60,IMPORTRANGE(""https://docs.google.com/spreadsheets/d/1swGwZOEqYlTEUCJLY-eeJM1911Kvaei5oySBIxdgtNo/edit?pli=1#gid=257618397"",""stock FAKTUR!B:q""),16,false)"),"GRS")</f>
        <v>GRS</v>
      </c>
      <c r="M60" s="147">
        <v>112800.0</v>
      </c>
      <c r="N60" s="152">
        <v>0.1</v>
      </c>
      <c r="O60" s="147">
        <f t="shared" si="2"/>
        <v>101520</v>
      </c>
      <c r="P60" s="147" t="str">
        <f t="shared" si="3"/>
        <v>Rp112,800-1 GRS-10.00%</v>
      </c>
      <c r="Q60" s="149">
        <v>45409.0</v>
      </c>
      <c r="R60" s="150"/>
      <c r="S60" s="149">
        <v>45414.0</v>
      </c>
      <c r="T60" s="151"/>
      <c r="U60" s="151"/>
      <c r="V60" s="151"/>
      <c r="W60" s="151"/>
    </row>
    <row r="61">
      <c r="A61" s="142">
        <v>4648.0</v>
      </c>
      <c r="B61" s="143" t="s">
        <v>65</v>
      </c>
      <c r="C61" s="143" t="s">
        <v>92</v>
      </c>
      <c r="D61" s="144" t="s">
        <v>4428</v>
      </c>
      <c r="E61" s="145" t="str">
        <f>IFERROR(__xludf.DUMMYFUNCTION("vlookup(D61,IMPORTRANGE(""https://docs.google.com/spreadsheets/d/1swGwZOEqYlTEUCJLY-eeJM1911Kvaei5oySBIxdgtNo/edit?pli=1#gid=257618397"",""stock FAKTUR!B:C""),2,false)"),"ISI STAPLER GW NO. 10")</f>
        <v>ISI STAPLER GW NO. 10</v>
      </c>
      <c r="F61" s="53" t="str">
        <f>IFERROR(__xludf.DUMMYFUNCTION("vlookup($D61,IMPORTRANGE(""https://docs.google.com/spreadsheets/d/1swGwZOEqYlTEUCJLY-eeJM1911Kvaei5oySBIxdgtNo/edit?pli=1#gid=257618397"",""stock FAKTUR!B:d""),3,false)"),"")</f>
        <v/>
      </c>
      <c r="G61" s="53" t="str">
        <f>IFERROR(__xludf.DUMMYFUNCTION("vlookup($D61,IMPORTRANGE(""https://docs.google.com/spreadsheets/d/1swGwZOEqYlTEUCJLY-eeJM1911Kvaei5oySBIxdgtNo/edit?pli=1#gid=257618397"",""stock FAKTUR!B:e""),4,false)"),"")</f>
        <v/>
      </c>
      <c r="H61" s="53" t="str">
        <f>IFERROR(__xludf.DUMMYFUNCTION("vlookup($D61,IMPORTRANGE(""https://docs.google.com/spreadsheets/d/1swGwZOEqYlTEUCJLY-eeJM1911Kvaei5oySBIxdgtNo/edit?pli=1#gid=257618397"",""stock FAKTUR!B:F""),5,false)"),"GW")</f>
        <v>GW</v>
      </c>
      <c r="I61" s="53" t="str">
        <f>IFERROR(__xludf.DUMMYFUNCTION("vlookup($D61,IMPORTRANGE(""https://docs.google.com/spreadsheets/d/1swGwZOEqYlTEUCJLY-eeJM1911Kvaei5oySBIxdgtNo/edit?pli=1#gid=257618397"",""stock FAKTUR!B:G""),6,false)"),"10")</f>
        <v>10</v>
      </c>
      <c r="J61" s="43" t="str">
        <f t="shared" si="1"/>
        <v>ADA</v>
      </c>
      <c r="K61" s="146">
        <v>500.0</v>
      </c>
      <c r="L61" s="145" t="str">
        <f>IFERROR(__xludf.DUMMYFUNCTION("vlookup($D61,IMPORTRANGE(""https://docs.google.com/spreadsheets/d/1swGwZOEqYlTEUCJLY-eeJM1911Kvaei5oySBIxdgtNo/edit?pli=1#gid=257618397"",""stock FAKTUR!B:q""),16,false)"),"PAK")</f>
        <v>PAK</v>
      </c>
      <c r="M61" s="147">
        <v>13250.0</v>
      </c>
      <c r="N61" s="148"/>
      <c r="O61" s="147">
        <f t="shared" si="2"/>
        <v>6625000</v>
      </c>
      <c r="P61" s="147" t="str">
        <f t="shared" si="3"/>
        <v>Rp13,250-500 PAK-0.00%</v>
      </c>
      <c r="Q61" s="149">
        <v>45409.0</v>
      </c>
      <c r="R61" s="150"/>
      <c r="S61" s="149">
        <v>45414.0</v>
      </c>
      <c r="T61" s="151"/>
      <c r="U61" s="151"/>
      <c r="V61" s="151"/>
      <c r="W61" s="151"/>
    </row>
    <row r="62">
      <c r="A62" s="142">
        <v>1539.0</v>
      </c>
      <c r="B62" s="143" t="s">
        <v>33</v>
      </c>
      <c r="C62" s="143" t="s">
        <v>34</v>
      </c>
      <c r="D62" s="144" t="s">
        <v>4394</v>
      </c>
      <c r="E62" s="145" t="str">
        <f>IFERROR(__xludf.DUMMYFUNCTION("vlookup(D62,IMPORTRANGE(""https://docs.google.com/spreadsheets/d/1swGwZOEqYlTEUCJLY-eeJM1911Kvaei5oySBIxdgtNo/edit?pli=1#gid=257618397"",""stock FAKTUR!B:C""),2,false)"),"CRAYON PUTAR JK 12W PANJANG")</f>
        <v>CRAYON PUTAR JK 12W PANJANG</v>
      </c>
      <c r="F62" s="53" t="str">
        <f>IFERROR(__xludf.DUMMYFUNCTION("vlookup($D62,IMPORTRANGE(""https://docs.google.com/spreadsheets/d/1swGwZOEqYlTEUCJLY-eeJM1911Kvaei5oySBIxdgtNo/edit?pli=1#gid=257618397"",""stock FAKTUR!B:d""),3,false)"),"")</f>
        <v/>
      </c>
      <c r="G62" s="53" t="str">
        <f>IFERROR(__xludf.DUMMYFUNCTION("vlookup($D62,IMPORTRANGE(""https://docs.google.com/spreadsheets/d/1swGwZOEqYlTEUCJLY-eeJM1911Kvaei5oySBIxdgtNo/edit?pli=1#gid=257618397"",""stock FAKTUR!B:e""),4,false)"),"12W")</f>
        <v>12W</v>
      </c>
      <c r="H62" s="53" t="str">
        <f>IFERROR(__xludf.DUMMYFUNCTION("vlookup($D62,IMPORTRANGE(""https://docs.google.com/spreadsheets/d/1swGwZOEqYlTEUCJLY-eeJM1911Kvaei5oySBIxdgtNo/edit?pli=1#gid=257618397"",""stock FAKTUR!B:F""),5,false)"),"JK")</f>
        <v>JK</v>
      </c>
      <c r="I62" s="53" t="str">
        <f>IFERROR(__xludf.DUMMYFUNCTION("vlookup($D62,IMPORTRANGE(""https://docs.google.com/spreadsheets/d/1swGwZOEqYlTEUCJLY-eeJM1911Kvaei5oySBIxdgtNo/edit?pli=1#gid=257618397"",""stock FAKTUR!B:G""),6,false)"),"")</f>
        <v/>
      </c>
      <c r="J62" s="43" t="str">
        <f t="shared" si="1"/>
        <v>ADA</v>
      </c>
      <c r="K62" s="146">
        <v>12.0</v>
      </c>
      <c r="L62" s="145" t="str">
        <f>IFERROR(__xludf.DUMMYFUNCTION("vlookup($D62,IMPORTRANGE(""https://docs.google.com/spreadsheets/d/1swGwZOEqYlTEUCJLY-eeJM1911Kvaei5oySBIxdgtNo/edit?pli=1#gid=257618397"",""stock FAKTUR!B:q""),16,false)"),"LSN")</f>
        <v>LSN</v>
      </c>
      <c r="M62" s="147">
        <f>24650*12</f>
        <v>295800</v>
      </c>
      <c r="N62" s="152">
        <v>0.13</v>
      </c>
      <c r="O62" s="147">
        <f t="shared" si="2"/>
        <v>3088152</v>
      </c>
      <c r="P62" s="147" t="str">
        <f t="shared" si="3"/>
        <v>Rp295,800-12 LSN-13.00%</v>
      </c>
      <c r="Q62" s="149">
        <v>45409.0</v>
      </c>
      <c r="R62" s="150"/>
      <c r="S62" s="149">
        <v>45414.0</v>
      </c>
      <c r="T62" s="151"/>
      <c r="U62" s="151"/>
      <c r="V62" s="151"/>
      <c r="W62" s="151"/>
    </row>
    <row r="63">
      <c r="A63" s="142">
        <v>1539.0</v>
      </c>
      <c r="B63" s="143" t="str">
        <f t="shared" ref="B63:B66" si="18">IF(A63=A62,B62,"")</f>
        <v>H</v>
      </c>
      <c r="C63" s="143" t="str">
        <f t="shared" ref="C63:C66" si="19">IF(A63=A62,C62,"")</f>
        <v>SISWA-KUTOARJO</v>
      </c>
      <c r="D63" s="144" t="s">
        <v>4395</v>
      </c>
      <c r="E63" s="145" t="str">
        <f>IFERROR(__xludf.DUMMYFUNCTION("vlookup(D63,IMPORTRANGE(""https://docs.google.com/spreadsheets/d/1swGwZOEqYlTEUCJLY-eeJM1911Kvaei5oySBIxdgtNo/edit?pli=1#gid=257618397"",""stock FAKTUR!B:C""),2,false)"),"CRAYON PUTAR JK 12W PENDEK/MINI")</f>
        <v>CRAYON PUTAR JK 12W PENDEK/MINI</v>
      </c>
      <c r="F63" s="53" t="str">
        <f>IFERROR(__xludf.DUMMYFUNCTION("vlookup($D63,IMPORTRANGE(""https://docs.google.com/spreadsheets/d/1swGwZOEqYlTEUCJLY-eeJM1911Kvaei5oySBIxdgtNo/edit?pli=1#gid=257618397"",""stock FAKTUR!B:d""),3,false)"),"")</f>
        <v/>
      </c>
      <c r="G63" s="53" t="str">
        <f>IFERROR(__xludf.DUMMYFUNCTION("vlookup($D63,IMPORTRANGE(""https://docs.google.com/spreadsheets/d/1swGwZOEqYlTEUCJLY-eeJM1911Kvaei5oySBIxdgtNo/edit?pli=1#gid=257618397"",""stock FAKTUR!B:e""),4,false)"),"12W")</f>
        <v>12W</v>
      </c>
      <c r="H63" s="53" t="str">
        <f>IFERROR(__xludf.DUMMYFUNCTION("vlookup($D63,IMPORTRANGE(""https://docs.google.com/spreadsheets/d/1swGwZOEqYlTEUCJLY-eeJM1911Kvaei5oySBIxdgtNo/edit?pli=1#gid=257618397"",""stock FAKTUR!B:F""),5,false)"),"JK")</f>
        <v>JK</v>
      </c>
      <c r="I63" s="53" t="str">
        <f>IFERROR(__xludf.DUMMYFUNCTION("vlookup($D63,IMPORTRANGE(""https://docs.google.com/spreadsheets/d/1swGwZOEqYlTEUCJLY-eeJM1911Kvaei5oySBIxdgtNo/edit?pli=1#gid=257618397"",""stock FAKTUR!B:G""),6,false)"),"")</f>
        <v/>
      </c>
      <c r="J63" s="43" t="str">
        <f t="shared" si="1"/>
        <v>ADA</v>
      </c>
      <c r="K63" s="146">
        <v>12.0</v>
      </c>
      <c r="L63" s="145" t="str">
        <f>IFERROR(__xludf.DUMMYFUNCTION("vlookup($D63,IMPORTRANGE(""https://docs.google.com/spreadsheets/d/1swGwZOEqYlTEUCJLY-eeJM1911Kvaei5oySBIxdgtNo/edit?pli=1#gid=257618397"",""stock FAKTUR!B:q""),16,false)"),"LSN")</f>
        <v>LSN</v>
      </c>
      <c r="M63" s="147">
        <f>19150*12</f>
        <v>229800</v>
      </c>
      <c r="N63" s="152">
        <v>0.13</v>
      </c>
      <c r="O63" s="147">
        <f t="shared" si="2"/>
        <v>2399112</v>
      </c>
      <c r="P63" s="147" t="str">
        <f t="shared" si="3"/>
        <v>Rp229,800-12 LSN-13.00%</v>
      </c>
      <c r="Q63" s="149">
        <v>45409.0</v>
      </c>
      <c r="R63" s="150"/>
      <c r="S63" s="149">
        <v>45414.0</v>
      </c>
      <c r="T63" s="151"/>
      <c r="U63" s="151"/>
      <c r="V63" s="151"/>
      <c r="W63" s="151"/>
    </row>
    <row r="64">
      <c r="A64" s="142">
        <v>1539.0</v>
      </c>
      <c r="B64" s="143" t="str">
        <f t="shared" si="18"/>
        <v>H</v>
      </c>
      <c r="C64" s="143" t="str">
        <f t="shared" si="19"/>
        <v>SISWA-KUTOARJO</v>
      </c>
      <c r="D64" s="144" t="s">
        <v>4393</v>
      </c>
      <c r="E64" s="145" t="str">
        <f>IFERROR(__xludf.DUMMYFUNCTION("vlookup(D64,IMPORTRANGE(""https://docs.google.com/spreadsheets/d/1swGwZOEqYlTEUCJLY-eeJM1911Kvaei5oySBIxdgtNo/edit?pli=1#gid=257618397"",""stock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64" s="53" t="str">
        <f>IFERROR(__xludf.DUMMYFUNCTION("vlookup($D64,IMPORTRANGE(""https://docs.google.com/spreadsheets/d/1swGwZOEqYlTEUCJLY-eeJM1911Kvaei5oySBIxdgtNo/edit?pli=1#gid=257618397"",""stock FAKTUR!B:d""),3,false)"),"")</f>
        <v/>
      </c>
      <c r="G64" s="53" t="str">
        <f>IFERROR(__xludf.DUMMYFUNCTION("vlookup($D64,IMPORTRANGE(""https://docs.google.com/spreadsheets/d/1swGwZOEqYlTEUCJLY-eeJM1911Kvaei5oySBIxdgtNo/edit?pli=1#gid=257618397"",""stock FAKTUR!B:e""),4,false)"),"36W")</f>
        <v>36W</v>
      </c>
      <c r="H64" s="53" t="str">
        <f>IFERROR(__xludf.DUMMYFUNCTION("vlookup($D64,IMPORTRANGE(""https://docs.google.com/spreadsheets/d/1swGwZOEqYlTEUCJLY-eeJM1911Kvaei5oySBIxdgtNo/edit?pli=1#gid=257618397"",""stock FAKTUR!B:F""),5,false)"),"JK")</f>
        <v>JK</v>
      </c>
      <c r="I64" s="53" t="str">
        <f>IFERROR(__xludf.DUMMYFUNCTION("vlookup($D64,IMPORTRANGE(""https://docs.google.com/spreadsheets/d/1swGwZOEqYlTEUCJLY-eeJM1911Kvaei5oySBIxdgtNo/edit?pli=1#gid=257618397"",""stock FAKTUR!B:G""),6,false)"),"OP-36S")</f>
        <v>OP-36S</v>
      </c>
      <c r="J64" s="43" t="str">
        <f t="shared" si="1"/>
        <v>ADA</v>
      </c>
      <c r="K64" s="146">
        <v>36.0</v>
      </c>
      <c r="L64" s="145" t="str">
        <f>IFERROR(__xludf.DUMMYFUNCTION("vlookup($D64,IMPORTRANGE(""https://docs.google.com/spreadsheets/d/1swGwZOEqYlTEUCJLY-eeJM1911Kvaei5oySBIxdgtNo/edit?pli=1#gid=257618397"",""stock FAKTUR!B:q""),16,false)"),"PCS")</f>
        <v>PCS</v>
      </c>
      <c r="M64" s="147">
        <v>42700.0</v>
      </c>
      <c r="N64" s="152">
        <v>0.13</v>
      </c>
      <c r="O64" s="147">
        <f t="shared" si="2"/>
        <v>1337364</v>
      </c>
      <c r="P64" s="147" t="str">
        <f t="shared" si="3"/>
        <v>Rp42,700-36 PCS-13.00%</v>
      </c>
      <c r="Q64" s="149">
        <v>45409.0</v>
      </c>
      <c r="R64" s="150"/>
      <c r="S64" s="149">
        <v>45414.0</v>
      </c>
      <c r="T64" s="151"/>
      <c r="U64" s="151"/>
      <c r="V64" s="151"/>
      <c r="W64" s="151"/>
    </row>
    <row r="65">
      <c r="A65" s="142">
        <v>1539.0</v>
      </c>
      <c r="B65" s="143" t="str">
        <f t="shared" si="18"/>
        <v>H</v>
      </c>
      <c r="C65" s="143" t="str">
        <f t="shared" si="19"/>
        <v>SISWA-KUTOARJO</v>
      </c>
      <c r="D65" s="144" t="s">
        <v>4402</v>
      </c>
      <c r="E65" s="145" t="str">
        <f>IFERROR(__xludf.DUMMYFUNCTION("vlookup(D65,IMPORTRANGE(""https://docs.google.com/spreadsheets/d/1swGwZOEqYlTEUCJLY-eeJM1911Kvaei5oySBIxdgtNo/edit?pli=1#gid=257618397"",""stock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65" s="53" t="str">
        <f>IFERROR(__xludf.DUMMYFUNCTION("vlookup($D65,IMPORTRANGE(""https://docs.google.com/spreadsheets/d/1swGwZOEqYlTEUCJLY-eeJM1911Kvaei5oySBIxdgtNo/edit?pli=1#gid=257618397"",""stock FAKTUR!B:d""),3,false)"),"")</f>
        <v/>
      </c>
      <c r="G65" s="53" t="str">
        <f>IFERROR(__xludf.DUMMYFUNCTION("vlookup($D65,IMPORTRANGE(""https://docs.google.com/spreadsheets/d/1swGwZOEqYlTEUCJLY-eeJM1911Kvaei5oySBIxdgtNo/edit?pli=1#gid=257618397"",""stock FAKTUR!B:e""),4,false)"),"55W")</f>
        <v>55W</v>
      </c>
      <c r="H65" s="53" t="str">
        <f>IFERROR(__xludf.DUMMYFUNCTION("vlookup($D65,IMPORTRANGE(""https://docs.google.com/spreadsheets/d/1swGwZOEqYlTEUCJLY-eeJM1911Kvaei5oySBIxdgtNo/edit?pli=1#gid=257618397"",""stock FAKTUR!B:F""),5,false)"),"JK")</f>
        <v>JK</v>
      </c>
      <c r="I65" s="53" t="str">
        <f>IFERROR(__xludf.DUMMYFUNCTION("vlookup($D65,IMPORTRANGE(""https://docs.google.com/spreadsheets/d/1swGwZOEqYlTEUCJLY-eeJM1911Kvaei5oySBIxdgtNo/edit?pli=1#gid=257618397"",""stock FAKTUR!B:G""),6,false)"),"")</f>
        <v/>
      </c>
      <c r="J65" s="43" t="str">
        <f t="shared" si="1"/>
        <v>ADA</v>
      </c>
      <c r="K65" s="146">
        <v>24.0</v>
      </c>
      <c r="L65" s="145" t="str">
        <f>IFERROR(__xludf.DUMMYFUNCTION("vlookup($D65,IMPORTRANGE(""https://docs.google.com/spreadsheets/d/1swGwZOEqYlTEUCJLY-eeJM1911Kvaei5oySBIxdgtNo/edit?pli=1#gid=257618397"",""stock FAKTUR!B:q""),16,false)"),"PCS")</f>
        <v>PCS</v>
      </c>
      <c r="M65" s="147">
        <v>68700.0</v>
      </c>
      <c r="N65" s="152">
        <v>0.13</v>
      </c>
      <c r="O65" s="147">
        <f t="shared" si="2"/>
        <v>1434456</v>
      </c>
      <c r="P65" s="147" t="str">
        <f t="shared" si="3"/>
        <v>Rp68,700-24 PCS-13.00%</v>
      </c>
      <c r="Q65" s="149">
        <v>45409.0</v>
      </c>
      <c r="R65" s="150"/>
      <c r="S65" s="149">
        <v>45414.0</v>
      </c>
      <c r="T65" s="151"/>
      <c r="U65" s="151"/>
      <c r="V65" s="151"/>
      <c r="W65" s="151"/>
    </row>
    <row r="66">
      <c r="A66" s="142">
        <v>1539.0</v>
      </c>
      <c r="B66" s="143" t="str">
        <f t="shared" si="18"/>
        <v>H</v>
      </c>
      <c r="C66" s="143" t="str">
        <f t="shared" si="19"/>
        <v>SISWA-KUTOARJO</v>
      </c>
      <c r="D66" s="144" t="s">
        <v>4386</v>
      </c>
      <c r="E66" s="145" t="str">
        <f>IFERROR(__xludf.DUMMYFUNCTION("vlookup(D66,IMPORTRANGE(""https://docs.google.com/spreadsheets/d/1swGwZOEqYlTEUCJLY-eeJM1911Kvaei5oySBIxdgtNo/edit?pli=1#gid=257618397"",""stock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66" s="53" t="str">
        <f>IFERROR(__xludf.DUMMYFUNCTION("vlookup($D66,IMPORTRANGE(""https://docs.google.com/spreadsheets/d/1swGwZOEqYlTEUCJLY-eeJM1911Kvaei5oySBIxdgtNo/edit?pli=1#gid=257618397"",""stock FAKTUR!B:d""),3,false)"),"")</f>
        <v/>
      </c>
      <c r="G66" s="53" t="str">
        <f>IFERROR(__xludf.DUMMYFUNCTION("vlookup($D66,IMPORTRANGE(""https://docs.google.com/spreadsheets/d/1swGwZOEqYlTEUCJLY-eeJM1911Kvaei5oySBIxdgtNo/edit?pli=1#gid=257618397"",""stock FAKTUR!B:e""),4,false)"),"12W")</f>
        <v>12W</v>
      </c>
      <c r="H66" s="53" t="str">
        <f>IFERROR(__xludf.DUMMYFUNCTION("vlookup($D66,IMPORTRANGE(""https://docs.google.com/spreadsheets/d/1swGwZOEqYlTEUCJLY-eeJM1911Kvaei5oySBIxdgtNo/edit?pli=1#gid=257618397"",""stock FAKTUR!B:F""),5,false)"),"JK")</f>
        <v>JK</v>
      </c>
      <c r="I66" s="53" t="str">
        <f>IFERROR(__xludf.DUMMYFUNCTION("vlookup($D66,IMPORTRANGE(""https://docs.google.com/spreadsheets/d/1swGwZOEqYlTEUCJLY-eeJM1911Kvaei5oySBIxdgtNo/edit?pli=1#gid=257618397"",""stock FAKTUR!B:G""),6,false)"),"OP-12S")</f>
        <v>OP-12S</v>
      </c>
      <c r="J66" s="43" t="str">
        <f t="shared" si="1"/>
        <v>ADA</v>
      </c>
      <c r="K66" s="146">
        <v>288.0</v>
      </c>
      <c r="L66" s="145" t="str">
        <f>IFERROR(__xludf.DUMMYFUNCTION("vlookup($D66,IMPORTRANGE(""https://docs.google.com/spreadsheets/d/1swGwZOEqYlTEUCJLY-eeJM1911Kvaei5oySBIxdgtNo/edit?pli=1#gid=257618397"",""stock FAKTUR!B:q""),16,false)"),"PCS")</f>
        <v>PCS</v>
      </c>
      <c r="M66" s="147">
        <v>12300.0</v>
      </c>
      <c r="N66" s="152">
        <v>0.13</v>
      </c>
      <c r="O66" s="147">
        <f t="shared" si="2"/>
        <v>3081888</v>
      </c>
      <c r="P66" s="147" t="str">
        <f t="shared" si="3"/>
        <v>Rp12,300-288 PCS-13.00%</v>
      </c>
      <c r="Q66" s="149">
        <v>45409.0</v>
      </c>
      <c r="R66" s="150"/>
      <c r="S66" s="149">
        <v>45414.0</v>
      </c>
      <c r="T66" s="151"/>
      <c r="U66" s="151"/>
      <c r="V66" s="151"/>
      <c r="W66" s="151"/>
    </row>
    <row r="67">
      <c r="A67" s="142">
        <v>4653.0</v>
      </c>
      <c r="B67" s="143" t="s">
        <v>58</v>
      </c>
      <c r="C67" s="143" t="s">
        <v>688</v>
      </c>
      <c r="D67" s="144" t="s">
        <v>4387</v>
      </c>
      <c r="E67" s="145" t="str">
        <f>IFERROR(__xludf.DUMMYFUNCTION("vlookup(D67,IMPORTRANGE(""https://docs.google.com/spreadsheets/d/1swGwZOEqYlTEUCJLY-eeJM1911Kvaei5oySBIxdgtNo/edit?pli=1#gid=257618397"",""stock FAKTUR!B:C""),2,false)"),"BP KENKO HI-TECH 0.28MM HITAM")</f>
        <v>BP KENKO HI-TECH 0.28MM HITAM</v>
      </c>
      <c r="F67" s="53" t="str">
        <f>IFERROR(__xludf.DUMMYFUNCTION("vlookup($D67,IMPORTRANGE(""https://docs.google.com/spreadsheets/d/1swGwZOEqYlTEUCJLY-eeJM1911Kvaei5oySBIxdgtNo/edit?pli=1#gid=257618397"",""stock FAKTUR!B:d""),3,false)"),"")</f>
        <v/>
      </c>
      <c r="G67" s="53" t="str">
        <f>IFERROR(__xludf.DUMMYFUNCTION("vlookup($D67,IMPORTRANGE(""https://docs.google.com/spreadsheets/d/1swGwZOEqYlTEUCJLY-eeJM1911Kvaei5oySBIxdgtNo/edit?pli=1#gid=257618397"",""stock FAKTUR!B:e""),4,false)"),"HITAM")</f>
        <v>HITAM</v>
      </c>
      <c r="H67" s="53" t="str">
        <f>IFERROR(__xludf.DUMMYFUNCTION("vlookup($D67,IMPORTRANGE(""https://docs.google.com/spreadsheets/d/1swGwZOEqYlTEUCJLY-eeJM1911Kvaei5oySBIxdgtNo/edit?pli=1#gid=257618397"",""stock FAKTUR!B:F""),5,false)"),"KN")</f>
        <v>KN</v>
      </c>
      <c r="I67" s="53" t="str">
        <f>IFERROR(__xludf.DUMMYFUNCTION("vlookup($D67,IMPORTRANGE(""https://docs.google.com/spreadsheets/d/1swGwZOEqYlTEUCJLY-eeJM1911Kvaei5oySBIxdgtNo/edit?pli=1#gid=257618397"",""stock FAKTUR!B:G""),6,false)"),"GPT-018B")</f>
        <v>GPT-018B</v>
      </c>
      <c r="J67" s="43" t="str">
        <f t="shared" si="1"/>
        <v>ADA</v>
      </c>
      <c r="K67" s="146">
        <v>144.0</v>
      </c>
      <c r="L67" s="145" t="str">
        <f>IFERROR(__xludf.DUMMYFUNCTION("vlookup($D67,IMPORTRANGE(""https://docs.google.com/spreadsheets/d/1swGwZOEqYlTEUCJLY-eeJM1911Kvaei5oySBIxdgtNo/edit?pli=1#gid=257618397"",""stock FAKTUR!B:q""),16,false)"),"LSN")</f>
        <v>LSN</v>
      </c>
      <c r="M67" s="147">
        <v>39000.0</v>
      </c>
      <c r="N67" s="152">
        <v>0.125</v>
      </c>
      <c r="O67" s="147">
        <f t="shared" si="2"/>
        <v>4914000</v>
      </c>
      <c r="P67" s="147" t="str">
        <f t="shared" si="3"/>
        <v>Rp39,000-144 LSN-12.50%</v>
      </c>
      <c r="Q67" s="149">
        <v>45411.0</v>
      </c>
      <c r="R67" s="149">
        <v>45409.0</v>
      </c>
      <c r="S67" s="149">
        <v>45414.0</v>
      </c>
      <c r="T67" s="151"/>
      <c r="U67" s="151"/>
      <c r="V67" s="151"/>
      <c r="W67" s="151"/>
    </row>
    <row r="68">
      <c r="A68" s="142">
        <v>4653.0</v>
      </c>
      <c r="B68" s="143" t="str">
        <f>IF(A68=A67,B67,"")</f>
        <v>G</v>
      </c>
      <c r="C68" s="143" t="str">
        <f>IF(A68=A67,C67,"")</f>
        <v>PUSTAKA BARU-TUBAN</v>
      </c>
      <c r="D68" s="144" t="s">
        <v>4429</v>
      </c>
      <c r="E68" s="145" t="str">
        <f>IFERROR(__xludf.DUMMYFUNCTION("vlookup(D68,IMPORTRANGE(""https://docs.google.com/spreadsheets/d/1swGwZOEqYlTEUCJLY-eeJM1911Kvaei5oySBIxdgtNo/edit?pli=1#gid=257618397"",""stock FAKTUR!B:C""),2,false)"),"TIPEX KENKO KE-01")</f>
        <v>TIPEX KENKO KE-01</v>
      </c>
      <c r="F68" s="53" t="str">
        <f>IFERROR(__xludf.DUMMYFUNCTION("vlookup($D68,IMPORTRANGE(""https://docs.google.com/spreadsheets/d/1swGwZOEqYlTEUCJLY-eeJM1911Kvaei5oySBIxdgtNo/edit?pli=1#gid=257618397"",""stock FAKTUR!B:d""),3,false)"),"")</f>
        <v/>
      </c>
      <c r="G68" s="53" t="str">
        <f>IFERROR(__xludf.DUMMYFUNCTION("vlookup($D68,IMPORTRANGE(""https://docs.google.com/spreadsheets/d/1swGwZOEqYlTEUCJLY-eeJM1911Kvaei5oySBIxdgtNo/edit?pli=1#gid=257618397"",""stock FAKTUR!B:e""),4,false)"),"")</f>
        <v/>
      </c>
      <c r="H68" s="53" t="str">
        <f>IFERROR(__xludf.DUMMYFUNCTION("vlookup($D68,IMPORTRANGE(""https://docs.google.com/spreadsheets/d/1swGwZOEqYlTEUCJLY-eeJM1911Kvaei5oySBIxdgtNo/edit?pli=1#gid=257618397"",""stock FAKTUR!B:F""),5,false)"),"KN")</f>
        <v>KN</v>
      </c>
      <c r="I68" s="53" t="str">
        <f>IFERROR(__xludf.DUMMYFUNCTION("vlookup($D68,IMPORTRANGE(""https://docs.google.com/spreadsheets/d/1swGwZOEqYlTEUCJLY-eeJM1911Kvaei5oySBIxdgtNo/edit?pli=1#gid=257618397"",""stock FAKTUR!B:G""),6,false)"),"CFL-001")</f>
        <v>CFL-001</v>
      </c>
      <c r="J68" s="43" t="str">
        <f t="shared" si="1"/>
        <v>ADA</v>
      </c>
      <c r="K68" s="146">
        <v>72.0</v>
      </c>
      <c r="L68" s="145" t="str">
        <f>IFERROR(__xludf.DUMMYFUNCTION("vlookup($D68,IMPORTRANGE(""https://docs.google.com/spreadsheets/d/1swGwZOEqYlTEUCJLY-eeJM1911Kvaei5oySBIxdgtNo/edit?pli=1#gid=257618397"",""stock FAKTUR!B:q""),16,false)"),"LSN")</f>
        <v>LSN</v>
      </c>
      <c r="M68" s="147">
        <v>54300.0</v>
      </c>
      <c r="N68" s="152">
        <v>0.125</v>
      </c>
      <c r="O68" s="147">
        <f t="shared" si="2"/>
        <v>3420900</v>
      </c>
      <c r="P68" s="147" t="str">
        <f t="shared" si="3"/>
        <v>Rp54,300-72 LSN-12.50%</v>
      </c>
      <c r="Q68" s="149">
        <v>45411.0</v>
      </c>
      <c r="R68" s="149">
        <v>45409.0</v>
      </c>
      <c r="S68" s="149">
        <v>45414.0</v>
      </c>
      <c r="T68" s="151"/>
      <c r="U68" s="151"/>
      <c r="V68" s="151"/>
      <c r="W68" s="151"/>
    </row>
    <row r="69">
      <c r="A69" s="142">
        <v>4650.0</v>
      </c>
      <c r="B69" s="143" t="s">
        <v>65</v>
      </c>
      <c r="C69" s="143" t="s">
        <v>729</v>
      </c>
      <c r="D69" s="144" t="s">
        <v>4401</v>
      </c>
      <c r="E69" s="145" t="str">
        <f>IFERROR(__xludf.DUMMYFUNCTION("vlookup(D69,IMPORTRANGE(""https://docs.google.com/spreadsheets/d/1swGwZOEqYlTEUCJLY-eeJM1911Kvaei5oySBIxdgtNo/edit?pli=1#gid=257618397"",""stock FAKTUR!B:C""),2,false)"),"BP GEL KENKO EASY HITAM")</f>
        <v>BP GEL KENKO EASY HITAM</v>
      </c>
      <c r="F69" s="53" t="str">
        <f>IFERROR(__xludf.DUMMYFUNCTION("vlookup($D69,IMPORTRANGE(""https://docs.google.com/spreadsheets/d/1swGwZOEqYlTEUCJLY-eeJM1911Kvaei5oySBIxdgtNo/edit?pli=1#gid=257618397"",""stock FAKTUR!B:d""),3,false)"),"")</f>
        <v/>
      </c>
      <c r="G69" s="53" t="str">
        <f>IFERROR(__xludf.DUMMYFUNCTION("vlookup($D69,IMPORTRANGE(""https://docs.google.com/spreadsheets/d/1swGwZOEqYlTEUCJLY-eeJM1911Kvaei5oySBIxdgtNo/edit?pli=1#gid=257618397"",""stock FAKTUR!B:e""),4,false)"),"HITAM")</f>
        <v>HITAM</v>
      </c>
      <c r="H69" s="53" t="str">
        <f>IFERROR(__xludf.DUMMYFUNCTION("vlookup($D69,IMPORTRANGE(""https://docs.google.com/spreadsheets/d/1swGwZOEqYlTEUCJLY-eeJM1911Kvaei5oySBIxdgtNo/edit?pli=1#gid=257618397"",""stock FAKTUR!B:F""),5,false)"),"KN")</f>
        <v>KN</v>
      </c>
      <c r="I69" s="53" t="str">
        <f>IFERROR(__xludf.DUMMYFUNCTION("vlookup($D69,IMPORTRANGE(""https://docs.google.com/spreadsheets/d/1swGwZOEqYlTEUCJLY-eeJM1911Kvaei5oySBIxdgtNo/edit?pli=1#gid=257618397"",""stock FAKTUR!B:G""),6,false)"),"GPT-005B")</f>
        <v>GPT-005B</v>
      </c>
      <c r="J69" s="43" t="str">
        <f t="shared" si="1"/>
        <v>ADA</v>
      </c>
      <c r="K69" s="146">
        <v>24.0</v>
      </c>
      <c r="L69" s="145" t="str">
        <f>IFERROR(__xludf.DUMMYFUNCTION("vlookup($D69,IMPORTRANGE(""https://docs.google.com/spreadsheets/d/1swGwZOEqYlTEUCJLY-eeJM1911Kvaei5oySBIxdgtNo/edit?pli=1#gid=257618397"",""stock FAKTUR!B:q""),16,false)"),"LSN")</f>
        <v>LSN</v>
      </c>
      <c r="M69" s="147">
        <v>26100.0</v>
      </c>
      <c r="N69" s="152">
        <v>0.1</v>
      </c>
      <c r="O69" s="147">
        <f t="shared" si="2"/>
        <v>563760</v>
      </c>
      <c r="P69" s="147" t="str">
        <f t="shared" si="3"/>
        <v>Rp26,100-24 LSN-10.00%</v>
      </c>
      <c r="Q69" s="149">
        <v>45409.0</v>
      </c>
      <c r="R69" s="150"/>
      <c r="S69" s="149">
        <v>45414.0</v>
      </c>
      <c r="T69" s="151"/>
      <c r="U69" s="151"/>
      <c r="V69" s="151"/>
      <c r="W69" s="151"/>
    </row>
    <row r="70">
      <c r="A70" s="142">
        <v>4650.0</v>
      </c>
      <c r="B70" s="143" t="str">
        <f t="shared" ref="B70:B71" si="20">IF(A70=A69,B69,"")</f>
        <v>A</v>
      </c>
      <c r="C70" s="143" t="str">
        <f t="shared" ref="C70:C71" si="21">IF(A70=A69,C69,"")</f>
        <v>MERDEKA-BOYOLALI</v>
      </c>
      <c r="D70" s="144" t="s">
        <v>4430</v>
      </c>
      <c r="E70" s="145" t="str">
        <f>IFERROR(__xludf.DUMMYFUNCTION("vlookup(D70,IMPORTRANGE(""https://docs.google.com/spreadsheets/d/1swGwZOEqYlTEUCJLY-eeJM1911Kvaei5oySBIxdgtNo/edit?pli=1#gid=257618397"",""stock FAKTUR!B:C""),2,false)"),"LEM STICK KENKO 8GR KECIL")</f>
        <v>LEM STICK KENKO 8GR KECIL</v>
      </c>
      <c r="F70" s="53" t="str">
        <f>IFERROR(__xludf.DUMMYFUNCTION("vlookup($D70,IMPORTRANGE(""https://docs.google.com/spreadsheets/d/1swGwZOEqYlTEUCJLY-eeJM1911Kvaei5oySBIxdgtNo/edit?pli=1#gid=257618397"",""stock FAKTUR!B:d""),3,false)"),"K")</f>
        <v>K</v>
      </c>
      <c r="G70" s="53" t="str">
        <f>IFERROR(__xludf.DUMMYFUNCTION("vlookup($D70,IMPORTRANGE(""https://docs.google.com/spreadsheets/d/1swGwZOEqYlTEUCJLY-eeJM1911Kvaei5oySBIxdgtNo/edit?pli=1#gid=257618397"",""stock FAKTUR!B:e""),4,false)"),"")</f>
        <v/>
      </c>
      <c r="H70" s="53" t="str">
        <f>IFERROR(__xludf.DUMMYFUNCTION("vlookup($D70,IMPORTRANGE(""https://docs.google.com/spreadsheets/d/1swGwZOEqYlTEUCJLY-eeJM1911Kvaei5oySBIxdgtNo/edit?pli=1#gid=257618397"",""stock FAKTUR!B:F""),5,false)"),"KN")</f>
        <v>KN</v>
      </c>
      <c r="I70" s="53" t="str">
        <f>IFERROR(__xludf.DUMMYFUNCTION("vlookup($D70,IMPORTRANGE(""https://docs.google.com/spreadsheets/d/1swGwZOEqYlTEUCJLY-eeJM1911Kvaei5oySBIxdgtNo/edit?pli=1#gid=257618397"",""stock FAKTUR!B:G""),6,false)"),"GST-001GA")</f>
        <v>GST-001GA</v>
      </c>
      <c r="J70" s="43" t="str">
        <f t="shared" si="1"/>
        <v>ADA</v>
      </c>
      <c r="K70" s="146">
        <v>10.0</v>
      </c>
      <c r="L70" s="145" t="str">
        <f>IFERROR(__xludf.DUMMYFUNCTION("vlookup($D70,IMPORTRANGE(""https://docs.google.com/spreadsheets/d/1swGwZOEqYlTEUCJLY-eeJM1911Kvaei5oySBIxdgtNo/edit?pli=1#gid=257618397"",""stock FAKTUR!B:q""),16,false)"),"BOX")</f>
        <v>BOX</v>
      </c>
      <c r="M70" s="147">
        <v>66000.0</v>
      </c>
      <c r="N70" s="152">
        <v>0.1</v>
      </c>
      <c r="O70" s="147">
        <f t="shared" si="2"/>
        <v>594000</v>
      </c>
      <c r="P70" s="147" t="str">
        <f t="shared" si="3"/>
        <v>Rp66,000-10 BOX-10.00%</v>
      </c>
      <c r="Q70" s="149">
        <v>45409.0</v>
      </c>
      <c r="R70" s="150"/>
      <c r="S70" s="149">
        <v>45414.0</v>
      </c>
      <c r="T70" s="151"/>
      <c r="U70" s="151"/>
      <c r="V70" s="151"/>
      <c r="W70" s="151"/>
    </row>
    <row r="71">
      <c r="A71" s="142">
        <v>4650.0</v>
      </c>
      <c r="B71" s="143" t="str">
        <f t="shared" si="20"/>
        <v>A</v>
      </c>
      <c r="C71" s="143" t="str">
        <f t="shared" si="21"/>
        <v>MERDEKA-BOYOLALI</v>
      </c>
      <c r="D71" s="144" t="s">
        <v>4431</v>
      </c>
      <c r="E71" s="145" t="str">
        <f>IFERROR(__xludf.DUMMYFUNCTION("vlookup(D71,IMPORTRANGE(""https://docs.google.com/spreadsheets/d/1swGwZOEqYlTEUCJLY-eeJM1911Kvaei5oySBIxdgtNo/edit?pli=1#gid=257618397"",""stock FAKTUR!B:C""),2,false)"),"MESIN LABEL HARGA KENKO MX-5500")</f>
        <v>MESIN LABEL HARGA KENKO MX-5500</v>
      </c>
      <c r="F71" s="53" t="str">
        <f>IFERROR(__xludf.DUMMYFUNCTION("vlookup($D71,IMPORTRANGE(""https://docs.google.com/spreadsheets/d/1swGwZOEqYlTEUCJLY-eeJM1911Kvaei5oySBIxdgtNo/edit?pli=1#gid=257618397"",""stock FAKTUR!B:d""),3,false)"),"")</f>
        <v/>
      </c>
      <c r="G71" s="53" t="str">
        <f>IFERROR(__xludf.DUMMYFUNCTION("vlookup($D71,IMPORTRANGE(""https://docs.google.com/spreadsheets/d/1swGwZOEqYlTEUCJLY-eeJM1911Kvaei5oySBIxdgtNo/edit?pli=1#gid=257618397"",""stock FAKTUR!B:e""),4,false)"),"")</f>
        <v/>
      </c>
      <c r="H71" s="53" t="str">
        <f>IFERROR(__xludf.DUMMYFUNCTION("vlookup($D71,IMPORTRANGE(""https://docs.google.com/spreadsheets/d/1swGwZOEqYlTEUCJLY-eeJM1911Kvaei5oySBIxdgtNo/edit?pli=1#gid=257618397"",""stock FAKTUR!B:F""),5,false)"),"KN")</f>
        <v>KN</v>
      </c>
      <c r="I71" s="53" t="str">
        <f>IFERROR(__xludf.DUMMYFUNCTION("vlookup($D71,IMPORTRANGE(""https://docs.google.com/spreadsheets/d/1swGwZOEqYlTEUCJLY-eeJM1911Kvaei5oySBIxdgtNo/edit?pli=1#gid=257618397"",""stock FAKTUR!B:G""),6,false)"),"PLR-001")</f>
        <v>PLR-001</v>
      </c>
      <c r="J71" s="43" t="str">
        <f t="shared" si="1"/>
        <v>ADA</v>
      </c>
      <c r="K71" s="146">
        <v>10.0</v>
      </c>
      <c r="L71" s="145" t="str">
        <f>IFERROR(__xludf.DUMMYFUNCTION("vlookup($D71,IMPORTRANGE(""https://docs.google.com/spreadsheets/d/1swGwZOEqYlTEUCJLY-eeJM1911Kvaei5oySBIxdgtNo/edit?pli=1#gid=257618397"",""stock FAKTUR!B:q""),16,false)"),"PCS")</f>
        <v>PCS</v>
      </c>
      <c r="M71" s="147">
        <v>45000.0</v>
      </c>
      <c r="N71" s="152">
        <v>0.1</v>
      </c>
      <c r="O71" s="147">
        <f t="shared" si="2"/>
        <v>405000</v>
      </c>
      <c r="P71" s="147" t="str">
        <f t="shared" si="3"/>
        <v>Rp45,000-10 PCS-10.00%</v>
      </c>
      <c r="Q71" s="149">
        <v>45409.0</v>
      </c>
      <c r="R71" s="150"/>
      <c r="S71" s="149">
        <v>45414.0</v>
      </c>
      <c r="T71" s="151"/>
      <c r="U71" s="151"/>
      <c r="V71" s="151"/>
      <c r="W71" s="151"/>
    </row>
    <row r="72">
      <c r="A72" s="142">
        <v>4652.0</v>
      </c>
      <c r="B72" s="143" t="s">
        <v>58</v>
      </c>
      <c r="C72" s="143" t="s">
        <v>59</v>
      </c>
      <c r="D72" s="144" t="s">
        <v>4432</v>
      </c>
      <c r="E72" s="145" t="str">
        <f>IFERROR(__xludf.DUMMYFUNCTION("vlookup(D72,IMPORTRANGE(""https://docs.google.com/spreadsheets/d/1swGwZOEqYlTEUCJLY-eeJM1911Kvaei5oySBIxdgtNo/edit?pli=1#gid=257618397"",""stock FAKTUR!B:C""),2,false)"),"PW JK CP-24PB PANJANG")</f>
        <v>PW JK CP-24PB PANJANG</v>
      </c>
      <c r="F72" s="53" t="str">
        <f>IFERROR(__xludf.DUMMYFUNCTION("vlookup($D72,IMPORTRANGE(""https://docs.google.com/spreadsheets/d/1swGwZOEqYlTEUCJLY-eeJM1911Kvaei5oySBIxdgtNo/edit?pli=1#gid=257618397"",""stock FAKTUR!B:d""),3,false)"),"")</f>
        <v/>
      </c>
      <c r="G72" s="53" t="str">
        <f>IFERROR(__xludf.DUMMYFUNCTION("vlookup($D72,IMPORTRANGE(""https://docs.google.com/spreadsheets/d/1swGwZOEqYlTEUCJLY-eeJM1911Kvaei5oySBIxdgtNo/edit?pli=1#gid=257618397"",""stock FAKTUR!B:e""),4,false)"),"24W")</f>
        <v>24W</v>
      </c>
      <c r="H72" s="53" t="str">
        <f>IFERROR(__xludf.DUMMYFUNCTION("vlookup($D72,IMPORTRANGE(""https://docs.google.com/spreadsheets/d/1swGwZOEqYlTEUCJLY-eeJM1911Kvaei5oySBIxdgtNo/edit?pli=1#gid=257618397"",""stock FAKTUR!B:F""),5,false)"),"JK")</f>
        <v>JK</v>
      </c>
      <c r="I72" s="53" t="str">
        <f>IFERROR(__xludf.DUMMYFUNCTION("vlookup($D72,IMPORTRANGE(""https://docs.google.com/spreadsheets/d/1swGwZOEqYlTEUCJLY-eeJM1911Kvaei5oySBIxdgtNo/edit?pli=1#gid=257618397"",""stock FAKTUR!B:G""),6,false)"),"CP-24PB")</f>
        <v>CP-24PB</v>
      </c>
      <c r="J72" s="43" t="str">
        <f t="shared" si="1"/>
        <v>ADA</v>
      </c>
      <c r="K72" s="146">
        <v>24.0</v>
      </c>
      <c r="L72" s="145" t="str">
        <f>IFERROR(__xludf.DUMMYFUNCTION("vlookup($D72,IMPORTRANGE(""https://docs.google.com/spreadsheets/d/1swGwZOEqYlTEUCJLY-eeJM1911Kvaei5oySBIxdgtNo/edit?pli=1#gid=257618397"",""stock FAKTUR!B:q""),16,false)"),"PCS")</f>
        <v>PCS</v>
      </c>
      <c r="M72" s="147">
        <f>254400/12</f>
        <v>21200</v>
      </c>
      <c r="N72" s="152">
        <v>0.1</v>
      </c>
      <c r="O72" s="147">
        <f t="shared" si="2"/>
        <v>457920</v>
      </c>
      <c r="P72" s="147" t="str">
        <f t="shared" si="3"/>
        <v>Rp21,200-24 PCS-10.00%</v>
      </c>
      <c r="Q72" s="149">
        <v>45408.0</v>
      </c>
      <c r="R72" s="150"/>
      <c r="S72" s="149">
        <v>45414.0</v>
      </c>
      <c r="T72" s="151"/>
      <c r="U72" s="151"/>
      <c r="V72" s="151"/>
      <c r="W72" s="151"/>
    </row>
    <row r="73">
      <c r="A73" s="142">
        <v>4652.0</v>
      </c>
      <c r="B73" s="143" t="s">
        <v>58</v>
      </c>
      <c r="C73" s="143" t="str">
        <f t="shared" ref="C73:C75" si="22">IF(A73=A72,C72,"")</f>
        <v>PRISMA-YOGYA</v>
      </c>
      <c r="D73" s="144" t="s">
        <v>4399</v>
      </c>
      <c r="E73" s="145" t="str">
        <f>IFERROR(__xludf.DUMMYFUNCTION("vlookup(D73,IMPORTRANGE(""https://docs.google.com/spreadsheets/d/1swGwZOEqYlTEUCJLY-eeJM1911Kvaei5oySBIxdgtNo/edit?pli=1#gid=257618397"",""stock FAKTUR!B:C""),2,false)"),"PW KENKO 12W CP-12F CLASSIC PANJANG")</f>
        <v>PW KENKO 12W CP-12F CLASSIC PANJANG</v>
      </c>
      <c r="F73" s="53" t="str">
        <f>IFERROR(__xludf.DUMMYFUNCTION("vlookup($D73,IMPORTRANGE(""https://docs.google.com/spreadsheets/d/1swGwZOEqYlTEUCJLY-eeJM1911Kvaei5oySBIxdgtNo/edit?pli=1#gid=257618397"",""stock FAKTUR!B:d""),3,false)"),"")</f>
        <v/>
      </c>
      <c r="G73" s="53" t="str">
        <f>IFERROR(__xludf.DUMMYFUNCTION("vlookup($D73,IMPORTRANGE(""https://docs.google.com/spreadsheets/d/1swGwZOEqYlTEUCJLY-eeJM1911Kvaei5oySBIxdgtNo/edit?pli=1#gid=257618397"",""stock FAKTUR!B:e""),4,false)"),"12W")</f>
        <v>12W</v>
      </c>
      <c r="H73" s="53" t="str">
        <f>IFERROR(__xludf.DUMMYFUNCTION("vlookup($D73,IMPORTRANGE(""https://docs.google.com/spreadsheets/d/1swGwZOEqYlTEUCJLY-eeJM1911Kvaei5oySBIxdgtNo/edit?pli=1#gid=257618397"",""stock FAKTUR!B:F""),5,false)"),"KN")</f>
        <v>KN</v>
      </c>
      <c r="I73" s="53" t="str">
        <f>IFERROR(__xludf.DUMMYFUNCTION("vlookup($D73,IMPORTRANGE(""https://docs.google.com/spreadsheets/d/1swGwZOEqYlTEUCJLY-eeJM1911Kvaei5oySBIxdgtNo/edit?pli=1#gid=257618397"",""stock FAKTUR!B:G""),6,false)"),"CP-12F")</f>
        <v>CP-12F</v>
      </c>
      <c r="J73" s="43" t="str">
        <f t="shared" si="1"/>
        <v>ADA</v>
      </c>
      <c r="K73" s="146">
        <v>1.0</v>
      </c>
      <c r="L73" s="145" t="str">
        <f>IFERROR(__xludf.DUMMYFUNCTION("vlookup($D73,IMPORTRANGE(""https://docs.google.com/spreadsheets/d/1swGwZOEqYlTEUCJLY-eeJM1911Kvaei5oySBIxdgtNo/edit?pli=1#gid=257618397"",""stock FAKTUR!B:q""),16,false)"),"LSN")</f>
        <v>LSN</v>
      </c>
      <c r="M73" s="147">
        <v>124200.0</v>
      </c>
      <c r="N73" s="152">
        <v>0.1</v>
      </c>
      <c r="O73" s="147">
        <f t="shared" si="2"/>
        <v>111780</v>
      </c>
      <c r="P73" s="147" t="str">
        <f t="shared" si="3"/>
        <v>Rp124,200-1 LSN-10.00%</v>
      </c>
      <c r="Q73" s="149">
        <v>45408.0</v>
      </c>
      <c r="R73" s="150"/>
      <c r="S73" s="149">
        <v>45414.0</v>
      </c>
      <c r="T73" s="151"/>
      <c r="U73" s="151"/>
      <c r="V73" s="151"/>
      <c r="W73" s="151"/>
    </row>
    <row r="74">
      <c r="A74" s="142">
        <v>4652.0</v>
      </c>
      <c r="B74" s="143" t="s">
        <v>58</v>
      </c>
      <c r="C74" s="143" t="str">
        <f t="shared" si="22"/>
        <v>PRISMA-YOGYA</v>
      </c>
      <c r="D74" s="151" t="s">
        <v>4433</v>
      </c>
      <c r="E74" s="145" t="str">
        <f>IFERROR(__xludf.DUMMYFUNCTION("vlookup(D74,IMPORTRANGE(""https://docs.google.com/spreadsheets/d/1swGwZOEqYlTEUCJLY-eeJM1911Kvaei5oySBIxdgtNo/edit?pli=1#gid=257618397"",""stock FAKTUR!B:C""),2,false)"),"PW JK CP-12PB PANJANG")</f>
        <v>PW JK CP-12PB PANJANG</v>
      </c>
      <c r="F74" s="53" t="str">
        <f>IFERROR(__xludf.DUMMYFUNCTION("vlookup($D74,IMPORTRANGE(""https://docs.google.com/spreadsheets/d/1swGwZOEqYlTEUCJLY-eeJM1911Kvaei5oySBIxdgtNo/edit?pli=1#gid=257618397"",""stock FAKTUR!B:d""),3,false)"),"")</f>
        <v/>
      </c>
      <c r="G74" s="53" t="str">
        <f>IFERROR(__xludf.DUMMYFUNCTION("vlookup($D74,IMPORTRANGE(""https://docs.google.com/spreadsheets/d/1swGwZOEqYlTEUCJLY-eeJM1911Kvaei5oySBIxdgtNo/edit?pli=1#gid=257618397"",""stock FAKTUR!B:e""),4,false)"),"12W")</f>
        <v>12W</v>
      </c>
      <c r="H74" s="53" t="str">
        <f>IFERROR(__xludf.DUMMYFUNCTION("vlookup($D74,IMPORTRANGE(""https://docs.google.com/spreadsheets/d/1swGwZOEqYlTEUCJLY-eeJM1911Kvaei5oySBIxdgtNo/edit?pli=1#gid=257618397"",""stock FAKTUR!B:F""),5,false)"),"JK")</f>
        <v>JK</v>
      </c>
      <c r="I74" s="53" t="str">
        <f>IFERROR(__xludf.DUMMYFUNCTION("vlookup($D74,IMPORTRANGE(""https://docs.google.com/spreadsheets/d/1swGwZOEqYlTEUCJLY-eeJM1911Kvaei5oySBIxdgtNo/edit?pli=1#gid=257618397"",""stock FAKTUR!B:G""),6,false)"),"CP-12PB")</f>
        <v>CP-12PB</v>
      </c>
      <c r="J74" s="85" t="s">
        <v>1319</v>
      </c>
      <c r="K74" s="146">
        <v>12.0</v>
      </c>
      <c r="L74" s="145" t="str">
        <f>IFERROR(__xludf.DUMMYFUNCTION("vlookup($D74,IMPORTRANGE(""https://docs.google.com/spreadsheets/d/1swGwZOEqYlTEUCJLY-eeJM1911Kvaei5oySBIxdgtNo/edit?pli=1#gid=257618397"",""stock FAKTUR!B:q""),16,false)"),"PCS")</f>
        <v>PCS</v>
      </c>
      <c r="M74" s="147">
        <f>122400/12</f>
        <v>10200</v>
      </c>
      <c r="N74" s="152">
        <v>0.1</v>
      </c>
      <c r="O74" s="147">
        <f t="shared" si="2"/>
        <v>110160</v>
      </c>
      <c r="P74" s="147" t="str">
        <f t="shared" si="3"/>
        <v>Rp10,200-12 PCS-10.00%</v>
      </c>
      <c r="Q74" s="149">
        <v>45408.0</v>
      </c>
      <c r="R74" s="150"/>
      <c r="S74" s="149">
        <v>45414.0</v>
      </c>
      <c r="T74" s="151"/>
      <c r="U74" s="151"/>
      <c r="V74" s="151"/>
      <c r="W74" s="151"/>
    </row>
    <row r="75">
      <c r="A75" s="142">
        <v>4652.0</v>
      </c>
      <c r="B75" s="143" t="s">
        <v>58</v>
      </c>
      <c r="C75" s="143" t="str">
        <f t="shared" si="22"/>
        <v>PRISMA-YOGYA</v>
      </c>
      <c r="D75" s="144" t="s">
        <v>4434</v>
      </c>
      <c r="E75" s="145" t="str">
        <f>IFERROR(__xludf.DUMMYFUNCTION("vlookup(D75,IMPORTRANGE(""https://docs.google.com/spreadsheets/d/1swGwZOEqYlTEUCJLY-eeJM1911Kvaei5oySBIxdgtNo/edit?pli=1#gid=257618397"",""stock FAKTUR!B:C""),2,false)"),"PW KENKO 24W CP-24F CLASSIC PANJANG")</f>
        <v>PW KENKO 24W CP-24F CLASSIC PANJANG</v>
      </c>
      <c r="F75" s="53" t="str">
        <f>IFERROR(__xludf.DUMMYFUNCTION("vlookup($D75,IMPORTRANGE(""https://docs.google.com/spreadsheets/d/1swGwZOEqYlTEUCJLY-eeJM1911Kvaei5oySBIxdgtNo/edit?pli=1#gid=257618397"",""stock FAKTUR!B:d""),3,false)"),"")</f>
        <v/>
      </c>
      <c r="G75" s="53" t="str">
        <f>IFERROR(__xludf.DUMMYFUNCTION("vlookup($D75,IMPORTRANGE(""https://docs.google.com/spreadsheets/d/1swGwZOEqYlTEUCJLY-eeJM1911Kvaei5oySBIxdgtNo/edit?pli=1#gid=257618397"",""stock FAKTUR!B:e""),4,false)"),"24W")</f>
        <v>24W</v>
      </c>
      <c r="H75" s="53" t="str">
        <f>IFERROR(__xludf.DUMMYFUNCTION("vlookup($D75,IMPORTRANGE(""https://docs.google.com/spreadsheets/d/1swGwZOEqYlTEUCJLY-eeJM1911Kvaei5oySBIxdgtNo/edit?pli=1#gid=257618397"",""stock FAKTUR!B:F""),5,false)"),"KN")</f>
        <v>KN</v>
      </c>
      <c r="I75" s="53" t="str">
        <f>IFERROR(__xludf.DUMMYFUNCTION("vlookup($D75,IMPORTRANGE(""https://docs.google.com/spreadsheets/d/1swGwZOEqYlTEUCJLY-eeJM1911Kvaei5oySBIxdgtNo/edit?pli=1#gid=257618397"",""stock FAKTUR!B:G""),6,false)"),"CP-24F")</f>
        <v>CP-24F</v>
      </c>
      <c r="J75" s="120" t="str">
        <f>IF(D75="","TIDAK ADA","ADA")</f>
        <v>ADA</v>
      </c>
      <c r="K75" s="146">
        <v>2.0</v>
      </c>
      <c r="L75" s="145" t="str">
        <f>IFERROR(__xludf.DUMMYFUNCTION("vlookup($D75,IMPORTRANGE(""https://docs.google.com/spreadsheets/d/1swGwZOEqYlTEUCJLY-eeJM1911Kvaei5oySBIxdgtNo/edit?pli=1#gid=257618397"",""stock FAKTUR!B:q""),16,false)"),"LSN")</f>
        <v>LSN</v>
      </c>
      <c r="M75" s="147">
        <v>248400.0</v>
      </c>
      <c r="N75" s="152">
        <v>0.1</v>
      </c>
      <c r="O75" s="147">
        <f t="shared" si="2"/>
        <v>447120</v>
      </c>
      <c r="P75" s="147" t="str">
        <f t="shared" si="3"/>
        <v>Rp248,400-2 LSN-10.00%</v>
      </c>
      <c r="Q75" s="149">
        <v>45408.0</v>
      </c>
      <c r="R75" s="150"/>
      <c r="S75" s="149">
        <v>45414.0</v>
      </c>
      <c r="T75" s="151"/>
      <c r="U75" s="151"/>
      <c r="V75" s="151"/>
      <c r="W75" s="151"/>
    </row>
    <row r="76">
      <c r="A76" s="142">
        <v>4675.0</v>
      </c>
      <c r="B76" s="143" t="s">
        <v>58</v>
      </c>
      <c r="C76" s="143" t="s">
        <v>59</v>
      </c>
      <c r="D76" s="145" t="s">
        <v>4396</v>
      </c>
      <c r="E76" s="145" t="str">
        <f>IFERROR(__xludf.DUMMYFUNCTION("vlookup(D76,IMPORTRANGE(""https://docs.google.com/spreadsheets/d/1swGwZOEqYlTEUCJLY-eeJM1911Kvaei5oySBIxdgtNo/edit?pli=1#gid=257618397"",""stock FAKTUR!B:C""),2,false)"),"STAPLER KENKO HD-10")</f>
        <v>STAPLER KENKO HD-10</v>
      </c>
      <c r="F76" s="53" t="str">
        <f>IFERROR(__xludf.DUMMYFUNCTION("vlookup($D76,IMPORTRANGE(""https://docs.google.com/spreadsheets/d/1swGwZOEqYlTEUCJLY-eeJM1911Kvaei5oySBIxdgtNo/edit?pli=1#gid=257618397"",""stock FAKTUR!B:d""),3,false)"),"")</f>
        <v/>
      </c>
      <c r="G76" s="53" t="str">
        <f>IFERROR(__xludf.DUMMYFUNCTION("vlookup($D76,IMPORTRANGE(""https://docs.google.com/spreadsheets/d/1swGwZOEqYlTEUCJLY-eeJM1911Kvaei5oySBIxdgtNo/edit?pli=1#gid=257618397"",""stock FAKTUR!B:e""),4,false)"),"")</f>
        <v/>
      </c>
      <c r="H76" s="53" t="str">
        <f>IFERROR(__xludf.DUMMYFUNCTION("vlookup($D76,IMPORTRANGE(""https://docs.google.com/spreadsheets/d/1swGwZOEqYlTEUCJLY-eeJM1911Kvaei5oySBIxdgtNo/edit?pli=1#gid=257618397"",""stock FAKTUR!B:F""),5,false)"),"KN")</f>
        <v>KN</v>
      </c>
      <c r="I76" s="53" t="str">
        <f>IFERROR(__xludf.DUMMYFUNCTION("vlookup($D76,IMPORTRANGE(""https://docs.google.com/spreadsheets/d/1swGwZOEqYlTEUCJLY-eeJM1911Kvaei5oySBIxdgtNo/edit?pli=1#gid=257618397"",""stock FAKTUR!B:G""),6,false)"),"HD-10")</f>
        <v>HD-10</v>
      </c>
      <c r="J76" s="85" t="s">
        <v>3190</v>
      </c>
      <c r="K76" s="146">
        <v>2.0</v>
      </c>
      <c r="L76" s="145" t="str">
        <f>IFERROR(__xludf.DUMMYFUNCTION("vlookup($D76,IMPORTRANGE(""https://docs.google.com/spreadsheets/d/1swGwZOEqYlTEUCJLY-eeJM1911Kvaei5oySBIxdgtNo/edit?pli=1#gid=257618397"",""stock FAKTUR!B:q""),16,false)"),"LSN")</f>
        <v>LSN</v>
      </c>
      <c r="M76" s="147">
        <v>93000.0</v>
      </c>
      <c r="N76" s="152">
        <v>0.075</v>
      </c>
      <c r="O76" s="147">
        <f t="shared" si="2"/>
        <v>172050</v>
      </c>
      <c r="P76" s="147" t="str">
        <f t="shared" si="3"/>
        <v>Rp93,000-2 LSN-7.50%</v>
      </c>
      <c r="Q76" s="149">
        <v>45411.0</v>
      </c>
      <c r="R76" s="150"/>
      <c r="S76" s="149">
        <v>45414.0</v>
      </c>
      <c r="T76" s="151"/>
      <c r="U76" s="151"/>
      <c r="V76" s="151"/>
      <c r="W76" s="151"/>
    </row>
    <row r="77">
      <c r="A77" s="142">
        <v>4675.0</v>
      </c>
      <c r="B77" s="143" t="str">
        <f t="shared" ref="B77:B81" si="23">IF(A77=A76,B76,"")</f>
        <v>G</v>
      </c>
      <c r="C77" s="143" t="str">
        <f t="shared" ref="C77:C81" si="24">IF(A77=A76,C76,"")</f>
        <v>PRISMA-YOGYA</v>
      </c>
      <c r="D77" s="144" t="s">
        <v>4435</v>
      </c>
      <c r="E77" s="145" t="str">
        <f>IFERROR(__xludf.DUMMYFUNCTION("vlookup(D77,IMPORTRANGE(""https://docs.google.com/spreadsheets/d/1swGwZOEqYlTEUCJLY-eeJM1911Kvaei5oySBIxdgtNo/edit?pli=1#gid=257618397"",""stock FAKTUR!B:C""),2,false)"),"STAPLER KENKO HD-10 S MINI")</f>
        <v>STAPLER KENKO HD-10 S MINI</v>
      </c>
      <c r="F77" s="53" t="str">
        <f>IFERROR(__xludf.DUMMYFUNCTION("vlookup($D77,IMPORTRANGE(""https://docs.google.com/spreadsheets/d/1swGwZOEqYlTEUCJLY-eeJM1911Kvaei5oySBIxdgtNo/edit?pli=1#gid=257618397"",""stock FAKTUR!B:d""),3,false)"),"M")</f>
        <v>M</v>
      </c>
      <c r="G77" s="53" t="str">
        <f>IFERROR(__xludf.DUMMYFUNCTION("vlookup($D77,IMPORTRANGE(""https://docs.google.com/spreadsheets/d/1swGwZOEqYlTEUCJLY-eeJM1911Kvaei5oySBIxdgtNo/edit?pli=1#gid=257618397"",""stock FAKTUR!B:e""),4,false)"),"")</f>
        <v/>
      </c>
      <c r="H77" s="53" t="str">
        <f>IFERROR(__xludf.DUMMYFUNCTION("vlookup($D77,IMPORTRANGE(""https://docs.google.com/spreadsheets/d/1swGwZOEqYlTEUCJLY-eeJM1911Kvaei5oySBIxdgtNo/edit?pli=1#gid=257618397"",""stock FAKTUR!B:F""),5,false)"),"KN")</f>
        <v>KN</v>
      </c>
      <c r="I77" s="53" t="str">
        <f>IFERROR(__xludf.DUMMYFUNCTION("vlookup($D77,IMPORTRANGE(""https://docs.google.com/spreadsheets/d/1swGwZOEqYlTEUCJLY-eeJM1911Kvaei5oySBIxdgtNo/edit?pli=1#gid=257618397"",""stock FAKTUR!B:G""),6,false)"),"HD-10S")</f>
        <v>HD-10S</v>
      </c>
      <c r="J77" s="120" t="str">
        <f>IF(D77="","TIDAK ADA","ADA")</f>
        <v>ADA</v>
      </c>
      <c r="K77" s="146">
        <v>1.0</v>
      </c>
      <c r="L77" s="145" t="str">
        <f>IFERROR(__xludf.DUMMYFUNCTION("vlookup($D77,IMPORTRANGE(""https://docs.google.com/spreadsheets/d/1swGwZOEqYlTEUCJLY-eeJM1911Kvaei5oySBIxdgtNo/edit?pli=1#gid=257618397"",""stock FAKTUR!B:q""),16,false)"),"LSN")</f>
        <v>LSN</v>
      </c>
      <c r="M77" s="147">
        <v>69600.0</v>
      </c>
      <c r="N77" s="152">
        <v>0.075</v>
      </c>
      <c r="O77" s="147">
        <f t="shared" si="2"/>
        <v>64380</v>
      </c>
      <c r="P77" s="147" t="str">
        <f t="shared" si="3"/>
        <v>Rp69,600-1 LSN-7.50%</v>
      </c>
      <c r="Q77" s="149">
        <v>45411.0</v>
      </c>
      <c r="R77" s="150"/>
      <c r="S77" s="149">
        <v>45414.0</v>
      </c>
      <c r="T77" s="151"/>
      <c r="U77" s="151"/>
      <c r="V77" s="151"/>
      <c r="W77" s="151"/>
    </row>
    <row r="78">
      <c r="A78" s="142">
        <v>4675.0</v>
      </c>
      <c r="B78" s="143" t="str">
        <f t="shared" si="23"/>
        <v>G</v>
      </c>
      <c r="C78" s="143" t="str">
        <f t="shared" si="24"/>
        <v>PRISMA-YOGYA</v>
      </c>
      <c r="D78" s="145" t="s">
        <v>4436</v>
      </c>
      <c r="E78" s="145" t="str">
        <f>IFERROR(__xludf.DUMMYFUNCTION("vlookup(D78,IMPORTRANGE(""https://docs.google.com/spreadsheets/d/1swGwZOEqYlTEUCJLY-eeJM1911Kvaei5oySBIxdgtNo/edit?pli=1#gid=257618397"",""stock FAKTUR!B:C""),2,false)"),"STAPLER KENKO HD-50")</f>
        <v>STAPLER KENKO HD-50</v>
      </c>
      <c r="F78" s="53" t="str">
        <f>IFERROR(__xludf.DUMMYFUNCTION("vlookup($D78,IMPORTRANGE(""https://docs.google.com/spreadsheets/d/1swGwZOEqYlTEUCJLY-eeJM1911Kvaei5oySBIxdgtNo/edit?pli=1#gid=257618397"",""stock FAKTUR!B:d""),3,false)"),"")</f>
        <v/>
      </c>
      <c r="G78" s="53" t="str">
        <f>IFERROR(__xludf.DUMMYFUNCTION("vlookup($D78,IMPORTRANGE(""https://docs.google.com/spreadsheets/d/1swGwZOEqYlTEUCJLY-eeJM1911Kvaei5oySBIxdgtNo/edit?pli=1#gid=257618397"",""stock FAKTUR!B:e""),4,false)"),"")</f>
        <v/>
      </c>
      <c r="H78" s="53" t="str">
        <f>IFERROR(__xludf.DUMMYFUNCTION("vlookup($D78,IMPORTRANGE(""https://docs.google.com/spreadsheets/d/1swGwZOEqYlTEUCJLY-eeJM1911Kvaei5oySBIxdgtNo/edit?pli=1#gid=257618397"",""stock FAKTUR!B:F""),5,false)"),"KN")</f>
        <v>KN</v>
      </c>
      <c r="I78" s="53" t="str">
        <f>IFERROR(__xludf.DUMMYFUNCTION("vlookup($D78,IMPORTRANGE(""https://docs.google.com/spreadsheets/d/1swGwZOEqYlTEUCJLY-eeJM1911Kvaei5oySBIxdgtNo/edit?pli=1#gid=257618397"",""stock FAKTUR!B:G""),6,false)"),"HD-50")</f>
        <v>HD-50</v>
      </c>
      <c r="J78" s="120"/>
      <c r="K78" s="146">
        <v>12.0</v>
      </c>
      <c r="L78" s="145" t="str">
        <f>IFERROR(__xludf.DUMMYFUNCTION("vlookup($D78,IMPORTRANGE(""https://docs.google.com/spreadsheets/d/1swGwZOEqYlTEUCJLY-eeJM1911Kvaei5oySBIxdgtNo/edit?pli=1#gid=257618397"",""stock FAKTUR!B:q""),16,false)"),"PCS")</f>
        <v>PCS</v>
      </c>
      <c r="M78" s="147">
        <f>228000/12</f>
        <v>19000</v>
      </c>
      <c r="N78" s="152">
        <v>0.075</v>
      </c>
      <c r="O78" s="147">
        <f t="shared" si="2"/>
        <v>210900</v>
      </c>
      <c r="P78" s="147" t="str">
        <f t="shared" si="3"/>
        <v>Rp19,000-12 PCS-7.50%</v>
      </c>
      <c r="Q78" s="149">
        <v>45411.0</v>
      </c>
      <c r="R78" s="150"/>
      <c r="S78" s="149">
        <v>45414.0</v>
      </c>
      <c r="T78" s="151"/>
      <c r="U78" s="151"/>
      <c r="V78" s="151"/>
      <c r="W78" s="151"/>
    </row>
    <row r="79">
      <c r="A79" s="142">
        <v>4675.0</v>
      </c>
      <c r="B79" s="143" t="str">
        <f t="shared" si="23"/>
        <v>G</v>
      </c>
      <c r="C79" s="143" t="str">
        <f t="shared" si="24"/>
        <v>PRISMA-YOGYA</v>
      </c>
      <c r="D79" s="145" t="s">
        <v>4210</v>
      </c>
      <c r="E79" s="145" t="str">
        <f>IFERROR(__xludf.DUMMYFUNCTION("vlookup(D79,IMPORTRANGE(""https://docs.google.com/spreadsheets/d/1swGwZOEqYlTEUCJLY-eeJM1911Kvaei5oySBIxdgtNo/edit?pli=1#gid=257618397"",""stock FAKTUR!B:C""),2,false)"),"CUTTER KENKO L-500")</f>
        <v>CUTTER KENKO L-500</v>
      </c>
      <c r="F79" s="53" t="str">
        <f>IFERROR(__xludf.DUMMYFUNCTION("vlookup($D79,IMPORTRANGE(""https://docs.google.com/spreadsheets/d/1swGwZOEqYlTEUCJLY-eeJM1911Kvaei5oySBIxdgtNo/edit?pli=1#gid=257618397"",""stock FAKTUR!B:d""),3,false)"),"18 MM")</f>
        <v>18 MM</v>
      </c>
      <c r="G79" s="53" t="str">
        <f>IFERROR(__xludf.DUMMYFUNCTION("vlookup($D79,IMPORTRANGE(""https://docs.google.com/spreadsheets/d/1swGwZOEqYlTEUCJLY-eeJM1911Kvaei5oySBIxdgtNo/edit?pli=1#gid=257618397"",""stock FAKTUR!B:e""),4,false)"),"")</f>
        <v/>
      </c>
      <c r="H79" s="53" t="str">
        <f>IFERROR(__xludf.DUMMYFUNCTION("vlookup($D79,IMPORTRANGE(""https://docs.google.com/spreadsheets/d/1swGwZOEqYlTEUCJLY-eeJM1911Kvaei5oySBIxdgtNo/edit?pli=1#gid=257618397"",""stock FAKTUR!B:F""),5,false)"),"KN")</f>
        <v>KN</v>
      </c>
      <c r="I79" s="53" t="str">
        <f>IFERROR(__xludf.DUMMYFUNCTION("vlookup($D79,IMPORTRANGE(""https://docs.google.com/spreadsheets/d/1swGwZOEqYlTEUCJLY-eeJM1911Kvaei5oySBIxdgtNo/edit?pli=1#gid=257618397"",""stock FAKTUR!B:G""),6,false)"),"CTR-007")</f>
        <v>CTR-007</v>
      </c>
      <c r="J79" s="120"/>
      <c r="K79" s="146">
        <v>1.0</v>
      </c>
      <c r="L79" s="145" t="str">
        <f>IFERROR(__xludf.DUMMYFUNCTION("vlookup($D79,IMPORTRANGE(""https://docs.google.com/spreadsheets/d/1swGwZOEqYlTEUCJLY-eeJM1911Kvaei5oySBIxdgtNo/edit?pli=1#gid=257618397"",""stock FAKTUR!B:q""),16,false)"),"LSN")</f>
        <v>LSN</v>
      </c>
      <c r="M79" s="147">
        <v>147600.0</v>
      </c>
      <c r="N79" s="152">
        <v>0.075</v>
      </c>
      <c r="O79" s="147">
        <f t="shared" si="2"/>
        <v>136530</v>
      </c>
      <c r="P79" s="147" t="str">
        <f t="shared" si="3"/>
        <v>Rp147,600-1 LSN-7.50%</v>
      </c>
      <c r="Q79" s="149">
        <v>45411.0</v>
      </c>
      <c r="R79" s="150"/>
      <c r="S79" s="149">
        <v>45414.0</v>
      </c>
      <c r="T79" s="151"/>
      <c r="U79" s="151"/>
      <c r="V79" s="151"/>
      <c r="W79" s="151"/>
    </row>
    <row r="80">
      <c r="A80" s="142">
        <v>4675.0</v>
      </c>
      <c r="B80" s="143" t="str">
        <f t="shared" si="23"/>
        <v>G</v>
      </c>
      <c r="C80" s="143" t="str">
        <f t="shared" si="24"/>
        <v>PRISMA-YOGYA</v>
      </c>
      <c r="D80" s="145" t="s">
        <v>4398</v>
      </c>
      <c r="E80" s="145" t="str">
        <f>IFERROR(__xludf.DUMMYFUNCTION("vlookup(D80,IMPORTRANGE(""https://docs.google.com/spreadsheets/d/1swGwZOEqYlTEUCJLY-eeJM1911Kvaei5oySBIxdgtNo/edit?pli=1#gid=257618397"",""stock FAKTUR!B:C""),2,false)"),"ISI CUTTER KENKO L-150 BESAR")</f>
        <v>ISI CUTTER KENKO L-150 BESAR</v>
      </c>
      <c r="F80" s="53" t="str">
        <f>IFERROR(__xludf.DUMMYFUNCTION("vlookup($D80,IMPORTRANGE(""https://docs.google.com/spreadsheets/d/1swGwZOEqYlTEUCJLY-eeJM1911Kvaei5oySBIxdgtNo/edit?pli=1#gid=257618397"",""stock FAKTUR!B:d""),3,false)"),"18 MM")</f>
        <v>18 MM</v>
      </c>
      <c r="G80" s="53" t="str">
        <f>IFERROR(__xludf.DUMMYFUNCTION("vlookup($D80,IMPORTRANGE(""https://docs.google.com/spreadsheets/d/1swGwZOEqYlTEUCJLY-eeJM1911Kvaei5oySBIxdgtNo/edit?pli=1#gid=257618397"",""stock FAKTUR!B:e""),4,false)"),"")</f>
        <v/>
      </c>
      <c r="H80" s="53" t="str">
        <f>IFERROR(__xludf.DUMMYFUNCTION("vlookup($D80,IMPORTRANGE(""https://docs.google.com/spreadsheets/d/1swGwZOEqYlTEUCJLY-eeJM1911Kvaei5oySBIxdgtNo/edit?pli=1#gid=257618397"",""stock FAKTUR!B:F""),5,false)"),"KN")</f>
        <v>KN</v>
      </c>
      <c r="I80" s="53" t="str">
        <f>IFERROR(__xludf.DUMMYFUNCTION("vlookup($D80,IMPORTRANGE(""https://docs.google.com/spreadsheets/d/1swGwZOEqYlTEUCJLY-eeJM1911Kvaei5oySBIxdgtNo/edit?pli=1#gid=257618397"",""stock FAKTUR!B:G""),6,false)"),"CTB-002")</f>
        <v>CTB-002</v>
      </c>
      <c r="J80" s="120"/>
      <c r="K80" s="146">
        <v>6.0</v>
      </c>
      <c r="L80" s="145" t="str">
        <f>IFERROR(__xludf.DUMMYFUNCTION("vlookup($D80,IMPORTRANGE(""https://docs.google.com/spreadsheets/d/1swGwZOEqYlTEUCJLY-eeJM1911Kvaei5oySBIxdgtNo/edit?pli=1#gid=257618397"",""stock FAKTUR!B:q""),16,false)"),"LSN")</f>
        <v>LSN</v>
      </c>
      <c r="M80" s="147">
        <v>64800.0</v>
      </c>
      <c r="N80" s="152">
        <v>0.075</v>
      </c>
      <c r="O80" s="147">
        <f t="shared" si="2"/>
        <v>359640</v>
      </c>
      <c r="P80" s="147" t="str">
        <f t="shared" si="3"/>
        <v>Rp64,800-6 LSN-7.50%</v>
      </c>
      <c r="Q80" s="149">
        <v>45411.0</v>
      </c>
      <c r="R80" s="150"/>
      <c r="S80" s="149">
        <v>45414.0</v>
      </c>
      <c r="T80" s="151"/>
      <c r="U80" s="151"/>
      <c r="V80" s="151"/>
      <c r="W80" s="151"/>
    </row>
    <row r="81">
      <c r="A81" s="142">
        <v>4675.0</v>
      </c>
      <c r="B81" s="143" t="str">
        <f t="shared" si="23"/>
        <v>G</v>
      </c>
      <c r="C81" s="143" t="str">
        <f t="shared" si="24"/>
        <v>PRISMA-YOGYA</v>
      </c>
      <c r="D81" s="144" t="s">
        <v>4431</v>
      </c>
      <c r="E81" s="145" t="str">
        <f>IFERROR(__xludf.DUMMYFUNCTION("vlookup(D81,IMPORTRANGE(""https://docs.google.com/spreadsheets/d/1swGwZOEqYlTEUCJLY-eeJM1911Kvaei5oySBIxdgtNo/edit?pli=1#gid=257618397"",""stock FAKTUR!B:C""),2,false)"),"MESIN LABEL HARGA KENKO MX-5500")</f>
        <v>MESIN LABEL HARGA KENKO MX-5500</v>
      </c>
      <c r="F81" s="53" t="str">
        <f>IFERROR(__xludf.DUMMYFUNCTION("vlookup($D81,IMPORTRANGE(""https://docs.google.com/spreadsheets/d/1swGwZOEqYlTEUCJLY-eeJM1911Kvaei5oySBIxdgtNo/edit?pli=1#gid=257618397"",""stock FAKTUR!B:d""),3,false)"),"")</f>
        <v/>
      </c>
      <c r="G81" s="53" t="str">
        <f>IFERROR(__xludf.DUMMYFUNCTION("vlookup($D81,IMPORTRANGE(""https://docs.google.com/spreadsheets/d/1swGwZOEqYlTEUCJLY-eeJM1911Kvaei5oySBIxdgtNo/edit?pli=1#gid=257618397"",""stock FAKTUR!B:e""),4,false)"),"")</f>
        <v/>
      </c>
      <c r="H81" s="53" t="str">
        <f>IFERROR(__xludf.DUMMYFUNCTION("vlookup($D81,IMPORTRANGE(""https://docs.google.com/spreadsheets/d/1swGwZOEqYlTEUCJLY-eeJM1911Kvaei5oySBIxdgtNo/edit?pli=1#gid=257618397"",""stock FAKTUR!B:F""),5,false)"),"KN")</f>
        <v>KN</v>
      </c>
      <c r="I81" s="53" t="str">
        <f>IFERROR(__xludf.DUMMYFUNCTION("vlookup($D81,IMPORTRANGE(""https://docs.google.com/spreadsheets/d/1swGwZOEqYlTEUCJLY-eeJM1911Kvaei5oySBIxdgtNo/edit?pli=1#gid=257618397"",""stock FAKTUR!B:G""),6,false)"),"PLR-001")</f>
        <v>PLR-001</v>
      </c>
      <c r="J81" s="120" t="str">
        <f t="shared" ref="J81:J1192" si="25">IF(D81="","TIDAK ADA","ADA")</f>
        <v>ADA</v>
      </c>
      <c r="K81" s="146">
        <v>6.0</v>
      </c>
      <c r="L81" s="145" t="str">
        <f>IFERROR(__xludf.DUMMYFUNCTION("vlookup($D81,IMPORTRANGE(""https://docs.google.com/spreadsheets/d/1swGwZOEqYlTEUCJLY-eeJM1911Kvaei5oySBIxdgtNo/edit?pli=1#gid=257618397"",""stock FAKTUR!B:q""),16,false)"),"PCS")</f>
        <v>PCS</v>
      </c>
      <c r="M81" s="147">
        <v>45000.0</v>
      </c>
      <c r="N81" s="152">
        <v>0.075</v>
      </c>
      <c r="O81" s="147">
        <f t="shared" si="2"/>
        <v>249750</v>
      </c>
      <c r="P81" s="147" t="str">
        <f t="shared" si="3"/>
        <v>Rp45,000-6 PCS-7.50%</v>
      </c>
      <c r="Q81" s="149">
        <v>45411.0</v>
      </c>
      <c r="R81" s="150"/>
      <c r="S81" s="149">
        <v>45414.0</v>
      </c>
      <c r="T81" s="151"/>
      <c r="U81" s="151"/>
      <c r="V81" s="151"/>
      <c r="W81" s="151"/>
    </row>
    <row r="82">
      <c r="A82" s="142">
        <v>4668.0</v>
      </c>
      <c r="B82" s="143" t="s">
        <v>33</v>
      </c>
      <c r="C82" s="143" t="s">
        <v>4437</v>
      </c>
      <c r="D82" s="144" t="s">
        <v>4438</v>
      </c>
      <c r="E82" s="145" t="str">
        <f>IFERROR(__xludf.DUMMYFUNCTION("vlookup(D82,IMPORTRANGE(""https://docs.google.com/spreadsheets/d/1swGwZOEqYlTEUCJLY-eeJM1911Kvaei5oySBIxdgtNo/edit?pli=1#gid=257618397"",""stock FAKTUR!B:C""),2,false)"),"STAMP PAD KENKO NO. 0")</f>
        <v>STAMP PAD KENKO NO. 0</v>
      </c>
      <c r="F82" s="53" t="str">
        <f>IFERROR(__xludf.DUMMYFUNCTION("vlookup($D82,IMPORTRANGE(""https://docs.google.com/spreadsheets/d/1swGwZOEqYlTEUCJLY-eeJM1911Kvaei5oySBIxdgtNo/edit?pli=1#gid=257618397"",""stock FAKTUR!B:d""),3,false)"),"")</f>
        <v/>
      </c>
      <c r="G82" s="53" t="str">
        <f>IFERROR(__xludf.DUMMYFUNCTION("vlookup($D82,IMPORTRANGE(""https://docs.google.com/spreadsheets/d/1swGwZOEqYlTEUCJLY-eeJM1911Kvaei5oySBIxdgtNo/edit?pli=1#gid=257618397"",""stock FAKTUR!B:e""),4,false)"),"")</f>
        <v/>
      </c>
      <c r="H82" s="53" t="str">
        <f>IFERROR(__xludf.DUMMYFUNCTION("vlookup($D82,IMPORTRANGE(""https://docs.google.com/spreadsheets/d/1swGwZOEqYlTEUCJLY-eeJM1911Kvaei5oySBIxdgtNo/edit?pli=1#gid=257618397"",""stock FAKTUR!B:F""),5,false)"),"KN")</f>
        <v>KN</v>
      </c>
      <c r="I82" s="53" t="str">
        <f>IFERROR(__xludf.DUMMYFUNCTION("vlookup($D82,IMPORTRANGE(""https://docs.google.com/spreadsheets/d/1swGwZOEqYlTEUCJLY-eeJM1911Kvaei5oySBIxdgtNo/edit?pli=1#gid=257618397"",""stock FAKTUR!B:G""),6,false)"),"STD-001")</f>
        <v>STD-001</v>
      </c>
      <c r="J82" s="120" t="str">
        <f t="shared" si="25"/>
        <v>ADA</v>
      </c>
      <c r="K82" s="146">
        <v>18.0</v>
      </c>
      <c r="L82" s="145" t="str">
        <f>IFERROR(__xludf.DUMMYFUNCTION("vlookup($D82,IMPORTRANGE(""https://docs.google.com/spreadsheets/d/1swGwZOEqYlTEUCJLY-eeJM1911Kvaei5oySBIxdgtNo/edit?pli=1#gid=257618397"",""stock FAKTUR!B:q""),16,false)"),"LSN")</f>
        <v>LSN</v>
      </c>
      <c r="M82" s="147">
        <v>59400.0</v>
      </c>
      <c r="N82" s="152">
        <v>0.125</v>
      </c>
      <c r="O82" s="147">
        <f t="shared" si="2"/>
        <v>935550</v>
      </c>
      <c r="P82" s="147" t="str">
        <f t="shared" si="3"/>
        <v>Rp59,400-18 LSN-12.50%</v>
      </c>
      <c r="Q82" s="149">
        <v>45411.0</v>
      </c>
      <c r="R82" s="150"/>
      <c r="S82" s="149">
        <v>45414.0</v>
      </c>
      <c r="T82" s="151"/>
      <c r="U82" s="151"/>
      <c r="V82" s="151"/>
      <c r="W82" s="151"/>
    </row>
    <row r="83">
      <c r="A83" s="153">
        <v>4668.0</v>
      </c>
      <c r="B83" s="144" t="str">
        <f t="shared" ref="B83:B85" si="26">IF(A83=A82,B82,"")</f>
        <v>H</v>
      </c>
      <c r="C83" s="144" t="str">
        <f t="shared" ref="C83:C85" si="27">IF(A83=A82,C82,"")</f>
        <v>MEDIA-CILACAP</v>
      </c>
      <c r="D83" s="144" t="s">
        <v>4439</v>
      </c>
      <c r="E83" s="145" t="str">
        <f>IFERROR(__xludf.DUMMYFUNCTION("vlookup(D83,IMPORTRANGE(""https://docs.google.com/spreadsheets/d/1swGwZOEqYlTEUCJLY-eeJM1911Kvaei5oySBIxdgtNo/edit?pli=1#gid=257618397"",""stock FAKTUR!B:C""),2,false)"),"BINDER CLIP KENKO NO. 111")</f>
        <v>BINDER CLIP KENKO NO. 111</v>
      </c>
      <c r="F83" s="53" t="str">
        <f>IFERROR(__xludf.DUMMYFUNCTION("vlookup($D83,IMPORTRANGE(""https://docs.google.com/spreadsheets/d/1swGwZOEqYlTEUCJLY-eeJM1911Kvaei5oySBIxdgtNo/edit?pli=1#gid=257618397"",""stock FAKTUR!B:d""),3,false)"),"")</f>
        <v/>
      </c>
      <c r="G83" s="53" t="str">
        <f>IFERROR(__xludf.DUMMYFUNCTION("vlookup($D83,IMPORTRANGE(""https://docs.google.com/spreadsheets/d/1swGwZOEqYlTEUCJLY-eeJM1911Kvaei5oySBIxdgtNo/edit?pli=1#gid=257618397"",""stock FAKTUR!B:e""),4,false)"),"")</f>
        <v/>
      </c>
      <c r="H83" s="53" t="str">
        <f>IFERROR(__xludf.DUMMYFUNCTION("vlookup($D83,IMPORTRANGE(""https://docs.google.com/spreadsheets/d/1swGwZOEqYlTEUCJLY-eeJM1911Kvaei5oySBIxdgtNo/edit?pli=1#gid=257618397"",""stock FAKTUR!B:F""),5,false)"),"KN")</f>
        <v>KN</v>
      </c>
      <c r="I83" s="53" t="str">
        <f>IFERROR(__xludf.DUMMYFUNCTION("vlookup($D83,IMPORTRANGE(""https://docs.google.com/spreadsheets/d/1swGwZOEqYlTEUCJLY-eeJM1911Kvaei5oySBIxdgtNo/edit?pli=1#gid=257618397"",""stock FAKTUR!B:G""),6,false)"),"BCL-003QH")</f>
        <v>BCL-003QH</v>
      </c>
      <c r="J83" s="120" t="str">
        <f t="shared" si="25"/>
        <v>ADA</v>
      </c>
      <c r="K83" s="154">
        <v>30.0</v>
      </c>
      <c r="L83" s="145" t="str">
        <f>IFERROR(__xludf.DUMMYFUNCTION("vlookup($D83,IMPORTRANGE(""https://docs.google.com/spreadsheets/d/1swGwZOEqYlTEUCJLY-eeJM1911Kvaei5oySBIxdgtNo/edit?pli=1#gid=257618397"",""stock FAKTUR!B:q""),16,false)"),"BOX")</f>
        <v>BOX</v>
      </c>
      <c r="M83" s="155">
        <v>49200.0</v>
      </c>
      <c r="N83" s="156">
        <v>0.125</v>
      </c>
      <c r="O83" s="155">
        <f t="shared" si="2"/>
        <v>1291500</v>
      </c>
      <c r="P83" s="155" t="str">
        <f t="shared" si="3"/>
        <v>Rp49,200-30 BOX-12.50%</v>
      </c>
      <c r="Q83" s="157">
        <v>45411.0</v>
      </c>
      <c r="R83" s="158"/>
      <c r="S83" s="157">
        <v>45414.0</v>
      </c>
      <c r="T83" s="145" t="s">
        <v>4440</v>
      </c>
      <c r="U83" s="145" t="s">
        <v>4390</v>
      </c>
      <c r="V83" s="145"/>
      <c r="W83" s="159"/>
    </row>
    <row r="84">
      <c r="A84" s="142">
        <v>4668.0</v>
      </c>
      <c r="B84" s="143" t="str">
        <f t="shared" si="26"/>
        <v>H</v>
      </c>
      <c r="C84" s="143" t="str">
        <f t="shared" si="27"/>
        <v>MEDIA-CILACAP</v>
      </c>
      <c r="D84" s="144" t="s">
        <v>4441</v>
      </c>
      <c r="E84" s="145" t="str">
        <f>IFERROR(__xludf.DUMMYFUNCTION("vlookup(D84,IMPORTRANGE(""https://docs.google.com/spreadsheets/d/1swGwZOEqYlTEUCJLY-eeJM1911Kvaei5oySBIxdgtNo/edit?pli=1#gid=257618397"",""stock FAKTUR!B:C""),2,false)"),"GUNTING KENKO SC-848N")</f>
        <v>GUNTING KENKO SC-848N</v>
      </c>
      <c r="F84" s="53" t="str">
        <f>IFERROR(__xludf.DUMMYFUNCTION("vlookup($D84,IMPORTRANGE(""https://docs.google.com/spreadsheets/d/1swGwZOEqYlTEUCJLY-eeJM1911Kvaei5oySBIxdgtNo/edit?pli=1#gid=257618397"",""stock FAKTUR!B:d""),3,false)"),"")</f>
        <v/>
      </c>
      <c r="G84" s="53" t="str">
        <f>IFERROR(__xludf.DUMMYFUNCTION("vlookup($D84,IMPORTRANGE(""https://docs.google.com/spreadsheets/d/1swGwZOEqYlTEUCJLY-eeJM1911Kvaei5oySBIxdgtNo/edit?pli=1#gid=257618397"",""stock FAKTUR!B:e""),4,false)"),"")</f>
        <v/>
      </c>
      <c r="H84" s="53" t="str">
        <f>IFERROR(__xludf.DUMMYFUNCTION("vlookup($D84,IMPORTRANGE(""https://docs.google.com/spreadsheets/d/1swGwZOEqYlTEUCJLY-eeJM1911Kvaei5oySBIxdgtNo/edit?pli=1#gid=257618397"",""stock FAKTUR!B:F""),5,false)"),"KN")</f>
        <v>KN</v>
      </c>
      <c r="I84" s="53" t="str">
        <f>IFERROR(__xludf.DUMMYFUNCTION("vlookup($D84,IMPORTRANGE(""https://docs.google.com/spreadsheets/d/1swGwZOEqYlTEUCJLY-eeJM1911Kvaei5oySBIxdgtNo/edit?pli=1#gid=257618397"",""stock FAKTUR!B:G""),6,false)"),"SCS-003GO")</f>
        <v>SCS-003GO</v>
      </c>
      <c r="J84" s="120" t="str">
        <f t="shared" si="25"/>
        <v>ADA</v>
      </c>
      <c r="K84" s="146">
        <v>10.0</v>
      </c>
      <c r="L84" s="145" t="str">
        <f>IFERROR(__xludf.DUMMYFUNCTION("vlookup($D84,IMPORTRANGE(""https://docs.google.com/spreadsheets/d/1swGwZOEqYlTEUCJLY-eeJM1911Kvaei5oySBIxdgtNo/edit?pli=1#gid=257618397"",""stock FAKTUR!B:q""),16,false)"),"LSN")</f>
        <v>LSN</v>
      </c>
      <c r="M84" s="147">
        <v>118800.0</v>
      </c>
      <c r="N84" s="152">
        <v>0.125</v>
      </c>
      <c r="O84" s="147">
        <f t="shared" si="2"/>
        <v>1039500</v>
      </c>
      <c r="P84" s="147" t="str">
        <f t="shared" si="3"/>
        <v>Rp118,800-10 LSN-12.50%</v>
      </c>
      <c r="Q84" s="149">
        <v>45411.0</v>
      </c>
      <c r="R84" s="150"/>
      <c r="S84" s="149">
        <v>45414.0</v>
      </c>
      <c r="T84" s="151"/>
      <c r="U84" s="151"/>
      <c r="V84" s="151"/>
      <c r="W84" s="151"/>
    </row>
    <row r="85">
      <c r="A85" s="142">
        <v>4668.0</v>
      </c>
      <c r="B85" s="143" t="str">
        <f t="shared" si="26"/>
        <v>H</v>
      </c>
      <c r="C85" s="143" t="str">
        <f t="shared" si="27"/>
        <v>MEDIA-CILACAP</v>
      </c>
      <c r="D85" s="144" t="s">
        <v>4429</v>
      </c>
      <c r="E85" s="145" t="str">
        <f>IFERROR(__xludf.DUMMYFUNCTION("vlookup(D85,IMPORTRANGE(""https://docs.google.com/spreadsheets/d/1swGwZOEqYlTEUCJLY-eeJM1911Kvaei5oySBIxdgtNo/edit?pli=1#gid=257618397"",""stock FAKTUR!B:C""),2,false)"),"TIPEX KENKO KE-01")</f>
        <v>TIPEX KENKO KE-01</v>
      </c>
      <c r="F85" s="53" t="str">
        <f>IFERROR(__xludf.DUMMYFUNCTION("vlookup($D85,IMPORTRANGE(""https://docs.google.com/spreadsheets/d/1swGwZOEqYlTEUCJLY-eeJM1911Kvaei5oySBIxdgtNo/edit?pli=1#gid=257618397"",""stock FAKTUR!B:d""),3,false)"),"")</f>
        <v/>
      </c>
      <c r="G85" s="53" t="str">
        <f>IFERROR(__xludf.DUMMYFUNCTION("vlookup($D85,IMPORTRANGE(""https://docs.google.com/spreadsheets/d/1swGwZOEqYlTEUCJLY-eeJM1911Kvaei5oySBIxdgtNo/edit?pli=1#gid=257618397"",""stock FAKTUR!B:e""),4,false)"),"")</f>
        <v/>
      </c>
      <c r="H85" s="53" t="str">
        <f>IFERROR(__xludf.DUMMYFUNCTION("vlookup($D85,IMPORTRANGE(""https://docs.google.com/spreadsheets/d/1swGwZOEqYlTEUCJLY-eeJM1911Kvaei5oySBIxdgtNo/edit?pli=1#gid=257618397"",""stock FAKTUR!B:F""),5,false)"),"KN")</f>
        <v>KN</v>
      </c>
      <c r="I85" s="53" t="str">
        <f>IFERROR(__xludf.DUMMYFUNCTION("vlookup($D85,IMPORTRANGE(""https://docs.google.com/spreadsheets/d/1swGwZOEqYlTEUCJLY-eeJM1911Kvaei5oySBIxdgtNo/edit?pli=1#gid=257618397"",""stock FAKTUR!B:G""),6,false)"),"CFL-001")</f>
        <v>CFL-001</v>
      </c>
      <c r="J85" s="120" t="str">
        <f t="shared" si="25"/>
        <v>ADA</v>
      </c>
      <c r="K85" s="146">
        <v>36.0</v>
      </c>
      <c r="L85" s="145" t="str">
        <f>IFERROR(__xludf.DUMMYFUNCTION("vlookup($D85,IMPORTRANGE(""https://docs.google.com/spreadsheets/d/1swGwZOEqYlTEUCJLY-eeJM1911Kvaei5oySBIxdgtNo/edit?pli=1#gid=257618397"",""stock FAKTUR!B:q""),16,false)"),"LSN")</f>
        <v>LSN</v>
      </c>
      <c r="M85" s="147">
        <v>54300.0</v>
      </c>
      <c r="N85" s="152">
        <v>0.125</v>
      </c>
      <c r="O85" s="147">
        <f t="shared" si="2"/>
        <v>1710450</v>
      </c>
      <c r="P85" s="147" t="str">
        <f t="shared" si="3"/>
        <v>Rp54,300-36 LSN-12.50%</v>
      </c>
      <c r="Q85" s="149">
        <v>45411.0</v>
      </c>
      <c r="R85" s="150"/>
      <c r="S85" s="149">
        <v>45414.0</v>
      </c>
      <c r="T85" s="151"/>
      <c r="U85" s="151"/>
      <c r="V85" s="151"/>
      <c r="W85" s="151"/>
    </row>
    <row r="86">
      <c r="A86" s="142">
        <v>2980.0</v>
      </c>
      <c r="B86" s="143" t="s">
        <v>65</v>
      </c>
      <c r="C86" s="143" t="s">
        <v>92</v>
      </c>
      <c r="D86" s="144" t="s">
        <v>4442</v>
      </c>
      <c r="E86" s="145" t="str">
        <f>IFERROR(__xludf.DUMMYFUNCTION("vlookup(D86,IMPORTRANGE(""https://docs.google.com/spreadsheets/d/1swGwZOEqYlTEUCJLY-eeJM1911Kvaei5oySBIxdgtNo/edit?pli=1#gid=257618397"",""stock FAKTUR!B:C""),2,false)"),"CUTTER KENKO A-300")</f>
        <v>CUTTER KENKO A-300</v>
      </c>
      <c r="F86" s="53" t="str">
        <f>IFERROR(__xludf.DUMMYFUNCTION("vlookup($D86,IMPORTRANGE(""https://docs.google.com/spreadsheets/d/1swGwZOEqYlTEUCJLY-eeJM1911Kvaei5oySBIxdgtNo/edit?pli=1#gid=257618397"",""stock FAKTUR!B:d""),3,false)"),"9 MM")</f>
        <v>9 MM</v>
      </c>
      <c r="G86" s="53" t="str">
        <f>IFERROR(__xludf.DUMMYFUNCTION("vlookup($D86,IMPORTRANGE(""https://docs.google.com/spreadsheets/d/1swGwZOEqYlTEUCJLY-eeJM1911Kvaei5oySBIxdgtNo/edit?pli=1#gid=257618397"",""stock FAKTUR!B:e""),4,false)"),"")</f>
        <v/>
      </c>
      <c r="H86" s="53" t="str">
        <f>IFERROR(__xludf.DUMMYFUNCTION("vlookup($D86,IMPORTRANGE(""https://docs.google.com/spreadsheets/d/1swGwZOEqYlTEUCJLY-eeJM1911Kvaei5oySBIxdgtNo/edit?pli=1#gid=257618397"",""stock FAKTUR!B:F""),5,false)"),"KN")</f>
        <v>KN</v>
      </c>
      <c r="I86" s="53" t="str">
        <f>IFERROR(__xludf.DUMMYFUNCTION("vlookup($D86,IMPORTRANGE(""https://docs.google.com/spreadsheets/d/1swGwZOEqYlTEUCJLY-eeJM1911Kvaei5oySBIxdgtNo/edit?pli=1#gid=257618397"",""stock FAKTUR!B:G""),6,false)"),"CTR-004")</f>
        <v>CTR-004</v>
      </c>
      <c r="J86" s="120" t="str">
        <f t="shared" si="25"/>
        <v>ADA</v>
      </c>
      <c r="K86" s="146">
        <v>6.0</v>
      </c>
      <c r="L86" s="145" t="str">
        <f>IFERROR(__xludf.DUMMYFUNCTION("vlookup($D86,IMPORTRANGE(""https://docs.google.com/spreadsheets/d/1swGwZOEqYlTEUCJLY-eeJM1911Kvaei5oySBIxdgtNo/edit?pli=1#gid=257618397"",""stock FAKTUR!B:q""),16,false)"),"LSN")</f>
        <v>LSN</v>
      </c>
      <c r="M86" s="147">
        <v>57000.0</v>
      </c>
      <c r="N86" s="152">
        <v>0.125</v>
      </c>
      <c r="O86" s="147">
        <f t="shared" si="2"/>
        <v>299250</v>
      </c>
      <c r="P86" s="147" t="str">
        <f t="shared" si="3"/>
        <v>Rp57,000-6 LSN-12.50%</v>
      </c>
      <c r="Q86" s="149">
        <v>45411.0</v>
      </c>
      <c r="R86" s="150"/>
      <c r="S86" s="149">
        <v>45414.0</v>
      </c>
      <c r="T86" s="151"/>
      <c r="U86" s="151"/>
      <c r="V86" s="151"/>
      <c r="W86" s="151"/>
    </row>
    <row r="87">
      <c r="A87" s="142">
        <v>2980.0</v>
      </c>
      <c r="B87" s="143" t="str">
        <f t="shared" ref="B87:B94" si="28">IF(A87=A86,B86,"")</f>
        <v>A</v>
      </c>
      <c r="C87" s="143" t="str">
        <f t="shared" ref="C87:C94" si="29">IF(A87=A86,C86,"")</f>
        <v>INDOGLOBAL-PATI</v>
      </c>
      <c r="D87" s="144" t="s">
        <v>4443</v>
      </c>
      <c r="E87" s="145" t="str">
        <f>IFERROR(__xludf.DUMMYFUNCTION("vlookup(D87,IMPORTRANGE(""https://docs.google.com/spreadsheets/d/1swGwZOEqYlTEUCJLY-eeJM1911Kvaei5oySBIxdgtNo/edit?pli=1#gid=257618397"",""stock FAKTUR!B:C""),2,false)"),"CUTTER KENKO K-200")</f>
        <v>CUTTER KENKO K-200</v>
      </c>
      <c r="F87" s="53" t="str">
        <f>IFERROR(__xludf.DUMMYFUNCTION("vlookup($D87,IMPORTRANGE(""https://docs.google.com/spreadsheets/d/1swGwZOEqYlTEUCJLY-eeJM1911Kvaei5oySBIxdgtNo/edit?pli=1#gid=257618397"",""stock FAKTUR!B:d""),3,false)"),"9 MM")</f>
        <v>9 MM</v>
      </c>
      <c r="G87" s="53" t="str">
        <f>IFERROR(__xludf.DUMMYFUNCTION("vlookup($D87,IMPORTRANGE(""https://docs.google.com/spreadsheets/d/1swGwZOEqYlTEUCJLY-eeJM1911Kvaei5oySBIxdgtNo/edit?pli=1#gid=257618397"",""stock FAKTUR!B:e""),4,false)"),"")</f>
        <v/>
      </c>
      <c r="H87" s="53" t="str">
        <f>IFERROR(__xludf.DUMMYFUNCTION("vlookup($D87,IMPORTRANGE(""https://docs.google.com/spreadsheets/d/1swGwZOEqYlTEUCJLY-eeJM1911Kvaei5oySBIxdgtNo/edit?pli=1#gid=257618397"",""stock FAKTUR!B:F""),5,false)"),"KN")</f>
        <v>KN</v>
      </c>
      <c r="I87" s="53" t="str">
        <f>IFERROR(__xludf.DUMMYFUNCTION("vlookup($D87,IMPORTRANGE(""https://docs.google.com/spreadsheets/d/1swGwZOEqYlTEUCJLY-eeJM1911Kvaei5oySBIxdgtNo/edit?pli=1#gid=257618397"",""stock FAKTUR!B:G""),6,false)"),"CTR-003")</f>
        <v>CTR-003</v>
      </c>
      <c r="J87" s="120" t="str">
        <f t="shared" si="25"/>
        <v>ADA</v>
      </c>
      <c r="K87" s="146">
        <v>15.0</v>
      </c>
      <c r="L87" s="145" t="str">
        <f>IFERROR(__xludf.DUMMYFUNCTION("vlookup($D87,IMPORTRANGE(""https://docs.google.com/spreadsheets/d/1swGwZOEqYlTEUCJLY-eeJM1911Kvaei5oySBIxdgtNo/edit?pli=1#gid=257618397"",""stock FAKTUR!B:q""),16,false)"),"LSN")</f>
        <v>LSN</v>
      </c>
      <c r="M87" s="147">
        <v>52200.0</v>
      </c>
      <c r="N87" s="152">
        <v>0.125</v>
      </c>
      <c r="O87" s="147">
        <f t="shared" si="2"/>
        <v>685125</v>
      </c>
      <c r="P87" s="147" t="str">
        <f t="shared" si="3"/>
        <v>Rp52,200-15 LSN-12.50%</v>
      </c>
      <c r="Q87" s="149">
        <v>45411.0</v>
      </c>
      <c r="R87" s="150"/>
      <c r="S87" s="149">
        <v>45414.0</v>
      </c>
      <c r="T87" s="151"/>
      <c r="U87" s="151"/>
      <c r="V87" s="151"/>
      <c r="W87" s="151"/>
    </row>
    <row r="88">
      <c r="A88" s="142">
        <v>2980.0</v>
      </c>
      <c r="B88" s="143" t="str">
        <f t="shared" si="28"/>
        <v>A</v>
      </c>
      <c r="C88" s="143" t="str">
        <f t="shared" si="29"/>
        <v>INDOGLOBAL-PATI</v>
      </c>
      <c r="D88" s="144" t="s">
        <v>4444</v>
      </c>
      <c r="E88" s="145" t="str">
        <f>IFERROR(__xludf.DUMMYFUNCTION("vlookup(D88,IMPORTRANGE(""https://docs.google.com/spreadsheets/d/1swGwZOEqYlTEUCJLY-eeJM1911Kvaei5oySBIxdgtNo/edit?pli=1#gid=257618397"",""stock FAKTUR!B:C""),2,false)"),"CALCULATOR JK CC-45")</f>
        <v>CALCULATOR JK CC-45</v>
      </c>
      <c r="F88" s="53" t="str">
        <f>IFERROR(__xludf.DUMMYFUNCTION("vlookup($D88,IMPORTRANGE(""https://docs.google.com/spreadsheets/d/1swGwZOEqYlTEUCJLY-eeJM1911Kvaei5oySBIxdgtNo/edit?pli=1#gid=257618397"",""stock FAKTUR!B:d""),3,false)"),"")</f>
        <v/>
      </c>
      <c r="G88" s="53" t="str">
        <f>IFERROR(__xludf.DUMMYFUNCTION("vlookup($D88,IMPORTRANGE(""https://docs.google.com/spreadsheets/d/1swGwZOEqYlTEUCJLY-eeJM1911Kvaei5oySBIxdgtNo/edit?pli=1#gid=257618397"",""stock FAKTUR!B:e""),4,false)"),"")</f>
        <v/>
      </c>
      <c r="H88" s="53" t="str">
        <f>IFERROR(__xludf.DUMMYFUNCTION("vlookup($D88,IMPORTRANGE(""https://docs.google.com/spreadsheets/d/1swGwZOEqYlTEUCJLY-eeJM1911Kvaei5oySBIxdgtNo/edit?pli=1#gid=257618397"",""stock FAKTUR!B:F""),5,false)"),"JK")</f>
        <v>JK</v>
      </c>
      <c r="I88" s="53" t="str">
        <f>IFERROR(__xludf.DUMMYFUNCTION("vlookup($D88,IMPORTRANGE(""https://docs.google.com/spreadsheets/d/1swGwZOEqYlTEUCJLY-eeJM1911Kvaei5oySBIxdgtNo/edit?pli=1#gid=257618397"",""stock FAKTUR!B:G""),6,false)"),"CC-45")</f>
        <v>CC-45</v>
      </c>
      <c r="J88" s="120" t="str">
        <f t="shared" si="25"/>
        <v>ADA</v>
      </c>
      <c r="K88" s="146">
        <v>12.0</v>
      </c>
      <c r="L88" s="145" t="str">
        <f>IFERROR(__xludf.DUMMYFUNCTION("vlookup($D88,IMPORTRANGE(""https://docs.google.com/spreadsheets/d/1swGwZOEqYlTEUCJLY-eeJM1911Kvaei5oySBIxdgtNo/edit?pli=1#gid=257618397"",""stock FAKTUR!B:q""),16,false)"),"PCS")</f>
        <v>PCS</v>
      </c>
      <c r="M88" s="147">
        <v>44000.0</v>
      </c>
      <c r="N88" s="152">
        <v>0.125</v>
      </c>
      <c r="O88" s="147">
        <f t="shared" si="2"/>
        <v>462000</v>
      </c>
      <c r="P88" s="147" t="str">
        <f t="shared" si="3"/>
        <v>Rp44,000-12 PCS-12.50%</v>
      </c>
      <c r="Q88" s="149">
        <v>45411.0</v>
      </c>
      <c r="R88" s="150"/>
      <c r="S88" s="149">
        <v>45414.0</v>
      </c>
      <c r="T88" s="151"/>
      <c r="U88" s="151"/>
      <c r="V88" s="151"/>
      <c r="W88" s="151"/>
    </row>
    <row r="89">
      <c r="A89" s="142">
        <v>2980.0</v>
      </c>
      <c r="B89" s="143" t="str">
        <f t="shared" si="28"/>
        <v>A</v>
      </c>
      <c r="C89" s="143" t="str">
        <f t="shared" si="29"/>
        <v>INDOGLOBAL-PATI</v>
      </c>
      <c r="D89" s="144" t="s">
        <v>4445</v>
      </c>
      <c r="E89" s="145" t="str">
        <f>IFERROR(__xludf.DUMMYFUNCTION("vlookup(D89,IMPORTRANGE(""https://docs.google.com/spreadsheets/d/1swGwZOEqYlTEUCJLY-eeJM1911Kvaei5oySBIxdgtNo/edit?pli=1#gid=257618397"",""stock FAKTUR!B:C""),2,false)"),"CALCULATOR JK DTC-1516")</f>
        <v>CALCULATOR JK DTC-1516</v>
      </c>
      <c r="F89" s="53" t="str">
        <f>IFERROR(__xludf.DUMMYFUNCTION("vlookup($D89,IMPORTRANGE(""https://docs.google.com/spreadsheets/d/1swGwZOEqYlTEUCJLY-eeJM1911Kvaei5oySBIxdgtNo/edit?pli=1#gid=257618397"",""stock FAKTUR!B:d""),3,false)"),"")</f>
        <v/>
      </c>
      <c r="G89" s="53" t="str">
        <f>IFERROR(__xludf.DUMMYFUNCTION("vlookup($D89,IMPORTRANGE(""https://docs.google.com/spreadsheets/d/1swGwZOEqYlTEUCJLY-eeJM1911Kvaei5oySBIxdgtNo/edit?pli=1#gid=257618397"",""stock FAKTUR!B:e""),4,false)"),"")</f>
        <v/>
      </c>
      <c r="H89" s="53" t="str">
        <f>IFERROR(__xludf.DUMMYFUNCTION("vlookup($D89,IMPORTRANGE(""https://docs.google.com/spreadsheets/d/1swGwZOEqYlTEUCJLY-eeJM1911Kvaei5oySBIxdgtNo/edit?pli=1#gid=257618397"",""stock FAKTUR!B:F""),5,false)"),"JK")</f>
        <v>JK</v>
      </c>
      <c r="I89" s="53" t="str">
        <f>IFERROR(__xludf.DUMMYFUNCTION("vlookup($D89,IMPORTRANGE(""https://docs.google.com/spreadsheets/d/1swGwZOEqYlTEUCJLY-eeJM1911Kvaei5oySBIxdgtNo/edit?pli=1#gid=257618397"",""stock FAKTUR!B:G""),6,false)"),"DTC-1516")</f>
        <v>DTC-1516</v>
      </c>
      <c r="J89" s="120" t="str">
        <f t="shared" si="25"/>
        <v>ADA</v>
      </c>
      <c r="K89" s="146">
        <v>12.0</v>
      </c>
      <c r="L89" s="145" t="str">
        <f>IFERROR(__xludf.DUMMYFUNCTION("vlookup($D89,IMPORTRANGE(""https://docs.google.com/spreadsheets/d/1swGwZOEqYlTEUCJLY-eeJM1911Kvaei5oySBIxdgtNo/edit?pli=1#gid=257618397"",""stock FAKTUR!B:q""),16,false)"),"PCS")</f>
        <v>PCS</v>
      </c>
      <c r="M89" s="147">
        <v>74000.0</v>
      </c>
      <c r="N89" s="152">
        <v>0.125</v>
      </c>
      <c r="O89" s="147">
        <f t="shared" si="2"/>
        <v>777000</v>
      </c>
      <c r="P89" s="147" t="str">
        <f t="shared" si="3"/>
        <v>Rp74,000-12 PCS-12.50%</v>
      </c>
      <c r="Q89" s="149">
        <v>45411.0</v>
      </c>
      <c r="R89" s="150"/>
      <c r="S89" s="149">
        <v>45414.0</v>
      </c>
      <c r="T89" s="151"/>
      <c r="U89" s="151"/>
      <c r="V89" s="151"/>
      <c r="W89" s="151"/>
    </row>
    <row r="90">
      <c r="A90" s="142">
        <v>2980.0</v>
      </c>
      <c r="B90" s="143" t="str">
        <f t="shared" si="28"/>
        <v>A</v>
      </c>
      <c r="C90" s="143" t="str">
        <f t="shared" si="29"/>
        <v>INDOGLOBAL-PATI</v>
      </c>
      <c r="D90" s="144" t="s">
        <v>4446</v>
      </c>
      <c r="E90" s="145" t="str">
        <f>IFERROR(__xludf.DUMMYFUNCTION("vlookup(D90,IMPORTRANGE(""https://docs.google.com/spreadsheets/d/1swGwZOEqYlTEUCJLY-eeJM1911Kvaei5oySBIxdgtNo/edit?pli=1#gid=257618397"",""stock FAKTUR!B:C""),2,false)"),"PC KLG/ STUDY SET K-597 MOBIL 20.5X7")</f>
        <v>PC KLG/ STUDY SET K-597 MOBIL 20.5X7</v>
      </c>
      <c r="F90" s="53" t="str">
        <f>IFERROR(__xludf.DUMMYFUNCTION("vlookup($D90,IMPORTRANGE(""https://docs.google.com/spreadsheets/d/1swGwZOEqYlTEUCJLY-eeJM1911Kvaei5oySBIxdgtNo/edit?pli=1#gid=257618397"",""stock FAKTUR!B:d""),3,false)"),"")</f>
        <v/>
      </c>
      <c r="G90" s="53" t="str">
        <f>IFERROR(__xludf.DUMMYFUNCTION("vlookup($D90,IMPORTRANGE(""https://docs.google.com/spreadsheets/d/1swGwZOEqYlTEUCJLY-eeJM1911Kvaei5oySBIxdgtNo/edit?pli=1#gid=257618397"",""stock FAKTUR!B:e""),4,false)"),"")</f>
        <v/>
      </c>
      <c r="H90" s="53" t="str">
        <f>IFERROR(__xludf.DUMMYFUNCTION("vlookup($D90,IMPORTRANGE(""https://docs.google.com/spreadsheets/d/1swGwZOEqYlTEUCJLY-eeJM1911Kvaei5oySBIxdgtNo/edit?pli=1#gid=257618397"",""stock FAKTUR!B:F""),5,false)"),"NB")</f>
        <v>NB</v>
      </c>
      <c r="I90" s="53" t="str">
        <f>IFERROR(__xludf.DUMMYFUNCTION("vlookup($D90,IMPORTRANGE(""https://docs.google.com/spreadsheets/d/1swGwZOEqYlTEUCJLY-eeJM1911Kvaei5oySBIxdgtNo/edit?pli=1#gid=257618397"",""stock FAKTUR!B:G""),6,false)"),"")</f>
        <v/>
      </c>
      <c r="J90" s="120" t="str">
        <f t="shared" si="25"/>
        <v>ADA</v>
      </c>
      <c r="K90" s="146">
        <v>72.0</v>
      </c>
      <c r="L90" s="145" t="str">
        <f>IFERROR(__xludf.DUMMYFUNCTION("vlookup($D90,IMPORTRANGE(""https://docs.google.com/spreadsheets/d/1swGwZOEqYlTEUCJLY-eeJM1911Kvaei5oySBIxdgtNo/edit?pli=1#gid=257618397"",""stock FAKTUR!B:q""),16,false)"),"PCS")</f>
        <v>PCS</v>
      </c>
      <c r="M90" s="147">
        <v>9500.0</v>
      </c>
      <c r="N90" s="148"/>
      <c r="O90" s="147">
        <f t="shared" si="2"/>
        <v>684000</v>
      </c>
      <c r="P90" s="147" t="str">
        <f t="shared" si="3"/>
        <v>Rp9,500-72 PCS-0.00%</v>
      </c>
      <c r="Q90" s="149">
        <v>45411.0</v>
      </c>
      <c r="R90" s="150"/>
      <c r="S90" s="149">
        <v>45414.0</v>
      </c>
      <c r="T90" s="151"/>
      <c r="U90" s="151"/>
      <c r="V90" s="151"/>
      <c r="W90" s="151"/>
    </row>
    <row r="91">
      <c r="A91" s="142">
        <v>2980.0</v>
      </c>
      <c r="B91" s="143" t="str">
        <f t="shared" si="28"/>
        <v>A</v>
      </c>
      <c r="C91" s="143" t="str">
        <f t="shared" si="29"/>
        <v>INDOGLOBAL-PATI</v>
      </c>
      <c r="D91" s="144" t="s">
        <v>4447</v>
      </c>
      <c r="E91" s="145" t="str">
        <f>IFERROR(__xludf.DUMMYFUNCTION("vlookup(D91,IMPORTRANGE(""https://docs.google.com/spreadsheets/d/1swGwZOEqYlTEUCJLY-eeJM1911Kvaei5oySBIxdgtNo/edit?pli=1#gid=257618397"",""stock FAKTUR!B:C""),2,false)"),"PC MAGNIT FC-1758 (22X7.5)")</f>
        <v>PC MAGNIT FC-1758 (22X7.5)</v>
      </c>
      <c r="F91" s="53" t="str">
        <f>IFERROR(__xludf.DUMMYFUNCTION("vlookup($D91,IMPORTRANGE(""https://docs.google.com/spreadsheets/d/1swGwZOEqYlTEUCJLY-eeJM1911Kvaei5oySBIxdgtNo/edit?pli=1#gid=257618397"",""stock FAKTUR!B:d""),3,false)"),"")</f>
        <v/>
      </c>
      <c r="G91" s="53" t="str">
        <f>IFERROR(__xludf.DUMMYFUNCTION("vlookup($D91,IMPORTRANGE(""https://docs.google.com/spreadsheets/d/1swGwZOEqYlTEUCJLY-eeJM1911Kvaei5oySBIxdgtNo/edit?pli=1#gid=257618397"",""stock FAKTUR!B:e""),4,false)"),"")</f>
        <v/>
      </c>
      <c r="H91" s="53" t="str">
        <f>IFERROR(__xludf.DUMMYFUNCTION("vlookup($D91,IMPORTRANGE(""https://docs.google.com/spreadsheets/d/1swGwZOEqYlTEUCJLY-eeJM1911Kvaei5oySBIxdgtNo/edit?pli=1#gid=257618397"",""stock FAKTUR!B:F""),5,false)"),"NB")</f>
        <v>NB</v>
      </c>
      <c r="I91" s="53" t="str">
        <f>IFERROR(__xludf.DUMMYFUNCTION("vlookup($D91,IMPORTRANGE(""https://docs.google.com/spreadsheets/d/1swGwZOEqYlTEUCJLY-eeJM1911Kvaei5oySBIxdgtNo/edit?pli=1#gid=257618397"",""stock FAKTUR!B:G""),6,false)"),"")</f>
        <v/>
      </c>
      <c r="J91" s="120" t="str">
        <f t="shared" si="25"/>
        <v>ADA</v>
      </c>
      <c r="K91" s="146">
        <v>36.0</v>
      </c>
      <c r="L91" s="145" t="str">
        <f>IFERROR(__xludf.DUMMYFUNCTION("vlookup($D91,IMPORTRANGE(""https://docs.google.com/spreadsheets/d/1swGwZOEqYlTEUCJLY-eeJM1911Kvaei5oySBIxdgtNo/edit?pli=1#gid=257618397"",""stock FAKTUR!B:q""),16,false)"),"PCS")</f>
        <v>PCS</v>
      </c>
      <c r="M91" s="147">
        <v>11000.0</v>
      </c>
      <c r="N91" s="148"/>
      <c r="O91" s="147">
        <f t="shared" si="2"/>
        <v>396000</v>
      </c>
      <c r="P91" s="147" t="str">
        <f t="shared" si="3"/>
        <v>Rp11,000-36 PCS-0.00%</v>
      </c>
      <c r="Q91" s="149">
        <v>45411.0</v>
      </c>
      <c r="R91" s="150"/>
      <c r="S91" s="149">
        <v>45414.0</v>
      </c>
      <c r="T91" s="151"/>
      <c r="U91" s="151"/>
      <c r="V91" s="151"/>
      <c r="W91" s="151"/>
    </row>
    <row r="92">
      <c r="A92" s="142">
        <v>2980.0</v>
      </c>
      <c r="B92" s="143" t="str">
        <f t="shared" si="28"/>
        <v>A</v>
      </c>
      <c r="C92" s="143" t="str">
        <f t="shared" si="29"/>
        <v>INDOGLOBAL-PATI</v>
      </c>
      <c r="D92" s="144" t="s">
        <v>4448</v>
      </c>
      <c r="E92" s="145" t="str">
        <f>IFERROR(__xludf.DUMMYFUNCTION("vlookup(D92,IMPORTRANGE(""https://docs.google.com/spreadsheets/d/1swGwZOEqYlTEUCJLY-eeJM1911Kvaei5oySBIxdgtNo/edit?pli=1#gid=257618397"",""stock FAKTUR!B:C""),2,false)"),"PC MAGNIT AC-1762 (22X7.5)")</f>
        <v>PC MAGNIT AC-1762 (22X7.5)</v>
      </c>
      <c r="F92" s="53" t="str">
        <f>IFERROR(__xludf.DUMMYFUNCTION("vlookup($D92,IMPORTRANGE(""https://docs.google.com/spreadsheets/d/1swGwZOEqYlTEUCJLY-eeJM1911Kvaei5oySBIxdgtNo/edit?pli=1#gid=257618397"",""stock FAKTUR!B:d""),3,false)"),"")</f>
        <v/>
      </c>
      <c r="G92" s="53" t="str">
        <f>IFERROR(__xludf.DUMMYFUNCTION("vlookup($D92,IMPORTRANGE(""https://docs.google.com/spreadsheets/d/1swGwZOEqYlTEUCJLY-eeJM1911Kvaei5oySBIxdgtNo/edit?pli=1#gid=257618397"",""stock FAKTUR!B:e""),4,false)"),"")</f>
        <v/>
      </c>
      <c r="H92" s="53" t="str">
        <f>IFERROR(__xludf.DUMMYFUNCTION("vlookup($D92,IMPORTRANGE(""https://docs.google.com/spreadsheets/d/1swGwZOEqYlTEUCJLY-eeJM1911Kvaei5oySBIxdgtNo/edit?pli=1#gid=257618397"",""stock FAKTUR!B:F""),5,false)"),"NB")</f>
        <v>NB</v>
      </c>
      <c r="I92" s="53" t="str">
        <f>IFERROR(__xludf.DUMMYFUNCTION("vlookup($D92,IMPORTRANGE(""https://docs.google.com/spreadsheets/d/1swGwZOEqYlTEUCJLY-eeJM1911Kvaei5oySBIxdgtNo/edit?pli=1#gid=257618397"",""stock FAKTUR!B:G""),6,false)"),"AC-1762")</f>
        <v>AC-1762</v>
      </c>
      <c r="J92" s="120" t="str">
        <f t="shared" si="25"/>
        <v>ADA</v>
      </c>
      <c r="K92" s="146">
        <v>36.0</v>
      </c>
      <c r="L92" s="145" t="str">
        <f>IFERROR(__xludf.DUMMYFUNCTION("vlookup($D92,IMPORTRANGE(""https://docs.google.com/spreadsheets/d/1swGwZOEqYlTEUCJLY-eeJM1911Kvaei5oySBIxdgtNo/edit?pli=1#gid=257618397"",""stock FAKTUR!B:q""),16,false)"),"PCS")</f>
        <v>PCS</v>
      </c>
      <c r="M92" s="147">
        <v>11000.0</v>
      </c>
      <c r="N92" s="148"/>
      <c r="O92" s="147">
        <f t="shared" si="2"/>
        <v>396000</v>
      </c>
      <c r="P92" s="147" t="str">
        <f t="shared" si="3"/>
        <v>Rp11,000-36 PCS-0.00%</v>
      </c>
      <c r="Q92" s="149">
        <v>45411.0</v>
      </c>
      <c r="R92" s="150"/>
      <c r="S92" s="149">
        <v>45414.0</v>
      </c>
      <c r="T92" s="151"/>
      <c r="U92" s="151"/>
      <c r="V92" s="151"/>
      <c r="W92" s="151"/>
    </row>
    <row r="93">
      <c r="A93" s="142">
        <v>2980.0</v>
      </c>
      <c r="B93" s="143" t="str">
        <f t="shared" si="28"/>
        <v>A</v>
      </c>
      <c r="C93" s="143" t="str">
        <f t="shared" si="29"/>
        <v>INDOGLOBAL-PATI</v>
      </c>
      <c r="D93" s="144" t="s">
        <v>4384</v>
      </c>
      <c r="E93" s="145" t="str">
        <f>IFERROR(__xludf.DUMMYFUNCTION("vlookup(D93,IMPORTRANGE(""https://docs.google.com/spreadsheets/d/1swGwZOEqYlTEUCJLY-eeJM1911Kvaei5oySBIxdgtNo/edit?pli=1#gid=257618397"",""stock FAKTUR!B:C""),2,false)"),"PC MAGNIT FC-1757 (22X7.5)")</f>
        <v>PC MAGNIT FC-1757 (22X7.5)</v>
      </c>
      <c r="F93" s="53" t="str">
        <f>IFERROR(__xludf.DUMMYFUNCTION("vlookup($D93,IMPORTRANGE(""https://docs.google.com/spreadsheets/d/1swGwZOEqYlTEUCJLY-eeJM1911Kvaei5oySBIxdgtNo/edit?pli=1#gid=257618397"",""stock FAKTUR!B:d""),3,false)"),"")</f>
        <v/>
      </c>
      <c r="G93" s="53" t="str">
        <f>IFERROR(__xludf.DUMMYFUNCTION("vlookup($D93,IMPORTRANGE(""https://docs.google.com/spreadsheets/d/1swGwZOEqYlTEUCJLY-eeJM1911Kvaei5oySBIxdgtNo/edit?pli=1#gid=257618397"",""stock FAKTUR!B:e""),4,false)"),"")</f>
        <v/>
      </c>
      <c r="H93" s="53" t="str">
        <f>IFERROR(__xludf.DUMMYFUNCTION("vlookup($D93,IMPORTRANGE(""https://docs.google.com/spreadsheets/d/1swGwZOEqYlTEUCJLY-eeJM1911Kvaei5oySBIxdgtNo/edit?pli=1#gid=257618397"",""stock FAKTUR!B:F""),5,false)"),"NB")</f>
        <v>NB</v>
      </c>
      <c r="I93" s="53" t="str">
        <f>IFERROR(__xludf.DUMMYFUNCTION("vlookup($D93,IMPORTRANGE(""https://docs.google.com/spreadsheets/d/1swGwZOEqYlTEUCJLY-eeJM1911Kvaei5oySBIxdgtNo/edit?pli=1#gid=257618397"",""stock FAKTUR!B:G""),6,false)"),"")</f>
        <v/>
      </c>
      <c r="J93" s="120" t="str">
        <f t="shared" si="25"/>
        <v>ADA</v>
      </c>
      <c r="K93" s="146">
        <v>36.0</v>
      </c>
      <c r="L93" s="145" t="str">
        <f>IFERROR(__xludf.DUMMYFUNCTION("vlookup($D93,IMPORTRANGE(""https://docs.google.com/spreadsheets/d/1swGwZOEqYlTEUCJLY-eeJM1911Kvaei5oySBIxdgtNo/edit?pli=1#gid=257618397"",""stock FAKTUR!B:q""),16,false)"),"PCS")</f>
        <v>PCS</v>
      </c>
      <c r="M93" s="147">
        <v>11000.0</v>
      </c>
      <c r="N93" s="148"/>
      <c r="O93" s="147">
        <f t="shared" si="2"/>
        <v>396000</v>
      </c>
      <c r="P93" s="147" t="str">
        <f t="shared" si="3"/>
        <v>Rp11,000-36 PCS-0.00%</v>
      </c>
      <c r="Q93" s="149">
        <v>45411.0</v>
      </c>
      <c r="R93" s="150"/>
      <c r="S93" s="149">
        <v>45414.0</v>
      </c>
      <c r="T93" s="151"/>
      <c r="U93" s="151"/>
      <c r="V93" s="151"/>
      <c r="W93" s="151"/>
    </row>
    <row r="94">
      <c r="A94" s="142">
        <v>2980.0</v>
      </c>
      <c r="B94" s="143" t="str">
        <f t="shared" si="28"/>
        <v>A</v>
      </c>
      <c r="C94" s="143" t="str">
        <f t="shared" si="29"/>
        <v>INDOGLOBAL-PATI</v>
      </c>
      <c r="D94" s="145" t="s">
        <v>4383</v>
      </c>
      <c r="E94" s="145" t="str">
        <f>IFERROR(__xludf.DUMMYFUNCTION("vlookup(D94,IMPORTRANGE(""https://docs.google.com/spreadsheets/d/1swGwZOEqYlTEUCJLY-eeJM1911Kvaei5oySBIxdgtNo/edit?pli=1#gid=257618397"",""stock FAKTUR!B:C""),2,false)"),"PC MAGNIT C-1755-1 (22X7.5)")</f>
        <v>PC MAGNIT C-1755-1 (22X7.5)</v>
      </c>
      <c r="F94" s="53" t="str">
        <f>IFERROR(__xludf.DUMMYFUNCTION("vlookup($D94,IMPORTRANGE(""https://docs.google.com/spreadsheets/d/1swGwZOEqYlTEUCJLY-eeJM1911Kvaei5oySBIxdgtNo/edit?pli=1#gid=257618397"",""stock FAKTUR!B:d""),3,false)"),"")</f>
        <v/>
      </c>
      <c r="G94" s="53" t="str">
        <f>IFERROR(__xludf.DUMMYFUNCTION("vlookup($D94,IMPORTRANGE(""https://docs.google.com/spreadsheets/d/1swGwZOEqYlTEUCJLY-eeJM1911Kvaei5oySBIxdgtNo/edit?pli=1#gid=257618397"",""stock FAKTUR!B:e""),4,false)"),"")</f>
        <v/>
      </c>
      <c r="H94" s="53" t="str">
        <f>IFERROR(__xludf.DUMMYFUNCTION("vlookup($D94,IMPORTRANGE(""https://docs.google.com/spreadsheets/d/1swGwZOEqYlTEUCJLY-eeJM1911Kvaei5oySBIxdgtNo/edit?pli=1#gid=257618397"",""stock FAKTUR!B:F""),5,false)"),"NB")</f>
        <v>NB</v>
      </c>
      <c r="I94" s="53" t="str">
        <f>IFERROR(__xludf.DUMMYFUNCTION("vlookup($D94,IMPORTRANGE(""https://docs.google.com/spreadsheets/d/1swGwZOEqYlTEUCJLY-eeJM1911Kvaei5oySBIxdgtNo/edit?pli=1#gid=257618397"",""stock FAKTUR!B:G""),6,false)"),"")</f>
        <v/>
      </c>
      <c r="J94" s="120" t="str">
        <f t="shared" si="25"/>
        <v>ADA</v>
      </c>
      <c r="K94" s="146">
        <v>36.0</v>
      </c>
      <c r="L94" s="145" t="str">
        <f>IFERROR(__xludf.DUMMYFUNCTION("vlookup($D94,IMPORTRANGE(""https://docs.google.com/spreadsheets/d/1swGwZOEqYlTEUCJLY-eeJM1911Kvaei5oySBIxdgtNo/edit?pli=1#gid=257618397"",""stock FAKTUR!B:q""),16,false)"),"PCS")</f>
        <v>PCS</v>
      </c>
      <c r="M94" s="147">
        <v>11000.0</v>
      </c>
      <c r="N94" s="148"/>
      <c r="O94" s="147">
        <f t="shared" si="2"/>
        <v>396000</v>
      </c>
      <c r="P94" s="147" t="str">
        <f t="shared" si="3"/>
        <v>Rp11,000-36 PCS-0.00%</v>
      </c>
      <c r="Q94" s="149">
        <v>45411.0</v>
      </c>
      <c r="R94" s="150"/>
      <c r="S94" s="149">
        <v>45414.0</v>
      </c>
      <c r="T94" s="151"/>
      <c r="U94" s="151"/>
      <c r="V94" s="151"/>
      <c r="W94" s="151"/>
    </row>
    <row r="95">
      <c r="A95" s="142">
        <v>4667.0</v>
      </c>
      <c r="B95" s="143" t="s">
        <v>33</v>
      </c>
      <c r="C95" s="143" t="s">
        <v>1426</v>
      </c>
      <c r="D95" s="144" t="s">
        <v>24</v>
      </c>
      <c r="E95" s="145" t="str">
        <f>IFERROR(__xludf.DUMMYFUNCTION("vlookup(D95,IMPORTRANGE(""https://docs.google.com/spreadsheets/d/1swGwZOEqYlTEUCJLY-eeJM1911Kvaei5oySBIxdgtNo/edit?pli=1#gid=257618397"",""stock FAKTUR!B:C""),2,false)"),"KARTU STOCK KWARTO PINK")</f>
        <v>KARTU STOCK KWARTO PINK</v>
      </c>
      <c r="F95" s="53" t="str">
        <f>IFERROR(__xludf.DUMMYFUNCTION("vlookup($D95,IMPORTRANGE(""https://docs.google.com/spreadsheets/d/1swGwZOEqYlTEUCJLY-eeJM1911Kvaei5oySBIxdgtNo/edit?pli=1#gid=257618397"",""stock FAKTUR!B:d""),3,false)"),"A4")</f>
        <v>A4</v>
      </c>
      <c r="G95" s="53" t="str">
        <f>IFERROR(__xludf.DUMMYFUNCTION("vlookup($D95,IMPORTRANGE(""https://docs.google.com/spreadsheets/d/1swGwZOEqYlTEUCJLY-eeJM1911Kvaei5oySBIxdgtNo/edit?pli=1#gid=257618397"",""stock FAKTUR!B:e""),4,false)"),"PINK")</f>
        <v>PINK</v>
      </c>
      <c r="H95" s="53" t="str">
        <f>IFERROR(__xludf.DUMMYFUNCTION("vlookup($D95,IMPORTRANGE(""https://docs.google.com/spreadsheets/d/1swGwZOEqYlTEUCJLY-eeJM1911Kvaei5oySBIxdgtNo/edit?pli=1#gid=257618397"",""stock FAKTUR!B:F""),5,false)"),"NB")</f>
        <v>NB</v>
      </c>
      <c r="I95" s="53" t="str">
        <f>IFERROR(__xludf.DUMMYFUNCTION("vlookup($D95,IMPORTRANGE(""https://docs.google.com/spreadsheets/d/1swGwZOEqYlTEUCJLY-eeJM1911Kvaei5oySBIxdgtNo/edit?pli=1#gid=257618397"",""stock FAKTUR!B:G""),6,false)"),"")</f>
        <v/>
      </c>
      <c r="J95" s="120" t="str">
        <f t="shared" si="25"/>
        <v>ADA</v>
      </c>
      <c r="K95" s="146">
        <v>10.0</v>
      </c>
      <c r="L95" s="145" t="str">
        <f>IFERROR(__xludf.DUMMYFUNCTION("vlookup($D95,IMPORTRANGE(""https://docs.google.com/spreadsheets/d/1swGwZOEqYlTEUCJLY-eeJM1911Kvaei5oySBIxdgtNo/edit?pli=1#gid=257618397"",""stock FAKTUR!B:q""),16,false)"),"PAK")</f>
        <v>PAK</v>
      </c>
      <c r="M95" s="147">
        <v>19000.0</v>
      </c>
      <c r="N95" s="148"/>
      <c r="O95" s="147">
        <f t="shared" si="2"/>
        <v>190000</v>
      </c>
      <c r="P95" s="147" t="str">
        <f t="shared" si="3"/>
        <v>Rp19,000-10 PAK-0.00%</v>
      </c>
      <c r="Q95" s="149">
        <v>45411.0</v>
      </c>
      <c r="R95" s="150"/>
      <c r="S95" s="149">
        <v>45414.0</v>
      </c>
      <c r="T95" s="151"/>
      <c r="U95" s="151"/>
      <c r="V95" s="151"/>
      <c r="W95" s="151"/>
    </row>
    <row r="96">
      <c r="A96" s="142">
        <v>4667.0</v>
      </c>
      <c r="B96" s="143" t="str">
        <f t="shared" ref="B96:B104" si="30">IF(A96=A95,B95,"")</f>
        <v>H</v>
      </c>
      <c r="C96" s="143" t="str">
        <f t="shared" ref="C96:C104" si="31">IF(A96=A95,C95,"")</f>
        <v>CENTRAL-PURWOKERTO</v>
      </c>
      <c r="D96" s="145" t="s">
        <v>4407</v>
      </c>
      <c r="E96" s="145" t="str">
        <f>IFERROR(__xludf.DUMMYFUNCTION("vlookup(D96,IMPORTRANGE(""https://docs.google.com/spreadsheets/d/1swGwZOEqYlTEUCJLY-eeJM1911Kvaei5oySBIxdgtNo/edit?pli=1#gid=257618397"",""stock FAKTUR!B:C""),2,false)"),"KARTU STOCK KWARTO HIJAU")</f>
        <v>KARTU STOCK KWARTO HIJAU</v>
      </c>
      <c r="F96" s="53" t="str">
        <f>IFERROR(__xludf.DUMMYFUNCTION("vlookup($D96,IMPORTRANGE(""https://docs.google.com/spreadsheets/d/1swGwZOEqYlTEUCJLY-eeJM1911Kvaei5oySBIxdgtNo/edit?pli=1#gid=257618397"",""stock FAKTUR!B:d""),3,false)"),"A4")</f>
        <v>A4</v>
      </c>
      <c r="G96" s="53" t="str">
        <f>IFERROR(__xludf.DUMMYFUNCTION("vlookup($D96,IMPORTRANGE(""https://docs.google.com/spreadsheets/d/1swGwZOEqYlTEUCJLY-eeJM1911Kvaei5oySBIxdgtNo/edit?pli=1#gid=257618397"",""stock FAKTUR!B:e""),4,false)"),"HIJAU")</f>
        <v>HIJAU</v>
      </c>
      <c r="H96" s="53" t="str">
        <f>IFERROR(__xludf.DUMMYFUNCTION("vlookup($D96,IMPORTRANGE(""https://docs.google.com/spreadsheets/d/1swGwZOEqYlTEUCJLY-eeJM1911Kvaei5oySBIxdgtNo/edit?pli=1#gid=257618397"",""stock FAKTUR!B:F""),5,false)"),"NB")</f>
        <v>NB</v>
      </c>
      <c r="I96" s="53" t="str">
        <f>IFERROR(__xludf.DUMMYFUNCTION("vlookup($D96,IMPORTRANGE(""https://docs.google.com/spreadsheets/d/1swGwZOEqYlTEUCJLY-eeJM1911Kvaei5oySBIxdgtNo/edit?pli=1#gid=257618397"",""stock FAKTUR!B:G""),6,false)"),"")</f>
        <v/>
      </c>
      <c r="J96" s="120" t="str">
        <f t="shared" si="25"/>
        <v>ADA</v>
      </c>
      <c r="K96" s="146">
        <v>10.0</v>
      </c>
      <c r="L96" s="145" t="str">
        <f>IFERROR(__xludf.DUMMYFUNCTION("vlookup($D96,IMPORTRANGE(""https://docs.google.com/spreadsheets/d/1swGwZOEqYlTEUCJLY-eeJM1911Kvaei5oySBIxdgtNo/edit?pli=1#gid=257618397"",""stock FAKTUR!B:q""),16,false)"),"PAK")</f>
        <v>PAK</v>
      </c>
      <c r="M96" s="147">
        <v>19000.0</v>
      </c>
      <c r="N96" s="148"/>
      <c r="O96" s="147">
        <f t="shared" si="2"/>
        <v>190000</v>
      </c>
      <c r="P96" s="147" t="str">
        <f t="shared" si="3"/>
        <v>Rp19,000-10 PAK-0.00%</v>
      </c>
      <c r="Q96" s="149">
        <v>45411.0</v>
      </c>
      <c r="R96" s="150"/>
      <c r="S96" s="149">
        <v>45414.0</v>
      </c>
      <c r="T96" s="151"/>
      <c r="U96" s="151"/>
      <c r="V96" s="151"/>
      <c r="W96" s="151"/>
    </row>
    <row r="97">
      <c r="A97" s="142">
        <v>4667.0</v>
      </c>
      <c r="B97" s="143" t="str">
        <f t="shared" si="30"/>
        <v>H</v>
      </c>
      <c r="C97" s="143" t="str">
        <f t="shared" si="31"/>
        <v>CENTRAL-PURWOKERTO</v>
      </c>
      <c r="D97" s="145" t="s">
        <v>4408</v>
      </c>
      <c r="E97" s="145" t="str">
        <f>IFERROR(__xludf.DUMMYFUNCTION("vlookup(D97,IMPORTRANGE(""https://docs.google.com/spreadsheets/d/1swGwZOEqYlTEUCJLY-eeJM1911Kvaei5oySBIxdgtNo/edit?pli=1#gid=257618397"",""stock FAKTUR!B:C""),2,false)"),"KARTU STOCK KWARTO KUNING")</f>
        <v>KARTU STOCK KWARTO KUNING</v>
      </c>
      <c r="F97" s="53" t="str">
        <f>IFERROR(__xludf.DUMMYFUNCTION("vlookup($D97,IMPORTRANGE(""https://docs.google.com/spreadsheets/d/1swGwZOEqYlTEUCJLY-eeJM1911Kvaei5oySBIxdgtNo/edit?pli=1#gid=257618397"",""stock FAKTUR!B:d""),3,false)"),"A4")</f>
        <v>A4</v>
      </c>
      <c r="G97" s="53" t="str">
        <f>IFERROR(__xludf.DUMMYFUNCTION("vlookup($D97,IMPORTRANGE(""https://docs.google.com/spreadsheets/d/1swGwZOEqYlTEUCJLY-eeJM1911Kvaei5oySBIxdgtNo/edit?pli=1#gid=257618397"",""stock FAKTUR!B:e""),4,false)"),"KUNING")</f>
        <v>KUNING</v>
      </c>
      <c r="H97" s="53" t="str">
        <f>IFERROR(__xludf.DUMMYFUNCTION("vlookup($D97,IMPORTRANGE(""https://docs.google.com/spreadsheets/d/1swGwZOEqYlTEUCJLY-eeJM1911Kvaei5oySBIxdgtNo/edit?pli=1#gid=257618397"",""stock FAKTUR!B:F""),5,false)"),"NB")</f>
        <v>NB</v>
      </c>
      <c r="I97" s="53" t="str">
        <f>IFERROR(__xludf.DUMMYFUNCTION("vlookup($D97,IMPORTRANGE(""https://docs.google.com/spreadsheets/d/1swGwZOEqYlTEUCJLY-eeJM1911Kvaei5oySBIxdgtNo/edit?pli=1#gid=257618397"",""stock FAKTUR!B:G""),6,false)"),"")</f>
        <v/>
      </c>
      <c r="J97" s="120" t="str">
        <f t="shared" si="25"/>
        <v>ADA</v>
      </c>
      <c r="K97" s="146">
        <v>10.0</v>
      </c>
      <c r="L97" s="145" t="str">
        <f>IFERROR(__xludf.DUMMYFUNCTION("vlookup($D97,IMPORTRANGE(""https://docs.google.com/spreadsheets/d/1swGwZOEqYlTEUCJLY-eeJM1911Kvaei5oySBIxdgtNo/edit?pli=1#gid=257618397"",""stock FAKTUR!B:q""),16,false)"),"PAK")</f>
        <v>PAK</v>
      </c>
      <c r="M97" s="147">
        <v>19000.0</v>
      </c>
      <c r="N97" s="148"/>
      <c r="O97" s="147">
        <f t="shared" si="2"/>
        <v>190000</v>
      </c>
      <c r="P97" s="147" t="str">
        <f t="shared" si="3"/>
        <v>Rp19,000-10 PAK-0.00%</v>
      </c>
      <c r="Q97" s="149">
        <v>45411.0</v>
      </c>
      <c r="R97" s="150"/>
      <c r="S97" s="149">
        <v>45414.0</v>
      </c>
      <c r="T97" s="151"/>
      <c r="U97" s="151"/>
      <c r="V97" s="151"/>
      <c r="W97" s="151"/>
    </row>
    <row r="98">
      <c r="A98" s="142">
        <v>4667.0</v>
      </c>
      <c r="B98" s="143" t="str">
        <f t="shared" si="30"/>
        <v>H</v>
      </c>
      <c r="C98" s="143" t="str">
        <f t="shared" si="31"/>
        <v>CENTRAL-PURWOKERTO</v>
      </c>
      <c r="D98" s="144" t="s">
        <v>4409</v>
      </c>
      <c r="E98" s="145" t="str">
        <f>IFERROR(__xludf.DUMMYFUNCTION("vlookup(D98,IMPORTRANGE(""https://docs.google.com/spreadsheets/d/1swGwZOEqYlTEUCJLY-eeJM1911Kvaei5oySBIxdgtNo/edit?pli=1#gid=257618397"",""stock FAKTUR!B:C""),2,false)"),"KARTU STOCK KWARTO PUTIH")</f>
        <v>KARTU STOCK KWARTO PUTIH</v>
      </c>
      <c r="F98" s="53" t="str">
        <f>IFERROR(__xludf.DUMMYFUNCTION("vlookup($D98,IMPORTRANGE(""https://docs.google.com/spreadsheets/d/1swGwZOEqYlTEUCJLY-eeJM1911Kvaei5oySBIxdgtNo/edit?pli=1#gid=257618397"",""stock FAKTUR!B:d""),3,false)"),"A4")</f>
        <v>A4</v>
      </c>
      <c r="G98" s="53" t="str">
        <f>IFERROR(__xludf.DUMMYFUNCTION("vlookup($D98,IMPORTRANGE(""https://docs.google.com/spreadsheets/d/1swGwZOEqYlTEUCJLY-eeJM1911Kvaei5oySBIxdgtNo/edit?pli=1#gid=257618397"",""stock FAKTUR!B:e""),4,false)"),"PUTIH")</f>
        <v>PUTIH</v>
      </c>
      <c r="H98" s="53" t="str">
        <f>IFERROR(__xludf.DUMMYFUNCTION("vlookup($D98,IMPORTRANGE(""https://docs.google.com/spreadsheets/d/1swGwZOEqYlTEUCJLY-eeJM1911Kvaei5oySBIxdgtNo/edit?pli=1#gid=257618397"",""stock FAKTUR!B:F""),5,false)"),"NB")</f>
        <v>NB</v>
      </c>
      <c r="I98" s="53" t="str">
        <f>IFERROR(__xludf.DUMMYFUNCTION("vlookup($D98,IMPORTRANGE(""https://docs.google.com/spreadsheets/d/1swGwZOEqYlTEUCJLY-eeJM1911Kvaei5oySBIxdgtNo/edit?pli=1#gid=257618397"",""stock FAKTUR!B:G""),6,false)"),"")</f>
        <v/>
      </c>
      <c r="J98" s="120" t="str">
        <f t="shared" si="25"/>
        <v>ADA</v>
      </c>
      <c r="K98" s="146">
        <v>10.0</v>
      </c>
      <c r="L98" s="145" t="str">
        <f>IFERROR(__xludf.DUMMYFUNCTION("vlookup($D98,IMPORTRANGE(""https://docs.google.com/spreadsheets/d/1swGwZOEqYlTEUCJLY-eeJM1911Kvaei5oySBIxdgtNo/edit?pli=1#gid=257618397"",""stock FAKTUR!B:q""),16,false)"),"PAK")</f>
        <v>PAK</v>
      </c>
      <c r="M98" s="147">
        <v>19000.0</v>
      </c>
      <c r="N98" s="148"/>
      <c r="O98" s="147">
        <f t="shared" si="2"/>
        <v>190000</v>
      </c>
      <c r="P98" s="147" t="str">
        <f t="shared" si="3"/>
        <v>Rp19,000-10 PAK-0.00%</v>
      </c>
      <c r="Q98" s="149">
        <v>45411.0</v>
      </c>
      <c r="R98" s="150"/>
      <c r="S98" s="149">
        <v>45414.0</v>
      </c>
      <c r="T98" s="151"/>
      <c r="U98" s="151"/>
      <c r="V98" s="151"/>
      <c r="W98" s="151"/>
    </row>
    <row r="99">
      <c r="A99" s="142">
        <v>4667.0</v>
      </c>
      <c r="B99" s="143" t="str">
        <f t="shared" si="30"/>
        <v>H</v>
      </c>
      <c r="C99" s="143" t="str">
        <f t="shared" si="31"/>
        <v>CENTRAL-PURWOKERTO</v>
      </c>
      <c r="D99" s="144" t="s">
        <v>4410</v>
      </c>
      <c r="E99" s="145" t="str">
        <f>IFERROR(__xludf.DUMMYFUNCTION("vlookup(D99,IMPORTRANGE(""https://docs.google.com/spreadsheets/d/1swGwZOEqYlTEUCJLY-eeJM1911Kvaei5oySBIxdgtNo/edit?pli=1#gid=257618397"",""stock FAKTUR!B:C""),2,false)"),"KARTU STOCK KWARTO BIRU")</f>
        <v>KARTU STOCK KWARTO BIRU</v>
      </c>
      <c r="F99" s="53" t="str">
        <f>IFERROR(__xludf.DUMMYFUNCTION("vlookup($D99,IMPORTRANGE(""https://docs.google.com/spreadsheets/d/1swGwZOEqYlTEUCJLY-eeJM1911Kvaei5oySBIxdgtNo/edit?pli=1#gid=257618397"",""stock FAKTUR!B:d""),3,false)"),"A4")</f>
        <v>A4</v>
      </c>
      <c r="G99" s="53" t="str">
        <f>IFERROR(__xludf.DUMMYFUNCTION("vlookup($D99,IMPORTRANGE(""https://docs.google.com/spreadsheets/d/1swGwZOEqYlTEUCJLY-eeJM1911Kvaei5oySBIxdgtNo/edit?pli=1#gid=257618397"",""stock FAKTUR!B:e""),4,false)"),"BIRU")</f>
        <v>BIRU</v>
      </c>
      <c r="H99" s="53" t="str">
        <f>IFERROR(__xludf.DUMMYFUNCTION("vlookup($D99,IMPORTRANGE(""https://docs.google.com/spreadsheets/d/1swGwZOEqYlTEUCJLY-eeJM1911Kvaei5oySBIxdgtNo/edit?pli=1#gid=257618397"",""stock FAKTUR!B:F""),5,false)"),"NB")</f>
        <v>NB</v>
      </c>
      <c r="I99" s="53" t="str">
        <f>IFERROR(__xludf.DUMMYFUNCTION("vlookup($D99,IMPORTRANGE(""https://docs.google.com/spreadsheets/d/1swGwZOEqYlTEUCJLY-eeJM1911Kvaei5oySBIxdgtNo/edit?pli=1#gid=257618397"",""stock FAKTUR!B:G""),6,false)"),"")</f>
        <v/>
      </c>
      <c r="J99" s="120" t="str">
        <f t="shared" si="25"/>
        <v>ADA</v>
      </c>
      <c r="K99" s="146">
        <v>10.0</v>
      </c>
      <c r="L99" s="145" t="str">
        <f>IFERROR(__xludf.DUMMYFUNCTION("vlookup($D99,IMPORTRANGE(""https://docs.google.com/spreadsheets/d/1swGwZOEqYlTEUCJLY-eeJM1911Kvaei5oySBIxdgtNo/edit?pli=1#gid=257618397"",""stock FAKTUR!B:q""),16,false)"),"PAK")</f>
        <v>PAK</v>
      </c>
      <c r="M99" s="147">
        <v>19000.0</v>
      </c>
      <c r="N99" s="148"/>
      <c r="O99" s="147">
        <f t="shared" si="2"/>
        <v>190000</v>
      </c>
      <c r="P99" s="147" t="str">
        <f t="shared" si="3"/>
        <v>Rp19,000-10 PAK-0.00%</v>
      </c>
      <c r="Q99" s="149">
        <v>45411.0</v>
      </c>
      <c r="R99" s="150"/>
      <c r="S99" s="149">
        <v>45414.0</v>
      </c>
      <c r="T99" s="151"/>
      <c r="U99" s="151"/>
      <c r="V99" s="151"/>
      <c r="W99" s="151"/>
    </row>
    <row r="100">
      <c r="A100" s="142">
        <v>4667.0</v>
      </c>
      <c r="B100" s="143" t="str">
        <f t="shared" si="30"/>
        <v>H</v>
      </c>
      <c r="C100" s="143" t="str">
        <f t="shared" si="31"/>
        <v>CENTRAL-PURWOKERTO</v>
      </c>
      <c r="D100" s="145" t="s">
        <v>4449</v>
      </c>
      <c r="E100" s="145" t="str">
        <f>IFERROR(__xludf.DUMMYFUNCTION("vlookup(D100,IMPORTRANGE(""https://docs.google.com/spreadsheets/d/1swGwZOEqYlTEUCJLY-eeJM1911Kvaei5oySBIxdgtNo/edit?pli=1#gid=257618397"",""stock FAKTUR!B:C""),2,false)"),"KARTU STOCK FOLIO BIRU")</f>
        <v>KARTU STOCK FOLIO BIRU</v>
      </c>
      <c r="F100" s="53" t="str">
        <f>IFERROR(__xludf.DUMMYFUNCTION("vlookup($D100,IMPORTRANGE(""https://docs.google.com/spreadsheets/d/1swGwZOEqYlTEUCJLY-eeJM1911Kvaei5oySBIxdgtNo/edit?pli=1#gid=257618397"",""stock FAKTUR!B:d""),3,false)"),"F4")</f>
        <v>F4</v>
      </c>
      <c r="G100" s="53" t="str">
        <f>IFERROR(__xludf.DUMMYFUNCTION("vlookup($D100,IMPORTRANGE(""https://docs.google.com/spreadsheets/d/1swGwZOEqYlTEUCJLY-eeJM1911Kvaei5oySBIxdgtNo/edit?pli=1#gid=257618397"",""stock FAKTUR!B:e""),4,false)"),"BIRU")</f>
        <v>BIRU</v>
      </c>
      <c r="H100" s="53" t="str">
        <f>IFERROR(__xludf.DUMMYFUNCTION("vlookup($D100,IMPORTRANGE(""https://docs.google.com/spreadsheets/d/1swGwZOEqYlTEUCJLY-eeJM1911Kvaei5oySBIxdgtNo/edit?pli=1#gid=257618397"",""stock FAKTUR!B:F""),5,false)"),"NB")</f>
        <v>NB</v>
      </c>
      <c r="I100" s="53" t="str">
        <f>IFERROR(__xludf.DUMMYFUNCTION("vlookup($D100,IMPORTRANGE(""https://docs.google.com/spreadsheets/d/1swGwZOEqYlTEUCJLY-eeJM1911Kvaei5oySBIxdgtNo/edit?pli=1#gid=257618397"",""stock FAKTUR!B:G""),6,false)"),"")</f>
        <v/>
      </c>
      <c r="J100" s="120" t="str">
        <f t="shared" si="25"/>
        <v>ADA</v>
      </c>
      <c r="K100" s="142">
        <v>5.0</v>
      </c>
      <c r="L100" s="145" t="str">
        <f>IFERROR(__xludf.DUMMYFUNCTION("vlookup($D100,IMPORTRANGE(""https://docs.google.com/spreadsheets/d/1swGwZOEqYlTEUCJLY-eeJM1911Kvaei5oySBIxdgtNo/edit?pli=1#gid=257618397"",""stock FAKTUR!B:q""),16,false)"),"PAK")</f>
        <v>PAK</v>
      </c>
      <c r="M100" s="147">
        <v>37500.0</v>
      </c>
      <c r="N100" s="148"/>
      <c r="O100" s="147">
        <f t="shared" si="2"/>
        <v>187500</v>
      </c>
      <c r="P100" s="147" t="str">
        <f t="shared" si="3"/>
        <v>Rp37,500-5 PAK-0.00%</v>
      </c>
      <c r="Q100" s="149">
        <v>45411.0</v>
      </c>
      <c r="R100" s="150"/>
      <c r="S100" s="149">
        <v>45414.0</v>
      </c>
      <c r="T100" s="151"/>
      <c r="U100" s="151"/>
      <c r="V100" s="151"/>
      <c r="W100" s="151"/>
    </row>
    <row r="101">
      <c r="A101" s="142">
        <v>4667.0</v>
      </c>
      <c r="B101" s="143" t="str">
        <f t="shared" si="30"/>
        <v>H</v>
      </c>
      <c r="C101" s="143" t="str">
        <f t="shared" si="31"/>
        <v>CENTRAL-PURWOKERTO</v>
      </c>
      <c r="D101" s="145" t="s">
        <v>4450</v>
      </c>
      <c r="E101" s="145" t="str">
        <f>IFERROR(__xludf.DUMMYFUNCTION("vlookup(D101,IMPORTRANGE(""https://docs.google.com/spreadsheets/d/1swGwZOEqYlTEUCJLY-eeJM1911Kvaei5oySBIxdgtNo/edit?pli=1#gid=257618397"",""stock FAKTUR!B:C""),2,false)"),"KARTU STOCK FOLIO HIJAU")</f>
        <v>KARTU STOCK FOLIO HIJAU</v>
      </c>
      <c r="F101" s="53" t="str">
        <f>IFERROR(__xludf.DUMMYFUNCTION("vlookup($D101,IMPORTRANGE(""https://docs.google.com/spreadsheets/d/1swGwZOEqYlTEUCJLY-eeJM1911Kvaei5oySBIxdgtNo/edit?pli=1#gid=257618397"",""stock FAKTUR!B:d""),3,false)"),"F4")</f>
        <v>F4</v>
      </c>
      <c r="G101" s="53" t="str">
        <f>IFERROR(__xludf.DUMMYFUNCTION("vlookup($D101,IMPORTRANGE(""https://docs.google.com/spreadsheets/d/1swGwZOEqYlTEUCJLY-eeJM1911Kvaei5oySBIxdgtNo/edit?pli=1#gid=257618397"",""stock FAKTUR!B:e""),4,false)"),"HIJAU")</f>
        <v>HIJAU</v>
      </c>
      <c r="H101" s="53" t="str">
        <f>IFERROR(__xludf.DUMMYFUNCTION("vlookup($D101,IMPORTRANGE(""https://docs.google.com/spreadsheets/d/1swGwZOEqYlTEUCJLY-eeJM1911Kvaei5oySBIxdgtNo/edit?pli=1#gid=257618397"",""stock FAKTUR!B:F""),5,false)"),"NB")</f>
        <v>NB</v>
      </c>
      <c r="I101" s="53" t="str">
        <f>IFERROR(__xludf.DUMMYFUNCTION("vlookup($D101,IMPORTRANGE(""https://docs.google.com/spreadsheets/d/1swGwZOEqYlTEUCJLY-eeJM1911Kvaei5oySBIxdgtNo/edit?pli=1#gid=257618397"",""stock FAKTUR!B:G""),6,false)"),"")</f>
        <v/>
      </c>
      <c r="J101" s="120" t="str">
        <f t="shared" si="25"/>
        <v>ADA</v>
      </c>
      <c r="K101" s="142">
        <v>5.0</v>
      </c>
      <c r="L101" s="145" t="str">
        <f>IFERROR(__xludf.DUMMYFUNCTION("vlookup($D101,IMPORTRANGE(""https://docs.google.com/spreadsheets/d/1swGwZOEqYlTEUCJLY-eeJM1911Kvaei5oySBIxdgtNo/edit?pli=1#gid=257618397"",""stock FAKTUR!B:q""),16,false)"),"PAK")</f>
        <v>PAK</v>
      </c>
      <c r="M101" s="147">
        <v>37500.0</v>
      </c>
      <c r="N101" s="148"/>
      <c r="O101" s="147">
        <f t="shared" si="2"/>
        <v>187500</v>
      </c>
      <c r="P101" s="147" t="str">
        <f t="shared" si="3"/>
        <v>Rp37,500-5 PAK-0.00%</v>
      </c>
      <c r="Q101" s="149">
        <v>45411.0</v>
      </c>
      <c r="R101" s="150"/>
      <c r="S101" s="149">
        <v>45414.0</v>
      </c>
      <c r="T101" s="151"/>
      <c r="U101" s="151"/>
      <c r="V101" s="151"/>
      <c r="W101" s="151"/>
    </row>
    <row r="102">
      <c r="A102" s="142">
        <v>4667.0</v>
      </c>
      <c r="B102" s="143" t="str">
        <f t="shared" si="30"/>
        <v>H</v>
      </c>
      <c r="C102" s="143" t="str">
        <f t="shared" si="31"/>
        <v>CENTRAL-PURWOKERTO</v>
      </c>
      <c r="D102" s="145" t="s">
        <v>4451</v>
      </c>
      <c r="E102" s="145" t="str">
        <f>IFERROR(__xludf.DUMMYFUNCTION("vlookup(D102,IMPORTRANGE(""https://docs.google.com/spreadsheets/d/1swGwZOEqYlTEUCJLY-eeJM1911Kvaei5oySBIxdgtNo/edit?pli=1#gid=257618397"",""stock FAKTUR!B:C""),2,false)"),"KARTU STOCK FOLIO KUNING")</f>
        <v>KARTU STOCK FOLIO KUNING</v>
      </c>
      <c r="F102" s="53" t="str">
        <f>IFERROR(__xludf.DUMMYFUNCTION("vlookup($D102,IMPORTRANGE(""https://docs.google.com/spreadsheets/d/1swGwZOEqYlTEUCJLY-eeJM1911Kvaei5oySBIxdgtNo/edit?pli=1#gid=257618397"",""stock FAKTUR!B:d""),3,false)"),"F4")</f>
        <v>F4</v>
      </c>
      <c r="G102" s="53" t="str">
        <f>IFERROR(__xludf.DUMMYFUNCTION("vlookup($D102,IMPORTRANGE(""https://docs.google.com/spreadsheets/d/1swGwZOEqYlTEUCJLY-eeJM1911Kvaei5oySBIxdgtNo/edit?pli=1#gid=257618397"",""stock FAKTUR!B:e""),4,false)"),"KUNING")</f>
        <v>KUNING</v>
      </c>
      <c r="H102" s="53" t="str">
        <f>IFERROR(__xludf.DUMMYFUNCTION("vlookup($D102,IMPORTRANGE(""https://docs.google.com/spreadsheets/d/1swGwZOEqYlTEUCJLY-eeJM1911Kvaei5oySBIxdgtNo/edit?pli=1#gid=257618397"",""stock FAKTUR!B:F""),5,false)"),"NB")</f>
        <v>NB</v>
      </c>
      <c r="I102" s="53" t="str">
        <f>IFERROR(__xludf.DUMMYFUNCTION("vlookup($D102,IMPORTRANGE(""https://docs.google.com/spreadsheets/d/1swGwZOEqYlTEUCJLY-eeJM1911Kvaei5oySBIxdgtNo/edit?pli=1#gid=257618397"",""stock FAKTUR!B:G""),6,false)"),"")</f>
        <v/>
      </c>
      <c r="J102" s="120" t="str">
        <f t="shared" si="25"/>
        <v>ADA</v>
      </c>
      <c r="K102" s="142">
        <v>5.0</v>
      </c>
      <c r="L102" s="145" t="str">
        <f>IFERROR(__xludf.DUMMYFUNCTION("vlookup($D102,IMPORTRANGE(""https://docs.google.com/spreadsheets/d/1swGwZOEqYlTEUCJLY-eeJM1911Kvaei5oySBIxdgtNo/edit?pli=1#gid=257618397"",""stock FAKTUR!B:q""),16,false)"),"PAK")</f>
        <v>PAK</v>
      </c>
      <c r="M102" s="147">
        <v>37500.0</v>
      </c>
      <c r="N102" s="148"/>
      <c r="O102" s="147">
        <f t="shared" si="2"/>
        <v>187500</v>
      </c>
      <c r="P102" s="147" t="str">
        <f t="shared" si="3"/>
        <v>Rp37,500-5 PAK-0.00%</v>
      </c>
      <c r="Q102" s="149">
        <v>45411.0</v>
      </c>
      <c r="R102" s="150"/>
      <c r="S102" s="149">
        <v>45414.0</v>
      </c>
      <c r="T102" s="151"/>
      <c r="U102" s="151"/>
      <c r="V102" s="151"/>
      <c r="W102" s="151"/>
    </row>
    <row r="103">
      <c r="A103" s="142">
        <v>4667.0</v>
      </c>
      <c r="B103" s="143" t="str">
        <f t="shared" si="30"/>
        <v>H</v>
      </c>
      <c r="C103" s="143" t="str">
        <f t="shared" si="31"/>
        <v>CENTRAL-PURWOKERTO</v>
      </c>
      <c r="D103" s="145" t="s">
        <v>4452</v>
      </c>
      <c r="E103" s="145" t="str">
        <f>IFERROR(__xludf.DUMMYFUNCTION("vlookup(D103,IMPORTRANGE(""https://docs.google.com/spreadsheets/d/1swGwZOEqYlTEUCJLY-eeJM1911Kvaei5oySBIxdgtNo/edit?pli=1#gid=257618397"",""stock FAKTUR!B:C""),2,false)"),"KARTU STOCK FOLIO PINK")</f>
        <v>KARTU STOCK FOLIO PINK</v>
      </c>
      <c r="F103" s="53" t="str">
        <f>IFERROR(__xludf.DUMMYFUNCTION("vlookup($D103,IMPORTRANGE(""https://docs.google.com/spreadsheets/d/1swGwZOEqYlTEUCJLY-eeJM1911Kvaei5oySBIxdgtNo/edit?pli=1#gid=257618397"",""stock FAKTUR!B:d""),3,false)"),"F4")</f>
        <v>F4</v>
      </c>
      <c r="G103" s="53" t="str">
        <f>IFERROR(__xludf.DUMMYFUNCTION("vlookup($D103,IMPORTRANGE(""https://docs.google.com/spreadsheets/d/1swGwZOEqYlTEUCJLY-eeJM1911Kvaei5oySBIxdgtNo/edit?pli=1#gid=257618397"",""stock FAKTUR!B:e""),4,false)"),"PINK")</f>
        <v>PINK</v>
      </c>
      <c r="H103" s="53" t="str">
        <f>IFERROR(__xludf.DUMMYFUNCTION("vlookup($D103,IMPORTRANGE(""https://docs.google.com/spreadsheets/d/1swGwZOEqYlTEUCJLY-eeJM1911Kvaei5oySBIxdgtNo/edit?pli=1#gid=257618397"",""stock FAKTUR!B:F""),5,false)"),"NB")</f>
        <v>NB</v>
      </c>
      <c r="I103" s="53" t="str">
        <f>IFERROR(__xludf.DUMMYFUNCTION("vlookup($D103,IMPORTRANGE(""https://docs.google.com/spreadsheets/d/1swGwZOEqYlTEUCJLY-eeJM1911Kvaei5oySBIxdgtNo/edit?pli=1#gid=257618397"",""stock FAKTUR!B:G""),6,false)"),"")</f>
        <v/>
      </c>
      <c r="J103" s="120" t="str">
        <f t="shared" si="25"/>
        <v>ADA</v>
      </c>
      <c r="K103" s="142">
        <v>5.0</v>
      </c>
      <c r="L103" s="145" t="str">
        <f>IFERROR(__xludf.DUMMYFUNCTION("vlookup($D103,IMPORTRANGE(""https://docs.google.com/spreadsheets/d/1swGwZOEqYlTEUCJLY-eeJM1911Kvaei5oySBIxdgtNo/edit?pli=1#gid=257618397"",""stock FAKTUR!B:q""),16,false)"),"PAK")</f>
        <v>PAK</v>
      </c>
      <c r="M103" s="147">
        <v>37500.0</v>
      </c>
      <c r="N103" s="148"/>
      <c r="O103" s="147">
        <f t="shared" si="2"/>
        <v>187500</v>
      </c>
      <c r="P103" s="147" t="str">
        <f t="shared" si="3"/>
        <v>Rp37,500-5 PAK-0.00%</v>
      </c>
      <c r="Q103" s="149">
        <v>45411.0</v>
      </c>
      <c r="R103" s="150"/>
      <c r="S103" s="149">
        <v>45414.0</v>
      </c>
      <c r="T103" s="151"/>
      <c r="U103" s="151"/>
      <c r="V103" s="151"/>
      <c r="W103" s="151"/>
    </row>
    <row r="104">
      <c r="A104" s="142">
        <v>4667.0</v>
      </c>
      <c r="B104" s="143" t="str">
        <f t="shared" si="30"/>
        <v>H</v>
      </c>
      <c r="C104" s="143" t="str">
        <f t="shared" si="31"/>
        <v>CENTRAL-PURWOKERTO</v>
      </c>
      <c r="D104" s="145" t="s">
        <v>4453</v>
      </c>
      <c r="E104" s="145" t="str">
        <f>IFERROR(__xludf.DUMMYFUNCTION("vlookup(D104,IMPORTRANGE(""https://docs.google.com/spreadsheets/d/1swGwZOEqYlTEUCJLY-eeJM1911Kvaei5oySBIxdgtNo/edit?pli=1#gid=257618397"",""stock FAKTUR!B:C""),2,false)"),"KARTU STOCK FOLIO PUTIH")</f>
        <v>KARTU STOCK FOLIO PUTIH</v>
      </c>
      <c r="F104" s="53" t="str">
        <f>IFERROR(__xludf.DUMMYFUNCTION("vlookup($D104,IMPORTRANGE(""https://docs.google.com/spreadsheets/d/1swGwZOEqYlTEUCJLY-eeJM1911Kvaei5oySBIxdgtNo/edit?pli=1#gid=257618397"",""stock FAKTUR!B:d""),3,false)"),"F4")</f>
        <v>F4</v>
      </c>
      <c r="G104" s="53" t="str">
        <f>IFERROR(__xludf.DUMMYFUNCTION("vlookup($D104,IMPORTRANGE(""https://docs.google.com/spreadsheets/d/1swGwZOEqYlTEUCJLY-eeJM1911Kvaei5oySBIxdgtNo/edit?pli=1#gid=257618397"",""stock FAKTUR!B:e""),4,false)"),"PUTIH")</f>
        <v>PUTIH</v>
      </c>
      <c r="H104" s="53" t="str">
        <f>IFERROR(__xludf.DUMMYFUNCTION("vlookup($D104,IMPORTRANGE(""https://docs.google.com/spreadsheets/d/1swGwZOEqYlTEUCJLY-eeJM1911Kvaei5oySBIxdgtNo/edit?pli=1#gid=257618397"",""stock FAKTUR!B:F""),5,false)"),"NB")</f>
        <v>NB</v>
      </c>
      <c r="I104" s="53" t="str">
        <f>IFERROR(__xludf.DUMMYFUNCTION("vlookup($D104,IMPORTRANGE(""https://docs.google.com/spreadsheets/d/1swGwZOEqYlTEUCJLY-eeJM1911Kvaei5oySBIxdgtNo/edit?pli=1#gid=257618397"",""stock FAKTUR!B:G""),6,false)"),"")</f>
        <v/>
      </c>
      <c r="J104" s="120" t="str">
        <f t="shared" si="25"/>
        <v>ADA</v>
      </c>
      <c r="K104" s="142">
        <v>5.0</v>
      </c>
      <c r="L104" s="145" t="str">
        <f>IFERROR(__xludf.DUMMYFUNCTION("vlookup($D104,IMPORTRANGE(""https://docs.google.com/spreadsheets/d/1swGwZOEqYlTEUCJLY-eeJM1911Kvaei5oySBIxdgtNo/edit?pli=1#gid=257618397"",""stock FAKTUR!B:q""),16,false)"),"PAK")</f>
        <v>PAK</v>
      </c>
      <c r="M104" s="147">
        <v>37500.0</v>
      </c>
      <c r="N104" s="148"/>
      <c r="O104" s="147">
        <f t="shared" si="2"/>
        <v>187500</v>
      </c>
      <c r="P104" s="147" t="str">
        <f t="shared" si="3"/>
        <v>Rp37,500-5 PAK-0.00%</v>
      </c>
      <c r="Q104" s="149">
        <v>45411.0</v>
      </c>
      <c r="R104" s="150"/>
      <c r="S104" s="149">
        <v>45414.0</v>
      </c>
      <c r="T104" s="151"/>
      <c r="U104" s="151"/>
      <c r="V104" s="151"/>
      <c r="W104" s="151"/>
    </row>
    <row r="105">
      <c r="A105" s="142">
        <v>2921.0</v>
      </c>
      <c r="B105" s="143" t="s">
        <v>33</v>
      </c>
      <c r="C105" s="143" t="s">
        <v>2474</v>
      </c>
      <c r="D105" s="151" t="s">
        <v>4454</v>
      </c>
      <c r="E105" s="145" t="str">
        <f>IFERROR(__xludf.DUMMYFUNCTION("vlookup(D105,IMPORTRANGE(""https://docs.google.com/spreadsheets/d/1swGwZOEqYlTEUCJLY-eeJM1911Kvaei5oySBIxdgtNo/edit?pli=1#gid=257618397"",""stock FAKTUR!B:C""),2,false)"),"MESIN LABEL HARGA JK MX-5500 M")</f>
        <v>MESIN LABEL HARGA JK MX-5500 M</v>
      </c>
      <c r="F105" s="53" t="str">
        <f>IFERROR(__xludf.DUMMYFUNCTION("vlookup($D105,IMPORTRANGE(""https://docs.google.com/spreadsheets/d/1swGwZOEqYlTEUCJLY-eeJM1911Kvaei5oySBIxdgtNo/edit?pli=1#gid=257618397"",""stock FAKTUR!B:d""),3,false)"),"")</f>
        <v/>
      </c>
      <c r="G105" s="53" t="str">
        <f>IFERROR(__xludf.DUMMYFUNCTION("vlookup($D105,IMPORTRANGE(""https://docs.google.com/spreadsheets/d/1swGwZOEqYlTEUCJLY-eeJM1911Kvaei5oySBIxdgtNo/edit?pli=1#gid=257618397"",""stock FAKTUR!B:e""),4,false)"),"")</f>
        <v/>
      </c>
      <c r="H105" s="53" t="str">
        <f>IFERROR(__xludf.DUMMYFUNCTION("vlookup($D105,IMPORTRANGE(""https://docs.google.com/spreadsheets/d/1swGwZOEqYlTEUCJLY-eeJM1911Kvaei5oySBIxdgtNo/edit?pli=1#gid=257618397"",""stock FAKTUR!B:F""),5,false)"),"JK")</f>
        <v>JK</v>
      </c>
      <c r="I105" s="53" t="str">
        <f>IFERROR(__xludf.DUMMYFUNCTION("vlookup($D105,IMPORTRANGE(""https://docs.google.com/spreadsheets/d/1swGwZOEqYlTEUCJLY-eeJM1911Kvaei5oySBIxdgtNo/edit?pli=1#gid=257618397"",""stock FAKTUR!B:G""),6,false)"),"MX-5500M")</f>
        <v>MX-5500M</v>
      </c>
      <c r="J105" s="120" t="str">
        <f t="shared" si="25"/>
        <v>ADA</v>
      </c>
      <c r="K105" s="142">
        <v>80.0</v>
      </c>
      <c r="L105" s="145" t="str">
        <f>IFERROR(__xludf.DUMMYFUNCTION("vlookup($D105,IMPORTRANGE(""https://docs.google.com/spreadsheets/d/1swGwZOEqYlTEUCJLY-eeJM1911Kvaei5oySBIxdgtNo/edit?pli=1#gid=257618397"",""stock FAKTUR!B:q""),16,false)"),"PCS")</f>
        <v>PCS</v>
      </c>
      <c r="M105" s="147">
        <v>40500.0</v>
      </c>
      <c r="N105" s="152">
        <v>0.125</v>
      </c>
      <c r="O105" s="147">
        <f t="shared" si="2"/>
        <v>2835000</v>
      </c>
      <c r="P105" s="147" t="str">
        <f t="shared" si="3"/>
        <v>Rp40,500-80 PCS-12.50%</v>
      </c>
      <c r="Q105" s="149">
        <v>45411.0</v>
      </c>
      <c r="R105" s="150"/>
      <c r="S105" s="149">
        <v>45414.0</v>
      </c>
      <c r="T105" s="151"/>
      <c r="U105" s="151"/>
      <c r="V105" s="151"/>
      <c r="W105" s="151"/>
    </row>
    <row r="106">
      <c r="A106" s="142">
        <v>4662.0</v>
      </c>
      <c r="B106" s="143" t="s">
        <v>58</v>
      </c>
      <c r="C106" s="143" t="s">
        <v>103</v>
      </c>
      <c r="D106" s="145" t="s">
        <v>4429</v>
      </c>
      <c r="E106" s="145" t="str">
        <f>IFERROR(__xludf.DUMMYFUNCTION("vlookup(D106,IMPORTRANGE(""https://docs.google.com/spreadsheets/d/1swGwZOEqYlTEUCJLY-eeJM1911Kvaei5oySBIxdgtNo/edit?pli=1#gid=257618397"",""stock FAKTUR!B:C""),2,false)"),"TIPEX KENKO KE-01")</f>
        <v>TIPEX KENKO KE-01</v>
      </c>
      <c r="F106" s="53" t="str">
        <f>IFERROR(__xludf.DUMMYFUNCTION("vlookup($D106,IMPORTRANGE(""https://docs.google.com/spreadsheets/d/1swGwZOEqYlTEUCJLY-eeJM1911Kvaei5oySBIxdgtNo/edit?pli=1#gid=257618397"",""stock FAKTUR!B:d""),3,false)"),"")</f>
        <v/>
      </c>
      <c r="G106" s="53" t="str">
        <f>IFERROR(__xludf.DUMMYFUNCTION("vlookup($D106,IMPORTRANGE(""https://docs.google.com/spreadsheets/d/1swGwZOEqYlTEUCJLY-eeJM1911Kvaei5oySBIxdgtNo/edit?pli=1#gid=257618397"",""stock FAKTUR!B:e""),4,false)"),"")</f>
        <v/>
      </c>
      <c r="H106" s="53" t="str">
        <f>IFERROR(__xludf.DUMMYFUNCTION("vlookup($D106,IMPORTRANGE(""https://docs.google.com/spreadsheets/d/1swGwZOEqYlTEUCJLY-eeJM1911Kvaei5oySBIxdgtNo/edit?pli=1#gid=257618397"",""stock FAKTUR!B:F""),5,false)"),"KN")</f>
        <v>KN</v>
      </c>
      <c r="I106" s="53" t="str">
        <f>IFERROR(__xludf.DUMMYFUNCTION("vlookup($D106,IMPORTRANGE(""https://docs.google.com/spreadsheets/d/1swGwZOEqYlTEUCJLY-eeJM1911Kvaei5oySBIxdgtNo/edit?pli=1#gid=257618397"",""stock FAKTUR!B:G""),6,false)"),"CFL-001")</f>
        <v>CFL-001</v>
      </c>
      <c r="J106" s="120" t="str">
        <f t="shared" si="25"/>
        <v>ADA</v>
      </c>
      <c r="K106" s="142">
        <v>72.0</v>
      </c>
      <c r="L106" s="145" t="str">
        <f>IFERROR(__xludf.DUMMYFUNCTION("vlookup($D106,IMPORTRANGE(""https://docs.google.com/spreadsheets/d/1swGwZOEqYlTEUCJLY-eeJM1911Kvaei5oySBIxdgtNo/edit?pli=1#gid=257618397"",""stock FAKTUR!B:q""),16,false)"),"LSN")</f>
        <v>LSN</v>
      </c>
      <c r="M106" s="147">
        <v>54300.0</v>
      </c>
      <c r="N106" s="152">
        <v>0.125</v>
      </c>
      <c r="O106" s="147">
        <f t="shared" si="2"/>
        <v>3420900</v>
      </c>
      <c r="P106" s="147" t="str">
        <f t="shared" si="3"/>
        <v>Rp54,300-72 LSN-12.50%</v>
      </c>
      <c r="Q106" s="149">
        <v>45411.0</v>
      </c>
      <c r="R106" s="150"/>
      <c r="S106" s="149">
        <v>45414.0</v>
      </c>
      <c r="T106" s="151"/>
      <c r="U106" s="151"/>
      <c r="V106" s="151"/>
      <c r="W106" s="151"/>
    </row>
    <row r="107">
      <c r="A107" s="142">
        <v>4662.0</v>
      </c>
      <c r="B107" s="143" t="str">
        <f>IF(A107=A106,B106,"")</f>
        <v>G</v>
      </c>
      <c r="C107" s="143" t="str">
        <f>IF(A107=A106,C106,"")</f>
        <v>SASA-BOJONEGORO</v>
      </c>
      <c r="D107" s="145" t="s">
        <v>4455</v>
      </c>
      <c r="E107" s="145" t="str">
        <f>IFERROR(__xludf.DUMMYFUNCTION("vlookup(D107,IMPORTRANGE(""https://docs.google.com/spreadsheets/d/1swGwZOEqYlTEUCJLY-eeJM1911Kvaei5oySBIxdgtNo/edit?pli=1#gid=257618397"",""stock FAKTUR!B:C""),2,false)"),"OIL PASTEL TITI 24W TI-P-24S")</f>
        <v>OIL PASTEL TITI 24W TI-P-24S</v>
      </c>
      <c r="F107" s="53" t="str">
        <f>IFERROR(__xludf.DUMMYFUNCTION("vlookup($D107,IMPORTRANGE(""https://docs.google.com/spreadsheets/d/1swGwZOEqYlTEUCJLY-eeJM1911Kvaei5oySBIxdgtNo/edit?pli=1#gid=257618397"",""stock FAKTUR!B:d""),3,false)"),"")</f>
        <v/>
      </c>
      <c r="G107" s="53" t="str">
        <f>IFERROR(__xludf.DUMMYFUNCTION("vlookup($D107,IMPORTRANGE(""https://docs.google.com/spreadsheets/d/1swGwZOEqYlTEUCJLY-eeJM1911Kvaei5oySBIxdgtNo/edit?pli=1#gid=257618397"",""stock FAKTUR!B:e""),4,false)"),"24W")</f>
        <v>24W</v>
      </c>
      <c r="H107" s="53" t="str">
        <f>IFERROR(__xludf.DUMMYFUNCTION("vlookup($D107,IMPORTRANGE(""https://docs.google.com/spreadsheets/d/1swGwZOEqYlTEUCJLY-eeJM1911Kvaei5oySBIxdgtNo/edit?pli=1#gid=257618397"",""stock FAKTUR!B:F""),5,false)"),"TT")</f>
        <v>TT</v>
      </c>
      <c r="I107" s="53" t="str">
        <f>IFERROR(__xludf.DUMMYFUNCTION("vlookup($D107,IMPORTRANGE(""https://docs.google.com/spreadsheets/d/1swGwZOEqYlTEUCJLY-eeJM1911Kvaei5oySBIxdgtNo/edit?pli=1#gid=257618397"",""stock FAKTUR!B:G""),6,false)"),"OPS-009")</f>
        <v>OPS-009</v>
      </c>
      <c r="J107" s="120" t="str">
        <f t="shared" si="25"/>
        <v>ADA</v>
      </c>
      <c r="K107" s="142">
        <v>48.0</v>
      </c>
      <c r="L107" s="145" t="str">
        <f>IFERROR(__xludf.DUMMYFUNCTION("vlookup($D107,IMPORTRANGE(""https://docs.google.com/spreadsheets/d/1swGwZOEqYlTEUCJLY-eeJM1911Kvaei5oySBIxdgtNo/edit?pli=1#gid=257618397"",""stock FAKTUR!B:q""),16,false)"),"PCS")</f>
        <v>PCS</v>
      </c>
      <c r="M107" s="147">
        <v>34000.0</v>
      </c>
      <c r="N107" s="152">
        <v>0.125</v>
      </c>
      <c r="O107" s="147">
        <f t="shared" si="2"/>
        <v>1428000</v>
      </c>
      <c r="P107" s="147" t="str">
        <f t="shared" si="3"/>
        <v>Rp34,000-48 PCS-12.50%</v>
      </c>
      <c r="Q107" s="149">
        <v>45411.0</v>
      </c>
      <c r="R107" s="150"/>
      <c r="S107" s="149">
        <v>45414.0</v>
      </c>
      <c r="T107" s="151"/>
      <c r="U107" s="151"/>
      <c r="V107" s="151"/>
      <c r="W107" s="151"/>
    </row>
    <row r="108">
      <c r="A108" s="142">
        <v>4659.0</v>
      </c>
      <c r="B108" s="143" t="s">
        <v>33</v>
      </c>
      <c r="C108" s="143" t="s">
        <v>4456</v>
      </c>
      <c r="D108" s="151" t="s">
        <v>4457</v>
      </c>
      <c r="E108" s="145" t="str">
        <f>IFERROR(__xludf.DUMMYFUNCTION("vlookup(D108,IMPORTRANGE(""https://docs.google.com/spreadsheets/d/1swGwZOEqYlTEUCJLY-eeJM1911Kvaei5oySBIxdgtNo/edit?pli=1#gid=257618397"",""stock FAKTUR!B:C""),2,false)"),"PENSIL KENKO 2B-6191 HIJAU CAP HITAM")</f>
        <v>PENSIL KENKO 2B-6191 HIJAU CAP HITAM</v>
      </c>
      <c r="F108" s="53" t="str">
        <f>IFERROR(__xludf.DUMMYFUNCTION("vlookup($D108,IMPORTRANGE(""https://docs.google.com/spreadsheets/d/1swGwZOEqYlTEUCJLY-eeJM1911Kvaei5oySBIxdgtNo/edit?pli=1#gid=257618397"",""stock FAKTUR!B:d""),3,false)"),"")</f>
        <v/>
      </c>
      <c r="G108" s="53" t="str">
        <f>IFERROR(__xludf.DUMMYFUNCTION("vlookup($D108,IMPORTRANGE(""https://docs.google.com/spreadsheets/d/1swGwZOEqYlTEUCJLY-eeJM1911Kvaei5oySBIxdgtNo/edit?pli=1#gid=257618397"",""stock FAKTUR!B:e""),4,false)"),"HIJAU")</f>
        <v>HIJAU</v>
      </c>
      <c r="H108" s="53" t="str">
        <f>IFERROR(__xludf.DUMMYFUNCTION("vlookup($D108,IMPORTRANGE(""https://docs.google.com/spreadsheets/d/1swGwZOEqYlTEUCJLY-eeJM1911Kvaei5oySBIxdgtNo/edit?pli=1#gid=257618397"",""stock FAKTUR!B:F""),5,false)"),"KN")</f>
        <v>KN</v>
      </c>
      <c r="I108" s="53" t="str">
        <f>IFERROR(__xludf.DUMMYFUNCTION("vlookup($D108,IMPORTRANGE(""https://docs.google.com/spreadsheets/d/1swGwZOEqYlTEUCJLY-eeJM1911Kvaei5oySBIxdgtNo/edit?pli=1#gid=257618397"",""stock FAKTUR!B:G""),6,false)"),"PCL-008AK")</f>
        <v>PCL-008AK</v>
      </c>
      <c r="J108" s="120" t="str">
        <f t="shared" si="25"/>
        <v>ADA</v>
      </c>
      <c r="K108" s="142">
        <v>20.0</v>
      </c>
      <c r="L108" s="145" t="str">
        <f>IFERROR(__xludf.DUMMYFUNCTION("vlookup($D108,IMPORTRANGE(""https://docs.google.com/spreadsheets/d/1swGwZOEqYlTEUCJLY-eeJM1911Kvaei5oySBIxdgtNo/edit?pli=1#gid=257618397"",""stock FAKTUR!B:q""),16,false)"),"GRS")</f>
        <v>GRS</v>
      </c>
      <c r="M108" s="147">
        <v>110400.0</v>
      </c>
      <c r="N108" s="152">
        <v>0.1</v>
      </c>
      <c r="O108" s="147">
        <f t="shared" si="2"/>
        <v>1987200</v>
      </c>
      <c r="P108" s="147" t="str">
        <f t="shared" si="3"/>
        <v>Rp110,400-20 GRS-10.00%</v>
      </c>
      <c r="Q108" s="149">
        <v>45411.0</v>
      </c>
      <c r="R108" s="150"/>
      <c r="S108" s="149">
        <v>45414.0</v>
      </c>
      <c r="T108" s="151"/>
      <c r="U108" s="151"/>
      <c r="V108" s="151"/>
      <c r="W108" s="151"/>
    </row>
    <row r="109">
      <c r="A109" s="142">
        <v>4661.0</v>
      </c>
      <c r="B109" s="143" t="s">
        <v>33</v>
      </c>
      <c r="C109" s="143" t="s">
        <v>3688</v>
      </c>
      <c r="D109" s="145" t="s">
        <v>4458</v>
      </c>
      <c r="E109" s="145" t="str">
        <f>IFERROR(__xludf.DUMMYFUNCTION("vlookup(D109,IMPORTRANGE(""https://docs.google.com/spreadsheets/d/1swGwZOEqYlTEUCJLY-eeJM1911Kvaei5oySBIxdgtNo/edit?pli=1#gid=257618397"",""stock FAKTUR!B:C""),2,false)"),"ISI CUTTER KENKO A-100 KECIL")</f>
        <v>ISI CUTTER KENKO A-100 KECIL</v>
      </c>
      <c r="F109" s="53" t="str">
        <f>IFERROR(__xludf.DUMMYFUNCTION("vlookup($D109,IMPORTRANGE(""https://docs.google.com/spreadsheets/d/1swGwZOEqYlTEUCJLY-eeJM1911Kvaei5oySBIxdgtNo/edit?pli=1#gid=257618397"",""stock FAKTUR!B:d""),3,false)"),"9 MM")</f>
        <v>9 MM</v>
      </c>
      <c r="G109" s="53" t="str">
        <f>IFERROR(__xludf.DUMMYFUNCTION("vlookup($D109,IMPORTRANGE(""https://docs.google.com/spreadsheets/d/1swGwZOEqYlTEUCJLY-eeJM1911Kvaei5oySBIxdgtNo/edit?pli=1#gid=257618397"",""stock FAKTUR!B:e""),4,false)"),"")</f>
        <v/>
      </c>
      <c r="H109" s="53" t="str">
        <f>IFERROR(__xludf.DUMMYFUNCTION("vlookup($D109,IMPORTRANGE(""https://docs.google.com/spreadsheets/d/1swGwZOEqYlTEUCJLY-eeJM1911Kvaei5oySBIxdgtNo/edit?pli=1#gid=257618397"",""stock FAKTUR!B:F""),5,false)"),"KN")</f>
        <v>KN</v>
      </c>
      <c r="I109" s="53" t="str">
        <f>IFERROR(__xludf.DUMMYFUNCTION("vlookup($D109,IMPORTRANGE(""https://docs.google.com/spreadsheets/d/1swGwZOEqYlTEUCJLY-eeJM1911Kvaei5oySBIxdgtNo/edit?pli=1#gid=257618397"",""stock FAKTUR!B:G""),6,false)"),"CTB-001")</f>
        <v>CTB-001</v>
      </c>
      <c r="J109" s="120" t="str">
        <f t="shared" si="25"/>
        <v>ADA</v>
      </c>
      <c r="K109" s="142">
        <v>120.0</v>
      </c>
      <c r="L109" s="145" t="str">
        <f>IFERROR(__xludf.DUMMYFUNCTION("vlookup($D109,IMPORTRANGE(""https://docs.google.com/spreadsheets/d/1swGwZOEqYlTEUCJLY-eeJM1911Kvaei5oySBIxdgtNo/edit?pli=1#gid=257618397"",""stock FAKTUR!B:q""),16,false)"),"LSN")</f>
        <v>LSN</v>
      </c>
      <c r="M109" s="147">
        <v>32400.0</v>
      </c>
      <c r="N109" s="152">
        <v>0.125</v>
      </c>
      <c r="O109" s="147">
        <f t="shared" si="2"/>
        <v>3402000</v>
      </c>
      <c r="P109" s="147" t="str">
        <f t="shared" si="3"/>
        <v>Rp32,400-120 LSN-12.50%</v>
      </c>
      <c r="Q109" s="149">
        <v>45411.0</v>
      </c>
      <c r="R109" s="150"/>
      <c r="S109" s="149">
        <v>45414.0</v>
      </c>
      <c r="T109" s="151"/>
      <c r="U109" s="151"/>
      <c r="V109" s="151"/>
      <c r="W109" s="151"/>
    </row>
    <row r="110">
      <c r="A110" s="142">
        <v>4661.0</v>
      </c>
      <c r="B110" s="143" t="str">
        <f t="shared" ref="B110:B115" si="32">IF(A110=A109,B109,"")</f>
        <v>H</v>
      </c>
      <c r="C110" s="143" t="str">
        <f t="shared" ref="C110:C115" si="33">IF(A110=A109,C109,"")</f>
        <v>SISWA-WONOSOBO</v>
      </c>
      <c r="D110" s="145" t="s">
        <v>4434</v>
      </c>
      <c r="E110" s="145" t="str">
        <f>IFERROR(__xludf.DUMMYFUNCTION("vlookup(D110,IMPORTRANGE(""https://docs.google.com/spreadsheets/d/1swGwZOEqYlTEUCJLY-eeJM1911Kvaei5oySBIxdgtNo/edit?pli=1#gid=257618397"",""stock FAKTUR!B:C""),2,false)"),"PW KENKO 24W CP-24F CLASSIC PANJANG")</f>
        <v>PW KENKO 24W CP-24F CLASSIC PANJANG</v>
      </c>
      <c r="F110" s="53" t="str">
        <f>IFERROR(__xludf.DUMMYFUNCTION("vlookup($D110,IMPORTRANGE(""https://docs.google.com/spreadsheets/d/1swGwZOEqYlTEUCJLY-eeJM1911Kvaei5oySBIxdgtNo/edit?pli=1#gid=257618397"",""stock FAKTUR!B:d""),3,false)"),"")</f>
        <v/>
      </c>
      <c r="G110" s="53" t="str">
        <f>IFERROR(__xludf.DUMMYFUNCTION("vlookup($D110,IMPORTRANGE(""https://docs.google.com/spreadsheets/d/1swGwZOEqYlTEUCJLY-eeJM1911Kvaei5oySBIxdgtNo/edit?pli=1#gid=257618397"",""stock FAKTUR!B:e""),4,false)"),"24W")</f>
        <v>24W</v>
      </c>
      <c r="H110" s="53" t="str">
        <f>IFERROR(__xludf.DUMMYFUNCTION("vlookup($D110,IMPORTRANGE(""https://docs.google.com/spreadsheets/d/1swGwZOEqYlTEUCJLY-eeJM1911Kvaei5oySBIxdgtNo/edit?pli=1#gid=257618397"",""stock FAKTUR!B:F""),5,false)"),"KN")</f>
        <v>KN</v>
      </c>
      <c r="I110" s="53" t="str">
        <f>IFERROR(__xludf.DUMMYFUNCTION("vlookup($D110,IMPORTRANGE(""https://docs.google.com/spreadsheets/d/1swGwZOEqYlTEUCJLY-eeJM1911Kvaei5oySBIxdgtNo/edit?pli=1#gid=257618397"",""stock FAKTUR!B:G""),6,false)"),"CP-24F")</f>
        <v>CP-24F</v>
      </c>
      <c r="J110" s="120" t="str">
        <f t="shared" si="25"/>
        <v>ADA</v>
      </c>
      <c r="K110" s="142">
        <v>24.0</v>
      </c>
      <c r="L110" s="145" t="str">
        <f>IFERROR(__xludf.DUMMYFUNCTION("vlookup($D110,IMPORTRANGE(""https://docs.google.com/spreadsheets/d/1swGwZOEqYlTEUCJLY-eeJM1911Kvaei5oySBIxdgtNo/edit?pli=1#gid=257618397"",""stock FAKTUR!B:q""),16,false)"),"LSN")</f>
        <v>LSN</v>
      </c>
      <c r="M110" s="147">
        <f>20700*12</f>
        <v>248400</v>
      </c>
      <c r="N110" s="152">
        <v>0.125</v>
      </c>
      <c r="O110" s="147">
        <f t="shared" si="2"/>
        <v>5216400</v>
      </c>
      <c r="P110" s="147" t="str">
        <f t="shared" si="3"/>
        <v>Rp248,400-24 LSN-12.50%</v>
      </c>
      <c r="Q110" s="149">
        <v>45411.0</v>
      </c>
      <c r="R110" s="150"/>
      <c r="S110" s="149">
        <v>45414.0</v>
      </c>
      <c r="T110" s="151"/>
      <c r="U110" s="151"/>
      <c r="V110" s="151"/>
      <c r="W110" s="151"/>
    </row>
    <row r="111">
      <c r="A111" s="142">
        <v>4661.0</v>
      </c>
      <c r="B111" s="143" t="str">
        <f t="shared" si="32"/>
        <v>H</v>
      </c>
      <c r="C111" s="143" t="str">
        <f t="shared" si="33"/>
        <v>SISWA-WONOSOBO</v>
      </c>
      <c r="D111" s="145" t="s">
        <v>4459</v>
      </c>
      <c r="E111" s="145" t="str">
        <f>IFERROR(__xludf.DUMMYFUNCTION("vlookup(D111,IMPORTRANGE(""https://docs.google.com/spreadsheets/d/1swGwZOEqYlTEUCJLY-eeJM1911Kvaei5oySBIxdgtNo/edit?pli=1#gid=257618397"",""stock FAKTUR!B:C""),2,false)"),"STIP KENKO ERW-20SQ PUTIH")</f>
        <v>STIP KENKO ERW-20SQ PUTIH</v>
      </c>
      <c r="F111" s="53" t="str">
        <f>IFERROR(__xludf.DUMMYFUNCTION("vlookup($D111,IMPORTRANGE(""https://docs.google.com/spreadsheets/d/1swGwZOEqYlTEUCJLY-eeJM1911Kvaei5oySBIxdgtNo/edit?pli=1#gid=257618397"",""stock FAKTUR!B:d""),3,false)"),"")</f>
        <v/>
      </c>
      <c r="G111" s="53" t="str">
        <f>IFERROR(__xludf.DUMMYFUNCTION("vlookup($D111,IMPORTRANGE(""https://docs.google.com/spreadsheets/d/1swGwZOEqYlTEUCJLY-eeJM1911Kvaei5oySBIxdgtNo/edit?pli=1#gid=257618397"",""stock FAKTUR!B:e""),4,false)"),"PUTIH")</f>
        <v>PUTIH</v>
      </c>
      <c r="H111" s="53" t="str">
        <f>IFERROR(__xludf.DUMMYFUNCTION("vlookup($D111,IMPORTRANGE(""https://docs.google.com/spreadsheets/d/1swGwZOEqYlTEUCJLY-eeJM1911Kvaei5oySBIxdgtNo/edit?pli=1#gid=257618397"",""stock FAKTUR!B:F""),5,false)"),"KN")</f>
        <v>KN</v>
      </c>
      <c r="I111" s="53" t="str">
        <f>IFERROR(__xludf.DUMMYFUNCTION("vlookup($D111,IMPORTRANGE(""https://docs.google.com/spreadsheets/d/1swGwZOEqYlTEUCJLY-eeJM1911Kvaei5oySBIxdgtNo/edit?pli=1#gid=257618397"",""stock FAKTUR!B:G""),6,false)"),"ERS-002")</f>
        <v>ERS-002</v>
      </c>
      <c r="J111" s="120" t="str">
        <f t="shared" si="25"/>
        <v>ADA</v>
      </c>
      <c r="K111" s="142">
        <v>100.0</v>
      </c>
      <c r="L111" s="145" t="str">
        <f>IFERROR(__xludf.DUMMYFUNCTION("vlookup($D111,IMPORTRANGE(""https://docs.google.com/spreadsheets/d/1swGwZOEqYlTEUCJLY-eeJM1911Kvaei5oySBIxdgtNo/edit?pli=1#gid=257618397"",""stock FAKTUR!B:q""),16,false)"),"BOX")</f>
        <v>BOX</v>
      </c>
      <c r="M111" s="147">
        <v>30000.0</v>
      </c>
      <c r="N111" s="152">
        <v>0.125</v>
      </c>
      <c r="O111" s="147">
        <f t="shared" si="2"/>
        <v>2625000</v>
      </c>
      <c r="P111" s="147" t="str">
        <f t="shared" si="3"/>
        <v>Rp30,000-100 BOX-12.50%</v>
      </c>
      <c r="Q111" s="149">
        <v>45411.0</v>
      </c>
      <c r="R111" s="150"/>
      <c r="S111" s="149">
        <v>45414.0</v>
      </c>
      <c r="T111" s="151"/>
      <c r="U111" s="151"/>
      <c r="V111" s="151"/>
      <c r="W111" s="151"/>
    </row>
    <row r="112">
      <c r="A112" s="142">
        <v>4661.0</v>
      </c>
      <c r="B112" s="143" t="str">
        <f t="shared" si="32"/>
        <v>H</v>
      </c>
      <c r="C112" s="143" t="str">
        <f t="shared" si="33"/>
        <v>SISWA-WONOSOBO</v>
      </c>
      <c r="D112" s="145" t="s">
        <v>4460</v>
      </c>
      <c r="E112" s="145" t="str">
        <f>IFERROR(__xludf.DUMMYFUNCTION("vlookup(D112,IMPORTRANGE(""https://docs.google.com/spreadsheets/d/1swGwZOEqYlTEUCJLY-eeJM1911Kvaei5oySBIxdgtNo/edit?pli=1#gid=257618397"",""stock FAKTUR!B:C""),2,false)"),"TIPEX KENKO KE-823M")</f>
        <v>TIPEX KENKO KE-823M</v>
      </c>
      <c r="F112" s="53" t="str">
        <f>IFERROR(__xludf.DUMMYFUNCTION("vlookup($D112,IMPORTRANGE(""https://docs.google.com/spreadsheets/d/1swGwZOEqYlTEUCJLY-eeJM1911Kvaei5oySBIxdgtNo/edit?pli=1#gid=257618397"",""stock FAKTUR!B:d""),3,false)"),"")</f>
        <v/>
      </c>
      <c r="G112" s="53" t="str">
        <f>IFERROR(__xludf.DUMMYFUNCTION("vlookup($D112,IMPORTRANGE(""https://docs.google.com/spreadsheets/d/1swGwZOEqYlTEUCJLY-eeJM1911Kvaei5oySBIxdgtNo/edit?pli=1#gid=257618397"",""stock FAKTUR!B:e""),4,false)"),"")</f>
        <v/>
      </c>
      <c r="H112" s="53" t="str">
        <f>IFERROR(__xludf.DUMMYFUNCTION("vlookup($D112,IMPORTRANGE(""https://docs.google.com/spreadsheets/d/1swGwZOEqYlTEUCJLY-eeJM1911Kvaei5oySBIxdgtNo/edit?pli=1#gid=257618397"",""stock FAKTUR!B:F""),5,false)"),"KN")</f>
        <v>KN</v>
      </c>
      <c r="I112" s="53" t="str">
        <f>IFERROR(__xludf.DUMMYFUNCTION("vlookup($D112,IMPORTRANGE(""https://docs.google.com/spreadsheets/d/1swGwZOEqYlTEUCJLY-eeJM1911Kvaei5oySBIxdgtNo/edit?pli=1#gid=257618397"",""stock FAKTUR!B:G""),6,false)"),"CFL-006")</f>
        <v>CFL-006</v>
      </c>
      <c r="J112" s="120" t="str">
        <f t="shared" si="25"/>
        <v>ADA</v>
      </c>
      <c r="K112" s="142">
        <v>144.0</v>
      </c>
      <c r="L112" s="145" t="str">
        <f>IFERROR(__xludf.DUMMYFUNCTION("vlookup($D112,IMPORTRANGE(""https://docs.google.com/spreadsheets/d/1swGwZOEqYlTEUCJLY-eeJM1911Kvaei5oySBIxdgtNo/edit?pli=1#gid=257618397"",""stock FAKTUR!B:q""),16,false)"),"LSN")</f>
        <v>LSN</v>
      </c>
      <c r="M112" s="147">
        <v>57000.0</v>
      </c>
      <c r="N112" s="152">
        <v>0.125</v>
      </c>
      <c r="O112" s="147">
        <f t="shared" si="2"/>
        <v>7182000</v>
      </c>
      <c r="P112" s="147" t="str">
        <f t="shared" si="3"/>
        <v>Rp57,000-144 LSN-12.50%</v>
      </c>
      <c r="Q112" s="149">
        <v>45411.0</v>
      </c>
      <c r="R112" s="150"/>
      <c r="S112" s="149">
        <v>45414.0</v>
      </c>
      <c r="T112" s="151"/>
      <c r="U112" s="151"/>
      <c r="V112" s="151"/>
      <c r="W112" s="151"/>
    </row>
    <row r="113">
      <c r="A113" s="142">
        <v>4661.0</v>
      </c>
      <c r="B113" s="143" t="str">
        <f t="shared" si="32"/>
        <v>H</v>
      </c>
      <c r="C113" s="143" t="str">
        <f t="shared" si="33"/>
        <v>SISWA-WONOSOBO</v>
      </c>
      <c r="D113" s="151" t="s">
        <v>4461</v>
      </c>
      <c r="E113" s="145" t="str">
        <f>IFERROR(__xludf.DUMMYFUNCTION("vlookup(D113,IMPORTRANGE(""https://docs.google.com/spreadsheets/d/1swGwZOEqYlTEUCJLY-eeJM1911Kvaei5oySBIxdgtNo/edit?pli=1#gid=257618397"",""stock FAKTUR!B:C""),2,false)"),"GUNTING GUNINDO OLL GR16")</f>
        <v>GUNTING GUNINDO OLL GR16</v>
      </c>
      <c r="F113" s="53" t="str">
        <f>IFERROR(__xludf.DUMMYFUNCTION("vlookup($D113,IMPORTRANGE(""https://docs.google.com/spreadsheets/d/1swGwZOEqYlTEUCJLY-eeJM1911Kvaei5oySBIxdgtNo/edit?pli=1#gid=257618397"",""stock FAKTUR!B:d""),3,false)"),"")</f>
        <v/>
      </c>
      <c r="G113" s="53" t="str">
        <f>IFERROR(__xludf.DUMMYFUNCTION("vlookup($D113,IMPORTRANGE(""https://docs.google.com/spreadsheets/d/1swGwZOEqYlTEUCJLY-eeJM1911Kvaei5oySBIxdgtNo/edit?pli=1#gid=257618397"",""stock FAKTUR!B:e""),4,false)"),"")</f>
        <v/>
      </c>
      <c r="H113" s="53" t="str">
        <f>IFERROR(__xludf.DUMMYFUNCTION("vlookup($D113,IMPORTRANGE(""https://docs.google.com/spreadsheets/d/1swGwZOEqYlTEUCJLY-eeJM1911Kvaei5oySBIxdgtNo/edit?pli=1#gid=257618397"",""stock FAKTUR!B:F""),5,false)"),"GN")</f>
        <v>GN</v>
      </c>
      <c r="I113" s="53" t="str">
        <f>IFERROR(__xludf.DUMMYFUNCTION("vlookup($D113,IMPORTRANGE(""https://docs.google.com/spreadsheets/d/1swGwZOEqYlTEUCJLY-eeJM1911Kvaei5oySBIxdgtNo/edit?pli=1#gid=257618397"",""stock FAKTUR!B:G""),6,false)"),"GR16")</f>
        <v>GR16</v>
      </c>
      <c r="J113" s="120" t="str">
        <f t="shared" si="25"/>
        <v>ADA</v>
      </c>
      <c r="K113" s="142">
        <v>60.0</v>
      </c>
      <c r="L113" s="145" t="str">
        <f>IFERROR(__xludf.DUMMYFUNCTION("vlookup($D113,IMPORTRANGE(""https://docs.google.com/spreadsheets/d/1swGwZOEqYlTEUCJLY-eeJM1911Kvaei5oySBIxdgtNo/edit?pli=1#gid=257618397"",""stock FAKTUR!B:q""),16,false)"),"LSN")</f>
        <v>LSN</v>
      </c>
      <c r="M113" s="147">
        <v>70000.0</v>
      </c>
      <c r="N113" s="152">
        <v>0.1</v>
      </c>
      <c r="O113" s="147">
        <f t="shared" si="2"/>
        <v>3780000</v>
      </c>
      <c r="P113" s="147" t="str">
        <f t="shared" si="3"/>
        <v>Rp70,000-60 LSN-10.00%</v>
      </c>
      <c r="Q113" s="149">
        <v>45411.0</v>
      </c>
      <c r="R113" s="150"/>
      <c r="S113" s="149">
        <v>45414.0</v>
      </c>
      <c r="T113" s="151"/>
      <c r="U113" s="151"/>
      <c r="V113" s="151"/>
      <c r="W113" s="151"/>
    </row>
    <row r="114">
      <c r="A114" s="142">
        <v>4661.0</v>
      </c>
      <c r="B114" s="143" t="str">
        <f t="shared" si="32"/>
        <v>H</v>
      </c>
      <c r="C114" s="143" t="str">
        <f t="shared" si="33"/>
        <v>SISWA-WONOSOBO</v>
      </c>
      <c r="D114" s="151" t="s">
        <v>4462</v>
      </c>
      <c r="E114" s="145" t="str">
        <f>IFERROR(__xludf.DUMMYFUNCTION("vlookup(D114,IMPORTRANGE(""https://docs.google.com/spreadsheets/d/1swGwZOEqYlTEUCJLY-eeJM1911Kvaei5oySBIxdgtNo/edit?pli=1#gid=257618397"",""stock FAKTUR!B:C""),2,false)"),"GUNTING GUNINDO OSS GR15")</f>
        <v>GUNTING GUNINDO OSS GR15</v>
      </c>
      <c r="F114" s="53" t="str">
        <f>IFERROR(__xludf.DUMMYFUNCTION("vlookup($D114,IMPORTRANGE(""https://docs.google.com/spreadsheets/d/1swGwZOEqYlTEUCJLY-eeJM1911Kvaei5oySBIxdgtNo/edit?pli=1#gid=257618397"",""stock FAKTUR!B:d""),3,false)"),"")</f>
        <v/>
      </c>
      <c r="G114" s="53" t="str">
        <f>IFERROR(__xludf.DUMMYFUNCTION("vlookup($D114,IMPORTRANGE(""https://docs.google.com/spreadsheets/d/1swGwZOEqYlTEUCJLY-eeJM1911Kvaei5oySBIxdgtNo/edit?pli=1#gid=257618397"",""stock FAKTUR!B:e""),4,false)"),"")</f>
        <v/>
      </c>
      <c r="H114" s="53" t="str">
        <f>IFERROR(__xludf.DUMMYFUNCTION("vlookup($D114,IMPORTRANGE(""https://docs.google.com/spreadsheets/d/1swGwZOEqYlTEUCJLY-eeJM1911Kvaei5oySBIxdgtNo/edit?pli=1#gid=257618397"",""stock FAKTUR!B:F""),5,false)"),"GN")</f>
        <v>GN</v>
      </c>
      <c r="I114" s="53" t="str">
        <f>IFERROR(__xludf.DUMMYFUNCTION("vlookup($D114,IMPORTRANGE(""https://docs.google.com/spreadsheets/d/1swGwZOEqYlTEUCJLY-eeJM1911Kvaei5oySBIxdgtNo/edit?pli=1#gid=257618397"",""stock FAKTUR!B:G""),6,false)"),"GR15")</f>
        <v>GR15</v>
      </c>
      <c r="J114" s="120" t="str">
        <f t="shared" si="25"/>
        <v>ADA</v>
      </c>
      <c r="K114" s="142">
        <v>120.0</v>
      </c>
      <c r="L114" s="145" t="str">
        <f>IFERROR(__xludf.DUMMYFUNCTION("vlookup($D114,IMPORTRANGE(""https://docs.google.com/spreadsheets/d/1swGwZOEqYlTEUCJLY-eeJM1911Kvaei5oySBIxdgtNo/edit?pli=1#gid=257618397"",""stock FAKTUR!B:q""),16,false)"),"LSN")</f>
        <v>LSN</v>
      </c>
      <c r="M114" s="147">
        <v>49200.0</v>
      </c>
      <c r="N114" s="152">
        <v>0.1</v>
      </c>
      <c r="O114" s="147">
        <f t="shared" si="2"/>
        <v>5313600</v>
      </c>
      <c r="P114" s="147" t="str">
        <f t="shared" si="3"/>
        <v>Rp49,200-120 LSN-10.00%</v>
      </c>
      <c r="Q114" s="149">
        <v>45411.0</v>
      </c>
      <c r="R114" s="150"/>
      <c r="S114" s="149">
        <v>45414.0</v>
      </c>
      <c r="T114" s="151"/>
      <c r="U114" s="151"/>
      <c r="V114" s="151"/>
      <c r="W114" s="151"/>
    </row>
    <row r="115">
      <c r="A115" s="142">
        <v>4661.0</v>
      </c>
      <c r="B115" s="143" t="str">
        <f t="shared" si="32"/>
        <v>H</v>
      </c>
      <c r="C115" s="143" t="str">
        <f t="shared" si="33"/>
        <v>SISWA-WONOSOBO</v>
      </c>
      <c r="D115" s="151" t="s">
        <v>4463</v>
      </c>
      <c r="E115" s="145" t="str">
        <f>IFERROR(__xludf.DUMMYFUNCTION("vlookup(D115,IMPORTRANGE(""https://docs.google.com/spreadsheets/d/1swGwZOEqYlTEUCJLY-eeJM1911Kvaei5oySBIxdgtNo/edit?pli=1#gid=257618397"",""stock FAKTUR!B:C""),2,false)"),"STIP W/B GUNINDO 803")</f>
        <v>STIP W/B GUNINDO 803</v>
      </c>
      <c r="F115" s="53" t="str">
        <f>IFERROR(__xludf.DUMMYFUNCTION("vlookup($D115,IMPORTRANGE(""https://docs.google.com/spreadsheets/d/1swGwZOEqYlTEUCJLY-eeJM1911Kvaei5oySBIxdgtNo/edit?pli=1#gid=257618397"",""stock FAKTUR!B:d""),3,false)"),"")</f>
        <v/>
      </c>
      <c r="G115" s="53" t="str">
        <f>IFERROR(__xludf.DUMMYFUNCTION("vlookup($D115,IMPORTRANGE(""https://docs.google.com/spreadsheets/d/1swGwZOEqYlTEUCJLY-eeJM1911Kvaei5oySBIxdgtNo/edit?pli=1#gid=257618397"",""stock FAKTUR!B:e""),4,false)"),"")</f>
        <v/>
      </c>
      <c r="H115" s="53" t="str">
        <f>IFERROR(__xludf.DUMMYFUNCTION("vlookup($D115,IMPORTRANGE(""https://docs.google.com/spreadsheets/d/1swGwZOEqYlTEUCJLY-eeJM1911Kvaei5oySBIxdgtNo/edit?pli=1#gid=257618397"",""stock FAKTUR!B:F""),5,false)"),"GN")</f>
        <v>GN</v>
      </c>
      <c r="I115" s="53" t="str">
        <f>IFERROR(__xludf.DUMMYFUNCTION("vlookup($D115,IMPORTRANGE(""https://docs.google.com/spreadsheets/d/1swGwZOEqYlTEUCJLY-eeJM1911Kvaei5oySBIxdgtNo/edit?pli=1#gid=257618397"",""stock FAKTUR!B:G""),6,false)"),"803")</f>
        <v>803</v>
      </c>
      <c r="J115" s="120" t="str">
        <f t="shared" si="25"/>
        <v>ADA</v>
      </c>
      <c r="K115" s="142">
        <v>30.0</v>
      </c>
      <c r="L115" s="145" t="str">
        <f>IFERROR(__xludf.DUMMYFUNCTION("vlookup($D115,IMPORTRANGE(""https://docs.google.com/spreadsheets/d/1swGwZOEqYlTEUCJLY-eeJM1911Kvaei5oySBIxdgtNo/edit?pli=1#gid=257618397"",""stock FAKTUR!B:q""),16,false)"),"LSN")</f>
        <v>LSN</v>
      </c>
      <c r="M115" s="147">
        <v>61000.0</v>
      </c>
      <c r="N115" s="152">
        <v>0.1</v>
      </c>
      <c r="O115" s="147">
        <f t="shared" si="2"/>
        <v>1647000</v>
      </c>
      <c r="P115" s="147" t="str">
        <f t="shared" si="3"/>
        <v>Rp61,000-30 LSN-10.00%</v>
      </c>
      <c r="Q115" s="149">
        <v>45411.0</v>
      </c>
      <c r="R115" s="150"/>
      <c r="S115" s="149">
        <v>45414.0</v>
      </c>
      <c r="T115" s="151"/>
      <c r="U115" s="151"/>
      <c r="V115" s="151"/>
      <c r="W115" s="151"/>
    </row>
    <row r="116">
      <c r="A116" s="142">
        <v>4660.0</v>
      </c>
      <c r="B116" s="143" t="s">
        <v>33</v>
      </c>
      <c r="C116" s="143" t="s">
        <v>4464</v>
      </c>
      <c r="D116" s="151" t="s">
        <v>4465</v>
      </c>
      <c r="E116" s="145" t="str">
        <f>IFERROR(__xludf.DUMMYFUNCTION("vlookup(D116,IMPORTRANGE(""https://docs.google.com/spreadsheets/d/1swGwZOEqYlTEUCJLY-eeJM1911Kvaei5oySBIxdgtNo/edit?pli=1#gid=257618397"",""stock FAKTUR!B:C""),2,false)"),"STAPLER KENKO HD-12N/ 24")</f>
        <v>STAPLER KENKO HD-12N/ 24</v>
      </c>
      <c r="F116" s="53" t="str">
        <f>IFERROR(__xludf.DUMMYFUNCTION("vlookup($D116,IMPORTRANGE(""https://docs.google.com/spreadsheets/d/1swGwZOEqYlTEUCJLY-eeJM1911Kvaei5oySBIxdgtNo/edit?pli=1#gid=257618397"",""stock FAKTUR!B:d""),3,false)"),"")</f>
        <v/>
      </c>
      <c r="G116" s="53" t="str">
        <f>IFERROR(__xludf.DUMMYFUNCTION("vlookup($D116,IMPORTRANGE(""https://docs.google.com/spreadsheets/d/1swGwZOEqYlTEUCJLY-eeJM1911Kvaei5oySBIxdgtNo/edit?pli=1#gid=257618397"",""stock FAKTUR!B:e""),4,false)"),"")</f>
        <v/>
      </c>
      <c r="H116" s="53" t="str">
        <f>IFERROR(__xludf.DUMMYFUNCTION("vlookup($D116,IMPORTRANGE(""https://docs.google.com/spreadsheets/d/1swGwZOEqYlTEUCJLY-eeJM1911Kvaei5oySBIxdgtNo/edit?pli=1#gid=257618397"",""stock FAKTUR!B:F""),5,false)"),"KN")</f>
        <v>KN</v>
      </c>
      <c r="I116" s="53" t="str">
        <f>IFERROR(__xludf.DUMMYFUNCTION("vlookup($D116,IMPORTRANGE(""https://docs.google.com/spreadsheets/d/1swGwZOEqYlTEUCJLY-eeJM1911Kvaei5oySBIxdgtNo/edit?pli=1#gid=257618397"",""stock FAKTUR!B:G""),6,false)"),"12N/24")</f>
        <v>12N/24</v>
      </c>
      <c r="J116" s="120" t="str">
        <f t="shared" si="25"/>
        <v>ADA</v>
      </c>
      <c r="K116" s="142">
        <v>12.0</v>
      </c>
      <c r="L116" s="145" t="str">
        <f>IFERROR(__xludf.DUMMYFUNCTION("vlookup($D116,IMPORTRANGE(""https://docs.google.com/spreadsheets/d/1swGwZOEqYlTEUCJLY-eeJM1911Kvaei5oySBIxdgtNo/edit?pli=1#gid=257618397"",""stock FAKTUR!B:q""),16,false)"),"PCS")</f>
        <v>PCS</v>
      </c>
      <c r="M116" s="147">
        <v>155000.0</v>
      </c>
      <c r="N116" s="152">
        <v>0.125</v>
      </c>
      <c r="O116" s="147">
        <f t="shared" si="2"/>
        <v>1627500</v>
      </c>
      <c r="P116" s="147" t="str">
        <f t="shared" si="3"/>
        <v>Rp155,000-12 PCS-12.50%</v>
      </c>
      <c r="Q116" s="149">
        <v>45411.0</v>
      </c>
      <c r="R116" s="150"/>
      <c r="S116" s="149">
        <v>45414.0</v>
      </c>
      <c r="T116" s="151"/>
      <c r="U116" s="151"/>
      <c r="V116" s="151"/>
      <c r="W116" s="151"/>
    </row>
    <row r="117">
      <c r="A117" s="142">
        <v>4666.0</v>
      </c>
      <c r="B117" s="143" t="s">
        <v>58</v>
      </c>
      <c r="C117" s="143" t="s">
        <v>2061</v>
      </c>
      <c r="D117" s="145" t="s">
        <v>4466</v>
      </c>
      <c r="E117" s="145" t="str">
        <f>IFERROR(__xludf.DUMMYFUNCTION("vlookup(D117,IMPORTRANGE(""https://docs.google.com/spreadsheets/d/1swGwZOEqYlTEUCJLY-eeJM1911Kvaei5oySBIxdgtNo/edit?pli=1#gid=257618397"",""stock FAKTUR!B:C""),2,false)"),"TAPE DISPENSER KENKO TD-201")</f>
        <v>TAPE DISPENSER KENKO TD-201</v>
      </c>
      <c r="F117" s="53" t="str">
        <f>IFERROR(__xludf.DUMMYFUNCTION("vlookup($D117,IMPORTRANGE(""https://docs.google.com/spreadsheets/d/1swGwZOEqYlTEUCJLY-eeJM1911Kvaei5oySBIxdgtNo/edit?pli=1#gid=257618397"",""stock FAKTUR!B:d""),3,false)"),"")</f>
        <v/>
      </c>
      <c r="G117" s="53" t="str">
        <f>IFERROR(__xludf.DUMMYFUNCTION("vlookup($D117,IMPORTRANGE(""https://docs.google.com/spreadsheets/d/1swGwZOEqYlTEUCJLY-eeJM1911Kvaei5oySBIxdgtNo/edit?pli=1#gid=257618397"",""stock FAKTUR!B:e""),4,false)"),"")</f>
        <v/>
      </c>
      <c r="H117" s="53" t="str">
        <f>IFERROR(__xludf.DUMMYFUNCTION("vlookup($D117,IMPORTRANGE(""https://docs.google.com/spreadsheets/d/1swGwZOEqYlTEUCJLY-eeJM1911Kvaei5oySBIxdgtNo/edit?pli=1#gid=257618397"",""stock FAKTUR!B:F""),5,false)"),"KN")</f>
        <v>KN</v>
      </c>
      <c r="I117" s="53" t="str">
        <f>IFERROR(__xludf.DUMMYFUNCTION("vlookup($D117,IMPORTRANGE(""https://docs.google.com/spreadsheets/d/1swGwZOEqYlTEUCJLY-eeJM1911Kvaei5oySBIxdgtNo/edit?pli=1#gid=257618397"",""stock FAKTUR!B:G""),6,false)"),"TPD-004")</f>
        <v>TPD-004</v>
      </c>
      <c r="J117" s="120" t="str">
        <f t="shared" si="25"/>
        <v>ADA</v>
      </c>
      <c r="K117" s="142">
        <v>24.0</v>
      </c>
      <c r="L117" s="145" t="str">
        <f>IFERROR(__xludf.DUMMYFUNCTION("vlookup($D117,IMPORTRANGE(""https://docs.google.com/spreadsheets/d/1swGwZOEqYlTEUCJLY-eeJM1911Kvaei5oySBIxdgtNo/edit?pli=1#gid=257618397"",""stock FAKTUR!B:q""),16,false)"),"PCS")</f>
        <v>PCS</v>
      </c>
      <c r="M117" s="147">
        <v>15500.0</v>
      </c>
      <c r="N117" s="152">
        <v>0.125</v>
      </c>
      <c r="O117" s="147">
        <f t="shared" si="2"/>
        <v>325500</v>
      </c>
      <c r="P117" s="147" t="str">
        <f t="shared" si="3"/>
        <v>Rp15,500-24 PCS-12.50%</v>
      </c>
      <c r="Q117" s="149">
        <v>45411.0</v>
      </c>
      <c r="R117" s="150"/>
      <c r="S117" s="149">
        <v>45414.0</v>
      </c>
      <c r="T117" s="151"/>
      <c r="U117" s="151"/>
      <c r="V117" s="151"/>
      <c r="W117" s="151"/>
    </row>
    <row r="118">
      <c r="A118" s="142">
        <v>4666.0</v>
      </c>
      <c r="B118" s="143" t="str">
        <f t="shared" ref="B118:B130" si="34">IF(A118=A117,B117,"")</f>
        <v>G</v>
      </c>
      <c r="C118" s="143" t="str">
        <f t="shared" ref="C118:C130" si="35">IF(A118=A117,C117,"")</f>
        <v>PUAS-PATI</v>
      </c>
      <c r="D118" s="145" t="s">
        <v>4467</v>
      </c>
      <c r="E118" s="145" t="str">
        <f>IFERROR(__xludf.DUMMYFUNCTION("vlookup(D118,IMPORTRANGE(""https://docs.google.com/spreadsheets/d/1swGwZOEqYlTEUCJLY-eeJM1911Kvaei5oySBIxdgtNo/edit?pli=1#gid=257618397"",""stock FAKTUR!B:C""),2,false)"),"TAPE CUTTER JK TD-103")</f>
        <v>TAPE CUTTER JK TD-103</v>
      </c>
      <c r="F118" s="53" t="str">
        <f>IFERROR(__xludf.DUMMYFUNCTION("vlookup($D118,IMPORTRANGE(""https://docs.google.com/spreadsheets/d/1swGwZOEqYlTEUCJLY-eeJM1911Kvaei5oySBIxdgtNo/edit?pli=1#gid=257618397"",""stock FAKTUR!B:d""),3,false)"),"")</f>
        <v/>
      </c>
      <c r="G118" s="53" t="str">
        <f>IFERROR(__xludf.DUMMYFUNCTION("vlookup($D118,IMPORTRANGE(""https://docs.google.com/spreadsheets/d/1swGwZOEqYlTEUCJLY-eeJM1911Kvaei5oySBIxdgtNo/edit?pli=1#gid=257618397"",""stock FAKTUR!B:e""),4,false)"),"")</f>
        <v/>
      </c>
      <c r="H118" s="53" t="str">
        <f>IFERROR(__xludf.DUMMYFUNCTION("vlookup($D118,IMPORTRANGE(""https://docs.google.com/spreadsheets/d/1swGwZOEqYlTEUCJLY-eeJM1911Kvaei5oySBIxdgtNo/edit?pli=1#gid=257618397"",""stock FAKTUR!B:F""),5,false)"),"JK")</f>
        <v>JK</v>
      </c>
      <c r="I118" s="53" t="str">
        <f>IFERROR(__xludf.DUMMYFUNCTION("vlookup($D118,IMPORTRANGE(""https://docs.google.com/spreadsheets/d/1swGwZOEqYlTEUCJLY-eeJM1911Kvaei5oySBIxdgtNo/edit?pli=1#gid=257618397"",""stock FAKTUR!B:G""),6,false)"),"TD-103")</f>
        <v>TD-103</v>
      </c>
      <c r="J118" s="120" t="str">
        <f t="shared" si="25"/>
        <v>ADA</v>
      </c>
      <c r="K118" s="142">
        <v>24.0</v>
      </c>
      <c r="L118" s="145" t="str">
        <f>IFERROR(__xludf.DUMMYFUNCTION("vlookup($D118,IMPORTRANGE(""https://docs.google.com/spreadsheets/d/1swGwZOEqYlTEUCJLY-eeJM1911Kvaei5oySBIxdgtNo/edit?pli=1#gid=257618397"",""stock FAKTUR!B:q""),16,false)"),"PCS")</f>
        <v>PCS</v>
      </c>
      <c r="M118" s="147">
        <v>19000.0</v>
      </c>
      <c r="N118" s="152">
        <v>0.125</v>
      </c>
      <c r="O118" s="147">
        <f t="shared" si="2"/>
        <v>399000</v>
      </c>
      <c r="P118" s="147" t="str">
        <f t="shared" si="3"/>
        <v>Rp19,000-24 PCS-12.50%</v>
      </c>
      <c r="Q118" s="149">
        <v>45411.0</v>
      </c>
      <c r="R118" s="150"/>
      <c r="S118" s="149">
        <v>45414.0</v>
      </c>
      <c r="T118" s="151"/>
      <c r="U118" s="151"/>
      <c r="V118" s="151"/>
      <c r="W118" s="151"/>
    </row>
    <row r="119">
      <c r="A119" s="142">
        <v>4666.0</v>
      </c>
      <c r="B119" s="143" t="str">
        <f t="shared" si="34"/>
        <v>G</v>
      </c>
      <c r="C119" s="143" t="str">
        <f t="shared" si="35"/>
        <v>PUAS-PATI</v>
      </c>
      <c r="D119" s="144" t="s">
        <v>4468</v>
      </c>
      <c r="E119" s="145" t="str">
        <f>IFERROR(__xludf.DUMMYFUNCTION("vlookup(D119,IMPORTRANGE(""https://docs.google.com/spreadsheets/d/1swGwZOEqYlTEUCJLY-eeJM1911Kvaei5oySBIxdgtNo/edit?pli=1#gid=257618397"",""stock FAKTUR!B:C""),2,false)"),"TAPE CUTTER JK TD-102")</f>
        <v>TAPE CUTTER JK TD-102</v>
      </c>
      <c r="F119" s="53" t="str">
        <f>IFERROR(__xludf.DUMMYFUNCTION("vlookup($D119,IMPORTRANGE(""https://docs.google.com/spreadsheets/d/1swGwZOEqYlTEUCJLY-eeJM1911Kvaei5oySBIxdgtNo/edit?pli=1#gid=257618397"",""stock FAKTUR!B:d""),3,false)"),"")</f>
        <v/>
      </c>
      <c r="G119" s="53" t="str">
        <f>IFERROR(__xludf.DUMMYFUNCTION("vlookup($D119,IMPORTRANGE(""https://docs.google.com/spreadsheets/d/1swGwZOEqYlTEUCJLY-eeJM1911Kvaei5oySBIxdgtNo/edit?pli=1#gid=257618397"",""stock FAKTUR!B:e""),4,false)"),"")</f>
        <v/>
      </c>
      <c r="H119" s="53" t="str">
        <f>IFERROR(__xludf.DUMMYFUNCTION("vlookup($D119,IMPORTRANGE(""https://docs.google.com/spreadsheets/d/1swGwZOEqYlTEUCJLY-eeJM1911Kvaei5oySBIxdgtNo/edit?pli=1#gid=257618397"",""stock FAKTUR!B:F""),5,false)"),"JK")</f>
        <v>JK</v>
      </c>
      <c r="I119" s="53" t="str">
        <f>IFERROR(__xludf.DUMMYFUNCTION("vlookup($D119,IMPORTRANGE(""https://docs.google.com/spreadsheets/d/1swGwZOEqYlTEUCJLY-eeJM1911Kvaei5oySBIxdgtNo/edit?pli=1#gid=257618397"",""stock FAKTUR!B:G""),6,false)"),"TD-102")</f>
        <v>TD-102</v>
      </c>
      <c r="J119" s="120" t="str">
        <f t="shared" si="25"/>
        <v>ADA</v>
      </c>
      <c r="K119" s="142">
        <v>24.0</v>
      </c>
      <c r="L119" s="145" t="str">
        <f>IFERROR(__xludf.DUMMYFUNCTION("vlookup($D119,IMPORTRANGE(""https://docs.google.com/spreadsheets/d/1swGwZOEqYlTEUCJLY-eeJM1911Kvaei5oySBIxdgtNo/edit?pli=1#gid=257618397"",""stock FAKTUR!B:q""),16,false)"),"PCS")</f>
        <v>PCS</v>
      </c>
      <c r="M119" s="147">
        <v>11100.0</v>
      </c>
      <c r="N119" s="152">
        <v>0.125</v>
      </c>
      <c r="O119" s="147">
        <f t="shared" si="2"/>
        <v>233100</v>
      </c>
      <c r="P119" s="147" t="str">
        <f t="shared" si="3"/>
        <v>Rp11,100-24 PCS-12.50%</v>
      </c>
      <c r="Q119" s="149">
        <v>45411.0</v>
      </c>
      <c r="R119" s="150"/>
      <c r="S119" s="149">
        <v>45414.0</v>
      </c>
      <c r="T119" s="151"/>
      <c r="U119" s="151"/>
      <c r="V119" s="151"/>
      <c r="W119" s="151"/>
    </row>
    <row r="120">
      <c r="A120" s="142">
        <v>4666.0</v>
      </c>
      <c r="B120" s="143" t="str">
        <f t="shared" si="34"/>
        <v>G</v>
      </c>
      <c r="C120" s="143" t="str">
        <f t="shared" si="35"/>
        <v>PUAS-PATI</v>
      </c>
      <c r="D120" s="151" t="s">
        <v>4469</v>
      </c>
      <c r="E120" s="145" t="str">
        <f>IFERROR(__xludf.DUMMYFUNCTION("vlookup(D120,IMPORTRANGE(""https://docs.google.com/spreadsheets/d/1swGwZOEqYlTEUCJLY-eeJM1911Kvaei5oySBIxdgtNo/edit?pli=1#gid=257618397"",""stock FAKTUR!B:C""),2,false)"),"TAPE CUTTER JK TC-111")</f>
        <v>TAPE CUTTER JK TC-111</v>
      </c>
      <c r="F120" s="53" t="str">
        <f>IFERROR(__xludf.DUMMYFUNCTION("vlookup($D120,IMPORTRANGE(""https://docs.google.com/spreadsheets/d/1swGwZOEqYlTEUCJLY-eeJM1911Kvaei5oySBIxdgtNo/edit?pli=1#gid=257618397"",""stock FAKTUR!B:d""),3,false)"),"")</f>
        <v/>
      </c>
      <c r="G120" s="53" t="str">
        <f>IFERROR(__xludf.DUMMYFUNCTION("vlookup($D120,IMPORTRANGE(""https://docs.google.com/spreadsheets/d/1swGwZOEqYlTEUCJLY-eeJM1911Kvaei5oySBIxdgtNo/edit?pli=1#gid=257618397"",""stock FAKTUR!B:e""),4,false)"),"")</f>
        <v/>
      </c>
      <c r="H120" s="53" t="str">
        <f>IFERROR(__xludf.DUMMYFUNCTION("vlookup($D120,IMPORTRANGE(""https://docs.google.com/spreadsheets/d/1swGwZOEqYlTEUCJLY-eeJM1911Kvaei5oySBIxdgtNo/edit?pli=1#gid=257618397"",""stock FAKTUR!B:F""),5,false)"),"JK")</f>
        <v>JK</v>
      </c>
      <c r="I120" s="53" t="str">
        <f>IFERROR(__xludf.DUMMYFUNCTION("vlookup($D120,IMPORTRANGE(""https://docs.google.com/spreadsheets/d/1swGwZOEqYlTEUCJLY-eeJM1911Kvaei5oySBIxdgtNo/edit?pli=1#gid=257618397"",""stock FAKTUR!B:G""),6,false)"),"TD-111")</f>
        <v>TD-111</v>
      </c>
      <c r="J120" s="120" t="str">
        <f t="shared" si="25"/>
        <v>ADA</v>
      </c>
      <c r="K120" s="142">
        <v>24.0</v>
      </c>
      <c r="L120" s="145" t="str">
        <f>IFERROR(__xludf.DUMMYFUNCTION("vlookup($D120,IMPORTRANGE(""https://docs.google.com/spreadsheets/d/1swGwZOEqYlTEUCJLY-eeJM1911Kvaei5oySBIxdgtNo/edit?pli=1#gid=257618397"",""stock FAKTUR!B:q""),16,false)"),"PCS")</f>
        <v>PCS</v>
      </c>
      <c r="M120" s="147">
        <v>12300.0</v>
      </c>
      <c r="N120" s="152">
        <v>0.125</v>
      </c>
      <c r="O120" s="147">
        <f t="shared" si="2"/>
        <v>258300</v>
      </c>
      <c r="P120" s="147" t="str">
        <f t="shared" si="3"/>
        <v>Rp12,300-24 PCS-12.50%</v>
      </c>
      <c r="Q120" s="149">
        <v>45411.0</v>
      </c>
      <c r="R120" s="150"/>
      <c r="S120" s="149">
        <v>45415.0</v>
      </c>
      <c r="T120" s="151"/>
      <c r="U120" s="151"/>
      <c r="V120" s="151"/>
      <c r="W120" s="151"/>
    </row>
    <row r="121">
      <c r="A121" s="142">
        <v>4666.0</v>
      </c>
      <c r="B121" s="143" t="str">
        <f t="shared" si="34"/>
        <v>G</v>
      </c>
      <c r="C121" s="143" t="str">
        <f t="shared" si="35"/>
        <v>PUAS-PATI</v>
      </c>
      <c r="D121" s="151" t="s">
        <v>4470</v>
      </c>
      <c r="E121" s="145" t="str">
        <f>IFERROR(__xludf.DUMMYFUNCTION("vlookup(D121,IMPORTRANGE(""https://docs.google.com/spreadsheets/d/1swGwZOEqYlTEUCJLY-eeJM1911Kvaei5oySBIxdgtNo/edit?pli=1#gid=257618397"",""stock FAKTUR!B:C""),2,false)"),"TAPE CUTTER JK TC-113")</f>
        <v>TAPE CUTTER JK TC-113</v>
      </c>
      <c r="F121" s="53" t="str">
        <f>IFERROR(__xludf.DUMMYFUNCTION("vlookup($D121,IMPORTRANGE(""https://docs.google.com/spreadsheets/d/1swGwZOEqYlTEUCJLY-eeJM1911Kvaei5oySBIxdgtNo/edit?pli=1#gid=257618397"",""stock FAKTUR!B:d""),3,false)"),"")</f>
        <v/>
      </c>
      <c r="G121" s="53" t="str">
        <f>IFERROR(__xludf.DUMMYFUNCTION("vlookup($D121,IMPORTRANGE(""https://docs.google.com/spreadsheets/d/1swGwZOEqYlTEUCJLY-eeJM1911Kvaei5oySBIxdgtNo/edit?pli=1#gid=257618397"",""stock FAKTUR!B:e""),4,false)"),"")</f>
        <v/>
      </c>
      <c r="H121" s="53" t="str">
        <f>IFERROR(__xludf.DUMMYFUNCTION("vlookup($D121,IMPORTRANGE(""https://docs.google.com/spreadsheets/d/1swGwZOEqYlTEUCJLY-eeJM1911Kvaei5oySBIxdgtNo/edit?pli=1#gid=257618397"",""stock FAKTUR!B:F""),5,false)"),"JK")</f>
        <v>JK</v>
      </c>
      <c r="I121" s="53" t="str">
        <f>IFERROR(__xludf.DUMMYFUNCTION("vlookup($D121,IMPORTRANGE(""https://docs.google.com/spreadsheets/d/1swGwZOEqYlTEUCJLY-eeJM1911Kvaei5oySBIxdgtNo/edit?pli=1#gid=257618397"",""stock FAKTUR!B:G""),6,false)"),"TD-113")</f>
        <v>TD-113</v>
      </c>
      <c r="J121" s="120" t="str">
        <f t="shared" si="25"/>
        <v>ADA</v>
      </c>
      <c r="K121" s="142">
        <v>24.0</v>
      </c>
      <c r="L121" s="145" t="str">
        <f>IFERROR(__xludf.DUMMYFUNCTION("vlookup($D121,IMPORTRANGE(""https://docs.google.com/spreadsheets/d/1swGwZOEqYlTEUCJLY-eeJM1911Kvaei5oySBIxdgtNo/edit?pli=1#gid=257618397"",""stock FAKTUR!B:q""),16,false)"),"PCS")</f>
        <v>PCS</v>
      </c>
      <c r="M121" s="147">
        <v>16500.0</v>
      </c>
      <c r="N121" s="152">
        <v>0.125</v>
      </c>
      <c r="O121" s="147">
        <f t="shared" si="2"/>
        <v>346500</v>
      </c>
      <c r="P121" s="147" t="str">
        <f t="shared" si="3"/>
        <v>Rp16,500-24 PCS-12.50%</v>
      </c>
      <c r="Q121" s="149">
        <v>45411.0</v>
      </c>
      <c r="R121" s="150"/>
      <c r="S121" s="149">
        <v>45415.0</v>
      </c>
      <c r="T121" s="151"/>
      <c r="U121" s="151"/>
      <c r="V121" s="151"/>
      <c r="W121" s="151"/>
    </row>
    <row r="122">
      <c r="A122" s="142">
        <v>4666.0</v>
      </c>
      <c r="B122" s="143" t="str">
        <f t="shared" si="34"/>
        <v>G</v>
      </c>
      <c r="C122" s="143" t="str">
        <f t="shared" si="35"/>
        <v>PUAS-PATI</v>
      </c>
      <c r="D122" s="151" t="s">
        <v>4471</v>
      </c>
      <c r="E122" s="145" t="str">
        <f>IFERROR(__xludf.DUMMYFUNCTION("vlookup(D122,IMPORTRANGE(""https://docs.google.com/spreadsheets/d/1swGwZOEqYlTEUCJLY-eeJM1911Kvaei5oySBIxdgtNo/edit?pli=1#gid=257618397"",""stock FAKTUR!B:C""),2,false)"),"TAPE CUTTER JK TD-101")</f>
        <v>TAPE CUTTER JK TD-101</v>
      </c>
      <c r="F122" s="53" t="str">
        <f>IFERROR(__xludf.DUMMYFUNCTION("vlookup($D122,IMPORTRANGE(""https://docs.google.com/spreadsheets/d/1swGwZOEqYlTEUCJLY-eeJM1911Kvaei5oySBIxdgtNo/edit?pli=1#gid=257618397"",""stock FAKTUR!B:d""),3,false)"),"")</f>
        <v/>
      </c>
      <c r="G122" s="53" t="str">
        <f>IFERROR(__xludf.DUMMYFUNCTION("vlookup($D122,IMPORTRANGE(""https://docs.google.com/spreadsheets/d/1swGwZOEqYlTEUCJLY-eeJM1911Kvaei5oySBIxdgtNo/edit?pli=1#gid=257618397"",""stock FAKTUR!B:e""),4,false)"),"")</f>
        <v/>
      </c>
      <c r="H122" s="53" t="str">
        <f>IFERROR(__xludf.DUMMYFUNCTION("vlookup($D122,IMPORTRANGE(""https://docs.google.com/spreadsheets/d/1swGwZOEqYlTEUCJLY-eeJM1911Kvaei5oySBIxdgtNo/edit?pli=1#gid=257618397"",""stock FAKTUR!B:F""),5,false)"),"JK")</f>
        <v>JK</v>
      </c>
      <c r="I122" s="53" t="str">
        <f>IFERROR(__xludf.DUMMYFUNCTION("vlookup($D122,IMPORTRANGE(""https://docs.google.com/spreadsheets/d/1swGwZOEqYlTEUCJLY-eeJM1911Kvaei5oySBIxdgtNo/edit?pli=1#gid=257618397"",""stock FAKTUR!B:G""),6,false)"),"TD-101")</f>
        <v>TD-101</v>
      </c>
      <c r="J122" s="120" t="str">
        <f t="shared" si="25"/>
        <v>ADA</v>
      </c>
      <c r="K122" s="142">
        <v>24.0</v>
      </c>
      <c r="L122" s="145" t="str">
        <f>IFERROR(__xludf.DUMMYFUNCTION("vlookup($D122,IMPORTRANGE(""https://docs.google.com/spreadsheets/d/1swGwZOEqYlTEUCJLY-eeJM1911Kvaei5oySBIxdgtNo/edit?pli=1#gid=257618397"",""stock FAKTUR!B:q""),16,false)"),"PCS")</f>
        <v>PCS</v>
      </c>
      <c r="M122" s="147">
        <v>24300.0</v>
      </c>
      <c r="N122" s="152">
        <v>0.125</v>
      </c>
      <c r="O122" s="147">
        <f t="shared" si="2"/>
        <v>510300</v>
      </c>
      <c r="P122" s="147" t="str">
        <f t="shared" si="3"/>
        <v>Rp24,300-24 PCS-12.50%</v>
      </c>
      <c r="Q122" s="149">
        <v>45411.0</v>
      </c>
      <c r="R122" s="150"/>
      <c r="S122" s="149">
        <v>45415.0</v>
      </c>
      <c r="T122" s="151"/>
      <c r="U122" s="151"/>
      <c r="V122" s="151"/>
      <c r="W122" s="151"/>
    </row>
    <row r="123">
      <c r="A123" s="142">
        <v>4666.0</v>
      </c>
      <c r="B123" s="143" t="str">
        <f t="shared" si="34"/>
        <v>G</v>
      </c>
      <c r="C123" s="143" t="str">
        <f t="shared" si="35"/>
        <v>PUAS-PATI</v>
      </c>
      <c r="D123" s="151" t="s">
        <v>4472</v>
      </c>
      <c r="E123" s="145" t="str">
        <f>IFERROR(__xludf.DUMMYFUNCTION("vlookup(D123,IMPORTRANGE(""https://docs.google.com/spreadsheets/d/1swGwZOEqYlTEUCJLY-eeJM1911Kvaei5oySBIxdgtNo/edit?pli=1#gid=257618397"",""stock FAKTUR!B:C""),2,false)"),"TAPE CUTTER JK TC-114")</f>
        <v>TAPE CUTTER JK TC-114</v>
      </c>
      <c r="F123" s="53" t="str">
        <f>IFERROR(__xludf.DUMMYFUNCTION("vlookup($D123,IMPORTRANGE(""https://docs.google.com/spreadsheets/d/1swGwZOEqYlTEUCJLY-eeJM1911Kvaei5oySBIxdgtNo/edit?pli=1#gid=257618397"",""stock FAKTUR!B:d""),3,false)"),"")</f>
        <v/>
      </c>
      <c r="G123" s="53" t="str">
        <f>IFERROR(__xludf.DUMMYFUNCTION("vlookup($D123,IMPORTRANGE(""https://docs.google.com/spreadsheets/d/1swGwZOEqYlTEUCJLY-eeJM1911Kvaei5oySBIxdgtNo/edit?pli=1#gid=257618397"",""stock FAKTUR!B:e""),4,false)"),"")</f>
        <v/>
      </c>
      <c r="H123" s="53" t="str">
        <f>IFERROR(__xludf.DUMMYFUNCTION("vlookup($D123,IMPORTRANGE(""https://docs.google.com/spreadsheets/d/1swGwZOEqYlTEUCJLY-eeJM1911Kvaei5oySBIxdgtNo/edit?pli=1#gid=257618397"",""stock FAKTUR!B:F""),5,false)"),"JK")</f>
        <v>JK</v>
      </c>
      <c r="I123" s="53" t="str">
        <f>IFERROR(__xludf.DUMMYFUNCTION("vlookup($D123,IMPORTRANGE(""https://docs.google.com/spreadsheets/d/1swGwZOEqYlTEUCJLY-eeJM1911Kvaei5oySBIxdgtNo/edit?pli=1#gid=257618397"",""stock FAKTUR!B:G""),6,false)"),"TD-114")</f>
        <v>TD-114</v>
      </c>
      <c r="J123" s="120" t="str">
        <f t="shared" si="25"/>
        <v>ADA</v>
      </c>
      <c r="K123" s="142">
        <v>24.0</v>
      </c>
      <c r="L123" s="145" t="str">
        <f>IFERROR(__xludf.DUMMYFUNCTION("vlookup($D123,IMPORTRANGE(""https://docs.google.com/spreadsheets/d/1swGwZOEqYlTEUCJLY-eeJM1911Kvaei5oySBIxdgtNo/edit?pli=1#gid=257618397"",""stock FAKTUR!B:q""),16,false)"),"PCS")</f>
        <v>PCS</v>
      </c>
      <c r="M123" s="147">
        <v>17200.0</v>
      </c>
      <c r="N123" s="152">
        <v>0.125</v>
      </c>
      <c r="O123" s="147">
        <f t="shared" si="2"/>
        <v>361200</v>
      </c>
      <c r="P123" s="147" t="str">
        <f t="shared" si="3"/>
        <v>Rp17,200-24 PCS-12.50%</v>
      </c>
      <c r="Q123" s="149">
        <v>45411.0</v>
      </c>
      <c r="R123" s="150"/>
      <c r="S123" s="149">
        <v>45415.0</v>
      </c>
      <c r="T123" s="151"/>
      <c r="U123" s="151"/>
      <c r="V123" s="151"/>
      <c r="W123" s="151"/>
    </row>
    <row r="124">
      <c r="A124" s="142">
        <v>4666.0</v>
      </c>
      <c r="B124" s="143" t="str">
        <f t="shared" si="34"/>
        <v>G</v>
      </c>
      <c r="C124" s="143" t="str">
        <f t="shared" si="35"/>
        <v>PUAS-PATI</v>
      </c>
      <c r="D124" s="145" t="s">
        <v>4458</v>
      </c>
      <c r="E124" s="145" t="str">
        <f>IFERROR(__xludf.DUMMYFUNCTION("vlookup(D124,IMPORTRANGE(""https://docs.google.com/spreadsheets/d/1swGwZOEqYlTEUCJLY-eeJM1911Kvaei5oySBIxdgtNo/edit?pli=1#gid=257618397"",""stock FAKTUR!B:C""),2,false)"),"ISI CUTTER KENKO A-100 KECIL")</f>
        <v>ISI CUTTER KENKO A-100 KECIL</v>
      </c>
      <c r="F124" s="53" t="str">
        <f>IFERROR(__xludf.DUMMYFUNCTION("vlookup($D124,IMPORTRANGE(""https://docs.google.com/spreadsheets/d/1swGwZOEqYlTEUCJLY-eeJM1911Kvaei5oySBIxdgtNo/edit?pli=1#gid=257618397"",""stock FAKTUR!B:d""),3,false)"),"9 MM")</f>
        <v>9 MM</v>
      </c>
      <c r="G124" s="53" t="str">
        <f>IFERROR(__xludf.DUMMYFUNCTION("vlookup($D124,IMPORTRANGE(""https://docs.google.com/spreadsheets/d/1swGwZOEqYlTEUCJLY-eeJM1911Kvaei5oySBIxdgtNo/edit?pli=1#gid=257618397"",""stock FAKTUR!B:e""),4,false)"),"")</f>
        <v/>
      </c>
      <c r="H124" s="53" t="str">
        <f>IFERROR(__xludf.DUMMYFUNCTION("vlookup($D124,IMPORTRANGE(""https://docs.google.com/spreadsheets/d/1swGwZOEqYlTEUCJLY-eeJM1911Kvaei5oySBIxdgtNo/edit?pli=1#gid=257618397"",""stock FAKTUR!B:F""),5,false)"),"KN")</f>
        <v>KN</v>
      </c>
      <c r="I124" s="53" t="str">
        <f>IFERROR(__xludf.DUMMYFUNCTION("vlookup($D124,IMPORTRANGE(""https://docs.google.com/spreadsheets/d/1swGwZOEqYlTEUCJLY-eeJM1911Kvaei5oySBIxdgtNo/edit?pli=1#gid=257618397"",""stock FAKTUR!B:G""),6,false)"),"CTB-001")</f>
        <v>CTB-001</v>
      </c>
      <c r="J124" s="120" t="str">
        <f t="shared" si="25"/>
        <v>ADA</v>
      </c>
      <c r="K124" s="142">
        <v>120.0</v>
      </c>
      <c r="L124" s="145" t="str">
        <f>IFERROR(__xludf.DUMMYFUNCTION("vlookup($D124,IMPORTRANGE(""https://docs.google.com/spreadsheets/d/1swGwZOEqYlTEUCJLY-eeJM1911Kvaei5oySBIxdgtNo/edit?pli=1#gid=257618397"",""stock FAKTUR!B:q""),16,false)"),"LSN")</f>
        <v>LSN</v>
      </c>
      <c r="M124" s="147">
        <v>32400.0</v>
      </c>
      <c r="N124" s="152">
        <v>0.125</v>
      </c>
      <c r="O124" s="147">
        <f t="shared" si="2"/>
        <v>3402000</v>
      </c>
      <c r="P124" s="147" t="str">
        <f t="shared" si="3"/>
        <v>Rp32,400-120 LSN-12.50%</v>
      </c>
      <c r="Q124" s="149">
        <v>45411.0</v>
      </c>
      <c r="R124" s="150"/>
      <c r="S124" s="149">
        <v>45415.0</v>
      </c>
      <c r="T124" s="151"/>
      <c r="U124" s="151"/>
      <c r="V124" s="151"/>
      <c r="W124" s="151"/>
    </row>
    <row r="125">
      <c r="A125" s="142">
        <v>4666.0</v>
      </c>
      <c r="B125" s="143" t="str">
        <f t="shared" si="34"/>
        <v>G</v>
      </c>
      <c r="C125" s="143" t="str">
        <f t="shared" si="35"/>
        <v>PUAS-PATI</v>
      </c>
      <c r="D125" s="145" t="s">
        <v>4460</v>
      </c>
      <c r="E125" s="145" t="str">
        <f>IFERROR(__xludf.DUMMYFUNCTION("vlookup(D125,IMPORTRANGE(""https://docs.google.com/spreadsheets/d/1swGwZOEqYlTEUCJLY-eeJM1911Kvaei5oySBIxdgtNo/edit?pli=1#gid=257618397"",""stock FAKTUR!B:C""),2,false)"),"TIPEX KENKO KE-823M")</f>
        <v>TIPEX KENKO KE-823M</v>
      </c>
      <c r="F125" s="53" t="str">
        <f>IFERROR(__xludf.DUMMYFUNCTION("vlookup($D125,IMPORTRANGE(""https://docs.google.com/spreadsheets/d/1swGwZOEqYlTEUCJLY-eeJM1911Kvaei5oySBIxdgtNo/edit?pli=1#gid=257618397"",""stock FAKTUR!B:d""),3,false)"),"")</f>
        <v/>
      </c>
      <c r="G125" s="53" t="str">
        <f>IFERROR(__xludf.DUMMYFUNCTION("vlookup($D125,IMPORTRANGE(""https://docs.google.com/spreadsheets/d/1swGwZOEqYlTEUCJLY-eeJM1911Kvaei5oySBIxdgtNo/edit?pli=1#gid=257618397"",""stock FAKTUR!B:e""),4,false)"),"")</f>
        <v/>
      </c>
      <c r="H125" s="53" t="str">
        <f>IFERROR(__xludf.DUMMYFUNCTION("vlookup($D125,IMPORTRANGE(""https://docs.google.com/spreadsheets/d/1swGwZOEqYlTEUCJLY-eeJM1911Kvaei5oySBIxdgtNo/edit?pli=1#gid=257618397"",""stock FAKTUR!B:F""),5,false)"),"KN")</f>
        <v>KN</v>
      </c>
      <c r="I125" s="53" t="str">
        <f>IFERROR(__xludf.DUMMYFUNCTION("vlookup($D125,IMPORTRANGE(""https://docs.google.com/spreadsheets/d/1swGwZOEqYlTEUCJLY-eeJM1911Kvaei5oySBIxdgtNo/edit?pli=1#gid=257618397"",""stock FAKTUR!B:G""),6,false)"),"CFL-006")</f>
        <v>CFL-006</v>
      </c>
      <c r="J125" s="120" t="str">
        <f t="shared" si="25"/>
        <v>ADA</v>
      </c>
      <c r="K125" s="142">
        <v>36.0</v>
      </c>
      <c r="L125" s="145" t="str">
        <f>IFERROR(__xludf.DUMMYFUNCTION("vlookup($D125,IMPORTRANGE(""https://docs.google.com/spreadsheets/d/1swGwZOEqYlTEUCJLY-eeJM1911Kvaei5oySBIxdgtNo/edit?pli=1#gid=257618397"",""stock FAKTUR!B:q""),16,false)"),"LSN")</f>
        <v>LSN</v>
      </c>
      <c r="M125" s="147">
        <v>57000.0</v>
      </c>
      <c r="N125" s="152">
        <v>0.125</v>
      </c>
      <c r="O125" s="147">
        <f t="shared" si="2"/>
        <v>1795500</v>
      </c>
      <c r="P125" s="147" t="str">
        <f t="shared" si="3"/>
        <v>Rp57,000-36 LSN-12.50%</v>
      </c>
      <c r="Q125" s="149">
        <v>45411.0</v>
      </c>
      <c r="R125" s="150"/>
      <c r="S125" s="149">
        <v>45415.0</v>
      </c>
      <c r="T125" s="151"/>
      <c r="U125" s="151"/>
      <c r="V125" s="151"/>
      <c r="W125" s="151"/>
    </row>
    <row r="126">
      <c r="A126" s="142">
        <v>4666.0</v>
      </c>
      <c r="B126" s="143" t="str">
        <f t="shared" si="34"/>
        <v>G</v>
      </c>
      <c r="C126" s="143" t="str">
        <f t="shared" si="35"/>
        <v>PUAS-PATI</v>
      </c>
      <c r="D126" s="145" t="s">
        <v>4473</v>
      </c>
      <c r="E126" s="145" t="str">
        <f>IFERROR(__xludf.DUMMYFUNCTION("vlookup(D126,IMPORTRANGE(""https://docs.google.com/spreadsheets/d/1swGwZOEqYlTEUCJLY-eeJM1911Kvaei5oySBIxdgtNo/edit?pli=1#gid=257618397"",""stock FAKTUR!B:C""),2,false)"),"STAMP PLATE DATER KENKO S-68 (LUNAS)")</f>
        <v>STAMP PLATE DATER KENKO S-68 (LUNAS)</v>
      </c>
      <c r="F126" s="53" t="str">
        <f>IFERROR(__xludf.DUMMYFUNCTION("vlookup($D126,IMPORTRANGE(""https://docs.google.com/spreadsheets/d/1swGwZOEqYlTEUCJLY-eeJM1911Kvaei5oySBIxdgtNo/edit?pli=1#gid=257618397"",""stock FAKTUR!B:d""),3,false)"),"")</f>
        <v/>
      </c>
      <c r="G126" s="53" t="str">
        <f>IFERROR(__xludf.DUMMYFUNCTION("vlookup($D126,IMPORTRANGE(""https://docs.google.com/spreadsheets/d/1swGwZOEqYlTEUCJLY-eeJM1911Kvaei5oySBIxdgtNo/edit?pli=1#gid=257618397"",""stock FAKTUR!B:e""),4,false)"),"")</f>
        <v/>
      </c>
      <c r="H126" s="53" t="str">
        <f>IFERROR(__xludf.DUMMYFUNCTION("vlookup($D126,IMPORTRANGE(""https://docs.google.com/spreadsheets/d/1swGwZOEqYlTEUCJLY-eeJM1911Kvaei5oySBIxdgtNo/edit?pli=1#gid=257618397"",""stock FAKTUR!B:F""),5,false)"),"KN")</f>
        <v>KN</v>
      </c>
      <c r="I126" s="53" t="str">
        <f>IFERROR(__xludf.DUMMYFUNCTION("vlookup($D126,IMPORTRANGE(""https://docs.google.com/spreadsheets/d/1swGwZOEqYlTEUCJLY-eeJM1911Kvaei5oySBIxdgtNo/edit?pli=1#gid=257618397"",""stock FAKTUR!B:G""),6,false)"),"STM-003")</f>
        <v>STM-003</v>
      </c>
      <c r="J126" s="120" t="str">
        <f t="shared" si="25"/>
        <v>ADA</v>
      </c>
      <c r="K126" s="142">
        <v>2.0</v>
      </c>
      <c r="L126" s="145" t="str">
        <f>IFERROR(__xludf.DUMMYFUNCTION("vlookup($D126,IMPORTRANGE(""https://docs.google.com/spreadsheets/d/1swGwZOEqYlTEUCJLY-eeJM1911Kvaei5oySBIxdgtNo/edit?pli=1#gid=257618397"",""stock FAKTUR!B:q""),16,false)"),"LSN")</f>
        <v>LSN</v>
      </c>
      <c r="M126" s="147">
        <v>99600.0</v>
      </c>
      <c r="N126" s="152">
        <v>0.1</v>
      </c>
      <c r="O126" s="147">
        <f t="shared" si="2"/>
        <v>179280</v>
      </c>
      <c r="P126" s="147" t="str">
        <f t="shared" si="3"/>
        <v>Rp99,600-2 LSN-10.00%</v>
      </c>
      <c r="Q126" s="149">
        <v>45411.0</v>
      </c>
      <c r="R126" s="150"/>
      <c r="S126" s="149">
        <v>45415.0</v>
      </c>
      <c r="T126" s="151"/>
      <c r="U126" s="151"/>
      <c r="V126" s="151"/>
      <c r="W126" s="151"/>
    </row>
    <row r="127">
      <c r="A127" s="142">
        <v>4666.0</v>
      </c>
      <c r="B127" s="143" t="str">
        <f t="shared" si="34"/>
        <v>G</v>
      </c>
      <c r="C127" s="143" t="str">
        <f t="shared" si="35"/>
        <v>PUAS-PATI</v>
      </c>
      <c r="D127" s="145" t="s">
        <v>4474</v>
      </c>
      <c r="E127" s="145" t="str">
        <f>IFERROR(__xludf.DUMMYFUNCTION("vlookup(D127,IMPORTRANGE(""https://docs.google.com/spreadsheets/d/1swGwZOEqYlTEUCJLY-eeJM1911Kvaei5oySBIxdgtNo/edit?pli=1#gid=257618397"",""stock FAKTUR!B:C""),2,false)"),"COUNTER HAND TALLY KENKO HT-302")</f>
        <v>COUNTER HAND TALLY KENKO HT-302</v>
      </c>
      <c r="F127" s="53" t="str">
        <f>IFERROR(__xludf.DUMMYFUNCTION("vlookup($D127,IMPORTRANGE(""https://docs.google.com/spreadsheets/d/1swGwZOEqYlTEUCJLY-eeJM1911Kvaei5oySBIxdgtNo/edit?pli=1#gid=257618397"",""stock FAKTUR!B:d""),3,false)"),"")</f>
        <v/>
      </c>
      <c r="G127" s="53" t="str">
        <f>IFERROR(__xludf.DUMMYFUNCTION("vlookup($D127,IMPORTRANGE(""https://docs.google.com/spreadsheets/d/1swGwZOEqYlTEUCJLY-eeJM1911Kvaei5oySBIxdgtNo/edit?pli=1#gid=257618397"",""stock FAKTUR!B:e""),4,false)"),"")</f>
        <v/>
      </c>
      <c r="H127" s="53" t="str">
        <f>IFERROR(__xludf.DUMMYFUNCTION("vlookup($D127,IMPORTRANGE(""https://docs.google.com/spreadsheets/d/1swGwZOEqYlTEUCJLY-eeJM1911Kvaei5oySBIxdgtNo/edit?pli=1#gid=257618397"",""stock FAKTUR!B:F""),5,false)"),"KN")</f>
        <v>KN</v>
      </c>
      <c r="I127" s="53" t="str">
        <f>IFERROR(__xludf.DUMMYFUNCTION("vlookup($D127,IMPORTRANGE(""https://docs.google.com/spreadsheets/d/1swGwZOEqYlTEUCJLY-eeJM1911Kvaei5oySBIxdgtNo/edit?pli=1#gid=257618397"",""stock FAKTUR!B:G""),6,false)"),"HTC-001")</f>
        <v>HTC-001</v>
      </c>
      <c r="J127" s="120" t="str">
        <f t="shared" si="25"/>
        <v>ADA</v>
      </c>
      <c r="K127" s="142">
        <v>20.0</v>
      </c>
      <c r="L127" s="145" t="str">
        <f>IFERROR(__xludf.DUMMYFUNCTION("vlookup($D127,IMPORTRANGE(""https://docs.google.com/spreadsheets/d/1swGwZOEqYlTEUCJLY-eeJM1911Kvaei5oySBIxdgtNo/edit?pli=1#gid=257618397"",""stock FAKTUR!B:q""),16,false)"),"PCS")</f>
        <v>PCS</v>
      </c>
      <c r="M127" s="147">
        <v>19000.0</v>
      </c>
      <c r="N127" s="152">
        <v>0.1</v>
      </c>
      <c r="O127" s="147">
        <f t="shared" si="2"/>
        <v>342000</v>
      </c>
      <c r="P127" s="147" t="str">
        <f t="shared" si="3"/>
        <v>Rp19,000-20 PCS-10.00%</v>
      </c>
      <c r="Q127" s="149">
        <v>45411.0</v>
      </c>
      <c r="R127" s="150"/>
      <c r="S127" s="149">
        <v>45415.0</v>
      </c>
      <c r="T127" s="151"/>
      <c r="U127" s="151"/>
      <c r="V127" s="151"/>
      <c r="W127" s="151"/>
    </row>
    <row r="128">
      <c r="A128" s="142">
        <v>4666.0</v>
      </c>
      <c r="B128" s="143" t="str">
        <f t="shared" si="34"/>
        <v>G</v>
      </c>
      <c r="C128" s="143" t="str">
        <f t="shared" si="35"/>
        <v>PUAS-PATI</v>
      </c>
      <c r="D128" s="145" t="s">
        <v>4431</v>
      </c>
      <c r="E128" s="145" t="str">
        <f>IFERROR(__xludf.DUMMYFUNCTION("vlookup(D128,IMPORTRANGE(""https://docs.google.com/spreadsheets/d/1swGwZOEqYlTEUCJLY-eeJM1911Kvaei5oySBIxdgtNo/edit?pli=1#gid=257618397"",""stock FAKTUR!B:C""),2,false)"),"MESIN LABEL HARGA KENKO MX-5500")</f>
        <v>MESIN LABEL HARGA KENKO MX-5500</v>
      </c>
      <c r="F128" s="53" t="str">
        <f>IFERROR(__xludf.DUMMYFUNCTION("vlookup($D128,IMPORTRANGE(""https://docs.google.com/spreadsheets/d/1swGwZOEqYlTEUCJLY-eeJM1911Kvaei5oySBIxdgtNo/edit?pli=1#gid=257618397"",""stock FAKTUR!B:d""),3,false)"),"")</f>
        <v/>
      </c>
      <c r="G128" s="53" t="str">
        <f>IFERROR(__xludf.DUMMYFUNCTION("vlookup($D128,IMPORTRANGE(""https://docs.google.com/spreadsheets/d/1swGwZOEqYlTEUCJLY-eeJM1911Kvaei5oySBIxdgtNo/edit?pli=1#gid=257618397"",""stock FAKTUR!B:e""),4,false)"),"")</f>
        <v/>
      </c>
      <c r="H128" s="53" t="str">
        <f>IFERROR(__xludf.DUMMYFUNCTION("vlookup($D128,IMPORTRANGE(""https://docs.google.com/spreadsheets/d/1swGwZOEqYlTEUCJLY-eeJM1911Kvaei5oySBIxdgtNo/edit?pli=1#gid=257618397"",""stock FAKTUR!B:F""),5,false)"),"KN")</f>
        <v>KN</v>
      </c>
      <c r="I128" s="53" t="str">
        <f>IFERROR(__xludf.DUMMYFUNCTION("vlookup($D128,IMPORTRANGE(""https://docs.google.com/spreadsheets/d/1swGwZOEqYlTEUCJLY-eeJM1911Kvaei5oySBIxdgtNo/edit?pli=1#gid=257618397"",""stock FAKTUR!B:G""),6,false)"),"PLR-001")</f>
        <v>PLR-001</v>
      </c>
      <c r="J128" s="120" t="str">
        <f t="shared" si="25"/>
        <v>ADA</v>
      </c>
      <c r="K128" s="142">
        <v>12.0</v>
      </c>
      <c r="L128" s="145" t="str">
        <f>IFERROR(__xludf.DUMMYFUNCTION("vlookup($D128,IMPORTRANGE(""https://docs.google.com/spreadsheets/d/1swGwZOEqYlTEUCJLY-eeJM1911Kvaei5oySBIxdgtNo/edit?pli=1#gid=257618397"",""stock FAKTUR!B:q""),16,false)"),"PCS")</f>
        <v>PCS</v>
      </c>
      <c r="M128" s="147">
        <v>45000.0</v>
      </c>
      <c r="N128" s="152">
        <v>0.1</v>
      </c>
      <c r="O128" s="147">
        <f t="shared" si="2"/>
        <v>486000</v>
      </c>
      <c r="P128" s="147" t="str">
        <f t="shared" si="3"/>
        <v>Rp45,000-12 PCS-10.00%</v>
      </c>
      <c r="Q128" s="149">
        <v>45411.0</v>
      </c>
      <c r="R128" s="150"/>
      <c r="S128" s="149">
        <v>45415.0</v>
      </c>
      <c r="T128" s="151"/>
      <c r="U128" s="151"/>
      <c r="V128" s="151"/>
      <c r="W128" s="151"/>
    </row>
    <row r="129">
      <c r="A129" s="142">
        <v>4666.0</v>
      </c>
      <c r="B129" s="143" t="str">
        <f t="shared" si="34"/>
        <v>G</v>
      </c>
      <c r="C129" s="143" t="str">
        <f t="shared" si="35"/>
        <v>PUAS-PATI</v>
      </c>
      <c r="D129" s="145" t="s">
        <v>4387</v>
      </c>
      <c r="E129" s="145" t="str">
        <f>IFERROR(__xludf.DUMMYFUNCTION("vlookup(D129,IMPORTRANGE(""https://docs.google.com/spreadsheets/d/1swGwZOEqYlTEUCJLY-eeJM1911Kvaei5oySBIxdgtNo/edit?pli=1#gid=257618397"",""stock FAKTUR!B:C""),2,false)"),"BP KENKO HI-TECH 0.28MM HITAM")</f>
        <v>BP KENKO HI-TECH 0.28MM HITAM</v>
      </c>
      <c r="F129" s="53" t="str">
        <f>IFERROR(__xludf.DUMMYFUNCTION("vlookup($D129,IMPORTRANGE(""https://docs.google.com/spreadsheets/d/1swGwZOEqYlTEUCJLY-eeJM1911Kvaei5oySBIxdgtNo/edit?pli=1#gid=257618397"",""stock FAKTUR!B:d""),3,false)"),"")</f>
        <v/>
      </c>
      <c r="G129" s="53" t="str">
        <f>IFERROR(__xludf.DUMMYFUNCTION("vlookup($D129,IMPORTRANGE(""https://docs.google.com/spreadsheets/d/1swGwZOEqYlTEUCJLY-eeJM1911Kvaei5oySBIxdgtNo/edit?pli=1#gid=257618397"",""stock FAKTUR!B:e""),4,false)"),"HITAM")</f>
        <v>HITAM</v>
      </c>
      <c r="H129" s="53" t="str">
        <f>IFERROR(__xludf.DUMMYFUNCTION("vlookup($D129,IMPORTRANGE(""https://docs.google.com/spreadsheets/d/1swGwZOEqYlTEUCJLY-eeJM1911Kvaei5oySBIxdgtNo/edit?pli=1#gid=257618397"",""stock FAKTUR!B:F""),5,false)"),"KN")</f>
        <v>KN</v>
      </c>
      <c r="I129" s="53" t="str">
        <f>IFERROR(__xludf.DUMMYFUNCTION("vlookup($D129,IMPORTRANGE(""https://docs.google.com/spreadsheets/d/1swGwZOEqYlTEUCJLY-eeJM1911Kvaei5oySBIxdgtNo/edit?pli=1#gid=257618397"",""stock FAKTUR!B:G""),6,false)"),"GPT-018B")</f>
        <v>GPT-018B</v>
      </c>
      <c r="J129" s="120" t="str">
        <f t="shared" si="25"/>
        <v>ADA</v>
      </c>
      <c r="K129" s="142">
        <v>60.0</v>
      </c>
      <c r="L129" s="145" t="str">
        <f>IFERROR(__xludf.DUMMYFUNCTION("vlookup($D129,IMPORTRANGE(""https://docs.google.com/spreadsheets/d/1swGwZOEqYlTEUCJLY-eeJM1911Kvaei5oySBIxdgtNo/edit?pli=1#gid=257618397"",""stock FAKTUR!B:q""),16,false)"),"LSN")</f>
        <v>LSN</v>
      </c>
      <c r="M129" s="147">
        <v>39000.0</v>
      </c>
      <c r="N129" s="152">
        <v>0.1</v>
      </c>
      <c r="O129" s="147">
        <f t="shared" si="2"/>
        <v>2106000</v>
      </c>
      <c r="P129" s="147" t="str">
        <f t="shared" si="3"/>
        <v>Rp39,000-60 LSN-10.00%</v>
      </c>
      <c r="Q129" s="149">
        <v>45411.0</v>
      </c>
      <c r="R129" s="150"/>
      <c r="S129" s="149">
        <v>45415.0</v>
      </c>
      <c r="T129" s="151"/>
      <c r="U129" s="151"/>
      <c r="V129" s="151"/>
      <c r="W129" s="151"/>
    </row>
    <row r="130">
      <c r="A130" s="142">
        <v>4666.0</v>
      </c>
      <c r="B130" s="143" t="str">
        <f t="shared" si="34"/>
        <v>G</v>
      </c>
      <c r="C130" s="143" t="str">
        <f t="shared" si="35"/>
        <v>PUAS-PATI</v>
      </c>
      <c r="D130" s="145" t="s">
        <v>4416</v>
      </c>
      <c r="E130" s="145" t="str">
        <f>IFERROR(__xludf.DUMMYFUNCTION("vlookup(D130,IMPORTRANGE(""https://docs.google.com/spreadsheets/d/1swGwZOEqYlTEUCJLY-eeJM1911Kvaei5oySBIxdgtNo/edit?pli=1#gid=257618397"",""stock FAKTUR!B:C""),2,false)"),"BP KENKO KE-303 T-GEL HITAM")</f>
        <v>BP KENKO KE-303 T-GEL HITAM</v>
      </c>
      <c r="F130" s="53" t="str">
        <f>IFERROR(__xludf.DUMMYFUNCTION("vlookup($D130,IMPORTRANGE(""https://docs.google.com/spreadsheets/d/1swGwZOEqYlTEUCJLY-eeJM1911Kvaei5oySBIxdgtNo/edit?pli=1#gid=257618397"",""stock FAKTUR!B:d""),3,false)"),"")</f>
        <v/>
      </c>
      <c r="G130" s="53" t="str">
        <f>IFERROR(__xludf.DUMMYFUNCTION("vlookup($D130,IMPORTRANGE(""https://docs.google.com/spreadsheets/d/1swGwZOEqYlTEUCJLY-eeJM1911Kvaei5oySBIxdgtNo/edit?pli=1#gid=257618397"",""stock FAKTUR!B:e""),4,false)"),"")</f>
        <v/>
      </c>
      <c r="H130" s="53" t="str">
        <f>IFERROR(__xludf.DUMMYFUNCTION("vlookup($D130,IMPORTRANGE(""https://docs.google.com/spreadsheets/d/1swGwZOEqYlTEUCJLY-eeJM1911Kvaei5oySBIxdgtNo/edit?pli=1#gid=257618397"",""stock FAKTUR!B:F""),5,false)"),"KN")</f>
        <v>KN</v>
      </c>
      <c r="I130" s="53" t="str">
        <f>IFERROR(__xludf.DUMMYFUNCTION("vlookup($D130,IMPORTRANGE(""https://docs.google.com/spreadsheets/d/1swGwZOEqYlTEUCJLY-eeJM1911Kvaei5oySBIxdgtNo/edit?pli=1#gid=257618397"",""stock FAKTUR!B:G""),6,false)"),"KE-303")</f>
        <v>KE-303</v>
      </c>
      <c r="J130" s="120" t="str">
        <f t="shared" si="25"/>
        <v>ADA</v>
      </c>
      <c r="K130" s="142">
        <v>144.0</v>
      </c>
      <c r="L130" s="145" t="str">
        <f>IFERROR(__xludf.DUMMYFUNCTION("vlookup($D130,IMPORTRANGE(""https://docs.google.com/spreadsheets/d/1swGwZOEqYlTEUCJLY-eeJM1911Kvaei5oySBIxdgtNo/edit?pli=1#gid=257618397"",""stock FAKTUR!B:q""),16,false)"),"LSN")</f>
        <v>LSN</v>
      </c>
      <c r="M130" s="147">
        <v>21600.0</v>
      </c>
      <c r="N130" s="152">
        <v>0.125</v>
      </c>
      <c r="O130" s="147">
        <f t="shared" si="2"/>
        <v>2721600</v>
      </c>
      <c r="P130" s="147" t="str">
        <f t="shared" si="3"/>
        <v>Rp21,600-144 LSN-12.50%</v>
      </c>
      <c r="Q130" s="149">
        <v>45411.0</v>
      </c>
      <c r="R130" s="150"/>
      <c r="S130" s="149">
        <v>45415.0</v>
      </c>
      <c r="T130" s="151"/>
      <c r="U130" s="151"/>
      <c r="V130" s="151"/>
      <c r="W130" s="151"/>
    </row>
    <row r="131">
      <c r="A131" s="142">
        <v>4665.0</v>
      </c>
      <c r="B131" s="143" t="s">
        <v>58</v>
      </c>
      <c r="C131" s="143" t="s">
        <v>1430</v>
      </c>
      <c r="D131" s="151" t="s">
        <v>4475</v>
      </c>
      <c r="E131" s="145" t="str">
        <f>IFERROR(__xludf.DUMMYFUNCTION("vlookup(D131,IMPORTRANGE(""https://docs.google.com/spreadsheets/d/1swGwZOEqYlTEUCJLY-eeJM1911Kvaei5oySBIxdgtNo/edit?pli=1#gid=257618397"",""stock FAKTUR!B:C""),2,false)"),"CALCULATOR JK CC-8 A")</f>
        <v>CALCULATOR JK CC-8 A</v>
      </c>
      <c r="F131" s="53" t="str">
        <f>IFERROR(__xludf.DUMMYFUNCTION("vlookup($D131,IMPORTRANGE(""https://docs.google.com/spreadsheets/d/1swGwZOEqYlTEUCJLY-eeJM1911Kvaei5oySBIxdgtNo/edit?pli=1#gid=257618397"",""stock FAKTUR!B:d""),3,false)"),"")</f>
        <v/>
      </c>
      <c r="G131" s="53" t="str">
        <f>IFERROR(__xludf.DUMMYFUNCTION("vlookup($D131,IMPORTRANGE(""https://docs.google.com/spreadsheets/d/1swGwZOEqYlTEUCJLY-eeJM1911Kvaei5oySBIxdgtNo/edit?pli=1#gid=257618397"",""stock FAKTUR!B:e""),4,false)"),"")</f>
        <v/>
      </c>
      <c r="H131" s="53" t="str">
        <f>IFERROR(__xludf.DUMMYFUNCTION("vlookup($D131,IMPORTRANGE(""https://docs.google.com/spreadsheets/d/1swGwZOEqYlTEUCJLY-eeJM1911Kvaei5oySBIxdgtNo/edit?pli=1#gid=257618397"",""stock FAKTUR!B:F""),5,false)"),"JK")</f>
        <v>JK</v>
      </c>
      <c r="I131" s="53" t="str">
        <f>IFERROR(__xludf.DUMMYFUNCTION("vlookup($D131,IMPORTRANGE(""https://docs.google.com/spreadsheets/d/1swGwZOEqYlTEUCJLY-eeJM1911Kvaei5oySBIxdgtNo/edit?pli=1#gid=257618397"",""stock FAKTUR!B:G""),6,false)"),"CC-8A")</f>
        <v>CC-8A</v>
      </c>
      <c r="J131" s="120" t="str">
        <f t="shared" si="25"/>
        <v>ADA</v>
      </c>
      <c r="K131" s="142">
        <v>120.0</v>
      </c>
      <c r="L131" s="145" t="str">
        <f>IFERROR(__xludf.DUMMYFUNCTION("vlookup($D131,IMPORTRANGE(""https://docs.google.com/spreadsheets/d/1swGwZOEqYlTEUCJLY-eeJM1911Kvaei5oySBIxdgtNo/edit?pli=1#gid=257618397"",""stock FAKTUR!B:q""),16,false)"),"PCS")</f>
        <v>PCS</v>
      </c>
      <c r="M131" s="147">
        <v>38000.0</v>
      </c>
      <c r="N131" s="152">
        <v>0.125</v>
      </c>
      <c r="O131" s="147">
        <f t="shared" si="2"/>
        <v>3990000</v>
      </c>
      <c r="P131" s="147" t="str">
        <f t="shared" si="3"/>
        <v>Rp38,000-120 PCS-12.50%</v>
      </c>
      <c r="Q131" s="149">
        <v>45411.0</v>
      </c>
      <c r="R131" s="150"/>
      <c r="S131" s="149">
        <v>45415.0</v>
      </c>
      <c r="T131" s="151"/>
      <c r="U131" s="151"/>
      <c r="V131" s="151"/>
      <c r="W131" s="151"/>
    </row>
    <row r="132">
      <c r="A132" s="142">
        <v>4665.0</v>
      </c>
      <c r="B132" s="143" t="str">
        <f t="shared" ref="B132:B133" si="36">IF(A132=A131,B131,"")</f>
        <v>G</v>
      </c>
      <c r="C132" s="143" t="str">
        <f t="shared" ref="C132:C133" si="37">IF(A132=A131,C131,"")</f>
        <v>REJO AGUNG-JOMBANG</v>
      </c>
      <c r="D132" s="168" t="s">
        <v>4454</v>
      </c>
      <c r="E132" s="145" t="str">
        <f>IFERROR(__xludf.DUMMYFUNCTION("vlookup(D132,IMPORTRANGE(""https://docs.google.com/spreadsheets/d/1swGwZOEqYlTEUCJLY-eeJM1911Kvaei5oySBIxdgtNo/edit?pli=1#gid=257618397"",""stock FAKTUR!B:C""),2,false)"),"MESIN LABEL HARGA JK MX-5500 M")</f>
        <v>MESIN LABEL HARGA JK MX-5500 M</v>
      </c>
      <c r="F132" s="53" t="str">
        <f>IFERROR(__xludf.DUMMYFUNCTION("vlookup($D132,IMPORTRANGE(""https://docs.google.com/spreadsheets/d/1swGwZOEqYlTEUCJLY-eeJM1911Kvaei5oySBIxdgtNo/edit?pli=1#gid=257618397"",""stock FAKTUR!B:d""),3,false)"),"")</f>
        <v/>
      </c>
      <c r="G132" s="53" t="str">
        <f>IFERROR(__xludf.DUMMYFUNCTION("vlookup($D132,IMPORTRANGE(""https://docs.google.com/spreadsheets/d/1swGwZOEqYlTEUCJLY-eeJM1911Kvaei5oySBIxdgtNo/edit?pli=1#gid=257618397"",""stock FAKTUR!B:e""),4,false)"),"")</f>
        <v/>
      </c>
      <c r="H132" s="53" t="str">
        <f>IFERROR(__xludf.DUMMYFUNCTION("vlookup($D132,IMPORTRANGE(""https://docs.google.com/spreadsheets/d/1swGwZOEqYlTEUCJLY-eeJM1911Kvaei5oySBIxdgtNo/edit?pli=1#gid=257618397"",""stock FAKTUR!B:F""),5,false)"),"JK")</f>
        <v>JK</v>
      </c>
      <c r="I132" s="53" t="str">
        <f>IFERROR(__xludf.DUMMYFUNCTION("vlookup($D132,IMPORTRANGE(""https://docs.google.com/spreadsheets/d/1swGwZOEqYlTEUCJLY-eeJM1911Kvaei5oySBIxdgtNo/edit?pli=1#gid=257618397"",""stock FAKTUR!B:G""),6,false)"),"MX-5500M")</f>
        <v>MX-5500M</v>
      </c>
      <c r="J132" s="120" t="str">
        <f t="shared" si="25"/>
        <v>ADA</v>
      </c>
      <c r="K132" s="142">
        <v>20.0</v>
      </c>
      <c r="L132" s="145" t="str">
        <f>IFERROR(__xludf.DUMMYFUNCTION("vlookup($D132,IMPORTRANGE(""https://docs.google.com/spreadsheets/d/1swGwZOEqYlTEUCJLY-eeJM1911Kvaei5oySBIxdgtNo/edit?pli=1#gid=257618397"",""stock FAKTUR!B:q""),16,false)"),"PCS")</f>
        <v>PCS</v>
      </c>
      <c r="M132" s="147">
        <v>40500.0</v>
      </c>
      <c r="N132" s="152">
        <v>0.125</v>
      </c>
      <c r="O132" s="147">
        <f t="shared" si="2"/>
        <v>708750</v>
      </c>
      <c r="P132" s="147" t="str">
        <f t="shared" si="3"/>
        <v>Rp40,500-20 PCS-12.50%</v>
      </c>
      <c r="Q132" s="149">
        <v>45411.0</v>
      </c>
      <c r="R132" s="150"/>
      <c r="S132" s="149">
        <v>45415.0</v>
      </c>
      <c r="T132" s="151"/>
      <c r="U132" s="151"/>
      <c r="V132" s="151"/>
      <c r="W132" s="151"/>
    </row>
    <row r="133">
      <c r="A133" s="142">
        <v>4665.0</v>
      </c>
      <c r="B133" s="143" t="str">
        <f t="shared" si="36"/>
        <v>G</v>
      </c>
      <c r="C133" s="143" t="str">
        <f t="shared" si="37"/>
        <v>REJO AGUNG-JOMBANG</v>
      </c>
      <c r="D133" s="151" t="s">
        <v>4476</v>
      </c>
      <c r="E133" s="145" t="str">
        <f>IFERROR(__xludf.DUMMYFUNCTION("vlookup(D133,IMPORTRANGE(""https://docs.google.com/spreadsheets/d/1swGwZOEqYlTEUCJLY-eeJM1911Kvaei5oySBIxdgtNo/edit?pli=1#gid=257618397"",""stock FAKTUR!B:C""),2,false)"),"CALCULATOR JK DTC-1313 CH")</f>
        <v>CALCULATOR JK DTC-1313 CH</v>
      </c>
      <c r="F133" s="53" t="str">
        <f>IFERROR(__xludf.DUMMYFUNCTION("vlookup($D133,IMPORTRANGE(""https://docs.google.com/spreadsheets/d/1swGwZOEqYlTEUCJLY-eeJM1911Kvaei5oySBIxdgtNo/edit?pli=1#gid=257618397"",""stock FAKTUR!B:d""),3,false)"),"")</f>
        <v/>
      </c>
      <c r="G133" s="53" t="str">
        <f>IFERROR(__xludf.DUMMYFUNCTION("vlookup($D133,IMPORTRANGE(""https://docs.google.com/spreadsheets/d/1swGwZOEqYlTEUCJLY-eeJM1911Kvaei5oySBIxdgtNo/edit?pli=1#gid=257618397"",""stock FAKTUR!B:e""),4,false)"),"")</f>
        <v/>
      </c>
      <c r="H133" s="53" t="str">
        <f>IFERROR(__xludf.DUMMYFUNCTION("vlookup($D133,IMPORTRANGE(""https://docs.google.com/spreadsheets/d/1swGwZOEqYlTEUCJLY-eeJM1911Kvaei5oySBIxdgtNo/edit?pli=1#gid=257618397"",""stock FAKTUR!B:F""),5,false)"),"JK")</f>
        <v>JK</v>
      </c>
      <c r="I133" s="53" t="str">
        <f>IFERROR(__xludf.DUMMYFUNCTION("vlookup($D133,IMPORTRANGE(""https://docs.google.com/spreadsheets/d/1swGwZOEqYlTEUCJLY-eeJM1911Kvaei5oySBIxdgtNo/edit?pli=1#gid=257618397"",""stock FAKTUR!B:G""),6,false)"),"DTC-1313 CH")</f>
        <v>DTC-1313 CH</v>
      </c>
      <c r="J133" s="120" t="str">
        <f t="shared" si="25"/>
        <v>ADA</v>
      </c>
      <c r="K133" s="142">
        <v>240.0</v>
      </c>
      <c r="L133" s="145" t="str">
        <f>IFERROR(__xludf.DUMMYFUNCTION("vlookup($D133,IMPORTRANGE(""https://docs.google.com/spreadsheets/d/1swGwZOEqYlTEUCJLY-eeJM1911Kvaei5oySBIxdgtNo/edit?pli=1#gid=257618397"",""stock FAKTUR!B:q""),16,false)"),"PCS")</f>
        <v>PCS</v>
      </c>
      <c r="M133" s="147">
        <v>40000.0</v>
      </c>
      <c r="N133" s="152">
        <v>0.125</v>
      </c>
      <c r="O133" s="147">
        <f t="shared" si="2"/>
        <v>8400000</v>
      </c>
      <c r="P133" s="147" t="str">
        <f t="shared" si="3"/>
        <v>Rp40,000-240 PCS-12.50%</v>
      </c>
      <c r="Q133" s="149">
        <v>45411.0</v>
      </c>
      <c r="R133" s="150"/>
      <c r="S133" s="149">
        <v>45415.0</v>
      </c>
      <c r="T133" s="151"/>
      <c r="U133" s="151"/>
      <c r="V133" s="151"/>
      <c r="W133" s="151"/>
    </row>
    <row r="134">
      <c r="A134" s="142">
        <v>4664.0</v>
      </c>
      <c r="B134" s="143" t="s">
        <v>65</v>
      </c>
      <c r="C134" s="143" t="s">
        <v>707</v>
      </c>
      <c r="D134" s="145" t="s">
        <v>4477</v>
      </c>
      <c r="E134" s="145" t="str">
        <f>IFERROR(__xludf.DUMMYFUNCTION("vlookup(D134,IMPORTRANGE(""https://docs.google.com/spreadsheets/d/1swGwZOEqYlTEUCJLY-eeJM1911Kvaei5oySBIxdgtNo/edit?pli=1#gid=257618397"",""stock FAKTUR!B:C""),2,false)"),"OIL PASTEL TITI 18W TI-P-18S")</f>
        <v>OIL PASTEL TITI 18W TI-P-18S</v>
      </c>
      <c r="F134" s="53" t="str">
        <f>IFERROR(__xludf.DUMMYFUNCTION("vlookup($D134,IMPORTRANGE(""https://docs.google.com/spreadsheets/d/1swGwZOEqYlTEUCJLY-eeJM1911Kvaei5oySBIxdgtNo/edit?pli=1#gid=257618397"",""stock FAKTUR!B:d""),3,false)"),"")</f>
        <v/>
      </c>
      <c r="G134" s="53" t="str">
        <f>IFERROR(__xludf.DUMMYFUNCTION("vlookup($D134,IMPORTRANGE(""https://docs.google.com/spreadsheets/d/1swGwZOEqYlTEUCJLY-eeJM1911Kvaei5oySBIxdgtNo/edit?pli=1#gid=257618397"",""stock FAKTUR!B:e""),4,false)"),"18W")</f>
        <v>18W</v>
      </c>
      <c r="H134" s="53" t="str">
        <f>IFERROR(__xludf.DUMMYFUNCTION("vlookup($D134,IMPORTRANGE(""https://docs.google.com/spreadsheets/d/1swGwZOEqYlTEUCJLY-eeJM1911Kvaei5oySBIxdgtNo/edit?pli=1#gid=257618397"",""stock FAKTUR!B:F""),5,false)"),"TT")</f>
        <v>TT</v>
      </c>
      <c r="I134" s="53" t="str">
        <f>IFERROR(__xludf.DUMMYFUNCTION("vlookup($D134,IMPORTRANGE(""https://docs.google.com/spreadsheets/d/1swGwZOEqYlTEUCJLY-eeJM1911Kvaei5oySBIxdgtNo/edit?pli=1#gid=257618397"",""stock FAKTUR!B:G""),6,false)"),"OPS-008")</f>
        <v>OPS-008</v>
      </c>
      <c r="J134" s="120" t="str">
        <f t="shared" si="25"/>
        <v>ADA</v>
      </c>
      <c r="K134" s="142">
        <v>72.0</v>
      </c>
      <c r="L134" s="145" t="str">
        <f>IFERROR(__xludf.DUMMYFUNCTION("vlookup($D134,IMPORTRANGE(""https://docs.google.com/spreadsheets/d/1swGwZOEqYlTEUCJLY-eeJM1911Kvaei5oySBIxdgtNo/edit?pli=1#gid=257618397"",""stock FAKTUR!B:q""),16,false)"),"PCS")</f>
        <v>PCS</v>
      </c>
      <c r="M134" s="147">
        <v>27000.0</v>
      </c>
      <c r="N134" s="152">
        <v>0.14</v>
      </c>
      <c r="O134" s="147">
        <f t="shared" si="2"/>
        <v>1671840</v>
      </c>
      <c r="P134" s="147" t="str">
        <f t="shared" si="3"/>
        <v>Rp27,000-72 PCS-14.00%</v>
      </c>
      <c r="Q134" s="149">
        <v>45411.0</v>
      </c>
      <c r="R134" s="150"/>
      <c r="S134" s="149">
        <v>45415.0</v>
      </c>
      <c r="T134" s="151"/>
      <c r="U134" s="151"/>
      <c r="V134" s="151"/>
      <c r="W134" s="151"/>
    </row>
    <row r="135">
      <c r="A135" s="142">
        <v>4664.0</v>
      </c>
      <c r="B135" s="143" t="str">
        <f t="shared" ref="B135:B136" si="38">IF(A135=A134,B134,"")</f>
        <v>A</v>
      </c>
      <c r="C135" s="143" t="str">
        <f t="shared" ref="C135:C136" si="39">IF(A135=A134,C134,"")</f>
        <v>SIDU-SALATIGA</v>
      </c>
      <c r="D135" s="145" t="s">
        <v>4455</v>
      </c>
      <c r="E135" s="145" t="str">
        <f>IFERROR(__xludf.DUMMYFUNCTION("vlookup(D135,IMPORTRANGE(""https://docs.google.com/spreadsheets/d/1swGwZOEqYlTEUCJLY-eeJM1911Kvaei5oySBIxdgtNo/edit?pli=1#gid=257618397"",""stock FAKTUR!B:C""),2,false)"),"OIL PASTEL TITI 24W TI-P-24S")</f>
        <v>OIL PASTEL TITI 24W TI-P-24S</v>
      </c>
      <c r="F135" s="53" t="str">
        <f>IFERROR(__xludf.DUMMYFUNCTION("vlookup($D135,IMPORTRANGE(""https://docs.google.com/spreadsheets/d/1swGwZOEqYlTEUCJLY-eeJM1911Kvaei5oySBIxdgtNo/edit?pli=1#gid=257618397"",""stock FAKTUR!B:d""),3,false)"),"")</f>
        <v/>
      </c>
      <c r="G135" s="53" t="str">
        <f>IFERROR(__xludf.DUMMYFUNCTION("vlookup($D135,IMPORTRANGE(""https://docs.google.com/spreadsheets/d/1swGwZOEqYlTEUCJLY-eeJM1911Kvaei5oySBIxdgtNo/edit?pli=1#gid=257618397"",""stock FAKTUR!B:e""),4,false)"),"24W")</f>
        <v>24W</v>
      </c>
      <c r="H135" s="53" t="str">
        <f>IFERROR(__xludf.DUMMYFUNCTION("vlookup($D135,IMPORTRANGE(""https://docs.google.com/spreadsheets/d/1swGwZOEqYlTEUCJLY-eeJM1911Kvaei5oySBIxdgtNo/edit?pli=1#gid=257618397"",""stock FAKTUR!B:F""),5,false)"),"TT")</f>
        <v>TT</v>
      </c>
      <c r="I135" s="53" t="str">
        <f>IFERROR(__xludf.DUMMYFUNCTION("vlookup($D135,IMPORTRANGE(""https://docs.google.com/spreadsheets/d/1swGwZOEqYlTEUCJLY-eeJM1911Kvaei5oySBIxdgtNo/edit?pli=1#gid=257618397"",""stock FAKTUR!B:G""),6,false)"),"OPS-009")</f>
        <v>OPS-009</v>
      </c>
      <c r="J135" s="120" t="str">
        <f t="shared" si="25"/>
        <v>ADA</v>
      </c>
      <c r="K135" s="142">
        <v>48.0</v>
      </c>
      <c r="L135" s="145" t="str">
        <f>IFERROR(__xludf.DUMMYFUNCTION("vlookup($D135,IMPORTRANGE(""https://docs.google.com/spreadsheets/d/1swGwZOEqYlTEUCJLY-eeJM1911Kvaei5oySBIxdgtNo/edit?pli=1#gid=257618397"",""stock FAKTUR!B:q""),16,false)"),"PCS")</f>
        <v>PCS</v>
      </c>
      <c r="M135" s="147">
        <v>34000.0</v>
      </c>
      <c r="N135" s="152">
        <v>0.14</v>
      </c>
      <c r="O135" s="147">
        <f t="shared" si="2"/>
        <v>1403520</v>
      </c>
      <c r="P135" s="147" t="str">
        <f t="shared" si="3"/>
        <v>Rp34,000-48 PCS-14.00%</v>
      </c>
      <c r="Q135" s="149">
        <v>45411.0</v>
      </c>
      <c r="R135" s="150"/>
      <c r="S135" s="149">
        <v>45415.0</v>
      </c>
      <c r="T135" s="151"/>
      <c r="U135" s="151"/>
      <c r="V135" s="151"/>
      <c r="W135" s="151"/>
    </row>
    <row r="136">
      <c r="A136" s="142">
        <v>4664.0</v>
      </c>
      <c r="B136" s="143" t="str">
        <f t="shared" si="38"/>
        <v>A</v>
      </c>
      <c r="C136" s="143" t="str">
        <f t="shared" si="39"/>
        <v>SIDU-SALATIGA</v>
      </c>
      <c r="D136" s="169" t="s">
        <v>4478</v>
      </c>
      <c r="E136" s="145" t="str">
        <f>IFERROR(__xludf.DUMMYFUNCTION("vlookup(D136,IMPORTRANGE(""https://docs.google.com/spreadsheets/d/1swGwZOEqYlTEUCJLY-eeJM1911Kvaei5oySBIxdgtNo/edit?pli=1#gid=257618397"",""stock FAKTUR!B:C""),2,false)"),"OIL PASTEL TITI 36W TI-P-36 S")</f>
        <v>OIL PASTEL TITI 36W TI-P-36 S</v>
      </c>
      <c r="F136" s="53" t="str">
        <f>IFERROR(__xludf.DUMMYFUNCTION("vlookup($D136,IMPORTRANGE(""https://docs.google.com/spreadsheets/d/1swGwZOEqYlTEUCJLY-eeJM1911Kvaei5oySBIxdgtNo/edit?pli=1#gid=257618397"",""stock FAKTUR!B:d""),3,false)"),"")</f>
        <v/>
      </c>
      <c r="G136" s="53" t="str">
        <f>IFERROR(__xludf.DUMMYFUNCTION("vlookup($D136,IMPORTRANGE(""https://docs.google.com/spreadsheets/d/1swGwZOEqYlTEUCJLY-eeJM1911Kvaei5oySBIxdgtNo/edit?pli=1#gid=257618397"",""stock FAKTUR!B:e""),4,false)"),"36W")</f>
        <v>36W</v>
      </c>
      <c r="H136" s="53" t="str">
        <f>IFERROR(__xludf.DUMMYFUNCTION("vlookup($D136,IMPORTRANGE(""https://docs.google.com/spreadsheets/d/1swGwZOEqYlTEUCJLY-eeJM1911Kvaei5oySBIxdgtNo/edit?pli=1#gid=257618397"",""stock FAKTUR!B:F""),5,false)"),"TT")</f>
        <v>TT</v>
      </c>
      <c r="I136" s="53" t="str">
        <f>IFERROR(__xludf.DUMMYFUNCTION("vlookup($D136,IMPORTRANGE(""https://docs.google.com/spreadsheets/d/1swGwZOEqYlTEUCJLY-eeJM1911Kvaei5oySBIxdgtNo/edit?pli=1#gid=257618397"",""stock FAKTUR!B:G""),6,false)"),"")</f>
        <v/>
      </c>
      <c r="J136" s="120" t="str">
        <f t="shared" si="25"/>
        <v>ADA</v>
      </c>
      <c r="K136" s="142">
        <v>36.0</v>
      </c>
      <c r="L136" s="145" t="str">
        <f>IFERROR(__xludf.DUMMYFUNCTION("vlookup($D136,IMPORTRANGE(""https://docs.google.com/spreadsheets/d/1swGwZOEqYlTEUCJLY-eeJM1911Kvaei5oySBIxdgtNo/edit?pli=1#gid=257618397"",""stock FAKTUR!B:q""),16,false)"),"PCS")</f>
        <v>PCS</v>
      </c>
      <c r="M136" s="147">
        <v>47500.0</v>
      </c>
      <c r="N136" s="152">
        <v>0.14</v>
      </c>
      <c r="O136" s="147">
        <f t="shared" si="2"/>
        <v>1470600</v>
      </c>
      <c r="P136" s="147" t="str">
        <f t="shared" si="3"/>
        <v>Rp47,500-36 PCS-14.00%</v>
      </c>
      <c r="Q136" s="149">
        <v>45411.0</v>
      </c>
      <c r="R136" s="150"/>
      <c r="S136" s="149">
        <v>45415.0</v>
      </c>
      <c r="T136" s="151"/>
      <c r="U136" s="151"/>
      <c r="V136" s="151"/>
      <c r="W136" s="151"/>
    </row>
    <row r="137">
      <c r="A137" s="142">
        <v>4657.0</v>
      </c>
      <c r="B137" s="143" t="s">
        <v>65</v>
      </c>
      <c r="C137" s="143" t="s">
        <v>1440</v>
      </c>
      <c r="D137" s="151" t="s">
        <v>4479</v>
      </c>
      <c r="E137" s="145" t="str">
        <f>IFERROR(__xludf.DUMMYFUNCTION("vlookup(D137,IMPORTRANGE(""https://docs.google.com/spreadsheets/d/1swGwZOEqYlTEUCJLY-eeJM1911Kvaei5oySBIxdgtNo/edit?pli=1#gid=257618397"",""stock FAKTUR!B:C""),2,false)"),"STIP JK ER-B20BL")</f>
        <v>STIP JK ER-B20BL</v>
      </c>
      <c r="F137" s="53" t="str">
        <f>IFERROR(__xludf.DUMMYFUNCTION("vlookup($D137,IMPORTRANGE(""https://docs.google.com/spreadsheets/d/1swGwZOEqYlTEUCJLY-eeJM1911Kvaei5oySBIxdgtNo/edit?pli=1#gid=257618397"",""stock FAKTUR!B:d""),3,false)"),"")</f>
        <v/>
      </c>
      <c r="G137" s="53" t="str">
        <f>IFERROR(__xludf.DUMMYFUNCTION("vlookup($D137,IMPORTRANGE(""https://docs.google.com/spreadsheets/d/1swGwZOEqYlTEUCJLY-eeJM1911Kvaei5oySBIxdgtNo/edit?pli=1#gid=257618397"",""stock FAKTUR!B:e""),4,false)"),"HITAM")</f>
        <v>HITAM</v>
      </c>
      <c r="H137" s="53" t="str">
        <f>IFERROR(__xludf.DUMMYFUNCTION("vlookup($D137,IMPORTRANGE(""https://docs.google.com/spreadsheets/d/1swGwZOEqYlTEUCJLY-eeJM1911Kvaei5oySBIxdgtNo/edit?pli=1#gid=257618397"",""stock FAKTUR!B:F""),5,false)"),"JK")</f>
        <v>JK</v>
      </c>
      <c r="I137" s="53" t="str">
        <f>IFERROR(__xludf.DUMMYFUNCTION("vlookup($D137,IMPORTRANGE(""https://docs.google.com/spreadsheets/d/1swGwZOEqYlTEUCJLY-eeJM1911Kvaei5oySBIxdgtNo/edit?pli=1#gid=257618397"",""stock FAKTUR!B:G""),6,false)"),"20 BL")</f>
        <v>20 BL</v>
      </c>
      <c r="J137" s="120" t="str">
        <f t="shared" si="25"/>
        <v>ADA</v>
      </c>
      <c r="K137" s="142">
        <v>5.0</v>
      </c>
      <c r="L137" s="145" t="str">
        <f>IFERROR(__xludf.DUMMYFUNCTION("vlookup($D137,IMPORTRANGE(""https://docs.google.com/spreadsheets/d/1swGwZOEqYlTEUCJLY-eeJM1911Kvaei5oySBIxdgtNo/edit?pli=1#gid=257618397"",""stock FAKTUR!B:q""),16,false)"),"BOX")</f>
        <v>BOX</v>
      </c>
      <c r="M137" s="147">
        <v>34100.0</v>
      </c>
      <c r="N137" s="152">
        <v>0.1</v>
      </c>
      <c r="O137" s="147">
        <f t="shared" si="2"/>
        <v>153450</v>
      </c>
      <c r="P137" s="147" t="str">
        <f t="shared" si="3"/>
        <v>Rp34,100-5 BOX-10.00%</v>
      </c>
      <c r="Q137" s="149">
        <v>45411.0</v>
      </c>
      <c r="R137" s="150"/>
      <c r="S137" s="149">
        <v>45415.0</v>
      </c>
      <c r="T137" s="151"/>
      <c r="U137" s="151"/>
      <c r="V137" s="151"/>
      <c r="W137" s="151"/>
    </row>
    <row r="138">
      <c r="A138" s="153">
        <v>4657.0</v>
      </c>
      <c r="B138" s="144" t="str">
        <f t="shared" ref="B138:B139" si="40">IF(A138=A137,B137,"")</f>
        <v>A</v>
      </c>
      <c r="C138" s="144" t="str">
        <f t="shared" ref="C138:C139" si="41">IF(A138=A137,C137,"")</f>
        <v>DOREMI-TEMANGGUNG</v>
      </c>
      <c r="D138" s="145" t="s">
        <v>4480</v>
      </c>
      <c r="E138" s="145" t="str">
        <f>IFERROR(__xludf.DUMMYFUNCTION("vlookup(D138,IMPORTRANGE(""https://docs.google.com/spreadsheets/d/1swGwZOEqYlTEUCJLY-eeJM1911Kvaei5oySBIxdgtNo/edit?pli=1#gid=257618397"",""stock FAKTUR!B:C""),2,false)"),"CALCULATOR JK CC-35")</f>
        <v>CALCULATOR JK CC-35</v>
      </c>
      <c r="F138" s="53" t="str">
        <f>IFERROR(__xludf.DUMMYFUNCTION("vlookup($D138,IMPORTRANGE(""https://docs.google.com/spreadsheets/d/1swGwZOEqYlTEUCJLY-eeJM1911Kvaei5oySBIxdgtNo/edit?pli=1#gid=257618397"",""stock FAKTUR!B:d""),3,false)"),"")</f>
        <v/>
      </c>
      <c r="G138" s="53" t="str">
        <f>IFERROR(__xludf.DUMMYFUNCTION("vlookup($D138,IMPORTRANGE(""https://docs.google.com/spreadsheets/d/1swGwZOEqYlTEUCJLY-eeJM1911Kvaei5oySBIxdgtNo/edit?pli=1#gid=257618397"",""stock FAKTUR!B:e""),4,false)"),"")</f>
        <v/>
      </c>
      <c r="H138" s="53" t="str">
        <f>IFERROR(__xludf.DUMMYFUNCTION("vlookup($D138,IMPORTRANGE(""https://docs.google.com/spreadsheets/d/1swGwZOEqYlTEUCJLY-eeJM1911Kvaei5oySBIxdgtNo/edit?pli=1#gid=257618397"",""stock FAKTUR!B:F""),5,false)"),"JK")</f>
        <v>JK</v>
      </c>
      <c r="I138" s="53" t="str">
        <f>IFERROR(__xludf.DUMMYFUNCTION("vlookup($D138,IMPORTRANGE(""https://docs.google.com/spreadsheets/d/1swGwZOEqYlTEUCJLY-eeJM1911Kvaei5oySBIxdgtNo/edit?pli=1#gid=257618397"",""stock FAKTUR!B:G""),6,false)"),"CC-35")</f>
        <v>CC-35</v>
      </c>
      <c r="J138" s="120" t="str">
        <f t="shared" si="25"/>
        <v>ADA</v>
      </c>
      <c r="K138" s="153">
        <v>10.0</v>
      </c>
      <c r="L138" s="145" t="str">
        <f>IFERROR(__xludf.DUMMYFUNCTION("vlookup($D138,IMPORTRANGE(""https://docs.google.com/spreadsheets/d/1swGwZOEqYlTEUCJLY-eeJM1911Kvaei5oySBIxdgtNo/edit?pli=1#gid=257618397"",""stock FAKTUR!B:q""),16,false)"),"PCS")</f>
        <v>PCS</v>
      </c>
      <c r="M138" s="155">
        <v>58000.0</v>
      </c>
      <c r="N138" s="156">
        <v>0.1</v>
      </c>
      <c r="O138" s="155">
        <f t="shared" si="2"/>
        <v>522000</v>
      </c>
      <c r="P138" s="155" t="str">
        <f t="shared" si="3"/>
        <v>Rp58,000-10 PCS-10.00%</v>
      </c>
      <c r="Q138" s="157">
        <v>45411.0</v>
      </c>
      <c r="R138" s="158"/>
      <c r="S138" s="157">
        <v>45415.0</v>
      </c>
      <c r="T138" s="145" t="s">
        <v>4481</v>
      </c>
      <c r="U138" s="145" t="s">
        <v>4390</v>
      </c>
      <c r="V138" s="145"/>
      <c r="W138" s="159"/>
    </row>
    <row r="139">
      <c r="A139" s="142">
        <v>4657.0</v>
      </c>
      <c r="B139" s="143" t="str">
        <f t="shared" si="40"/>
        <v>A</v>
      </c>
      <c r="C139" s="143" t="str">
        <f t="shared" si="41"/>
        <v>DOREMI-TEMANGGUNG</v>
      </c>
      <c r="D139" s="151" t="s">
        <v>4444</v>
      </c>
      <c r="E139" s="145" t="str">
        <f>IFERROR(__xludf.DUMMYFUNCTION("vlookup(D139,IMPORTRANGE(""https://docs.google.com/spreadsheets/d/1swGwZOEqYlTEUCJLY-eeJM1911Kvaei5oySBIxdgtNo/edit?pli=1#gid=257618397"",""stock FAKTUR!B:C""),2,false)"),"CALCULATOR JK CC-45")</f>
        <v>CALCULATOR JK CC-45</v>
      </c>
      <c r="F139" s="53" t="str">
        <f>IFERROR(__xludf.DUMMYFUNCTION("vlookup($D139,IMPORTRANGE(""https://docs.google.com/spreadsheets/d/1swGwZOEqYlTEUCJLY-eeJM1911Kvaei5oySBIxdgtNo/edit?pli=1#gid=257618397"",""stock FAKTUR!B:d""),3,false)"),"")</f>
        <v/>
      </c>
      <c r="G139" s="53" t="str">
        <f>IFERROR(__xludf.DUMMYFUNCTION("vlookup($D139,IMPORTRANGE(""https://docs.google.com/spreadsheets/d/1swGwZOEqYlTEUCJLY-eeJM1911Kvaei5oySBIxdgtNo/edit?pli=1#gid=257618397"",""stock FAKTUR!B:e""),4,false)"),"")</f>
        <v/>
      </c>
      <c r="H139" s="53" t="str">
        <f>IFERROR(__xludf.DUMMYFUNCTION("vlookup($D139,IMPORTRANGE(""https://docs.google.com/spreadsheets/d/1swGwZOEqYlTEUCJLY-eeJM1911Kvaei5oySBIxdgtNo/edit?pli=1#gid=257618397"",""stock FAKTUR!B:F""),5,false)"),"JK")</f>
        <v>JK</v>
      </c>
      <c r="I139" s="53" t="str">
        <f>IFERROR(__xludf.DUMMYFUNCTION("vlookup($D139,IMPORTRANGE(""https://docs.google.com/spreadsheets/d/1swGwZOEqYlTEUCJLY-eeJM1911Kvaei5oySBIxdgtNo/edit?pli=1#gid=257618397"",""stock FAKTUR!B:G""),6,false)"),"CC-45")</f>
        <v>CC-45</v>
      </c>
      <c r="J139" s="120" t="str">
        <f t="shared" si="25"/>
        <v>ADA</v>
      </c>
      <c r="K139" s="142">
        <v>20.0</v>
      </c>
      <c r="L139" s="145" t="str">
        <f>IFERROR(__xludf.DUMMYFUNCTION("vlookup($D139,IMPORTRANGE(""https://docs.google.com/spreadsheets/d/1swGwZOEqYlTEUCJLY-eeJM1911Kvaei5oySBIxdgtNo/edit?pli=1#gid=257618397"",""stock FAKTUR!B:q""),16,false)"),"PCS")</f>
        <v>PCS</v>
      </c>
      <c r="M139" s="147">
        <v>44000.0</v>
      </c>
      <c r="N139" s="152">
        <v>0.1</v>
      </c>
      <c r="O139" s="147">
        <f t="shared" si="2"/>
        <v>792000</v>
      </c>
      <c r="P139" s="147" t="str">
        <f t="shared" si="3"/>
        <v>Rp44,000-20 PCS-10.00%</v>
      </c>
      <c r="Q139" s="149">
        <v>45411.0</v>
      </c>
      <c r="R139" s="150"/>
      <c r="S139" s="149">
        <v>45415.0</v>
      </c>
      <c r="T139" s="151"/>
      <c r="U139" s="151"/>
      <c r="V139" s="151"/>
      <c r="W139" s="151"/>
    </row>
    <row r="140">
      <c r="A140" s="142">
        <v>4656.0</v>
      </c>
      <c r="B140" s="143" t="s">
        <v>33</v>
      </c>
      <c r="C140" s="143" t="s">
        <v>4482</v>
      </c>
      <c r="D140" s="145" t="s">
        <v>4429</v>
      </c>
      <c r="E140" s="145" t="str">
        <f>IFERROR(__xludf.DUMMYFUNCTION("vlookup(D140,IMPORTRANGE(""https://docs.google.com/spreadsheets/d/1swGwZOEqYlTEUCJLY-eeJM1911Kvaei5oySBIxdgtNo/edit?pli=1#gid=257618397"",""stock FAKTUR!B:C""),2,false)"),"TIPEX KENKO KE-01")</f>
        <v>TIPEX KENKO KE-01</v>
      </c>
      <c r="F140" s="53" t="str">
        <f>IFERROR(__xludf.DUMMYFUNCTION("vlookup($D140,IMPORTRANGE(""https://docs.google.com/spreadsheets/d/1swGwZOEqYlTEUCJLY-eeJM1911Kvaei5oySBIxdgtNo/edit?pli=1#gid=257618397"",""stock FAKTUR!B:d""),3,false)"),"")</f>
        <v/>
      </c>
      <c r="G140" s="53" t="str">
        <f>IFERROR(__xludf.DUMMYFUNCTION("vlookup($D140,IMPORTRANGE(""https://docs.google.com/spreadsheets/d/1swGwZOEqYlTEUCJLY-eeJM1911Kvaei5oySBIxdgtNo/edit?pli=1#gid=257618397"",""stock FAKTUR!B:e""),4,false)"),"")</f>
        <v/>
      </c>
      <c r="H140" s="53" t="str">
        <f>IFERROR(__xludf.DUMMYFUNCTION("vlookup($D140,IMPORTRANGE(""https://docs.google.com/spreadsheets/d/1swGwZOEqYlTEUCJLY-eeJM1911Kvaei5oySBIxdgtNo/edit?pli=1#gid=257618397"",""stock FAKTUR!B:F""),5,false)"),"KN")</f>
        <v>KN</v>
      </c>
      <c r="I140" s="53" t="str">
        <f>IFERROR(__xludf.DUMMYFUNCTION("vlookup($D140,IMPORTRANGE(""https://docs.google.com/spreadsheets/d/1swGwZOEqYlTEUCJLY-eeJM1911Kvaei5oySBIxdgtNo/edit?pli=1#gid=257618397"",""stock FAKTUR!B:G""),6,false)"),"CFL-001")</f>
        <v>CFL-001</v>
      </c>
      <c r="J140" s="120" t="str">
        <f t="shared" si="25"/>
        <v>ADA</v>
      </c>
      <c r="K140" s="142">
        <v>36.0</v>
      </c>
      <c r="L140" s="145" t="str">
        <f>IFERROR(__xludf.DUMMYFUNCTION("vlookup($D140,IMPORTRANGE(""https://docs.google.com/spreadsheets/d/1swGwZOEqYlTEUCJLY-eeJM1911Kvaei5oySBIxdgtNo/edit?pli=1#gid=257618397"",""stock FAKTUR!B:q""),16,false)"),"LSN")</f>
        <v>LSN</v>
      </c>
      <c r="M140" s="147">
        <v>54300.0</v>
      </c>
      <c r="N140" s="152">
        <v>0.13</v>
      </c>
      <c r="O140" s="147">
        <f t="shared" si="2"/>
        <v>1700676</v>
      </c>
      <c r="P140" s="147" t="str">
        <f t="shared" si="3"/>
        <v>Rp54,300-36 LSN-13.00%</v>
      </c>
      <c r="Q140" s="149">
        <v>45411.0</v>
      </c>
      <c r="R140" s="150"/>
      <c r="S140" s="149">
        <v>45415.0</v>
      </c>
      <c r="T140" s="151"/>
      <c r="U140" s="151"/>
      <c r="V140" s="151"/>
      <c r="W140" s="151"/>
    </row>
    <row r="141">
      <c r="A141" s="142">
        <v>4656.0</v>
      </c>
      <c r="B141" s="143" t="str">
        <f>IF(A141=A140,B140,"")</f>
        <v>H</v>
      </c>
      <c r="C141" s="143" t="str">
        <f>IF(A141=A140,C140,"")</f>
        <v>ARMADA-PURWOKERTO</v>
      </c>
      <c r="D141" s="145" t="s">
        <v>4473</v>
      </c>
      <c r="E141" s="145" t="str">
        <f>IFERROR(__xludf.DUMMYFUNCTION("vlookup(D141,IMPORTRANGE(""https://docs.google.com/spreadsheets/d/1swGwZOEqYlTEUCJLY-eeJM1911Kvaei5oySBIxdgtNo/edit?pli=1#gid=257618397"",""stock FAKTUR!B:C""),2,false)"),"STAMP PLATE DATER KENKO S-68 (LUNAS)")</f>
        <v>STAMP PLATE DATER KENKO S-68 (LUNAS)</v>
      </c>
      <c r="F141" s="53" t="str">
        <f>IFERROR(__xludf.DUMMYFUNCTION("vlookup($D141,IMPORTRANGE(""https://docs.google.com/spreadsheets/d/1swGwZOEqYlTEUCJLY-eeJM1911Kvaei5oySBIxdgtNo/edit?pli=1#gid=257618397"",""stock FAKTUR!B:d""),3,false)"),"")</f>
        <v/>
      </c>
      <c r="G141" s="53" t="str">
        <f>IFERROR(__xludf.DUMMYFUNCTION("vlookup($D141,IMPORTRANGE(""https://docs.google.com/spreadsheets/d/1swGwZOEqYlTEUCJLY-eeJM1911Kvaei5oySBIxdgtNo/edit?pli=1#gid=257618397"",""stock FAKTUR!B:e""),4,false)"),"")</f>
        <v/>
      </c>
      <c r="H141" s="53" t="str">
        <f>IFERROR(__xludf.DUMMYFUNCTION("vlookup($D141,IMPORTRANGE(""https://docs.google.com/spreadsheets/d/1swGwZOEqYlTEUCJLY-eeJM1911Kvaei5oySBIxdgtNo/edit?pli=1#gid=257618397"",""stock FAKTUR!B:F""),5,false)"),"KN")</f>
        <v>KN</v>
      </c>
      <c r="I141" s="53" t="str">
        <f>IFERROR(__xludf.DUMMYFUNCTION("vlookup($D141,IMPORTRANGE(""https://docs.google.com/spreadsheets/d/1swGwZOEqYlTEUCJLY-eeJM1911Kvaei5oySBIxdgtNo/edit?pli=1#gid=257618397"",""stock FAKTUR!B:G""),6,false)"),"STM-003")</f>
        <v>STM-003</v>
      </c>
      <c r="J141" s="120" t="str">
        <f t="shared" si="25"/>
        <v>ADA</v>
      </c>
      <c r="K141" s="142">
        <v>3.0</v>
      </c>
      <c r="L141" s="145" t="str">
        <f>IFERROR(__xludf.DUMMYFUNCTION("vlookup($D141,IMPORTRANGE(""https://docs.google.com/spreadsheets/d/1swGwZOEqYlTEUCJLY-eeJM1911Kvaei5oySBIxdgtNo/edit?pli=1#gid=257618397"",""stock FAKTUR!B:q""),16,false)"),"LSN")</f>
        <v>LSN</v>
      </c>
      <c r="M141" s="147">
        <v>99600.0</v>
      </c>
      <c r="N141" s="152">
        <v>0.13</v>
      </c>
      <c r="O141" s="147">
        <f t="shared" si="2"/>
        <v>259956</v>
      </c>
      <c r="P141" s="147" t="str">
        <f t="shared" si="3"/>
        <v>Rp99,600-3 LSN-13.00%</v>
      </c>
      <c r="Q141" s="149">
        <v>45411.0</v>
      </c>
      <c r="R141" s="150"/>
      <c r="S141" s="149">
        <v>45415.0</v>
      </c>
      <c r="T141" s="151"/>
      <c r="U141" s="151"/>
      <c r="V141" s="151"/>
      <c r="W141" s="151"/>
    </row>
    <row r="142">
      <c r="A142" s="142">
        <v>4655.0</v>
      </c>
      <c r="B142" s="143" t="s">
        <v>33</v>
      </c>
      <c r="C142" s="143" t="s">
        <v>3684</v>
      </c>
      <c r="D142" s="145" t="s">
        <v>4483</v>
      </c>
      <c r="E142" s="145" t="str">
        <f>IFERROR(__xludf.DUMMYFUNCTION("vlookup(D142,IMPORTRANGE(""https://docs.google.com/spreadsheets/d/1swGwZOEqYlTEUCJLY-eeJM1911Kvaei5oySBIxdgtNo/edit?pli=1#gid=257618397"",""stock FAKTUR!B:C""),2,false)"),"LEM STICK KENKO 15GR TANGGUNG")</f>
        <v>LEM STICK KENKO 15GR TANGGUNG</v>
      </c>
      <c r="F142" s="53" t="str">
        <f>IFERROR(__xludf.DUMMYFUNCTION("vlookup($D142,IMPORTRANGE(""https://docs.google.com/spreadsheets/d/1swGwZOEqYlTEUCJLY-eeJM1911Kvaei5oySBIxdgtNo/edit?pli=1#gid=257618397"",""stock FAKTUR!B:d""),3,false)"),"T")</f>
        <v>T</v>
      </c>
      <c r="G142" s="53" t="str">
        <f>IFERROR(__xludf.DUMMYFUNCTION("vlookup($D142,IMPORTRANGE(""https://docs.google.com/spreadsheets/d/1swGwZOEqYlTEUCJLY-eeJM1911Kvaei5oySBIxdgtNo/edit?pli=1#gid=257618397"",""stock FAKTUR!B:e""),4,false)"),"")</f>
        <v/>
      </c>
      <c r="H142" s="53" t="str">
        <f>IFERROR(__xludf.DUMMYFUNCTION("vlookup($D142,IMPORTRANGE(""https://docs.google.com/spreadsheets/d/1swGwZOEqYlTEUCJLY-eeJM1911Kvaei5oySBIxdgtNo/edit?pli=1#gid=257618397"",""stock FAKTUR!B:F""),5,false)"),"KN")</f>
        <v>KN</v>
      </c>
      <c r="I142" s="53" t="str">
        <f>IFERROR(__xludf.DUMMYFUNCTION("vlookup($D142,IMPORTRANGE(""https://docs.google.com/spreadsheets/d/1swGwZOEqYlTEUCJLY-eeJM1911Kvaei5oySBIxdgtNo/edit?pli=1#gid=257618397"",""stock FAKTUR!B:G""),6,false)"),"GST-002GA")</f>
        <v>GST-002GA</v>
      </c>
      <c r="J142" s="120" t="str">
        <f t="shared" si="25"/>
        <v>ADA</v>
      </c>
      <c r="K142" s="142">
        <v>13.0</v>
      </c>
      <c r="L142" s="145" t="str">
        <f>IFERROR(__xludf.DUMMYFUNCTION("vlookup($D142,IMPORTRANGE(""https://docs.google.com/spreadsheets/d/1swGwZOEqYlTEUCJLY-eeJM1911Kvaei5oySBIxdgtNo/edit?pli=1#gid=257618397"",""stock FAKTUR!B:q""),16,false)"),"BOX")</f>
        <v>BOX</v>
      </c>
      <c r="M142" s="147">
        <v>72000.0</v>
      </c>
      <c r="N142" s="152">
        <v>0.125</v>
      </c>
      <c r="O142" s="147">
        <f t="shared" si="2"/>
        <v>819000</v>
      </c>
      <c r="P142" s="147" t="str">
        <f t="shared" si="3"/>
        <v>Rp72,000-13 BOX-12.50%</v>
      </c>
      <c r="Q142" s="149">
        <v>45411.0</v>
      </c>
      <c r="R142" s="150"/>
      <c r="S142" s="149">
        <v>45415.0</v>
      </c>
      <c r="T142" s="151"/>
      <c r="U142" s="151"/>
      <c r="V142" s="151"/>
      <c r="W142" s="151"/>
    </row>
    <row r="143">
      <c r="A143" s="142">
        <v>4655.0</v>
      </c>
      <c r="B143" s="143" t="str">
        <f>IF(A143=A142,B142,"")</f>
        <v>H</v>
      </c>
      <c r="C143" s="143" t="str">
        <f>IF(A143=A142,C142,"")</f>
        <v>BENDAN-PEKALONGAN</v>
      </c>
      <c r="D143" s="145" t="s">
        <v>4484</v>
      </c>
      <c r="E143" s="145" t="str">
        <f>IFERROR(__xludf.DUMMYFUNCTION("vlookup(D143,IMPORTRANGE(""https://docs.google.com/spreadsheets/d/1swGwZOEqYlTEUCJLY-eeJM1911Kvaei5oySBIxdgtNo/edit?pli=1#gid=257618397"",""stock FAKTUR!B:C""),2,false)"),"LEM STICK KENKO 25GR BESAR")</f>
        <v>LEM STICK KENKO 25GR BESAR</v>
      </c>
      <c r="F143" s="53" t="str">
        <f>IFERROR(__xludf.DUMMYFUNCTION("vlookup($D143,IMPORTRANGE(""https://docs.google.com/spreadsheets/d/1swGwZOEqYlTEUCJLY-eeJM1911Kvaei5oySBIxdgtNo/edit?pli=1#gid=257618397"",""stock FAKTUR!B:d""),3,false)"),"B")</f>
        <v>B</v>
      </c>
      <c r="G143" s="53" t="str">
        <f>IFERROR(__xludf.DUMMYFUNCTION("vlookup($D143,IMPORTRANGE(""https://docs.google.com/spreadsheets/d/1swGwZOEqYlTEUCJLY-eeJM1911Kvaei5oySBIxdgtNo/edit?pli=1#gid=257618397"",""stock FAKTUR!B:e""),4,false)"),"")</f>
        <v/>
      </c>
      <c r="H143" s="53" t="str">
        <f>IFERROR(__xludf.DUMMYFUNCTION("vlookup($D143,IMPORTRANGE(""https://docs.google.com/spreadsheets/d/1swGwZOEqYlTEUCJLY-eeJM1911Kvaei5oySBIxdgtNo/edit?pli=1#gid=257618397"",""stock FAKTUR!B:F""),5,false)"),"KN")</f>
        <v>KN</v>
      </c>
      <c r="I143" s="53" t="str">
        <f>IFERROR(__xludf.DUMMYFUNCTION("vlookup($D143,IMPORTRANGE(""https://docs.google.com/spreadsheets/d/1swGwZOEqYlTEUCJLY-eeJM1911Kvaei5oySBIxdgtNo/edit?pli=1#gid=257618397"",""stock FAKTUR!B:G""),6,false)"),"GST-003GA")</f>
        <v>GST-003GA</v>
      </c>
      <c r="J143" s="120" t="str">
        <f t="shared" si="25"/>
        <v>ADA</v>
      </c>
      <c r="K143" s="142">
        <v>10.0</v>
      </c>
      <c r="L143" s="145" t="str">
        <f>IFERROR(__xludf.DUMMYFUNCTION("vlookup($D143,IMPORTRANGE(""https://docs.google.com/spreadsheets/d/1swGwZOEqYlTEUCJLY-eeJM1911Kvaei5oySBIxdgtNo/edit?pli=1#gid=257618397"",""stock FAKTUR!B:q""),16,false)"),"BOX")</f>
        <v>BOX</v>
      </c>
      <c r="M143" s="147">
        <v>60000.0</v>
      </c>
      <c r="N143" s="152">
        <v>0.125</v>
      </c>
      <c r="O143" s="147">
        <f t="shared" si="2"/>
        <v>525000</v>
      </c>
      <c r="P143" s="147" t="str">
        <f t="shared" si="3"/>
        <v>Rp60,000-10 BOX-12.50%</v>
      </c>
      <c r="Q143" s="149">
        <v>45411.0</v>
      </c>
      <c r="R143" s="150"/>
      <c r="S143" s="149">
        <v>45415.0</v>
      </c>
      <c r="T143" s="151"/>
      <c r="U143" s="151"/>
      <c r="V143" s="151"/>
      <c r="W143" s="151"/>
    </row>
    <row r="144">
      <c r="A144" s="142">
        <v>4148.0</v>
      </c>
      <c r="B144" s="143" t="s">
        <v>33</v>
      </c>
      <c r="C144" s="143" t="s">
        <v>1447</v>
      </c>
      <c r="D144" s="145" t="s">
        <v>4485</v>
      </c>
      <c r="E144" s="145" t="str">
        <f>IFERROR(__xludf.DUMMYFUNCTION("vlookup(D144,IMPORTRANGE(""https://docs.google.com/spreadsheets/d/1swGwZOEqYlTEUCJLY-eeJM1911Kvaei5oySBIxdgtNo/edit?pli=1#gid=257618397"",""stock FAKTUR!B:C""),2,false)"),"STABILLO VANCO HL-520")</f>
        <v>STABILLO VANCO HL-520</v>
      </c>
      <c r="F144" s="53" t="str">
        <f>IFERROR(__xludf.DUMMYFUNCTION("vlookup($D144,IMPORTRANGE(""https://docs.google.com/spreadsheets/d/1swGwZOEqYlTEUCJLY-eeJM1911Kvaei5oySBIxdgtNo/edit?pli=1#gid=257618397"",""stock FAKTUR!B:d""),3,false)"),"")</f>
        <v/>
      </c>
      <c r="G144" s="53" t="str">
        <f>IFERROR(__xludf.DUMMYFUNCTION("vlookup($D144,IMPORTRANGE(""https://docs.google.com/spreadsheets/d/1swGwZOEqYlTEUCJLY-eeJM1911Kvaei5oySBIxdgtNo/edit?pli=1#gid=257618397"",""stock FAKTUR!B:e""),4,false)"),"")</f>
        <v/>
      </c>
      <c r="H144" s="53" t="str">
        <f>IFERROR(__xludf.DUMMYFUNCTION("vlookup($D144,IMPORTRANGE(""https://docs.google.com/spreadsheets/d/1swGwZOEqYlTEUCJLY-eeJM1911Kvaei5oySBIxdgtNo/edit?pli=1#gid=257618397"",""stock FAKTUR!B:F""),5,false)"),"VN")</f>
        <v>VN</v>
      </c>
      <c r="I144" s="53" t="str">
        <f>IFERROR(__xludf.DUMMYFUNCTION("vlookup($D144,IMPORTRANGE(""https://docs.google.com/spreadsheets/d/1swGwZOEqYlTEUCJLY-eeJM1911Kvaei5oySBIxdgtNo/edit?pli=1#gid=257618397"",""stock FAKTUR!B:G""),6,false)"),"HL-520")</f>
        <v>HL-520</v>
      </c>
      <c r="J144" s="120" t="str">
        <f t="shared" si="25"/>
        <v>ADA</v>
      </c>
      <c r="K144" s="142">
        <v>18.0</v>
      </c>
      <c r="L144" s="145" t="str">
        <f>IFERROR(__xludf.DUMMYFUNCTION("vlookup($D144,IMPORTRANGE(""https://docs.google.com/spreadsheets/d/1swGwZOEqYlTEUCJLY-eeJM1911Kvaei5oySBIxdgtNo/edit?pli=1#gid=257618397"",""stock FAKTUR!B:q""),16,false)"),"LSN")</f>
        <v>LSN</v>
      </c>
      <c r="M144" s="147">
        <v>20000.0</v>
      </c>
      <c r="N144" s="148"/>
      <c r="O144" s="147">
        <f t="shared" si="2"/>
        <v>360000</v>
      </c>
      <c r="P144" s="147" t="str">
        <f t="shared" si="3"/>
        <v>Rp20,000-18 LSN-0.00%</v>
      </c>
      <c r="Q144" s="149">
        <v>45411.0</v>
      </c>
      <c r="R144" s="150"/>
      <c r="S144" s="149">
        <v>45415.0</v>
      </c>
      <c r="T144" s="151"/>
      <c r="U144" s="151"/>
      <c r="V144" s="151"/>
      <c r="W144" s="151"/>
    </row>
    <row r="145">
      <c r="A145" s="142">
        <v>4148.0</v>
      </c>
      <c r="B145" s="143" t="str">
        <f>IF(A145=A144,B144,"")</f>
        <v>H</v>
      </c>
      <c r="C145" s="143" t="str">
        <f>IF(A145=A144,C144,"")</f>
        <v>SAHABAT BARU-PARAKAN</v>
      </c>
      <c r="D145" s="151" t="s">
        <v>4461</v>
      </c>
      <c r="E145" s="145" t="str">
        <f>IFERROR(__xludf.DUMMYFUNCTION("vlookup(D145,IMPORTRANGE(""https://docs.google.com/spreadsheets/d/1swGwZOEqYlTEUCJLY-eeJM1911Kvaei5oySBIxdgtNo/edit?pli=1#gid=257618397"",""stock FAKTUR!B:C""),2,false)"),"GUNTING GUNINDO OLL GR16")</f>
        <v>GUNTING GUNINDO OLL GR16</v>
      </c>
      <c r="F145" s="53" t="str">
        <f>IFERROR(__xludf.DUMMYFUNCTION("vlookup($D145,IMPORTRANGE(""https://docs.google.com/spreadsheets/d/1swGwZOEqYlTEUCJLY-eeJM1911Kvaei5oySBIxdgtNo/edit?pli=1#gid=257618397"",""stock FAKTUR!B:d""),3,false)"),"")</f>
        <v/>
      </c>
      <c r="G145" s="53" t="str">
        <f>IFERROR(__xludf.DUMMYFUNCTION("vlookup($D145,IMPORTRANGE(""https://docs.google.com/spreadsheets/d/1swGwZOEqYlTEUCJLY-eeJM1911Kvaei5oySBIxdgtNo/edit?pli=1#gid=257618397"",""stock FAKTUR!B:e""),4,false)"),"")</f>
        <v/>
      </c>
      <c r="H145" s="53" t="str">
        <f>IFERROR(__xludf.DUMMYFUNCTION("vlookup($D145,IMPORTRANGE(""https://docs.google.com/spreadsheets/d/1swGwZOEqYlTEUCJLY-eeJM1911Kvaei5oySBIxdgtNo/edit?pli=1#gid=257618397"",""stock FAKTUR!B:F""),5,false)"),"GN")</f>
        <v>GN</v>
      </c>
      <c r="I145" s="53" t="str">
        <f>IFERROR(__xludf.DUMMYFUNCTION("vlookup($D145,IMPORTRANGE(""https://docs.google.com/spreadsheets/d/1swGwZOEqYlTEUCJLY-eeJM1911Kvaei5oySBIxdgtNo/edit?pli=1#gid=257618397"",""stock FAKTUR!B:G""),6,false)"),"GR16")</f>
        <v>GR16</v>
      </c>
      <c r="J145" s="120" t="str">
        <f t="shared" si="25"/>
        <v>ADA</v>
      </c>
      <c r="K145" s="142">
        <v>20.0</v>
      </c>
      <c r="L145" s="145" t="str">
        <f>IFERROR(__xludf.DUMMYFUNCTION("vlookup($D145,IMPORTRANGE(""https://docs.google.com/spreadsheets/d/1swGwZOEqYlTEUCJLY-eeJM1911Kvaei5oySBIxdgtNo/edit?pli=1#gid=257618397"",""stock FAKTUR!B:q""),16,false)"),"LSN")</f>
        <v>LSN</v>
      </c>
      <c r="M145" s="147">
        <v>70000.0</v>
      </c>
      <c r="N145" s="152">
        <v>0.125</v>
      </c>
      <c r="O145" s="147">
        <f t="shared" si="2"/>
        <v>1225000</v>
      </c>
      <c r="P145" s="147" t="str">
        <f t="shared" si="3"/>
        <v>Rp70,000-20 LSN-12.50%</v>
      </c>
      <c r="Q145" s="149">
        <v>45411.0</v>
      </c>
      <c r="R145" s="150"/>
      <c r="S145" s="149">
        <v>45415.0</v>
      </c>
      <c r="T145" s="151"/>
      <c r="U145" s="151"/>
      <c r="V145" s="151"/>
      <c r="W145" s="151"/>
    </row>
    <row r="146">
      <c r="A146" s="142">
        <v>4676.0</v>
      </c>
      <c r="B146" s="143" t="s">
        <v>58</v>
      </c>
      <c r="C146" s="143" t="s">
        <v>1302</v>
      </c>
      <c r="D146" s="145" t="s">
        <v>4412</v>
      </c>
      <c r="E146" s="145" t="str">
        <f>IFERROR(__xludf.DUMMYFUNCTION("vlookup(D146,IMPORTRANGE(""https://docs.google.com/spreadsheets/d/1swGwZOEqYlTEUCJLY-eeJM1911Kvaei5oySBIxdgtNo/edit?pli=1#gid=257618397"",""stock FAKTUR!B:C""),2,false)"),"PC MAGNIT C-2755-1 (22X7.5)")</f>
        <v>PC MAGNIT C-2755-1 (22X7.5)</v>
      </c>
      <c r="F146" s="53" t="str">
        <f>IFERROR(__xludf.DUMMYFUNCTION("vlookup($D146,IMPORTRANGE(""https://docs.google.com/spreadsheets/d/1swGwZOEqYlTEUCJLY-eeJM1911Kvaei5oySBIxdgtNo/edit?pli=1#gid=257618397"",""stock FAKTUR!B:d""),3,false)"),"")</f>
        <v/>
      </c>
      <c r="G146" s="53" t="str">
        <f>IFERROR(__xludf.DUMMYFUNCTION("vlookup($D146,IMPORTRANGE(""https://docs.google.com/spreadsheets/d/1swGwZOEqYlTEUCJLY-eeJM1911Kvaei5oySBIxdgtNo/edit?pli=1#gid=257618397"",""stock FAKTUR!B:e""),4,false)"),"")</f>
        <v/>
      </c>
      <c r="H146" s="53" t="str">
        <f>IFERROR(__xludf.DUMMYFUNCTION("vlookup($D146,IMPORTRANGE(""https://docs.google.com/spreadsheets/d/1swGwZOEqYlTEUCJLY-eeJM1911Kvaei5oySBIxdgtNo/edit?pli=1#gid=257618397"",""stock FAKTUR!B:F""),5,false)"),"NB")</f>
        <v>NB</v>
      </c>
      <c r="I146" s="53" t="str">
        <f>IFERROR(__xludf.DUMMYFUNCTION("vlookup($D146,IMPORTRANGE(""https://docs.google.com/spreadsheets/d/1swGwZOEqYlTEUCJLY-eeJM1911Kvaei5oySBIxdgtNo/edit?pli=1#gid=257618397"",""stock FAKTUR!B:G""),6,false)"),"")</f>
        <v/>
      </c>
      <c r="J146" s="120" t="str">
        <f t="shared" si="25"/>
        <v>ADA</v>
      </c>
      <c r="K146" s="142">
        <f>12*16</f>
        <v>192</v>
      </c>
      <c r="L146" s="145" t="str">
        <f>IFERROR(__xludf.DUMMYFUNCTION("vlookup($D146,IMPORTRANGE(""https://docs.google.com/spreadsheets/d/1swGwZOEqYlTEUCJLY-eeJM1911Kvaei5oySBIxdgtNo/edit?pli=1#gid=257618397"",""stock FAKTUR!B:q""),16,false)"),"PCS")</f>
        <v>PCS</v>
      </c>
      <c r="M146" s="147">
        <f>125000/12</f>
        <v>10416.66667</v>
      </c>
      <c r="N146" s="148"/>
      <c r="O146" s="147">
        <f t="shared" si="2"/>
        <v>2000000</v>
      </c>
      <c r="P146" s="147" t="str">
        <f t="shared" si="3"/>
        <v>Rp10,417-192 PCS-0.00%</v>
      </c>
      <c r="Q146" s="149">
        <v>45411.0</v>
      </c>
      <c r="R146" s="150"/>
      <c r="S146" s="149">
        <v>45415.0</v>
      </c>
      <c r="T146" s="151"/>
      <c r="U146" s="151"/>
      <c r="V146" s="151"/>
      <c r="W146" s="151"/>
    </row>
    <row r="147">
      <c r="A147" s="142">
        <v>4670.0</v>
      </c>
      <c r="B147" s="143" t="s">
        <v>65</v>
      </c>
      <c r="C147" s="143" t="s">
        <v>4486</v>
      </c>
      <c r="D147" s="145" t="s">
        <v>4431</v>
      </c>
      <c r="E147" s="145" t="str">
        <f>IFERROR(__xludf.DUMMYFUNCTION("vlookup(D147,IMPORTRANGE(""https://docs.google.com/spreadsheets/d/1swGwZOEqYlTEUCJLY-eeJM1911Kvaei5oySBIxdgtNo/edit?pli=1#gid=257618397"",""stock FAKTUR!B:C""),2,false)"),"MESIN LABEL HARGA KENKO MX-5500")</f>
        <v>MESIN LABEL HARGA KENKO MX-5500</v>
      </c>
      <c r="F147" s="53" t="str">
        <f>IFERROR(__xludf.DUMMYFUNCTION("vlookup($D147,IMPORTRANGE(""https://docs.google.com/spreadsheets/d/1swGwZOEqYlTEUCJLY-eeJM1911Kvaei5oySBIxdgtNo/edit?pli=1#gid=257618397"",""stock FAKTUR!B:d""),3,false)"),"")</f>
        <v/>
      </c>
      <c r="G147" s="53" t="str">
        <f>IFERROR(__xludf.DUMMYFUNCTION("vlookup($D147,IMPORTRANGE(""https://docs.google.com/spreadsheets/d/1swGwZOEqYlTEUCJLY-eeJM1911Kvaei5oySBIxdgtNo/edit?pli=1#gid=257618397"",""stock FAKTUR!B:e""),4,false)"),"")</f>
        <v/>
      </c>
      <c r="H147" s="53" t="str">
        <f>IFERROR(__xludf.DUMMYFUNCTION("vlookup($D147,IMPORTRANGE(""https://docs.google.com/spreadsheets/d/1swGwZOEqYlTEUCJLY-eeJM1911Kvaei5oySBIxdgtNo/edit?pli=1#gid=257618397"",""stock FAKTUR!B:F""),5,false)"),"KN")</f>
        <v>KN</v>
      </c>
      <c r="I147" s="53" t="str">
        <f>IFERROR(__xludf.DUMMYFUNCTION("vlookup($D147,IMPORTRANGE(""https://docs.google.com/spreadsheets/d/1swGwZOEqYlTEUCJLY-eeJM1911Kvaei5oySBIxdgtNo/edit?pli=1#gid=257618397"",""stock FAKTUR!B:G""),6,false)"),"PLR-001")</f>
        <v>PLR-001</v>
      </c>
      <c r="J147" s="120" t="str">
        <f t="shared" si="25"/>
        <v>ADA</v>
      </c>
      <c r="K147" s="142">
        <v>6.0</v>
      </c>
      <c r="L147" s="145" t="str">
        <f>IFERROR(__xludf.DUMMYFUNCTION("vlookup($D147,IMPORTRANGE(""https://docs.google.com/spreadsheets/d/1swGwZOEqYlTEUCJLY-eeJM1911Kvaei5oySBIxdgtNo/edit?pli=1#gid=257618397"",""stock FAKTUR!B:q""),16,false)"),"PCS")</f>
        <v>PCS</v>
      </c>
      <c r="M147" s="147">
        <v>45000.0</v>
      </c>
      <c r="N147" s="152">
        <v>0.1</v>
      </c>
      <c r="O147" s="147">
        <f t="shared" si="2"/>
        <v>243000</v>
      </c>
      <c r="P147" s="147" t="str">
        <f t="shared" si="3"/>
        <v>Rp45,000-6 PCS-10.00%</v>
      </c>
      <c r="Q147" s="149">
        <v>45411.0</v>
      </c>
      <c r="R147" s="150"/>
      <c r="S147" s="149">
        <v>45415.0</v>
      </c>
      <c r="T147" s="151"/>
      <c r="U147" s="151"/>
      <c r="V147" s="151"/>
      <c r="W147" s="151"/>
    </row>
    <row r="148">
      <c r="A148" s="142">
        <v>4670.0</v>
      </c>
      <c r="B148" s="143" t="str">
        <f t="shared" ref="B148:B150" si="42">IF(A148=A147,B147,"")</f>
        <v>A</v>
      </c>
      <c r="C148" s="143" t="str">
        <f t="shared" ref="C148:C150" si="43">IF(A148=A147,C147,"")</f>
        <v>HOKY-GOMBONG</v>
      </c>
      <c r="D148" s="145" t="s">
        <v>4487</v>
      </c>
      <c r="E148" s="145" t="str">
        <f>IFERROR(__xludf.DUMMYFUNCTION("vlookup(D148,IMPORTRANGE(""https://docs.google.com/spreadsheets/d/1swGwZOEqYlTEUCJLY-eeJM1911Kvaei5oySBIxdgtNo/edit?pli=1#gid=257618397"",""stock FAKTUR!B:C""),2,false)"),"MESIN LABEL HARGA KENKO MX-6600 A")</f>
        <v>MESIN LABEL HARGA KENKO MX-6600 A</v>
      </c>
      <c r="F148" s="53" t="str">
        <f>IFERROR(__xludf.DUMMYFUNCTION("vlookup($D148,IMPORTRANGE(""https://docs.google.com/spreadsheets/d/1swGwZOEqYlTEUCJLY-eeJM1911Kvaei5oySBIxdgtNo/edit?pli=1#gid=257618397"",""stock FAKTUR!B:d""),3,false)"),"")</f>
        <v/>
      </c>
      <c r="G148" s="53" t="str">
        <f>IFERROR(__xludf.DUMMYFUNCTION("vlookup($D148,IMPORTRANGE(""https://docs.google.com/spreadsheets/d/1swGwZOEqYlTEUCJLY-eeJM1911Kvaei5oySBIxdgtNo/edit?pli=1#gid=257618397"",""stock FAKTUR!B:e""),4,false)"),"")</f>
        <v/>
      </c>
      <c r="H148" s="53" t="str">
        <f>IFERROR(__xludf.DUMMYFUNCTION("vlookup($D148,IMPORTRANGE(""https://docs.google.com/spreadsheets/d/1swGwZOEqYlTEUCJLY-eeJM1911Kvaei5oySBIxdgtNo/edit?pli=1#gid=257618397"",""stock FAKTUR!B:F""),5,false)"),"KN")</f>
        <v>KN</v>
      </c>
      <c r="I148" s="53" t="str">
        <f>IFERROR(__xludf.DUMMYFUNCTION("vlookup($D148,IMPORTRANGE(""https://docs.google.com/spreadsheets/d/1swGwZOEqYlTEUCJLY-eeJM1911Kvaei5oySBIxdgtNo/edit?pli=1#gid=257618397"",""stock FAKTUR!B:G""),6,false)"),"PLR-003A")</f>
        <v>PLR-003A</v>
      </c>
      <c r="J148" s="120" t="str">
        <f t="shared" si="25"/>
        <v>ADA</v>
      </c>
      <c r="K148" s="142">
        <v>6.0</v>
      </c>
      <c r="L148" s="145" t="str">
        <f>IFERROR(__xludf.DUMMYFUNCTION("vlookup($D148,IMPORTRANGE(""https://docs.google.com/spreadsheets/d/1swGwZOEqYlTEUCJLY-eeJM1911Kvaei5oySBIxdgtNo/edit?pli=1#gid=257618397"",""stock FAKTUR!B:q""),16,false)"),"PCS")</f>
        <v>PCS</v>
      </c>
      <c r="M148" s="147">
        <v>95000.0</v>
      </c>
      <c r="N148" s="152">
        <v>0.1</v>
      </c>
      <c r="O148" s="147">
        <f t="shared" si="2"/>
        <v>513000</v>
      </c>
      <c r="P148" s="147" t="str">
        <f t="shared" si="3"/>
        <v>Rp95,000-6 PCS-10.00%</v>
      </c>
      <c r="Q148" s="149">
        <v>45411.0</v>
      </c>
      <c r="R148" s="150"/>
      <c r="S148" s="149">
        <v>45415.0</v>
      </c>
      <c r="T148" s="151"/>
      <c r="U148" s="151"/>
      <c r="V148" s="151"/>
      <c r="W148" s="151"/>
    </row>
    <row r="149">
      <c r="A149" s="153">
        <v>4670.0</v>
      </c>
      <c r="B149" s="144" t="str">
        <f t="shared" si="42"/>
        <v>A</v>
      </c>
      <c r="C149" s="144" t="str">
        <f t="shared" si="43"/>
        <v>HOKY-GOMBONG</v>
      </c>
      <c r="D149" s="145" t="s">
        <v>4488</v>
      </c>
      <c r="E149" s="145" t="str">
        <f>IFERROR(__xludf.DUMMYFUNCTION("vlookup(D149,IMPORTRANGE(""https://docs.google.com/spreadsheets/d/1swGwZOEqYlTEUCJLY-eeJM1911Kvaei5oySBIxdgtNo/edit?pli=1#gid=257618397"",""stock FAKTUR!B:C""),2,false)"),"LABEL HARGA KENKO 6001-2R (1 LINE)")</f>
        <v>LABEL HARGA KENKO 6001-2R (1 LINE)</v>
      </c>
      <c r="F149" s="53" t="str">
        <f>IFERROR(__xludf.DUMMYFUNCTION("vlookup($D149,IMPORTRANGE(""https://docs.google.com/spreadsheets/d/1swGwZOEqYlTEUCJLY-eeJM1911Kvaei5oySBIxdgtNo/edit?pli=1#gid=257618397"",""stock FAKTUR!B:d""),3,false)"),"")</f>
        <v/>
      </c>
      <c r="G149" s="53" t="str">
        <f>IFERROR(__xludf.DUMMYFUNCTION("vlookup($D149,IMPORTRANGE(""https://docs.google.com/spreadsheets/d/1swGwZOEqYlTEUCJLY-eeJM1911Kvaei5oySBIxdgtNo/edit?pli=1#gid=257618397"",""stock FAKTUR!B:e""),4,false)"),"")</f>
        <v/>
      </c>
      <c r="H149" s="53" t="str">
        <f>IFERROR(__xludf.DUMMYFUNCTION("vlookup($D149,IMPORTRANGE(""https://docs.google.com/spreadsheets/d/1swGwZOEqYlTEUCJLY-eeJM1911Kvaei5oySBIxdgtNo/edit?pli=1#gid=257618397"",""stock FAKTUR!B:F""),5,false)"),"KN")</f>
        <v>KN</v>
      </c>
      <c r="I149" s="53" t="str">
        <f>IFERROR(__xludf.DUMMYFUNCTION("vlookup($D149,IMPORTRANGE(""https://docs.google.com/spreadsheets/d/1swGwZOEqYlTEUCJLY-eeJM1911Kvaei5oySBIxdgtNo/edit?pli=1#gid=257618397"",""stock FAKTUR!B:G""),6,false)"),"PLB-001")</f>
        <v>PLB-001</v>
      </c>
      <c r="J149" s="120" t="str">
        <f t="shared" si="25"/>
        <v>ADA</v>
      </c>
      <c r="K149" s="153">
        <v>20.0</v>
      </c>
      <c r="L149" s="145" t="str">
        <f>IFERROR(__xludf.DUMMYFUNCTION("vlookup($D149,IMPORTRANGE(""https://docs.google.com/spreadsheets/d/1swGwZOEqYlTEUCJLY-eeJM1911Kvaei5oySBIxdgtNo/edit?pli=1#gid=257618397"",""stock FAKTUR!B:q""),16,false)"),"PAK")</f>
        <v>PAK</v>
      </c>
      <c r="M149" s="155">
        <v>21000.0</v>
      </c>
      <c r="N149" s="156">
        <v>0.1</v>
      </c>
      <c r="O149" s="155">
        <f t="shared" si="2"/>
        <v>378000</v>
      </c>
      <c r="P149" s="155" t="str">
        <f t="shared" si="3"/>
        <v>Rp21,000-20 PAK-10.00%</v>
      </c>
      <c r="Q149" s="157">
        <v>45411.0</v>
      </c>
      <c r="R149" s="158"/>
      <c r="S149" s="157">
        <v>45415.0</v>
      </c>
      <c r="T149" s="145" t="s">
        <v>4489</v>
      </c>
      <c r="U149" s="145" t="s">
        <v>4390</v>
      </c>
      <c r="V149" s="145"/>
      <c r="W149" s="159"/>
    </row>
    <row r="150">
      <c r="A150" s="153">
        <v>4670.0</v>
      </c>
      <c r="B150" s="144" t="str">
        <f t="shared" si="42"/>
        <v>A</v>
      </c>
      <c r="C150" s="144" t="str">
        <f t="shared" si="43"/>
        <v>HOKY-GOMBONG</v>
      </c>
      <c r="D150" s="145" t="s">
        <v>4490</v>
      </c>
      <c r="E150" s="145" t="str">
        <f>IFERROR(__xludf.DUMMYFUNCTION("vlookup(D150,IMPORTRANGE(""https://docs.google.com/spreadsheets/d/1swGwZOEqYlTEUCJLY-eeJM1911Kvaei5oySBIxdgtNo/edit?pli=1#gid=257618397"",""stock FAKTUR!B:C""),2,false)"),"LABEL KENKO 5002 (2 LINE)")</f>
        <v>LABEL KENKO 5002 (2 LINE)</v>
      </c>
      <c r="F150" s="53" t="str">
        <f>IFERROR(__xludf.DUMMYFUNCTION("vlookup($D150,IMPORTRANGE(""https://docs.google.com/spreadsheets/d/1swGwZOEqYlTEUCJLY-eeJM1911Kvaei5oySBIxdgtNo/edit?pli=1#gid=257618397"",""stock FAKTUR!B:d""),3,false)"),"")</f>
        <v/>
      </c>
      <c r="G150" s="53" t="str">
        <f>IFERROR(__xludf.DUMMYFUNCTION("vlookup($D150,IMPORTRANGE(""https://docs.google.com/spreadsheets/d/1swGwZOEqYlTEUCJLY-eeJM1911Kvaei5oySBIxdgtNo/edit?pli=1#gid=257618397"",""stock FAKTUR!B:e""),4,false)"),"")</f>
        <v/>
      </c>
      <c r="H150" s="53" t="str">
        <f>IFERROR(__xludf.DUMMYFUNCTION("vlookup($D150,IMPORTRANGE(""https://docs.google.com/spreadsheets/d/1swGwZOEqYlTEUCJLY-eeJM1911Kvaei5oySBIxdgtNo/edit?pli=1#gid=257618397"",""stock FAKTUR!B:F""),5,false)"),"KN")</f>
        <v>KN</v>
      </c>
      <c r="I150" s="53" t="str">
        <f>IFERROR(__xludf.DUMMYFUNCTION("vlookup($D150,IMPORTRANGE(""https://docs.google.com/spreadsheets/d/1swGwZOEqYlTEUCJLY-eeJM1911Kvaei5oySBIxdgtNo/edit?pli=1#gid=257618397"",""stock FAKTUR!B:G""),6,false)"),"5002")</f>
        <v>5002</v>
      </c>
      <c r="J150" s="120" t="str">
        <f t="shared" si="25"/>
        <v>ADA</v>
      </c>
      <c r="K150" s="153">
        <v>20.0</v>
      </c>
      <c r="L150" s="145" t="str">
        <f>IFERROR(__xludf.DUMMYFUNCTION("vlookup($D150,IMPORTRANGE(""https://docs.google.com/spreadsheets/d/1swGwZOEqYlTEUCJLY-eeJM1911Kvaei5oySBIxdgtNo/edit?pli=1#gid=257618397"",""stock FAKTUR!B:q""),16,false)"),"PAK")</f>
        <v>PAK</v>
      </c>
      <c r="M150" s="155">
        <v>27000.0</v>
      </c>
      <c r="N150" s="156">
        <v>0.1</v>
      </c>
      <c r="O150" s="155">
        <f t="shared" si="2"/>
        <v>486000</v>
      </c>
      <c r="P150" s="155" t="str">
        <f t="shared" si="3"/>
        <v>Rp27,000-20 PAK-10.00%</v>
      </c>
      <c r="Q150" s="157">
        <v>45411.0</v>
      </c>
      <c r="R150" s="158"/>
      <c r="S150" s="157">
        <v>45415.0</v>
      </c>
      <c r="T150" s="145" t="s">
        <v>4489</v>
      </c>
      <c r="U150" s="145" t="s">
        <v>4390</v>
      </c>
      <c r="V150" s="145"/>
      <c r="W150" s="159"/>
    </row>
    <row r="151">
      <c r="A151" s="170" t="s">
        <v>4491</v>
      </c>
      <c r="B151" s="143" t="s">
        <v>58</v>
      </c>
      <c r="C151" s="143" t="s">
        <v>2444</v>
      </c>
      <c r="D151" s="145" t="s">
        <v>4415</v>
      </c>
      <c r="E151" s="145" t="str">
        <f>IFERROR(__xludf.DUMMYFUNCTION("vlookup(D151,IMPORTRANGE(""https://docs.google.com/spreadsheets/d/1swGwZOEqYlTEUCJLY-eeJM1911Kvaei5oySBIxdgtNo/edit?pli=1#gid=257618397"",""stock FAKTUR!B:C""),2,false)"),"BP KENKO K-1 HITAM")</f>
        <v>BP KENKO K-1 HITAM</v>
      </c>
      <c r="F151" s="53" t="str">
        <f>IFERROR(__xludf.DUMMYFUNCTION("vlookup($D151,IMPORTRANGE(""https://docs.google.com/spreadsheets/d/1swGwZOEqYlTEUCJLY-eeJM1911Kvaei5oySBIxdgtNo/edit?pli=1#gid=257618397"",""stock FAKTUR!B:d""),3,false)"),"")</f>
        <v/>
      </c>
      <c r="G151" s="53" t="str">
        <f>IFERROR(__xludf.DUMMYFUNCTION("vlookup($D151,IMPORTRANGE(""https://docs.google.com/spreadsheets/d/1swGwZOEqYlTEUCJLY-eeJM1911Kvaei5oySBIxdgtNo/edit?pli=1#gid=257618397"",""stock FAKTUR!B:e""),4,false)"),"HITAM")</f>
        <v>HITAM</v>
      </c>
      <c r="H151" s="53" t="str">
        <f>IFERROR(__xludf.DUMMYFUNCTION("vlookup($D151,IMPORTRANGE(""https://docs.google.com/spreadsheets/d/1swGwZOEqYlTEUCJLY-eeJM1911Kvaei5oySBIxdgtNo/edit?pli=1#gid=257618397"",""stock FAKTUR!B:F""),5,false)"),"KN")</f>
        <v>KN</v>
      </c>
      <c r="I151" s="53" t="str">
        <f>IFERROR(__xludf.DUMMYFUNCTION("vlookup($D151,IMPORTRANGE(""https://docs.google.com/spreadsheets/d/1swGwZOEqYlTEUCJLY-eeJM1911Kvaei5oySBIxdgtNo/edit?pli=1#gid=257618397"",""stock FAKTUR!B:G""),6,false)"),"GPR-003B")</f>
        <v>GPR-003B</v>
      </c>
      <c r="J151" s="120" t="str">
        <f t="shared" si="25"/>
        <v>ADA</v>
      </c>
      <c r="K151" s="142">
        <v>12.0</v>
      </c>
      <c r="L151" s="145" t="str">
        <f>IFERROR(__xludf.DUMMYFUNCTION("vlookup($D151,IMPORTRANGE(""https://docs.google.com/spreadsheets/d/1swGwZOEqYlTEUCJLY-eeJM1911Kvaei5oySBIxdgtNo/edit?pli=1#gid=257618397"",""stock FAKTUR!B:q""),16,false)"),"LSN")</f>
        <v>LSN</v>
      </c>
      <c r="M151" s="147">
        <v>39600.0</v>
      </c>
      <c r="N151" s="152">
        <v>0.1</v>
      </c>
      <c r="O151" s="147">
        <f t="shared" si="2"/>
        <v>427680</v>
      </c>
      <c r="P151" s="147" t="str">
        <f t="shared" si="3"/>
        <v>Rp39,600-12 LSN-10.00%</v>
      </c>
      <c r="Q151" s="149">
        <v>45412.0</v>
      </c>
      <c r="R151" s="150"/>
      <c r="S151" s="149">
        <v>45415.0</v>
      </c>
      <c r="T151" s="151"/>
      <c r="U151" s="151"/>
      <c r="V151" s="151"/>
      <c r="W151" s="151"/>
    </row>
    <row r="152">
      <c r="A152" s="170" t="s">
        <v>4492</v>
      </c>
      <c r="B152" s="143" t="s">
        <v>58</v>
      </c>
      <c r="C152" s="143" t="s">
        <v>2444</v>
      </c>
      <c r="D152" s="145" t="s">
        <v>4493</v>
      </c>
      <c r="E152" s="145" t="str">
        <f>IFERROR(__xludf.DUMMYFUNCTION("vlookup(D152,IMPORTRANGE(""https://docs.google.com/spreadsheets/d/1swGwZOEqYlTEUCJLY-eeJM1911Kvaei5oySBIxdgtNo/edit?pli=1#gid=257618397"",""stock FAKTUR!B:C""),2,false)"),"ISI GEL WEIYADA 681")</f>
        <v>ISI GEL WEIYADA 681</v>
      </c>
      <c r="F152" s="53" t="str">
        <f>IFERROR(__xludf.DUMMYFUNCTION("vlookup($D152,IMPORTRANGE(""https://docs.google.com/spreadsheets/d/1swGwZOEqYlTEUCJLY-eeJM1911Kvaei5oySBIxdgtNo/edit?pli=1#gid=257618397"",""stock FAKTUR!B:d""),3,false)"),"")</f>
        <v/>
      </c>
      <c r="G152" s="53" t="str">
        <f>IFERROR(__xludf.DUMMYFUNCTION("vlookup($D152,IMPORTRANGE(""https://docs.google.com/spreadsheets/d/1swGwZOEqYlTEUCJLY-eeJM1911Kvaei5oySBIxdgtNo/edit?pli=1#gid=257618397"",""stock FAKTUR!B:e""),4,false)"),"")</f>
        <v/>
      </c>
      <c r="H152" s="53" t="str">
        <f>IFERROR(__xludf.DUMMYFUNCTION("vlookup($D152,IMPORTRANGE(""https://docs.google.com/spreadsheets/d/1swGwZOEqYlTEUCJLY-eeJM1911Kvaei5oySBIxdgtNo/edit?pli=1#gid=257618397"",""stock FAKTUR!B:F""),5,false)"),"WY")</f>
        <v>WY</v>
      </c>
      <c r="I152" s="53" t="str">
        <f>IFERROR(__xludf.DUMMYFUNCTION("vlookup($D152,IMPORTRANGE(""https://docs.google.com/spreadsheets/d/1swGwZOEqYlTEUCJLY-eeJM1911Kvaei5oySBIxdgtNo/edit?pli=1#gid=257618397"",""stock FAKTUR!B:G""),6,false)"),"E-681R")</f>
        <v>E-681R</v>
      </c>
      <c r="J152" s="120" t="str">
        <f t="shared" si="25"/>
        <v>ADA</v>
      </c>
      <c r="K152" s="142">
        <v>12.0</v>
      </c>
      <c r="L152" s="145" t="str">
        <f>IFERROR(__xludf.DUMMYFUNCTION("vlookup($D152,IMPORTRANGE(""https://docs.google.com/spreadsheets/d/1swGwZOEqYlTEUCJLY-eeJM1911Kvaei5oySBIxdgtNo/edit?pli=1#gid=257618397"",""stock FAKTUR!B:q""),16,false)"),"LSN")</f>
        <v>LSN</v>
      </c>
      <c r="M152" s="147">
        <v>22000.0</v>
      </c>
      <c r="N152" s="148"/>
      <c r="O152" s="147">
        <f t="shared" si="2"/>
        <v>264000</v>
      </c>
      <c r="P152" s="147" t="str">
        <f t="shared" si="3"/>
        <v>Rp22,000-12 LSN-0.00%</v>
      </c>
      <c r="Q152" s="149">
        <v>45412.0</v>
      </c>
      <c r="R152" s="150"/>
      <c r="S152" s="149">
        <v>45415.0</v>
      </c>
      <c r="T152" s="151"/>
      <c r="U152" s="151"/>
      <c r="V152" s="151"/>
      <c r="W152" s="151"/>
    </row>
    <row r="153">
      <c r="A153" s="170" t="s">
        <v>4492</v>
      </c>
      <c r="B153" s="143" t="str">
        <f t="shared" ref="B153:B156" si="44">IF(A153=A152,B152,"")</f>
        <v>G</v>
      </c>
      <c r="C153" s="143" t="str">
        <f t="shared" ref="C153:C156" si="45">IF(A153=A152,C152,"")</f>
        <v>MENARA-BLORA</v>
      </c>
      <c r="D153" s="145" t="s">
        <v>4494</v>
      </c>
      <c r="E153" s="145" t="str">
        <f>IFERROR(__xludf.DUMMYFUNCTION("vlookup(D153,IMPORTRANGE(""https://docs.google.com/spreadsheets/d/1swGwZOEqYlTEUCJLY-eeJM1911Kvaei5oySBIxdgtNo/edit?pli=1#gid=257618397"",""stock FAKTUR!B:C""),2,false)"),"MAP DOC BAG 2541 JARING B6")</f>
        <v>MAP DOC BAG 2541 JARING B6</v>
      </c>
      <c r="F153" s="53" t="str">
        <f>IFERROR(__xludf.DUMMYFUNCTION("vlookup($D153,IMPORTRANGE(""https://docs.google.com/spreadsheets/d/1swGwZOEqYlTEUCJLY-eeJM1911Kvaei5oySBIxdgtNo/edit?pli=1#gid=257618397"",""stock FAKTUR!B:d""),3,false)"),"B6")</f>
        <v>B6</v>
      </c>
      <c r="G153" s="53" t="str">
        <f>IFERROR(__xludf.DUMMYFUNCTION("vlookup($D153,IMPORTRANGE(""https://docs.google.com/spreadsheets/d/1swGwZOEqYlTEUCJLY-eeJM1911Kvaei5oySBIxdgtNo/edit?pli=1#gid=257618397"",""stock FAKTUR!B:e""),4,false)"),"4W")</f>
        <v>4W</v>
      </c>
      <c r="H153" s="53" t="str">
        <f>IFERROR(__xludf.DUMMYFUNCTION("vlookup($D153,IMPORTRANGE(""https://docs.google.com/spreadsheets/d/1swGwZOEqYlTEUCJLY-eeJM1911Kvaei5oySBIxdgtNo/edit?pli=1#gid=257618397"",""stock FAKTUR!B:F""),5,false)"),"CR")</f>
        <v>CR</v>
      </c>
      <c r="I153" s="53" t="str">
        <f>IFERROR(__xludf.DUMMYFUNCTION("vlookup($D153,IMPORTRANGE(""https://docs.google.com/spreadsheets/d/1swGwZOEqYlTEUCJLY-eeJM1911Kvaei5oySBIxdgtNo/edit?pli=1#gid=257618397"",""stock FAKTUR!B:G""),6,false)"),"2541")</f>
        <v>2541</v>
      </c>
      <c r="J153" s="120" t="str">
        <f t="shared" si="25"/>
        <v>ADA</v>
      </c>
      <c r="K153" s="142">
        <v>3.0</v>
      </c>
      <c r="L153" s="145" t="str">
        <f>IFERROR(__xludf.DUMMYFUNCTION("vlookup($D153,IMPORTRANGE(""https://docs.google.com/spreadsheets/d/1swGwZOEqYlTEUCJLY-eeJM1911Kvaei5oySBIxdgtNo/edit?pli=1#gid=257618397"",""stock FAKTUR!B:q""),16,false)"),"LSN")</f>
        <v>LSN</v>
      </c>
      <c r="M153" s="147">
        <v>75000.0</v>
      </c>
      <c r="N153" s="148"/>
      <c r="O153" s="147">
        <f t="shared" si="2"/>
        <v>225000</v>
      </c>
      <c r="P153" s="147" t="str">
        <f t="shared" si="3"/>
        <v>Rp75,000-3 LSN-0.00%</v>
      </c>
      <c r="Q153" s="149">
        <v>45412.0</v>
      </c>
      <c r="R153" s="150"/>
      <c r="S153" s="149">
        <v>45415.0</v>
      </c>
      <c r="T153" s="151"/>
      <c r="U153" s="151"/>
      <c r="V153" s="151"/>
      <c r="W153" s="151"/>
    </row>
    <row r="154">
      <c r="A154" s="170" t="s">
        <v>4492</v>
      </c>
      <c r="B154" s="143" t="str">
        <f t="shared" si="44"/>
        <v>G</v>
      </c>
      <c r="C154" s="143" t="str">
        <f t="shared" si="45"/>
        <v>MENARA-BLORA</v>
      </c>
      <c r="D154" s="171" t="s">
        <v>4495</v>
      </c>
      <c r="E154" s="145" t="str">
        <f>IFERROR(__xludf.DUMMYFUNCTION("vlookup(D154,IMPORTRANGE(""https://docs.google.com/spreadsheets/d/1swGwZOEqYlTEUCJLY-eeJM1911Kvaei5oySBIxdgtNo/edit?pli=1#gid=257618397"",""stock FAKTUR!B:C""),2,false)"),"MAP DOC BAG+HANDLE 2544 JARING B6")</f>
        <v>MAP DOC BAG+HANDLE 2544 JARING B6</v>
      </c>
      <c r="F154" s="53" t="str">
        <f>IFERROR(__xludf.DUMMYFUNCTION("vlookup($D154,IMPORTRANGE(""https://docs.google.com/spreadsheets/d/1swGwZOEqYlTEUCJLY-eeJM1911Kvaei5oySBIxdgtNo/edit?pli=1#gid=257618397"",""stock FAKTUR!B:d""),3,false)"),"B6")</f>
        <v>B6</v>
      </c>
      <c r="G154" s="53" t="str">
        <f>IFERROR(__xludf.DUMMYFUNCTION("vlookup($D154,IMPORTRANGE(""https://docs.google.com/spreadsheets/d/1swGwZOEqYlTEUCJLY-eeJM1911Kvaei5oySBIxdgtNo/edit?pli=1#gid=257618397"",""stock FAKTUR!B:e""),4,false)"),"")</f>
        <v/>
      </c>
      <c r="H154" s="53" t="str">
        <f>IFERROR(__xludf.DUMMYFUNCTION("vlookup($D154,IMPORTRANGE(""https://docs.google.com/spreadsheets/d/1swGwZOEqYlTEUCJLY-eeJM1911Kvaei5oySBIxdgtNo/edit?pli=1#gid=257618397"",""stock FAKTUR!B:F""),5,false)"),"CR")</f>
        <v>CR</v>
      </c>
      <c r="I154" s="53" t="str">
        <f>IFERROR(__xludf.DUMMYFUNCTION("vlookup($D154,IMPORTRANGE(""https://docs.google.com/spreadsheets/d/1swGwZOEqYlTEUCJLY-eeJM1911Kvaei5oySBIxdgtNo/edit?pli=1#gid=257618397"",""stock FAKTUR!B:G""),6,false)"),"2544")</f>
        <v>2544</v>
      </c>
      <c r="J154" s="120" t="str">
        <f t="shared" si="25"/>
        <v>ADA</v>
      </c>
      <c r="K154" s="142">
        <v>3.0</v>
      </c>
      <c r="L154" s="145" t="str">
        <f>IFERROR(__xludf.DUMMYFUNCTION("vlookup($D154,IMPORTRANGE(""https://docs.google.com/spreadsheets/d/1swGwZOEqYlTEUCJLY-eeJM1911Kvaei5oySBIxdgtNo/edit?pli=1#gid=257618397"",""stock FAKTUR!B:q""),16,false)"),"LSN")</f>
        <v>LSN</v>
      </c>
      <c r="M154" s="147">
        <v>81000.0</v>
      </c>
      <c r="N154" s="148"/>
      <c r="O154" s="147">
        <f t="shared" si="2"/>
        <v>243000</v>
      </c>
      <c r="P154" s="147" t="str">
        <f t="shared" si="3"/>
        <v>Rp81,000-3 LSN-0.00%</v>
      </c>
      <c r="Q154" s="149">
        <v>45412.0</v>
      </c>
      <c r="R154" s="150"/>
      <c r="S154" s="149">
        <v>45415.0</v>
      </c>
      <c r="T154" s="151"/>
      <c r="U154" s="151"/>
      <c r="V154" s="151"/>
      <c r="W154" s="151"/>
    </row>
    <row r="155">
      <c r="A155" s="170" t="s">
        <v>4492</v>
      </c>
      <c r="B155" s="143" t="str">
        <f t="shared" si="44"/>
        <v>G</v>
      </c>
      <c r="C155" s="143" t="str">
        <f t="shared" si="45"/>
        <v>MENARA-BLORA</v>
      </c>
      <c r="D155" s="145" t="s">
        <v>4496</v>
      </c>
      <c r="E155" s="145" t="str">
        <f>IFERROR(__xludf.DUMMYFUNCTION("vlookup(D155,IMPORTRANGE(""https://docs.google.com/spreadsheets/d/1swGwZOEqYlTEUCJLY-eeJM1911Kvaei5oySBIxdgtNo/edit?pli=1#gid=257618397"",""stock FAKTUR!B:C""),2,false)"),"MAP DOC BAG 2542 JARING A5")</f>
        <v>MAP DOC BAG 2542 JARING A5</v>
      </c>
      <c r="F155" s="53" t="str">
        <f>IFERROR(__xludf.DUMMYFUNCTION("vlookup($D155,IMPORTRANGE(""https://docs.google.com/spreadsheets/d/1swGwZOEqYlTEUCJLY-eeJM1911Kvaei5oySBIxdgtNo/edit?pli=1#gid=257618397"",""stock FAKTUR!B:d""),3,false)"),"A5")</f>
        <v>A5</v>
      </c>
      <c r="G155" s="53" t="str">
        <f>IFERROR(__xludf.DUMMYFUNCTION("vlookup($D155,IMPORTRANGE(""https://docs.google.com/spreadsheets/d/1swGwZOEqYlTEUCJLY-eeJM1911Kvaei5oySBIxdgtNo/edit?pli=1#gid=257618397"",""stock FAKTUR!B:e""),4,false)"),"4W")</f>
        <v>4W</v>
      </c>
      <c r="H155" s="53" t="str">
        <f>IFERROR(__xludf.DUMMYFUNCTION("vlookup($D155,IMPORTRANGE(""https://docs.google.com/spreadsheets/d/1swGwZOEqYlTEUCJLY-eeJM1911Kvaei5oySBIxdgtNo/edit?pli=1#gid=257618397"",""stock FAKTUR!B:F""),5,false)"),"CR")</f>
        <v>CR</v>
      </c>
      <c r="I155" s="53" t="str">
        <f>IFERROR(__xludf.DUMMYFUNCTION("vlookup($D155,IMPORTRANGE(""https://docs.google.com/spreadsheets/d/1swGwZOEqYlTEUCJLY-eeJM1911Kvaei5oySBIxdgtNo/edit?pli=1#gid=257618397"",""stock FAKTUR!B:G""),6,false)"),"2542")</f>
        <v>2542</v>
      </c>
      <c r="J155" s="120" t="str">
        <f t="shared" si="25"/>
        <v>ADA</v>
      </c>
      <c r="K155" s="142">
        <v>3.0</v>
      </c>
      <c r="L155" s="145" t="str">
        <f>IFERROR(__xludf.DUMMYFUNCTION("vlookup($D155,IMPORTRANGE(""https://docs.google.com/spreadsheets/d/1swGwZOEqYlTEUCJLY-eeJM1911Kvaei5oySBIxdgtNo/edit?pli=1#gid=257618397"",""stock FAKTUR!B:q""),16,false)"),"LSN")</f>
        <v>LSN</v>
      </c>
      <c r="M155" s="147">
        <v>100000.0</v>
      </c>
      <c r="N155" s="148"/>
      <c r="O155" s="147">
        <f t="shared" si="2"/>
        <v>300000</v>
      </c>
      <c r="P155" s="147" t="str">
        <f t="shared" si="3"/>
        <v>Rp100,000-3 LSN-0.00%</v>
      </c>
      <c r="Q155" s="149">
        <v>45412.0</v>
      </c>
      <c r="R155" s="150"/>
      <c r="S155" s="149">
        <v>45415.0</v>
      </c>
      <c r="T155" s="151"/>
      <c r="U155" s="151"/>
      <c r="V155" s="151"/>
      <c r="W155" s="151"/>
    </row>
    <row r="156">
      <c r="A156" s="170" t="s">
        <v>4492</v>
      </c>
      <c r="B156" s="143" t="str">
        <f t="shared" si="44"/>
        <v>G</v>
      </c>
      <c r="C156" s="143" t="str">
        <f t="shared" si="45"/>
        <v>MENARA-BLORA</v>
      </c>
      <c r="D156" s="171" t="s">
        <v>4497</v>
      </c>
      <c r="E156" s="145" t="str">
        <f>IFERROR(__xludf.DUMMYFUNCTION("vlookup(D156,IMPORTRANGE(""https://docs.google.com/spreadsheets/d/1swGwZOEqYlTEUCJLY-eeJM1911Kvaei5oySBIxdgtNo/edit?pli=1#gid=257618397"",""stock FAKTUR!B:C""),2,false)"),"MAP DOC BAG+HANDLE 2546 JARING A4")</f>
        <v>MAP DOC BAG+HANDLE 2546 JARING A4</v>
      </c>
      <c r="F156" s="53" t="str">
        <f>IFERROR(__xludf.DUMMYFUNCTION("vlookup($D156,IMPORTRANGE(""https://docs.google.com/spreadsheets/d/1swGwZOEqYlTEUCJLY-eeJM1911Kvaei5oySBIxdgtNo/edit?pli=1#gid=257618397"",""stock FAKTUR!B:d""),3,false)"),"A4")</f>
        <v>A4</v>
      </c>
      <c r="G156" s="53" t="str">
        <f>IFERROR(__xludf.DUMMYFUNCTION("vlookup($D156,IMPORTRANGE(""https://docs.google.com/spreadsheets/d/1swGwZOEqYlTEUCJLY-eeJM1911Kvaei5oySBIxdgtNo/edit?pli=1#gid=257618397"",""stock FAKTUR!B:e""),4,false)"),"")</f>
        <v/>
      </c>
      <c r="H156" s="53" t="str">
        <f>IFERROR(__xludf.DUMMYFUNCTION("vlookup($D156,IMPORTRANGE(""https://docs.google.com/spreadsheets/d/1swGwZOEqYlTEUCJLY-eeJM1911Kvaei5oySBIxdgtNo/edit?pli=1#gid=257618397"",""stock FAKTUR!B:F""),5,false)"),"CR")</f>
        <v>CR</v>
      </c>
      <c r="I156" s="53" t="str">
        <f>IFERROR(__xludf.DUMMYFUNCTION("vlookup($D156,IMPORTRANGE(""https://docs.google.com/spreadsheets/d/1swGwZOEqYlTEUCJLY-eeJM1911Kvaei5oySBIxdgtNo/edit?pli=1#gid=257618397"",""stock FAKTUR!B:G""),6,false)"),"2546")</f>
        <v>2546</v>
      </c>
      <c r="J156" s="120" t="str">
        <f t="shared" si="25"/>
        <v>ADA</v>
      </c>
      <c r="K156" s="146">
        <v>2.0</v>
      </c>
      <c r="L156" s="145" t="str">
        <f>IFERROR(__xludf.DUMMYFUNCTION("vlookup($D156,IMPORTRANGE(""https://docs.google.com/spreadsheets/d/1swGwZOEqYlTEUCJLY-eeJM1911Kvaei5oySBIxdgtNo/edit?pli=1#gid=257618397"",""stock FAKTUR!B:q""),16,false)"),"LSN")</f>
        <v>LSN</v>
      </c>
      <c r="M156" s="147">
        <v>132500.0</v>
      </c>
      <c r="N156" s="148"/>
      <c r="O156" s="147">
        <f t="shared" si="2"/>
        <v>265000</v>
      </c>
      <c r="P156" s="147" t="str">
        <f t="shared" si="3"/>
        <v>Rp132,500-2 LSN-0.00%</v>
      </c>
      <c r="Q156" s="149">
        <v>45412.0</v>
      </c>
      <c r="R156" s="150"/>
      <c r="S156" s="149">
        <v>45415.0</v>
      </c>
      <c r="T156" s="151"/>
      <c r="U156" s="151"/>
      <c r="V156" s="151"/>
      <c r="W156" s="151"/>
    </row>
    <row r="157">
      <c r="A157" s="170" t="s">
        <v>4498</v>
      </c>
      <c r="B157" s="143" t="s">
        <v>33</v>
      </c>
      <c r="C157" s="143" t="s">
        <v>4499</v>
      </c>
      <c r="D157" s="145" t="s">
        <v>4500</v>
      </c>
      <c r="E157" s="145" t="str">
        <f>IFERROR(__xludf.DUMMYFUNCTION("vlookup(D157,IMPORTRANGE(""https://docs.google.com/spreadsheets/d/1swGwZOEqYlTEUCJLY-eeJM1911Kvaei5oySBIxdgtNo/edit?pli=1#gid=257618397"",""stock FAKTUR!B:C""),2,false)"),"ISI CUTTER JK L-150 AM BESAR")</f>
        <v>ISI CUTTER JK L-150 AM BESAR</v>
      </c>
      <c r="F157" s="53" t="str">
        <f>IFERROR(__xludf.DUMMYFUNCTION("vlookup($D157,IMPORTRANGE(""https://docs.google.com/spreadsheets/d/1swGwZOEqYlTEUCJLY-eeJM1911Kvaei5oySBIxdgtNo/edit?pli=1#gid=257618397"",""stock FAKTUR!B:d""),3,false)"),"B")</f>
        <v>B</v>
      </c>
      <c r="G157" s="53" t="str">
        <f>IFERROR(__xludf.DUMMYFUNCTION("vlookup($D157,IMPORTRANGE(""https://docs.google.com/spreadsheets/d/1swGwZOEqYlTEUCJLY-eeJM1911Kvaei5oySBIxdgtNo/edit?pli=1#gid=257618397"",""stock FAKTUR!B:e""),4,false)"),"")</f>
        <v/>
      </c>
      <c r="H157" s="53" t="str">
        <f>IFERROR(__xludf.DUMMYFUNCTION("vlookup($D157,IMPORTRANGE(""https://docs.google.com/spreadsheets/d/1swGwZOEqYlTEUCJLY-eeJM1911Kvaei5oySBIxdgtNo/edit?pli=1#gid=257618397"",""stock FAKTUR!B:F""),5,false)"),"JK")</f>
        <v>JK</v>
      </c>
      <c r="I157" s="53" t="str">
        <f>IFERROR(__xludf.DUMMYFUNCTION("vlookup($D157,IMPORTRANGE(""https://docs.google.com/spreadsheets/d/1swGwZOEqYlTEUCJLY-eeJM1911Kvaei5oySBIxdgtNo/edit?pli=1#gid=257618397"",""stock FAKTUR!B:G""),6,false)"),"L-150 AM")</f>
        <v>L-150 AM</v>
      </c>
      <c r="J157" s="120" t="str">
        <f t="shared" si="25"/>
        <v>ADA</v>
      </c>
      <c r="K157" s="142">
        <v>40.0</v>
      </c>
      <c r="L157" s="145" t="str">
        <f>IFERROR(__xludf.DUMMYFUNCTION("vlookup($D157,IMPORTRANGE(""https://docs.google.com/spreadsheets/d/1swGwZOEqYlTEUCJLY-eeJM1911Kvaei5oySBIxdgtNo/edit?pli=1#gid=257618397"",""stock FAKTUR!B:q""),16,false)"),"LSN")</f>
        <v>LSN</v>
      </c>
      <c r="M157" s="147">
        <v>49200.0</v>
      </c>
      <c r="N157" s="152">
        <v>0.125</v>
      </c>
      <c r="O157" s="147">
        <f t="shared" si="2"/>
        <v>1722000</v>
      </c>
      <c r="P157" s="147" t="str">
        <f t="shared" si="3"/>
        <v>Rp49,200-40 LSN-12.50%</v>
      </c>
      <c r="Q157" s="149">
        <v>45412.0</v>
      </c>
      <c r="R157" s="150"/>
      <c r="S157" s="149">
        <v>45415.0</v>
      </c>
      <c r="T157" s="151"/>
      <c r="U157" s="151"/>
      <c r="V157" s="151"/>
      <c r="W157" s="151"/>
    </row>
    <row r="158">
      <c r="A158" s="170" t="s">
        <v>4498</v>
      </c>
      <c r="B158" s="143" t="str">
        <f t="shared" ref="B158:B160" si="46">IF(A158=A157,B157,"")</f>
        <v>H</v>
      </c>
      <c r="C158" s="143" t="str">
        <f t="shared" ref="C158:C160" si="47">IF(A158=A157,C157,"")</f>
        <v>SIANA(PECINAN)-MALANG</v>
      </c>
      <c r="D158" s="145" t="s">
        <v>4433</v>
      </c>
      <c r="E158" s="145" t="str">
        <f>IFERROR(__xludf.DUMMYFUNCTION("vlookup(D158,IMPORTRANGE(""https://docs.google.com/spreadsheets/d/1swGwZOEqYlTEUCJLY-eeJM1911Kvaei5oySBIxdgtNo/edit?pli=1#gid=257618397"",""stock FAKTUR!B:C""),2,false)"),"PW JK CP-12PB PANJANG")</f>
        <v>PW JK CP-12PB PANJANG</v>
      </c>
      <c r="F158" s="53" t="str">
        <f>IFERROR(__xludf.DUMMYFUNCTION("vlookup($D158,IMPORTRANGE(""https://docs.google.com/spreadsheets/d/1swGwZOEqYlTEUCJLY-eeJM1911Kvaei5oySBIxdgtNo/edit?pli=1#gid=257618397"",""stock FAKTUR!B:d""),3,false)"),"")</f>
        <v/>
      </c>
      <c r="G158" s="53" t="str">
        <f>IFERROR(__xludf.DUMMYFUNCTION("vlookup($D158,IMPORTRANGE(""https://docs.google.com/spreadsheets/d/1swGwZOEqYlTEUCJLY-eeJM1911Kvaei5oySBIxdgtNo/edit?pli=1#gid=257618397"",""stock FAKTUR!B:e""),4,false)"),"12W")</f>
        <v>12W</v>
      </c>
      <c r="H158" s="53" t="str">
        <f>IFERROR(__xludf.DUMMYFUNCTION("vlookup($D158,IMPORTRANGE(""https://docs.google.com/spreadsheets/d/1swGwZOEqYlTEUCJLY-eeJM1911Kvaei5oySBIxdgtNo/edit?pli=1#gid=257618397"",""stock FAKTUR!B:F""),5,false)"),"JK")</f>
        <v>JK</v>
      </c>
      <c r="I158" s="53" t="str">
        <f>IFERROR(__xludf.DUMMYFUNCTION("vlookup($D158,IMPORTRANGE(""https://docs.google.com/spreadsheets/d/1swGwZOEqYlTEUCJLY-eeJM1911Kvaei5oySBIxdgtNo/edit?pli=1#gid=257618397"",""stock FAKTUR!B:G""),6,false)"),"CP-12PB")</f>
        <v>CP-12PB</v>
      </c>
      <c r="J158" s="120" t="str">
        <f t="shared" si="25"/>
        <v>ADA</v>
      </c>
      <c r="K158" s="142">
        <f>12*12</f>
        <v>144</v>
      </c>
      <c r="L158" s="145" t="str">
        <f>IFERROR(__xludf.DUMMYFUNCTION("vlookup($D158,IMPORTRANGE(""https://docs.google.com/spreadsheets/d/1swGwZOEqYlTEUCJLY-eeJM1911Kvaei5oySBIxdgtNo/edit?pli=1#gid=257618397"",""stock FAKTUR!B:q""),16,false)"),"PCS")</f>
        <v>PCS</v>
      </c>
      <c r="M158" s="147">
        <f>122400/12</f>
        <v>10200</v>
      </c>
      <c r="N158" s="152">
        <v>0.125</v>
      </c>
      <c r="O158" s="147">
        <f t="shared" si="2"/>
        <v>1285200</v>
      </c>
      <c r="P158" s="147" t="str">
        <f t="shared" si="3"/>
        <v>Rp10,200-144 PCS-12.50%</v>
      </c>
      <c r="Q158" s="149">
        <v>45412.0</v>
      </c>
      <c r="R158" s="150"/>
      <c r="S158" s="149">
        <v>45415.0</v>
      </c>
      <c r="T158" s="151"/>
      <c r="U158" s="151"/>
      <c r="V158" s="151"/>
      <c r="W158" s="151"/>
    </row>
    <row r="159">
      <c r="A159" s="170" t="s">
        <v>4498</v>
      </c>
      <c r="B159" s="143" t="str">
        <f t="shared" si="46"/>
        <v>H</v>
      </c>
      <c r="C159" s="143" t="str">
        <f t="shared" si="47"/>
        <v>SIANA(PECINAN)-MALANG</v>
      </c>
      <c r="D159" s="145" t="s">
        <v>4393</v>
      </c>
      <c r="E159" s="145" t="str">
        <f>IFERROR(__xludf.DUMMYFUNCTION("vlookup(D159,IMPORTRANGE(""https://docs.google.com/spreadsheets/d/1swGwZOEqYlTEUCJLY-eeJM1911Kvaei5oySBIxdgtNo/edit?pli=1#gid=257618397"",""stock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159" s="53" t="str">
        <f>IFERROR(__xludf.DUMMYFUNCTION("vlookup($D159,IMPORTRANGE(""https://docs.google.com/spreadsheets/d/1swGwZOEqYlTEUCJLY-eeJM1911Kvaei5oySBIxdgtNo/edit?pli=1#gid=257618397"",""stock FAKTUR!B:d""),3,false)"),"")</f>
        <v/>
      </c>
      <c r="G159" s="53" t="str">
        <f>IFERROR(__xludf.DUMMYFUNCTION("vlookup($D159,IMPORTRANGE(""https://docs.google.com/spreadsheets/d/1swGwZOEqYlTEUCJLY-eeJM1911Kvaei5oySBIxdgtNo/edit?pli=1#gid=257618397"",""stock FAKTUR!B:e""),4,false)"),"36W")</f>
        <v>36W</v>
      </c>
      <c r="H159" s="53" t="str">
        <f>IFERROR(__xludf.DUMMYFUNCTION("vlookup($D159,IMPORTRANGE(""https://docs.google.com/spreadsheets/d/1swGwZOEqYlTEUCJLY-eeJM1911Kvaei5oySBIxdgtNo/edit?pli=1#gid=257618397"",""stock FAKTUR!B:F""),5,false)"),"JK")</f>
        <v>JK</v>
      </c>
      <c r="I159" s="53" t="str">
        <f>IFERROR(__xludf.DUMMYFUNCTION("vlookup($D159,IMPORTRANGE(""https://docs.google.com/spreadsheets/d/1swGwZOEqYlTEUCJLY-eeJM1911Kvaei5oySBIxdgtNo/edit?pli=1#gid=257618397"",""stock FAKTUR!B:G""),6,false)"),"OP-36S")</f>
        <v>OP-36S</v>
      </c>
      <c r="J159" s="120" t="str">
        <f t="shared" si="25"/>
        <v>ADA</v>
      </c>
      <c r="K159" s="142">
        <v>36.0</v>
      </c>
      <c r="L159" s="145" t="str">
        <f>IFERROR(__xludf.DUMMYFUNCTION("vlookup($D159,IMPORTRANGE(""https://docs.google.com/spreadsheets/d/1swGwZOEqYlTEUCJLY-eeJM1911Kvaei5oySBIxdgtNo/edit?pli=1#gid=257618397"",""stock FAKTUR!B:q""),16,false)"),"PCS")</f>
        <v>PCS</v>
      </c>
      <c r="M159" s="147">
        <v>41500.0</v>
      </c>
      <c r="N159" s="152">
        <v>0.125</v>
      </c>
      <c r="O159" s="147">
        <f t="shared" si="2"/>
        <v>1307250</v>
      </c>
      <c r="P159" s="147" t="str">
        <f t="shared" si="3"/>
        <v>Rp41,500-36 PCS-12.50%</v>
      </c>
      <c r="Q159" s="149">
        <v>45412.0</v>
      </c>
      <c r="R159" s="150"/>
      <c r="S159" s="149">
        <v>45415.0</v>
      </c>
      <c r="T159" s="151"/>
      <c r="U159" s="151"/>
      <c r="V159" s="151"/>
      <c r="W159" s="151"/>
    </row>
    <row r="160">
      <c r="A160" s="170" t="s">
        <v>4498</v>
      </c>
      <c r="B160" s="143" t="str">
        <f t="shared" si="46"/>
        <v>H</v>
      </c>
      <c r="C160" s="143" t="str">
        <f t="shared" si="47"/>
        <v>SIANA(PECINAN)-MALANG</v>
      </c>
      <c r="D160" s="145" t="s">
        <v>4501</v>
      </c>
      <c r="E160" s="145" t="str">
        <f>IFERROR(__xludf.DUMMYFUNCTION("vlookup(D160,IMPORTRANGE(""https://docs.google.com/spreadsheets/d/1swGwZOEqYlTEUCJLY-eeJM1911Kvaei5oySBIxdgtNo/edit?pli=1#gid=257618397"",""stock FAKTUR!B:C""),2,false)"),"PENSIL JK P-88 2B")</f>
        <v>PENSIL JK P-88 2B</v>
      </c>
      <c r="F160" s="53" t="str">
        <f>IFERROR(__xludf.DUMMYFUNCTION("vlookup($D160,IMPORTRANGE(""https://docs.google.com/spreadsheets/d/1swGwZOEqYlTEUCJLY-eeJM1911Kvaei5oySBIxdgtNo/edit?pli=1#gid=257618397"",""stock FAKTUR!B:d""),3,false)"),"")</f>
        <v/>
      </c>
      <c r="G160" s="53" t="str">
        <f>IFERROR(__xludf.DUMMYFUNCTION("vlookup($D160,IMPORTRANGE(""https://docs.google.com/spreadsheets/d/1swGwZOEqYlTEUCJLY-eeJM1911Kvaei5oySBIxdgtNo/edit?pli=1#gid=257618397"",""stock FAKTUR!B:e""),4,false)"),"")</f>
        <v/>
      </c>
      <c r="H160" s="53" t="str">
        <f>IFERROR(__xludf.DUMMYFUNCTION("vlookup($D160,IMPORTRANGE(""https://docs.google.com/spreadsheets/d/1swGwZOEqYlTEUCJLY-eeJM1911Kvaei5oySBIxdgtNo/edit?pli=1#gid=257618397"",""stock FAKTUR!B:F""),5,false)"),"JK")</f>
        <v>JK</v>
      </c>
      <c r="I160" s="53" t="str">
        <f>IFERROR(__xludf.DUMMYFUNCTION("vlookup($D160,IMPORTRANGE(""https://docs.google.com/spreadsheets/d/1swGwZOEqYlTEUCJLY-eeJM1911Kvaei5oySBIxdgtNo/edit?pli=1#gid=257618397"",""stock FAKTUR!B:G""),6,false)"),"P-88")</f>
        <v>P-88</v>
      </c>
      <c r="J160" s="120" t="str">
        <f t="shared" si="25"/>
        <v>ADA</v>
      </c>
      <c r="K160" s="142">
        <v>30.0</v>
      </c>
      <c r="L160" s="145" t="str">
        <f>IFERROR(__xludf.DUMMYFUNCTION("vlookup($D160,IMPORTRANGE(""https://docs.google.com/spreadsheets/d/1swGwZOEqYlTEUCJLY-eeJM1911Kvaei5oySBIxdgtNo/edit?pli=1#gid=257618397"",""stock FAKTUR!B:q""),16,false)"),"GRS")</f>
        <v>GRS</v>
      </c>
      <c r="M160" s="147">
        <v>104400.0</v>
      </c>
      <c r="N160" s="152">
        <v>0.125</v>
      </c>
      <c r="O160" s="147">
        <f t="shared" si="2"/>
        <v>2740500</v>
      </c>
      <c r="P160" s="147" t="str">
        <f t="shared" si="3"/>
        <v>Rp104,400-30 GRS-12.50%</v>
      </c>
      <c r="Q160" s="149">
        <v>45412.0</v>
      </c>
      <c r="R160" s="150"/>
      <c r="S160" s="149">
        <v>45415.0</v>
      </c>
      <c r="T160" s="151"/>
      <c r="U160" s="151"/>
      <c r="V160" s="151"/>
      <c r="W160" s="151"/>
    </row>
    <row r="161">
      <c r="A161" s="170" t="s">
        <v>4502</v>
      </c>
      <c r="B161" s="143" t="s">
        <v>33</v>
      </c>
      <c r="C161" s="143" t="s">
        <v>2476</v>
      </c>
      <c r="D161" s="145" t="s">
        <v>4398</v>
      </c>
      <c r="E161" s="145" t="str">
        <f>IFERROR(__xludf.DUMMYFUNCTION("vlookup(D161,IMPORTRANGE(""https://docs.google.com/spreadsheets/d/1swGwZOEqYlTEUCJLY-eeJM1911Kvaei5oySBIxdgtNo/edit?pli=1#gid=257618397"",""stock FAKTUR!B:C""),2,false)"),"ISI CUTTER KENKO L-150 BESAR")</f>
        <v>ISI CUTTER KENKO L-150 BESAR</v>
      </c>
      <c r="F161" s="53" t="str">
        <f>IFERROR(__xludf.DUMMYFUNCTION("vlookup($D161,IMPORTRANGE(""https://docs.google.com/spreadsheets/d/1swGwZOEqYlTEUCJLY-eeJM1911Kvaei5oySBIxdgtNo/edit?pli=1#gid=257618397"",""stock FAKTUR!B:d""),3,false)"),"18 MM")</f>
        <v>18 MM</v>
      </c>
      <c r="G161" s="53" t="str">
        <f>IFERROR(__xludf.DUMMYFUNCTION("vlookup($D161,IMPORTRANGE(""https://docs.google.com/spreadsheets/d/1swGwZOEqYlTEUCJLY-eeJM1911Kvaei5oySBIxdgtNo/edit?pli=1#gid=257618397"",""stock FAKTUR!B:e""),4,false)"),"")</f>
        <v/>
      </c>
      <c r="H161" s="53" t="str">
        <f>IFERROR(__xludf.DUMMYFUNCTION("vlookup($D161,IMPORTRANGE(""https://docs.google.com/spreadsheets/d/1swGwZOEqYlTEUCJLY-eeJM1911Kvaei5oySBIxdgtNo/edit?pli=1#gid=257618397"",""stock FAKTUR!B:F""),5,false)"),"KN")</f>
        <v>KN</v>
      </c>
      <c r="I161" s="53" t="str">
        <f>IFERROR(__xludf.DUMMYFUNCTION("vlookup($D161,IMPORTRANGE(""https://docs.google.com/spreadsheets/d/1swGwZOEqYlTEUCJLY-eeJM1911Kvaei5oySBIxdgtNo/edit?pli=1#gid=257618397"",""stock FAKTUR!B:G""),6,false)"),"CTB-002")</f>
        <v>CTB-002</v>
      </c>
      <c r="J161" s="120" t="str">
        <f t="shared" si="25"/>
        <v>ADA</v>
      </c>
      <c r="K161" s="142">
        <v>300.0</v>
      </c>
      <c r="L161" s="145" t="str">
        <f>IFERROR(__xludf.DUMMYFUNCTION("vlookup($D161,IMPORTRANGE(""https://docs.google.com/spreadsheets/d/1swGwZOEqYlTEUCJLY-eeJM1911Kvaei5oySBIxdgtNo/edit?pli=1#gid=257618397"",""stock FAKTUR!B:q""),16,false)"),"LSN")</f>
        <v>LSN</v>
      </c>
      <c r="M161" s="147">
        <v>64800.0</v>
      </c>
      <c r="N161" s="152">
        <v>0.15</v>
      </c>
      <c r="O161" s="147">
        <f t="shared" si="2"/>
        <v>16524000</v>
      </c>
      <c r="P161" s="147" t="str">
        <f t="shared" si="3"/>
        <v>Rp64,800-300 LSN-15.00%</v>
      </c>
      <c r="Q161" s="149">
        <v>45412.0</v>
      </c>
      <c r="R161" s="150"/>
      <c r="S161" s="149">
        <v>45415.0</v>
      </c>
      <c r="T161" s="151"/>
      <c r="U161" s="151"/>
      <c r="V161" s="151"/>
      <c r="W161" s="151"/>
    </row>
    <row r="162">
      <c r="A162" s="142">
        <v>2922.0</v>
      </c>
      <c r="B162" s="143" t="s">
        <v>33</v>
      </c>
      <c r="C162" s="143" t="s">
        <v>4503</v>
      </c>
      <c r="D162" s="145" t="s">
        <v>4504</v>
      </c>
      <c r="E162" s="145" t="str">
        <f>IFERROR(__xludf.DUMMYFUNCTION("vlookup(D162,IMPORTRANGE(""https://docs.google.com/spreadsheets/d/1swGwZOEqYlTEUCJLY-eeJM1911Kvaei5oySBIxdgtNo/edit?pli=1#gid=257618397"",""stock FAKTUR!B:C""),2,false)"),"BINDER CLIP JK 260")</f>
        <v>BINDER CLIP JK 260</v>
      </c>
      <c r="F162" s="53" t="str">
        <f>IFERROR(__xludf.DUMMYFUNCTION("vlookup($D162,IMPORTRANGE(""https://docs.google.com/spreadsheets/d/1swGwZOEqYlTEUCJLY-eeJM1911Kvaei5oySBIxdgtNo/edit?pli=1#gid=257618397"",""stock FAKTUR!B:d""),3,false)"),"")</f>
        <v/>
      </c>
      <c r="G162" s="53" t="str">
        <f>IFERROR(__xludf.DUMMYFUNCTION("vlookup($D162,IMPORTRANGE(""https://docs.google.com/spreadsheets/d/1swGwZOEqYlTEUCJLY-eeJM1911Kvaei5oySBIxdgtNo/edit?pli=1#gid=257618397"",""stock FAKTUR!B:e""),4,false)"),"")</f>
        <v/>
      </c>
      <c r="H162" s="53" t="str">
        <f>IFERROR(__xludf.DUMMYFUNCTION("vlookup($D162,IMPORTRANGE(""https://docs.google.com/spreadsheets/d/1swGwZOEqYlTEUCJLY-eeJM1911Kvaei5oySBIxdgtNo/edit?pli=1#gid=257618397"",""stock FAKTUR!B:F""),5,false)"),"JK")</f>
        <v>JK</v>
      </c>
      <c r="I162" s="53" t="str">
        <f>IFERROR(__xludf.DUMMYFUNCTION("vlookup($D162,IMPORTRANGE(""https://docs.google.com/spreadsheets/d/1swGwZOEqYlTEUCJLY-eeJM1911Kvaei5oySBIxdgtNo/edit?pli=1#gid=257618397"",""stock FAKTUR!B:G""),6,false)"),"260")</f>
        <v>260</v>
      </c>
      <c r="J162" s="120" t="str">
        <f t="shared" si="25"/>
        <v>ADA</v>
      </c>
      <c r="K162" s="142">
        <f>180/12</f>
        <v>15</v>
      </c>
      <c r="L162" s="145" t="str">
        <f>IFERROR(__xludf.DUMMYFUNCTION("vlookup($D162,IMPORTRANGE(""https://docs.google.com/spreadsheets/d/1swGwZOEqYlTEUCJLY-eeJM1911Kvaei5oySBIxdgtNo/edit?pli=1#gid=257618397"",""stock FAKTUR!B:q""),16,false)"),"GRS")</f>
        <v>GRS</v>
      </c>
      <c r="M162" s="147">
        <f>14750*12</f>
        <v>177000</v>
      </c>
      <c r="N162" s="152">
        <v>0.125</v>
      </c>
      <c r="O162" s="147">
        <f t="shared" si="2"/>
        <v>2323125</v>
      </c>
      <c r="P162" s="147" t="str">
        <f t="shared" si="3"/>
        <v>Rp177,000-15 GRS-12.50%</v>
      </c>
      <c r="Q162" s="149">
        <v>45412.0</v>
      </c>
      <c r="R162" s="150"/>
      <c r="S162" s="149">
        <v>45415.0</v>
      </c>
      <c r="T162" s="172"/>
      <c r="U162" s="151"/>
      <c r="V162" s="151"/>
      <c r="W162" s="151"/>
    </row>
    <row r="163">
      <c r="A163" s="142">
        <v>2922.0</v>
      </c>
      <c r="B163" s="143" t="str">
        <f>IF(A163=A162,B162,"")</f>
        <v>H</v>
      </c>
      <c r="C163" s="143" t="str">
        <f>IF(A163=A162,C162,"")</f>
        <v>MERPATI-MALANG</v>
      </c>
      <c r="D163" s="145" t="s">
        <v>4500</v>
      </c>
      <c r="E163" s="145" t="str">
        <f>IFERROR(__xludf.DUMMYFUNCTION("vlookup(D163,IMPORTRANGE(""https://docs.google.com/spreadsheets/d/1swGwZOEqYlTEUCJLY-eeJM1911Kvaei5oySBIxdgtNo/edit?pli=1#gid=257618397"",""stock FAKTUR!B:C""),2,false)"),"ISI CUTTER JK L-150 AM BESAR")</f>
        <v>ISI CUTTER JK L-150 AM BESAR</v>
      </c>
      <c r="F163" s="53" t="str">
        <f>IFERROR(__xludf.DUMMYFUNCTION("vlookup($D163,IMPORTRANGE(""https://docs.google.com/spreadsheets/d/1swGwZOEqYlTEUCJLY-eeJM1911Kvaei5oySBIxdgtNo/edit?pli=1#gid=257618397"",""stock FAKTUR!B:d""),3,false)"),"B")</f>
        <v>B</v>
      </c>
      <c r="G163" s="53" t="str">
        <f>IFERROR(__xludf.DUMMYFUNCTION("vlookup($D163,IMPORTRANGE(""https://docs.google.com/spreadsheets/d/1swGwZOEqYlTEUCJLY-eeJM1911Kvaei5oySBIxdgtNo/edit?pli=1#gid=257618397"",""stock FAKTUR!B:e""),4,false)"),"")</f>
        <v/>
      </c>
      <c r="H163" s="53" t="str">
        <f>IFERROR(__xludf.DUMMYFUNCTION("vlookup($D163,IMPORTRANGE(""https://docs.google.com/spreadsheets/d/1swGwZOEqYlTEUCJLY-eeJM1911Kvaei5oySBIxdgtNo/edit?pli=1#gid=257618397"",""stock FAKTUR!B:F""),5,false)"),"JK")</f>
        <v>JK</v>
      </c>
      <c r="I163" s="53" t="str">
        <f>IFERROR(__xludf.DUMMYFUNCTION("vlookup($D163,IMPORTRANGE(""https://docs.google.com/spreadsheets/d/1swGwZOEqYlTEUCJLY-eeJM1911Kvaei5oySBIxdgtNo/edit?pli=1#gid=257618397"",""stock FAKTUR!B:G""),6,false)"),"L-150 AM")</f>
        <v>L-150 AM</v>
      </c>
      <c r="J163" s="120" t="str">
        <f t="shared" si="25"/>
        <v>ADA</v>
      </c>
      <c r="K163" s="142">
        <v>40.0</v>
      </c>
      <c r="L163" s="145" t="str">
        <f>IFERROR(__xludf.DUMMYFUNCTION("vlookup($D163,IMPORTRANGE(""https://docs.google.com/spreadsheets/d/1swGwZOEqYlTEUCJLY-eeJM1911Kvaei5oySBIxdgtNo/edit?pli=1#gid=257618397"",""stock FAKTUR!B:q""),16,false)"),"LSN")</f>
        <v>LSN</v>
      </c>
      <c r="M163" s="147">
        <v>49200.0</v>
      </c>
      <c r="N163" s="152">
        <v>0.125</v>
      </c>
      <c r="O163" s="147">
        <f t="shared" si="2"/>
        <v>1722000</v>
      </c>
      <c r="P163" s="147" t="str">
        <f t="shared" si="3"/>
        <v>Rp49,200-40 LSN-12.50%</v>
      </c>
      <c r="Q163" s="149">
        <v>45412.0</v>
      </c>
      <c r="R163" s="150"/>
      <c r="S163" s="149">
        <v>45415.0</v>
      </c>
      <c r="T163" s="172"/>
      <c r="U163" s="151"/>
      <c r="V163" s="151"/>
      <c r="W163" s="151"/>
    </row>
    <row r="164">
      <c r="A164" s="142">
        <v>4678.0</v>
      </c>
      <c r="B164" s="143" t="s">
        <v>33</v>
      </c>
      <c r="C164" s="143" t="s">
        <v>3688</v>
      </c>
      <c r="D164" s="145" t="s">
        <v>4505</v>
      </c>
      <c r="E164" s="145" t="str">
        <f>IFERROR(__xludf.DUMMYFUNCTION("vlookup(D164,IMPORTRANGE(""https://docs.google.com/spreadsheets/d/1swGwZOEqYlTEUCJLY-eeJM1911Kvaei5oySBIxdgtNo/edit?pli=1#gid=257618397"",""stock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164" s="53" t="str">
        <f>IFERROR(__xludf.DUMMYFUNCTION("vlookup($D164,IMPORTRANGE(""https://docs.google.com/spreadsheets/d/1swGwZOEqYlTEUCJLY-eeJM1911Kvaei5oySBIxdgtNo/edit?pli=1#gid=257618397"",""stock FAKTUR!B:d""),3,false)"),"")</f>
        <v/>
      </c>
      <c r="G164" s="53" t="str">
        <f>IFERROR(__xludf.DUMMYFUNCTION("vlookup($D164,IMPORTRANGE(""https://docs.google.com/spreadsheets/d/1swGwZOEqYlTEUCJLY-eeJM1911Kvaei5oySBIxdgtNo/edit?pli=1#gid=257618397"",""stock FAKTUR!B:e""),4,false)"),"24W")</f>
        <v>24W</v>
      </c>
      <c r="H164" s="53" t="str">
        <f>IFERROR(__xludf.DUMMYFUNCTION("vlookup($D164,IMPORTRANGE(""https://docs.google.com/spreadsheets/d/1swGwZOEqYlTEUCJLY-eeJM1911Kvaei5oySBIxdgtNo/edit?pli=1#gid=257618397"",""stock FAKTUR!B:F""),5,false)"),"JK")</f>
        <v>JK</v>
      </c>
      <c r="I164" s="53" t="str">
        <f>IFERROR(__xludf.DUMMYFUNCTION("vlookup($D164,IMPORTRANGE(""https://docs.google.com/spreadsheets/d/1swGwZOEqYlTEUCJLY-eeJM1911Kvaei5oySBIxdgtNo/edit?pli=1#gid=257618397"",""stock FAKTUR!B:G""),6,false)"),"OP-24S")</f>
        <v>OP-24S</v>
      </c>
      <c r="J164" s="120" t="str">
        <f t="shared" si="25"/>
        <v>ADA</v>
      </c>
      <c r="K164" s="142">
        <v>192.0</v>
      </c>
      <c r="L164" s="145" t="str">
        <f>IFERROR(__xludf.DUMMYFUNCTION("vlookup($D164,IMPORTRANGE(""https://docs.google.com/spreadsheets/d/1swGwZOEqYlTEUCJLY-eeJM1911Kvaei5oySBIxdgtNo/edit?pli=1#gid=257618397"",""stock FAKTUR!B:q""),16,false)"),"PCS")</f>
        <v>PCS</v>
      </c>
      <c r="M164" s="147">
        <v>29600.0</v>
      </c>
      <c r="N164" s="152">
        <v>0.125</v>
      </c>
      <c r="O164" s="147">
        <f t="shared" si="2"/>
        <v>4972800</v>
      </c>
      <c r="P164" s="147" t="str">
        <f t="shared" si="3"/>
        <v>Rp29,600-192 PCS-12.50%</v>
      </c>
      <c r="Q164" s="149">
        <v>45412.0</v>
      </c>
      <c r="R164" s="150"/>
      <c r="S164" s="149">
        <v>45415.0</v>
      </c>
      <c r="T164" s="172"/>
      <c r="U164" s="151"/>
      <c r="V164" s="151"/>
      <c r="W164" s="151"/>
    </row>
    <row r="165">
      <c r="A165" s="142">
        <v>4678.0</v>
      </c>
      <c r="B165" s="143" t="str">
        <f>IF(A165=A164,B164,"")</f>
        <v>H</v>
      </c>
      <c r="C165" s="143" t="str">
        <f>IF(A165=A164,C164,"")</f>
        <v>SISWA-WONOSOBO</v>
      </c>
      <c r="D165" s="151" t="s">
        <v>4506</v>
      </c>
      <c r="E165" s="145" t="str">
        <f>IFERROR(__xludf.DUMMYFUNCTION("vlookup(D165,IMPORTRANGE(""https://docs.google.com/spreadsheets/d/1swGwZOEqYlTEUCJLY-eeJM1911Kvaei5oySBIxdgtNo/edit?pli=1#gid=257618397"",""stock FAKTUR!B:C""),2,false)"),"LEM JK GL-R50")</f>
        <v>LEM JK GL-R50</v>
      </c>
      <c r="F165" s="53" t="str">
        <f>IFERROR(__xludf.DUMMYFUNCTION("vlookup($D165,IMPORTRANGE(""https://docs.google.com/spreadsheets/d/1swGwZOEqYlTEUCJLY-eeJM1911Kvaei5oySBIxdgtNo/edit?pli=1#gid=257618397"",""stock FAKTUR!B:d""),3,false)"),"")</f>
        <v/>
      </c>
      <c r="G165" s="53" t="str">
        <f>IFERROR(__xludf.DUMMYFUNCTION("vlookup($D165,IMPORTRANGE(""https://docs.google.com/spreadsheets/d/1swGwZOEqYlTEUCJLY-eeJM1911Kvaei5oySBIxdgtNo/edit?pli=1#gid=257618397"",""stock FAKTUR!B:e""),4,false)"),"")</f>
        <v/>
      </c>
      <c r="H165" s="53" t="str">
        <f>IFERROR(__xludf.DUMMYFUNCTION("vlookup($D165,IMPORTRANGE(""https://docs.google.com/spreadsheets/d/1swGwZOEqYlTEUCJLY-eeJM1911Kvaei5oySBIxdgtNo/edit?pli=1#gid=257618397"",""stock FAKTUR!B:F""),5,false)"),"JK")</f>
        <v>JK</v>
      </c>
      <c r="I165" s="53" t="str">
        <f>IFERROR(__xludf.DUMMYFUNCTION("vlookup($D165,IMPORTRANGE(""https://docs.google.com/spreadsheets/d/1swGwZOEqYlTEUCJLY-eeJM1911Kvaei5oySBIxdgtNo/edit?pli=1#gid=257618397"",""stock FAKTUR!B:G""),6,false)"),"GL-R50")</f>
        <v>GL-R50</v>
      </c>
      <c r="J165" s="120" t="str">
        <f t="shared" si="25"/>
        <v>ADA</v>
      </c>
      <c r="K165" s="142">
        <v>120.0</v>
      </c>
      <c r="L165" s="145" t="str">
        <f>IFERROR(__xludf.DUMMYFUNCTION("vlookup($D165,IMPORTRANGE(""https://docs.google.com/spreadsheets/d/1swGwZOEqYlTEUCJLY-eeJM1911Kvaei5oySBIxdgtNo/edit?pli=1#gid=257618397"",""stock FAKTUR!B:q""),16,false)"),"LSN")</f>
        <v>LSN</v>
      </c>
      <c r="M165" s="147">
        <v>25200.0</v>
      </c>
      <c r="N165" s="152">
        <v>0.125</v>
      </c>
      <c r="O165" s="147">
        <f t="shared" si="2"/>
        <v>2646000</v>
      </c>
      <c r="P165" s="147" t="str">
        <f t="shared" si="3"/>
        <v>Rp25,200-120 LSN-12.50%</v>
      </c>
      <c r="Q165" s="149">
        <v>45412.0</v>
      </c>
      <c r="R165" s="150"/>
      <c r="S165" s="149">
        <v>45415.0</v>
      </c>
      <c r="T165" s="172"/>
      <c r="U165" s="151"/>
      <c r="V165" s="151"/>
      <c r="W165" s="151"/>
    </row>
    <row r="166">
      <c r="A166" s="160">
        <v>2981.0</v>
      </c>
      <c r="B166" s="161" t="s">
        <v>58</v>
      </c>
      <c r="C166" s="161" t="s">
        <v>2375</v>
      </c>
      <c r="D166" s="77" t="s">
        <v>4507</v>
      </c>
      <c r="E166" s="145" t="str">
        <f>IFERROR(__xludf.DUMMYFUNCTION("vlookup(D166,IMPORTRANGE(""https://docs.google.com/spreadsheets/d/1swGwZOEqYlTEUCJLY-eeJM1911Kvaei5oySBIxdgtNo/edit?pli=1#gid=257618397"",""stock FAKTUR!B:C""),2,false)"),"BP JK SPIRAL P5 BP 150")</f>
        <v>BP JK SPIRAL P5 BP 150</v>
      </c>
      <c r="F166" s="53" t="str">
        <f>IFERROR(__xludf.DUMMYFUNCTION("vlookup($D166,IMPORTRANGE(""https://docs.google.com/spreadsheets/d/1swGwZOEqYlTEUCJLY-eeJM1911Kvaei5oySBIxdgtNo/edit?pli=1#gid=257618397"",""stock FAKTUR!B:d""),3,false)"),"")</f>
        <v/>
      </c>
      <c r="G166" s="53" t="str">
        <f>IFERROR(__xludf.DUMMYFUNCTION("vlookup($D166,IMPORTRANGE(""https://docs.google.com/spreadsheets/d/1swGwZOEqYlTEUCJLY-eeJM1911Kvaei5oySBIxdgtNo/edit?pli=1#gid=257618397"",""stock FAKTUR!B:e""),4,false)"),"")</f>
        <v/>
      </c>
      <c r="H166" s="53" t="str">
        <f>IFERROR(__xludf.DUMMYFUNCTION("vlookup($D166,IMPORTRANGE(""https://docs.google.com/spreadsheets/d/1swGwZOEqYlTEUCJLY-eeJM1911Kvaei5oySBIxdgtNo/edit?pli=1#gid=257618397"",""stock FAKTUR!B:F""),5,false)"),"JK")</f>
        <v>JK</v>
      </c>
      <c r="I166" s="53" t="str">
        <f>IFERROR(__xludf.DUMMYFUNCTION("vlookup($D166,IMPORTRANGE(""https://docs.google.com/spreadsheets/d/1swGwZOEqYlTEUCJLY-eeJM1911Kvaei5oySBIxdgtNo/edit?pli=1#gid=257618397"",""stock FAKTUR!B:G""),6,false)"),"P5 150")</f>
        <v>P5 150</v>
      </c>
      <c r="J166" s="120" t="str">
        <f t="shared" si="25"/>
        <v>ADA</v>
      </c>
      <c r="K166" s="160">
        <v>4.0</v>
      </c>
      <c r="L166" s="145" t="str">
        <f>IFERROR(__xludf.DUMMYFUNCTION("vlookup($D166,IMPORTRANGE(""https://docs.google.com/spreadsheets/d/1swGwZOEqYlTEUCJLY-eeJM1911Kvaei5oySBIxdgtNo/edit?pli=1#gid=257618397"",""stock FAKTUR!B:q""),16,false)"),"LSN")</f>
        <v>LSN</v>
      </c>
      <c r="M166" s="164">
        <v>58200.0</v>
      </c>
      <c r="N166" s="165">
        <v>0.1</v>
      </c>
      <c r="O166" s="164">
        <f t="shared" si="2"/>
        <v>209520</v>
      </c>
      <c r="P166" s="164" t="str">
        <f t="shared" si="3"/>
        <v>Rp58,200-4 LSN-10.00%</v>
      </c>
      <c r="Q166" s="166">
        <v>45412.0</v>
      </c>
      <c r="R166" s="167"/>
      <c r="S166" s="166">
        <v>45415.0</v>
      </c>
      <c r="T166" s="162" t="s">
        <v>4508</v>
      </c>
      <c r="U166" s="173" t="s">
        <v>4390</v>
      </c>
      <c r="V166" s="162"/>
      <c r="W166" s="159"/>
    </row>
    <row r="167">
      <c r="A167" s="142">
        <v>2981.0</v>
      </c>
      <c r="B167" s="143" t="str">
        <f t="shared" ref="B167:B172" si="48">IF(A167=A166,B166,"")</f>
        <v>G</v>
      </c>
      <c r="C167" s="143" t="str">
        <f t="shared" ref="C167:C172" si="49">IF(A167=A166,C166,"")</f>
        <v>AGUNG JAYA-TUBAN</v>
      </c>
      <c r="D167" s="145" t="s">
        <v>4509</v>
      </c>
      <c r="E167" s="145" t="str">
        <f>IFERROR(__xludf.DUMMYFUNCTION("vlookup(D167,IMPORTRANGE(""https://docs.google.com/spreadsheets/d/1swGwZOEqYlTEUCJLY-eeJM1911Kvaei5oySBIxdgtNo/edit?pli=1#gid=257618397"",""stock FAKTUR!B:C""),2,false)"),"PW JK 12W CP-103")</f>
        <v>PW JK 12W CP-103</v>
      </c>
      <c r="F167" s="53" t="str">
        <f>IFERROR(__xludf.DUMMYFUNCTION("vlookup($D167,IMPORTRANGE(""https://docs.google.com/spreadsheets/d/1swGwZOEqYlTEUCJLY-eeJM1911Kvaei5oySBIxdgtNo/edit?pli=1#gid=257618397"",""stock FAKTUR!B:d""),3,false)"),"")</f>
        <v/>
      </c>
      <c r="G167" s="53" t="str">
        <f>IFERROR(__xludf.DUMMYFUNCTION("vlookup($D167,IMPORTRANGE(""https://docs.google.com/spreadsheets/d/1swGwZOEqYlTEUCJLY-eeJM1911Kvaei5oySBIxdgtNo/edit?pli=1#gid=257618397"",""stock FAKTUR!B:e""),4,false)"),"12W")</f>
        <v>12W</v>
      </c>
      <c r="H167" s="53" t="str">
        <f>IFERROR(__xludf.DUMMYFUNCTION("vlookup($D167,IMPORTRANGE(""https://docs.google.com/spreadsheets/d/1swGwZOEqYlTEUCJLY-eeJM1911Kvaei5oySBIxdgtNo/edit?pli=1#gid=257618397"",""stock FAKTUR!B:F""),5,false)"),"JK")</f>
        <v>JK</v>
      </c>
      <c r="I167" s="53" t="str">
        <f>IFERROR(__xludf.DUMMYFUNCTION("vlookup($D167,IMPORTRANGE(""https://docs.google.com/spreadsheets/d/1swGwZOEqYlTEUCJLY-eeJM1911Kvaei5oySBIxdgtNo/edit?pli=1#gid=257618397"",""stock FAKTUR!B:G""),6,false)"),"CP-103")</f>
        <v>CP-103</v>
      </c>
      <c r="J167" s="120" t="str">
        <f t="shared" si="25"/>
        <v>ADA</v>
      </c>
      <c r="K167" s="142">
        <f>12*3</f>
        <v>36</v>
      </c>
      <c r="L167" s="145" t="str">
        <f>IFERROR(__xludf.DUMMYFUNCTION("vlookup($D167,IMPORTRANGE(""https://docs.google.com/spreadsheets/d/1swGwZOEqYlTEUCJLY-eeJM1911Kvaei5oySBIxdgtNo/edit?pli=1#gid=257618397"",""stock FAKTUR!B:q""),16,false)"),"PCS")</f>
        <v>PCS</v>
      </c>
      <c r="M167" s="147">
        <f>100800/12</f>
        <v>8400</v>
      </c>
      <c r="N167" s="152">
        <v>0.1</v>
      </c>
      <c r="O167" s="147">
        <f t="shared" si="2"/>
        <v>272160</v>
      </c>
      <c r="P167" s="147" t="str">
        <f t="shared" si="3"/>
        <v>Rp8,400-36 PCS-10.00%</v>
      </c>
      <c r="Q167" s="149">
        <v>45412.0</v>
      </c>
      <c r="R167" s="150"/>
      <c r="S167" s="149">
        <v>45415.0</v>
      </c>
      <c r="T167" s="151"/>
      <c r="U167" s="151"/>
      <c r="V167" s="151"/>
      <c r="W167" s="151"/>
    </row>
    <row r="168">
      <c r="A168" s="142">
        <v>2981.0</v>
      </c>
      <c r="B168" s="143" t="str">
        <f t="shared" si="48"/>
        <v>G</v>
      </c>
      <c r="C168" s="143" t="str">
        <f t="shared" si="49"/>
        <v>AGUNG JAYA-TUBAN</v>
      </c>
      <c r="D168" s="145" t="s">
        <v>4510</v>
      </c>
      <c r="E168" s="145" t="str">
        <f>IFERROR(__xludf.DUMMYFUNCTION("vlookup(D168,IMPORTRANGE(""https://docs.google.com/spreadsheets/d/1swGwZOEqYlTEUCJLY-eeJM1911Kvaei5oySBIxdgtNo/edit?pli=1#gid=257618397"",""stock FAKTUR!B:C""),2,false)"),"BP JK BP-349-12 VOKUS TRANS HITAM")</f>
        <v>BP JK BP-349-12 VOKUS TRANS HITAM</v>
      </c>
      <c r="F168" s="53" t="str">
        <f>IFERROR(__xludf.DUMMYFUNCTION("vlookup($D168,IMPORTRANGE(""https://docs.google.com/spreadsheets/d/1swGwZOEqYlTEUCJLY-eeJM1911Kvaei5oySBIxdgtNo/edit?pli=1#gid=257618397"",""stock FAKTUR!B:d""),3,false)"),"")</f>
        <v/>
      </c>
      <c r="G168" s="53" t="str">
        <f>IFERROR(__xludf.DUMMYFUNCTION("vlookup($D168,IMPORTRANGE(""https://docs.google.com/spreadsheets/d/1swGwZOEqYlTEUCJLY-eeJM1911Kvaei5oySBIxdgtNo/edit?pli=1#gid=257618397"",""stock FAKTUR!B:e""),4,false)"),"")</f>
        <v/>
      </c>
      <c r="H168" s="53" t="str">
        <f>IFERROR(__xludf.DUMMYFUNCTION("vlookup($D168,IMPORTRANGE(""https://docs.google.com/spreadsheets/d/1swGwZOEqYlTEUCJLY-eeJM1911Kvaei5oySBIxdgtNo/edit?pli=1#gid=257618397"",""stock FAKTUR!B:F""),5,false)"),"JK")</f>
        <v>JK</v>
      </c>
      <c r="I168" s="53" t="str">
        <f>IFERROR(__xludf.DUMMYFUNCTION("vlookup($D168,IMPORTRANGE(""https://docs.google.com/spreadsheets/d/1swGwZOEqYlTEUCJLY-eeJM1911Kvaei5oySBIxdgtNo/edit?pli=1#gid=257618397"",""stock FAKTUR!B:G""),6,false)"),"349-12")</f>
        <v>349-12</v>
      </c>
      <c r="J168" s="120" t="str">
        <f t="shared" si="25"/>
        <v>ADA</v>
      </c>
      <c r="K168" s="142">
        <v>24.0</v>
      </c>
      <c r="L168" s="145" t="str">
        <f>IFERROR(__xludf.DUMMYFUNCTION("vlookup($D168,IMPORTRANGE(""https://docs.google.com/spreadsheets/d/1swGwZOEqYlTEUCJLY-eeJM1911Kvaei5oySBIxdgtNo/edit?pli=1#gid=257618397"",""stock FAKTUR!B:q""),16,false)"),"LSN")</f>
        <v>LSN</v>
      </c>
      <c r="M168" s="147">
        <v>13200.0</v>
      </c>
      <c r="N168" s="152">
        <v>0.1</v>
      </c>
      <c r="O168" s="147">
        <f t="shared" si="2"/>
        <v>285120</v>
      </c>
      <c r="P168" s="147" t="str">
        <f t="shared" si="3"/>
        <v>Rp13,200-24 LSN-10.00%</v>
      </c>
      <c r="Q168" s="149">
        <v>45412.0</v>
      </c>
      <c r="R168" s="150"/>
      <c r="S168" s="149">
        <v>45415.0</v>
      </c>
      <c r="T168" s="151"/>
      <c r="U168" s="151"/>
      <c r="V168" s="151"/>
      <c r="W168" s="151"/>
    </row>
    <row r="169">
      <c r="A169" s="142">
        <v>2981.0</v>
      </c>
      <c r="B169" s="143" t="str">
        <f t="shared" si="48"/>
        <v>G</v>
      </c>
      <c r="C169" s="143" t="str">
        <f t="shared" si="49"/>
        <v>AGUNG JAYA-TUBAN</v>
      </c>
      <c r="D169" s="145" t="s">
        <v>4396</v>
      </c>
      <c r="E169" s="145" t="str">
        <f>IFERROR(__xludf.DUMMYFUNCTION("vlookup(D169,IMPORTRANGE(""https://docs.google.com/spreadsheets/d/1swGwZOEqYlTEUCJLY-eeJM1911Kvaei5oySBIxdgtNo/edit?pli=1#gid=257618397"",""stock FAKTUR!B:C""),2,false)"),"STAPLER KENKO HD-10")</f>
        <v>STAPLER KENKO HD-10</v>
      </c>
      <c r="F169" s="53" t="str">
        <f>IFERROR(__xludf.DUMMYFUNCTION("vlookup($D169,IMPORTRANGE(""https://docs.google.com/spreadsheets/d/1swGwZOEqYlTEUCJLY-eeJM1911Kvaei5oySBIxdgtNo/edit?pli=1#gid=257618397"",""stock FAKTUR!B:d""),3,false)"),"")</f>
        <v/>
      </c>
      <c r="G169" s="53" t="str">
        <f>IFERROR(__xludf.DUMMYFUNCTION("vlookup($D169,IMPORTRANGE(""https://docs.google.com/spreadsheets/d/1swGwZOEqYlTEUCJLY-eeJM1911Kvaei5oySBIxdgtNo/edit?pli=1#gid=257618397"",""stock FAKTUR!B:e""),4,false)"),"")</f>
        <v/>
      </c>
      <c r="H169" s="53" t="str">
        <f>IFERROR(__xludf.DUMMYFUNCTION("vlookup($D169,IMPORTRANGE(""https://docs.google.com/spreadsheets/d/1swGwZOEqYlTEUCJLY-eeJM1911Kvaei5oySBIxdgtNo/edit?pli=1#gid=257618397"",""stock FAKTUR!B:F""),5,false)"),"KN")</f>
        <v>KN</v>
      </c>
      <c r="I169" s="53" t="str">
        <f>IFERROR(__xludf.DUMMYFUNCTION("vlookup($D169,IMPORTRANGE(""https://docs.google.com/spreadsheets/d/1swGwZOEqYlTEUCJLY-eeJM1911Kvaei5oySBIxdgtNo/edit?pli=1#gid=257618397"",""stock FAKTUR!B:G""),6,false)"),"HD-10")</f>
        <v>HD-10</v>
      </c>
      <c r="J169" s="120" t="str">
        <f t="shared" si="25"/>
        <v>ADA</v>
      </c>
      <c r="K169" s="142">
        <v>4.0</v>
      </c>
      <c r="L169" s="145" t="str">
        <f>IFERROR(__xludf.DUMMYFUNCTION("vlookup($D169,IMPORTRANGE(""https://docs.google.com/spreadsheets/d/1swGwZOEqYlTEUCJLY-eeJM1911Kvaei5oySBIxdgtNo/edit?pli=1#gid=257618397"",""stock FAKTUR!B:q""),16,false)"),"LSN")</f>
        <v>LSN</v>
      </c>
      <c r="M169" s="147">
        <v>93000.0</v>
      </c>
      <c r="N169" s="152">
        <v>0.1</v>
      </c>
      <c r="O169" s="147">
        <f t="shared" si="2"/>
        <v>334800</v>
      </c>
      <c r="P169" s="147" t="str">
        <f t="shared" si="3"/>
        <v>Rp93,000-4 LSN-10.00%</v>
      </c>
      <c r="Q169" s="149">
        <v>45412.0</v>
      </c>
      <c r="R169" s="150"/>
      <c r="S169" s="149">
        <v>45415.0</v>
      </c>
      <c r="T169" s="151"/>
      <c r="U169" s="151"/>
      <c r="V169" s="151"/>
      <c r="W169" s="151"/>
    </row>
    <row r="170">
      <c r="A170" s="142">
        <v>2981.0</v>
      </c>
      <c r="B170" s="143" t="str">
        <f t="shared" si="48"/>
        <v>G</v>
      </c>
      <c r="C170" s="143" t="str">
        <f t="shared" si="49"/>
        <v>AGUNG JAYA-TUBAN</v>
      </c>
      <c r="D170" s="151" t="s">
        <v>4511</v>
      </c>
      <c r="E170" s="145" t="str">
        <f>IFERROR(__xludf.DUMMYFUNCTION("vlookup(D170,IMPORTRANGE(""https://docs.google.com/spreadsheets/d/1swGwZOEqYlTEUCJLY-eeJM1911Kvaei5oySBIxdgtNo/edit?pli=1#gid=257618397"",""stock FAKTUR!B:C""),2,false)"),"TIPEX KENKO CT-634DT")</f>
        <v>TIPEX KENKO CT-634DT</v>
      </c>
      <c r="F170" s="53" t="str">
        <f>IFERROR(__xludf.DUMMYFUNCTION("vlookup($D170,IMPORTRANGE(""https://docs.google.com/spreadsheets/d/1swGwZOEqYlTEUCJLY-eeJM1911Kvaei5oySBIxdgtNo/edit?pli=1#gid=257618397"",""stock FAKTUR!B:d""),3,false)"),"")</f>
        <v/>
      </c>
      <c r="G170" s="53" t="str">
        <f>IFERROR(__xludf.DUMMYFUNCTION("vlookup($D170,IMPORTRANGE(""https://docs.google.com/spreadsheets/d/1swGwZOEqYlTEUCJLY-eeJM1911Kvaei5oySBIxdgtNo/edit?pli=1#gid=257618397"",""stock FAKTUR!B:e""),4,false)"),"")</f>
        <v/>
      </c>
      <c r="H170" s="53" t="str">
        <f>IFERROR(__xludf.DUMMYFUNCTION("vlookup($D170,IMPORTRANGE(""https://docs.google.com/spreadsheets/d/1swGwZOEqYlTEUCJLY-eeJM1911Kvaei5oySBIxdgtNo/edit?pli=1#gid=257618397"",""stock FAKTUR!B:F""),5,false)"),"KN")</f>
        <v>KN</v>
      </c>
      <c r="I170" s="53" t="str">
        <f>IFERROR(__xludf.DUMMYFUNCTION("vlookup($D170,IMPORTRANGE(""https://docs.google.com/spreadsheets/d/1swGwZOEqYlTEUCJLY-eeJM1911Kvaei5oySBIxdgtNo/edit?pli=1#gid=257618397"",""stock FAKTUR!B:G""),6,false)"),"CT-634DT")</f>
        <v>CT-634DT</v>
      </c>
      <c r="J170" s="120" t="str">
        <f t="shared" si="25"/>
        <v>ADA</v>
      </c>
      <c r="K170" s="142">
        <v>4.0</v>
      </c>
      <c r="L170" s="145" t="str">
        <f>IFERROR(__xludf.DUMMYFUNCTION("vlookup($D170,IMPORTRANGE(""https://docs.google.com/spreadsheets/d/1swGwZOEqYlTEUCJLY-eeJM1911Kvaei5oySBIxdgtNo/edit?pli=1#gid=257618397"",""stock FAKTUR!B:q""),16,false)"),"LSN")</f>
        <v>LSN</v>
      </c>
      <c r="M170" s="147">
        <v>49200.0</v>
      </c>
      <c r="N170" s="152">
        <v>0.1</v>
      </c>
      <c r="O170" s="147">
        <f t="shared" si="2"/>
        <v>177120</v>
      </c>
      <c r="P170" s="147" t="str">
        <f t="shared" si="3"/>
        <v>Rp49,200-4 LSN-10.00%</v>
      </c>
      <c r="Q170" s="149">
        <v>45412.0</v>
      </c>
      <c r="R170" s="150"/>
      <c r="S170" s="149">
        <v>45415.0</v>
      </c>
      <c r="T170" s="151"/>
      <c r="U170" s="151"/>
      <c r="V170" s="151"/>
      <c r="W170" s="151"/>
    </row>
    <row r="171">
      <c r="A171" s="142">
        <v>2981.0</v>
      </c>
      <c r="B171" s="143" t="str">
        <f t="shared" si="48"/>
        <v>G</v>
      </c>
      <c r="C171" s="143" t="str">
        <f t="shared" si="49"/>
        <v>AGUNG JAYA-TUBAN</v>
      </c>
      <c r="D171" s="145" t="s">
        <v>4512</v>
      </c>
      <c r="E171" s="145" t="str">
        <f>IFERROR(__xludf.DUMMYFUNCTION("vlookup(D171,IMPORTRANGE(""https://docs.google.com/spreadsheets/d/1swGwZOEqYlTEUCJLY-eeJM1911Kvaei5oySBIxdgtNo/edit?pli=1#gid=257618397"",""stock FAKTUR!B:C""),2,false)"),"BP KENKO FUN GEL HITAM")</f>
        <v>BP KENKO FUN GEL HITAM</v>
      </c>
      <c r="F171" s="53" t="str">
        <f>IFERROR(__xludf.DUMMYFUNCTION("vlookup($D171,IMPORTRANGE(""https://docs.google.com/spreadsheets/d/1swGwZOEqYlTEUCJLY-eeJM1911Kvaei5oySBIxdgtNo/edit?pli=1#gid=257618397"",""stock FAKTUR!B:d""),3,false)"),"")</f>
        <v/>
      </c>
      <c r="G171" s="53" t="str">
        <f>IFERROR(__xludf.DUMMYFUNCTION("vlookup($D171,IMPORTRANGE(""https://docs.google.com/spreadsheets/d/1swGwZOEqYlTEUCJLY-eeJM1911Kvaei5oySBIxdgtNo/edit?pli=1#gid=257618397"",""stock FAKTUR!B:e""),4,false)"),"HITAM")</f>
        <v>HITAM</v>
      </c>
      <c r="H171" s="53" t="str">
        <f>IFERROR(__xludf.DUMMYFUNCTION("vlookup($D171,IMPORTRANGE(""https://docs.google.com/spreadsheets/d/1swGwZOEqYlTEUCJLY-eeJM1911Kvaei5oySBIxdgtNo/edit?pli=1#gid=257618397"",""stock FAKTUR!B:F""),5,false)"),"KN")</f>
        <v>KN</v>
      </c>
      <c r="I171" s="53" t="str">
        <f>IFERROR(__xludf.DUMMYFUNCTION("vlookup($D171,IMPORTRANGE(""https://docs.google.com/spreadsheets/d/1swGwZOEqYlTEUCJLY-eeJM1911Kvaei5oySBIxdgtNo/edit?pli=1#gid=257618397"",""stock FAKTUR!B:G""),6,false)"),"")</f>
        <v/>
      </c>
      <c r="J171" s="120" t="str">
        <f t="shared" si="25"/>
        <v>ADA</v>
      </c>
      <c r="K171" s="142">
        <v>12.0</v>
      </c>
      <c r="L171" s="145" t="str">
        <f>IFERROR(__xludf.DUMMYFUNCTION("vlookup($D171,IMPORTRANGE(""https://docs.google.com/spreadsheets/d/1swGwZOEqYlTEUCJLY-eeJM1911Kvaei5oySBIxdgtNo/edit?pli=1#gid=257618397"",""stock FAKTUR!B:q""),16,false)"),"LSN")</f>
        <v>LSN</v>
      </c>
      <c r="M171" s="147">
        <v>25200.0</v>
      </c>
      <c r="N171" s="152">
        <v>0.1</v>
      </c>
      <c r="O171" s="147">
        <f t="shared" si="2"/>
        <v>272160</v>
      </c>
      <c r="P171" s="147" t="str">
        <f t="shared" si="3"/>
        <v>Rp25,200-12 LSN-10.00%</v>
      </c>
      <c r="Q171" s="149">
        <v>45412.0</v>
      </c>
      <c r="R171" s="150"/>
      <c r="S171" s="149">
        <v>45415.0</v>
      </c>
      <c r="T171" s="151"/>
      <c r="U171" s="151"/>
      <c r="V171" s="151"/>
      <c r="W171" s="151"/>
    </row>
    <row r="172">
      <c r="A172" s="142">
        <v>2981.0</v>
      </c>
      <c r="B172" s="143" t="str">
        <f t="shared" si="48"/>
        <v>G</v>
      </c>
      <c r="C172" s="143" t="str">
        <f t="shared" si="49"/>
        <v>AGUNG JAYA-TUBAN</v>
      </c>
      <c r="D172" s="159" t="s">
        <v>4513</v>
      </c>
      <c r="E172" s="145" t="str">
        <f>IFERROR(__xludf.DUMMYFUNCTION("vlookup(D172,IMPORTRANGE(""https://docs.google.com/spreadsheets/d/1swGwZOEqYlTEUCJLY-eeJM1911Kvaei5oySBIxdgtNo/edit?pli=1#gid=257618397"",""stock FAKTUR!B:C""),2,false)"),"BP KENKO SG-1 SNOW GEL HITAM")</f>
        <v>BP KENKO SG-1 SNOW GEL HITAM</v>
      </c>
      <c r="F172" s="53" t="str">
        <f>IFERROR(__xludf.DUMMYFUNCTION("vlookup($D172,IMPORTRANGE(""https://docs.google.com/spreadsheets/d/1swGwZOEqYlTEUCJLY-eeJM1911Kvaei5oySBIxdgtNo/edit?pli=1#gid=257618397"",""stock FAKTUR!B:d""),3,false)"),"")</f>
        <v/>
      </c>
      <c r="G172" s="53" t="str">
        <f>IFERROR(__xludf.DUMMYFUNCTION("vlookup($D172,IMPORTRANGE(""https://docs.google.com/spreadsheets/d/1swGwZOEqYlTEUCJLY-eeJM1911Kvaei5oySBIxdgtNo/edit?pli=1#gid=257618397"",""stock FAKTUR!B:e""),4,false)"),"HITAM")</f>
        <v>HITAM</v>
      </c>
      <c r="H172" s="53" t="str">
        <f>IFERROR(__xludf.DUMMYFUNCTION("vlookup($D172,IMPORTRANGE(""https://docs.google.com/spreadsheets/d/1swGwZOEqYlTEUCJLY-eeJM1911Kvaei5oySBIxdgtNo/edit?pli=1#gid=257618397"",""stock FAKTUR!B:F""),5,false)"),"KN")</f>
        <v>KN</v>
      </c>
      <c r="I172" s="53" t="str">
        <f>IFERROR(__xludf.DUMMYFUNCTION("vlookup($D172,IMPORTRANGE(""https://docs.google.com/spreadsheets/d/1swGwZOEqYlTEUCJLY-eeJM1911Kvaei5oySBIxdgtNo/edit?pli=1#gid=257618397"",""stock FAKTUR!B:G""),6,false)"),"SG-1")</f>
        <v>SG-1</v>
      </c>
      <c r="J172" s="120" t="str">
        <f t="shared" si="25"/>
        <v>ADA</v>
      </c>
      <c r="K172" s="142">
        <v>24.0</v>
      </c>
      <c r="L172" s="145" t="str">
        <f>IFERROR(__xludf.DUMMYFUNCTION("vlookup($D172,IMPORTRANGE(""https://docs.google.com/spreadsheets/d/1swGwZOEqYlTEUCJLY-eeJM1911Kvaei5oySBIxdgtNo/edit?pli=1#gid=257618397"",""stock FAKTUR!B:q""),16,false)"),"LSN")</f>
        <v>LSN</v>
      </c>
      <c r="M172" s="147">
        <v>39600.0</v>
      </c>
      <c r="N172" s="152">
        <v>0.1</v>
      </c>
      <c r="O172" s="147">
        <f t="shared" si="2"/>
        <v>855360</v>
      </c>
      <c r="P172" s="147" t="str">
        <f t="shared" si="3"/>
        <v>Rp39,600-24 LSN-10.00%</v>
      </c>
      <c r="Q172" s="149">
        <v>45412.0</v>
      </c>
      <c r="R172" s="150"/>
      <c r="S172" s="149">
        <v>45415.0</v>
      </c>
      <c r="T172" s="151"/>
      <c r="U172" s="151"/>
      <c r="V172" s="151"/>
      <c r="W172" s="151"/>
    </row>
    <row r="173">
      <c r="A173" s="142">
        <v>4646.0</v>
      </c>
      <c r="B173" s="143" t="s">
        <v>65</v>
      </c>
      <c r="C173" s="143" t="s">
        <v>707</v>
      </c>
      <c r="D173" s="145" t="s">
        <v>4434</v>
      </c>
      <c r="E173" s="145" t="str">
        <f>IFERROR(__xludf.DUMMYFUNCTION("vlookup(D173,IMPORTRANGE(""https://docs.google.com/spreadsheets/d/1swGwZOEqYlTEUCJLY-eeJM1911Kvaei5oySBIxdgtNo/edit?pli=1#gid=257618397"",""stock FAKTUR!B:C""),2,false)"),"PW KENKO 24W CP-24F CLASSIC PANJANG")</f>
        <v>PW KENKO 24W CP-24F CLASSIC PANJANG</v>
      </c>
      <c r="F173" s="53" t="str">
        <f>IFERROR(__xludf.DUMMYFUNCTION("vlookup($D173,IMPORTRANGE(""https://docs.google.com/spreadsheets/d/1swGwZOEqYlTEUCJLY-eeJM1911Kvaei5oySBIxdgtNo/edit?pli=1#gid=257618397"",""stock FAKTUR!B:d""),3,false)"),"")</f>
        <v/>
      </c>
      <c r="G173" s="53" t="str">
        <f>IFERROR(__xludf.DUMMYFUNCTION("vlookup($D173,IMPORTRANGE(""https://docs.google.com/spreadsheets/d/1swGwZOEqYlTEUCJLY-eeJM1911Kvaei5oySBIxdgtNo/edit?pli=1#gid=257618397"",""stock FAKTUR!B:e""),4,false)"),"24W")</f>
        <v>24W</v>
      </c>
      <c r="H173" s="53" t="str">
        <f>IFERROR(__xludf.DUMMYFUNCTION("vlookup($D173,IMPORTRANGE(""https://docs.google.com/spreadsheets/d/1swGwZOEqYlTEUCJLY-eeJM1911Kvaei5oySBIxdgtNo/edit?pli=1#gid=257618397"",""stock FAKTUR!B:F""),5,false)"),"KN")</f>
        <v>KN</v>
      </c>
      <c r="I173" s="53" t="str">
        <f>IFERROR(__xludf.DUMMYFUNCTION("vlookup($D173,IMPORTRANGE(""https://docs.google.com/spreadsheets/d/1swGwZOEqYlTEUCJLY-eeJM1911Kvaei5oySBIxdgtNo/edit?pli=1#gid=257618397"",""stock FAKTUR!B:G""),6,false)"),"CP-24F")</f>
        <v>CP-24F</v>
      </c>
      <c r="J173" s="120" t="str">
        <f t="shared" si="25"/>
        <v>ADA</v>
      </c>
      <c r="K173" s="142">
        <v>1.0</v>
      </c>
      <c r="L173" s="145" t="str">
        <f>IFERROR(__xludf.DUMMYFUNCTION("vlookup($D173,IMPORTRANGE(""https://docs.google.com/spreadsheets/d/1swGwZOEqYlTEUCJLY-eeJM1911Kvaei5oySBIxdgtNo/edit?pli=1#gid=257618397"",""stock FAKTUR!B:q""),16,false)"),"LSN")</f>
        <v>LSN</v>
      </c>
      <c r="M173" s="147">
        <f>20700*12</f>
        <v>248400</v>
      </c>
      <c r="N173" s="152">
        <v>0.14</v>
      </c>
      <c r="O173" s="147">
        <f t="shared" si="2"/>
        <v>213624</v>
      </c>
      <c r="P173" s="147" t="str">
        <f t="shared" si="3"/>
        <v>Rp248,400-1 LSN-14.00%</v>
      </c>
      <c r="Q173" s="149">
        <v>45409.0</v>
      </c>
      <c r="R173" s="150"/>
      <c r="S173" s="149">
        <v>45415.0</v>
      </c>
      <c r="T173" s="151"/>
      <c r="U173" s="151"/>
      <c r="V173" s="151"/>
      <c r="W173" s="151"/>
    </row>
    <row r="174">
      <c r="A174" s="142">
        <v>4663.0</v>
      </c>
      <c r="B174" s="143" t="s">
        <v>65</v>
      </c>
      <c r="C174" s="143" t="s">
        <v>97</v>
      </c>
      <c r="D174" s="145" t="s">
        <v>4514</v>
      </c>
      <c r="E174" s="145" t="str">
        <f>IFERROR(__xludf.DUMMYFUNCTION("vlookup(D174,IMPORTRANGE(""https://docs.google.com/spreadsheets/d/1swGwZOEqYlTEUCJLY-eeJM1911Kvaei5oySBIxdgtNo/edit?pli=1#gid=257618397"",""stock FAKTUR!B:C""),2,false)"),"TAPE DISPENSER KENKO TD-323")</f>
        <v>TAPE DISPENSER KENKO TD-323</v>
      </c>
      <c r="F174" s="53" t="str">
        <f>IFERROR(__xludf.DUMMYFUNCTION("vlookup($D174,IMPORTRANGE(""https://docs.google.com/spreadsheets/d/1swGwZOEqYlTEUCJLY-eeJM1911Kvaei5oySBIxdgtNo/edit?pli=1#gid=257618397"",""stock FAKTUR!B:d""),3,false)"),"")</f>
        <v/>
      </c>
      <c r="G174" s="53" t="str">
        <f>IFERROR(__xludf.DUMMYFUNCTION("vlookup($D174,IMPORTRANGE(""https://docs.google.com/spreadsheets/d/1swGwZOEqYlTEUCJLY-eeJM1911Kvaei5oySBIxdgtNo/edit?pli=1#gid=257618397"",""stock FAKTUR!B:e""),4,false)"),"")</f>
        <v/>
      </c>
      <c r="H174" s="53" t="str">
        <f>IFERROR(__xludf.DUMMYFUNCTION("vlookup($D174,IMPORTRANGE(""https://docs.google.com/spreadsheets/d/1swGwZOEqYlTEUCJLY-eeJM1911Kvaei5oySBIxdgtNo/edit?pli=1#gid=257618397"",""stock FAKTUR!B:F""),5,false)"),"KN")</f>
        <v>KN</v>
      </c>
      <c r="I174" s="53" t="str">
        <f>IFERROR(__xludf.DUMMYFUNCTION("vlookup($D174,IMPORTRANGE(""https://docs.google.com/spreadsheets/d/1swGwZOEqYlTEUCJLY-eeJM1911Kvaei5oySBIxdgtNo/edit?pli=1#gid=257618397"",""stock FAKTUR!B:G""),6,false)"),"TPD-006")</f>
        <v>TPD-006</v>
      </c>
      <c r="J174" s="120" t="str">
        <f t="shared" si="25"/>
        <v>ADA</v>
      </c>
      <c r="K174" s="142">
        <v>24.0</v>
      </c>
      <c r="L174" s="145" t="str">
        <f>IFERROR(__xludf.DUMMYFUNCTION("vlookup($D174,IMPORTRANGE(""https://docs.google.com/spreadsheets/d/1swGwZOEqYlTEUCJLY-eeJM1911Kvaei5oySBIxdgtNo/edit?pli=1#gid=257618397"",""stock FAKTUR!B:q""),16,false)"),"PCS")</f>
        <v>PCS</v>
      </c>
      <c r="M174" s="147">
        <v>19250.0</v>
      </c>
      <c r="N174" s="152">
        <v>0.125</v>
      </c>
      <c r="O174" s="147">
        <f t="shared" si="2"/>
        <v>404250</v>
      </c>
      <c r="P174" s="147" t="str">
        <f t="shared" si="3"/>
        <v>Rp19,250-24 PCS-12.50%</v>
      </c>
      <c r="Q174" s="149">
        <v>45411.0</v>
      </c>
      <c r="R174" s="150"/>
      <c r="S174" s="149">
        <v>45416.0</v>
      </c>
      <c r="T174" s="151"/>
      <c r="U174" s="151"/>
      <c r="V174" s="151"/>
      <c r="W174" s="151"/>
    </row>
    <row r="175">
      <c r="A175" s="142">
        <v>4687.0</v>
      </c>
      <c r="B175" s="143" t="s">
        <v>58</v>
      </c>
      <c r="C175" s="143" t="s">
        <v>1338</v>
      </c>
      <c r="D175" s="145" t="s">
        <v>4399</v>
      </c>
      <c r="E175" s="145" t="str">
        <f>IFERROR(__xludf.DUMMYFUNCTION("vlookup(D175,IMPORTRANGE(""https://docs.google.com/spreadsheets/d/1swGwZOEqYlTEUCJLY-eeJM1911Kvaei5oySBIxdgtNo/edit?pli=1#gid=257618397"",""stock FAKTUR!B:C""),2,false)"),"PW KENKO 12W CP-12F CLASSIC PANJANG")</f>
        <v>PW KENKO 12W CP-12F CLASSIC PANJANG</v>
      </c>
      <c r="F175" s="53" t="str">
        <f>IFERROR(__xludf.DUMMYFUNCTION("vlookup($D175,IMPORTRANGE(""https://docs.google.com/spreadsheets/d/1swGwZOEqYlTEUCJLY-eeJM1911Kvaei5oySBIxdgtNo/edit?pli=1#gid=257618397"",""stock FAKTUR!B:d""),3,false)"),"")</f>
        <v/>
      </c>
      <c r="G175" s="53" t="str">
        <f>IFERROR(__xludf.DUMMYFUNCTION("vlookup($D175,IMPORTRANGE(""https://docs.google.com/spreadsheets/d/1swGwZOEqYlTEUCJLY-eeJM1911Kvaei5oySBIxdgtNo/edit?pli=1#gid=257618397"",""stock FAKTUR!B:e""),4,false)"),"12W")</f>
        <v>12W</v>
      </c>
      <c r="H175" s="53" t="str">
        <f>IFERROR(__xludf.DUMMYFUNCTION("vlookup($D175,IMPORTRANGE(""https://docs.google.com/spreadsheets/d/1swGwZOEqYlTEUCJLY-eeJM1911Kvaei5oySBIxdgtNo/edit?pli=1#gid=257618397"",""stock FAKTUR!B:F""),5,false)"),"KN")</f>
        <v>KN</v>
      </c>
      <c r="I175" s="53" t="str">
        <f>IFERROR(__xludf.DUMMYFUNCTION("vlookup($D175,IMPORTRANGE(""https://docs.google.com/spreadsheets/d/1swGwZOEqYlTEUCJLY-eeJM1911Kvaei5oySBIxdgtNo/edit?pli=1#gid=257618397"",""stock FAKTUR!B:G""),6,false)"),"CP-12F")</f>
        <v>CP-12F</v>
      </c>
      <c r="J175" s="120" t="str">
        <f t="shared" si="25"/>
        <v>ADA</v>
      </c>
      <c r="K175" s="142">
        <v>24.0</v>
      </c>
      <c r="L175" s="145" t="str">
        <f>IFERROR(__xludf.DUMMYFUNCTION("vlookup($D175,IMPORTRANGE(""https://docs.google.com/spreadsheets/d/1swGwZOEqYlTEUCJLY-eeJM1911Kvaei5oySBIxdgtNo/edit?pli=1#gid=257618397"",""stock FAKTUR!B:q""),16,false)"),"LSN")</f>
        <v>LSN</v>
      </c>
      <c r="M175" s="147">
        <v>124200.0</v>
      </c>
      <c r="N175" s="152">
        <v>0.125</v>
      </c>
      <c r="O175" s="147">
        <f t="shared" si="2"/>
        <v>2608200</v>
      </c>
      <c r="P175" s="147" t="str">
        <f t="shared" si="3"/>
        <v>Rp124,200-24 LSN-12.50%</v>
      </c>
      <c r="Q175" s="149">
        <v>45411.0</v>
      </c>
      <c r="R175" s="150"/>
      <c r="S175" s="149">
        <v>45416.0</v>
      </c>
      <c r="T175" s="151"/>
      <c r="U175" s="151"/>
      <c r="V175" s="151"/>
      <c r="W175" s="151"/>
    </row>
    <row r="176">
      <c r="A176" s="142">
        <v>4687.0</v>
      </c>
      <c r="B176" s="143" t="str">
        <f t="shared" ref="B176:B178" si="50">IF(A176=A175,B175,"")</f>
        <v>G</v>
      </c>
      <c r="C176" s="143" t="str">
        <f t="shared" ref="C176:C178" si="51">IF(A176=A175,C175,"")</f>
        <v>NABILA-TUBAN</v>
      </c>
      <c r="D176" s="145" t="s">
        <v>4501</v>
      </c>
      <c r="E176" s="145" t="str">
        <f>IFERROR(__xludf.DUMMYFUNCTION("vlookup(D176,IMPORTRANGE(""https://docs.google.com/spreadsheets/d/1swGwZOEqYlTEUCJLY-eeJM1911Kvaei5oySBIxdgtNo/edit?pli=1#gid=257618397"",""stock FAKTUR!B:C""),2,false)"),"PENSIL JK P-88 2B")</f>
        <v>PENSIL JK P-88 2B</v>
      </c>
      <c r="F176" s="53" t="str">
        <f>IFERROR(__xludf.DUMMYFUNCTION("vlookup($D176,IMPORTRANGE(""https://docs.google.com/spreadsheets/d/1swGwZOEqYlTEUCJLY-eeJM1911Kvaei5oySBIxdgtNo/edit?pli=1#gid=257618397"",""stock FAKTUR!B:d""),3,false)"),"")</f>
        <v/>
      </c>
      <c r="G176" s="53" t="str">
        <f>IFERROR(__xludf.DUMMYFUNCTION("vlookup($D176,IMPORTRANGE(""https://docs.google.com/spreadsheets/d/1swGwZOEqYlTEUCJLY-eeJM1911Kvaei5oySBIxdgtNo/edit?pli=1#gid=257618397"",""stock FAKTUR!B:e""),4,false)"),"")</f>
        <v/>
      </c>
      <c r="H176" s="53" t="str">
        <f>IFERROR(__xludf.DUMMYFUNCTION("vlookup($D176,IMPORTRANGE(""https://docs.google.com/spreadsheets/d/1swGwZOEqYlTEUCJLY-eeJM1911Kvaei5oySBIxdgtNo/edit?pli=1#gid=257618397"",""stock FAKTUR!B:F""),5,false)"),"JK")</f>
        <v>JK</v>
      </c>
      <c r="I176" s="53" t="str">
        <f>IFERROR(__xludf.DUMMYFUNCTION("vlookup($D176,IMPORTRANGE(""https://docs.google.com/spreadsheets/d/1swGwZOEqYlTEUCJLY-eeJM1911Kvaei5oySBIxdgtNo/edit?pli=1#gid=257618397"",""stock FAKTUR!B:G""),6,false)"),"P-88")</f>
        <v>P-88</v>
      </c>
      <c r="J176" s="120" t="str">
        <f t="shared" si="25"/>
        <v>ADA</v>
      </c>
      <c r="K176" s="142">
        <v>30.0</v>
      </c>
      <c r="L176" s="145" t="str">
        <f>IFERROR(__xludf.DUMMYFUNCTION("vlookup($D176,IMPORTRANGE(""https://docs.google.com/spreadsheets/d/1swGwZOEqYlTEUCJLY-eeJM1911Kvaei5oySBIxdgtNo/edit?pli=1#gid=257618397"",""stock FAKTUR!B:q""),16,false)"),"GRS")</f>
        <v>GRS</v>
      </c>
      <c r="M176" s="147">
        <v>104400.0</v>
      </c>
      <c r="N176" s="152">
        <v>0.125</v>
      </c>
      <c r="O176" s="147">
        <f t="shared" si="2"/>
        <v>2740500</v>
      </c>
      <c r="P176" s="147" t="str">
        <f t="shared" si="3"/>
        <v>Rp104,400-30 GRS-12.50%</v>
      </c>
      <c r="Q176" s="149">
        <v>45411.0</v>
      </c>
      <c r="R176" s="150"/>
      <c r="S176" s="149">
        <v>45416.0</v>
      </c>
      <c r="T176" s="151"/>
      <c r="U176" s="151"/>
      <c r="V176" s="151"/>
      <c r="W176" s="151"/>
    </row>
    <row r="177">
      <c r="A177" s="142">
        <v>4687.0</v>
      </c>
      <c r="B177" s="143" t="str">
        <f t="shared" si="50"/>
        <v>G</v>
      </c>
      <c r="C177" s="143" t="str">
        <f t="shared" si="51"/>
        <v>NABILA-TUBAN</v>
      </c>
      <c r="D177" s="145" t="s">
        <v>4515</v>
      </c>
      <c r="E177" s="145" t="str">
        <f>IFERROR(__xludf.DUMMYFUNCTION("vlookup(D177,IMPORTRANGE(""https://docs.google.com/spreadsheets/d/1swGwZOEqYlTEUCJLY-eeJM1911Kvaei5oySBIxdgtNo/edit?pli=1#gid=257618397"",""stock FAKTUR!B:C""),2,false)"),"STAPLER JK HD-10 M")</f>
        <v>STAPLER JK HD-10 M</v>
      </c>
      <c r="F177" s="53" t="str">
        <f>IFERROR(__xludf.DUMMYFUNCTION("vlookup($D177,IMPORTRANGE(""https://docs.google.com/spreadsheets/d/1swGwZOEqYlTEUCJLY-eeJM1911Kvaei5oySBIxdgtNo/edit?pli=1#gid=257618397"",""stock FAKTUR!B:d""),3,false)"),"")</f>
        <v/>
      </c>
      <c r="G177" s="53" t="str">
        <f>IFERROR(__xludf.DUMMYFUNCTION("vlookup($D177,IMPORTRANGE(""https://docs.google.com/spreadsheets/d/1swGwZOEqYlTEUCJLY-eeJM1911Kvaei5oySBIxdgtNo/edit?pli=1#gid=257618397"",""stock FAKTUR!B:e""),4,false)"),"")</f>
        <v/>
      </c>
      <c r="H177" s="53" t="str">
        <f>IFERROR(__xludf.DUMMYFUNCTION("vlookup($D177,IMPORTRANGE(""https://docs.google.com/spreadsheets/d/1swGwZOEqYlTEUCJLY-eeJM1911Kvaei5oySBIxdgtNo/edit?pli=1#gid=257618397"",""stock FAKTUR!B:F""),5,false)"),"JK")</f>
        <v>JK</v>
      </c>
      <c r="I177" s="53" t="str">
        <f>IFERROR(__xludf.DUMMYFUNCTION("vlookup($D177,IMPORTRANGE(""https://docs.google.com/spreadsheets/d/1swGwZOEqYlTEUCJLY-eeJM1911Kvaei5oySBIxdgtNo/edit?pli=1#gid=257618397"",""stock FAKTUR!B:G""),6,false)"),"HD-10 M")</f>
        <v>HD-10 M</v>
      </c>
      <c r="J177" s="120" t="str">
        <f t="shared" si="25"/>
        <v>ADA</v>
      </c>
      <c r="K177" s="142">
        <v>25.0</v>
      </c>
      <c r="L177" s="145" t="str">
        <f>IFERROR(__xludf.DUMMYFUNCTION("vlookup($D177,IMPORTRANGE(""https://docs.google.com/spreadsheets/d/1swGwZOEqYlTEUCJLY-eeJM1911Kvaei5oySBIxdgtNo/edit?pli=1#gid=257618397"",""stock FAKTUR!B:q""),16,false)"),"LSN")</f>
        <v>LSN</v>
      </c>
      <c r="M177" s="147">
        <v>70800.0</v>
      </c>
      <c r="N177" s="152">
        <v>0.125</v>
      </c>
      <c r="O177" s="147">
        <f t="shared" si="2"/>
        <v>1548750</v>
      </c>
      <c r="P177" s="147" t="str">
        <f t="shared" si="3"/>
        <v>Rp70,800-25 LSN-12.50%</v>
      </c>
      <c r="Q177" s="149">
        <v>45411.0</v>
      </c>
      <c r="R177" s="150"/>
      <c r="S177" s="149">
        <v>45416.0</v>
      </c>
      <c r="T177" s="151"/>
      <c r="U177" s="151"/>
      <c r="V177" s="151"/>
      <c r="W177" s="151"/>
    </row>
    <row r="178">
      <c r="A178" s="142">
        <v>4687.0</v>
      </c>
      <c r="B178" s="143" t="str">
        <f t="shared" si="50"/>
        <v>G</v>
      </c>
      <c r="C178" s="143" t="str">
        <f t="shared" si="51"/>
        <v>NABILA-TUBAN</v>
      </c>
      <c r="D178" s="145" t="s">
        <v>4516</v>
      </c>
      <c r="E178" s="145" t="str">
        <f>IFERROR(__xludf.DUMMYFUNCTION("vlookup(D178,IMPORTRANGE(""https://docs.google.com/spreadsheets/d/1swGwZOEqYlTEUCJLY-eeJM1911Kvaei5oySBIxdgtNo/edit?pli=1#gid=257618397"",""stock FAKTUR!B:C""),2,false)"),"BP KENKO K-1 ECO HITAM")</f>
        <v>BP KENKO K-1 ECO HITAM</v>
      </c>
      <c r="F178" s="53" t="str">
        <f>IFERROR(__xludf.DUMMYFUNCTION("vlookup($D178,IMPORTRANGE(""https://docs.google.com/spreadsheets/d/1swGwZOEqYlTEUCJLY-eeJM1911Kvaei5oySBIxdgtNo/edit?pli=1#gid=257618397"",""stock FAKTUR!B:d""),3,false)"),"")</f>
        <v/>
      </c>
      <c r="G178" s="53" t="str">
        <f>IFERROR(__xludf.DUMMYFUNCTION("vlookup($D178,IMPORTRANGE(""https://docs.google.com/spreadsheets/d/1swGwZOEqYlTEUCJLY-eeJM1911Kvaei5oySBIxdgtNo/edit?pli=1#gid=257618397"",""stock FAKTUR!B:e""),4,false)"),"HITAM")</f>
        <v>HITAM</v>
      </c>
      <c r="H178" s="53" t="str">
        <f>IFERROR(__xludf.DUMMYFUNCTION("vlookup($D178,IMPORTRANGE(""https://docs.google.com/spreadsheets/d/1swGwZOEqYlTEUCJLY-eeJM1911Kvaei5oySBIxdgtNo/edit?pli=1#gid=257618397"",""stock FAKTUR!B:F""),5,false)"),"KN")</f>
        <v>KN</v>
      </c>
      <c r="I178" s="53" t="str">
        <f>IFERROR(__xludf.DUMMYFUNCTION("vlookup($D178,IMPORTRANGE(""https://docs.google.com/spreadsheets/d/1swGwZOEqYlTEUCJLY-eeJM1911Kvaei5oySBIxdgtNo/edit?pli=1#gid=257618397"",""stock FAKTUR!B:G""),6,false)"),"GPR-025B")</f>
        <v>GPR-025B</v>
      </c>
      <c r="J178" s="120" t="str">
        <f t="shared" si="25"/>
        <v>ADA</v>
      </c>
      <c r="K178" s="142">
        <v>36.0</v>
      </c>
      <c r="L178" s="145" t="str">
        <f>IFERROR(__xludf.DUMMYFUNCTION("vlookup($D178,IMPORTRANGE(""https://docs.google.com/spreadsheets/d/1swGwZOEqYlTEUCJLY-eeJM1911Kvaei5oySBIxdgtNo/edit?pli=1#gid=257618397"",""stock FAKTUR!B:q""),16,false)"),"LSN")</f>
        <v>LSN</v>
      </c>
      <c r="M178" s="147">
        <v>27000.0</v>
      </c>
      <c r="N178" s="152">
        <v>0.1</v>
      </c>
      <c r="O178" s="147">
        <f t="shared" si="2"/>
        <v>874800</v>
      </c>
      <c r="P178" s="147" t="str">
        <f t="shared" si="3"/>
        <v>Rp27,000-36 LSN-10.00%</v>
      </c>
      <c r="Q178" s="149">
        <v>45411.0</v>
      </c>
      <c r="R178" s="150"/>
      <c r="S178" s="149">
        <v>45416.0</v>
      </c>
      <c r="T178" s="151"/>
      <c r="U178" s="151"/>
      <c r="V178" s="151"/>
      <c r="W178" s="151"/>
    </row>
    <row r="179">
      <c r="A179" s="142">
        <v>4686.0</v>
      </c>
      <c r="B179" s="143" t="s">
        <v>58</v>
      </c>
      <c r="C179" s="143" t="s">
        <v>1338</v>
      </c>
      <c r="D179" s="145" t="s">
        <v>4517</v>
      </c>
      <c r="E179" s="145" t="str">
        <f>IFERROR(__xludf.DUMMYFUNCTION("vlookup(D179,IMPORTRANGE(""https://docs.google.com/spreadsheets/d/1swGwZOEqYlTEUCJLY-eeJM1911Kvaei5oySBIxdgtNo/edit?pli=1#gid=257618397"",""stock FAKTUR!B:C""),2,false)"),"BP VANCO 1609")</f>
        <v>BP VANCO 1609</v>
      </c>
      <c r="F179" s="53" t="str">
        <f>IFERROR(__xludf.DUMMYFUNCTION("vlookup($D179,IMPORTRANGE(""https://docs.google.com/spreadsheets/d/1swGwZOEqYlTEUCJLY-eeJM1911Kvaei5oySBIxdgtNo/edit?pli=1#gid=257618397"",""stock FAKTUR!B:d""),3,false)"),"")</f>
        <v/>
      </c>
      <c r="G179" s="53" t="str">
        <f>IFERROR(__xludf.DUMMYFUNCTION("vlookup($D179,IMPORTRANGE(""https://docs.google.com/spreadsheets/d/1swGwZOEqYlTEUCJLY-eeJM1911Kvaei5oySBIxdgtNo/edit?pli=1#gid=257618397"",""stock FAKTUR!B:e""),4,false)"),"")</f>
        <v/>
      </c>
      <c r="H179" s="53" t="str">
        <f>IFERROR(__xludf.DUMMYFUNCTION("vlookup($D179,IMPORTRANGE(""https://docs.google.com/spreadsheets/d/1swGwZOEqYlTEUCJLY-eeJM1911Kvaei5oySBIxdgtNo/edit?pli=1#gid=257618397"",""stock FAKTUR!B:F""),5,false)"),"VN")</f>
        <v>VN</v>
      </c>
      <c r="I179" s="53" t="str">
        <f>IFERROR(__xludf.DUMMYFUNCTION("vlookup($D179,IMPORTRANGE(""https://docs.google.com/spreadsheets/d/1swGwZOEqYlTEUCJLY-eeJM1911Kvaei5oySBIxdgtNo/edit?pli=1#gid=257618397"",""stock FAKTUR!B:G""),6,false)"),"1609")</f>
        <v>1609</v>
      </c>
      <c r="J179" s="120" t="str">
        <f t="shared" si="25"/>
        <v>ADA</v>
      </c>
      <c r="K179" s="142">
        <v>24.0</v>
      </c>
      <c r="L179" s="145" t="str">
        <f>IFERROR(__xludf.DUMMYFUNCTION("vlookup($D179,IMPORTRANGE(""https://docs.google.com/spreadsheets/d/1swGwZOEqYlTEUCJLY-eeJM1911Kvaei5oySBIxdgtNo/edit?pli=1#gid=257618397"",""stock FAKTUR!B:q""),16,false)"),"LSN")</f>
        <v>LSN</v>
      </c>
      <c r="M179" s="147">
        <v>10500.0</v>
      </c>
      <c r="N179" s="148"/>
      <c r="O179" s="147">
        <f t="shared" si="2"/>
        <v>252000</v>
      </c>
      <c r="P179" s="147" t="str">
        <f t="shared" si="3"/>
        <v>Rp10,500-24 LSN-0.00%</v>
      </c>
      <c r="Q179" s="149">
        <v>45411.0</v>
      </c>
      <c r="R179" s="150"/>
      <c r="S179" s="149">
        <v>45416.0</v>
      </c>
      <c r="T179" s="151"/>
      <c r="U179" s="151"/>
      <c r="V179" s="151"/>
      <c r="W179" s="151"/>
    </row>
    <row r="180">
      <c r="A180" s="142">
        <v>4686.0</v>
      </c>
      <c r="B180" s="143" t="str">
        <f t="shared" ref="B180:B182" si="52">IF(A180=A179,B179,"")</f>
        <v>G</v>
      </c>
      <c r="C180" s="143" t="str">
        <f>IF(A180=A179,C179,"")</f>
        <v>NABILA-TUBAN</v>
      </c>
      <c r="D180" s="151" t="s">
        <v>4461</v>
      </c>
      <c r="E180" s="145" t="str">
        <f>IFERROR(__xludf.DUMMYFUNCTION("vlookup(D180,IMPORTRANGE(""https://docs.google.com/spreadsheets/d/1swGwZOEqYlTEUCJLY-eeJM1911Kvaei5oySBIxdgtNo/edit?pli=1#gid=257618397"",""stock FAKTUR!B:C""),2,false)"),"GUNTING GUNINDO OLL GR16")</f>
        <v>GUNTING GUNINDO OLL GR16</v>
      </c>
      <c r="F180" s="53" t="str">
        <f>IFERROR(__xludf.DUMMYFUNCTION("vlookup($D180,IMPORTRANGE(""https://docs.google.com/spreadsheets/d/1swGwZOEqYlTEUCJLY-eeJM1911Kvaei5oySBIxdgtNo/edit?pli=1#gid=257618397"",""stock FAKTUR!B:d""),3,false)"),"")</f>
        <v/>
      </c>
      <c r="G180" s="53" t="str">
        <f>IFERROR(__xludf.DUMMYFUNCTION("vlookup($D180,IMPORTRANGE(""https://docs.google.com/spreadsheets/d/1swGwZOEqYlTEUCJLY-eeJM1911Kvaei5oySBIxdgtNo/edit?pli=1#gid=257618397"",""stock FAKTUR!B:e""),4,false)"),"")</f>
        <v/>
      </c>
      <c r="H180" s="53" t="str">
        <f>IFERROR(__xludf.DUMMYFUNCTION("vlookup($D180,IMPORTRANGE(""https://docs.google.com/spreadsheets/d/1swGwZOEqYlTEUCJLY-eeJM1911Kvaei5oySBIxdgtNo/edit?pli=1#gid=257618397"",""stock FAKTUR!B:F""),5,false)"),"GN")</f>
        <v>GN</v>
      </c>
      <c r="I180" s="53" t="str">
        <f>IFERROR(__xludf.DUMMYFUNCTION("vlookup($D180,IMPORTRANGE(""https://docs.google.com/spreadsheets/d/1swGwZOEqYlTEUCJLY-eeJM1911Kvaei5oySBIxdgtNo/edit?pli=1#gid=257618397"",""stock FAKTUR!B:G""),6,false)"),"GR16")</f>
        <v>GR16</v>
      </c>
      <c r="J180" s="120" t="str">
        <f t="shared" si="25"/>
        <v>ADA</v>
      </c>
      <c r="K180" s="142">
        <v>10.0</v>
      </c>
      <c r="L180" s="145" t="str">
        <f>IFERROR(__xludf.DUMMYFUNCTION("vlookup($D180,IMPORTRANGE(""https://docs.google.com/spreadsheets/d/1swGwZOEqYlTEUCJLY-eeJM1911Kvaei5oySBIxdgtNo/edit?pli=1#gid=257618397"",""stock FAKTUR!B:q""),16,false)"),"LSN")</f>
        <v>LSN</v>
      </c>
      <c r="M180" s="147">
        <v>70000.0</v>
      </c>
      <c r="N180" s="152">
        <v>0.1</v>
      </c>
      <c r="O180" s="147">
        <f t="shared" si="2"/>
        <v>630000</v>
      </c>
      <c r="P180" s="147" t="str">
        <f t="shared" si="3"/>
        <v>Rp70,000-10 LSN-10.00%</v>
      </c>
      <c r="Q180" s="149">
        <v>45411.0</v>
      </c>
      <c r="R180" s="150"/>
      <c r="S180" s="149">
        <v>45416.0</v>
      </c>
      <c r="T180" s="151"/>
      <c r="U180" s="151"/>
      <c r="V180" s="151"/>
      <c r="W180" s="151"/>
    </row>
    <row r="181">
      <c r="A181" s="142">
        <v>232.0</v>
      </c>
      <c r="B181" s="143" t="str">
        <f t="shared" si="52"/>
        <v/>
      </c>
      <c r="C181" s="143" t="s">
        <v>4518</v>
      </c>
      <c r="D181" s="145" t="s">
        <v>4428</v>
      </c>
      <c r="E181" s="145" t="str">
        <f>IFERROR(__xludf.DUMMYFUNCTION("vlookup(D181,IMPORTRANGE(""https://docs.google.com/spreadsheets/d/1swGwZOEqYlTEUCJLY-eeJM1911Kvaei5oySBIxdgtNo/edit?pli=1#gid=257618397"",""stock FAKTUR!B:C""),2,false)"),"ISI STAPLER GW NO. 10")</f>
        <v>ISI STAPLER GW NO. 10</v>
      </c>
      <c r="F181" s="53" t="str">
        <f>IFERROR(__xludf.DUMMYFUNCTION("vlookup($D181,IMPORTRANGE(""https://docs.google.com/spreadsheets/d/1swGwZOEqYlTEUCJLY-eeJM1911Kvaei5oySBIxdgtNo/edit?pli=1#gid=257618397"",""stock FAKTUR!B:d""),3,false)"),"")</f>
        <v/>
      </c>
      <c r="G181" s="53" t="str">
        <f>IFERROR(__xludf.DUMMYFUNCTION("vlookup($D181,IMPORTRANGE(""https://docs.google.com/spreadsheets/d/1swGwZOEqYlTEUCJLY-eeJM1911Kvaei5oySBIxdgtNo/edit?pli=1#gid=257618397"",""stock FAKTUR!B:e""),4,false)"),"")</f>
        <v/>
      </c>
      <c r="H181" s="53" t="str">
        <f>IFERROR(__xludf.DUMMYFUNCTION("vlookup($D181,IMPORTRANGE(""https://docs.google.com/spreadsheets/d/1swGwZOEqYlTEUCJLY-eeJM1911Kvaei5oySBIxdgtNo/edit?pli=1#gid=257618397"",""stock FAKTUR!B:F""),5,false)"),"GW")</f>
        <v>GW</v>
      </c>
      <c r="I181" s="53" t="str">
        <f>IFERROR(__xludf.DUMMYFUNCTION("vlookup($D181,IMPORTRANGE(""https://docs.google.com/spreadsheets/d/1swGwZOEqYlTEUCJLY-eeJM1911Kvaei5oySBIxdgtNo/edit?pli=1#gid=257618397"",""stock FAKTUR!B:G""),6,false)"),"10")</f>
        <v>10</v>
      </c>
      <c r="J181" s="120" t="str">
        <f t="shared" si="25"/>
        <v>ADA</v>
      </c>
      <c r="K181" s="142">
        <v>5.0</v>
      </c>
      <c r="L181" s="145" t="str">
        <f>IFERROR(__xludf.DUMMYFUNCTION("vlookup($D181,IMPORTRANGE(""https://docs.google.com/spreadsheets/d/1swGwZOEqYlTEUCJLY-eeJM1911Kvaei5oySBIxdgtNo/edit?pli=1#gid=257618397"",""stock FAKTUR!B:q""),16,false)"),"PAK")</f>
        <v>PAK</v>
      </c>
      <c r="M181" s="147">
        <v>13000.0</v>
      </c>
      <c r="N181" s="148"/>
      <c r="O181" s="147">
        <f t="shared" si="2"/>
        <v>65000</v>
      </c>
      <c r="P181" s="147" t="str">
        <f t="shared" si="3"/>
        <v>Rp13,000-5 PAK-0.00%</v>
      </c>
      <c r="Q181" s="149">
        <v>45411.0</v>
      </c>
      <c r="R181" s="150"/>
      <c r="S181" s="149">
        <v>45416.0</v>
      </c>
      <c r="T181" s="151"/>
      <c r="U181" s="151"/>
      <c r="V181" s="151"/>
      <c r="W181" s="151"/>
    </row>
    <row r="182">
      <c r="A182" s="142">
        <v>232.0</v>
      </c>
      <c r="B182" s="143" t="str">
        <f t="shared" si="52"/>
        <v/>
      </c>
      <c r="C182" s="143" t="str">
        <f>IF(A182=A181,C181,"")</f>
        <v>SBM</v>
      </c>
      <c r="D182" s="145" t="s">
        <v>4210</v>
      </c>
      <c r="E182" s="145" t="str">
        <f>IFERROR(__xludf.DUMMYFUNCTION("vlookup(D182,IMPORTRANGE(""https://docs.google.com/spreadsheets/d/1swGwZOEqYlTEUCJLY-eeJM1911Kvaei5oySBIxdgtNo/edit?pli=1#gid=257618397"",""stock FAKTUR!B:C""),2,false)"),"CUTTER KENKO L-500")</f>
        <v>CUTTER KENKO L-500</v>
      </c>
      <c r="F182" s="53" t="str">
        <f>IFERROR(__xludf.DUMMYFUNCTION("vlookup($D182,IMPORTRANGE(""https://docs.google.com/spreadsheets/d/1swGwZOEqYlTEUCJLY-eeJM1911Kvaei5oySBIxdgtNo/edit?pli=1#gid=257618397"",""stock FAKTUR!B:d""),3,false)"),"18 MM")</f>
        <v>18 MM</v>
      </c>
      <c r="G182" s="53" t="str">
        <f>IFERROR(__xludf.DUMMYFUNCTION("vlookup($D182,IMPORTRANGE(""https://docs.google.com/spreadsheets/d/1swGwZOEqYlTEUCJLY-eeJM1911Kvaei5oySBIxdgtNo/edit?pli=1#gid=257618397"",""stock FAKTUR!B:e""),4,false)"),"")</f>
        <v/>
      </c>
      <c r="H182" s="53" t="str">
        <f>IFERROR(__xludf.DUMMYFUNCTION("vlookup($D182,IMPORTRANGE(""https://docs.google.com/spreadsheets/d/1swGwZOEqYlTEUCJLY-eeJM1911Kvaei5oySBIxdgtNo/edit?pli=1#gid=257618397"",""stock FAKTUR!B:F""),5,false)"),"KN")</f>
        <v>KN</v>
      </c>
      <c r="I182" s="53" t="str">
        <f>IFERROR(__xludf.DUMMYFUNCTION("vlookup($D182,IMPORTRANGE(""https://docs.google.com/spreadsheets/d/1swGwZOEqYlTEUCJLY-eeJM1911Kvaei5oySBIxdgtNo/edit?pli=1#gid=257618397"",""stock FAKTUR!B:G""),6,false)"),"CTR-007")</f>
        <v>CTR-007</v>
      </c>
      <c r="J182" s="120" t="str">
        <f t="shared" si="25"/>
        <v>ADA</v>
      </c>
      <c r="K182" s="142">
        <v>1.0</v>
      </c>
      <c r="L182" s="145" t="str">
        <f>IFERROR(__xludf.DUMMYFUNCTION("vlookup($D182,IMPORTRANGE(""https://docs.google.com/spreadsheets/d/1swGwZOEqYlTEUCJLY-eeJM1911Kvaei5oySBIxdgtNo/edit?pli=1#gid=257618397"",""stock FAKTUR!B:q""),16,false)"),"LSN")</f>
        <v>LSN</v>
      </c>
      <c r="M182" s="147">
        <v>147600.0</v>
      </c>
      <c r="N182" s="152">
        <v>0.15</v>
      </c>
      <c r="O182" s="147">
        <f t="shared" si="2"/>
        <v>125460</v>
      </c>
      <c r="P182" s="147" t="str">
        <f t="shared" si="3"/>
        <v>Rp147,600-1 LSN-15.00%</v>
      </c>
      <c r="Q182" s="149">
        <v>45411.0</v>
      </c>
      <c r="R182" s="150"/>
      <c r="S182" s="149">
        <v>45416.0</v>
      </c>
      <c r="T182" s="151"/>
      <c r="U182" s="151"/>
      <c r="V182" s="151"/>
      <c r="W182" s="151"/>
    </row>
    <row r="183">
      <c r="A183" s="142">
        <v>4674.0</v>
      </c>
      <c r="B183" s="143" t="s">
        <v>33</v>
      </c>
      <c r="C183" s="143" t="s">
        <v>1452</v>
      </c>
      <c r="D183" s="145" t="s">
        <v>4386</v>
      </c>
      <c r="E183" s="145" t="str">
        <f>IFERROR(__xludf.DUMMYFUNCTION("vlookup(D183,IMPORTRANGE(""https://docs.google.com/spreadsheets/d/1swGwZOEqYlTEUCJLY-eeJM1911Kvaei5oySBIxdgtNo/edit?pli=1#gid=257618397"",""stock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183" s="53" t="str">
        <f>IFERROR(__xludf.DUMMYFUNCTION("vlookup($D183,IMPORTRANGE(""https://docs.google.com/spreadsheets/d/1swGwZOEqYlTEUCJLY-eeJM1911Kvaei5oySBIxdgtNo/edit?pli=1#gid=257618397"",""stock FAKTUR!B:d""),3,false)"),"")</f>
        <v/>
      </c>
      <c r="G183" s="53" t="str">
        <f>IFERROR(__xludf.DUMMYFUNCTION("vlookup($D183,IMPORTRANGE(""https://docs.google.com/spreadsheets/d/1swGwZOEqYlTEUCJLY-eeJM1911Kvaei5oySBIxdgtNo/edit?pli=1#gid=257618397"",""stock FAKTUR!B:e""),4,false)"),"12W")</f>
        <v>12W</v>
      </c>
      <c r="H183" s="53" t="str">
        <f>IFERROR(__xludf.DUMMYFUNCTION("vlookup($D183,IMPORTRANGE(""https://docs.google.com/spreadsheets/d/1swGwZOEqYlTEUCJLY-eeJM1911Kvaei5oySBIxdgtNo/edit?pli=1#gid=257618397"",""stock FAKTUR!B:F""),5,false)"),"JK")</f>
        <v>JK</v>
      </c>
      <c r="I183" s="53" t="str">
        <f>IFERROR(__xludf.DUMMYFUNCTION("vlookup($D183,IMPORTRANGE(""https://docs.google.com/spreadsheets/d/1swGwZOEqYlTEUCJLY-eeJM1911Kvaei5oySBIxdgtNo/edit?pli=1#gid=257618397"",""stock FAKTUR!B:G""),6,false)"),"OP-12S")</f>
        <v>OP-12S</v>
      </c>
      <c r="J183" s="120" t="str">
        <f t="shared" si="25"/>
        <v>ADA</v>
      </c>
      <c r="K183" s="146">
        <v>144.0</v>
      </c>
      <c r="L183" s="145" t="str">
        <f>IFERROR(__xludf.DUMMYFUNCTION("vlookup($D183,IMPORTRANGE(""https://docs.google.com/spreadsheets/d/1swGwZOEqYlTEUCJLY-eeJM1911Kvaei5oySBIxdgtNo/edit?pli=1#gid=257618397"",""stock FAKTUR!B:q""),16,false)"),"PCS")</f>
        <v>PCS</v>
      </c>
      <c r="M183" s="147">
        <v>11900.0</v>
      </c>
      <c r="N183" s="152">
        <v>0.14</v>
      </c>
      <c r="O183" s="147">
        <f t="shared" si="2"/>
        <v>1473696</v>
      </c>
      <c r="P183" s="147" t="str">
        <f t="shared" si="3"/>
        <v>Rp11,900-144 PCS-14.00%</v>
      </c>
      <c r="Q183" s="149">
        <v>45411.0</v>
      </c>
      <c r="R183" s="150"/>
      <c r="S183" s="149">
        <v>45416.0</v>
      </c>
      <c r="T183" s="151"/>
      <c r="U183" s="151"/>
      <c r="V183" s="151"/>
      <c r="W183" s="151"/>
    </row>
    <row r="184">
      <c r="A184" s="142">
        <v>4674.0</v>
      </c>
      <c r="B184" s="143" t="str">
        <f t="shared" ref="B184:B192" si="53">IF(A184=A183,B183,"")</f>
        <v>H</v>
      </c>
      <c r="C184" s="143" t="str">
        <f t="shared" ref="C184:C192" si="54">IF(A184=A183,C183,"")</f>
        <v>SUKSES-SALATIGA</v>
      </c>
      <c r="D184" s="145" t="s">
        <v>4402</v>
      </c>
      <c r="E184" s="145" t="str">
        <f>IFERROR(__xludf.DUMMYFUNCTION("vlookup(D184,IMPORTRANGE(""https://docs.google.com/spreadsheets/d/1swGwZOEqYlTEUCJLY-eeJM1911Kvaei5oySBIxdgtNo/edit?pli=1#gid=257618397"",""stock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184" s="53" t="str">
        <f>IFERROR(__xludf.DUMMYFUNCTION("vlookup($D184,IMPORTRANGE(""https://docs.google.com/spreadsheets/d/1swGwZOEqYlTEUCJLY-eeJM1911Kvaei5oySBIxdgtNo/edit?pli=1#gid=257618397"",""stock FAKTUR!B:d""),3,false)"),"")</f>
        <v/>
      </c>
      <c r="G184" s="53" t="str">
        <f>IFERROR(__xludf.DUMMYFUNCTION("vlookup($D184,IMPORTRANGE(""https://docs.google.com/spreadsheets/d/1swGwZOEqYlTEUCJLY-eeJM1911Kvaei5oySBIxdgtNo/edit?pli=1#gid=257618397"",""stock FAKTUR!B:e""),4,false)"),"55W")</f>
        <v>55W</v>
      </c>
      <c r="H184" s="53" t="str">
        <f>IFERROR(__xludf.DUMMYFUNCTION("vlookup($D184,IMPORTRANGE(""https://docs.google.com/spreadsheets/d/1swGwZOEqYlTEUCJLY-eeJM1911Kvaei5oySBIxdgtNo/edit?pli=1#gid=257618397"",""stock FAKTUR!B:F""),5,false)"),"JK")</f>
        <v>JK</v>
      </c>
      <c r="I184" s="53" t="str">
        <f>IFERROR(__xludf.DUMMYFUNCTION("vlookup($D184,IMPORTRANGE(""https://docs.google.com/spreadsheets/d/1swGwZOEqYlTEUCJLY-eeJM1911Kvaei5oySBIxdgtNo/edit?pli=1#gid=257618397"",""stock FAKTUR!B:G""),6,false)"),"")</f>
        <v/>
      </c>
      <c r="J184" s="120" t="str">
        <f t="shared" si="25"/>
        <v>ADA</v>
      </c>
      <c r="K184" s="142">
        <v>24.0</v>
      </c>
      <c r="L184" s="145" t="str">
        <f>IFERROR(__xludf.DUMMYFUNCTION("vlookup($D184,IMPORTRANGE(""https://docs.google.com/spreadsheets/d/1swGwZOEqYlTEUCJLY-eeJM1911Kvaei5oySBIxdgtNo/edit?pli=1#gid=257618397"",""stock FAKTUR!B:q""),16,false)"),"PCS")</f>
        <v>PCS</v>
      </c>
      <c r="M184" s="147">
        <v>66900.0</v>
      </c>
      <c r="N184" s="152">
        <v>0.14</v>
      </c>
      <c r="O184" s="147">
        <f t="shared" si="2"/>
        <v>1380816</v>
      </c>
      <c r="P184" s="147" t="str">
        <f t="shared" si="3"/>
        <v>Rp66,900-24 PCS-14.00%</v>
      </c>
      <c r="Q184" s="149">
        <v>45411.0</v>
      </c>
      <c r="R184" s="150"/>
      <c r="S184" s="149">
        <v>45416.0</v>
      </c>
      <c r="T184" s="151"/>
      <c r="U184" s="151"/>
      <c r="V184" s="151"/>
      <c r="W184" s="151"/>
    </row>
    <row r="185">
      <c r="A185" s="142">
        <v>4674.0</v>
      </c>
      <c r="B185" s="143" t="str">
        <f t="shared" si="53"/>
        <v>H</v>
      </c>
      <c r="C185" s="143" t="str">
        <f t="shared" si="54"/>
        <v>SUKSES-SALATIGA</v>
      </c>
      <c r="D185" s="144" t="s">
        <v>4392</v>
      </c>
      <c r="E185" s="145" t="str">
        <f>IFERROR(__xludf.DUMMYFUNCTION("vlookup(D185,IMPORTRANGE(""https://docs.google.com/spreadsheets/d/1swGwZOEqYlTEUCJLY-eeJM1911Kvaei5oySBIxdgtNo/edit?pli=1#gid=257618397"",""stock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85" s="53" t="str">
        <f>IFERROR(__xludf.DUMMYFUNCTION("vlookup($D185,IMPORTRANGE(""https://docs.google.com/spreadsheets/d/1swGwZOEqYlTEUCJLY-eeJM1911Kvaei5oySBIxdgtNo/edit?pli=1#gid=257618397"",""stock FAKTUR!B:d""),3,false)"),"")</f>
        <v/>
      </c>
      <c r="G185" s="53" t="str">
        <f>IFERROR(__xludf.DUMMYFUNCTION("vlookup($D185,IMPORTRANGE(""https://docs.google.com/spreadsheets/d/1swGwZOEqYlTEUCJLY-eeJM1911Kvaei5oySBIxdgtNo/edit?pli=1#gid=257618397"",""stock FAKTUR!B:e""),4,false)"),"18W")</f>
        <v>18W</v>
      </c>
      <c r="H185" s="53" t="str">
        <f>IFERROR(__xludf.DUMMYFUNCTION("vlookup($D185,IMPORTRANGE(""https://docs.google.com/spreadsheets/d/1swGwZOEqYlTEUCJLY-eeJM1911Kvaei5oySBIxdgtNo/edit?pli=1#gid=257618397"",""stock FAKTUR!B:F""),5,false)"),"JK")</f>
        <v>JK</v>
      </c>
      <c r="I185" s="53" t="str">
        <f>IFERROR(__xludf.DUMMYFUNCTION("vlookup($D185,IMPORTRANGE(""https://docs.google.com/spreadsheets/d/1swGwZOEqYlTEUCJLY-eeJM1911Kvaei5oySBIxdgtNo/edit?pli=1#gid=257618397"",""stock FAKTUR!B:G""),6,false)"),"OP-18S")</f>
        <v>OP-18S</v>
      </c>
      <c r="J185" s="120" t="str">
        <f t="shared" si="25"/>
        <v>ADA</v>
      </c>
      <c r="K185" s="142">
        <v>69.0</v>
      </c>
      <c r="L185" s="145" t="str">
        <f>IFERROR(__xludf.DUMMYFUNCTION("vlookup($D185,IMPORTRANGE(""https://docs.google.com/spreadsheets/d/1swGwZOEqYlTEUCJLY-eeJM1911Kvaei5oySBIxdgtNo/edit?pli=1#gid=257618397"",""stock FAKTUR!B:q""),16,false)"),"PCS")</f>
        <v>PCS</v>
      </c>
      <c r="M185" s="147">
        <v>23000.0</v>
      </c>
      <c r="N185" s="152">
        <v>0.14</v>
      </c>
      <c r="O185" s="147">
        <f t="shared" si="2"/>
        <v>1364820</v>
      </c>
      <c r="P185" s="147" t="str">
        <f t="shared" si="3"/>
        <v>Rp23,000-69 PCS-14.00%</v>
      </c>
      <c r="Q185" s="149">
        <v>45411.0</v>
      </c>
      <c r="R185" s="150"/>
      <c r="S185" s="149">
        <v>45416.0</v>
      </c>
      <c r="T185" s="151"/>
      <c r="U185" s="151"/>
      <c r="V185" s="151"/>
      <c r="W185" s="151"/>
    </row>
    <row r="186">
      <c r="A186" s="142">
        <v>4674.0</v>
      </c>
      <c r="B186" s="143" t="str">
        <f t="shared" si="53"/>
        <v>H</v>
      </c>
      <c r="C186" s="143" t="str">
        <f t="shared" si="54"/>
        <v>SUKSES-SALATIGA</v>
      </c>
      <c r="D186" s="144" t="s">
        <v>4443</v>
      </c>
      <c r="E186" s="145" t="str">
        <f>IFERROR(__xludf.DUMMYFUNCTION("vlookup(D186,IMPORTRANGE(""https://docs.google.com/spreadsheets/d/1swGwZOEqYlTEUCJLY-eeJM1911Kvaei5oySBIxdgtNo/edit?pli=1#gid=257618397"",""stock FAKTUR!B:C""),2,false)"),"CUTTER KENKO K-200")</f>
        <v>CUTTER KENKO K-200</v>
      </c>
      <c r="F186" s="53" t="str">
        <f>IFERROR(__xludf.DUMMYFUNCTION("vlookup($D186,IMPORTRANGE(""https://docs.google.com/spreadsheets/d/1swGwZOEqYlTEUCJLY-eeJM1911Kvaei5oySBIxdgtNo/edit?pli=1#gid=257618397"",""stock FAKTUR!B:d""),3,false)"),"9 MM")</f>
        <v>9 MM</v>
      </c>
      <c r="G186" s="53" t="str">
        <f>IFERROR(__xludf.DUMMYFUNCTION("vlookup($D186,IMPORTRANGE(""https://docs.google.com/spreadsheets/d/1swGwZOEqYlTEUCJLY-eeJM1911Kvaei5oySBIxdgtNo/edit?pli=1#gid=257618397"",""stock FAKTUR!B:e""),4,false)"),"")</f>
        <v/>
      </c>
      <c r="H186" s="53" t="str">
        <f>IFERROR(__xludf.DUMMYFUNCTION("vlookup($D186,IMPORTRANGE(""https://docs.google.com/spreadsheets/d/1swGwZOEqYlTEUCJLY-eeJM1911Kvaei5oySBIxdgtNo/edit?pli=1#gid=257618397"",""stock FAKTUR!B:F""),5,false)"),"KN")</f>
        <v>KN</v>
      </c>
      <c r="I186" s="53" t="str">
        <f>IFERROR(__xludf.DUMMYFUNCTION("vlookup($D186,IMPORTRANGE(""https://docs.google.com/spreadsheets/d/1swGwZOEqYlTEUCJLY-eeJM1911Kvaei5oySBIxdgtNo/edit?pli=1#gid=257618397"",""stock FAKTUR!B:G""),6,false)"),"CTR-003")</f>
        <v>CTR-003</v>
      </c>
      <c r="J186" s="120" t="str">
        <f t="shared" si="25"/>
        <v>ADA</v>
      </c>
      <c r="K186" s="142">
        <v>9.0</v>
      </c>
      <c r="L186" s="145" t="str">
        <f>IFERROR(__xludf.DUMMYFUNCTION("vlookup($D186,IMPORTRANGE(""https://docs.google.com/spreadsheets/d/1swGwZOEqYlTEUCJLY-eeJM1911Kvaei5oySBIxdgtNo/edit?pli=1#gid=257618397"",""stock FAKTUR!B:q""),16,false)"),"LSN")</f>
        <v>LSN</v>
      </c>
      <c r="M186" s="147">
        <v>52200.0</v>
      </c>
      <c r="N186" s="152">
        <v>0.14</v>
      </c>
      <c r="O186" s="147">
        <f t="shared" si="2"/>
        <v>404028</v>
      </c>
      <c r="P186" s="147" t="str">
        <f t="shared" si="3"/>
        <v>Rp52,200-9 LSN-14.00%</v>
      </c>
      <c r="Q186" s="149">
        <v>45411.0</v>
      </c>
      <c r="R186" s="150"/>
      <c r="S186" s="149">
        <v>45416.0</v>
      </c>
      <c r="T186" s="151"/>
      <c r="U186" s="151"/>
      <c r="V186" s="151"/>
      <c r="W186" s="151"/>
    </row>
    <row r="187">
      <c r="A187" s="142">
        <v>4674.0</v>
      </c>
      <c r="B187" s="143" t="str">
        <f t="shared" si="53"/>
        <v>H</v>
      </c>
      <c r="C187" s="143" t="str">
        <f t="shared" si="54"/>
        <v>SUKSES-SALATIGA</v>
      </c>
      <c r="D187" s="145" t="s">
        <v>4519</v>
      </c>
      <c r="E187" s="145" t="str">
        <f>IFERROR(__xludf.DUMMYFUNCTION("vlookup(D187,IMPORTRANGE(""https://docs.google.com/spreadsheets/d/1swGwZOEqYlTEUCJLY-eeJM1911Kvaei5oySBIxdgtNo/edit?pli=1#gid=257618397"",""stock FAKTUR!B:C""),2,false)"),"CUTTER VANCO KECIL 128 TRANS")</f>
        <v>CUTTER VANCO KECIL 128 TRANS</v>
      </c>
      <c r="F187" s="53" t="str">
        <f>IFERROR(__xludf.DUMMYFUNCTION("vlookup($D187,IMPORTRANGE(""https://docs.google.com/spreadsheets/d/1swGwZOEqYlTEUCJLY-eeJM1911Kvaei5oySBIxdgtNo/edit?pli=1#gid=257618397"",""stock FAKTUR!B:d""),3,false)"),"K")</f>
        <v>K</v>
      </c>
      <c r="G187" s="53" t="str">
        <f>IFERROR(__xludf.DUMMYFUNCTION("vlookup($D187,IMPORTRANGE(""https://docs.google.com/spreadsheets/d/1swGwZOEqYlTEUCJLY-eeJM1911Kvaei5oySBIxdgtNo/edit?pli=1#gid=257618397"",""stock FAKTUR!B:e""),4,false)"),"")</f>
        <v/>
      </c>
      <c r="H187" s="53" t="str">
        <f>IFERROR(__xludf.DUMMYFUNCTION("vlookup($D187,IMPORTRANGE(""https://docs.google.com/spreadsheets/d/1swGwZOEqYlTEUCJLY-eeJM1911Kvaei5oySBIxdgtNo/edit?pli=1#gid=257618397"",""stock FAKTUR!B:F""),5,false)"),"VN")</f>
        <v>VN</v>
      </c>
      <c r="I187" s="53" t="str">
        <f>IFERROR(__xludf.DUMMYFUNCTION("vlookup($D187,IMPORTRANGE(""https://docs.google.com/spreadsheets/d/1swGwZOEqYlTEUCJLY-eeJM1911Kvaei5oySBIxdgtNo/edit?pli=1#gid=257618397"",""stock FAKTUR!B:G""),6,false)"),"128")</f>
        <v>128</v>
      </c>
      <c r="J187" s="120" t="str">
        <f t="shared" si="25"/>
        <v>ADA</v>
      </c>
      <c r="K187" s="142">
        <v>12.0</v>
      </c>
      <c r="L187" s="145" t="str">
        <f>IFERROR(__xludf.DUMMYFUNCTION("vlookup($D187,IMPORTRANGE(""https://docs.google.com/spreadsheets/d/1swGwZOEqYlTEUCJLY-eeJM1911Kvaei5oySBIxdgtNo/edit?pli=1#gid=257618397"",""stock FAKTUR!B:q""),16,false)"),"LSN")</f>
        <v>LSN</v>
      </c>
      <c r="M187" s="147">
        <v>7500.0</v>
      </c>
      <c r="N187" s="148"/>
      <c r="O187" s="147">
        <f t="shared" si="2"/>
        <v>90000</v>
      </c>
      <c r="P187" s="147" t="str">
        <f t="shared" si="3"/>
        <v>Rp7,500-12 LSN-0.00%</v>
      </c>
      <c r="Q187" s="149">
        <v>45411.0</v>
      </c>
      <c r="R187" s="150"/>
      <c r="S187" s="149">
        <v>45416.0</v>
      </c>
      <c r="T187" s="151"/>
      <c r="U187" s="151"/>
      <c r="V187" s="151"/>
      <c r="W187" s="151"/>
    </row>
    <row r="188">
      <c r="A188" s="142">
        <v>4674.0</v>
      </c>
      <c r="B188" s="143" t="str">
        <f t="shared" si="53"/>
        <v>H</v>
      </c>
      <c r="C188" s="143" t="str">
        <f t="shared" si="54"/>
        <v>SUKSES-SALATIGA</v>
      </c>
      <c r="D188" s="144" t="s">
        <v>4520</v>
      </c>
      <c r="E188" s="145" t="str">
        <f>IFERROR(__xludf.DUMMYFUNCTION("vlookup(D188,IMPORTRANGE(""https://docs.google.com/spreadsheets/d/1swGwZOEqYlTEUCJLY-eeJM1911Kvaei5oySBIxdgtNo/edit?pli=1#gid=257618397"",""stock FAKTUR!B:C""),2,false)"),"STAMP NOMER KENKO N-38")</f>
        <v>STAMP NOMER KENKO N-38</v>
      </c>
      <c r="F188" s="53" t="str">
        <f>IFERROR(__xludf.DUMMYFUNCTION("vlookup($D188,IMPORTRANGE(""https://docs.google.com/spreadsheets/d/1swGwZOEqYlTEUCJLY-eeJM1911Kvaei5oySBIxdgtNo/edit?pli=1#gid=257618397"",""stock FAKTUR!B:d""),3,false)"),"")</f>
        <v/>
      </c>
      <c r="G188" s="53" t="str">
        <f>IFERROR(__xludf.DUMMYFUNCTION("vlookup($D188,IMPORTRANGE(""https://docs.google.com/spreadsheets/d/1swGwZOEqYlTEUCJLY-eeJM1911Kvaei5oySBIxdgtNo/edit?pli=1#gid=257618397"",""stock FAKTUR!B:e""),4,false)"),"")</f>
        <v/>
      </c>
      <c r="H188" s="53" t="str">
        <f>IFERROR(__xludf.DUMMYFUNCTION("vlookup($D188,IMPORTRANGE(""https://docs.google.com/spreadsheets/d/1swGwZOEqYlTEUCJLY-eeJM1911Kvaei5oySBIxdgtNo/edit?pli=1#gid=257618397"",""stock FAKTUR!B:F""),5,false)"),"KN")</f>
        <v>KN</v>
      </c>
      <c r="I188" s="53" t="str">
        <f>IFERROR(__xludf.DUMMYFUNCTION("vlookup($D188,IMPORTRANGE(""https://docs.google.com/spreadsheets/d/1swGwZOEqYlTEUCJLY-eeJM1911Kvaei5oySBIxdgtNo/edit?pli=1#gid=257618397"",""stock FAKTUR!B:G""),6,false)"),"N-38")</f>
        <v>N-38</v>
      </c>
      <c r="J188" s="120" t="str">
        <f t="shared" si="25"/>
        <v>ADA</v>
      </c>
      <c r="K188" s="142">
        <v>2.0</v>
      </c>
      <c r="L188" s="145" t="str">
        <f>IFERROR(__xludf.DUMMYFUNCTION("vlookup($D188,IMPORTRANGE(""https://docs.google.com/spreadsheets/d/1swGwZOEqYlTEUCJLY-eeJM1911Kvaei5oySBIxdgtNo/edit?pli=1#gid=257618397"",""stock FAKTUR!B:q""),16,false)"),"LSN")</f>
        <v>LSN</v>
      </c>
      <c r="M188" s="147">
        <v>84000.0</v>
      </c>
      <c r="N188" s="152">
        <v>0.14</v>
      </c>
      <c r="O188" s="147">
        <f t="shared" si="2"/>
        <v>144480</v>
      </c>
      <c r="P188" s="147" t="str">
        <f t="shared" si="3"/>
        <v>Rp84,000-2 LSN-14.00%</v>
      </c>
      <c r="Q188" s="149">
        <v>45411.0</v>
      </c>
      <c r="R188" s="150"/>
      <c r="S188" s="149">
        <v>45416.0</v>
      </c>
      <c r="T188" s="151"/>
      <c r="U188" s="151"/>
      <c r="V188" s="151"/>
      <c r="W188" s="151"/>
    </row>
    <row r="189">
      <c r="A189" s="142">
        <v>4674.0</v>
      </c>
      <c r="B189" s="143" t="str">
        <f t="shared" si="53"/>
        <v>H</v>
      </c>
      <c r="C189" s="143" t="str">
        <f t="shared" si="54"/>
        <v>SUKSES-SALATIGA</v>
      </c>
      <c r="D189" s="144" t="s">
        <v>4521</v>
      </c>
      <c r="E189" s="145" t="str">
        <f>IFERROR(__xludf.DUMMYFUNCTION("vlookup(D189,IMPORTRANGE(""https://docs.google.com/spreadsheets/d/1swGwZOEqYlTEUCJLY-eeJM1911Kvaei5oySBIxdgtNo/edit?pli=1#gid=257618397"",""stock FAKTUR!B:C""),2,false)"),"CALCULATOR JK CC-25")</f>
        <v>CALCULATOR JK CC-25</v>
      </c>
      <c r="F189" s="53" t="str">
        <f>IFERROR(__xludf.DUMMYFUNCTION("vlookup($D189,IMPORTRANGE(""https://docs.google.com/spreadsheets/d/1swGwZOEqYlTEUCJLY-eeJM1911Kvaei5oySBIxdgtNo/edit?pli=1#gid=257618397"",""stock FAKTUR!B:d""),3,false)"),"")</f>
        <v/>
      </c>
      <c r="G189" s="53" t="str">
        <f>IFERROR(__xludf.DUMMYFUNCTION("vlookup($D189,IMPORTRANGE(""https://docs.google.com/spreadsheets/d/1swGwZOEqYlTEUCJLY-eeJM1911Kvaei5oySBIxdgtNo/edit?pli=1#gid=257618397"",""stock FAKTUR!B:e""),4,false)"),"")</f>
        <v/>
      </c>
      <c r="H189" s="53" t="str">
        <f>IFERROR(__xludf.DUMMYFUNCTION("vlookup($D189,IMPORTRANGE(""https://docs.google.com/spreadsheets/d/1swGwZOEqYlTEUCJLY-eeJM1911Kvaei5oySBIxdgtNo/edit?pli=1#gid=257618397"",""stock FAKTUR!B:F""),5,false)"),"JK")</f>
        <v>JK</v>
      </c>
      <c r="I189" s="53" t="str">
        <f>IFERROR(__xludf.DUMMYFUNCTION("vlookup($D189,IMPORTRANGE(""https://docs.google.com/spreadsheets/d/1swGwZOEqYlTEUCJLY-eeJM1911Kvaei5oySBIxdgtNo/edit?pli=1#gid=257618397"",""stock FAKTUR!B:G""),6,false)"),"CC-25")</f>
        <v>CC-25</v>
      </c>
      <c r="J189" s="120" t="str">
        <f t="shared" si="25"/>
        <v>ADA</v>
      </c>
      <c r="K189" s="142">
        <v>10.0</v>
      </c>
      <c r="L189" s="145" t="str">
        <f>IFERROR(__xludf.DUMMYFUNCTION("vlookup($D189,IMPORTRANGE(""https://docs.google.com/spreadsheets/d/1swGwZOEqYlTEUCJLY-eeJM1911Kvaei5oySBIxdgtNo/edit?pli=1#gid=257618397"",""stock FAKTUR!B:q""),16,false)"),"PCS")</f>
        <v>PCS</v>
      </c>
      <c r="M189" s="147">
        <v>67000.0</v>
      </c>
      <c r="N189" s="152">
        <v>0.14</v>
      </c>
      <c r="O189" s="147">
        <f t="shared" si="2"/>
        <v>576200</v>
      </c>
      <c r="P189" s="147" t="str">
        <f t="shared" si="3"/>
        <v>Rp67,000-10 PCS-14.00%</v>
      </c>
      <c r="Q189" s="149">
        <v>45411.0</v>
      </c>
      <c r="R189" s="150"/>
      <c r="S189" s="149">
        <v>45416.0</v>
      </c>
      <c r="T189" s="151"/>
      <c r="U189" s="151"/>
      <c r="V189" s="151"/>
      <c r="W189" s="151"/>
    </row>
    <row r="190">
      <c r="A190" s="142">
        <v>4674.0</v>
      </c>
      <c r="B190" s="143" t="str">
        <f t="shared" si="53"/>
        <v>H</v>
      </c>
      <c r="C190" s="143" t="str">
        <f t="shared" si="54"/>
        <v>SUKSES-SALATIGA</v>
      </c>
      <c r="D190" s="144" t="s">
        <v>4522</v>
      </c>
      <c r="E190" s="145" t="str">
        <f>IFERROR(__xludf.DUMMYFUNCTION("vlookup(D190,IMPORTRANGE(""https://docs.google.com/spreadsheets/d/1swGwZOEqYlTEUCJLY-eeJM1911Kvaei5oySBIxdgtNo/edit?pli=1#gid=257618397"",""stock FAKTUR!B:C""),2,false)"),"ISI STAPLER SDI 1210 (23/10)")</f>
        <v>ISI STAPLER SDI 1210 (23/10)</v>
      </c>
      <c r="F190" s="53" t="str">
        <f>IFERROR(__xludf.DUMMYFUNCTION("vlookup($D190,IMPORTRANGE(""https://docs.google.com/spreadsheets/d/1swGwZOEqYlTEUCJLY-eeJM1911Kvaei5oySBIxdgtNo/edit?pli=1#gid=257618397"",""stock FAKTUR!B:d""),3,false)"),"")</f>
        <v/>
      </c>
      <c r="G190" s="53" t="str">
        <f>IFERROR(__xludf.DUMMYFUNCTION("vlookup($D190,IMPORTRANGE(""https://docs.google.com/spreadsheets/d/1swGwZOEqYlTEUCJLY-eeJM1911Kvaei5oySBIxdgtNo/edit?pli=1#gid=257618397"",""stock FAKTUR!B:e""),4,false)"),"")</f>
        <v/>
      </c>
      <c r="H190" s="53" t="str">
        <f>IFERROR(__xludf.DUMMYFUNCTION("vlookup($D190,IMPORTRANGE(""https://docs.google.com/spreadsheets/d/1swGwZOEqYlTEUCJLY-eeJM1911Kvaei5oySBIxdgtNo/edit?pli=1#gid=257618397"",""stock FAKTUR!B:F""),5,false)"),"SDI")</f>
        <v>SDI</v>
      </c>
      <c r="I190" s="53" t="str">
        <f>IFERROR(__xludf.DUMMYFUNCTION("vlookup($D190,IMPORTRANGE(""https://docs.google.com/spreadsheets/d/1swGwZOEqYlTEUCJLY-eeJM1911Kvaei5oySBIxdgtNo/edit?pli=1#gid=257618397"",""stock FAKTUR!B:G""),6,false)"),"1210")</f>
        <v>1210</v>
      </c>
      <c r="J190" s="120" t="str">
        <f t="shared" si="25"/>
        <v>ADA</v>
      </c>
      <c r="K190" s="142">
        <v>3.0</v>
      </c>
      <c r="L190" s="145" t="str">
        <f>IFERROR(__xludf.DUMMYFUNCTION("vlookup($D190,IMPORTRANGE(""https://docs.google.com/spreadsheets/d/1swGwZOEqYlTEUCJLY-eeJM1911Kvaei5oySBIxdgtNo/edit?pli=1#gid=257618397"",""stock FAKTUR!B:q""),16,false)"),"BOX")</f>
        <v>BOX</v>
      </c>
      <c r="M190" s="147">
        <f>12100*10</f>
        <v>121000</v>
      </c>
      <c r="N190" s="152">
        <v>0.15</v>
      </c>
      <c r="O190" s="147">
        <f t="shared" si="2"/>
        <v>308550</v>
      </c>
      <c r="P190" s="147" t="str">
        <f t="shared" si="3"/>
        <v>Rp121,000-3 BOX-15.00%</v>
      </c>
      <c r="Q190" s="149">
        <v>45411.0</v>
      </c>
      <c r="R190" s="150"/>
      <c r="S190" s="149">
        <v>45416.0</v>
      </c>
      <c r="T190" s="151"/>
      <c r="U190" s="151"/>
      <c r="V190" s="151"/>
      <c r="W190" s="151"/>
    </row>
    <row r="191">
      <c r="A191" s="142">
        <v>4674.0</v>
      </c>
      <c r="B191" s="143" t="str">
        <f t="shared" si="53"/>
        <v>H</v>
      </c>
      <c r="C191" s="143" t="str">
        <f t="shared" si="54"/>
        <v>SUKSES-SALATIGA</v>
      </c>
      <c r="D191" s="144" t="s">
        <v>4523</v>
      </c>
      <c r="E191" s="145" t="str">
        <f>IFERROR(__xludf.DUMMYFUNCTION("vlookup(D191,IMPORTRANGE(""https://docs.google.com/spreadsheets/d/1swGwZOEqYlTEUCJLY-eeJM1911Kvaei5oySBIxdgtNo/edit?pli=1#gid=257618397"",""stock FAKTUR!B:C""),2,false)"),"PENSIL TUKANG GW CARPENTER 500")</f>
        <v>PENSIL TUKANG GW CARPENTER 500</v>
      </c>
      <c r="F191" s="53" t="str">
        <f>IFERROR(__xludf.DUMMYFUNCTION("vlookup($D191,IMPORTRANGE(""https://docs.google.com/spreadsheets/d/1swGwZOEqYlTEUCJLY-eeJM1911Kvaei5oySBIxdgtNo/edit?pli=1#gid=257618397"",""stock FAKTUR!B:d""),3,false)"),"")</f>
        <v/>
      </c>
      <c r="G191" s="53" t="str">
        <f>IFERROR(__xludf.DUMMYFUNCTION("vlookup($D191,IMPORTRANGE(""https://docs.google.com/spreadsheets/d/1swGwZOEqYlTEUCJLY-eeJM1911Kvaei5oySBIxdgtNo/edit?pli=1#gid=257618397"",""stock FAKTUR!B:e""),4,false)"),"")</f>
        <v/>
      </c>
      <c r="H191" s="53" t="str">
        <f>IFERROR(__xludf.DUMMYFUNCTION("vlookup($D191,IMPORTRANGE(""https://docs.google.com/spreadsheets/d/1swGwZOEqYlTEUCJLY-eeJM1911Kvaei5oySBIxdgtNo/edit?pli=1#gid=257618397"",""stock FAKTUR!B:F""),5,false)"),"GW")</f>
        <v>GW</v>
      </c>
      <c r="I191" s="53" t="str">
        <f>IFERROR(__xludf.DUMMYFUNCTION("vlookup($D191,IMPORTRANGE(""https://docs.google.com/spreadsheets/d/1swGwZOEqYlTEUCJLY-eeJM1911Kvaei5oySBIxdgtNo/edit?pli=1#gid=257618397"",""stock FAKTUR!B:G""),6,false)"),"500")</f>
        <v>500</v>
      </c>
      <c r="J191" s="120" t="str">
        <f t="shared" si="25"/>
        <v>ADA</v>
      </c>
      <c r="K191" s="142">
        <v>1.0</v>
      </c>
      <c r="L191" s="145" t="str">
        <f>IFERROR(__xludf.DUMMYFUNCTION("vlookup($D191,IMPORTRANGE(""https://docs.google.com/spreadsheets/d/1swGwZOEqYlTEUCJLY-eeJM1911Kvaei5oySBIxdgtNo/edit?pli=1#gid=257618397"",""stock FAKTUR!B:q""),16,false)"),"GRS")</f>
        <v>GRS</v>
      </c>
      <c r="M191" s="147">
        <v>225000.0</v>
      </c>
      <c r="N191" s="148"/>
      <c r="O191" s="147">
        <f t="shared" si="2"/>
        <v>225000</v>
      </c>
      <c r="P191" s="147" t="str">
        <f t="shared" si="3"/>
        <v>Rp225,000-1 GRS-0.00%</v>
      </c>
      <c r="Q191" s="149">
        <v>45411.0</v>
      </c>
      <c r="R191" s="150"/>
      <c r="S191" s="149">
        <v>45416.0</v>
      </c>
      <c r="T191" s="151"/>
      <c r="U191" s="151"/>
      <c r="V191" s="151"/>
      <c r="W191" s="151"/>
    </row>
    <row r="192">
      <c r="A192" s="142">
        <v>4674.0</v>
      </c>
      <c r="B192" s="143" t="str">
        <f t="shared" si="53"/>
        <v>H</v>
      </c>
      <c r="C192" s="143" t="str">
        <f t="shared" si="54"/>
        <v>SUKSES-SALATIGA</v>
      </c>
      <c r="D192" s="144" t="s">
        <v>4394</v>
      </c>
      <c r="E192" s="145" t="str">
        <f>IFERROR(__xludf.DUMMYFUNCTION("vlookup(D192,IMPORTRANGE(""https://docs.google.com/spreadsheets/d/1swGwZOEqYlTEUCJLY-eeJM1911Kvaei5oySBIxdgtNo/edit?pli=1#gid=257618397"",""stock FAKTUR!B:C""),2,false)"),"CRAYON PUTAR JK 12W PANJANG")</f>
        <v>CRAYON PUTAR JK 12W PANJANG</v>
      </c>
      <c r="F192" s="53" t="str">
        <f>IFERROR(__xludf.DUMMYFUNCTION("vlookup($D192,IMPORTRANGE(""https://docs.google.com/spreadsheets/d/1swGwZOEqYlTEUCJLY-eeJM1911Kvaei5oySBIxdgtNo/edit?pli=1#gid=257618397"",""stock FAKTUR!B:d""),3,false)"),"")</f>
        <v/>
      </c>
      <c r="G192" s="53" t="str">
        <f>IFERROR(__xludf.DUMMYFUNCTION("vlookup($D192,IMPORTRANGE(""https://docs.google.com/spreadsheets/d/1swGwZOEqYlTEUCJLY-eeJM1911Kvaei5oySBIxdgtNo/edit?pli=1#gid=257618397"",""stock FAKTUR!B:e""),4,false)"),"12W")</f>
        <v>12W</v>
      </c>
      <c r="H192" s="53" t="str">
        <f>IFERROR(__xludf.DUMMYFUNCTION("vlookup($D192,IMPORTRANGE(""https://docs.google.com/spreadsheets/d/1swGwZOEqYlTEUCJLY-eeJM1911Kvaei5oySBIxdgtNo/edit?pli=1#gid=257618397"",""stock FAKTUR!B:F""),5,false)"),"JK")</f>
        <v>JK</v>
      </c>
      <c r="I192" s="53" t="str">
        <f>IFERROR(__xludf.DUMMYFUNCTION("vlookup($D192,IMPORTRANGE(""https://docs.google.com/spreadsheets/d/1swGwZOEqYlTEUCJLY-eeJM1911Kvaei5oySBIxdgtNo/edit?pli=1#gid=257618397"",""stock FAKTUR!B:G""),6,false)"),"")</f>
        <v/>
      </c>
      <c r="J192" s="120" t="str">
        <f t="shared" si="25"/>
        <v>ADA</v>
      </c>
      <c r="K192" s="142">
        <v>3.0</v>
      </c>
      <c r="L192" s="145" t="str">
        <f>IFERROR(__xludf.DUMMYFUNCTION("vlookup($D192,IMPORTRANGE(""https://docs.google.com/spreadsheets/d/1swGwZOEqYlTEUCJLY-eeJM1911Kvaei5oySBIxdgtNo/edit?pli=1#gid=257618397"",""stock FAKTUR!B:q""),16,false)"),"LSN")</f>
        <v>LSN</v>
      </c>
      <c r="M192" s="147">
        <f>23900*12</f>
        <v>286800</v>
      </c>
      <c r="N192" s="174">
        <v>0.14</v>
      </c>
      <c r="O192" s="147">
        <f t="shared" si="2"/>
        <v>739944</v>
      </c>
      <c r="P192" s="147" t="str">
        <f t="shared" si="3"/>
        <v>Rp286,800-3 LSN-14.00%</v>
      </c>
      <c r="Q192" s="149">
        <v>45411.0</v>
      </c>
      <c r="R192" s="150"/>
      <c r="S192" s="149">
        <v>45416.0</v>
      </c>
      <c r="T192" s="151"/>
      <c r="U192" s="151"/>
      <c r="V192" s="151"/>
      <c r="W192" s="151"/>
    </row>
    <row r="193">
      <c r="A193" s="142">
        <v>4691.0</v>
      </c>
      <c r="B193" s="143" t="s">
        <v>33</v>
      </c>
      <c r="C193" s="143" t="s">
        <v>1134</v>
      </c>
      <c r="D193" s="144" t="s">
        <v>4384</v>
      </c>
      <c r="E193" s="145" t="str">
        <f>IFERROR(__xludf.DUMMYFUNCTION("vlookup(D193,IMPORTRANGE(""https://docs.google.com/spreadsheets/d/1swGwZOEqYlTEUCJLY-eeJM1911Kvaei5oySBIxdgtNo/edit?pli=1#gid=257618397"",""stock FAKTUR!B:C""),2,false)"),"PC MAGNIT FC-1757 (22X7.5)")</f>
        <v>PC MAGNIT FC-1757 (22X7.5)</v>
      </c>
      <c r="F193" s="53" t="str">
        <f>IFERROR(__xludf.DUMMYFUNCTION("vlookup($D193,IMPORTRANGE(""https://docs.google.com/spreadsheets/d/1swGwZOEqYlTEUCJLY-eeJM1911Kvaei5oySBIxdgtNo/edit?pli=1#gid=257618397"",""stock FAKTUR!B:d""),3,false)"),"")</f>
        <v/>
      </c>
      <c r="G193" s="53" t="str">
        <f>IFERROR(__xludf.DUMMYFUNCTION("vlookup($D193,IMPORTRANGE(""https://docs.google.com/spreadsheets/d/1swGwZOEqYlTEUCJLY-eeJM1911Kvaei5oySBIxdgtNo/edit?pli=1#gid=257618397"",""stock FAKTUR!B:e""),4,false)"),"")</f>
        <v/>
      </c>
      <c r="H193" s="53" t="str">
        <f>IFERROR(__xludf.DUMMYFUNCTION("vlookup($D193,IMPORTRANGE(""https://docs.google.com/spreadsheets/d/1swGwZOEqYlTEUCJLY-eeJM1911Kvaei5oySBIxdgtNo/edit?pli=1#gid=257618397"",""stock FAKTUR!B:F""),5,false)"),"NB")</f>
        <v>NB</v>
      </c>
      <c r="I193" s="53" t="str">
        <f>IFERROR(__xludf.DUMMYFUNCTION("vlookup($D193,IMPORTRANGE(""https://docs.google.com/spreadsheets/d/1swGwZOEqYlTEUCJLY-eeJM1911Kvaei5oySBIxdgtNo/edit?pli=1#gid=257618397"",""stock FAKTUR!B:G""),6,false)"),"")</f>
        <v/>
      </c>
      <c r="J193" s="120" t="str">
        <f t="shared" si="25"/>
        <v>ADA</v>
      </c>
      <c r="K193" s="142">
        <v>12.0</v>
      </c>
      <c r="L193" s="145" t="str">
        <f>IFERROR(__xludf.DUMMYFUNCTION("vlookup($D193,IMPORTRANGE(""https://docs.google.com/spreadsheets/d/1swGwZOEqYlTEUCJLY-eeJM1911Kvaei5oySBIxdgtNo/edit?pli=1#gid=257618397"",""stock FAKTUR!B:q""),16,false)"),"PCS")</f>
        <v>PCS</v>
      </c>
      <c r="M193" s="147">
        <f t="shared" ref="M193:M194" si="55">150000/12</f>
        <v>12500</v>
      </c>
      <c r="N193" s="148"/>
      <c r="O193" s="147">
        <f t="shared" si="2"/>
        <v>150000</v>
      </c>
      <c r="P193" s="147" t="str">
        <f t="shared" si="3"/>
        <v>Rp12,500-12 PCS-0.00%</v>
      </c>
      <c r="Q193" s="149">
        <v>45411.0</v>
      </c>
      <c r="R193" s="150"/>
      <c r="S193" s="149">
        <v>45416.0</v>
      </c>
      <c r="T193" s="151"/>
      <c r="U193" s="151"/>
      <c r="V193" s="151"/>
      <c r="W193" s="151"/>
    </row>
    <row r="194">
      <c r="A194" s="142">
        <v>4691.0</v>
      </c>
      <c r="B194" s="143" t="str">
        <f t="shared" ref="B194:B196" si="56">IF(A194=A193,B193,"")</f>
        <v>H</v>
      </c>
      <c r="C194" s="143" t="str">
        <f t="shared" ref="C194:C196" si="57">IF(A194=A193,C193,"")</f>
        <v>PANGLIMA BESAR-PURWOKERTO</v>
      </c>
      <c r="D194" s="144" t="s">
        <v>4524</v>
      </c>
      <c r="E194" s="145" t="str">
        <f>IFERROR(__xludf.DUMMYFUNCTION("vlookup(D194,IMPORTRANGE(""https://docs.google.com/spreadsheets/d/1swGwZOEqYlTEUCJLY-eeJM1911Kvaei5oySBIxdgtNo/edit?pli=1#gid=257618397"",""stock FAKTUR!B:C""),2,false)"),"PC MAGNIT FY-6822 (22X7.5)")</f>
        <v>PC MAGNIT FY-6822 (22X7.5)</v>
      </c>
      <c r="F194" s="53" t="str">
        <f>IFERROR(__xludf.DUMMYFUNCTION("vlookup($D194,IMPORTRANGE(""https://docs.google.com/spreadsheets/d/1swGwZOEqYlTEUCJLY-eeJM1911Kvaei5oySBIxdgtNo/edit?pli=1#gid=257618397"",""stock FAKTUR!B:d""),3,false)"),"")</f>
        <v/>
      </c>
      <c r="G194" s="53" t="str">
        <f>IFERROR(__xludf.DUMMYFUNCTION("vlookup($D194,IMPORTRANGE(""https://docs.google.com/spreadsheets/d/1swGwZOEqYlTEUCJLY-eeJM1911Kvaei5oySBIxdgtNo/edit?pli=1#gid=257618397"",""stock FAKTUR!B:e""),4,false)"),"")</f>
        <v/>
      </c>
      <c r="H194" s="53" t="str">
        <f>IFERROR(__xludf.DUMMYFUNCTION("vlookup($D194,IMPORTRANGE(""https://docs.google.com/spreadsheets/d/1swGwZOEqYlTEUCJLY-eeJM1911Kvaei5oySBIxdgtNo/edit?pli=1#gid=257618397"",""stock FAKTUR!B:F""),5,false)"),"NB")</f>
        <v>NB</v>
      </c>
      <c r="I194" s="53" t="str">
        <f>IFERROR(__xludf.DUMMYFUNCTION("vlookup($D194,IMPORTRANGE(""https://docs.google.com/spreadsheets/d/1swGwZOEqYlTEUCJLY-eeJM1911Kvaei5oySBIxdgtNo/edit?pli=1#gid=257618397"",""stock FAKTUR!B:G""),6,false)"),"")</f>
        <v/>
      </c>
      <c r="J194" s="120" t="str">
        <f t="shared" si="25"/>
        <v>ADA</v>
      </c>
      <c r="K194" s="142">
        <v>12.0</v>
      </c>
      <c r="L194" s="145" t="str">
        <f>IFERROR(__xludf.DUMMYFUNCTION("vlookup($D194,IMPORTRANGE(""https://docs.google.com/spreadsheets/d/1swGwZOEqYlTEUCJLY-eeJM1911Kvaei5oySBIxdgtNo/edit?pli=1#gid=257618397"",""stock FAKTUR!B:q""),16,false)"),"PCS")</f>
        <v>PCS</v>
      </c>
      <c r="M194" s="147">
        <f t="shared" si="55"/>
        <v>12500</v>
      </c>
      <c r="N194" s="148"/>
      <c r="O194" s="147">
        <f t="shared" si="2"/>
        <v>150000</v>
      </c>
      <c r="P194" s="147" t="str">
        <f t="shared" si="3"/>
        <v>Rp12,500-12 PCS-0.00%</v>
      </c>
      <c r="Q194" s="149">
        <v>45411.0</v>
      </c>
      <c r="R194" s="150"/>
      <c r="S194" s="149">
        <v>45416.0</v>
      </c>
      <c r="T194" s="151"/>
      <c r="U194" s="151"/>
      <c r="V194" s="151"/>
      <c r="W194" s="151"/>
    </row>
    <row r="195">
      <c r="A195" s="142">
        <v>4691.0</v>
      </c>
      <c r="B195" s="143" t="str">
        <f t="shared" si="56"/>
        <v>H</v>
      </c>
      <c r="C195" s="143" t="str">
        <f t="shared" si="57"/>
        <v>PANGLIMA BESAR-PURWOKERTO</v>
      </c>
      <c r="D195" s="145" t="s">
        <v>4405</v>
      </c>
      <c r="E195" s="145" t="str">
        <f>IFERROR(__xludf.DUMMYFUNCTION("vlookup(D195,IMPORTRANGE(""https://docs.google.com/spreadsheets/d/1swGwZOEqYlTEUCJLY-eeJM1911Kvaei5oySBIxdgtNo/edit?pli=1#gid=257618397"",""stock FAKTUR!B:C""),2,false)"),"BK KAS KWARTO")</f>
        <v>BK KAS KWARTO</v>
      </c>
      <c r="F195" s="53" t="str">
        <f>IFERROR(__xludf.DUMMYFUNCTION("vlookup($D195,IMPORTRANGE(""https://docs.google.com/spreadsheets/d/1swGwZOEqYlTEUCJLY-eeJM1911Kvaei5oySBIxdgtNo/edit?pli=1#gid=257618397"",""stock FAKTUR!B:d""),3,false)"),"A4")</f>
        <v>A4</v>
      </c>
      <c r="G195" s="53" t="str">
        <f>IFERROR(__xludf.DUMMYFUNCTION("vlookup($D195,IMPORTRANGE(""https://docs.google.com/spreadsheets/d/1swGwZOEqYlTEUCJLY-eeJM1911Kvaei5oySBIxdgtNo/edit?pli=1#gid=257618397"",""stock FAKTUR!B:e""),4,false)"),"")</f>
        <v/>
      </c>
      <c r="H195" s="53" t="str">
        <f>IFERROR(__xludf.DUMMYFUNCTION("vlookup($D195,IMPORTRANGE(""https://docs.google.com/spreadsheets/d/1swGwZOEqYlTEUCJLY-eeJM1911Kvaei5oySBIxdgtNo/edit?pli=1#gid=257618397"",""stock FAKTUR!B:F""),5,false)"),"NB")</f>
        <v>NB</v>
      </c>
      <c r="I195" s="53" t="str">
        <f>IFERROR(__xludf.DUMMYFUNCTION("vlookup($D195,IMPORTRANGE(""https://docs.google.com/spreadsheets/d/1swGwZOEqYlTEUCJLY-eeJM1911Kvaei5oySBIxdgtNo/edit?pli=1#gid=257618397"",""stock FAKTUR!B:G""),6,false)"),"")</f>
        <v/>
      </c>
      <c r="J195" s="120" t="str">
        <f t="shared" si="25"/>
        <v>ADA</v>
      </c>
      <c r="K195" s="142">
        <v>50.0</v>
      </c>
      <c r="L195" s="145" t="str">
        <f>IFERROR(__xludf.DUMMYFUNCTION("vlookup($D195,IMPORTRANGE(""https://docs.google.com/spreadsheets/d/1swGwZOEqYlTEUCJLY-eeJM1911Kvaei5oySBIxdgtNo/edit?pli=1#gid=257618397"",""stock FAKTUR!B:q""),16,false)"),"PCS")</f>
        <v>PCS</v>
      </c>
      <c r="M195" s="147">
        <v>10000.0</v>
      </c>
      <c r="N195" s="148"/>
      <c r="O195" s="147">
        <f t="shared" si="2"/>
        <v>500000</v>
      </c>
      <c r="P195" s="147" t="str">
        <f t="shared" si="3"/>
        <v>Rp10,000-50 PCS-0.00%</v>
      </c>
      <c r="Q195" s="149">
        <v>45411.0</v>
      </c>
      <c r="R195" s="150"/>
      <c r="S195" s="149">
        <v>45416.0</v>
      </c>
      <c r="T195" s="151"/>
      <c r="U195" s="151"/>
      <c r="V195" s="151"/>
      <c r="W195" s="151"/>
    </row>
    <row r="196">
      <c r="A196" s="142">
        <v>4691.0</v>
      </c>
      <c r="B196" s="143" t="str">
        <f t="shared" si="56"/>
        <v>H</v>
      </c>
      <c r="C196" s="143" t="str">
        <f t="shared" si="57"/>
        <v>PANGLIMA BESAR-PURWOKERTO</v>
      </c>
      <c r="D196" s="145" t="s">
        <v>4525</v>
      </c>
      <c r="E196" s="145" t="str">
        <f>IFERROR(__xludf.DUMMYFUNCTION("vlookup(D196,IMPORTRANGE(""https://docs.google.com/spreadsheets/d/1swGwZOEqYlTEUCJLY-eeJM1911Kvaei5oySBIxdgtNo/edit?pli=1#gid=257618397"",""stock FAKTUR!B:C""),2,false)"),"DISPENSER MN-305 POLAR BEAR ")</f>
        <v>DISPENSER MN-305 POLAR BEAR </v>
      </c>
      <c r="F196" s="53" t="str">
        <f>IFERROR(__xludf.DUMMYFUNCTION("vlookup($D196,IMPORTRANGE(""https://docs.google.com/spreadsheets/d/1swGwZOEqYlTEUCJLY-eeJM1911Kvaei5oySBIxdgtNo/edit?pli=1#gid=257618397"",""stock FAKTUR!B:d""),3,false)"),"")</f>
        <v/>
      </c>
      <c r="G196" s="53" t="str">
        <f>IFERROR(__xludf.DUMMYFUNCTION("vlookup($D196,IMPORTRANGE(""https://docs.google.com/spreadsheets/d/1swGwZOEqYlTEUCJLY-eeJM1911Kvaei5oySBIxdgtNo/edit?pli=1#gid=257618397"",""stock FAKTUR!B:e""),4,false)"),"")</f>
        <v/>
      </c>
      <c r="H196" s="53" t="str">
        <f>IFERROR(__xludf.DUMMYFUNCTION("vlookup($D196,IMPORTRANGE(""https://docs.google.com/spreadsheets/d/1swGwZOEqYlTEUCJLY-eeJM1911Kvaei5oySBIxdgtNo/edit?pli=1#gid=257618397"",""stock FAKTUR!B:F""),5,false)"),"NB")</f>
        <v>NB</v>
      </c>
      <c r="I196" s="53" t="str">
        <f>IFERROR(__xludf.DUMMYFUNCTION("vlookup($D196,IMPORTRANGE(""https://docs.google.com/spreadsheets/d/1swGwZOEqYlTEUCJLY-eeJM1911Kvaei5oySBIxdgtNo/edit?pli=1#gid=257618397"",""stock FAKTUR!B:G""),6,false)"),"MN-305")</f>
        <v>MN-305</v>
      </c>
      <c r="J196" s="120" t="str">
        <f t="shared" si="25"/>
        <v>ADA</v>
      </c>
      <c r="K196" s="142">
        <v>1.0</v>
      </c>
      <c r="L196" s="145" t="str">
        <f>IFERROR(__xludf.DUMMYFUNCTION("vlookup($D196,IMPORTRANGE(""https://docs.google.com/spreadsheets/d/1swGwZOEqYlTEUCJLY-eeJM1911Kvaei5oySBIxdgtNo/edit?pli=1#gid=257618397"",""stock FAKTUR!B:q""),16,false)"),"LSN")</f>
        <v>LSN</v>
      </c>
      <c r="M196" s="147">
        <v>110000.0</v>
      </c>
      <c r="N196" s="148"/>
      <c r="O196" s="147">
        <f t="shared" si="2"/>
        <v>110000</v>
      </c>
      <c r="P196" s="147" t="str">
        <f t="shared" si="3"/>
        <v>Rp110,000-1 LSN-0.00%</v>
      </c>
      <c r="Q196" s="149">
        <v>45411.0</v>
      </c>
      <c r="R196" s="150"/>
      <c r="S196" s="149">
        <v>45416.0</v>
      </c>
      <c r="T196" s="151"/>
      <c r="U196" s="151"/>
      <c r="V196" s="151"/>
      <c r="W196" s="151"/>
    </row>
    <row r="197">
      <c r="A197" s="142">
        <v>4672.0</v>
      </c>
      <c r="B197" s="143" t="s">
        <v>65</v>
      </c>
      <c r="C197" s="143" t="s">
        <v>4526</v>
      </c>
      <c r="D197" s="145" t="s">
        <v>4428</v>
      </c>
      <c r="E197" s="145" t="str">
        <f>IFERROR(__xludf.DUMMYFUNCTION("vlookup(D197,IMPORTRANGE(""https://docs.google.com/spreadsheets/d/1swGwZOEqYlTEUCJLY-eeJM1911Kvaei5oySBIxdgtNo/edit?pli=1#gid=257618397"",""stock FAKTUR!B:C""),2,false)"),"ISI STAPLER GW NO. 10")</f>
        <v>ISI STAPLER GW NO. 10</v>
      </c>
      <c r="F197" s="53" t="str">
        <f>IFERROR(__xludf.DUMMYFUNCTION("vlookup($D197,IMPORTRANGE(""https://docs.google.com/spreadsheets/d/1swGwZOEqYlTEUCJLY-eeJM1911Kvaei5oySBIxdgtNo/edit?pli=1#gid=257618397"",""stock FAKTUR!B:d""),3,false)"),"")</f>
        <v/>
      </c>
      <c r="G197" s="53" t="str">
        <f>IFERROR(__xludf.DUMMYFUNCTION("vlookup($D197,IMPORTRANGE(""https://docs.google.com/spreadsheets/d/1swGwZOEqYlTEUCJLY-eeJM1911Kvaei5oySBIxdgtNo/edit?pli=1#gid=257618397"",""stock FAKTUR!B:e""),4,false)"),"")</f>
        <v/>
      </c>
      <c r="H197" s="53" t="str">
        <f>IFERROR(__xludf.DUMMYFUNCTION("vlookup($D197,IMPORTRANGE(""https://docs.google.com/spreadsheets/d/1swGwZOEqYlTEUCJLY-eeJM1911Kvaei5oySBIxdgtNo/edit?pli=1#gid=257618397"",""stock FAKTUR!B:F""),5,false)"),"GW")</f>
        <v>GW</v>
      </c>
      <c r="I197" s="53" t="str">
        <f>IFERROR(__xludf.DUMMYFUNCTION("vlookup($D197,IMPORTRANGE(""https://docs.google.com/spreadsheets/d/1swGwZOEqYlTEUCJLY-eeJM1911Kvaei5oySBIxdgtNo/edit?pli=1#gid=257618397"",""stock FAKTUR!B:G""),6,false)"),"10")</f>
        <v>10</v>
      </c>
      <c r="J197" s="120" t="str">
        <f t="shared" si="25"/>
        <v>ADA</v>
      </c>
      <c r="K197" s="142">
        <v>800.0</v>
      </c>
      <c r="L197" s="145" t="str">
        <f>IFERROR(__xludf.DUMMYFUNCTION("vlookup($D197,IMPORTRANGE(""https://docs.google.com/spreadsheets/d/1swGwZOEqYlTEUCJLY-eeJM1911Kvaei5oySBIxdgtNo/edit?pli=1#gid=257618397"",""stock FAKTUR!B:q""),16,false)"),"PAK")</f>
        <v>PAK</v>
      </c>
      <c r="M197" s="147">
        <v>13250.0</v>
      </c>
      <c r="N197" s="148"/>
      <c r="O197" s="147">
        <f t="shared" si="2"/>
        <v>10600000</v>
      </c>
      <c r="P197" s="147" t="str">
        <f t="shared" si="3"/>
        <v>Rp13,250-800 PAK-0.00%</v>
      </c>
      <c r="Q197" s="149">
        <v>45412.0</v>
      </c>
      <c r="R197" s="150"/>
      <c r="S197" s="149">
        <v>45416.0</v>
      </c>
      <c r="T197" s="151"/>
      <c r="U197" s="151"/>
      <c r="V197" s="151"/>
      <c r="W197" s="151"/>
    </row>
    <row r="198">
      <c r="A198" s="142">
        <v>4692.0</v>
      </c>
      <c r="B198" s="143" t="s">
        <v>65</v>
      </c>
      <c r="C198" s="143" t="s">
        <v>2386</v>
      </c>
      <c r="D198" s="145" t="s">
        <v>35</v>
      </c>
      <c r="E198" s="145" t="str">
        <f>IFERROR(__xludf.DUMMYFUNCTION("vlookup(D198,IMPORTRANGE(""https://docs.google.com/spreadsheets/d/1swGwZOEqYlTEUCJLY-eeJM1911Kvaei5oySBIxdgtNo/edit?pli=1#gid=257618397"",""stock FAKTUR!B:C""),2,false)"),"BP TZ 501 HITAM")</f>
        <v>BP TZ 501 HITAM</v>
      </c>
      <c r="F198" s="53" t="str">
        <f>IFERROR(__xludf.DUMMYFUNCTION("vlookup($D198,IMPORTRANGE(""https://docs.google.com/spreadsheets/d/1swGwZOEqYlTEUCJLY-eeJM1911Kvaei5oySBIxdgtNo/edit?pli=1#gid=257618397"",""stock FAKTUR!B:d""),3,false)"),"")</f>
        <v/>
      </c>
      <c r="G198" s="53" t="str">
        <f>IFERROR(__xludf.DUMMYFUNCTION("vlookup($D198,IMPORTRANGE(""https://docs.google.com/spreadsheets/d/1swGwZOEqYlTEUCJLY-eeJM1911Kvaei5oySBIxdgtNo/edit?pli=1#gid=257618397"",""stock FAKTUR!B:e""),4,false)"),"")</f>
        <v/>
      </c>
      <c r="H198" s="53" t="str">
        <f>IFERROR(__xludf.DUMMYFUNCTION("vlookup($D198,IMPORTRANGE(""https://docs.google.com/spreadsheets/d/1swGwZOEqYlTEUCJLY-eeJM1911Kvaei5oySBIxdgtNo/edit?pli=1#gid=257618397"",""stock FAKTUR!B:F""),5,false)"),"TZ")</f>
        <v>TZ</v>
      </c>
      <c r="I198" s="53" t="str">
        <f>IFERROR(__xludf.DUMMYFUNCTION("vlookup($D198,IMPORTRANGE(""https://docs.google.com/spreadsheets/d/1swGwZOEqYlTEUCJLY-eeJM1911Kvaei5oySBIxdgtNo/edit?pli=1#gid=257618397"",""stock FAKTUR!B:G""),6,false)"),"")</f>
        <v/>
      </c>
      <c r="J198" s="120" t="str">
        <f t="shared" si="25"/>
        <v>ADA</v>
      </c>
      <c r="K198" s="142">
        <v>12.0</v>
      </c>
      <c r="L198" s="145" t="str">
        <f>IFERROR(__xludf.DUMMYFUNCTION("vlookup($D198,IMPORTRANGE(""https://docs.google.com/spreadsheets/d/1swGwZOEqYlTEUCJLY-eeJM1911Kvaei5oySBIxdgtNo/edit?pli=1#gid=257618397"",""stock FAKTUR!B:q""),16,false)"),"LSN")</f>
        <v>LSN</v>
      </c>
      <c r="M198" s="147">
        <v>26000.0</v>
      </c>
      <c r="N198" s="148"/>
      <c r="O198" s="147">
        <f t="shared" si="2"/>
        <v>312000</v>
      </c>
      <c r="P198" s="147" t="str">
        <f t="shared" si="3"/>
        <v>Rp26,000-12 LSN-0.00%</v>
      </c>
      <c r="Q198" s="149">
        <v>45412.0</v>
      </c>
      <c r="R198" s="150"/>
      <c r="S198" s="149">
        <v>45416.0</v>
      </c>
      <c r="T198" s="151"/>
      <c r="U198" s="151"/>
      <c r="V198" s="151"/>
      <c r="W198" s="151"/>
    </row>
    <row r="199">
      <c r="A199" s="142">
        <v>4683.0</v>
      </c>
      <c r="B199" s="143" t="s">
        <v>65</v>
      </c>
      <c r="C199" s="143" t="s">
        <v>66</v>
      </c>
      <c r="D199" s="145" t="s">
        <v>4448</v>
      </c>
      <c r="E199" s="145" t="str">
        <f>IFERROR(__xludf.DUMMYFUNCTION("vlookup(D199,IMPORTRANGE(""https://docs.google.com/spreadsheets/d/1swGwZOEqYlTEUCJLY-eeJM1911Kvaei5oySBIxdgtNo/edit?pli=1#gid=257618397"",""stock FAKTUR!B:C""),2,false)"),"PC MAGNIT AC-1762 (22X7.5)")</f>
        <v>PC MAGNIT AC-1762 (22X7.5)</v>
      </c>
      <c r="F199" s="53" t="str">
        <f>IFERROR(__xludf.DUMMYFUNCTION("vlookup($D199,IMPORTRANGE(""https://docs.google.com/spreadsheets/d/1swGwZOEqYlTEUCJLY-eeJM1911Kvaei5oySBIxdgtNo/edit?pli=1#gid=257618397"",""stock FAKTUR!B:d""),3,false)"),"")</f>
        <v/>
      </c>
      <c r="G199" s="53" t="str">
        <f>IFERROR(__xludf.DUMMYFUNCTION("vlookup($D199,IMPORTRANGE(""https://docs.google.com/spreadsheets/d/1swGwZOEqYlTEUCJLY-eeJM1911Kvaei5oySBIxdgtNo/edit?pli=1#gid=257618397"",""stock FAKTUR!B:e""),4,false)"),"")</f>
        <v/>
      </c>
      <c r="H199" s="53" t="str">
        <f>IFERROR(__xludf.DUMMYFUNCTION("vlookup($D199,IMPORTRANGE(""https://docs.google.com/spreadsheets/d/1swGwZOEqYlTEUCJLY-eeJM1911Kvaei5oySBIxdgtNo/edit?pli=1#gid=257618397"",""stock FAKTUR!B:F""),5,false)"),"NB")</f>
        <v>NB</v>
      </c>
      <c r="I199" s="53" t="str">
        <f>IFERROR(__xludf.DUMMYFUNCTION("vlookup($D199,IMPORTRANGE(""https://docs.google.com/spreadsheets/d/1swGwZOEqYlTEUCJLY-eeJM1911Kvaei5oySBIxdgtNo/edit?pli=1#gid=257618397"",""stock FAKTUR!B:G""),6,false)"),"AC-1762")</f>
        <v>AC-1762</v>
      </c>
      <c r="J199" s="120" t="str">
        <f t="shared" si="25"/>
        <v>ADA</v>
      </c>
      <c r="K199" s="142">
        <v>144.0</v>
      </c>
      <c r="L199" s="145" t="str">
        <f>IFERROR(__xludf.DUMMYFUNCTION("vlookup($D199,IMPORTRANGE(""https://docs.google.com/spreadsheets/d/1swGwZOEqYlTEUCJLY-eeJM1911Kvaei5oySBIxdgtNo/edit?pli=1#gid=257618397"",""stock FAKTUR!B:q""),16,false)"),"PCS")</f>
        <v>PCS</v>
      </c>
      <c r="M199" s="147">
        <v>10250.0</v>
      </c>
      <c r="N199" s="148"/>
      <c r="O199" s="147">
        <f t="shared" si="2"/>
        <v>1476000</v>
      </c>
      <c r="P199" s="147" t="str">
        <f t="shared" si="3"/>
        <v>Rp10,250-144 PCS-0.00%</v>
      </c>
      <c r="Q199" s="149">
        <v>45412.0</v>
      </c>
      <c r="R199" s="150"/>
      <c r="S199" s="149">
        <v>45416.0</v>
      </c>
      <c r="T199" s="151"/>
      <c r="U199" s="151"/>
      <c r="V199" s="151"/>
      <c r="W199" s="151"/>
    </row>
    <row r="200">
      <c r="A200" s="142">
        <v>4673.0</v>
      </c>
      <c r="B200" s="143" t="s">
        <v>58</v>
      </c>
      <c r="C200" s="143" t="s">
        <v>2258</v>
      </c>
      <c r="D200" s="145" t="s">
        <v>4398</v>
      </c>
      <c r="E200" s="145" t="str">
        <f>IFERROR(__xludf.DUMMYFUNCTION("vlookup(D200,IMPORTRANGE(""https://docs.google.com/spreadsheets/d/1swGwZOEqYlTEUCJLY-eeJM1911Kvaei5oySBIxdgtNo/edit?pli=1#gid=257618397"",""stock FAKTUR!B:C""),2,false)"),"ISI CUTTER KENKO L-150 BESAR")</f>
        <v>ISI CUTTER KENKO L-150 BESAR</v>
      </c>
      <c r="F200" s="53" t="str">
        <f>IFERROR(__xludf.DUMMYFUNCTION("vlookup($D200,IMPORTRANGE(""https://docs.google.com/spreadsheets/d/1swGwZOEqYlTEUCJLY-eeJM1911Kvaei5oySBIxdgtNo/edit?pli=1#gid=257618397"",""stock FAKTUR!B:d""),3,false)"),"18 MM")</f>
        <v>18 MM</v>
      </c>
      <c r="G200" s="53" t="str">
        <f>IFERROR(__xludf.DUMMYFUNCTION("vlookup($D200,IMPORTRANGE(""https://docs.google.com/spreadsheets/d/1swGwZOEqYlTEUCJLY-eeJM1911Kvaei5oySBIxdgtNo/edit?pli=1#gid=257618397"",""stock FAKTUR!B:e""),4,false)"),"")</f>
        <v/>
      </c>
      <c r="H200" s="53" t="str">
        <f>IFERROR(__xludf.DUMMYFUNCTION("vlookup($D200,IMPORTRANGE(""https://docs.google.com/spreadsheets/d/1swGwZOEqYlTEUCJLY-eeJM1911Kvaei5oySBIxdgtNo/edit?pli=1#gid=257618397"",""stock FAKTUR!B:F""),5,false)"),"KN")</f>
        <v>KN</v>
      </c>
      <c r="I200" s="53" t="str">
        <f>IFERROR(__xludf.DUMMYFUNCTION("vlookup($D200,IMPORTRANGE(""https://docs.google.com/spreadsheets/d/1swGwZOEqYlTEUCJLY-eeJM1911Kvaei5oySBIxdgtNo/edit?pli=1#gid=257618397"",""stock FAKTUR!B:G""),6,false)"),"CTB-002")</f>
        <v>CTB-002</v>
      </c>
      <c r="J200" s="120" t="str">
        <f t="shared" si="25"/>
        <v>ADA</v>
      </c>
      <c r="K200" s="142">
        <v>60.0</v>
      </c>
      <c r="L200" s="145" t="str">
        <f>IFERROR(__xludf.DUMMYFUNCTION("vlookup($D200,IMPORTRANGE(""https://docs.google.com/spreadsheets/d/1swGwZOEqYlTEUCJLY-eeJM1911Kvaei5oySBIxdgtNo/edit?pli=1#gid=257618397"",""stock FAKTUR!B:q""),16,false)"),"LSN")</f>
        <v>LSN</v>
      </c>
      <c r="M200" s="147">
        <v>64800.0</v>
      </c>
      <c r="N200" s="174">
        <v>0.125</v>
      </c>
      <c r="O200" s="147">
        <f t="shared" si="2"/>
        <v>3402000</v>
      </c>
      <c r="P200" s="147" t="str">
        <f t="shared" si="3"/>
        <v>Rp64,800-60 LSN-12.50%</v>
      </c>
      <c r="Q200" s="149">
        <v>45411.0</v>
      </c>
      <c r="R200" s="150"/>
      <c r="S200" s="149">
        <v>45416.0</v>
      </c>
      <c r="T200" s="151"/>
      <c r="U200" s="151"/>
      <c r="V200" s="151"/>
      <c r="W200" s="151"/>
    </row>
    <row r="201">
      <c r="A201" s="142">
        <v>4673.0</v>
      </c>
      <c r="B201" s="143" t="str">
        <f t="shared" ref="B201:B205" si="58">IF(A201=A200,B200,"")</f>
        <v>G</v>
      </c>
      <c r="C201" s="143" t="str">
        <f t="shared" ref="C201:C205" si="59">IF(A201=A200,C200,"")</f>
        <v>ANUGERAH BARU-JEPARA</v>
      </c>
      <c r="D201" s="145" t="s">
        <v>4429</v>
      </c>
      <c r="E201" s="145" t="str">
        <f>IFERROR(__xludf.DUMMYFUNCTION("vlookup(D201,IMPORTRANGE(""https://docs.google.com/spreadsheets/d/1swGwZOEqYlTEUCJLY-eeJM1911Kvaei5oySBIxdgtNo/edit?pli=1#gid=257618397"",""stock FAKTUR!B:C""),2,false)"),"TIPEX KENKO KE-01")</f>
        <v>TIPEX KENKO KE-01</v>
      </c>
      <c r="F201" s="53" t="str">
        <f>IFERROR(__xludf.DUMMYFUNCTION("vlookup($D201,IMPORTRANGE(""https://docs.google.com/spreadsheets/d/1swGwZOEqYlTEUCJLY-eeJM1911Kvaei5oySBIxdgtNo/edit?pli=1#gid=257618397"",""stock FAKTUR!B:d""),3,false)"),"")</f>
        <v/>
      </c>
      <c r="G201" s="53" t="str">
        <f>IFERROR(__xludf.DUMMYFUNCTION("vlookup($D201,IMPORTRANGE(""https://docs.google.com/spreadsheets/d/1swGwZOEqYlTEUCJLY-eeJM1911Kvaei5oySBIxdgtNo/edit?pli=1#gid=257618397"",""stock FAKTUR!B:e""),4,false)"),"")</f>
        <v/>
      </c>
      <c r="H201" s="53" t="str">
        <f>IFERROR(__xludf.DUMMYFUNCTION("vlookup($D201,IMPORTRANGE(""https://docs.google.com/spreadsheets/d/1swGwZOEqYlTEUCJLY-eeJM1911Kvaei5oySBIxdgtNo/edit?pli=1#gid=257618397"",""stock FAKTUR!B:F""),5,false)"),"KN")</f>
        <v>KN</v>
      </c>
      <c r="I201" s="53" t="str">
        <f>IFERROR(__xludf.DUMMYFUNCTION("vlookup($D201,IMPORTRANGE(""https://docs.google.com/spreadsheets/d/1swGwZOEqYlTEUCJLY-eeJM1911Kvaei5oySBIxdgtNo/edit?pli=1#gid=257618397"",""stock FAKTUR!B:G""),6,false)"),"CFL-001")</f>
        <v>CFL-001</v>
      </c>
      <c r="J201" s="120" t="str">
        <f t="shared" si="25"/>
        <v>ADA</v>
      </c>
      <c r="K201" s="142">
        <v>72.0</v>
      </c>
      <c r="L201" s="145" t="str">
        <f>IFERROR(__xludf.DUMMYFUNCTION("vlookup($D201,IMPORTRANGE(""https://docs.google.com/spreadsheets/d/1swGwZOEqYlTEUCJLY-eeJM1911Kvaei5oySBIxdgtNo/edit?pli=1#gid=257618397"",""stock FAKTUR!B:q""),16,false)"),"LSN")</f>
        <v>LSN</v>
      </c>
      <c r="M201" s="147">
        <v>54300.0</v>
      </c>
      <c r="N201" s="174">
        <v>0.125</v>
      </c>
      <c r="O201" s="147">
        <f t="shared" si="2"/>
        <v>3420900</v>
      </c>
      <c r="P201" s="147" t="str">
        <f t="shared" si="3"/>
        <v>Rp54,300-72 LSN-12.50%</v>
      </c>
      <c r="Q201" s="149">
        <v>45411.0</v>
      </c>
      <c r="R201" s="150"/>
      <c r="S201" s="149">
        <v>45416.0</v>
      </c>
      <c r="T201" s="151"/>
      <c r="U201" s="151"/>
      <c r="V201" s="151"/>
      <c r="W201" s="151"/>
    </row>
    <row r="202">
      <c r="A202" s="142">
        <v>4673.0</v>
      </c>
      <c r="B202" s="143" t="str">
        <f t="shared" si="58"/>
        <v>G</v>
      </c>
      <c r="C202" s="143" t="str">
        <f t="shared" si="59"/>
        <v>ANUGERAH BARU-JEPARA</v>
      </c>
      <c r="D202" s="145" t="s">
        <v>4527</v>
      </c>
      <c r="E202" s="145" t="str">
        <f>IFERROR(__xludf.DUMMYFUNCTION("vlookup(D202,IMPORTRANGE(""https://docs.google.com/spreadsheets/d/1swGwZOEqYlTEUCJLY-eeJM1911Kvaei5oySBIxdgtNo/edit?pli=1#gid=257618397"",""stock FAKTUR!B:C""),2,false)"),"BP KENKO KE-100 HITAM")</f>
        <v>BP KENKO KE-100 HITAM</v>
      </c>
      <c r="F202" s="53" t="str">
        <f>IFERROR(__xludf.DUMMYFUNCTION("vlookup($D202,IMPORTRANGE(""https://docs.google.com/spreadsheets/d/1swGwZOEqYlTEUCJLY-eeJM1911Kvaei5oySBIxdgtNo/edit?pli=1#gid=257618397"",""stock FAKTUR!B:d""),3,false)"),"")</f>
        <v/>
      </c>
      <c r="G202" s="53" t="str">
        <f>IFERROR(__xludf.DUMMYFUNCTION("vlookup($D202,IMPORTRANGE(""https://docs.google.com/spreadsheets/d/1swGwZOEqYlTEUCJLY-eeJM1911Kvaei5oySBIxdgtNo/edit?pli=1#gid=257618397"",""stock FAKTUR!B:e""),4,false)"),"HITAM")</f>
        <v>HITAM</v>
      </c>
      <c r="H202" s="53" t="str">
        <f>IFERROR(__xludf.DUMMYFUNCTION("vlookup($D202,IMPORTRANGE(""https://docs.google.com/spreadsheets/d/1swGwZOEqYlTEUCJLY-eeJM1911Kvaei5oySBIxdgtNo/edit?pli=1#gid=257618397"",""stock FAKTUR!B:F""),5,false)"),"KN")</f>
        <v>KN</v>
      </c>
      <c r="I202" s="53" t="str">
        <f>IFERROR(__xludf.DUMMYFUNCTION("vlookup($D202,IMPORTRANGE(""https://docs.google.com/spreadsheets/d/1swGwZOEqYlTEUCJLY-eeJM1911Kvaei5oySBIxdgtNo/edit?pli=1#gid=257618397"",""stock FAKTUR!B:G""),6,false)"),"GPT-001B")</f>
        <v>GPT-001B</v>
      </c>
      <c r="J202" s="120" t="str">
        <f t="shared" si="25"/>
        <v>ADA</v>
      </c>
      <c r="K202" s="142">
        <v>144.0</v>
      </c>
      <c r="L202" s="145" t="str">
        <f>IFERROR(__xludf.DUMMYFUNCTION("vlookup($D202,IMPORTRANGE(""https://docs.google.com/spreadsheets/d/1swGwZOEqYlTEUCJLY-eeJM1911Kvaei5oySBIxdgtNo/edit?pli=1#gid=257618397"",""stock FAKTUR!B:q""),16,false)"),"LSN")</f>
        <v>LSN</v>
      </c>
      <c r="M202" s="147">
        <v>19200.0</v>
      </c>
      <c r="N202" s="174">
        <v>0.125</v>
      </c>
      <c r="O202" s="147">
        <f t="shared" si="2"/>
        <v>2419200</v>
      </c>
      <c r="P202" s="147" t="str">
        <f t="shared" si="3"/>
        <v>Rp19,200-144 LSN-12.50%</v>
      </c>
      <c r="Q202" s="149">
        <v>45411.0</v>
      </c>
      <c r="R202" s="150"/>
      <c r="S202" s="149">
        <v>45416.0</v>
      </c>
      <c r="T202" s="151"/>
      <c r="U202" s="151"/>
      <c r="V202" s="151"/>
      <c r="W202" s="151"/>
    </row>
    <row r="203">
      <c r="A203" s="142">
        <v>4673.0</v>
      </c>
      <c r="B203" s="143" t="str">
        <f t="shared" si="58"/>
        <v>G</v>
      </c>
      <c r="C203" s="143" t="str">
        <f t="shared" si="59"/>
        <v>ANUGERAH BARU-JEPARA</v>
      </c>
      <c r="D203" s="145" t="s">
        <v>4528</v>
      </c>
      <c r="E203" s="145" t="str">
        <f>IFERROR(__xludf.DUMMYFUNCTION("vlookup(D203,IMPORTRANGE(""https://docs.google.com/spreadsheets/d/1swGwZOEqYlTEUCJLY-eeJM1911Kvaei5oySBIxdgtNo/edit?pli=1#gid=257618397"",""stock FAKTUR!B:C""),2,false)"),"BP KENKO NK-7B HITAM")</f>
        <v>BP KENKO NK-7B HITAM</v>
      </c>
      <c r="F203" s="53" t="str">
        <f>IFERROR(__xludf.DUMMYFUNCTION("vlookup($D203,IMPORTRANGE(""https://docs.google.com/spreadsheets/d/1swGwZOEqYlTEUCJLY-eeJM1911Kvaei5oySBIxdgtNo/edit?pli=1#gid=257618397"",""stock FAKTUR!B:d""),3,false)"),"")</f>
        <v/>
      </c>
      <c r="G203" s="53" t="str">
        <f>IFERROR(__xludf.DUMMYFUNCTION("vlookup($D203,IMPORTRANGE(""https://docs.google.com/spreadsheets/d/1swGwZOEqYlTEUCJLY-eeJM1911Kvaei5oySBIxdgtNo/edit?pli=1#gid=257618397"",""stock FAKTUR!B:e""),4,false)"),"HITAM")</f>
        <v>HITAM</v>
      </c>
      <c r="H203" s="53" t="str">
        <f>IFERROR(__xludf.DUMMYFUNCTION("vlookup($D203,IMPORTRANGE(""https://docs.google.com/spreadsheets/d/1swGwZOEqYlTEUCJLY-eeJM1911Kvaei5oySBIxdgtNo/edit?pli=1#gid=257618397"",""stock FAKTUR!B:F""),5,false)"),"KN")</f>
        <v>KN</v>
      </c>
      <c r="I203" s="53" t="str">
        <f>IFERROR(__xludf.DUMMYFUNCTION("vlookup($D203,IMPORTRANGE(""https://docs.google.com/spreadsheets/d/1swGwZOEqYlTEUCJLY-eeJM1911Kvaei5oySBIxdgtNo/edit?pli=1#gid=257618397"",""stock FAKTUR!B:G""),6,false)"),"BNK-006B")</f>
        <v>BNK-006B</v>
      </c>
      <c r="J203" s="120" t="str">
        <f t="shared" si="25"/>
        <v>ADA</v>
      </c>
      <c r="K203" s="142">
        <v>144.0</v>
      </c>
      <c r="L203" s="145" t="str">
        <f>IFERROR(__xludf.DUMMYFUNCTION("vlookup($D203,IMPORTRANGE(""https://docs.google.com/spreadsheets/d/1swGwZOEqYlTEUCJLY-eeJM1911Kvaei5oySBIxdgtNo/edit?pli=1#gid=257618397"",""stock FAKTUR!B:q""),16,false)"),"LSN")</f>
        <v>LSN</v>
      </c>
      <c r="M203" s="147">
        <v>12000.0</v>
      </c>
      <c r="N203" s="174">
        <v>0.125</v>
      </c>
      <c r="O203" s="147">
        <f t="shared" si="2"/>
        <v>1512000</v>
      </c>
      <c r="P203" s="147" t="str">
        <f t="shared" si="3"/>
        <v>Rp12,000-144 LSN-12.50%</v>
      </c>
      <c r="Q203" s="149">
        <v>45411.0</v>
      </c>
      <c r="R203" s="150"/>
      <c r="S203" s="149">
        <v>45416.0</v>
      </c>
      <c r="T203" s="151"/>
      <c r="U203" s="151"/>
      <c r="V203" s="151"/>
      <c r="W203" s="151"/>
    </row>
    <row r="204">
      <c r="A204" s="153">
        <v>4673.0</v>
      </c>
      <c r="B204" s="144" t="str">
        <f t="shared" si="58"/>
        <v>G</v>
      </c>
      <c r="C204" s="144" t="str">
        <f t="shared" si="59"/>
        <v>ANUGERAH BARU-JEPARA</v>
      </c>
      <c r="D204" s="145" t="s">
        <v>4529</v>
      </c>
      <c r="E204" s="145" t="str">
        <f>IFERROR(__xludf.DUMMYFUNCTION("vlookup(D204,IMPORTRANGE(""https://docs.google.com/spreadsheets/d/1swGwZOEqYlTEUCJLY-eeJM1911Kvaei5oySBIxdgtNo/edit?pli=1#gid=257618397"",""stock FAKTUR!B:C""),2,false)"),"PW JK CP-107")</f>
        <v>PW JK CP-107</v>
      </c>
      <c r="F204" s="53" t="str">
        <f>IFERROR(__xludf.DUMMYFUNCTION("vlookup($D204,IMPORTRANGE(""https://docs.google.com/spreadsheets/d/1swGwZOEqYlTEUCJLY-eeJM1911Kvaei5oySBIxdgtNo/edit?pli=1#gid=257618397"",""stock FAKTUR!B:d""),3,false)"),"")</f>
        <v/>
      </c>
      <c r="G204" s="53" t="str">
        <f>IFERROR(__xludf.DUMMYFUNCTION("vlookup($D204,IMPORTRANGE(""https://docs.google.com/spreadsheets/d/1swGwZOEqYlTEUCJLY-eeJM1911Kvaei5oySBIxdgtNo/edit?pli=1#gid=257618397"",""stock FAKTUR!B:e""),4,false)"),"")</f>
        <v/>
      </c>
      <c r="H204" s="53" t="str">
        <f>IFERROR(__xludf.DUMMYFUNCTION("vlookup($D204,IMPORTRANGE(""https://docs.google.com/spreadsheets/d/1swGwZOEqYlTEUCJLY-eeJM1911Kvaei5oySBIxdgtNo/edit?pli=1#gid=257618397"",""stock FAKTUR!B:F""),5,false)"),"JK")</f>
        <v>JK</v>
      </c>
      <c r="I204" s="53" t="str">
        <f>IFERROR(__xludf.DUMMYFUNCTION("vlookup($D204,IMPORTRANGE(""https://docs.google.com/spreadsheets/d/1swGwZOEqYlTEUCJLY-eeJM1911Kvaei5oySBIxdgtNo/edit?pli=1#gid=257618397"",""stock FAKTUR!B:G""),6,false)"),"CP-107")</f>
        <v>CP-107</v>
      </c>
      <c r="J204" s="120" t="str">
        <f t="shared" si="25"/>
        <v>ADA</v>
      </c>
      <c r="K204" s="153">
        <v>3.0</v>
      </c>
      <c r="L204" s="145" t="str">
        <f>IFERROR(__xludf.DUMMYFUNCTION("vlookup($D204,IMPORTRANGE(""https://docs.google.com/spreadsheets/d/1swGwZOEqYlTEUCJLY-eeJM1911Kvaei5oySBIxdgtNo/edit?pli=1#gid=257618397"",""stock FAKTUR!B:q""),16,false)"),"BOX")</f>
        <v>BOX</v>
      </c>
      <c r="M204" s="155">
        <f>2*64800</f>
        <v>129600</v>
      </c>
      <c r="N204" s="175">
        <v>0.1</v>
      </c>
      <c r="O204" s="155">
        <f t="shared" si="2"/>
        <v>349920</v>
      </c>
      <c r="P204" s="155" t="str">
        <f t="shared" si="3"/>
        <v>Rp129,600-3 BOX-10.00%</v>
      </c>
      <c r="Q204" s="157">
        <v>45411.0</v>
      </c>
      <c r="R204" s="158"/>
      <c r="S204" s="157">
        <v>45416.0</v>
      </c>
      <c r="T204" s="145" t="s">
        <v>4530</v>
      </c>
      <c r="U204" s="145" t="s">
        <v>4531</v>
      </c>
      <c r="V204" s="145"/>
      <c r="W204" s="159"/>
    </row>
    <row r="205">
      <c r="A205" s="142">
        <v>4673.0</v>
      </c>
      <c r="B205" s="143" t="str">
        <f t="shared" si="58"/>
        <v>G</v>
      </c>
      <c r="C205" s="143" t="str">
        <f t="shared" si="59"/>
        <v>ANUGERAH BARU-JEPARA</v>
      </c>
      <c r="D205" s="145" t="s">
        <v>4517</v>
      </c>
      <c r="E205" s="145" t="str">
        <f>IFERROR(__xludf.DUMMYFUNCTION("vlookup(D205,IMPORTRANGE(""https://docs.google.com/spreadsheets/d/1swGwZOEqYlTEUCJLY-eeJM1911Kvaei5oySBIxdgtNo/edit?pli=1#gid=257618397"",""stock FAKTUR!B:C""),2,false)"),"BP VANCO 1609")</f>
        <v>BP VANCO 1609</v>
      </c>
      <c r="F205" s="53" t="str">
        <f>IFERROR(__xludf.DUMMYFUNCTION("vlookup($D205,IMPORTRANGE(""https://docs.google.com/spreadsheets/d/1swGwZOEqYlTEUCJLY-eeJM1911Kvaei5oySBIxdgtNo/edit?pli=1#gid=257618397"",""stock FAKTUR!B:d""),3,false)"),"")</f>
        <v/>
      </c>
      <c r="G205" s="53" t="str">
        <f>IFERROR(__xludf.DUMMYFUNCTION("vlookup($D205,IMPORTRANGE(""https://docs.google.com/spreadsheets/d/1swGwZOEqYlTEUCJLY-eeJM1911Kvaei5oySBIxdgtNo/edit?pli=1#gid=257618397"",""stock FAKTUR!B:e""),4,false)"),"")</f>
        <v/>
      </c>
      <c r="H205" s="53" t="str">
        <f>IFERROR(__xludf.DUMMYFUNCTION("vlookup($D205,IMPORTRANGE(""https://docs.google.com/spreadsheets/d/1swGwZOEqYlTEUCJLY-eeJM1911Kvaei5oySBIxdgtNo/edit?pli=1#gid=257618397"",""stock FAKTUR!B:F""),5,false)"),"VN")</f>
        <v>VN</v>
      </c>
      <c r="I205" s="53" t="str">
        <f>IFERROR(__xludf.DUMMYFUNCTION("vlookup($D205,IMPORTRANGE(""https://docs.google.com/spreadsheets/d/1swGwZOEqYlTEUCJLY-eeJM1911Kvaei5oySBIxdgtNo/edit?pli=1#gid=257618397"",""stock FAKTUR!B:G""),6,false)"),"1609")</f>
        <v>1609</v>
      </c>
      <c r="J205" s="120" t="str">
        <f t="shared" si="25"/>
        <v>ADA</v>
      </c>
      <c r="K205" s="142">
        <v>72.0</v>
      </c>
      <c r="L205" s="145" t="str">
        <f>IFERROR(__xludf.DUMMYFUNCTION("vlookup($D205,IMPORTRANGE(""https://docs.google.com/spreadsheets/d/1swGwZOEqYlTEUCJLY-eeJM1911Kvaei5oySBIxdgtNo/edit?pli=1#gid=257618397"",""stock FAKTUR!B:q""),16,false)"),"LSN")</f>
        <v>LSN</v>
      </c>
      <c r="M205" s="147">
        <v>10500.0</v>
      </c>
      <c r="N205" s="174">
        <v>0.125</v>
      </c>
      <c r="O205" s="147">
        <f t="shared" si="2"/>
        <v>661500</v>
      </c>
      <c r="P205" s="147" t="str">
        <f t="shared" si="3"/>
        <v>Rp10,500-72 LSN-12.50%</v>
      </c>
      <c r="Q205" s="149">
        <v>45411.0</v>
      </c>
      <c r="R205" s="150"/>
      <c r="S205" s="149">
        <v>45416.0</v>
      </c>
      <c r="T205" s="151"/>
      <c r="U205" s="151"/>
      <c r="V205" s="151"/>
      <c r="W205" s="151"/>
    </row>
    <row r="206">
      <c r="A206" s="142">
        <v>4685.0</v>
      </c>
      <c r="B206" s="143" t="s">
        <v>58</v>
      </c>
      <c r="C206" s="143" t="s">
        <v>2395</v>
      </c>
      <c r="D206" s="145" t="s">
        <v>4398</v>
      </c>
      <c r="E206" s="145" t="str">
        <f>IFERROR(__xludf.DUMMYFUNCTION("vlookup(D206,IMPORTRANGE(""https://docs.google.com/spreadsheets/d/1swGwZOEqYlTEUCJLY-eeJM1911Kvaei5oySBIxdgtNo/edit?pli=1#gid=257618397"",""stock FAKTUR!B:C""),2,false)"),"ISI CUTTER KENKO L-150 BESAR")</f>
        <v>ISI CUTTER KENKO L-150 BESAR</v>
      </c>
      <c r="F206" s="53" t="str">
        <f>IFERROR(__xludf.DUMMYFUNCTION("vlookup($D206,IMPORTRANGE(""https://docs.google.com/spreadsheets/d/1swGwZOEqYlTEUCJLY-eeJM1911Kvaei5oySBIxdgtNo/edit?pli=1#gid=257618397"",""stock FAKTUR!B:d""),3,false)"),"18 MM")</f>
        <v>18 MM</v>
      </c>
      <c r="G206" s="53" t="str">
        <f>IFERROR(__xludf.DUMMYFUNCTION("vlookup($D206,IMPORTRANGE(""https://docs.google.com/spreadsheets/d/1swGwZOEqYlTEUCJLY-eeJM1911Kvaei5oySBIxdgtNo/edit?pli=1#gid=257618397"",""stock FAKTUR!B:e""),4,false)"),"")</f>
        <v/>
      </c>
      <c r="H206" s="53" t="str">
        <f>IFERROR(__xludf.DUMMYFUNCTION("vlookup($D206,IMPORTRANGE(""https://docs.google.com/spreadsheets/d/1swGwZOEqYlTEUCJLY-eeJM1911Kvaei5oySBIxdgtNo/edit?pli=1#gid=257618397"",""stock FAKTUR!B:F""),5,false)"),"KN")</f>
        <v>KN</v>
      </c>
      <c r="I206" s="53" t="str">
        <f>IFERROR(__xludf.DUMMYFUNCTION("vlookup($D206,IMPORTRANGE(""https://docs.google.com/spreadsheets/d/1swGwZOEqYlTEUCJLY-eeJM1911Kvaei5oySBIxdgtNo/edit?pli=1#gid=257618397"",""stock FAKTUR!B:G""),6,false)"),"CTB-002")</f>
        <v>CTB-002</v>
      </c>
      <c r="J206" s="120" t="str">
        <f t="shared" si="25"/>
        <v>ADA</v>
      </c>
      <c r="K206" s="142">
        <v>60.0</v>
      </c>
      <c r="L206" s="145" t="str">
        <f>IFERROR(__xludf.DUMMYFUNCTION("vlookup($D206,IMPORTRANGE(""https://docs.google.com/spreadsheets/d/1swGwZOEqYlTEUCJLY-eeJM1911Kvaei5oySBIxdgtNo/edit?pli=1#gid=257618397"",""stock FAKTUR!B:q""),16,false)"),"LSN")</f>
        <v>LSN</v>
      </c>
      <c r="M206" s="147">
        <v>64800.0</v>
      </c>
      <c r="N206" s="174">
        <v>0.125</v>
      </c>
      <c r="O206" s="147">
        <f t="shared" si="2"/>
        <v>3402000</v>
      </c>
      <c r="P206" s="147" t="str">
        <f t="shared" si="3"/>
        <v>Rp64,800-60 LSN-12.50%</v>
      </c>
      <c r="Q206" s="149">
        <v>45412.0</v>
      </c>
      <c r="R206" s="150"/>
      <c r="S206" s="149">
        <v>45416.0</v>
      </c>
      <c r="T206" s="151"/>
      <c r="U206" s="151"/>
      <c r="V206" s="151"/>
      <c r="W206" s="151"/>
    </row>
    <row r="207">
      <c r="A207" s="142">
        <v>4685.0</v>
      </c>
      <c r="B207" s="143" t="str">
        <f t="shared" ref="B207:B210" si="60">IF(A207=A206,B206,"")</f>
        <v>G</v>
      </c>
      <c r="C207" s="143" t="str">
        <f t="shared" ref="C207:C210" si="61">IF(A207=A206,C206,"")</f>
        <v>MITRA KAMPUS-KUDUS</v>
      </c>
      <c r="D207" s="145" t="s">
        <v>4430</v>
      </c>
      <c r="E207" s="145" t="str">
        <f>IFERROR(__xludf.DUMMYFUNCTION("vlookup(D207,IMPORTRANGE(""https://docs.google.com/spreadsheets/d/1swGwZOEqYlTEUCJLY-eeJM1911Kvaei5oySBIxdgtNo/edit?pli=1#gid=257618397"",""stock FAKTUR!B:C""),2,false)"),"LEM STICK KENKO 8GR KECIL")</f>
        <v>LEM STICK KENKO 8GR KECIL</v>
      </c>
      <c r="F207" s="53" t="str">
        <f>IFERROR(__xludf.DUMMYFUNCTION("vlookup($D207,IMPORTRANGE(""https://docs.google.com/spreadsheets/d/1swGwZOEqYlTEUCJLY-eeJM1911Kvaei5oySBIxdgtNo/edit?pli=1#gid=257618397"",""stock FAKTUR!B:d""),3,false)"),"K")</f>
        <v>K</v>
      </c>
      <c r="G207" s="53" t="str">
        <f>IFERROR(__xludf.DUMMYFUNCTION("vlookup($D207,IMPORTRANGE(""https://docs.google.com/spreadsheets/d/1swGwZOEqYlTEUCJLY-eeJM1911Kvaei5oySBIxdgtNo/edit?pli=1#gid=257618397"",""stock FAKTUR!B:e""),4,false)"),"")</f>
        <v/>
      </c>
      <c r="H207" s="53" t="str">
        <f>IFERROR(__xludf.DUMMYFUNCTION("vlookup($D207,IMPORTRANGE(""https://docs.google.com/spreadsheets/d/1swGwZOEqYlTEUCJLY-eeJM1911Kvaei5oySBIxdgtNo/edit?pli=1#gid=257618397"",""stock FAKTUR!B:F""),5,false)"),"KN")</f>
        <v>KN</v>
      </c>
      <c r="I207" s="53" t="str">
        <f>IFERROR(__xludf.DUMMYFUNCTION("vlookup($D207,IMPORTRANGE(""https://docs.google.com/spreadsheets/d/1swGwZOEqYlTEUCJLY-eeJM1911Kvaei5oySBIxdgtNo/edit?pli=1#gid=257618397"",""stock FAKTUR!B:G""),6,false)"),"GST-001GA")</f>
        <v>GST-001GA</v>
      </c>
      <c r="J207" s="120" t="str">
        <f t="shared" si="25"/>
        <v>ADA</v>
      </c>
      <c r="K207" s="142">
        <v>36.0</v>
      </c>
      <c r="L207" s="145" t="str">
        <f>IFERROR(__xludf.DUMMYFUNCTION("vlookup($D207,IMPORTRANGE(""https://docs.google.com/spreadsheets/d/1swGwZOEqYlTEUCJLY-eeJM1911Kvaei5oySBIxdgtNo/edit?pli=1#gid=257618397"",""stock FAKTUR!B:q""),16,false)"),"BOX")</f>
        <v>BOX</v>
      </c>
      <c r="M207" s="147">
        <v>66000.0</v>
      </c>
      <c r="N207" s="174">
        <v>0.125</v>
      </c>
      <c r="O207" s="147">
        <f t="shared" si="2"/>
        <v>2079000</v>
      </c>
      <c r="P207" s="147" t="str">
        <f t="shared" si="3"/>
        <v>Rp66,000-36 BOX-12.50%</v>
      </c>
      <c r="Q207" s="149">
        <v>45412.0</v>
      </c>
      <c r="R207" s="150"/>
      <c r="S207" s="149">
        <v>45416.0</v>
      </c>
      <c r="T207" s="151"/>
      <c r="U207" s="151"/>
      <c r="V207" s="151"/>
      <c r="W207" s="151"/>
    </row>
    <row r="208">
      <c r="A208" s="142">
        <v>4685.0</v>
      </c>
      <c r="B208" s="143" t="str">
        <f t="shared" si="60"/>
        <v>G</v>
      </c>
      <c r="C208" s="143" t="str">
        <f t="shared" si="61"/>
        <v>MITRA KAMPUS-KUDUS</v>
      </c>
      <c r="D208" s="145" t="s">
        <v>4532</v>
      </c>
      <c r="E208" s="145" t="str">
        <f>IFERROR(__xludf.DUMMYFUNCTION("vlookup(D208,IMPORTRANGE(""https://docs.google.com/spreadsheets/d/1swGwZOEqYlTEUCJLY-eeJM1911Kvaei5oySBIxdgtNo/edit?pli=1#gid=257618397"",""stock FAKTUR!B:C""),2,false)"),"BINDER CLIP KENKO NO. 260")</f>
        <v>BINDER CLIP KENKO NO. 260</v>
      </c>
      <c r="F208" s="53" t="str">
        <f>IFERROR(__xludf.DUMMYFUNCTION("vlookup($D208,IMPORTRANGE(""https://docs.google.com/spreadsheets/d/1swGwZOEqYlTEUCJLY-eeJM1911Kvaei5oySBIxdgtNo/edit?pli=1#gid=257618397"",""stock FAKTUR!B:d""),3,false)"),"")</f>
        <v/>
      </c>
      <c r="G208" s="53" t="str">
        <f>IFERROR(__xludf.DUMMYFUNCTION("vlookup($D208,IMPORTRANGE(""https://docs.google.com/spreadsheets/d/1swGwZOEqYlTEUCJLY-eeJM1911Kvaei5oySBIxdgtNo/edit?pli=1#gid=257618397"",""stock FAKTUR!B:e""),4,false)"),"")</f>
        <v/>
      </c>
      <c r="H208" s="53" t="str">
        <f>IFERROR(__xludf.DUMMYFUNCTION("vlookup($D208,IMPORTRANGE(""https://docs.google.com/spreadsheets/d/1swGwZOEqYlTEUCJLY-eeJM1911Kvaei5oySBIxdgtNo/edit?pli=1#gid=257618397"",""stock FAKTUR!B:F""),5,false)"),"KN")</f>
        <v>KN</v>
      </c>
      <c r="I208" s="53" t="str">
        <f>IFERROR(__xludf.DUMMYFUNCTION("vlookup($D208,IMPORTRANGE(""https://docs.google.com/spreadsheets/d/1swGwZOEqYlTEUCJLY-eeJM1911Kvaei5oySBIxdgtNo/edit?pli=1#gid=257618397"",""stock FAKTUR!B:G""),6,false)"),"BCL-006QH")</f>
        <v>BCL-006QH</v>
      </c>
      <c r="J208" s="120" t="str">
        <f t="shared" si="25"/>
        <v>ADA</v>
      </c>
      <c r="K208" s="142">
        <v>5.0</v>
      </c>
      <c r="L208" s="145" t="str">
        <f>IFERROR(__xludf.DUMMYFUNCTION("vlookup($D208,IMPORTRANGE(""https://docs.google.com/spreadsheets/d/1swGwZOEqYlTEUCJLY-eeJM1911Kvaei5oySBIxdgtNo/edit?pli=1#gid=257618397"",""stock FAKTUR!B:q""),16,false)"),"GRS")</f>
        <v>GRS</v>
      </c>
      <c r="M208" s="147">
        <v>180000.0</v>
      </c>
      <c r="N208" s="174">
        <v>0.125</v>
      </c>
      <c r="O208" s="147">
        <f t="shared" si="2"/>
        <v>787500</v>
      </c>
      <c r="P208" s="147" t="str">
        <f t="shared" si="3"/>
        <v>Rp180,000-5 GRS-12.50%</v>
      </c>
      <c r="Q208" s="149">
        <v>45412.0</v>
      </c>
      <c r="R208" s="150"/>
      <c r="S208" s="149">
        <v>45416.0</v>
      </c>
      <c r="T208" s="151"/>
      <c r="U208" s="151"/>
      <c r="V208" s="151"/>
      <c r="W208" s="151"/>
    </row>
    <row r="209">
      <c r="A209" s="142">
        <v>4685.0</v>
      </c>
      <c r="B209" s="143" t="str">
        <f t="shared" si="60"/>
        <v>G</v>
      </c>
      <c r="C209" s="143" t="str">
        <f t="shared" si="61"/>
        <v>MITRA KAMPUS-KUDUS</v>
      </c>
      <c r="D209" s="145" t="s">
        <v>4533</v>
      </c>
      <c r="E209" s="145" t="str">
        <f>IFERROR(__xludf.DUMMYFUNCTION("vlookup(D209,IMPORTRANGE(""https://docs.google.com/spreadsheets/d/1swGwZOEqYlTEUCJLY-eeJM1911Kvaei5oySBIxdgtNo/edit?pli=1#gid=257618397"",""stock FAKTUR!B:C""),2,false)"),"BINDER CLIP KENKO NO. 200")</f>
        <v>BINDER CLIP KENKO NO. 200</v>
      </c>
      <c r="F209" s="53" t="str">
        <f>IFERROR(__xludf.DUMMYFUNCTION("vlookup($D209,IMPORTRANGE(""https://docs.google.com/spreadsheets/d/1swGwZOEqYlTEUCJLY-eeJM1911Kvaei5oySBIxdgtNo/edit?pli=1#gid=257618397"",""stock FAKTUR!B:d""),3,false)"),"")</f>
        <v/>
      </c>
      <c r="G209" s="53" t="str">
        <f>IFERROR(__xludf.DUMMYFUNCTION("vlookup($D209,IMPORTRANGE(""https://docs.google.com/spreadsheets/d/1swGwZOEqYlTEUCJLY-eeJM1911Kvaei5oySBIxdgtNo/edit?pli=1#gid=257618397"",""stock FAKTUR!B:e""),4,false)"),"")</f>
        <v/>
      </c>
      <c r="H209" s="53" t="str">
        <f>IFERROR(__xludf.DUMMYFUNCTION("vlookup($D209,IMPORTRANGE(""https://docs.google.com/spreadsheets/d/1swGwZOEqYlTEUCJLY-eeJM1911Kvaei5oySBIxdgtNo/edit?pli=1#gid=257618397"",""stock FAKTUR!B:F""),5,false)"),"KN")</f>
        <v>KN</v>
      </c>
      <c r="I209" s="53" t="str">
        <f>IFERROR(__xludf.DUMMYFUNCTION("vlookup($D209,IMPORTRANGE(""https://docs.google.com/spreadsheets/d/1swGwZOEqYlTEUCJLY-eeJM1911Kvaei5oySBIxdgtNo/edit?pli=1#gid=257618397"",""stock FAKTUR!B:G""),6,false)"),"BCL-005QH")</f>
        <v>BCL-005QH</v>
      </c>
      <c r="J209" s="120" t="str">
        <f t="shared" si="25"/>
        <v>ADA</v>
      </c>
      <c r="K209" s="142">
        <v>10.0</v>
      </c>
      <c r="L209" s="145" t="str">
        <f>IFERROR(__xludf.DUMMYFUNCTION("vlookup($D209,IMPORTRANGE(""https://docs.google.com/spreadsheets/d/1swGwZOEqYlTEUCJLY-eeJM1911Kvaei5oySBIxdgtNo/edit?pli=1#gid=257618397"",""stock FAKTUR!B:q""),16,false)"),"GRS")</f>
        <v>GRS</v>
      </c>
      <c r="M209" s="147">
        <v>120000.0</v>
      </c>
      <c r="N209" s="174">
        <v>0.125</v>
      </c>
      <c r="O209" s="147">
        <f t="shared" si="2"/>
        <v>1050000</v>
      </c>
      <c r="P209" s="147" t="str">
        <f t="shared" si="3"/>
        <v>Rp120,000-10 GRS-12.50%</v>
      </c>
      <c r="Q209" s="149">
        <v>45412.0</v>
      </c>
      <c r="R209" s="150"/>
      <c r="S209" s="149">
        <v>45416.0</v>
      </c>
      <c r="T209" s="151"/>
      <c r="U209" s="151"/>
      <c r="V209" s="151"/>
      <c r="W209" s="151"/>
    </row>
    <row r="210">
      <c r="A210" s="142">
        <v>4685.0</v>
      </c>
      <c r="B210" s="143" t="str">
        <f t="shared" si="60"/>
        <v>G</v>
      </c>
      <c r="C210" s="143" t="str">
        <f t="shared" si="61"/>
        <v>MITRA KAMPUS-KUDUS</v>
      </c>
      <c r="D210" s="145" t="s">
        <v>4429</v>
      </c>
      <c r="E210" s="145" t="str">
        <f>IFERROR(__xludf.DUMMYFUNCTION("vlookup(D210,IMPORTRANGE(""https://docs.google.com/spreadsheets/d/1swGwZOEqYlTEUCJLY-eeJM1911Kvaei5oySBIxdgtNo/edit?pli=1#gid=257618397"",""stock FAKTUR!B:C""),2,false)"),"TIPEX KENKO KE-01")</f>
        <v>TIPEX KENKO KE-01</v>
      </c>
      <c r="F210" s="53" t="str">
        <f>IFERROR(__xludf.DUMMYFUNCTION("vlookup($D210,IMPORTRANGE(""https://docs.google.com/spreadsheets/d/1swGwZOEqYlTEUCJLY-eeJM1911Kvaei5oySBIxdgtNo/edit?pli=1#gid=257618397"",""stock FAKTUR!B:d""),3,false)"),"")</f>
        <v/>
      </c>
      <c r="G210" s="53" t="str">
        <f>IFERROR(__xludf.DUMMYFUNCTION("vlookup($D210,IMPORTRANGE(""https://docs.google.com/spreadsheets/d/1swGwZOEqYlTEUCJLY-eeJM1911Kvaei5oySBIxdgtNo/edit?pli=1#gid=257618397"",""stock FAKTUR!B:e""),4,false)"),"")</f>
        <v/>
      </c>
      <c r="H210" s="53" t="str">
        <f>IFERROR(__xludf.DUMMYFUNCTION("vlookup($D210,IMPORTRANGE(""https://docs.google.com/spreadsheets/d/1swGwZOEqYlTEUCJLY-eeJM1911Kvaei5oySBIxdgtNo/edit?pli=1#gid=257618397"",""stock FAKTUR!B:F""),5,false)"),"KN")</f>
        <v>KN</v>
      </c>
      <c r="I210" s="53" t="str">
        <f>IFERROR(__xludf.DUMMYFUNCTION("vlookup($D210,IMPORTRANGE(""https://docs.google.com/spreadsheets/d/1swGwZOEqYlTEUCJLY-eeJM1911Kvaei5oySBIxdgtNo/edit?pli=1#gid=257618397"",""stock FAKTUR!B:G""),6,false)"),"CFL-001")</f>
        <v>CFL-001</v>
      </c>
      <c r="J210" s="120" t="str">
        <f t="shared" si="25"/>
        <v>ADA</v>
      </c>
      <c r="K210" s="142">
        <v>36.0</v>
      </c>
      <c r="L210" s="145" t="str">
        <f>IFERROR(__xludf.DUMMYFUNCTION("vlookup($D210,IMPORTRANGE(""https://docs.google.com/spreadsheets/d/1swGwZOEqYlTEUCJLY-eeJM1911Kvaei5oySBIxdgtNo/edit?pli=1#gid=257618397"",""stock FAKTUR!B:q""),16,false)"),"LSN")</f>
        <v>LSN</v>
      </c>
      <c r="M210" s="147">
        <v>54300.0</v>
      </c>
      <c r="N210" s="174">
        <v>0.125</v>
      </c>
      <c r="O210" s="147">
        <f t="shared" si="2"/>
        <v>1710450</v>
      </c>
      <c r="P210" s="147" t="str">
        <f t="shared" si="3"/>
        <v>Rp54,300-36 LSN-12.50%</v>
      </c>
      <c r="Q210" s="149">
        <v>45412.0</v>
      </c>
      <c r="R210" s="150"/>
      <c r="S210" s="149">
        <v>45416.0</v>
      </c>
      <c r="T210" s="151"/>
      <c r="U210" s="151"/>
      <c r="V210" s="151"/>
      <c r="W210" s="151"/>
    </row>
    <row r="211">
      <c r="A211" s="142">
        <v>2984.0</v>
      </c>
      <c r="B211" s="143" t="s">
        <v>58</v>
      </c>
      <c r="C211" s="143" t="s">
        <v>2292</v>
      </c>
      <c r="D211" s="151" t="s">
        <v>4534</v>
      </c>
      <c r="E211" s="145" t="str">
        <f>IFERROR(__xludf.DUMMYFUNCTION("vlookup(D211,IMPORTRANGE(""https://docs.google.com/spreadsheets/d/1swGwZOEqYlTEUCJLY-eeJM1911Kvaei5oySBIxdgtNo/edit?pli=1#gid=257618397"",""stock FAKTUR!B:C""),2,false)"),"BP DEBOZZ DB G 05")</f>
        <v>BP DEBOZZ DB G 05</v>
      </c>
      <c r="F211" s="53" t="str">
        <f>IFERROR(__xludf.DUMMYFUNCTION("vlookup($D211,IMPORTRANGE(""https://docs.google.com/spreadsheets/d/1swGwZOEqYlTEUCJLY-eeJM1911Kvaei5oySBIxdgtNo/edit?pli=1#gid=257618397"",""stock FAKTUR!B:d""),3,false)"),"")</f>
        <v/>
      </c>
      <c r="G211" s="53" t="str">
        <f>IFERROR(__xludf.DUMMYFUNCTION("vlookup($D211,IMPORTRANGE(""https://docs.google.com/spreadsheets/d/1swGwZOEqYlTEUCJLY-eeJM1911Kvaei5oySBIxdgtNo/edit?pli=1#gid=257618397"",""stock FAKTUR!B:e""),4,false)"),"")</f>
        <v/>
      </c>
      <c r="H211" s="53" t="str">
        <f>IFERROR(__xludf.DUMMYFUNCTION("vlookup($D211,IMPORTRANGE(""https://docs.google.com/spreadsheets/d/1swGwZOEqYlTEUCJLY-eeJM1911Kvaei5oySBIxdgtNo/edit?pli=1#gid=257618397"",""stock FAKTUR!B:F""),5,false)"),"DB")</f>
        <v>DB</v>
      </c>
      <c r="I211" s="53" t="str">
        <f>IFERROR(__xludf.DUMMYFUNCTION("vlookup($D211,IMPORTRANGE(""https://docs.google.com/spreadsheets/d/1swGwZOEqYlTEUCJLY-eeJM1911Kvaei5oySBIxdgtNo/edit?pli=1#gid=257618397"",""stock FAKTUR!B:G""),6,false)"),"G-05")</f>
        <v>G-05</v>
      </c>
      <c r="J211" s="120" t="str">
        <f t="shared" si="25"/>
        <v>ADA</v>
      </c>
      <c r="K211" s="142">
        <v>48.0</v>
      </c>
      <c r="L211" s="145" t="str">
        <f>IFERROR(__xludf.DUMMYFUNCTION("vlookup($D211,IMPORTRANGE(""https://docs.google.com/spreadsheets/d/1swGwZOEqYlTEUCJLY-eeJM1911Kvaei5oySBIxdgtNo/edit?pli=1#gid=257618397"",""stock FAKTUR!B:q""),16,false)"),"LSN")</f>
        <v>LSN</v>
      </c>
      <c r="M211" s="147">
        <v>28500.0</v>
      </c>
      <c r="N211" s="148"/>
      <c r="O211" s="147">
        <f t="shared" si="2"/>
        <v>1368000</v>
      </c>
      <c r="P211" s="147" t="str">
        <f t="shared" si="3"/>
        <v>Rp28,500-48 LSN-0.00%</v>
      </c>
      <c r="Q211" s="149">
        <v>45412.0</v>
      </c>
      <c r="R211" s="150"/>
      <c r="S211" s="149">
        <v>45416.0</v>
      </c>
      <c r="T211" s="151"/>
      <c r="U211" s="151"/>
      <c r="V211" s="151"/>
      <c r="W211" s="151"/>
    </row>
    <row r="212">
      <c r="A212" s="142">
        <v>4694.0</v>
      </c>
      <c r="B212" s="143" t="s">
        <v>58</v>
      </c>
      <c r="C212" s="143" t="s">
        <v>2314</v>
      </c>
      <c r="D212" s="145" t="s">
        <v>4535</v>
      </c>
      <c r="E212" s="145" t="str">
        <f>IFERROR(__xludf.DUMMYFUNCTION("vlookup(D212,IMPORTRANGE(""https://docs.google.com/spreadsheets/d/1swGwZOEqYlTEUCJLY-eeJM1911Kvaei5oySBIxdgtNo/edit?pli=1#gid=257618397"",""stock FAKTUR!B:C""),2,false)"),"PC MAGNIT C-5212 3D (23X8.5)")</f>
        <v>PC MAGNIT C-5212 3D (23X8.5)</v>
      </c>
      <c r="F212" s="53" t="str">
        <f>IFERROR(__xludf.DUMMYFUNCTION("vlookup($D212,IMPORTRANGE(""https://docs.google.com/spreadsheets/d/1swGwZOEqYlTEUCJLY-eeJM1911Kvaei5oySBIxdgtNo/edit?pli=1#gid=257618397"",""stock FAKTUR!B:d""),3,false)"),"")</f>
        <v/>
      </c>
      <c r="G212" s="53" t="str">
        <f>IFERROR(__xludf.DUMMYFUNCTION("vlookup($D212,IMPORTRANGE(""https://docs.google.com/spreadsheets/d/1swGwZOEqYlTEUCJLY-eeJM1911Kvaei5oySBIxdgtNo/edit?pli=1#gid=257618397"",""stock FAKTUR!B:e""),4,false)"),"")</f>
        <v/>
      </c>
      <c r="H212" s="53" t="str">
        <f>IFERROR(__xludf.DUMMYFUNCTION("vlookup($D212,IMPORTRANGE(""https://docs.google.com/spreadsheets/d/1swGwZOEqYlTEUCJLY-eeJM1911Kvaei5oySBIxdgtNo/edit?pli=1#gid=257618397"",""stock FAKTUR!B:F""),5,false)"),"NB")</f>
        <v>NB</v>
      </c>
      <c r="I212" s="53" t="str">
        <f>IFERROR(__xludf.DUMMYFUNCTION("vlookup($D212,IMPORTRANGE(""https://docs.google.com/spreadsheets/d/1swGwZOEqYlTEUCJLY-eeJM1911Kvaei5oySBIxdgtNo/edit?pli=1#gid=257618397"",""stock FAKTUR!B:G""),6,false)"),"")</f>
        <v/>
      </c>
      <c r="J212" s="120" t="str">
        <f t="shared" si="25"/>
        <v>ADA</v>
      </c>
      <c r="K212" s="142">
        <v>36.0</v>
      </c>
      <c r="L212" s="145" t="str">
        <f>IFERROR(__xludf.DUMMYFUNCTION("vlookup($D212,IMPORTRANGE(""https://docs.google.com/spreadsheets/d/1swGwZOEqYlTEUCJLY-eeJM1911Kvaei5oySBIxdgtNo/edit?pli=1#gid=257618397"",""stock FAKTUR!B:q""),16,false)"),"PCS")</f>
        <v>PCS</v>
      </c>
      <c r="M212" s="147">
        <f>150000/12</f>
        <v>12500</v>
      </c>
      <c r="N212" s="148"/>
      <c r="O212" s="147">
        <f t="shared" si="2"/>
        <v>450000</v>
      </c>
      <c r="P212" s="147" t="str">
        <f t="shared" si="3"/>
        <v>Rp12,500-36 PCS-0.00%</v>
      </c>
      <c r="Q212" s="149">
        <v>45412.0</v>
      </c>
      <c r="R212" s="150"/>
      <c r="S212" s="149">
        <v>45416.0</v>
      </c>
      <c r="T212" s="151"/>
      <c r="U212" s="151"/>
      <c r="V212" s="151"/>
      <c r="W212" s="151"/>
    </row>
    <row r="213">
      <c r="A213" s="142">
        <v>4684.0</v>
      </c>
      <c r="B213" s="143" t="s">
        <v>58</v>
      </c>
      <c r="C213" s="143" t="s">
        <v>2396</v>
      </c>
      <c r="D213" s="145" t="s">
        <v>4490</v>
      </c>
      <c r="E213" s="145" t="str">
        <f>IFERROR(__xludf.DUMMYFUNCTION("vlookup(D213,IMPORTRANGE(""https://docs.google.com/spreadsheets/d/1swGwZOEqYlTEUCJLY-eeJM1911Kvaei5oySBIxdgtNo/edit?pli=1#gid=257618397"",""stock FAKTUR!B:C""),2,false)"),"LABEL KENKO 5002 (2 LINE)")</f>
        <v>LABEL KENKO 5002 (2 LINE)</v>
      </c>
      <c r="F213" s="53" t="str">
        <f>IFERROR(__xludf.DUMMYFUNCTION("vlookup($D213,IMPORTRANGE(""https://docs.google.com/spreadsheets/d/1swGwZOEqYlTEUCJLY-eeJM1911Kvaei5oySBIxdgtNo/edit?pli=1#gid=257618397"",""stock FAKTUR!B:d""),3,false)"),"")</f>
        <v/>
      </c>
      <c r="G213" s="53" t="str">
        <f>IFERROR(__xludf.DUMMYFUNCTION("vlookup($D213,IMPORTRANGE(""https://docs.google.com/spreadsheets/d/1swGwZOEqYlTEUCJLY-eeJM1911Kvaei5oySBIxdgtNo/edit?pli=1#gid=257618397"",""stock FAKTUR!B:e""),4,false)"),"")</f>
        <v/>
      </c>
      <c r="H213" s="53" t="str">
        <f>IFERROR(__xludf.DUMMYFUNCTION("vlookup($D213,IMPORTRANGE(""https://docs.google.com/spreadsheets/d/1swGwZOEqYlTEUCJLY-eeJM1911Kvaei5oySBIxdgtNo/edit?pli=1#gid=257618397"",""stock FAKTUR!B:F""),5,false)"),"KN")</f>
        <v>KN</v>
      </c>
      <c r="I213" s="53" t="str">
        <f>IFERROR(__xludf.DUMMYFUNCTION("vlookup($D213,IMPORTRANGE(""https://docs.google.com/spreadsheets/d/1swGwZOEqYlTEUCJLY-eeJM1911Kvaei5oySBIxdgtNo/edit?pli=1#gid=257618397"",""stock FAKTUR!B:G""),6,false)"),"5002")</f>
        <v>5002</v>
      </c>
      <c r="J213" s="120" t="str">
        <f t="shared" si="25"/>
        <v>ADA</v>
      </c>
      <c r="K213" s="142">
        <v>10.0</v>
      </c>
      <c r="L213" s="145" t="str">
        <f>IFERROR(__xludf.DUMMYFUNCTION("vlookup($D213,IMPORTRANGE(""https://docs.google.com/spreadsheets/d/1swGwZOEqYlTEUCJLY-eeJM1911Kvaei5oySBIxdgtNo/edit?pli=1#gid=257618397"",""stock FAKTUR!B:q""),16,false)"),"PAK")</f>
        <v>PAK</v>
      </c>
      <c r="M213" s="147">
        <v>27000.0</v>
      </c>
      <c r="N213" s="152">
        <v>0.1</v>
      </c>
      <c r="O213" s="147">
        <f t="shared" si="2"/>
        <v>243000</v>
      </c>
      <c r="P213" s="147" t="str">
        <f t="shared" si="3"/>
        <v>Rp27,000-10 PAK-10.00%</v>
      </c>
      <c r="Q213" s="149">
        <v>45412.0</v>
      </c>
      <c r="R213" s="150"/>
      <c r="S213" s="149">
        <v>45416.0</v>
      </c>
      <c r="T213" s="151"/>
      <c r="U213" s="151"/>
      <c r="V213" s="151"/>
      <c r="W213" s="151"/>
    </row>
    <row r="214">
      <c r="A214" s="142">
        <v>3115.0</v>
      </c>
      <c r="B214" s="143" t="s">
        <v>33</v>
      </c>
      <c r="C214" s="143" t="s">
        <v>2134</v>
      </c>
      <c r="D214" s="145" t="s">
        <v>4405</v>
      </c>
      <c r="E214" s="145" t="str">
        <f>IFERROR(__xludf.DUMMYFUNCTION("vlookup(D214,IMPORTRANGE(""https://docs.google.com/spreadsheets/d/1swGwZOEqYlTEUCJLY-eeJM1911Kvaei5oySBIxdgtNo/edit?pli=1#gid=257618397"",""stock FAKTUR!B:C""),2,false)"),"BK KAS KWARTO")</f>
        <v>BK KAS KWARTO</v>
      </c>
      <c r="F214" s="53" t="str">
        <f>IFERROR(__xludf.DUMMYFUNCTION("vlookup($D214,IMPORTRANGE(""https://docs.google.com/spreadsheets/d/1swGwZOEqYlTEUCJLY-eeJM1911Kvaei5oySBIxdgtNo/edit?pli=1#gid=257618397"",""stock FAKTUR!B:d""),3,false)"),"A4")</f>
        <v>A4</v>
      </c>
      <c r="G214" s="53" t="str">
        <f>IFERROR(__xludf.DUMMYFUNCTION("vlookup($D214,IMPORTRANGE(""https://docs.google.com/spreadsheets/d/1swGwZOEqYlTEUCJLY-eeJM1911Kvaei5oySBIxdgtNo/edit?pli=1#gid=257618397"",""stock FAKTUR!B:e""),4,false)"),"")</f>
        <v/>
      </c>
      <c r="H214" s="53" t="str">
        <f>IFERROR(__xludf.DUMMYFUNCTION("vlookup($D214,IMPORTRANGE(""https://docs.google.com/spreadsheets/d/1swGwZOEqYlTEUCJLY-eeJM1911Kvaei5oySBIxdgtNo/edit?pli=1#gid=257618397"",""stock FAKTUR!B:F""),5,false)"),"NB")</f>
        <v>NB</v>
      </c>
      <c r="I214" s="53" t="str">
        <f>IFERROR(__xludf.DUMMYFUNCTION("vlookup($D214,IMPORTRANGE(""https://docs.google.com/spreadsheets/d/1swGwZOEqYlTEUCJLY-eeJM1911Kvaei5oySBIxdgtNo/edit?pli=1#gid=257618397"",""stock FAKTUR!B:G""),6,false)"),"")</f>
        <v/>
      </c>
      <c r="J214" s="120" t="str">
        <f t="shared" si="25"/>
        <v>ADA</v>
      </c>
      <c r="K214" s="142">
        <v>20.0</v>
      </c>
      <c r="L214" s="145" t="str">
        <f>IFERROR(__xludf.DUMMYFUNCTION("vlookup($D214,IMPORTRANGE(""https://docs.google.com/spreadsheets/d/1swGwZOEqYlTEUCJLY-eeJM1911Kvaei5oySBIxdgtNo/edit?pli=1#gid=257618397"",""stock FAKTUR!B:q""),16,false)"),"PCS")</f>
        <v>PCS</v>
      </c>
      <c r="M214" s="176">
        <v>10500.0</v>
      </c>
      <c r="N214" s="148"/>
      <c r="O214" s="147">
        <f t="shared" si="2"/>
        <v>210000</v>
      </c>
      <c r="P214" s="147" t="str">
        <f t="shared" si="3"/>
        <v>Rp10,500-20 PCS-0.00%</v>
      </c>
      <c r="Q214" s="149">
        <v>45412.0</v>
      </c>
      <c r="R214" s="150"/>
      <c r="S214" s="149">
        <v>45416.0</v>
      </c>
      <c r="T214" s="151"/>
      <c r="U214" s="151"/>
      <c r="V214" s="151"/>
      <c r="W214" s="151"/>
    </row>
    <row r="215">
      <c r="A215" s="142">
        <v>2987.0</v>
      </c>
      <c r="B215" s="143" t="s">
        <v>58</v>
      </c>
      <c r="C215" s="143" t="s">
        <v>4536</v>
      </c>
      <c r="D215" s="145" t="s">
        <v>4512</v>
      </c>
      <c r="E215" s="145" t="str">
        <f>IFERROR(__xludf.DUMMYFUNCTION("vlookup(D215,IMPORTRANGE(""https://docs.google.com/spreadsheets/d/1swGwZOEqYlTEUCJLY-eeJM1911Kvaei5oySBIxdgtNo/edit?pli=1#gid=257618397"",""stock FAKTUR!B:C""),2,false)"),"BP KENKO FUN GEL HITAM")</f>
        <v>BP KENKO FUN GEL HITAM</v>
      </c>
      <c r="F215" s="53" t="str">
        <f>IFERROR(__xludf.DUMMYFUNCTION("vlookup($D215,IMPORTRANGE(""https://docs.google.com/spreadsheets/d/1swGwZOEqYlTEUCJLY-eeJM1911Kvaei5oySBIxdgtNo/edit?pli=1#gid=257618397"",""stock FAKTUR!B:d""),3,false)"),"")</f>
        <v/>
      </c>
      <c r="G215" s="53" t="str">
        <f>IFERROR(__xludf.DUMMYFUNCTION("vlookup($D215,IMPORTRANGE(""https://docs.google.com/spreadsheets/d/1swGwZOEqYlTEUCJLY-eeJM1911Kvaei5oySBIxdgtNo/edit?pli=1#gid=257618397"",""stock FAKTUR!B:e""),4,false)"),"HITAM")</f>
        <v>HITAM</v>
      </c>
      <c r="H215" s="53" t="str">
        <f>IFERROR(__xludf.DUMMYFUNCTION("vlookup($D215,IMPORTRANGE(""https://docs.google.com/spreadsheets/d/1swGwZOEqYlTEUCJLY-eeJM1911Kvaei5oySBIxdgtNo/edit?pli=1#gid=257618397"",""stock FAKTUR!B:F""),5,false)"),"KN")</f>
        <v>KN</v>
      </c>
      <c r="I215" s="53" t="str">
        <f>IFERROR(__xludf.DUMMYFUNCTION("vlookup($D215,IMPORTRANGE(""https://docs.google.com/spreadsheets/d/1swGwZOEqYlTEUCJLY-eeJM1911Kvaei5oySBIxdgtNo/edit?pli=1#gid=257618397"",""stock FAKTUR!B:G""),6,false)"),"")</f>
        <v/>
      </c>
      <c r="J215" s="120" t="str">
        <f t="shared" si="25"/>
        <v>ADA</v>
      </c>
      <c r="K215" s="142">
        <v>36.0</v>
      </c>
      <c r="L215" s="145" t="str">
        <f>IFERROR(__xludf.DUMMYFUNCTION("vlookup($D215,IMPORTRANGE(""https://docs.google.com/spreadsheets/d/1swGwZOEqYlTEUCJLY-eeJM1911Kvaei5oySBIxdgtNo/edit?pli=1#gid=257618397"",""stock FAKTUR!B:q""),16,false)"),"LSN")</f>
        <v>LSN</v>
      </c>
      <c r="M215" s="176">
        <v>25200.0</v>
      </c>
      <c r="N215" s="152">
        <v>0.1</v>
      </c>
      <c r="O215" s="147">
        <f t="shared" si="2"/>
        <v>816480</v>
      </c>
      <c r="P215" s="147" t="str">
        <f t="shared" si="3"/>
        <v>Rp25,200-36 LSN-10.00%</v>
      </c>
      <c r="Q215" s="149">
        <v>45412.0</v>
      </c>
      <c r="R215" s="150"/>
      <c r="S215" s="149">
        <v>45416.0</v>
      </c>
      <c r="T215" s="151"/>
      <c r="U215" s="151"/>
      <c r="V215" s="151"/>
      <c r="W215" s="151"/>
    </row>
    <row r="216">
      <c r="A216" s="142">
        <v>2987.0</v>
      </c>
      <c r="B216" s="143" t="str">
        <f t="shared" ref="B216:B218" si="62">IF(A216=A215,B215,"")</f>
        <v>G</v>
      </c>
      <c r="C216" s="143" t="str">
        <f t="shared" ref="C216:C218" si="63">IF(A216=A215,C215,"")</f>
        <v>GRAFIKA JEPARA</v>
      </c>
      <c r="D216" s="159" t="s">
        <v>4513</v>
      </c>
      <c r="E216" s="145" t="str">
        <f>IFERROR(__xludf.DUMMYFUNCTION("vlookup(D216,IMPORTRANGE(""https://docs.google.com/spreadsheets/d/1swGwZOEqYlTEUCJLY-eeJM1911Kvaei5oySBIxdgtNo/edit?pli=1#gid=257618397"",""stock FAKTUR!B:C""),2,false)"),"BP KENKO SG-1 SNOW GEL HITAM")</f>
        <v>BP KENKO SG-1 SNOW GEL HITAM</v>
      </c>
      <c r="F216" s="53" t="str">
        <f>IFERROR(__xludf.DUMMYFUNCTION("vlookup($D216,IMPORTRANGE(""https://docs.google.com/spreadsheets/d/1swGwZOEqYlTEUCJLY-eeJM1911Kvaei5oySBIxdgtNo/edit?pli=1#gid=257618397"",""stock FAKTUR!B:d""),3,false)"),"")</f>
        <v/>
      </c>
      <c r="G216" s="53" t="str">
        <f>IFERROR(__xludf.DUMMYFUNCTION("vlookup($D216,IMPORTRANGE(""https://docs.google.com/spreadsheets/d/1swGwZOEqYlTEUCJLY-eeJM1911Kvaei5oySBIxdgtNo/edit?pli=1#gid=257618397"",""stock FAKTUR!B:e""),4,false)"),"HITAM")</f>
        <v>HITAM</v>
      </c>
      <c r="H216" s="53" t="str">
        <f>IFERROR(__xludf.DUMMYFUNCTION("vlookup($D216,IMPORTRANGE(""https://docs.google.com/spreadsheets/d/1swGwZOEqYlTEUCJLY-eeJM1911Kvaei5oySBIxdgtNo/edit?pli=1#gid=257618397"",""stock FAKTUR!B:F""),5,false)"),"KN")</f>
        <v>KN</v>
      </c>
      <c r="I216" s="53" t="str">
        <f>IFERROR(__xludf.DUMMYFUNCTION("vlookup($D216,IMPORTRANGE(""https://docs.google.com/spreadsheets/d/1swGwZOEqYlTEUCJLY-eeJM1911Kvaei5oySBIxdgtNo/edit?pli=1#gid=257618397"",""stock FAKTUR!B:G""),6,false)"),"SG-1")</f>
        <v>SG-1</v>
      </c>
      <c r="J216" s="120" t="str">
        <f t="shared" si="25"/>
        <v>ADA</v>
      </c>
      <c r="K216" s="142">
        <v>36.0</v>
      </c>
      <c r="L216" s="145" t="str">
        <f>IFERROR(__xludf.DUMMYFUNCTION("vlookup($D216,IMPORTRANGE(""https://docs.google.com/spreadsheets/d/1swGwZOEqYlTEUCJLY-eeJM1911Kvaei5oySBIxdgtNo/edit?pli=1#gid=257618397"",""stock FAKTUR!B:q""),16,false)"),"LSN")</f>
        <v>LSN</v>
      </c>
      <c r="M216" s="176">
        <v>39600.0</v>
      </c>
      <c r="N216" s="152">
        <v>0.1</v>
      </c>
      <c r="O216" s="147">
        <f t="shared" si="2"/>
        <v>1283040</v>
      </c>
      <c r="P216" s="147" t="str">
        <f t="shared" si="3"/>
        <v>Rp39,600-36 LSN-10.00%</v>
      </c>
      <c r="Q216" s="149">
        <v>45412.0</v>
      </c>
      <c r="R216" s="150"/>
      <c r="S216" s="149">
        <v>45416.0</v>
      </c>
      <c r="T216" s="151"/>
      <c r="U216" s="151"/>
      <c r="V216" s="151"/>
      <c r="W216" s="151"/>
    </row>
    <row r="217">
      <c r="A217" s="142">
        <v>2987.0</v>
      </c>
      <c r="B217" s="143" t="str">
        <f t="shared" si="62"/>
        <v>G</v>
      </c>
      <c r="C217" s="143" t="str">
        <f t="shared" si="63"/>
        <v>GRAFIKA JEPARA</v>
      </c>
      <c r="D217" s="145" t="s">
        <v>4401</v>
      </c>
      <c r="E217" s="145" t="str">
        <f>IFERROR(__xludf.DUMMYFUNCTION("vlookup(D217,IMPORTRANGE(""https://docs.google.com/spreadsheets/d/1swGwZOEqYlTEUCJLY-eeJM1911Kvaei5oySBIxdgtNo/edit?pli=1#gid=257618397"",""stock FAKTUR!B:C""),2,false)"),"BP GEL KENKO EASY HITAM")</f>
        <v>BP GEL KENKO EASY HITAM</v>
      </c>
      <c r="F217" s="53" t="str">
        <f>IFERROR(__xludf.DUMMYFUNCTION("vlookup($D217,IMPORTRANGE(""https://docs.google.com/spreadsheets/d/1swGwZOEqYlTEUCJLY-eeJM1911Kvaei5oySBIxdgtNo/edit?pli=1#gid=257618397"",""stock FAKTUR!B:d""),3,false)"),"")</f>
        <v/>
      </c>
      <c r="G217" s="53" t="str">
        <f>IFERROR(__xludf.DUMMYFUNCTION("vlookup($D217,IMPORTRANGE(""https://docs.google.com/spreadsheets/d/1swGwZOEqYlTEUCJLY-eeJM1911Kvaei5oySBIxdgtNo/edit?pli=1#gid=257618397"",""stock FAKTUR!B:e""),4,false)"),"HITAM")</f>
        <v>HITAM</v>
      </c>
      <c r="H217" s="53" t="str">
        <f>IFERROR(__xludf.DUMMYFUNCTION("vlookup($D217,IMPORTRANGE(""https://docs.google.com/spreadsheets/d/1swGwZOEqYlTEUCJLY-eeJM1911Kvaei5oySBIxdgtNo/edit?pli=1#gid=257618397"",""stock FAKTUR!B:F""),5,false)"),"KN")</f>
        <v>KN</v>
      </c>
      <c r="I217" s="53" t="str">
        <f>IFERROR(__xludf.DUMMYFUNCTION("vlookup($D217,IMPORTRANGE(""https://docs.google.com/spreadsheets/d/1swGwZOEqYlTEUCJLY-eeJM1911Kvaei5oySBIxdgtNo/edit?pli=1#gid=257618397"",""stock FAKTUR!B:G""),6,false)"),"GPT-005B")</f>
        <v>GPT-005B</v>
      </c>
      <c r="J217" s="120" t="str">
        <f t="shared" si="25"/>
        <v>ADA</v>
      </c>
      <c r="K217" s="142">
        <v>36.0</v>
      </c>
      <c r="L217" s="145" t="str">
        <f>IFERROR(__xludf.DUMMYFUNCTION("vlookup($D217,IMPORTRANGE(""https://docs.google.com/spreadsheets/d/1swGwZOEqYlTEUCJLY-eeJM1911Kvaei5oySBIxdgtNo/edit?pli=1#gid=257618397"",""stock FAKTUR!B:q""),16,false)"),"LSN")</f>
        <v>LSN</v>
      </c>
      <c r="M217" s="176">
        <v>26400.0</v>
      </c>
      <c r="N217" s="152">
        <v>0.1</v>
      </c>
      <c r="O217" s="147">
        <f t="shared" si="2"/>
        <v>855360</v>
      </c>
      <c r="P217" s="147" t="str">
        <f t="shared" si="3"/>
        <v>Rp26,400-36 LSN-10.00%</v>
      </c>
      <c r="Q217" s="149">
        <v>45412.0</v>
      </c>
      <c r="R217" s="150"/>
      <c r="S217" s="149">
        <v>45416.0</v>
      </c>
      <c r="T217" s="151"/>
      <c r="U217" s="151"/>
      <c r="V217" s="151"/>
      <c r="W217" s="151"/>
    </row>
    <row r="218">
      <c r="A218" s="142">
        <v>2987.0</v>
      </c>
      <c r="B218" s="143" t="str">
        <f t="shared" si="62"/>
        <v>G</v>
      </c>
      <c r="C218" s="143" t="str">
        <f t="shared" si="63"/>
        <v>GRAFIKA JEPARA</v>
      </c>
      <c r="D218" s="145" t="s">
        <v>4527</v>
      </c>
      <c r="E218" s="145" t="str">
        <f>IFERROR(__xludf.DUMMYFUNCTION("vlookup(D218,IMPORTRANGE(""https://docs.google.com/spreadsheets/d/1swGwZOEqYlTEUCJLY-eeJM1911Kvaei5oySBIxdgtNo/edit?pli=1#gid=257618397"",""stock FAKTUR!B:C""),2,false)"),"BP KENKO KE-100 HITAM")</f>
        <v>BP KENKO KE-100 HITAM</v>
      </c>
      <c r="F218" s="53" t="str">
        <f>IFERROR(__xludf.DUMMYFUNCTION("vlookup($D218,IMPORTRANGE(""https://docs.google.com/spreadsheets/d/1swGwZOEqYlTEUCJLY-eeJM1911Kvaei5oySBIxdgtNo/edit?pli=1#gid=257618397"",""stock FAKTUR!B:d""),3,false)"),"")</f>
        <v/>
      </c>
      <c r="G218" s="53" t="str">
        <f>IFERROR(__xludf.DUMMYFUNCTION("vlookup($D218,IMPORTRANGE(""https://docs.google.com/spreadsheets/d/1swGwZOEqYlTEUCJLY-eeJM1911Kvaei5oySBIxdgtNo/edit?pli=1#gid=257618397"",""stock FAKTUR!B:e""),4,false)"),"HITAM")</f>
        <v>HITAM</v>
      </c>
      <c r="H218" s="53" t="str">
        <f>IFERROR(__xludf.DUMMYFUNCTION("vlookup($D218,IMPORTRANGE(""https://docs.google.com/spreadsheets/d/1swGwZOEqYlTEUCJLY-eeJM1911Kvaei5oySBIxdgtNo/edit?pli=1#gid=257618397"",""stock FAKTUR!B:F""),5,false)"),"KN")</f>
        <v>KN</v>
      </c>
      <c r="I218" s="53" t="str">
        <f>IFERROR(__xludf.DUMMYFUNCTION("vlookup($D218,IMPORTRANGE(""https://docs.google.com/spreadsheets/d/1swGwZOEqYlTEUCJLY-eeJM1911Kvaei5oySBIxdgtNo/edit?pli=1#gid=257618397"",""stock FAKTUR!B:G""),6,false)"),"GPT-001B")</f>
        <v>GPT-001B</v>
      </c>
      <c r="J218" s="120" t="str">
        <f t="shared" si="25"/>
        <v>ADA</v>
      </c>
      <c r="K218" s="142">
        <v>36.0</v>
      </c>
      <c r="L218" s="145" t="str">
        <f>IFERROR(__xludf.DUMMYFUNCTION("vlookup($D218,IMPORTRANGE(""https://docs.google.com/spreadsheets/d/1swGwZOEqYlTEUCJLY-eeJM1911Kvaei5oySBIxdgtNo/edit?pli=1#gid=257618397"",""stock FAKTUR!B:q""),16,false)"),"LSN")</f>
        <v>LSN</v>
      </c>
      <c r="M218" s="176">
        <v>19200.0</v>
      </c>
      <c r="N218" s="152">
        <v>0.1</v>
      </c>
      <c r="O218" s="147">
        <f t="shared" si="2"/>
        <v>622080</v>
      </c>
      <c r="P218" s="147" t="str">
        <f t="shared" si="3"/>
        <v>Rp19,200-36 LSN-10.00%</v>
      </c>
      <c r="Q218" s="149">
        <v>45412.0</v>
      </c>
      <c r="R218" s="150"/>
      <c r="S218" s="149">
        <v>45416.0</v>
      </c>
      <c r="T218" s="151"/>
      <c r="U218" s="151"/>
      <c r="V218" s="151"/>
      <c r="W218" s="151"/>
    </row>
    <row r="219">
      <c r="A219" s="142">
        <v>4698.0</v>
      </c>
      <c r="B219" s="143" t="s">
        <v>33</v>
      </c>
      <c r="C219" s="143" t="s">
        <v>1457</v>
      </c>
      <c r="D219" s="145" t="s">
        <v>4537</v>
      </c>
      <c r="E219" s="145" t="str">
        <f>IFERROR(__xludf.DUMMYFUNCTION("vlookup(D219,IMPORTRANGE(""https://docs.google.com/spreadsheets/d/1swGwZOEqYlTEUCJLY-eeJM1911Kvaei5oySBIxdgtNo/edit?pli=1#gid=257618397"",""stock FAKTUR!B:C""),2,false)"),"BP VANCO VC-559 0.28 HT")</f>
        <v>BP VANCO VC-559 0.28 HT</v>
      </c>
      <c r="F219" s="53" t="str">
        <f>IFERROR(__xludf.DUMMYFUNCTION("vlookup($D219,IMPORTRANGE(""https://docs.google.com/spreadsheets/d/1swGwZOEqYlTEUCJLY-eeJM1911Kvaei5oySBIxdgtNo/edit?pli=1#gid=257618397"",""stock FAKTUR!B:d""),3,false)"),"")</f>
        <v/>
      </c>
      <c r="G219" s="53" t="str">
        <f>IFERROR(__xludf.DUMMYFUNCTION("vlookup($D219,IMPORTRANGE(""https://docs.google.com/spreadsheets/d/1swGwZOEqYlTEUCJLY-eeJM1911Kvaei5oySBIxdgtNo/edit?pli=1#gid=257618397"",""stock FAKTUR!B:e""),4,false)"),"")</f>
        <v/>
      </c>
      <c r="H219" s="53" t="str">
        <f>IFERROR(__xludf.DUMMYFUNCTION("vlookup($D219,IMPORTRANGE(""https://docs.google.com/spreadsheets/d/1swGwZOEqYlTEUCJLY-eeJM1911Kvaei5oySBIxdgtNo/edit?pli=1#gid=257618397"",""stock FAKTUR!B:F""),5,false)"),"VN")</f>
        <v>VN</v>
      </c>
      <c r="I219" s="53" t="str">
        <f>IFERROR(__xludf.DUMMYFUNCTION("vlookup($D219,IMPORTRANGE(""https://docs.google.com/spreadsheets/d/1swGwZOEqYlTEUCJLY-eeJM1911Kvaei5oySBIxdgtNo/edit?pli=1#gid=257618397"",""stock FAKTUR!B:G""),6,false)"),"")</f>
        <v/>
      </c>
      <c r="J219" s="120" t="str">
        <f t="shared" si="25"/>
        <v>ADA</v>
      </c>
      <c r="K219" s="142">
        <v>12.0</v>
      </c>
      <c r="L219" s="145" t="str">
        <f>IFERROR(__xludf.DUMMYFUNCTION("vlookup($D219,IMPORTRANGE(""https://docs.google.com/spreadsheets/d/1swGwZOEqYlTEUCJLY-eeJM1911Kvaei5oySBIxdgtNo/edit?pli=1#gid=257618397"",""stock FAKTUR!B:q""),16,false)"),"LSN")</f>
        <v>LSN</v>
      </c>
      <c r="M219" s="176">
        <v>34000.0</v>
      </c>
      <c r="N219" s="148"/>
      <c r="O219" s="147">
        <f t="shared" si="2"/>
        <v>408000</v>
      </c>
      <c r="P219" s="147" t="str">
        <f t="shared" si="3"/>
        <v>Rp34,000-12 LSN-0.00%</v>
      </c>
      <c r="Q219" s="149">
        <v>45412.0</v>
      </c>
      <c r="R219" s="150"/>
      <c r="S219" s="149">
        <v>45416.0</v>
      </c>
      <c r="T219" s="151"/>
      <c r="U219" s="151"/>
      <c r="V219" s="151"/>
      <c r="W219" s="151"/>
    </row>
    <row r="220">
      <c r="A220" s="142">
        <v>4698.0</v>
      </c>
      <c r="B220" s="143" t="str">
        <f t="shared" ref="B220:B226" si="64">IF(A220=A219,B219,"")</f>
        <v>H</v>
      </c>
      <c r="C220" s="143" t="str">
        <f t="shared" ref="C220:C226" si="65">IF(A220=A219,C219,"")</f>
        <v>RITA-WONOSOBO</v>
      </c>
      <c r="D220" s="145" t="s">
        <v>4538</v>
      </c>
      <c r="E220" s="145" t="str">
        <f>IFERROR(__xludf.DUMMYFUNCTION("vlookup(D220,IMPORTRANGE(""https://docs.google.com/spreadsheets/d/1swGwZOEqYlTEUCJLY-eeJM1911Kvaei5oySBIxdgtNo/edit?pli=1#gid=257618397"",""stock FAKTUR!B:C""),2,false)"),"PW VANCO 12W PANJANG 12L")</f>
        <v>PW VANCO 12W PANJANG 12L</v>
      </c>
      <c r="F220" s="53" t="str">
        <f>IFERROR(__xludf.DUMMYFUNCTION("vlookup($D220,IMPORTRANGE(""https://docs.google.com/spreadsheets/d/1swGwZOEqYlTEUCJLY-eeJM1911Kvaei5oySBIxdgtNo/edit?pli=1#gid=257618397"",""stock FAKTUR!B:d""),3,false)"),"")</f>
        <v/>
      </c>
      <c r="G220" s="53" t="str">
        <f>IFERROR(__xludf.DUMMYFUNCTION("vlookup($D220,IMPORTRANGE(""https://docs.google.com/spreadsheets/d/1swGwZOEqYlTEUCJLY-eeJM1911Kvaei5oySBIxdgtNo/edit?pli=1#gid=257618397"",""stock FAKTUR!B:e""),4,false)"),"12W")</f>
        <v>12W</v>
      </c>
      <c r="H220" s="53" t="str">
        <f>IFERROR(__xludf.DUMMYFUNCTION("vlookup($D220,IMPORTRANGE(""https://docs.google.com/spreadsheets/d/1swGwZOEqYlTEUCJLY-eeJM1911Kvaei5oySBIxdgtNo/edit?pli=1#gid=257618397"",""stock FAKTUR!B:F""),5,false)"),"VN")</f>
        <v>VN</v>
      </c>
      <c r="I220" s="53" t="str">
        <f>IFERROR(__xludf.DUMMYFUNCTION("vlookup($D220,IMPORTRANGE(""https://docs.google.com/spreadsheets/d/1swGwZOEqYlTEUCJLY-eeJM1911Kvaei5oySBIxdgtNo/edit?pli=1#gid=257618397"",""stock FAKTUR!B:G""),6,false)"),"12L")</f>
        <v>12L</v>
      </c>
      <c r="J220" s="120" t="str">
        <f t="shared" si="25"/>
        <v>ADA</v>
      </c>
      <c r="K220" s="142">
        <v>1.0</v>
      </c>
      <c r="L220" s="145" t="str">
        <f>IFERROR(__xludf.DUMMYFUNCTION("vlookup($D220,IMPORTRANGE(""https://docs.google.com/spreadsheets/d/1swGwZOEqYlTEUCJLY-eeJM1911Kvaei5oySBIxdgtNo/edit?pli=1#gid=257618397"",""stock FAKTUR!B:q""),16,false)"),"LSN")</f>
        <v>LSN</v>
      </c>
      <c r="M220" s="176">
        <v>100000.0</v>
      </c>
      <c r="N220" s="148"/>
      <c r="O220" s="147">
        <f t="shared" si="2"/>
        <v>100000</v>
      </c>
      <c r="P220" s="147" t="str">
        <f t="shared" si="3"/>
        <v>Rp100,000-1 LSN-0.00%</v>
      </c>
      <c r="Q220" s="149">
        <v>45412.0</v>
      </c>
      <c r="R220" s="150"/>
      <c r="S220" s="149">
        <v>45416.0</v>
      </c>
      <c r="T220" s="151"/>
      <c r="U220" s="151"/>
      <c r="V220" s="151"/>
      <c r="W220" s="151"/>
    </row>
    <row r="221">
      <c r="A221" s="142">
        <v>4698.0</v>
      </c>
      <c r="B221" s="143" t="str">
        <f t="shared" si="64"/>
        <v>H</v>
      </c>
      <c r="C221" s="143" t="str">
        <f t="shared" si="65"/>
        <v>RITA-WONOSOBO</v>
      </c>
      <c r="D221" s="145" t="s">
        <v>4525</v>
      </c>
      <c r="E221" s="145" t="str">
        <f>IFERROR(__xludf.DUMMYFUNCTION("vlookup(D221,IMPORTRANGE(""https://docs.google.com/spreadsheets/d/1swGwZOEqYlTEUCJLY-eeJM1911Kvaei5oySBIxdgtNo/edit?pli=1#gid=257618397"",""stock FAKTUR!B:C""),2,false)"),"DISPENSER MN-305 POLAR BEAR ")</f>
        <v>DISPENSER MN-305 POLAR BEAR </v>
      </c>
      <c r="F221" s="53" t="str">
        <f>IFERROR(__xludf.DUMMYFUNCTION("vlookup($D221,IMPORTRANGE(""https://docs.google.com/spreadsheets/d/1swGwZOEqYlTEUCJLY-eeJM1911Kvaei5oySBIxdgtNo/edit?pli=1#gid=257618397"",""stock FAKTUR!B:d""),3,false)"),"")</f>
        <v/>
      </c>
      <c r="G221" s="53" t="str">
        <f>IFERROR(__xludf.DUMMYFUNCTION("vlookup($D221,IMPORTRANGE(""https://docs.google.com/spreadsheets/d/1swGwZOEqYlTEUCJLY-eeJM1911Kvaei5oySBIxdgtNo/edit?pli=1#gid=257618397"",""stock FAKTUR!B:e""),4,false)"),"")</f>
        <v/>
      </c>
      <c r="H221" s="53" t="str">
        <f>IFERROR(__xludf.DUMMYFUNCTION("vlookup($D221,IMPORTRANGE(""https://docs.google.com/spreadsheets/d/1swGwZOEqYlTEUCJLY-eeJM1911Kvaei5oySBIxdgtNo/edit?pli=1#gid=257618397"",""stock FAKTUR!B:F""),5,false)"),"NB")</f>
        <v>NB</v>
      </c>
      <c r="I221" s="53" t="str">
        <f>IFERROR(__xludf.DUMMYFUNCTION("vlookup($D221,IMPORTRANGE(""https://docs.google.com/spreadsheets/d/1swGwZOEqYlTEUCJLY-eeJM1911Kvaei5oySBIxdgtNo/edit?pli=1#gid=257618397"",""stock FAKTUR!B:G""),6,false)"),"MN-305")</f>
        <v>MN-305</v>
      </c>
      <c r="J221" s="120" t="str">
        <f t="shared" si="25"/>
        <v>ADA</v>
      </c>
      <c r="K221" s="142">
        <v>2.0</v>
      </c>
      <c r="L221" s="145" t="str">
        <f>IFERROR(__xludf.DUMMYFUNCTION("vlookup($D221,IMPORTRANGE(""https://docs.google.com/spreadsheets/d/1swGwZOEqYlTEUCJLY-eeJM1911Kvaei5oySBIxdgtNo/edit?pli=1#gid=257618397"",""stock FAKTUR!B:q""),16,false)"),"LSN")</f>
        <v>LSN</v>
      </c>
      <c r="M221" s="176">
        <v>120000.0</v>
      </c>
      <c r="N221" s="148"/>
      <c r="O221" s="147">
        <f t="shared" si="2"/>
        <v>240000</v>
      </c>
      <c r="P221" s="147" t="str">
        <f t="shared" si="3"/>
        <v>Rp120,000-2 LSN-0.00%</v>
      </c>
      <c r="Q221" s="149">
        <v>45412.0</v>
      </c>
      <c r="R221" s="150"/>
      <c r="S221" s="149">
        <v>45416.0</v>
      </c>
      <c r="T221" s="151"/>
      <c r="U221" s="151"/>
      <c r="V221" s="151"/>
      <c r="W221" s="151"/>
    </row>
    <row r="222">
      <c r="A222" s="142">
        <v>4698.0</v>
      </c>
      <c r="B222" s="143" t="str">
        <f t="shared" si="64"/>
        <v>H</v>
      </c>
      <c r="C222" s="143" t="str">
        <f t="shared" si="65"/>
        <v>RITA-WONOSOBO</v>
      </c>
      <c r="D222" s="145" t="s">
        <v>4539</v>
      </c>
      <c r="E222" s="145" t="str">
        <f>IFERROR(__xludf.DUMMYFUNCTION("vlookup(D222,IMPORTRANGE(""https://docs.google.com/spreadsheets/d/1swGwZOEqYlTEUCJLY-eeJM1911Kvaei5oySBIxdgtNo/edit?pli=1#gid=257618397"",""stock FAKTUR!B:C""),2,false)"),"MAP DOC BAG 2543 JARING A4")</f>
        <v>MAP DOC BAG 2543 JARING A4</v>
      </c>
      <c r="F222" s="53" t="str">
        <f>IFERROR(__xludf.DUMMYFUNCTION("vlookup($D222,IMPORTRANGE(""https://docs.google.com/spreadsheets/d/1swGwZOEqYlTEUCJLY-eeJM1911Kvaei5oySBIxdgtNo/edit?pli=1#gid=257618397"",""stock FAKTUR!B:d""),3,false)"),"A4")</f>
        <v>A4</v>
      </c>
      <c r="G222" s="53" t="str">
        <f>IFERROR(__xludf.DUMMYFUNCTION("vlookup($D222,IMPORTRANGE(""https://docs.google.com/spreadsheets/d/1swGwZOEqYlTEUCJLY-eeJM1911Kvaei5oySBIxdgtNo/edit?pli=1#gid=257618397"",""stock FAKTUR!B:e""),4,false)"),"4W")</f>
        <v>4W</v>
      </c>
      <c r="H222" s="53" t="str">
        <f>IFERROR(__xludf.DUMMYFUNCTION("vlookup($D222,IMPORTRANGE(""https://docs.google.com/spreadsheets/d/1swGwZOEqYlTEUCJLY-eeJM1911Kvaei5oySBIxdgtNo/edit?pli=1#gid=257618397"",""stock FAKTUR!B:F""),5,false)"),"CR")</f>
        <v>CR</v>
      </c>
      <c r="I222" s="53" t="str">
        <f>IFERROR(__xludf.DUMMYFUNCTION("vlookup($D222,IMPORTRANGE(""https://docs.google.com/spreadsheets/d/1swGwZOEqYlTEUCJLY-eeJM1911Kvaei5oySBIxdgtNo/edit?pli=1#gid=257618397"",""stock FAKTUR!B:G""),6,false)"),"2543")</f>
        <v>2543</v>
      </c>
      <c r="J222" s="120" t="str">
        <f t="shared" si="25"/>
        <v>ADA</v>
      </c>
      <c r="K222" s="142">
        <v>1.0</v>
      </c>
      <c r="L222" s="145" t="str">
        <f>IFERROR(__xludf.DUMMYFUNCTION("vlookup($D222,IMPORTRANGE(""https://docs.google.com/spreadsheets/d/1swGwZOEqYlTEUCJLY-eeJM1911Kvaei5oySBIxdgtNo/edit?pli=1#gid=257618397"",""stock FAKTUR!B:q""),16,false)"),"LSN")</f>
        <v>LSN</v>
      </c>
      <c r="M222" s="176">
        <v>175000.0</v>
      </c>
      <c r="N222" s="148"/>
      <c r="O222" s="147">
        <f t="shared" si="2"/>
        <v>175000</v>
      </c>
      <c r="P222" s="147" t="str">
        <f t="shared" si="3"/>
        <v>Rp175,000-1 LSN-0.00%</v>
      </c>
      <c r="Q222" s="149">
        <v>45412.0</v>
      </c>
      <c r="R222" s="150"/>
      <c r="S222" s="149">
        <v>45416.0</v>
      </c>
      <c r="T222" s="151"/>
      <c r="U222" s="151"/>
      <c r="V222" s="151"/>
      <c r="W222" s="151"/>
    </row>
    <row r="223">
      <c r="A223" s="142">
        <v>4698.0</v>
      </c>
      <c r="B223" s="143" t="str">
        <f t="shared" si="64"/>
        <v>H</v>
      </c>
      <c r="C223" s="143" t="str">
        <f t="shared" si="65"/>
        <v>RITA-WONOSOBO</v>
      </c>
      <c r="D223" s="145" t="s">
        <v>4382</v>
      </c>
      <c r="E223" s="145" t="str">
        <f>IFERROR(__xludf.DUMMYFUNCTION("vlookup(D223,IMPORTRANGE(""https://docs.google.com/spreadsheets/d/1swGwZOEqYlTEUCJLY-eeJM1911Kvaei5oySBIxdgtNo/edit?pli=1#gid=257618397"",""stock FAKTUR!B:C""),2,false)"),"PENSIL 2B ZHONG HUA 6925 OVAL")</f>
        <v>PENSIL 2B ZHONG HUA 6925 OVAL</v>
      </c>
      <c r="F223" s="53" t="str">
        <f>IFERROR(__xludf.DUMMYFUNCTION("vlookup($D223,IMPORTRANGE(""https://docs.google.com/spreadsheets/d/1swGwZOEqYlTEUCJLY-eeJM1911Kvaei5oySBIxdgtNo/edit?pli=1#gid=257618397"",""stock FAKTUR!B:d""),3,false)"),"")</f>
        <v/>
      </c>
      <c r="G223" s="53" t="str">
        <f>IFERROR(__xludf.DUMMYFUNCTION("vlookup($D223,IMPORTRANGE(""https://docs.google.com/spreadsheets/d/1swGwZOEqYlTEUCJLY-eeJM1911Kvaei5oySBIxdgtNo/edit?pli=1#gid=257618397"",""stock FAKTUR!B:e""),4,false)"),"")</f>
        <v/>
      </c>
      <c r="H223" s="53" t="str">
        <f>IFERROR(__xludf.DUMMYFUNCTION("vlookup($D223,IMPORTRANGE(""https://docs.google.com/spreadsheets/d/1swGwZOEqYlTEUCJLY-eeJM1911Kvaei5oySBIxdgtNo/edit?pli=1#gid=257618397"",""stock FAKTUR!B:F""),5,false)"),"ZH")</f>
        <v>ZH</v>
      </c>
      <c r="I223" s="53" t="str">
        <f>IFERROR(__xludf.DUMMYFUNCTION("vlookup($D223,IMPORTRANGE(""https://docs.google.com/spreadsheets/d/1swGwZOEqYlTEUCJLY-eeJM1911Kvaei5oySBIxdgtNo/edit?pli=1#gid=257618397"",""stock FAKTUR!B:G""),6,false)"),"6925")</f>
        <v>6925</v>
      </c>
      <c r="J223" s="120" t="str">
        <f t="shared" si="25"/>
        <v>ADA</v>
      </c>
      <c r="K223" s="142">
        <v>3.0</v>
      </c>
      <c r="L223" s="145" t="str">
        <f>IFERROR(__xludf.DUMMYFUNCTION("vlookup($D223,IMPORTRANGE(""https://docs.google.com/spreadsheets/d/1swGwZOEqYlTEUCJLY-eeJM1911Kvaei5oySBIxdgtNo/edit?pli=1#gid=257618397"",""stock FAKTUR!B:q""),16,false)"),"BOX")</f>
        <v>BOX</v>
      </c>
      <c r="M223" s="176">
        <v>105000.0</v>
      </c>
      <c r="N223" s="148"/>
      <c r="O223" s="147">
        <f t="shared" si="2"/>
        <v>315000</v>
      </c>
      <c r="P223" s="147" t="str">
        <f t="shared" si="3"/>
        <v>Rp105,000-3 BOX-0.00%</v>
      </c>
      <c r="Q223" s="149">
        <v>45412.0</v>
      </c>
      <c r="R223" s="150"/>
      <c r="S223" s="149">
        <v>45416.0</v>
      </c>
      <c r="T223" s="151"/>
      <c r="U223" s="151"/>
      <c r="V223" s="151"/>
      <c r="W223" s="151"/>
    </row>
    <row r="224">
      <c r="A224" s="142">
        <v>4698.0</v>
      </c>
      <c r="B224" s="143" t="str">
        <f t="shared" si="64"/>
        <v>H</v>
      </c>
      <c r="C224" s="143" t="str">
        <f t="shared" si="65"/>
        <v>RITA-WONOSOBO</v>
      </c>
      <c r="D224" s="145" t="s">
        <v>4540</v>
      </c>
      <c r="E224" s="145" t="str">
        <f>IFERROR(__xludf.DUMMYFUNCTION("vlookup(D224,IMPORTRANGE(""https://docs.google.com/spreadsheets/d/1swGwZOEqYlTEUCJLY-eeJM1911Kvaei5oySBIxdgtNo/edit?pli=1#gid=257618397"",""stock FAKTUR!B:C""),2,false)"),"BP AODM 011")</f>
        <v>BP AODM 011</v>
      </c>
      <c r="F224" s="53" t="str">
        <f>IFERROR(__xludf.DUMMYFUNCTION("vlookup($D224,IMPORTRANGE(""https://docs.google.com/spreadsheets/d/1swGwZOEqYlTEUCJLY-eeJM1911Kvaei5oySBIxdgtNo/edit?pli=1#gid=257618397"",""stock FAKTUR!B:d""),3,false)"),"")</f>
        <v/>
      </c>
      <c r="G224" s="53" t="str">
        <f>IFERROR(__xludf.DUMMYFUNCTION("vlookup($D224,IMPORTRANGE(""https://docs.google.com/spreadsheets/d/1swGwZOEqYlTEUCJLY-eeJM1911Kvaei5oySBIxdgtNo/edit?pli=1#gid=257618397"",""stock FAKTUR!B:e""),4,false)"),"")</f>
        <v/>
      </c>
      <c r="H224" s="53" t="str">
        <f>IFERROR(__xludf.DUMMYFUNCTION("vlookup($D224,IMPORTRANGE(""https://docs.google.com/spreadsheets/d/1swGwZOEqYlTEUCJLY-eeJM1911Kvaei5oySBIxdgtNo/edit?pli=1#gid=257618397"",""stock FAKTUR!B:F""),5,false)"),"NB")</f>
        <v>NB</v>
      </c>
      <c r="I224" s="53" t="str">
        <f>IFERROR(__xludf.DUMMYFUNCTION("vlookup($D224,IMPORTRANGE(""https://docs.google.com/spreadsheets/d/1swGwZOEqYlTEUCJLY-eeJM1911Kvaei5oySBIxdgtNo/edit?pli=1#gid=257618397"",""stock FAKTUR!B:G""),6,false)"),"011")</f>
        <v>011</v>
      </c>
      <c r="J224" s="120" t="str">
        <f t="shared" si="25"/>
        <v>ADA</v>
      </c>
      <c r="K224" s="142">
        <v>2.0</v>
      </c>
      <c r="L224" s="145" t="str">
        <f>IFERROR(__xludf.DUMMYFUNCTION("vlookup($D224,IMPORTRANGE(""https://docs.google.com/spreadsheets/d/1swGwZOEqYlTEUCJLY-eeJM1911Kvaei5oySBIxdgtNo/edit?pli=1#gid=257618397"",""stock FAKTUR!B:q""),16,false)"),"LSN")</f>
        <v>LSN</v>
      </c>
      <c r="M224" s="176">
        <v>24000.0</v>
      </c>
      <c r="N224" s="148"/>
      <c r="O224" s="147">
        <f t="shared" si="2"/>
        <v>48000</v>
      </c>
      <c r="P224" s="147" t="str">
        <f t="shared" si="3"/>
        <v>Rp24,000-2 LSN-0.00%</v>
      </c>
      <c r="Q224" s="149">
        <v>45412.0</v>
      </c>
      <c r="R224" s="150"/>
      <c r="S224" s="149">
        <v>45416.0</v>
      </c>
      <c r="T224" s="151"/>
      <c r="U224" s="151"/>
      <c r="V224" s="151"/>
      <c r="W224" s="151"/>
    </row>
    <row r="225">
      <c r="A225" s="160">
        <v>4698.0</v>
      </c>
      <c r="B225" s="161" t="str">
        <f t="shared" si="64"/>
        <v>H</v>
      </c>
      <c r="C225" s="161" t="str">
        <f t="shared" si="65"/>
        <v>RITA-WONOSOBO</v>
      </c>
      <c r="D225" s="77" t="s">
        <v>4541</v>
      </c>
      <c r="E225" s="145" t="str">
        <f>IFERROR(__xludf.DUMMYFUNCTION("vlookup(D225,IMPORTRANGE(""https://docs.google.com/spreadsheets/d/1swGwZOEqYlTEUCJLY-eeJM1911Kvaei5oySBIxdgtNo/edit?pli=1#gid=257618397"",""stock FAKTUR!B:C""),2,false)"),"STABILLO ZRM 103 BIRU")</f>
        <v>STABILLO ZRM 103 BIRU</v>
      </c>
      <c r="F225" s="53" t="str">
        <f>IFERROR(__xludf.DUMMYFUNCTION("vlookup($D225,IMPORTRANGE(""https://docs.google.com/spreadsheets/d/1swGwZOEqYlTEUCJLY-eeJM1911Kvaei5oySBIxdgtNo/edit?pli=1#gid=257618397"",""stock FAKTUR!B:d""),3,false)"),"")</f>
        <v/>
      </c>
      <c r="G225" s="53" t="str">
        <f>IFERROR(__xludf.DUMMYFUNCTION("vlookup($D225,IMPORTRANGE(""https://docs.google.com/spreadsheets/d/1swGwZOEqYlTEUCJLY-eeJM1911Kvaei5oySBIxdgtNo/edit?pli=1#gid=257618397"",""stock FAKTUR!B:e""),4,false)"),"BIRU")</f>
        <v>BIRU</v>
      </c>
      <c r="H225" s="53" t="str">
        <f>IFERROR(__xludf.DUMMYFUNCTION("vlookup($D225,IMPORTRANGE(""https://docs.google.com/spreadsheets/d/1swGwZOEqYlTEUCJLY-eeJM1911Kvaei5oySBIxdgtNo/edit?pli=1#gid=257618397"",""stock FAKTUR!B:F""),5,false)"),"NB")</f>
        <v>NB</v>
      </c>
      <c r="I225" s="53" t="str">
        <f>IFERROR(__xludf.DUMMYFUNCTION("vlookup($D225,IMPORTRANGE(""https://docs.google.com/spreadsheets/d/1swGwZOEqYlTEUCJLY-eeJM1911Kvaei5oySBIxdgtNo/edit?pli=1#gid=257618397"",""stock FAKTUR!B:G""),6,false)"),"103")</f>
        <v>103</v>
      </c>
      <c r="J225" s="120" t="str">
        <f t="shared" si="25"/>
        <v>ADA</v>
      </c>
      <c r="K225" s="160">
        <v>2.0</v>
      </c>
      <c r="L225" s="145" t="str">
        <f>IFERROR(__xludf.DUMMYFUNCTION("vlookup($D225,IMPORTRANGE(""https://docs.google.com/spreadsheets/d/1swGwZOEqYlTEUCJLY-eeJM1911Kvaei5oySBIxdgtNo/edit?pli=1#gid=257618397"",""stock FAKTUR!B:q""),16,false)"),"SET")</f>
        <v>SET</v>
      </c>
      <c r="M225" s="177">
        <v>35000.0</v>
      </c>
      <c r="N225" s="178"/>
      <c r="O225" s="164">
        <f t="shared" si="2"/>
        <v>70000</v>
      </c>
      <c r="P225" s="164" t="str">
        <f t="shared" si="3"/>
        <v>Rp35,000-2 SET-0.00%</v>
      </c>
      <c r="Q225" s="166">
        <v>45412.0</v>
      </c>
      <c r="R225" s="167"/>
      <c r="S225" s="166">
        <v>45416.0</v>
      </c>
      <c r="T225" s="162" t="s">
        <v>4542</v>
      </c>
      <c r="U225" s="173" t="s">
        <v>4390</v>
      </c>
      <c r="V225" s="162"/>
      <c r="W225" s="159"/>
    </row>
    <row r="226">
      <c r="A226" s="142">
        <v>4698.0</v>
      </c>
      <c r="B226" s="143" t="str">
        <f t="shared" si="64"/>
        <v>H</v>
      </c>
      <c r="C226" s="143" t="str">
        <f t="shared" si="65"/>
        <v>RITA-WONOSOBO</v>
      </c>
      <c r="D226" s="145" t="s">
        <v>4543</v>
      </c>
      <c r="E226" s="145" t="str">
        <f>IFERROR(__xludf.DUMMYFUNCTION("vlookup(D226,IMPORTRANGE(""https://docs.google.com/spreadsheets/d/1swGwZOEqYlTEUCJLY-eeJM1911Kvaei5oySBIxdgtNo/edit?pli=1#gid=257618397"",""stock FAKTUR!B:C""),2,false)"),"STABILLO HIGHLIGHTER VANCO HL-521")</f>
        <v>STABILLO HIGHLIGHTER VANCO HL-521</v>
      </c>
      <c r="F226" s="53" t="str">
        <f>IFERROR(__xludf.DUMMYFUNCTION("vlookup($D226,IMPORTRANGE(""https://docs.google.com/spreadsheets/d/1swGwZOEqYlTEUCJLY-eeJM1911Kvaei5oySBIxdgtNo/edit?pli=1#gid=257618397"",""stock FAKTUR!B:d""),3,false)"),"")</f>
        <v/>
      </c>
      <c r="G226" s="53" t="str">
        <f>IFERROR(__xludf.DUMMYFUNCTION("vlookup($D226,IMPORTRANGE(""https://docs.google.com/spreadsheets/d/1swGwZOEqYlTEUCJLY-eeJM1911Kvaei5oySBIxdgtNo/edit?pli=1#gid=257618397"",""stock FAKTUR!B:e""),4,false)"),"")</f>
        <v/>
      </c>
      <c r="H226" s="53" t="str">
        <f>IFERROR(__xludf.DUMMYFUNCTION("vlookup($D226,IMPORTRANGE(""https://docs.google.com/spreadsheets/d/1swGwZOEqYlTEUCJLY-eeJM1911Kvaei5oySBIxdgtNo/edit?pli=1#gid=257618397"",""stock FAKTUR!B:F""),5,false)"),"VN")</f>
        <v>VN</v>
      </c>
      <c r="I226" s="53" t="str">
        <f>IFERROR(__xludf.DUMMYFUNCTION("vlookup($D226,IMPORTRANGE(""https://docs.google.com/spreadsheets/d/1swGwZOEqYlTEUCJLY-eeJM1911Kvaei5oySBIxdgtNo/edit?pli=1#gid=257618397"",""stock FAKTUR!B:G""),6,false)"),"HL-521")</f>
        <v>HL-521</v>
      </c>
      <c r="J226" s="120" t="str">
        <f t="shared" si="25"/>
        <v>ADA</v>
      </c>
      <c r="K226" s="142">
        <v>2.0</v>
      </c>
      <c r="L226" s="145" t="str">
        <f>IFERROR(__xludf.DUMMYFUNCTION("vlookup($D226,IMPORTRANGE(""https://docs.google.com/spreadsheets/d/1swGwZOEqYlTEUCJLY-eeJM1911Kvaei5oySBIxdgtNo/edit?pli=1#gid=257618397"",""stock FAKTUR!B:q""),16,false)"),"LSN")</f>
        <v>LSN</v>
      </c>
      <c r="M226" s="176">
        <v>37000.0</v>
      </c>
      <c r="N226" s="148"/>
      <c r="O226" s="147">
        <f t="shared" si="2"/>
        <v>74000</v>
      </c>
      <c r="P226" s="147" t="str">
        <f t="shared" si="3"/>
        <v>Rp37,000-2 LSN-0.00%</v>
      </c>
      <c r="Q226" s="149">
        <v>45412.0</v>
      </c>
      <c r="R226" s="150"/>
      <c r="S226" s="149">
        <v>45416.0</v>
      </c>
      <c r="T226" s="151"/>
      <c r="U226" s="151"/>
      <c r="V226" s="151"/>
      <c r="W226" s="151"/>
    </row>
    <row r="227">
      <c r="A227" s="142">
        <v>4633.0</v>
      </c>
      <c r="B227" s="143" t="s">
        <v>58</v>
      </c>
      <c r="C227" s="143" t="s">
        <v>4544</v>
      </c>
      <c r="D227" s="145" t="s">
        <v>4416</v>
      </c>
      <c r="E227" s="145" t="str">
        <f>IFERROR(__xludf.DUMMYFUNCTION("vlookup(D227,IMPORTRANGE(""https://docs.google.com/spreadsheets/d/1swGwZOEqYlTEUCJLY-eeJM1911Kvaei5oySBIxdgtNo/edit?pli=1#gid=257618397"",""stock FAKTUR!B:C""),2,false)"),"BP KENKO KE-303 T-GEL HITAM")</f>
        <v>BP KENKO KE-303 T-GEL HITAM</v>
      </c>
      <c r="F227" s="53" t="str">
        <f>IFERROR(__xludf.DUMMYFUNCTION("vlookup($D227,IMPORTRANGE(""https://docs.google.com/spreadsheets/d/1swGwZOEqYlTEUCJLY-eeJM1911Kvaei5oySBIxdgtNo/edit?pli=1#gid=257618397"",""stock FAKTUR!B:d""),3,false)"),"")</f>
        <v/>
      </c>
      <c r="G227" s="53" t="str">
        <f>IFERROR(__xludf.DUMMYFUNCTION("vlookup($D227,IMPORTRANGE(""https://docs.google.com/spreadsheets/d/1swGwZOEqYlTEUCJLY-eeJM1911Kvaei5oySBIxdgtNo/edit?pli=1#gid=257618397"",""stock FAKTUR!B:e""),4,false)"),"")</f>
        <v/>
      </c>
      <c r="H227" s="53" t="str">
        <f>IFERROR(__xludf.DUMMYFUNCTION("vlookup($D227,IMPORTRANGE(""https://docs.google.com/spreadsheets/d/1swGwZOEqYlTEUCJLY-eeJM1911Kvaei5oySBIxdgtNo/edit?pli=1#gid=257618397"",""stock FAKTUR!B:F""),5,false)"),"KN")</f>
        <v>KN</v>
      </c>
      <c r="I227" s="53" t="str">
        <f>IFERROR(__xludf.DUMMYFUNCTION("vlookup($D227,IMPORTRANGE(""https://docs.google.com/spreadsheets/d/1swGwZOEqYlTEUCJLY-eeJM1911Kvaei5oySBIxdgtNo/edit?pli=1#gid=257618397"",""stock FAKTUR!B:G""),6,false)"),"KE-303")</f>
        <v>KE-303</v>
      </c>
      <c r="J227" s="120" t="str">
        <f t="shared" si="25"/>
        <v>ADA</v>
      </c>
      <c r="K227" s="142">
        <v>144.0</v>
      </c>
      <c r="L227" s="145" t="str">
        <f>IFERROR(__xludf.DUMMYFUNCTION("vlookup($D227,IMPORTRANGE(""https://docs.google.com/spreadsheets/d/1swGwZOEqYlTEUCJLY-eeJM1911Kvaei5oySBIxdgtNo/edit?pli=1#gid=257618397"",""stock FAKTUR!B:q""),16,false)"),"LSN")</f>
        <v>LSN</v>
      </c>
      <c r="M227" s="176">
        <v>21600.0</v>
      </c>
      <c r="N227" s="152">
        <v>0.125</v>
      </c>
      <c r="O227" s="147">
        <f t="shared" si="2"/>
        <v>2721600</v>
      </c>
      <c r="P227" s="147" t="str">
        <f t="shared" si="3"/>
        <v>Rp21,600-144 LSN-12.50%</v>
      </c>
      <c r="Q227" s="179">
        <v>45416.0</v>
      </c>
      <c r="R227" s="149">
        <v>45407.0</v>
      </c>
      <c r="S227" s="149">
        <v>45416.0</v>
      </c>
      <c r="T227" s="151"/>
      <c r="U227" s="151"/>
      <c r="V227" s="151"/>
      <c r="W227" s="151"/>
    </row>
    <row r="228">
      <c r="A228" s="142">
        <v>2985.0</v>
      </c>
      <c r="B228" s="143" t="s">
        <v>33</v>
      </c>
      <c r="C228" s="143" t="s">
        <v>845</v>
      </c>
      <c r="D228" s="145" t="s">
        <v>4538</v>
      </c>
      <c r="E228" s="145" t="str">
        <f>IFERROR(__xludf.DUMMYFUNCTION("vlookup(D228,IMPORTRANGE(""https://docs.google.com/spreadsheets/d/1swGwZOEqYlTEUCJLY-eeJM1911Kvaei5oySBIxdgtNo/edit?pli=1#gid=257618397"",""stock FAKTUR!B:C""),2,false)"),"PW VANCO 12W PANJANG 12L")</f>
        <v>PW VANCO 12W PANJANG 12L</v>
      </c>
      <c r="F228" s="53" t="str">
        <f>IFERROR(__xludf.DUMMYFUNCTION("vlookup($D228,IMPORTRANGE(""https://docs.google.com/spreadsheets/d/1swGwZOEqYlTEUCJLY-eeJM1911Kvaei5oySBIxdgtNo/edit?pli=1#gid=257618397"",""stock FAKTUR!B:d""),3,false)"),"")</f>
        <v/>
      </c>
      <c r="G228" s="53" t="str">
        <f>IFERROR(__xludf.DUMMYFUNCTION("vlookup($D228,IMPORTRANGE(""https://docs.google.com/spreadsheets/d/1swGwZOEqYlTEUCJLY-eeJM1911Kvaei5oySBIxdgtNo/edit?pli=1#gid=257618397"",""stock FAKTUR!B:e""),4,false)"),"12W")</f>
        <v>12W</v>
      </c>
      <c r="H228" s="53" t="str">
        <f>IFERROR(__xludf.DUMMYFUNCTION("vlookup($D228,IMPORTRANGE(""https://docs.google.com/spreadsheets/d/1swGwZOEqYlTEUCJLY-eeJM1911Kvaei5oySBIxdgtNo/edit?pli=1#gid=257618397"",""stock FAKTUR!B:F""),5,false)"),"VN")</f>
        <v>VN</v>
      </c>
      <c r="I228" s="53" t="str">
        <f>IFERROR(__xludf.DUMMYFUNCTION("vlookup($D228,IMPORTRANGE(""https://docs.google.com/spreadsheets/d/1swGwZOEqYlTEUCJLY-eeJM1911Kvaei5oySBIxdgtNo/edit?pli=1#gid=257618397"",""stock FAKTUR!B:G""),6,false)"),"12L")</f>
        <v>12L</v>
      </c>
      <c r="J228" s="120" t="str">
        <f t="shared" si="25"/>
        <v>ADA</v>
      </c>
      <c r="K228" s="142">
        <v>2.0</v>
      </c>
      <c r="L228" s="145" t="str">
        <f>IFERROR(__xludf.DUMMYFUNCTION("vlookup($D228,IMPORTRANGE(""https://docs.google.com/spreadsheets/d/1swGwZOEqYlTEUCJLY-eeJM1911Kvaei5oySBIxdgtNo/edit?pli=1#gid=257618397"",""stock FAKTUR!B:q""),16,false)"),"LSN")</f>
        <v>LSN</v>
      </c>
      <c r="M228" s="176">
        <v>100000.0</v>
      </c>
      <c r="N228" s="148" t="s">
        <v>4545</v>
      </c>
      <c r="O228" s="147">
        <f t="shared" si="2"/>
        <v>200000</v>
      </c>
      <c r="P228" s="147" t="str">
        <f t="shared" si="3"/>
        <v>Rp100,000-2 LSN-</v>
      </c>
      <c r="Q228" s="149">
        <v>45412.0</v>
      </c>
      <c r="R228" s="149">
        <v>45407.0</v>
      </c>
      <c r="S228" s="149">
        <v>45416.0</v>
      </c>
      <c r="T228" s="151"/>
      <c r="U228" s="151"/>
      <c r="V228" s="151"/>
      <c r="W228" s="151"/>
    </row>
    <row r="229">
      <c r="A229" s="142">
        <v>2985.0</v>
      </c>
      <c r="B229" s="143" t="str">
        <f t="shared" ref="B229:B240" si="66">IF(A229=A228,B228,"")</f>
        <v>H</v>
      </c>
      <c r="C229" s="143" t="str">
        <f t="shared" ref="C229:C240" si="67">IF(A229=A228,C228,"")</f>
        <v>RITA-CILACAP</v>
      </c>
      <c r="D229" s="145" t="s">
        <v>4546</v>
      </c>
      <c r="E229" s="145" t="str">
        <f>IFERROR(__xludf.DUMMYFUNCTION("vlookup(D229,IMPORTRANGE(""https://docs.google.com/spreadsheets/d/1swGwZOEqYlTEUCJLY-eeJM1911Kvaei5oySBIxdgtNo/edit?pli=1#gid=257618397"",""stock FAKTUR!B:C""),2,false)"),"BP VANCO VC 6201 4W")</f>
        <v>BP VANCO VC 6201 4W</v>
      </c>
      <c r="F229" s="53" t="str">
        <f>IFERROR(__xludf.DUMMYFUNCTION("vlookup($D229,IMPORTRANGE(""https://docs.google.com/spreadsheets/d/1swGwZOEqYlTEUCJLY-eeJM1911Kvaei5oySBIxdgtNo/edit?pli=1#gid=257618397"",""stock FAKTUR!B:d""),3,false)"),"")</f>
        <v/>
      </c>
      <c r="G229" s="53" t="str">
        <f>IFERROR(__xludf.DUMMYFUNCTION("vlookup($D229,IMPORTRANGE(""https://docs.google.com/spreadsheets/d/1swGwZOEqYlTEUCJLY-eeJM1911Kvaei5oySBIxdgtNo/edit?pli=1#gid=257618397"",""stock FAKTUR!B:e""),4,false)"),"4W")</f>
        <v>4W</v>
      </c>
      <c r="H229" s="53" t="str">
        <f>IFERROR(__xludf.DUMMYFUNCTION("vlookup($D229,IMPORTRANGE(""https://docs.google.com/spreadsheets/d/1swGwZOEqYlTEUCJLY-eeJM1911Kvaei5oySBIxdgtNo/edit?pli=1#gid=257618397"",""stock FAKTUR!B:F""),5,false)"),"VN")</f>
        <v>VN</v>
      </c>
      <c r="I229" s="53" t="str">
        <f>IFERROR(__xludf.DUMMYFUNCTION("vlookup($D229,IMPORTRANGE(""https://docs.google.com/spreadsheets/d/1swGwZOEqYlTEUCJLY-eeJM1911Kvaei5oySBIxdgtNo/edit?pli=1#gid=257618397"",""stock FAKTUR!B:G""),6,false)"),"6201")</f>
        <v>6201</v>
      </c>
      <c r="J229" s="120" t="str">
        <f t="shared" si="25"/>
        <v>ADA</v>
      </c>
      <c r="K229" s="142">
        <v>12.0</v>
      </c>
      <c r="L229" s="145" t="str">
        <f>IFERROR(__xludf.DUMMYFUNCTION("vlookup($D229,IMPORTRANGE(""https://docs.google.com/spreadsheets/d/1swGwZOEqYlTEUCJLY-eeJM1911Kvaei5oySBIxdgtNo/edit?pli=1#gid=257618397"",""stock FAKTUR!B:q""),16,false)"),"LSN")</f>
        <v>LSN</v>
      </c>
      <c r="M229" s="176">
        <v>40000.0</v>
      </c>
      <c r="N229" s="148" t="s">
        <v>4545</v>
      </c>
      <c r="O229" s="147">
        <f t="shared" si="2"/>
        <v>480000</v>
      </c>
      <c r="P229" s="147" t="str">
        <f t="shared" si="3"/>
        <v>Rp40,000-12 LSN-</v>
      </c>
      <c r="Q229" s="149">
        <v>45412.0</v>
      </c>
      <c r="R229" s="149">
        <v>45407.0</v>
      </c>
      <c r="S229" s="149">
        <v>45416.0</v>
      </c>
      <c r="T229" s="151"/>
      <c r="U229" s="151"/>
      <c r="V229" s="151"/>
      <c r="W229" s="151"/>
    </row>
    <row r="230">
      <c r="A230" s="142">
        <v>2985.0</v>
      </c>
      <c r="B230" s="143" t="str">
        <f t="shared" si="66"/>
        <v>H</v>
      </c>
      <c r="C230" s="143" t="str">
        <f t="shared" si="67"/>
        <v>RITA-CILACAP</v>
      </c>
      <c r="D230" s="145" t="s">
        <v>4496</v>
      </c>
      <c r="E230" s="145" t="str">
        <f>IFERROR(__xludf.DUMMYFUNCTION("vlookup(D230,IMPORTRANGE(""https://docs.google.com/spreadsheets/d/1swGwZOEqYlTEUCJLY-eeJM1911Kvaei5oySBIxdgtNo/edit?pli=1#gid=257618397"",""stock FAKTUR!B:C""),2,false)"),"MAP DOC BAG 2542 JARING A5")</f>
        <v>MAP DOC BAG 2542 JARING A5</v>
      </c>
      <c r="F230" s="53" t="str">
        <f>IFERROR(__xludf.DUMMYFUNCTION("vlookup($D230,IMPORTRANGE(""https://docs.google.com/spreadsheets/d/1swGwZOEqYlTEUCJLY-eeJM1911Kvaei5oySBIxdgtNo/edit?pli=1#gid=257618397"",""stock FAKTUR!B:d""),3,false)"),"A5")</f>
        <v>A5</v>
      </c>
      <c r="G230" s="53" t="str">
        <f>IFERROR(__xludf.DUMMYFUNCTION("vlookup($D230,IMPORTRANGE(""https://docs.google.com/spreadsheets/d/1swGwZOEqYlTEUCJLY-eeJM1911Kvaei5oySBIxdgtNo/edit?pli=1#gid=257618397"",""stock FAKTUR!B:e""),4,false)"),"4W")</f>
        <v>4W</v>
      </c>
      <c r="H230" s="53" t="str">
        <f>IFERROR(__xludf.DUMMYFUNCTION("vlookup($D230,IMPORTRANGE(""https://docs.google.com/spreadsheets/d/1swGwZOEqYlTEUCJLY-eeJM1911Kvaei5oySBIxdgtNo/edit?pli=1#gid=257618397"",""stock FAKTUR!B:F""),5,false)"),"CR")</f>
        <v>CR</v>
      </c>
      <c r="I230" s="53" t="str">
        <f>IFERROR(__xludf.DUMMYFUNCTION("vlookup($D230,IMPORTRANGE(""https://docs.google.com/spreadsheets/d/1swGwZOEqYlTEUCJLY-eeJM1911Kvaei5oySBIxdgtNo/edit?pli=1#gid=257618397"",""stock FAKTUR!B:G""),6,false)"),"2542")</f>
        <v>2542</v>
      </c>
      <c r="J230" s="120" t="str">
        <f t="shared" si="25"/>
        <v>ADA</v>
      </c>
      <c r="K230" s="142">
        <v>2.0</v>
      </c>
      <c r="L230" s="145" t="str">
        <f>IFERROR(__xludf.DUMMYFUNCTION("vlookup($D230,IMPORTRANGE(""https://docs.google.com/spreadsheets/d/1swGwZOEqYlTEUCJLY-eeJM1911Kvaei5oySBIxdgtNo/edit?pli=1#gid=257618397"",""stock FAKTUR!B:q""),16,false)"),"LSN")</f>
        <v>LSN</v>
      </c>
      <c r="M230" s="176">
        <v>175000.0</v>
      </c>
      <c r="N230" s="148" t="s">
        <v>4545</v>
      </c>
      <c r="O230" s="147">
        <f t="shared" si="2"/>
        <v>350000</v>
      </c>
      <c r="P230" s="147" t="str">
        <f t="shared" si="3"/>
        <v>Rp175,000-2 LSN-</v>
      </c>
      <c r="Q230" s="149">
        <v>45412.0</v>
      </c>
      <c r="R230" s="149">
        <v>45408.0</v>
      </c>
      <c r="S230" s="149">
        <v>45416.0</v>
      </c>
      <c r="T230" s="151"/>
      <c r="U230" s="151"/>
      <c r="V230" s="151"/>
      <c r="W230" s="151"/>
    </row>
    <row r="231">
      <c r="A231" s="142">
        <v>2985.0</v>
      </c>
      <c r="B231" s="143" t="str">
        <f t="shared" si="66"/>
        <v>H</v>
      </c>
      <c r="C231" s="143" t="str">
        <f t="shared" si="67"/>
        <v>RITA-CILACAP</v>
      </c>
      <c r="D231" s="171" t="s">
        <v>4495</v>
      </c>
      <c r="E231" s="145" t="str">
        <f>IFERROR(__xludf.DUMMYFUNCTION("vlookup(D231,IMPORTRANGE(""https://docs.google.com/spreadsheets/d/1swGwZOEqYlTEUCJLY-eeJM1911Kvaei5oySBIxdgtNo/edit?pli=1#gid=257618397"",""stock FAKTUR!B:C""),2,false)"),"MAP DOC BAG+HANDLE 2544 JARING B6")</f>
        <v>MAP DOC BAG+HANDLE 2544 JARING B6</v>
      </c>
      <c r="F231" s="53" t="str">
        <f>IFERROR(__xludf.DUMMYFUNCTION("vlookup($D231,IMPORTRANGE(""https://docs.google.com/spreadsheets/d/1swGwZOEqYlTEUCJLY-eeJM1911Kvaei5oySBIxdgtNo/edit?pli=1#gid=257618397"",""stock FAKTUR!B:d""),3,false)"),"B6")</f>
        <v>B6</v>
      </c>
      <c r="G231" s="53" t="str">
        <f>IFERROR(__xludf.DUMMYFUNCTION("vlookup($D231,IMPORTRANGE(""https://docs.google.com/spreadsheets/d/1swGwZOEqYlTEUCJLY-eeJM1911Kvaei5oySBIxdgtNo/edit?pli=1#gid=257618397"",""stock FAKTUR!B:e""),4,false)"),"")</f>
        <v/>
      </c>
      <c r="H231" s="53" t="str">
        <f>IFERROR(__xludf.DUMMYFUNCTION("vlookup($D231,IMPORTRANGE(""https://docs.google.com/spreadsheets/d/1swGwZOEqYlTEUCJLY-eeJM1911Kvaei5oySBIxdgtNo/edit?pli=1#gid=257618397"",""stock FAKTUR!B:F""),5,false)"),"CR")</f>
        <v>CR</v>
      </c>
      <c r="I231" s="53" t="str">
        <f>IFERROR(__xludf.DUMMYFUNCTION("vlookup($D231,IMPORTRANGE(""https://docs.google.com/spreadsheets/d/1swGwZOEqYlTEUCJLY-eeJM1911Kvaei5oySBIxdgtNo/edit?pli=1#gid=257618397"",""stock FAKTUR!B:G""),6,false)"),"2544")</f>
        <v>2544</v>
      </c>
      <c r="J231" s="120" t="str">
        <f t="shared" si="25"/>
        <v>ADA</v>
      </c>
      <c r="K231" s="142">
        <v>2.0</v>
      </c>
      <c r="L231" s="145" t="str">
        <f>IFERROR(__xludf.DUMMYFUNCTION("vlookup($D231,IMPORTRANGE(""https://docs.google.com/spreadsheets/d/1swGwZOEqYlTEUCJLY-eeJM1911Kvaei5oySBIxdgtNo/edit?pli=1#gid=257618397"",""stock FAKTUR!B:q""),16,false)"),"LSN")</f>
        <v>LSN</v>
      </c>
      <c r="M231" s="176">
        <v>150000.0</v>
      </c>
      <c r="N231" s="148" t="s">
        <v>4545</v>
      </c>
      <c r="O231" s="147">
        <f t="shared" si="2"/>
        <v>300000</v>
      </c>
      <c r="P231" s="147" t="str">
        <f t="shared" si="3"/>
        <v>Rp150,000-2 LSN-</v>
      </c>
      <c r="Q231" s="149">
        <v>45412.0</v>
      </c>
      <c r="R231" s="149">
        <v>45408.0</v>
      </c>
      <c r="S231" s="149">
        <v>45416.0</v>
      </c>
      <c r="T231" s="151"/>
      <c r="U231" s="151"/>
      <c r="V231" s="151"/>
      <c r="W231" s="151"/>
    </row>
    <row r="232">
      <c r="A232" s="142">
        <v>2985.0</v>
      </c>
      <c r="B232" s="143" t="str">
        <f t="shared" si="66"/>
        <v>H</v>
      </c>
      <c r="C232" s="143" t="str">
        <f t="shared" si="67"/>
        <v>RITA-CILACAP</v>
      </c>
      <c r="D232" s="145" t="s">
        <v>4494</v>
      </c>
      <c r="E232" s="145" t="str">
        <f>IFERROR(__xludf.DUMMYFUNCTION("vlookup(D232,IMPORTRANGE(""https://docs.google.com/spreadsheets/d/1swGwZOEqYlTEUCJLY-eeJM1911Kvaei5oySBIxdgtNo/edit?pli=1#gid=257618397"",""stock FAKTUR!B:C""),2,false)"),"MAP DOC BAG 2541 JARING B6")</f>
        <v>MAP DOC BAG 2541 JARING B6</v>
      </c>
      <c r="F232" s="53" t="str">
        <f>IFERROR(__xludf.DUMMYFUNCTION("vlookup($D232,IMPORTRANGE(""https://docs.google.com/spreadsheets/d/1swGwZOEqYlTEUCJLY-eeJM1911Kvaei5oySBIxdgtNo/edit?pli=1#gid=257618397"",""stock FAKTUR!B:d""),3,false)"),"B6")</f>
        <v>B6</v>
      </c>
      <c r="G232" s="53" t="str">
        <f>IFERROR(__xludf.DUMMYFUNCTION("vlookup($D232,IMPORTRANGE(""https://docs.google.com/spreadsheets/d/1swGwZOEqYlTEUCJLY-eeJM1911Kvaei5oySBIxdgtNo/edit?pli=1#gid=257618397"",""stock FAKTUR!B:e""),4,false)"),"4W")</f>
        <v>4W</v>
      </c>
      <c r="H232" s="53" t="str">
        <f>IFERROR(__xludf.DUMMYFUNCTION("vlookup($D232,IMPORTRANGE(""https://docs.google.com/spreadsheets/d/1swGwZOEqYlTEUCJLY-eeJM1911Kvaei5oySBIxdgtNo/edit?pli=1#gid=257618397"",""stock FAKTUR!B:F""),5,false)"),"CR")</f>
        <v>CR</v>
      </c>
      <c r="I232" s="53" t="str">
        <f>IFERROR(__xludf.DUMMYFUNCTION("vlookup($D232,IMPORTRANGE(""https://docs.google.com/spreadsheets/d/1swGwZOEqYlTEUCJLY-eeJM1911Kvaei5oySBIxdgtNo/edit?pli=1#gid=257618397"",""stock FAKTUR!B:G""),6,false)"),"2541")</f>
        <v>2541</v>
      </c>
      <c r="J232" s="120" t="str">
        <f t="shared" si="25"/>
        <v>ADA</v>
      </c>
      <c r="K232" s="142">
        <v>2.0</v>
      </c>
      <c r="L232" s="145" t="str">
        <f>IFERROR(__xludf.DUMMYFUNCTION("vlookup($D232,IMPORTRANGE(""https://docs.google.com/spreadsheets/d/1swGwZOEqYlTEUCJLY-eeJM1911Kvaei5oySBIxdgtNo/edit?pli=1#gid=257618397"",""stock FAKTUR!B:q""),16,false)"),"LSN")</f>
        <v>LSN</v>
      </c>
      <c r="M232" s="176">
        <v>135000.0</v>
      </c>
      <c r="N232" s="148"/>
      <c r="O232" s="147">
        <f t="shared" si="2"/>
        <v>270000</v>
      </c>
      <c r="P232" s="147" t="str">
        <f t="shared" si="3"/>
        <v>Rp135,000-2 LSN-0.00%</v>
      </c>
      <c r="Q232" s="149">
        <v>45412.0</v>
      </c>
      <c r="R232" s="149">
        <v>45408.0</v>
      </c>
      <c r="S232" s="149">
        <v>45416.0</v>
      </c>
      <c r="T232" s="151"/>
      <c r="U232" s="151"/>
      <c r="V232" s="151"/>
      <c r="W232" s="151"/>
    </row>
    <row r="233">
      <c r="A233" s="142">
        <v>2985.0</v>
      </c>
      <c r="B233" s="143" t="str">
        <f t="shared" si="66"/>
        <v>H</v>
      </c>
      <c r="C233" s="143" t="str">
        <f t="shared" si="67"/>
        <v>RITA-CILACAP</v>
      </c>
      <c r="D233" s="145" t="s">
        <v>4547</v>
      </c>
      <c r="E233" s="145" t="str">
        <f>IFERROR(__xludf.DUMMYFUNCTION("vlookup(D233,IMPORTRANGE(""https://docs.google.com/spreadsheets/d/1swGwZOEqYlTEUCJLY-eeJM1911Kvaei5oySBIxdgtNo/edit?pli=1#gid=257618397"",""stock FAKTUR!B:C""),2,false)"),"KERTAS LIPAT ORIGAMI 14 X 14 ALFA")</f>
        <v>KERTAS LIPAT ORIGAMI 14 X 14 ALFA</v>
      </c>
      <c r="F233" s="53" t="str">
        <f>IFERROR(__xludf.DUMMYFUNCTION("vlookup($D233,IMPORTRANGE(""https://docs.google.com/spreadsheets/d/1swGwZOEqYlTEUCJLY-eeJM1911Kvaei5oySBIxdgtNo/edit?pli=1#gid=257618397"",""stock FAKTUR!B:d""),3,false)"),"")</f>
        <v/>
      </c>
      <c r="G233" s="53" t="str">
        <f>IFERROR(__xludf.DUMMYFUNCTION("vlookup($D233,IMPORTRANGE(""https://docs.google.com/spreadsheets/d/1swGwZOEqYlTEUCJLY-eeJM1911Kvaei5oySBIxdgtNo/edit?pli=1#gid=257618397"",""stock FAKTUR!B:e""),4,false)"),"")</f>
        <v/>
      </c>
      <c r="H233" s="53" t="str">
        <f>IFERROR(__xludf.DUMMYFUNCTION("vlookup($D233,IMPORTRANGE(""https://docs.google.com/spreadsheets/d/1swGwZOEqYlTEUCJLY-eeJM1911Kvaei5oySBIxdgtNo/edit?pli=1#gid=257618397"",""stock FAKTUR!B:F""),5,false)"),"AL")</f>
        <v>AL</v>
      </c>
      <c r="I233" s="53" t="str">
        <f>IFERROR(__xludf.DUMMYFUNCTION("vlookup($D233,IMPORTRANGE(""https://docs.google.com/spreadsheets/d/1swGwZOEqYlTEUCJLY-eeJM1911Kvaei5oySBIxdgtNo/edit?pli=1#gid=257618397"",""stock FAKTUR!B:G""),6,false)"),"")</f>
        <v/>
      </c>
      <c r="J233" s="120" t="str">
        <f t="shared" si="25"/>
        <v>ADA</v>
      </c>
      <c r="K233" s="142">
        <v>25.0</v>
      </c>
      <c r="L233" s="145" t="str">
        <f>IFERROR(__xludf.DUMMYFUNCTION("vlookup($D233,IMPORTRANGE(""https://docs.google.com/spreadsheets/d/1swGwZOEqYlTEUCJLY-eeJM1911Kvaei5oySBIxdgtNo/edit?pli=1#gid=257618397"",""stock FAKTUR!B:q""),16,false)"),"PCS")</f>
        <v>PCS</v>
      </c>
      <c r="M233" s="176">
        <v>4000.0</v>
      </c>
      <c r="N233" s="148"/>
      <c r="O233" s="147">
        <f t="shared" si="2"/>
        <v>100000</v>
      </c>
      <c r="P233" s="147" t="str">
        <f t="shared" si="3"/>
        <v>Rp4,000-25 PCS-0.00%</v>
      </c>
      <c r="Q233" s="149">
        <v>45412.0</v>
      </c>
      <c r="R233" s="149">
        <v>45408.0</v>
      </c>
      <c r="S233" s="149">
        <v>45416.0</v>
      </c>
      <c r="T233" s="151"/>
      <c r="U233" s="151"/>
      <c r="V233" s="151"/>
      <c r="W233" s="151"/>
    </row>
    <row r="234">
      <c r="A234" s="142">
        <v>2985.0</v>
      </c>
      <c r="B234" s="143" t="str">
        <f t="shared" si="66"/>
        <v>H</v>
      </c>
      <c r="C234" s="143" t="str">
        <f t="shared" si="67"/>
        <v>RITA-CILACAP</v>
      </c>
      <c r="D234" s="145" t="s">
        <v>4548</v>
      </c>
      <c r="E234" s="145" t="str">
        <f>IFERROR(__xludf.DUMMYFUNCTION("vlookup(D234,IMPORTRANGE(""https://docs.google.com/spreadsheets/d/1swGwZOEqYlTEUCJLY-eeJM1911Kvaei5oySBIxdgtNo/edit?pli=1#gid=257618397"",""stock FAKTUR!B:C""),2,false)"),"KERTAS LIPAT ORIGAMI 16 X 16 ALFA")</f>
        <v>KERTAS LIPAT ORIGAMI 16 X 16 ALFA</v>
      </c>
      <c r="F234" s="53" t="str">
        <f>IFERROR(__xludf.DUMMYFUNCTION("vlookup($D234,IMPORTRANGE(""https://docs.google.com/spreadsheets/d/1swGwZOEqYlTEUCJLY-eeJM1911Kvaei5oySBIxdgtNo/edit?pli=1#gid=257618397"",""stock FAKTUR!B:d""),3,false)"),"")</f>
        <v/>
      </c>
      <c r="G234" s="53" t="str">
        <f>IFERROR(__xludf.DUMMYFUNCTION("vlookup($D234,IMPORTRANGE(""https://docs.google.com/spreadsheets/d/1swGwZOEqYlTEUCJLY-eeJM1911Kvaei5oySBIxdgtNo/edit?pli=1#gid=257618397"",""stock FAKTUR!B:e""),4,false)"),"")</f>
        <v/>
      </c>
      <c r="H234" s="53" t="str">
        <f>IFERROR(__xludf.DUMMYFUNCTION("vlookup($D234,IMPORTRANGE(""https://docs.google.com/spreadsheets/d/1swGwZOEqYlTEUCJLY-eeJM1911Kvaei5oySBIxdgtNo/edit?pli=1#gid=257618397"",""stock FAKTUR!B:F""),5,false)"),"AL")</f>
        <v>AL</v>
      </c>
      <c r="I234" s="53" t="str">
        <f>IFERROR(__xludf.DUMMYFUNCTION("vlookup($D234,IMPORTRANGE(""https://docs.google.com/spreadsheets/d/1swGwZOEqYlTEUCJLY-eeJM1911Kvaei5oySBIxdgtNo/edit?pli=1#gid=257618397"",""stock FAKTUR!B:G""),6,false)"),"")</f>
        <v/>
      </c>
      <c r="J234" s="120" t="str">
        <f t="shared" si="25"/>
        <v>ADA</v>
      </c>
      <c r="K234" s="142">
        <v>25.0</v>
      </c>
      <c r="L234" s="145" t="str">
        <f>IFERROR(__xludf.DUMMYFUNCTION("vlookup($D234,IMPORTRANGE(""https://docs.google.com/spreadsheets/d/1swGwZOEqYlTEUCJLY-eeJM1911Kvaei5oySBIxdgtNo/edit?pli=1#gid=257618397"",""stock FAKTUR!B:q""),16,false)"),"PCS")</f>
        <v>PCS</v>
      </c>
      <c r="M234" s="176">
        <v>6000.0</v>
      </c>
      <c r="N234" s="148"/>
      <c r="O234" s="147">
        <f t="shared" si="2"/>
        <v>150000</v>
      </c>
      <c r="P234" s="147" t="str">
        <f t="shared" si="3"/>
        <v>Rp6,000-25 PCS-0.00%</v>
      </c>
      <c r="Q234" s="149">
        <v>45412.0</v>
      </c>
      <c r="R234" s="149">
        <v>45408.0</v>
      </c>
      <c r="S234" s="149">
        <v>45416.0</v>
      </c>
      <c r="T234" s="151"/>
      <c r="U234" s="151"/>
      <c r="V234" s="151"/>
      <c r="W234" s="151"/>
    </row>
    <row r="235">
      <c r="A235" s="142">
        <v>2985.0</v>
      </c>
      <c r="B235" s="143" t="str">
        <f t="shared" si="66"/>
        <v>H</v>
      </c>
      <c r="C235" s="143" t="str">
        <f t="shared" si="67"/>
        <v>RITA-CILACAP</v>
      </c>
      <c r="D235" s="145" t="s">
        <v>4405</v>
      </c>
      <c r="E235" s="145" t="str">
        <f>IFERROR(__xludf.DUMMYFUNCTION("vlookup(D235,IMPORTRANGE(""https://docs.google.com/spreadsheets/d/1swGwZOEqYlTEUCJLY-eeJM1911Kvaei5oySBIxdgtNo/edit?pli=1#gid=257618397"",""stock FAKTUR!B:C""),2,false)"),"BK KAS KWARTO")</f>
        <v>BK KAS KWARTO</v>
      </c>
      <c r="F235" s="53" t="str">
        <f>IFERROR(__xludf.DUMMYFUNCTION("vlookup($D235,IMPORTRANGE(""https://docs.google.com/spreadsheets/d/1swGwZOEqYlTEUCJLY-eeJM1911Kvaei5oySBIxdgtNo/edit?pli=1#gid=257618397"",""stock FAKTUR!B:d""),3,false)"),"A4")</f>
        <v>A4</v>
      </c>
      <c r="G235" s="53" t="str">
        <f>IFERROR(__xludf.DUMMYFUNCTION("vlookup($D235,IMPORTRANGE(""https://docs.google.com/spreadsheets/d/1swGwZOEqYlTEUCJLY-eeJM1911Kvaei5oySBIxdgtNo/edit?pli=1#gid=257618397"",""stock FAKTUR!B:e""),4,false)"),"")</f>
        <v/>
      </c>
      <c r="H235" s="53" t="str">
        <f>IFERROR(__xludf.DUMMYFUNCTION("vlookup($D235,IMPORTRANGE(""https://docs.google.com/spreadsheets/d/1swGwZOEqYlTEUCJLY-eeJM1911Kvaei5oySBIxdgtNo/edit?pli=1#gid=257618397"",""stock FAKTUR!B:F""),5,false)"),"NB")</f>
        <v>NB</v>
      </c>
      <c r="I235" s="53" t="str">
        <f>IFERROR(__xludf.DUMMYFUNCTION("vlookup($D235,IMPORTRANGE(""https://docs.google.com/spreadsheets/d/1swGwZOEqYlTEUCJLY-eeJM1911Kvaei5oySBIxdgtNo/edit?pli=1#gid=257618397"",""stock FAKTUR!B:G""),6,false)"),"")</f>
        <v/>
      </c>
      <c r="J235" s="120" t="str">
        <f t="shared" si="25"/>
        <v>ADA</v>
      </c>
      <c r="K235" s="142">
        <v>10.0</v>
      </c>
      <c r="L235" s="145" t="str">
        <f>IFERROR(__xludf.DUMMYFUNCTION("vlookup($D235,IMPORTRANGE(""https://docs.google.com/spreadsheets/d/1swGwZOEqYlTEUCJLY-eeJM1911Kvaei5oySBIxdgtNo/edit?pli=1#gid=257618397"",""stock FAKTUR!B:q""),16,false)"),"PCS")</f>
        <v>PCS</v>
      </c>
      <c r="M235" s="176">
        <v>12000.0</v>
      </c>
      <c r="N235" s="148" t="s">
        <v>4545</v>
      </c>
      <c r="O235" s="147">
        <f t="shared" si="2"/>
        <v>120000</v>
      </c>
      <c r="P235" s="147" t="str">
        <f t="shared" si="3"/>
        <v>Rp12,000-10 PCS-</v>
      </c>
      <c r="Q235" s="149">
        <v>45412.0</v>
      </c>
      <c r="R235" s="149">
        <v>45408.0</v>
      </c>
      <c r="S235" s="149">
        <v>45416.0</v>
      </c>
      <c r="T235" s="151"/>
      <c r="U235" s="151"/>
      <c r="V235" s="151"/>
      <c r="W235" s="151"/>
    </row>
    <row r="236">
      <c r="A236" s="142">
        <v>2985.0</v>
      </c>
      <c r="B236" s="143" t="str">
        <f t="shared" si="66"/>
        <v>H</v>
      </c>
      <c r="C236" s="143" t="str">
        <f t="shared" si="67"/>
        <v>RITA-CILACAP</v>
      </c>
      <c r="D236" s="145" t="s">
        <v>4406</v>
      </c>
      <c r="E236" s="145" t="str">
        <f>IFERROR(__xludf.DUMMYFUNCTION("vlookup(D236,IMPORTRANGE(""https://docs.google.com/spreadsheets/d/1swGwZOEqYlTEUCJLY-eeJM1911Kvaei5oySBIxdgtNo/edit?pli=1#gid=257618397"",""stock FAKTUR!B:C""),2,false)"),"BK KAS FOLIO")</f>
        <v>BK KAS FOLIO</v>
      </c>
      <c r="F236" s="53" t="str">
        <f>IFERROR(__xludf.DUMMYFUNCTION("vlookup($D236,IMPORTRANGE(""https://docs.google.com/spreadsheets/d/1swGwZOEqYlTEUCJLY-eeJM1911Kvaei5oySBIxdgtNo/edit?pli=1#gid=257618397"",""stock FAKTUR!B:d""),3,false)"),"F4")</f>
        <v>F4</v>
      </c>
      <c r="G236" s="53" t="str">
        <f>IFERROR(__xludf.DUMMYFUNCTION("vlookup($D236,IMPORTRANGE(""https://docs.google.com/spreadsheets/d/1swGwZOEqYlTEUCJLY-eeJM1911Kvaei5oySBIxdgtNo/edit?pli=1#gid=257618397"",""stock FAKTUR!B:e""),4,false)"),"")</f>
        <v/>
      </c>
      <c r="H236" s="53" t="str">
        <f>IFERROR(__xludf.DUMMYFUNCTION("vlookup($D236,IMPORTRANGE(""https://docs.google.com/spreadsheets/d/1swGwZOEqYlTEUCJLY-eeJM1911Kvaei5oySBIxdgtNo/edit?pli=1#gid=257618397"",""stock FAKTUR!B:F""),5,false)"),"NB")</f>
        <v>NB</v>
      </c>
      <c r="I236" s="53" t="str">
        <f>IFERROR(__xludf.DUMMYFUNCTION("vlookup($D236,IMPORTRANGE(""https://docs.google.com/spreadsheets/d/1swGwZOEqYlTEUCJLY-eeJM1911Kvaei5oySBIxdgtNo/edit?pli=1#gid=257618397"",""stock FAKTUR!B:G""),6,false)"),"")</f>
        <v/>
      </c>
      <c r="J236" s="120" t="str">
        <f t="shared" si="25"/>
        <v>ADA</v>
      </c>
      <c r="K236" s="142">
        <v>10.0</v>
      </c>
      <c r="L236" s="145" t="str">
        <f>IFERROR(__xludf.DUMMYFUNCTION("vlookup($D236,IMPORTRANGE(""https://docs.google.com/spreadsheets/d/1swGwZOEqYlTEUCJLY-eeJM1911Kvaei5oySBIxdgtNo/edit?pli=1#gid=257618397"",""stock FAKTUR!B:q""),16,false)"),"PCS")</f>
        <v>PCS</v>
      </c>
      <c r="M236" s="176">
        <v>24000.0</v>
      </c>
      <c r="N236" s="148" t="s">
        <v>4545</v>
      </c>
      <c r="O236" s="147">
        <f t="shared" si="2"/>
        <v>240000</v>
      </c>
      <c r="P236" s="147" t="str">
        <f t="shared" si="3"/>
        <v>Rp24,000-10 PCS-</v>
      </c>
      <c r="Q236" s="149">
        <v>45412.0</v>
      </c>
      <c r="R236" s="149">
        <v>45408.0</v>
      </c>
      <c r="S236" s="149">
        <v>45416.0</v>
      </c>
      <c r="T236" s="151"/>
      <c r="U236" s="151"/>
      <c r="V236" s="151"/>
      <c r="W236" s="151"/>
    </row>
    <row r="237">
      <c r="A237" s="153">
        <v>2985.0</v>
      </c>
      <c r="B237" s="144" t="str">
        <f t="shared" si="66"/>
        <v>H</v>
      </c>
      <c r="C237" s="144" t="str">
        <f t="shared" si="67"/>
        <v>RITA-CILACAP</v>
      </c>
      <c r="D237" s="180" t="s">
        <v>4549</v>
      </c>
      <c r="E237" s="145" t="str">
        <f>IFERROR(__xludf.DUMMYFUNCTION("vlookup(D237,IMPORTRANGE(""https://docs.google.com/spreadsheets/d/1swGwZOEqYlTEUCJLY-eeJM1911Kvaei5oySBIxdgtNo/edit?pli=1#gid=257618397"",""stock FAKTUR!B:C""),2,false)"),"DOUBLE FOAM POLAR SP 015")</f>
        <v>DOUBLE FOAM POLAR SP 015</v>
      </c>
      <c r="F237" s="53" t="str">
        <f>IFERROR(__xludf.DUMMYFUNCTION("vlookup($D237,IMPORTRANGE(""https://docs.google.com/spreadsheets/d/1swGwZOEqYlTEUCJLY-eeJM1911Kvaei5oySBIxdgtNo/edit?pli=1#gid=257618397"",""stock FAKTUR!B:d""),3,false)"),"")</f>
        <v/>
      </c>
      <c r="G237" s="53" t="str">
        <f>IFERROR(__xludf.DUMMYFUNCTION("vlookup($D237,IMPORTRANGE(""https://docs.google.com/spreadsheets/d/1swGwZOEqYlTEUCJLY-eeJM1911Kvaei5oySBIxdgtNo/edit?pli=1#gid=257618397"",""stock FAKTUR!B:e""),4,false)"),"")</f>
        <v/>
      </c>
      <c r="H237" s="53" t="str">
        <f>IFERROR(__xludf.DUMMYFUNCTION("vlookup($D237,IMPORTRANGE(""https://docs.google.com/spreadsheets/d/1swGwZOEqYlTEUCJLY-eeJM1911Kvaei5oySBIxdgtNo/edit?pli=1#gid=257618397"",""stock FAKTUR!B:F""),5,false)"),"PO")</f>
        <v>PO</v>
      </c>
      <c r="I237" s="53" t="str">
        <f>IFERROR(__xludf.DUMMYFUNCTION("vlookup($D237,IMPORTRANGE(""https://docs.google.com/spreadsheets/d/1swGwZOEqYlTEUCJLY-eeJM1911Kvaei5oySBIxdgtNo/edit?pli=1#gid=257618397"",""stock FAKTUR!B:G""),6,false)"),"SP 015")</f>
        <v>SP 015</v>
      </c>
      <c r="J237" s="120" t="str">
        <f t="shared" si="25"/>
        <v>ADA</v>
      </c>
      <c r="K237" s="153">
        <v>1.0</v>
      </c>
      <c r="L237" s="145" t="str">
        <f>IFERROR(__xludf.DUMMYFUNCTION("vlookup($D237,IMPORTRANGE(""https://docs.google.com/spreadsheets/d/1swGwZOEqYlTEUCJLY-eeJM1911Kvaei5oySBIxdgtNo/edit?pli=1#gid=257618397"",""stock FAKTUR!B:q""),16,false)"),"LSN")</f>
        <v>LSN</v>
      </c>
      <c r="M237" s="181">
        <v>50000.0</v>
      </c>
      <c r="N237" s="182" t="s">
        <v>4545</v>
      </c>
      <c r="O237" s="155">
        <f t="shared" si="2"/>
        <v>50000</v>
      </c>
      <c r="P237" s="155" t="str">
        <f t="shared" si="3"/>
        <v>Rp50,000-1 LSN-</v>
      </c>
      <c r="Q237" s="157">
        <v>45412.0</v>
      </c>
      <c r="R237" s="157">
        <v>45414.0</v>
      </c>
      <c r="S237" s="157">
        <v>45416.0</v>
      </c>
      <c r="T237" s="145" t="s">
        <v>4550</v>
      </c>
      <c r="U237" s="145" t="s">
        <v>4390</v>
      </c>
      <c r="V237" s="145"/>
      <c r="W237" s="159"/>
    </row>
    <row r="238">
      <c r="A238" s="153">
        <v>2985.0</v>
      </c>
      <c r="B238" s="144" t="str">
        <f t="shared" si="66"/>
        <v>H</v>
      </c>
      <c r="C238" s="144" t="str">
        <f t="shared" si="67"/>
        <v>RITA-CILACAP</v>
      </c>
      <c r="D238" s="180" t="s">
        <v>4551</v>
      </c>
      <c r="E238" s="145" t="str">
        <f>IFERROR(__xludf.DUMMYFUNCTION("vlookup(D238,IMPORTRANGE(""https://docs.google.com/spreadsheets/d/1swGwZOEqYlTEUCJLY-eeJM1911Kvaei5oySBIxdgtNo/edit?pli=1#gid=257618397"",""stock FAKTUR!B:C""),2,false)"),"DOUBLE FOAM POLAR SP 016")</f>
        <v>DOUBLE FOAM POLAR SP 016</v>
      </c>
      <c r="F238" s="53" t="str">
        <f>IFERROR(__xludf.DUMMYFUNCTION("vlookup($D238,IMPORTRANGE(""https://docs.google.com/spreadsheets/d/1swGwZOEqYlTEUCJLY-eeJM1911Kvaei5oySBIxdgtNo/edit?pli=1#gid=257618397"",""stock FAKTUR!B:d""),3,false)"),"")</f>
        <v/>
      </c>
      <c r="G238" s="53" t="str">
        <f>IFERROR(__xludf.DUMMYFUNCTION("vlookup($D238,IMPORTRANGE(""https://docs.google.com/spreadsheets/d/1swGwZOEqYlTEUCJLY-eeJM1911Kvaei5oySBIxdgtNo/edit?pli=1#gid=257618397"",""stock FAKTUR!B:e""),4,false)"),"")</f>
        <v/>
      </c>
      <c r="H238" s="53" t="str">
        <f>IFERROR(__xludf.DUMMYFUNCTION("vlookup($D238,IMPORTRANGE(""https://docs.google.com/spreadsheets/d/1swGwZOEqYlTEUCJLY-eeJM1911Kvaei5oySBIxdgtNo/edit?pli=1#gid=257618397"",""stock FAKTUR!B:F""),5,false)"),"PO")</f>
        <v>PO</v>
      </c>
      <c r="I238" s="53" t="str">
        <f>IFERROR(__xludf.DUMMYFUNCTION("vlookup($D238,IMPORTRANGE(""https://docs.google.com/spreadsheets/d/1swGwZOEqYlTEUCJLY-eeJM1911Kvaei5oySBIxdgtNo/edit?pli=1#gid=257618397"",""stock FAKTUR!B:G""),6,false)"),"SP 016")</f>
        <v>SP 016</v>
      </c>
      <c r="J238" s="120" t="str">
        <f t="shared" si="25"/>
        <v>ADA</v>
      </c>
      <c r="K238" s="153">
        <v>1.0</v>
      </c>
      <c r="L238" s="145" t="str">
        <f>IFERROR(__xludf.DUMMYFUNCTION("vlookup($D238,IMPORTRANGE(""https://docs.google.com/spreadsheets/d/1swGwZOEqYlTEUCJLY-eeJM1911Kvaei5oySBIxdgtNo/edit?pli=1#gid=257618397"",""stock FAKTUR!B:q""),16,false)"),"LSN")</f>
        <v>LSN</v>
      </c>
      <c r="M238" s="181">
        <v>72000.0</v>
      </c>
      <c r="N238" s="182" t="s">
        <v>4545</v>
      </c>
      <c r="O238" s="155">
        <f t="shared" si="2"/>
        <v>72000</v>
      </c>
      <c r="P238" s="155" t="str">
        <f t="shared" si="3"/>
        <v>Rp72,000-1 LSN-</v>
      </c>
      <c r="Q238" s="157">
        <v>45412.0</v>
      </c>
      <c r="R238" s="157">
        <v>45414.0</v>
      </c>
      <c r="S238" s="157">
        <v>45416.0</v>
      </c>
      <c r="T238" s="145" t="s">
        <v>4550</v>
      </c>
      <c r="U238" s="145" t="s">
        <v>4390</v>
      </c>
      <c r="V238" s="145"/>
      <c r="W238" s="159"/>
    </row>
    <row r="239">
      <c r="A239" s="153">
        <v>2985.0</v>
      </c>
      <c r="B239" s="144" t="str">
        <f t="shared" si="66"/>
        <v>H</v>
      </c>
      <c r="C239" s="144" t="str">
        <f t="shared" si="67"/>
        <v>RITA-CILACAP</v>
      </c>
      <c r="D239" s="180" t="s">
        <v>4552</v>
      </c>
      <c r="E239" s="145" t="str">
        <f>IFERROR(__xludf.DUMMYFUNCTION("vlookup(D239,IMPORTRANGE(""https://docs.google.com/spreadsheets/d/1swGwZOEqYlTEUCJLY-eeJM1911Kvaei5oySBIxdgtNo/edit?pli=1#gid=257618397"",""stock FAKTUR!B:C""),2,false)"),"DOUBLE FOAM POLAR SP 017")</f>
        <v>DOUBLE FOAM POLAR SP 017</v>
      </c>
      <c r="F239" s="53" t="str">
        <f>IFERROR(__xludf.DUMMYFUNCTION("vlookup($D239,IMPORTRANGE(""https://docs.google.com/spreadsheets/d/1swGwZOEqYlTEUCJLY-eeJM1911Kvaei5oySBIxdgtNo/edit?pli=1#gid=257618397"",""stock FAKTUR!B:d""),3,false)"),"")</f>
        <v/>
      </c>
      <c r="G239" s="53" t="str">
        <f>IFERROR(__xludf.DUMMYFUNCTION("vlookup($D239,IMPORTRANGE(""https://docs.google.com/spreadsheets/d/1swGwZOEqYlTEUCJLY-eeJM1911Kvaei5oySBIxdgtNo/edit?pli=1#gid=257618397"",""stock FAKTUR!B:e""),4,false)"),"")</f>
        <v/>
      </c>
      <c r="H239" s="53" t="str">
        <f>IFERROR(__xludf.DUMMYFUNCTION("vlookup($D239,IMPORTRANGE(""https://docs.google.com/spreadsheets/d/1swGwZOEqYlTEUCJLY-eeJM1911Kvaei5oySBIxdgtNo/edit?pli=1#gid=257618397"",""stock FAKTUR!B:F""),5,false)"),"PO")</f>
        <v>PO</v>
      </c>
      <c r="I239" s="53" t="str">
        <f>IFERROR(__xludf.DUMMYFUNCTION("vlookup($D239,IMPORTRANGE(""https://docs.google.com/spreadsheets/d/1swGwZOEqYlTEUCJLY-eeJM1911Kvaei5oySBIxdgtNo/edit?pli=1#gid=257618397"",""stock FAKTUR!B:G""),6,false)"),"SP 017")</f>
        <v>SP 017</v>
      </c>
      <c r="J239" s="120" t="str">
        <f t="shared" si="25"/>
        <v>ADA</v>
      </c>
      <c r="K239" s="153">
        <v>1.0</v>
      </c>
      <c r="L239" s="145" t="str">
        <f>IFERROR(__xludf.DUMMYFUNCTION("vlookup($D239,IMPORTRANGE(""https://docs.google.com/spreadsheets/d/1swGwZOEqYlTEUCJLY-eeJM1911Kvaei5oySBIxdgtNo/edit?pli=1#gid=257618397"",""stock FAKTUR!B:q""),16,false)"),"LSN")</f>
        <v>LSN</v>
      </c>
      <c r="M239" s="181">
        <v>100000.0</v>
      </c>
      <c r="N239" s="182" t="s">
        <v>4545</v>
      </c>
      <c r="O239" s="155">
        <f t="shared" si="2"/>
        <v>100000</v>
      </c>
      <c r="P239" s="155" t="str">
        <f t="shared" si="3"/>
        <v>Rp100,000-1 LSN-</v>
      </c>
      <c r="Q239" s="157">
        <v>45412.0</v>
      </c>
      <c r="R239" s="157">
        <v>45414.0</v>
      </c>
      <c r="S239" s="157">
        <v>45416.0</v>
      </c>
      <c r="T239" s="145" t="s">
        <v>4550</v>
      </c>
      <c r="U239" s="145" t="s">
        <v>4390</v>
      </c>
      <c r="V239" s="145"/>
      <c r="W239" s="159"/>
    </row>
    <row r="240">
      <c r="A240" s="142">
        <v>2985.0</v>
      </c>
      <c r="B240" s="143" t="str">
        <f t="shared" si="66"/>
        <v>H</v>
      </c>
      <c r="C240" s="143" t="str">
        <f t="shared" si="67"/>
        <v>RITA-CILACAP</v>
      </c>
      <c r="D240" s="145" t="s">
        <v>4525</v>
      </c>
      <c r="E240" s="145" t="str">
        <f>IFERROR(__xludf.DUMMYFUNCTION("vlookup(D240,IMPORTRANGE(""https://docs.google.com/spreadsheets/d/1swGwZOEqYlTEUCJLY-eeJM1911Kvaei5oySBIxdgtNo/edit?pli=1#gid=257618397"",""stock FAKTUR!B:C""),2,false)"),"DISPENSER MN-305 POLAR BEAR ")</f>
        <v>DISPENSER MN-305 POLAR BEAR </v>
      </c>
      <c r="F240" s="53" t="str">
        <f>IFERROR(__xludf.DUMMYFUNCTION("vlookup($D240,IMPORTRANGE(""https://docs.google.com/spreadsheets/d/1swGwZOEqYlTEUCJLY-eeJM1911Kvaei5oySBIxdgtNo/edit?pli=1#gid=257618397"",""stock FAKTUR!B:d""),3,false)"),"")</f>
        <v/>
      </c>
      <c r="G240" s="53" t="str">
        <f>IFERROR(__xludf.DUMMYFUNCTION("vlookup($D240,IMPORTRANGE(""https://docs.google.com/spreadsheets/d/1swGwZOEqYlTEUCJLY-eeJM1911Kvaei5oySBIxdgtNo/edit?pli=1#gid=257618397"",""stock FAKTUR!B:e""),4,false)"),"")</f>
        <v/>
      </c>
      <c r="H240" s="53" t="str">
        <f>IFERROR(__xludf.DUMMYFUNCTION("vlookup($D240,IMPORTRANGE(""https://docs.google.com/spreadsheets/d/1swGwZOEqYlTEUCJLY-eeJM1911Kvaei5oySBIxdgtNo/edit?pli=1#gid=257618397"",""stock FAKTUR!B:F""),5,false)"),"NB")</f>
        <v>NB</v>
      </c>
      <c r="I240" s="53" t="str">
        <f>IFERROR(__xludf.DUMMYFUNCTION("vlookup($D240,IMPORTRANGE(""https://docs.google.com/spreadsheets/d/1swGwZOEqYlTEUCJLY-eeJM1911Kvaei5oySBIxdgtNo/edit?pli=1#gid=257618397"",""stock FAKTUR!B:G""),6,false)"),"MN-305")</f>
        <v>MN-305</v>
      </c>
      <c r="J240" s="120" t="str">
        <f t="shared" si="25"/>
        <v>ADA</v>
      </c>
      <c r="K240" s="142">
        <v>2.0</v>
      </c>
      <c r="L240" s="145" t="str">
        <f>IFERROR(__xludf.DUMMYFUNCTION("vlookup($D240,IMPORTRANGE(""https://docs.google.com/spreadsheets/d/1swGwZOEqYlTEUCJLY-eeJM1911Kvaei5oySBIxdgtNo/edit?pli=1#gid=257618397"",""stock FAKTUR!B:q""),16,false)"),"LSN")</f>
        <v>LSN</v>
      </c>
      <c r="M240" s="176">
        <v>120000.0</v>
      </c>
      <c r="N240" s="148" t="s">
        <v>4545</v>
      </c>
      <c r="O240" s="147">
        <f t="shared" si="2"/>
        <v>240000</v>
      </c>
      <c r="P240" s="147" t="str">
        <f t="shared" si="3"/>
        <v>Rp120,000-2 LSN-</v>
      </c>
      <c r="Q240" s="149">
        <v>45412.0</v>
      </c>
      <c r="R240" s="149">
        <v>45414.0</v>
      </c>
      <c r="S240" s="149">
        <v>45416.0</v>
      </c>
      <c r="T240" s="151"/>
      <c r="U240" s="151"/>
      <c r="V240" s="151"/>
      <c r="W240" s="151"/>
    </row>
    <row r="241">
      <c r="A241" s="142">
        <v>132.0</v>
      </c>
      <c r="B241" s="143" t="s">
        <v>65</v>
      </c>
      <c r="C241" s="143" t="s">
        <v>70</v>
      </c>
      <c r="D241" s="145" t="s">
        <v>24</v>
      </c>
      <c r="E241" s="145" t="str">
        <f>IFERROR(__xludf.DUMMYFUNCTION("vlookup(D241,IMPORTRANGE(""https://docs.google.com/spreadsheets/d/1swGwZOEqYlTEUCJLY-eeJM1911Kvaei5oySBIxdgtNo/edit?pli=1#gid=257618397"",""stock FAKTUR!B:C""),2,false)"),"KARTU STOCK KWARTO PINK")</f>
        <v>KARTU STOCK KWARTO PINK</v>
      </c>
      <c r="F241" s="53" t="str">
        <f>IFERROR(__xludf.DUMMYFUNCTION("vlookup($D241,IMPORTRANGE(""https://docs.google.com/spreadsheets/d/1swGwZOEqYlTEUCJLY-eeJM1911Kvaei5oySBIxdgtNo/edit?pli=1#gid=257618397"",""stock FAKTUR!B:d""),3,false)"),"A4")</f>
        <v>A4</v>
      </c>
      <c r="G241" s="53" t="str">
        <f>IFERROR(__xludf.DUMMYFUNCTION("vlookup($D241,IMPORTRANGE(""https://docs.google.com/spreadsheets/d/1swGwZOEqYlTEUCJLY-eeJM1911Kvaei5oySBIxdgtNo/edit?pli=1#gid=257618397"",""stock FAKTUR!B:e""),4,false)"),"PINK")</f>
        <v>PINK</v>
      </c>
      <c r="H241" s="53" t="str">
        <f>IFERROR(__xludf.DUMMYFUNCTION("vlookup($D241,IMPORTRANGE(""https://docs.google.com/spreadsheets/d/1swGwZOEqYlTEUCJLY-eeJM1911Kvaei5oySBIxdgtNo/edit?pli=1#gid=257618397"",""stock FAKTUR!B:F""),5,false)"),"NB")</f>
        <v>NB</v>
      </c>
      <c r="I241" s="53" t="str">
        <f>IFERROR(__xludf.DUMMYFUNCTION("vlookup($D241,IMPORTRANGE(""https://docs.google.com/spreadsheets/d/1swGwZOEqYlTEUCJLY-eeJM1911Kvaei5oySBIxdgtNo/edit?pli=1#gid=257618397"",""stock FAKTUR!B:G""),6,false)"),"")</f>
        <v/>
      </c>
      <c r="J241" s="120" t="str">
        <f t="shared" si="25"/>
        <v>ADA</v>
      </c>
      <c r="K241" s="142">
        <v>4.0</v>
      </c>
      <c r="L241" s="145" t="str">
        <f>IFERROR(__xludf.DUMMYFUNCTION("vlookup($D241,IMPORTRANGE(""https://docs.google.com/spreadsheets/d/1swGwZOEqYlTEUCJLY-eeJM1911Kvaei5oySBIxdgtNo/edit?pli=1#gid=257618397"",""stock FAKTUR!B:q""),16,false)"),"PAK")</f>
        <v>PAK</v>
      </c>
      <c r="M241" s="176">
        <v>22000.0</v>
      </c>
      <c r="N241" s="148" t="s">
        <v>4545</v>
      </c>
      <c r="O241" s="147">
        <f t="shared" si="2"/>
        <v>88000</v>
      </c>
      <c r="P241" s="147" t="str">
        <f t="shared" si="3"/>
        <v>Rp22,000-4 PAK-</v>
      </c>
      <c r="Q241" s="149">
        <v>45408.0</v>
      </c>
      <c r="R241" s="150"/>
      <c r="S241" s="149">
        <v>45416.0</v>
      </c>
      <c r="T241" s="151"/>
      <c r="U241" s="151"/>
      <c r="V241" s="151"/>
      <c r="W241" s="151"/>
    </row>
    <row r="242">
      <c r="A242" s="142">
        <v>132.0</v>
      </c>
      <c r="B242" s="143" t="s">
        <v>65</v>
      </c>
      <c r="C242" s="143" t="str">
        <f t="shared" ref="C242:C245" si="68">IF(A242=A241,C241,"")</f>
        <v>SULUNG-SEMARANG</v>
      </c>
      <c r="D242" s="145" t="s">
        <v>4407</v>
      </c>
      <c r="E242" s="145" t="str">
        <f>IFERROR(__xludf.DUMMYFUNCTION("vlookup(D242,IMPORTRANGE(""https://docs.google.com/spreadsheets/d/1swGwZOEqYlTEUCJLY-eeJM1911Kvaei5oySBIxdgtNo/edit?pli=1#gid=257618397"",""stock FAKTUR!B:C""),2,false)"),"KARTU STOCK KWARTO HIJAU")</f>
        <v>KARTU STOCK KWARTO HIJAU</v>
      </c>
      <c r="F242" s="53" t="str">
        <f>IFERROR(__xludf.DUMMYFUNCTION("vlookup($D242,IMPORTRANGE(""https://docs.google.com/spreadsheets/d/1swGwZOEqYlTEUCJLY-eeJM1911Kvaei5oySBIxdgtNo/edit?pli=1#gid=257618397"",""stock FAKTUR!B:d""),3,false)"),"A4")</f>
        <v>A4</v>
      </c>
      <c r="G242" s="53" t="str">
        <f>IFERROR(__xludf.DUMMYFUNCTION("vlookup($D242,IMPORTRANGE(""https://docs.google.com/spreadsheets/d/1swGwZOEqYlTEUCJLY-eeJM1911Kvaei5oySBIxdgtNo/edit?pli=1#gid=257618397"",""stock FAKTUR!B:e""),4,false)"),"HIJAU")</f>
        <v>HIJAU</v>
      </c>
      <c r="H242" s="53" t="str">
        <f>IFERROR(__xludf.DUMMYFUNCTION("vlookup($D242,IMPORTRANGE(""https://docs.google.com/spreadsheets/d/1swGwZOEqYlTEUCJLY-eeJM1911Kvaei5oySBIxdgtNo/edit?pli=1#gid=257618397"",""stock FAKTUR!B:F""),5,false)"),"NB")</f>
        <v>NB</v>
      </c>
      <c r="I242" s="53" t="str">
        <f>IFERROR(__xludf.DUMMYFUNCTION("vlookup($D242,IMPORTRANGE(""https://docs.google.com/spreadsheets/d/1swGwZOEqYlTEUCJLY-eeJM1911Kvaei5oySBIxdgtNo/edit?pli=1#gid=257618397"",""stock FAKTUR!B:G""),6,false)"),"")</f>
        <v/>
      </c>
      <c r="J242" s="120" t="str">
        <f t="shared" si="25"/>
        <v>ADA</v>
      </c>
      <c r="K242" s="142">
        <v>4.0</v>
      </c>
      <c r="L242" s="145" t="str">
        <f>IFERROR(__xludf.DUMMYFUNCTION("vlookup($D242,IMPORTRANGE(""https://docs.google.com/spreadsheets/d/1swGwZOEqYlTEUCJLY-eeJM1911Kvaei5oySBIxdgtNo/edit?pli=1#gid=257618397"",""stock FAKTUR!B:q""),16,false)"),"PAK")</f>
        <v>PAK</v>
      </c>
      <c r="M242" s="176">
        <v>22000.0</v>
      </c>
      <c r="N242" s="148" t="s">
        <v>4545</v>
      </c>
      <c r="O242" s="147">
        <f t="shared" si="2"/>
        <v>88000</v>
      </c>
      <c r="P242" s="147" t="str">
        <f t="shared" si="3"/>
        <v>Rp22,000-4 PAK-</v>
      </c>
      <c r="Q242" s="149">
        <v>45408.0</v>
      </c>
      <c r="R242" s="150"/>
      <c r="S242" s="149">
        <v>45416.0</v>
      </c>
      <c r="T242" s="151"/>
      <c r="U242" s="151"/>
      <c r="V242" s="151"/>
      <c r="W242" s="151"/>
    </row>
    <row r="243">
      <c r="A243" s="142">
        <v>132.0</v>
      </c>
      <c r="B243" s="143" t="str">
        <f t="shared" ref="B243:B245" si="69">IF(A243=A242,B242,"")</f>
        <v>A</v>
      </c>
      <c r="C243" s="143" t="str">
        <f t="shared" si="68"/>
        <v>SULUNG-SEMARANG</v>
      </c>
      <c r="D243" s="145" t="s">
        <v>4408</v>
      </c>
      <c r="E243" s="145" t="str">
        <f>IFERROR(__xludf.DUMMYFUNCTION("vlookup(D243,IMPORTRANGE(""https://docs.google.com/spreadsheets/d/1swGwZOEqYlTEUCJLY-eeJM1911Kvaei5oySBIxdgtNo/edit?pli=1#gid=257618397"",""stock FAKTUR!B:C""),2,false)"),"KARTU STOCK KWARTO KUNING")</f>
        <v>KARTU STOCK KWARTO KUNING</v>
      </c>
      <c r="F243" s="53" t="str">
        <f>IFERROR(__xludf.DUMMYFUNCTION("vlookup($D243,IMPORTRANGE(""https://docs.google.com/spreadsheets/d/1swGwZOEqYlTEUCJLY-eeJM1911Kvaei5oySBIxdgtNo/edit?pli=1#gid=257618397"",""stock FAKTUR!B:d""),3,false)"),"A4")</f>
        <v>A4</v>
      </c>
      <c r="G243" s="53" t="str">
        <f>IFERROR(__xludf.DUMMYFUNCTION("vlookup($D243,IMPORTRANGE(""https://docs.google.com/spreadsheets/d/1swGwZOEqYlTEUCJLY-eeJM1911Kvaei5oySBIxdgtNo/edit?pli=1#gid=257618397"",""stock FAKTUR!B:e""),4,false)"),"KUNING")</f>
        <v>KUNING</v>
      </c>
      <c r="H243" s="53" t="str">
        <f>IFERROR(__xludf.DUMMYFUNCTION("vlookup($D243,IMPORTRANGE(""https://docs.google.com/spreadsheets/d/1swGwZOEqYlTEUCJLY-eeJM1911Kvaei5oySBIxdgtNo/edit?pli=1#gid=257618397"",""stock FAKTUR!B:F""),5,false)"),"NB")</f>
        <v>NB</v>
      </c>
      <c r="I243" s="53" t="str">
        <f>IFERROR(__xludf.DUMMYFUNCTION("vlookup($D243,IMPORTRANGE(""https://docs.google.com/spreadsheets/d/1swGwZOEqYlTEUCJLY-eeJM1911Kvaei5oySBIxdgtNo/edit?pli=1#gid=257618397"",""stock FAKTUR!B:G""),6,false)"),"")</f>
        <v/>
      </c>
      <c r="J243" s="120" t="str">
        <f t="shared" si="25"/>
        <v>ADA</v>
      </c>
      <c r="K243" s="142">
        <v>4.0</v>
      </c>
      <c r="L243" s="145" t="str">
        <f>IFERROR(__xludf.DUMMYFUNCTION("vlookup($D243,IMPORTRANGE(""https://docs.google.com/spreadsheets/d/1swGwZOEqYlTEUCJLY-eeJM1911Kvaei5oySBIxdgtNo/edit?pli=1#gid=257618397"",""stock FAKTUR!B:q""),16,false)"),"PAK")</f>
        <v>PAK</v>
      </c>
      <c r="M243" s="176">
        <v>22000.0</v>
      </c>
      <c r="N243" s="148" t="s">
        <v>4545</v>
      </c>
      <c r="O243" s="147">
        <f t="shared" si="2"/>
        <v>88000</v>
      </c>
      <c r="P243" s="147" t="str">
        <f t="shared" si="3"/>
        <v>Rp22,000-4 PAK-</v>
      </c>
      <c r="Q243" s="149">
        <v>45408.0</v>
      </c>
      <c r="R243" s="150"/>
      <c r="S243" s="149">
        <v>45416.0</v>
      </c>
      <c r="T243" s="151"/>
      <c r="U243" s="151"/>
      <c r="V243" s="151"/>
      <c r="W243" s="151"/>
    </row>
    <row r="244">
      <c r="A244" s="142">
        <v>132.0</v>
      </c>
      <c r="B244" s="143" t="str">
        <f t="shared" si="69"/>
        <v>A</v>
      </c>
      <c r="C244" s="143" t="str">
        <f t="shared" si="68"/>
        <v>SULUNG-SEMARANG</v>
      </c>
      <c r="D244" s="145" t="s">
        <v>4409</v>
      </c>
      <c r="E244" s="145" t="str">
        <f>IFERROR(__xludf.DUMMYFUNCTION("vlookup(D244,IMPORTRANGE(""https://docs.google.com/spreadsheets/d/1swGwZOEqYlTEUCJLY-eeJM1911Kvaei5oySBIxdgtNo/edit?pli=1#gid=257618397"",""stock FAKTUR!B:C""),2,false)"),"KARTU STOCK KWARTO PUTIH")</f>
        <v>KARTU STOCK KWARTO PUTIH</v>
      </c>
      <c r="F244" s="53" t="str">
        <f>IFERROR(__xludf.DUMMYFUNCTION("vlookup($D244,IMPORTRANGE(""https://docs.google.com/spreadsheets/d/1swGwZOEqYlTEUCJLY-eeJM1911Kvaei5oySBIxdgtNo/edit?pli=1#gid=257618397"",""stock FAKTUR!B:d""),3,false)"),"A4")</f>
        <v>A4</v>
      </c>
      <c r="G244" s="53" t="str">
        <f>IFERROR(__xludf.DUMMYFUNCTION("vlookup($D244,IMPORTRANGE(""https://docs.google.com/spreadsheets/d/1swGwZOEqYlTEUCJLY-eeJM1911Kvaei5oySBIxdgtNo/edit?pli=1#gid=257618397"",""stock FAKTUR!B:e""),4,false)"),"PUTIH")</f>
        <v>PUTIH</v>
      </c>
      <c r="H244" s="53" t="str">
        <f>IFERROR(__xludf.DUMMYFUNCTION("vlookup($D244,IMPORTRANGE(""https://docs.google.com/spreadsheets/d/1swGwZOEqYlTEUCJLY-eeJM1911Kvaei5oySBIxdgtNo/edit?pli=1#gid=257618397"",""stock FAKTUR!B:F""),5,false)"),"NB")</f>
        <v>NB</v>
      </c>
      <c r="I244" s="53" t="str">
        <f>IFERROR(__xludf.DUMMYFUNCTION("vlookup($D244,IMPORTRANGE(""https://docs.google.com/spreadsheets/d/1swGwZOEqYlTEUCJLY-eeJM1911Kvaei5oySBIxdgtNo/edit?pli=1#gid=257618397"",""stock FAKTUR!B:G""),6,false)"),"")</f>
        <v/>
      </c>
      <c r="J244" s="120" t="str">
        <f t="shared" si="25"/>
        <v>ADA</v>
      </c>
      <c r="K244" s="142">
        <v>4.0</v>
      </c>
      <c r="L244" s="145" t="str">
        <f>IFERROR(__xludf.DUMMYFUNCTION("vlookup($D244,IMPORTRANGE(""https://docs.google.com/spreadsheets/d/1swGwZOEqYlTEUCJLY-eeJM1911Kvaei5oySBIxdgtNo/edit?pli=1#gid=257618397"",""stock FAKTUR!B:q""),16,false)"),"PAK")</f>
        <v>PAK</v>
      </c>
      <c r="M244" s="176">
        <v>22000.0</v>
      </c>
      <c r="N244" s="148" t="s">
        <v>4545</v>
      </c>
      <c r="O244" s="147">
        <f t="shared" si="2"/>
        <v>88000</v>
      </c>
      <c r="P244" s="147" t="str">
        <f t="shared" si="3"/>
        <v>Rp22,000-4 PAK-</v>
      </c>
      <c r="Q244" s="149">
        <v>45408.0</v>
      </c>
      <c r="R244" s="150"/>
      <c r="S244" s="149">
        <v>45416.0</v>
      </c>
      <c r="T244" s="151"/>
      <c r="U244" s="151"/>
      <c r="V244" s="151"/>
      <c r="W244" s="151"/>
    </row>
    <row r="245">
      <c r="A245" s="142">
        <v>132.0</v>
      </c>
      <c r="B245" s="143" t="str">
        <f t="shared" si="69"/>
        <v>A</v>
      </c>
      <c r="C245" s="143" t="str">
        <f t="shared" si="68"/>
        <v>SULUNG-SEMARANG</v>
      </c>
      <c r="D245" s="145" t="s">
        <v>4410</v>
      </c>
      <c r="E245" s="145" t="str">
        <f>IFERROR(__xludf.DUMMYFUNCTION("vlookup(D245,IMPORTRANGE(""https://docs.google.com/spreadsheets/d/1swGwZOEqYlTEUCJLY-eeJM1911Kvaei5oySBIxdgtNo/edit?pli=1#gid=257618397"",""stock FAKTUR!B:C""),2,false)"),"KARTU STOCK KWARTO BIRU")</f>
        <v>KARTU STOCK KWARTO BIRU</v>
      </c>
      <c r="F245" s="53" t="str">
        <f>IFERROR(__xludf.DUMMYFUNCTION("vlookup($D245,IMPORTRANGE(""https://docs.google.com/spreadsheets/d/1swGwZOEqYlTEUCJLY-eeJM1911Kvaei5oySBIxdgtNo/edit?pli=1#gid=257618397"",""stock FAKTUR!B:d""),3,false)"),"A4")</f>
        <v>A4</v>
      </c>
      <c r="G245" s="53" t="str">
        <f>IFERROR(__xludf.DUMMYFUNCTION("vlookup($D245,IMPORTRANGE(""https://docs.google.com/spreadsheets/d/1swGwZOEqYlTEUCJLY-eeJM1911Kvaei5oySBIxdgtNo/edit?pli=1#gid=257618397"",""stock FAKTUR!B:e""),4,false)"),"BIRU")</f>
        <v>BIRU</v>
      </c>
      <c r="H245" s="53" t="str">
        <f>IFERROR(__xludf.DUMMYFUNCTION("vlookup($D245,IMPORTRANGE(""https://docs.google.com/spreadsheets/d/1swGwZOEqYlTEUCJLY-eeJM1911Kvaei5oySBIxdgtNo/edit?pli=1#gid=257618397"",""stock FAKTUR!B:F""),5,false)"),"NB")</f>
        <v>NB</v>
      </c>
      <c r="I245" s="53" t="str">
        <f>IFERROR(__xludf.DUMMYFUNCTION("vlookup($D245,IMPORTRANGE(""https://docs.google.com/spreadsheets/d/1swGwZOEqYlTEUCJLY-eeJM1911Kvaei5oySBIxdgtNo/edit?pli=1#gid=257618397"",""stock FAKTUR!B:G""),6,false)"),"")</f>
        <v/>
      </c>
      <c r="J245" s="120" t="str">
        <f t="shared" si="25"/>
        <v>ADA</v>
      </c>
      <c r="K245" s="142">
        <v>4.0</v>
      </c>
      <c r="L245" s="145" t="str">
        <f>IFERROR(__xludf.DUMMYFUNCTION("vlookup($D245,IMPORTRANGE(""https://docs.google.com/spreadsheets/d/1swGwZOEqYlTEUCJLY-eeJM1911Kvaei5oySBIxdgtNo/edit?pli=1#gid=257618397"",""stock FAKTUR!B:q""),16,false)"),"PAK")</f>
        <v>PAK</v>
      </c>
      <c r="M245" s="176">
        <v>22000.0</v>
      </c>
      <c r="N245" s="148" t="s">
        <v>4545</v>
      </c>
      <c r="O245" s="147">
        <f t="shared" si="2"/>
        <v>88000</v>
      </c>
      <c r="P245" s="147" t="str">
        <f t="shared" si="3"/>
        <v>Rp22,000-4 PAK-</v>
      </c>
      <c r="Q245" s="149">
        <v>45408.0</v>
      </c>
      <c r="R245" s="150"/>
      <c r="S245" s="149">
        <v>45416.0</v>
      </c>
      <c r="T245" s="151"/>
      <c r="U245" s="151"/>
      <c r="V245" s="151"/>
      <c r="W245" s="151"/>
    </row>
    <row r="246">
      <c r="A246" s="142">
        <v>750.0</v>
      </c>
      <c r="B246" s="143" t="s">
        <v>33</v>
      </c>
      <c r="C246" s="143" t="s">
        <v>1879</v>
      </c>
      <c r="D246" s="145" t="s">
        <v>4404</v>
      </c>
      <c r="E246" s="145" t="str">
        <f>IFERROR(__xludf.DUMMYFUNCTION("vlookup(D246,IMPORTRANGE(""https://docs.google.com/spreadsheets/d/1swGwZOEqYlTEUCJLY-eeJM1911Kvaei5oySBIxdgtNo/edit?pli=1#gid=257618397"",""stock FAKTUR!B:C""),2,false)"),"BENSIA SF 9925 A PLUIT (1 box=24 pcs)")</f>
        <v>BENSIA SF 9925 A PLUIT (1 box=24 pcs)</v>
      </c>
      <c r="F246" s="53" t="str">
        <f>IFERROR(__xludf.DUMMYFUNCTION("vlookup($D246,IMPORTRANGE(""https://docs.google.com/spreadsheets/d/1swGwZOEqYlTEUCJLY-eeJM1911Kvaei5oySBIxdgtNo/edit?pli=1#gid=257618397"",""stock FAKTUR!B:d""),3,false)"),"")</f>
        <v/>
      </c>
      <c r="G246" s="53" t="str">
        <f>IFERROR(__xludf.DUMMYFUNCTION("vlookup($D246,IMPORTRANGE(""https://docs.google.com/spreadsheets/d/1swGwZOEqYlTEUCJLY-eeJM1911Kvaei5oySBIxdgtNo/edit?pli=1#gid=257618397"",""stock FAKTUR!B:e""),4,false)"),"PLUIT")</f>
        <v>PLUIT</v>
      </c>
      <c r="H246" s="53" t="str">
        <f>IFERROR(__xludf.DUMMYFUNCTION("vlookup($D246,IMPORTRANGE(""https://docs.google.com/spreadsheets/d/1swGwZOEqYlTEUCJLY-eeJM1911Kvaei5oySBIxdgtNo/edit?pli=1#gid=257618397"",""stock FAKTUR!B:F""),5,false)"),"NB")</f>
        <v>NB</v>
      </c>
      <c r="I246" s="53" t="str">
        <f>IFERROR(__xludf.DUMMYFUNCTION("vlookup($D246,IMPORTRANGE(""https://docs.google.com/spreadsheets/d/1swGwZOEqYlTEUCJLY-eeJM1911Kvaei5oySBIxdgtNo/edit?pli=1#gid=257618397"",""stock FAKTUR!B:G""),6,false)"),"9925A")</f>
        <v>9925A</v>
      </c>
      <c r="J246" s="120" t="str">
        <f t="shared" si="25"/>
        <v>ADA</v>
      </c>
      <c r="K246" s="142">
        <v>5.0</v>
      </c>
      <c r="L246" s="145" t="str">
        <f>IFERROR(__xludf.DUMMYFUNCTION("vlookup($D246,IMPORTRANGE(""https://docs.google.com/spreadsheets/d/1swGwZOEqYlTEUCJLY-eeJM1911Kvaei5oySBIxdgtNo/edit?pli=1#gid=257618397"",""stock FAKTUR!B:q""),16,false)"),"BOX")</f>
        <v>BOX</v>
      </c>
      <c r="M246" s="176">
        <f>60000</f>
        <v>60000</v>
      </c>
      <c r="N246" s="152">
        <v>0.1</v>
      </c>
      <c r="O246" s="147">
        <f>(K246*M246)-((M246*K246)*N246)-13500</f>
        <v>256500</v>
      </c>
      <c r="P246" s="147" t="str">
        <f t="shared" si="3"/>
        <v>Rp60,000-5 BOX-10.00%</v>
      </c>
      <c r="Q246" s="149">
        <v>45412.0</v>
      </c>
      <c r="R246" s="150"/>
      <c r="S246" s="149">
        <v>45416.0</v>
      </c>
      <c r="T246" s="151"/>
      <c r="U246" s="151"/>
      <c r="V246" s="151"/>
      <c r="W246" s="151"/>
    </row>
    <row r="247">
      <c r="A247" s="142">
        <v>750.0</v>
      </c>
      <c r="B247" s="143" t="str">
        <f t="shared" ref="B247:B253" si="70">IF(A247=A246,B246,"")</f>
        <v>H</v>
      </c>
      <c r="C247" s="143" t="str">
        <f t="shared" ref="C247:C253" si="71">IF(A247=A246,C246,"")</f>
        <v>RITA-PURWOKERTO</v>
      </c>
      <c r="D247" s="145" t="s">
        <v>4553</v>
      </c>
      <c r="E247" s="145" t="str">
        <f>IFERROR(__xludf.DUMMYFUNCTION("vlookup(D247,IMPORTRANGE(""https://docs.google.com/spreadsheets/d/1swGwZOEqYlTEUCJLY-eeJM1911Kvaei5oySBIxdgtNo/edit?pli=1#gid=257618397"",""stock FAKTUR!B:C""),2,false)"),"GARISAN SET ZX 6116")</f>
        <v>GARISAN SET ZX 6116</v>
      </c>
      <c r="F247" s="53" t="str">
        <f>IFERROR(__xludf.DUMMYFUNCTION("vlookup($D247,IMPORTRANGE(""https://docs.google.com/spreadsheets/d/1swGwZOEqYlTEUCJLY-eeJM1911Kvaei5oySBIxdgtNo/edit?pli=1#gid=257618397"",""stock FAKTUR!B:d""),3,false)"),"")</f>
        <v/>
      </c>
      <c r="G247" s="53" t="str">
        <f>IFERROR(__xludf.DUMMYFUNCTION("vlookup($D247,IMPORTRANGE(""https://docs.google.com/spreadsheets/d/1swGwZOEqYlTEUCJLY-eeJM1911Kvaei5oySBIxdgtNo/edit?pli=1#gid=257618397"",""stock FAKTUR!B:e""),4,false)"),"")</f>
        <v/>
      </c>
      <c r="H247" s="53" t="str">
        <f>IFERROR(__xludf.DUMMYFUNCTION("vlookup($D247,IMPORTRANGE(""https://docs.google.com/spreadsheets/d/1swGwZOEqYlTEUCJLY-eeJM1911Kvaei5oySBIxdgtNo/edit?pli=1#gid=257618397"",""stock FAKTUR!B:F""),5,false)"),"ZX")</f>
        <v>ZX</v>
      </c>
      <c r="I247" s="53" t="str">
        <f>IFERROR(__xludf.DUMMYFUNCTION("vlookup($D247,IMPORTRANGE(""https://docs.google.com/spreadsheets/d/1swGwZOEqYlTEUCJLY-eeJM1911Kvaei5oySBIxdgtNo/edit?pli=1#gid=257618397"",""stock FAKTUR!B:G""),6,false)"),"6116")</f>
        <v>6116</v>
      </c>
      <c r="J247" s="120" t="str">
        <f t="shared" si="25"/>
        <v>ADA</v>
      </c>
      <c r="K247" s="142">
        <v>3.0</v>
      </c>
      <c r="L247" s="145" t="str">
        <f>IFERROR(__xludf.DUMMYFUNCTION("vlookup($D247,IMPORTRANGE(""https://docs.google.com/spreadsheets/d/1swGwZOEqYlTEUCJLY-eeJM1911Kvaei5oySBIxdgtNo/edit?pli=1#gid=257618397"",""stock FAKTUR!B:q""),16,false)"),"SET")</f>
        <v>SET</v>
      </c>
      <c r="M247" s="176">
        <v>240000.0</v>
      </c>
      <c r="N247" s="152">
        <v>0.1</v>
      </c>
      <c r="O247" s="147">
        <f>(K247*M247)-((M247*K247)*N247)-32400</f>
        <v>615600</v>
      </c>
      <c r="P247" s="147" t="str">
        <f t="shared" si="3"/>
        <v>Rp240,000-3 SET-10.00%</v>
      </c>
      <c r="Q247" s="149">
        <v>45412.0</v>
      </c>
      <c r="R247" s="150"/>
      <c r="S247" s="149">
        <v>45416.0</v>
      </c>
      <c r="T247" s="151"/>
      <c r="U247" s="151"/>
      <c r="V247" s="151"/>
      <c r="W247" s="151"/>
    </row>
    <row r="248">
      <c r="A248" s="153">
        <v>750.0</v>
      </c>
      <c r="B248" s="144" t="str">
        <f t="shared" si="70"/>
        <v>H</v>
      </c>
      <c r="C248" s="144" t="str">
        <f t="shared" si="71"/>
        <v>RITA-PURWOKERTO</v>
      </c>
      <c r="D248" s="180" t="s">
        <v>4549</v>
      </c>
      <c r="E248" s="145" t="str">
        <f>IFERROR(__xludf.DUMMYFUNCTION("vlookup(D248,IMPORTRANGE(""https://docs.google.com/spreadsheets/d/1swGwZOEqYlTEUCJLY-eeJM1911Kvaei5oySBIxdgtNo/edit?pli=1#gid=257618397"",""stock FAKTUR!B:C""),2,false)"),"DOUBLE FOAM POLAR SP 015")</f>
        <v>DOUBLE FOAM POLAR SP 015</v>
      </c>
      <c r="F248" s="53" t="str">
        <f>IFERROR(__xludf.DUMMYFUNCTION("vlookup($D248,IMPORTRANGE(""https://docs.google.com/spreadsheets/d/1swGwZOEqYlTEUCJLY-eeJM1911Kvaei5oySBIxdgtNo/edit?pli=1#gid=257618397"",""stock FAKTUR!B:d""),3,false)"),"")</f>
        <v/>
      </c>
      <c r="G248" s="53" t="str">
        <f>IFERROR(__xludf.DUMMYFUNCTION("vlookup($D248,IMPORTRANGE(""https://docs.google.com/spreadsheets/d/1swGwZOEqYlTEUCJLY-eeJM1911Kvaei5oySBIxdgtNo/edit?pli=1#gid=257618397"",""stock FAKTUR!B:e""),4,false)"),"")</f>
        <v/>
      </c>
      <c r="H248" s="53" t="str">
        <f>IFERROR(__xludf.DUMMYFUNCTION("vlookup($D248,IMPORTRANGE(""https://docs.google.com/spreadsheets/d/1swGwZOEqYlTEUCJLY-eeJM1911Kvaei5oySBIxdgtNo/edit?pli=1#gid=257618397"",""stock FAKTUR!B:F""),5,false)"),"PO")</f>
        <v>PO</v>
      </c>
      <c r="I248" s="53" t="str">
        <f>IFERROR(__xludf.DUMMYFUNCTION("vlookup($D248,IMPORTRANGE(""https://docs.google.com/spreadsheets/d/1swGwZOEqYlTEUCJLY-eeJM1911Kvaei5oySBIxdgtNo/edit?pli=1#gid=257618397"",""stock FAKTUR!B:G""),6,false)"),"SP 015")</f>
        <v>SP 015</v>
      </c>
      <c r="J248" s="120" t="str">
        <f t="shared" si="25"/>
        <v>ADA</v>
      </c>
      <c r="K248" s="153">
        <v>2.0</v>
      </c>
      <c r="L248" s="145" t="str">
        <f>IFERROR(__xludf.DUMMYFUNCTION("vlookup($D248,IMPORTRANGE(""https://docs.google.com/spreadsheets/d/1swGwZOEqYlTEUCJLY-eeJM1911Kvaei5oySBIxdgtNo/edit?pli=1#gid=257618397"",""stock FAKTUR!B:q""),16,false)"),"LSN")</f>
        <v>LSN</v>
      </c>
      <c r="M248" s="181">
        <v>50000.0</v>
      </c>
      <c r="N248" s="156">
        <v>0.1</v>
      </c>
      <c r="O248" s="155">
        <f>(K248*M248)-((M248*K248)*N248)-4500</f>
        <v>85500</v>
      </c>
      <c r="P248" s="155" t="str">
        <f t="shared" si="3"/>
        <v>Rp50,000-2 LSN-10.00%</v>
      </c>
      <c r="Q248" s="157">
        <v>45412.0</v>
      </c>
      <c r="R248" s="158"/>
      <c r="S248" s="157">
        <v>45416.0</v>
      </c>
      <c r="T248" s="145" t="s">
        <v>4550</v>
      </c>
      <c r="U248" s="145" t="s">
        <v>4390</v>
      </c>
      <c r="V248" s="145"/>
      <c r="W248" s="159"/>
    </row>
    <row r="249">
      <c r="A249" s="153">
        <v>750.0</v>
      </c>
      <c r="B249" s="144" t="str">
        <f t="shared" si="70"/>
        <v>H</v>
      </c>
      <c r="C249" s="144" t="str">
        <f t="shared" si="71"/>
        <v>RITA-PURWOKERTO</v>
      </c>
      <c r="D249" s="180" t="s">
        <v>4551</v>
      </c>
      <c r="E249" s="145" t="str">
        <f>IFERROR(__xludf.DUMMYFUNCTION("vlookup(D249,IMPORTRANGE(""https://docs.google.com/spreadsheets/d/1swGwZOEqYlTEUCJLY-eeJM1911Kvaei5oySBIxdgtNo/edit?pli=1#gid=257618397"",""stock FAKTUR!B:C""),2,false)"),"DOUBLE FOAM POLAR SP 016")</f>
        <v>DOUBLE FOAM POLAR SP 016</v>
      </c>
      <c r="F249" s="53" t="str">
        <f>IFERROR(__xludf.DUMMYFUNCTION("vlookup($D249,IMPORTRANGE(""https://docs.google.com/spreadsheets/d/1swGwZOEqYlTEUCJLY-eeJM1911Kvaei5oySBIxdgtNo/edit?pli=1#gid=257618397"",""stock FAKTUR!B:d""),3,false)"),"")</f>
        <v/>
      </c>
      <c r="G249" s="53" t="str">
        <f>IFERROR(__xludf.DUMMYFUNCTION("vlookup($D249,IMPORTRANGE(""https://docs.google.com/spreadsheets/d/1swGwZOEqYlTEUCJLY-eeJM1911Kvaei5oySBIxdgtNo/edit?pli=1#gid=257618397"",""stock FAKTUR!B:e""),4,false)"),"")</f>
        <v/>
      </c>
      <c r="H249" s="53" t="str">
        <f>IFERROR(__xludf.DUMMYFUNCTION("vlookup($D249,IMPORTRANGE(""https://docs.google.com/spreadsheets/d/1swGwZOEqYlTEUCJLY-eeJM1911Kvaei5oySBIxdgtNo/edit?pli=1#gid=257618397"",""stock FAKTUR!B:F""),5,false)"),"PO")</f>
        <v>PO</v>
      </c>
      <c r="I249" s="53" t="str">
        <f>IFERROR(__xludf.DUMMYFUNCTION("vlookup($D249,IMPORTRANGE(""https://docs.google.com/spreadsheets/d/1swGwZOEqYlTEUCJLY-eeJM1911Kvaei5oySBIxdgtNo/edit?pli=1#gid=257618397"",""stock FAKTUR!B:G""),6,false)"),"SP 016")</f>
        <v>SP 016</v>
      </c>
      <c r="J249" s="120" t="str">
        <f t="shared" si="25"/>
        <v>ADA</v>
      </c>
      <c r="K249" s="153">
        <v>2.0</v>
      </c>
      <c r="L249" s="145" t="str">
        <f>IFERROR(__xludf.DUMMYFUNCTION("vlookup($D249,IMPORTRANGE(""https://docs.google.com/spreadsheets/d/1swGwZOEqYlTEUCJLY-eeJM1911Kvaei5oySBIxdgtNo/edit?pli=1#gid=257618397"",""stock FAKTUR!B:q""),16,false)"),"LSN")</f>
        <v>LSN</v>
      </c>
      <c r="M249" s="181">
        <v>72000.0</v>
      </c>
      <c r="N249" s="156">
        <v>0.1</v>
      </c>
      <c r="O249" s="155">
        <f>(K249*M249)-((M249*K249)*N249)-6480</f>
        <v>123120</v>
      </c>
      <c r="P249" s="155" t="str">
        <f t="shared" si="3"/>
        <v>Rp72,000-2 LSN-10.00%</v>
      </c>
      <c r="Q249" s="157">
        <v>45412.0</v>
      </c>
      <c r="R249" s="158"/>
      <c r="S249" s="157">
        <v>45416.0</v>
      </c>
      <c r="T249" s="145" t="s">
        <v>4550</v>
      </c>
      <c r="U249" s="145" t="s">
        <v>4390</v>
      </c>
      <c r="V249" s="145"/>
      <c r="W249" s="159"/>
    </row>
    <row r="250">
      <c r="A250" s="153">
        <v>750.0</v>
      </c>
      <c r="B250" s="144" t="str">
        <f t="shared" si="70"/>
        <v>H</v>
      </c>
      <c r="C250" s="144" t="str">
        <f t="shared" si="71"/>
        <v>RITA-PURWOKERTO</v>
      </c>
      <c r="D250" s="180" t="s">
        <v>4552</v>
      </c>
      <c r="E250" s="145" t="str">
        <f>IFERROR(__xludf.DUMMYFUNCTION("vlookup(D250,IMPORTRANGE(""https://docs.google.com/spreadsheets/d/1swGwZOEqYlTEUCJLY-eeJM1911Kvaei5oySBIxdgtNo/edit?pli=1#gid=257618397"",""stock FAKTUR!B:C""),2,false)"),"DOUBLE FOAM POLAR SP 017")</f>
        <v>DOUBLE FOAM POLAR SP 017</v>
      </c>
      <c r="F250" s="53" t="str">
        <f>IFERROR(__xludf.DUMMYFUNCTION("vlookup($D250,IMPORTRANGE(""https://docs.google.com/spreadsheets/d/1swGwZOEqYlTEUCJLY-eeJM1911Kvaei5oySBIxdgtNo/edit?pli=1#gid=257618397"",""stock FAKTUR!B:d""),3,false)"),"")</f>
        <v/>
      </c>
      <c r="G250" s="53" t="str">
        <f>IFERROR(__xludf.DUMMYFUNCTION("vlookup($D250,IMPORTRANGE(""https://docs.google.com/spreadsheets/d/1swGwZOEqYlTEUCJLY-eeJM1911Kvaei5oySBIxdgtNo/edit?pli=1#gid=257618397"",""stock FAKTUR!B:e""),4,false)"),"")</f>
        <v/>
      </c>
      <c r="H250" s="53" t="str">
        <f>IFERROR(__xludf.DUMMYFUNCTION("vlookup($D250,IMPORTRANGE(""https://docs.google.com/spreadsheets/d/1swGwZOEqYlTEUCJLY-eeJM1911Kvaei5oySBIxdgtNo/edit?pli=1#gid=257618397"",""stock FAKTUR!B:F""),5,false)"),"PO")</f>
        <v>PO</v>
      </c>
      <c r="I250" s="53" t="str">
        <f>IFERROR(__xludf.DUMMYFUNCTION("vlookup($D250,IMPORTRANGE(""https://docs.google.com/spreadsheets/d/1swGwZOEqYlTEUCJLY-eeJM1911Kvaei5oySBIxdgtNo/edit?pli=1#gid=257618397"",""stock FAKTUR!B:G""),6,false)"),"SP 017")</f>
        <v>SP 017</v>
      </c>
      <c r="J250" s="120" t="str">
        <f t="shared" si="25"/>
        <v>ADA</v>
      </c>
      <c r="K250" s="153">
        <v>2.0</v>
      </c>
      <c r="L250" s="145" t="str">
        <f>IFERROR(__xludf.DUMMYFUNCTION("vlookup($D250,IMPORTRANGE(""https://docs.google.com/spreadsheets/d/1swGwZOEqYlTEUCJLY-eeJM1911Kvaei5oySBIxdgtNo/edit?pli=1#gid=257618397"",""stock FAKTUR!B:q""),16,false)"),"LSN")</f>
        <v>LSN</v>
      </c>
      <c r="M250" s="181">
        <v>100000.0</v>
      </c>
      <c r="N250" s="156">
        <v>0.1</v>
      </c>
      <c r="O250" s="155">
        <f>(K250*M250)-((M250*K250)*N250)-9000</f>
        <v>171000</v>
      </c>
      <c r="P250" s="155" t="str">
        <f t="shared" si="3"/>
        <v>Rp100,000-2 LSN-10.00%</v>
      </c>
      <c r="Q250" s="157">
        <v>45412.0</v>
      </c>
      <c r="R250" s="158"/>
      <c r="S250" s="157">
        <v>45416.0</v>
      </c>
      <c r="T250" s="145" t="s">
        <v>4550</v>
      </c>
      <c r="U250" s="145" t="s">
        <v>4390</v>
      </c>
      <c r="V250" s="145"/>
      <c r="W250" s="159"/>
    </row>
    <row r="251">
      <c r="A251" s="142">
        <v>750.0</v>
      </c>
      <c r="B251" s="143" t="str">
        <f t="shared" si="70"/>
        <v>H</v>
      </c>
      <c r="C251" s="143" t="str">
        <f t="shared" si="71"/>
        <v>RITA-PURWOKERTO</v>
      </c>
      <c r="D251" s="145" t="s">
        <v>4525</v>
      </c>
      <c r="E251" s="145" t="str">
        <f>IFERROR(__xludf.DUMMYFUNCTION("vlookup(D251,IMPORTRANGE(""https://docs.google.com/spreadsheets/d/1swGwZOEqYlTEUCJLY-eeJM1911Kvaei5oySBIxdgtNo/edit?pli=1#gid=257618397"",""stock FAKTUR!B:C""),2,false)"),"DISPENSER MN-305 POLAR BEAR ")</f>
        <v>DISPENSER MN-305 POLAR BEAR </v>
      </c>
      <c r="F251" s="53" t="str">
        <f>IFERROR(__xludf.DUMMYFUNCTION("vlookup($D251,IMPORTRANGE(""https://docs.google.com/spreadsheets/d/1swGwZOEqYlTEUCJLY-eeJM1911Kvaei5oySBIxdgtNo/edit?pli=1#gid=257618397"",""stock FAKTUR!B:d""),3,false)"),"")</f>
        <v/>
      </c>
      <c r="G251" s="53" t="str">
        <f>IFERROR(__xludf.DUMMYFUNCTION("vlookup($D251,IMPORTRANGE(""https://docs.google.com/spreadsheets/d/1swGwZOEqYlTEUCJLY-eeJM1911Kvaei5oySBIxdgtNo/edit?pli=1#gid=257618397"",""stock FAKTUR!B:e""),4,false)"),"")</f>
        <v/>
      </c>
      <c r="H251" s="53" t="str">
        <f>IFERROR(__xludf.DUMMYFUNCTION("vlookup($D251,IMPORTRANGE(""https://docs.google.com/spreadsheets/d/1swGwZOEqYlTEUCJLY-eeJM1911Kvaei5oySBIxdgtNo/edit?pli=1#gid=257618397"",""stock FAKTUR!B:F""),5,false)"),"NB")</f>
        <v>NB</v>
      </c>
      <c r="I251" s="53" t="str">
        <f>IFERROR(__xludf.DUMMYFUNCTION("vlookup($D251,IMPORTRANGE(""https://docs.google.com/spreadsheets/d/1swGwZOEqYlTEUCJLY-eeJM1911Kvaei5oySBIxdgtNo/edit?pli=1#gid=257618397"",""stock FAKTUR!B:G""),6,false)"),"MN-305")</f>
        <v>MN-305</v>
      </c>
      <c r="J251" s="120" t="str">
        <f t="shared" si="25"/>
        <v>ADA</v>
      </c>
      <c r="K251" s="142">
        <v>3.0</v>
      </c>
      <c r="L251" s="145" t="str">
        <f>IFERROR(__xludf.DUMMYFUNCTION("vlookup($D251,IMPORTRANGE(""https://docs.google.com/spreadsheets/d/1swGwZOEqYlTEUCJLY-eeJM1911Kvaei5oySBIxdgtNo/edit?pli=1#gid=257618397"",""stock FAKTUR!B:q""),16,false)"),"LSN")</f>
        <v>LSN</v>
      </c>
      <c r="M251" s="176">
        <v>120000.0</v>
      </c>
      <c r="N251" s="152">
        <v>0.1</v>
      </c>
      <c r="O251" s="147">
        <f>(K251*M251)-((M251*K251)*N251)-16200</f>
        <v>307800</v>
      </c>
      <c r="P251" s="147" t="str">
        <f t="shared" si="3"/>
        <v>Rp120,000-3 LSN-10.00%</v>
      </c>
      <c r="Q251" s="149">
        <v>45412.0</v>
      </c>
      <c r="R251" s="150"/>
      <c r="S251" s="149">
        <v>45416.0</v>
      </c>
      <c r="T251" s="151"/>
      <c r="U251" s="151"/>
      <c r="V251" s="151"/>
      <c r="W251" s="151"/>
    </row>
    <row r="252">
      <c r="A252" s="142">
        <v>750.0</v>
      </c>
      <c r="B252" s="143" t="str">
        <f t="shared" si="70"/>
        <v>H</v>
      </c>
      <c r="C252" s="143" t="str">
        <f t="shared" si="71"/>
        <v>RITA-PURWOKERTO</v>
      </c>
      <c r="D252" s="145" t="s">
        <v>4554</v>
      </c>
      <c r="E252" s="145" t="str">
        <f>IFERROR(__xludf.DUMMYFUNCTION("vlookup(D252,IMPORTRANGE(""https://docs.google.com/spreadsheets/d/1swGwZOEqYlTEUCJLY-eeJM1911Kvaei5oySBIxdgtNo/edit?pli=1#gid=257618397"",""stock FAKTUR!B:C""),2,false)"),"MAP DLL-229")</f>
        <v>MAP DLL-229</v>
      </c>
      <c r="F252" s="53" t="str">
        <f>IFERROR(__xludf.DUMMYFUNCTION("vlookup($D252,IMPORTRANGE(""https://docs.google.com/spreadsheets/d/1swGwZOEqYlTEUCJLY-eeJM1911Kvaei5oySBIxdgtNo/edit?pli=1#gid=257618397"",""stock FAKTUR!B:d""),3,false)"),"")</f>
        <v/>
      </c>
      <c r="G252" s="53" t="str">
        <f>IFERROR(__xludf.DUMMYFUNCTION("vlookup($D252,IMPORTRANGE(""https://docs.google.com/spreadsheets/d/1swGwZOEqYlTEUCJLY-eeJM1911Kvaei5oySBIxdgtNo/edit?pli=1#gid=257618397"",""stock FAKTUR!B:e""),4,false)"),"")</f>
        <v/>
      </c>
      <c r="H252" s="53" t="str">
        <f>IFERROR(__xludf.DUMMYFUNCTION("vlookup($D252,IMPORTRANGE(""https://docs.google.com/spreadsheets/d/1swGwZOEqYlTEUCJLY-eeJM1911Kvaei5oySBIxdgtNo/edit?pli=1#gid=257618397"",""stock FAKTUR!B:F""),5,false)"),"NB")</f>
        <v>NB</v>
      </c>
      <c r="I252" s="53" t="str">
        <f>IFERROR(__xludf.DUMMYFUNCTION("vlookup($D252,IMPORTRANGE(""https://docs.google.com/spreadsheets/d/1swGwZOEqYlTEUCJLY-eeJM1911Kvaei5oySBIxdgtNo/edit?pli=1#gid=257618397"",""stock FAKTUR!B:G""),6,false)"),"DLL-229")</f>
        <v>DLL-229</v>
      </c>
      <c r="J252" s="120" t="str">
        <f t="shared" si="25"/>
        <v>ADA</v>
      </c>
      <c r="K252" s="142">
        <v>6.0</v>
      </c>
      <c r="L252" s="145" t="str">
        <f>IFERROR(__xludf.DUMMYFUNCTION("vlookup($D252,IMPORTRANGE(""https://docs.google.com/spreadsheets/d/1swGwZOEqYlTEUCJLY-eeJM1911Kvaei5oySBIxdgtNo/edit?pli=1#gid=257618397"",""stock FAKTUR!B:q""),16,false)"),"LSN")</f>
        <v>LSN</v>
      </c>
      <c r="M252" s="176">
        <v>70000.0</v>
      </c>
      <c r="N252" s="152">
        <v>0.1</v>
      </c>
      <c r="O252" s="147">
        <f t="shared" ref="O252:O253" si="72">(K252*M252)-((M252*K252)*N252)-18900</f>
        <v>359100</v>
      </c>
      <c r="P252" s="147" t="str">
        <f t="shared" si="3"/>
        <v>Rp70,000-6 LSN-10.00%</v>
      </c>
      <c r="Q252" s="149">
        <v>45412.0</v>
      </c>
      <c r="R252" s="150"/>
      <c r="S252" s="149">
        <v>45416.0</v>
      </c>
      <c r="T252" s="151"/>
      <c r="U252" s="151"/>
      <c r="V252" s="151"/>
      <c r="W252" s="151"/>
    </row>
    <row r="253">
      <c r="A253" s="142">
        <v>750.0</v>
      </c>
      <c r="B253" s="143" t="str">
        <f t="shared" si="70"/>
        <v>H</v>
      </c>
      <c r="C253" s="143" t="str">
        <f t="shared" si="71"/>
        <v>RITA-PURWOKERTO</v>
      </c>
      <c r="D253" s="145" t="s">
        <v>4555</v>
      </c>
      <c r="E253" s="145" t="str">
        <f>IFERROR(__xludf.DUMMYFUNCTION("vlookup(D253,IMPORTRANGE(""https://docs.google.com/spreadsheets/d/1swGwZOEqYlTEUCJLY-eeJM1911Kvaei5oySBIxdgtNo/edit?pli=1#gid=257618397"",""stock FAKTUR!B:C""),2,false)"),"MAP DLL-204 SA (A4)")</f>
        <v>MAP DLL-204 SA (A4)</v>
      </c>
      <c r="F253" s="53" t="str">
        <f>IFERROR(__xludf.DUMMYFUNCTION("vlookup($D253,IMPORTRANGE(""https://docs.google.com/spreadsheets/d/1swGwZOEqYlTEUCJLY-eeJM1911Kvaei5oySBIxdgtNo/edit?pli=1#gid=257618397"",""stock FAKTUR!B:d""),3,false)"),"")</f>
        <v/>
      </c>
      <c r="G253" s="53" t="str">
        <f>IFERROR(__xludf.DUMMYFUNCTION("vlookup($D253,IMPORTRANGE(""https://docs.google.com/spreadsheets/d/1swGwZOEqYlTEUCJLY-eeJM1911Kvaei5oySBIxdgtNo/edit?pli=1#gid=257618397"",""stock FAKTUR!B:e""),4,false)"),"")</f>
        <v/>
      </c>
      <c r="H253" s="53" t="str">
        <f>IFERROR(__xludf.DUMMYFUNCTION("vlookup($D253,IMPORTRANGE(""https://docs.google.com/spreadsheets/d/1swGwZOEqYlTEUCJLY-eeJM1911Kvaei5oySBIxdgtNo/edit?pli=1#gid=257618397"",""stock FAKTUR!B:F""),5,false)"),"NB")</f>
        <v>NB</v>
      </c>
      <c r="I253" s="53" t="str">
        <f>IFERROR(__xludf.DUMMYFUNCTION("vlookup($D253,IMPORTRANGE(""https://docs.google.com/spreadsheets/d/1swGwZOEqYlTEUCJLY-eeJM1911Kvaei5oySBIxdgtNo/edit?pli=1#gid=257618397"",""stock FAKTUR!B:G""),6,false)"),"DLL-204")</f>
        <v>DLL-204</v>
      </c>
      <c r="J253" s="120" t="str">
        <f t="shared" si="25"/>
        <v>ADA</v>
      </c>
      <c r="K253" s="142">
        <v>6.0</v>
      </c>
      <c r="L253" s="145" t="str">
        <f>IFERROR(__xludf.DUMMYFUNCTION("vlookup($D253,IMPORTRANGE(""https://docs.google.com/spreadsheets/d/1swGwZOEqYlTEUCJLY-eeJM1911Kvaei5oySBIxdgtNo/edit?pli=1#gid=257618397"",""stock FAKTUR!B:q""),16,false)"),"LSN")</f>
        <v>LSN</v>
      </c>
      <c r="M253" s="176">
        <v>70000.0</v>
      </c>
      <c r="N253" s="152">
        <v>0.1</v>
      </c>
      <c r="O253" s="147">
        <f t="shared" si="72"/>
        <v>359100</v>
      </c>
      <c r="P253" s="147" t="str">
        <f t="shared" si="3"/>
        <v>Rp70,000-6 LSN-10.00%</v>
      </c>
      <c r="Q253" s="149">
        <v>45412.0</v>
      </c>
      <c r="R253" s="150"/>
      <c r="S253" s="149">
        <v>45416.0</v>
      </c>
      <c r="T253" s="151"/>
      <c r="U253" s="151"/>
      <c r="V253" s="151"/>
      <c r="W253" s="151"/>
    </row>
    <row r="254">
      <c r="A254" s="142">
        <v>4688.0</v>
      </c>
      <c r="B254" s="143" t="s">
        <v>33</v>
      </c>
      <c r="C254" s="143" t="s">
        <v>3684</v>
      </c>
      <c r="D254" s="145" t="s">
        <v>4483</v>
      </c>
      <c r="E254" s="145" t="str">
        <f>IFERROR(__xludf.DUMMYFUNCTION("vlookup(D254,IMPORTRANGE(""https://docs.google.com/spreadsheets/d/1swGwZOEqYlTEUCJLY-eeJM1911Kvaei5oySBIxdgtNo/edit?pli=1#gid=257618397"",""stock FAKTUR!B:C""),2,false)"),"LEM STICK KENKO 15GR TANGGUNG")</f>
        <v>LEM STICK KENKO 15GR TANGGUNG</v>
      </c>
      <c r="F254" s="53" t="str">
        <f>IFERROR(__xludf.DUMMYFUNCTION("vlookup($D254,IMPORTRANGE(""https://docs.google.com/spreadsheets/d/1swGwZOEqYlTEUCJLY-eeJM1911Kvaei5oySBIxdgtNo/edit?pli=1#gid=257618397"",""stock FAKTUR!B:d""),3,false)"),"T")</f>
        <v>T</v>
      </c>
      <c r="G254" s="53" t="str">
        <f>IFERROR(__xludf.DUMMYFUNCTION("vlookup($D254,IMPORTRANGE(""https://docs.google.com/spreadsheets/d/1swGwZOEqYlTEUCJLY-eeJM1911Kvaei5oySBIxdgtNo/edit?pli=1#gid=257618397"",""stock FAKTUR!B:e""),4,false)"),"")</f>
        <v/>
      </c>
      <c r="H254" s="53" t="str">
        <f>IFERROR(__xludf.DUMMYFUNCTION("vlookup($D254,IMPORTRANGE(""https://docs.google.com/spreadsheets/d/1swGwZOEqYlTEUCJLY-eeJM1911Kvaei5oySBIxdgtNo/edit?pli=1#gid=257618397"",""stock FAKTUR!B:F""),5,false)"),"KN")</f>
        <v>KN</v>
      </c>
      <c r="I254" s="53" t="str">
        <f>IFERROR(__xludf.DUMMYFUNCTION("vlookup($D254,IMPORTRANGE(""https://docs.google.com/spreadsheets/d/1swGwZOEqYlTEUCJLY-eeJM1911Kvaei5oySBIxdgtNo/edit?pli=1#gid=257618397"",""stock FAKTUR!B:G""),6,false)"),"GST-002GA")</f>
        <v>GST-002GA</v>
      </c>
      <c r="J254" s="120" t="str">
        <f t="shared" si="25"/>
        <v>ADA</v>
      </c>
      <c r="K254" s="142">
        <v>36.0</v>
      </c>
      <c r="L254" s="145" t="str">
        <f>IFERROR(__xludf.DUMMYFUNCTION("vlookup($D254,IMPORTRANGE(""https://docs.google.com/spreadsheets/d/1swGwZOEqYlTEUCJLY-eeJM1911Kvaei5oySBIxdgtNo/edit?pli=1#gid=257618397"",""stock FAKTUR!B:q""),16,false)"),"BOX")</f>
        <v>BOX</v>
      </c>
      <c r="M254" s="176">
        <v>72000.0</v>
      </c>
      <c r="N254" s="152">
        <v>0.14</v>
      </c>
      <c r="O254" s="147">
        <f t="shared" ref="O254:O306" si="73">(K254*M254)-((M254*K254)*N254)</f>
        <v>2229120</v>
      </c>
      <c r="P254" s="147" t="str">
        <f t="shared" si="3"/>
        <v>Rp72,000-36 BOX-14.00%</v>
      </c>
      <c r="Q254" s="149">
        <v>45412.0</v>
      </c>
      <c r="R254" s="150"/>
      <c r="S254" s="149">
        <v>45418.0</v>
      </c>
      <c r="T254" s="151"/>
      <c r="U254" s="151"/>
      <c r="V254" s="151"/>
      <c r="W254" s="151"/>
    </row>
    <row r="255">
      <c r="A255" s="142">
        <v>4690.0</v>
      </c>
      <c r="B255" s="143" t="s">
        <v>33</v>
      </c>
      <c r="C255" s="143" t="s">
        <v>3688</v>
      </c>
      <c r="D255" s="145" t="s">
        <v>4556</v>
      </c>
      <c r="E255" s="145" t="str">
        <f>IFERROR(__xludf.DUMMYFUNCTION("vlookup(D255,IMPORTRANGE(""https://docs.google.com/spreadsheets/d/1swGwZOEqYlTEUCJLY-eeJM1911Kvaei5oySBIxdgtNo/edit?pli=1#gid=257618397"",""stock FAKTUR!B:C""),2,false)"),"BP GEL KENKO EASY KLIK HITAM")</f>
        <v>BP GEL KENKO EASY KLIK HITAM</v>
      </c>
      <c r="F255" s="53" t="str">
        <f>IFERROR(__xludf.DUMMYFUNCTION("vlookup($D255,IMPORTRANGE(""https://docs.google.com/spreadsheets/d/1swGwZOEqYlTEUCJLY-eeJM1911Kvaei5oySBIxdgtNo/edit?pli=1#gid=257618397"",""stock FAKTUR!B:d""),3,false)"),"")</f>
        <v/>
      </c>
      <c r="G255" s="53" t="str">
        <f>IFERROR(__xludf.DUMMYFUNCTION("vlookup($D255,IMPORTRANGE(""https://docs.google.com/spreadsheets/d/1swGwZOEqYlTEUCJLY-eeJM1911Kvaei5oySBIxdgtNo/edit?pli=1#gid=257618397"",""stock FAKTUR!B:e""),4,false)"),"HITAM")</f>
        <v>HITAM</v>
      </c>
      <c r="H255" s="53" t="str">
        <f>IFERROR(__xludf.DUMMYFUNCTION("vlookup($D255,IMPORTRANGE(""https://docs.google.com/spreadsheets/d/1swGwZOEqYlTEUCJLY-eeJM1911Kvaei5oySBIxdgtNo/edit?pli=1#gid=257618397"",""stock FAKTUR!B:F""),5,false)"),"KN")</f>
        <v>KN</v>
      </c>
      <c r="I255" s="53" t="str">
        <f>IFERROR(__xludf.DUMMYFUNCTION("vlookup($D255,IMPORTRANGE(""https://docs.google.com/spreadsheets/d/1swGwZOEqYlTEUCJLY-eeJM1911Kvaei5oySBIxdgtNo/edit?pli=1#gid=257618397"",""stock FAKTUR!B:G""),6,false)"),"GPR-023B")</f>
        <v>GPR-023B</v>
      </c>
      <c r="J255" s="120" t="str">
        <f t="shared" si="25"/>
        <v>ADA</v>
      </c>
      <c r="K255" s="142">
        <v>288.0</v>
      </c>
      <c r="L255" s="145" t="str">
        <f>IFERROR(__xludf.DUMMYFUNCTION("vlookup($D255,IMPORTRANGE(""https://docs.google.com/spreadsheets/d/1swGwZOEqYlTEUCJLY-eeJM1911Kvaei5oySBIxdgtNo/edit?pli=1#gid=257618397"",""stock FAKTUR!B:q""),16,false)"),"LSN")</f>
        <v>LSN</v>
      </c>
      <c r="M255" s="176">
        <v>30000.0</v>
      </c>
      <c r="N255" s="152">
        <v>0.125</v>
      </c>
      <c r="O255" s="147">
        <f t="shared" si="73"/>
        <v>7560000</v>
      </c>
      <c r="P255" s="147" t="str">
        <f t="shared" si="3"/>
        <v>Rp30,000-288 LSN-12.50%</v>
      </c>
      <c r="Q255" s="149">
        <v>45412.0</v>
      </c>
      <c r="R255" s="150"/>
      <c r="S255" s="149">
        <v>45418.0</v>
      </c>
      <c r="T255" s="151"/>
      <c r="U255" s="151"/>
      <c r="V255" s="151"/>
      <c r="W255" s="151"/>
    </row>
    <row r="256">
      <c r="A256" s="142">
        <v>2925.0</v>
      </c>
      <c r="B256" s="143" t="s">
        <v>33</v>
      </c>
      <c r="C256" s="143" t="s">
        <v>2355</v>
      </c>
      <c r="D256" s="145" t="s">
        <v>4430</v>
      </c>
      <c r="E256" s="145" t="str">
        <f>IFERROR(__xludf.DUMMYFUNCTION("vlookup(D256,IMPORTRANGE(""https://docs.google.com/spreadsheets/d/1swGwZOEqYlTEUCJLY-eeJM1911Kvaei5oySBIxdgtNo/edit?pli=1#gid=257618397"",""stock FAKTUR!B:C""),2,false)"),"LEM STICK KENKO 8GR KECIL")</f>
        <v>LEM STICK KENKO 8GR KECIL</v>
      </c>
      <c r="F256" s="53" t="str">
        <f>IFERROR(__xludf.DUMMYFUNCTION("vlookup($D256,IMPORTRANGE(""https://docs.google.com/spreadsheets/d/1swGwZOEqYlTEUCJLY-eeJM1911Kvaei5oySBIxdgtNo/edit?pli=1#gid=257618397"",""stock FAKTUR!B:d""),3,false)"),"K")</f>
        <v>K</v>
      </c>
      <c r="G256" s="53" t="str">
        <f>IFERROR(__xludf.DUMMYFUNCTION("vlookup($D256,IMPORTRANGE(""https://docs.google.com/spreadsheets/d/1swGwZOEqYlTEUCJLY-eeJM1911Kvaei5oySBIxdgtNo/edit?pli=1#gid=257618397"",""stock FAKTUR!B:e""),4,false)"),"")</f>
        <v/>
      </c>
      <c r="H256" s="53" t="str">
        <f>IFERROR(__xludf.DUMMYFUNCTION("vlookup($D256,IMPORTRANGE(""https://docs.google.com/spreadsheets/d/1swGwZOEqYlTEUCJLY-eeJM1911Kvaei5oySBIxdgtNo/edit?pli=1#gid=257618397"",""stock FAKTUR!B:F""),5,false)"),"KN")</f>
        <v>KN</v>
      </c>
      <c r="I256" s="53" t="str">
        <f>IFERROR(__xludf.DUMMYFUNCTION("vlookup($D256,IMPORTRANGE(""https://docs.google.com/spreadsheets/d/1swGwZOEqYlTEUCJLY-eeJM1911Kvaei5oySBIxdgtNo/edit?pli=1#gid=257618397"",""stock FAKTUR!B:G""),6,false)"),"GST-001GA")</f>
        <v>GST-001GA</v>
      </c>
      <c r="J256" s="120" t="str">
        <f t="shared" si="25"/>
        <v>ADA</v>
      </c>
      <c r="K256" s="142">
        <v>36.0</v>
      </c>
      <c r="L256" s="145" t="str">
        <f>IFERROR(__xludf.DUMMYFUNCTION("vlookup($D256,IMPORTRANGE(""https://docs.google.com/spreadsheets/d/1swGwZOEqYlTEUCJLY-eeJM1911Kvaei5oySBIxdgtNo/edit?pli=1#gid=257618397"",""stock FAKTUR!B:q""),16,false)"),"BOX")</f>
        <v>BOX</v>
      </c>
      <c r="M256" s="176">
        <v>66000.0</v>
      </c>
      <c r="N256" s="152">
        <v>0.125</v>
      </c>
      <c r="O256" s="147">
        <f t="shared" si="73"/>
        <v>2079000</v>
      </c>
      <c r="P256" s="147" t="str">
        <f t="shared" si="3"/>
        <v>Rp66,000-36 BOX-12.50%</v>
      </c>
      <c r="Q256" s="149">
        <v>45412.0</v>
      </c>
      <c r="R256" s="150"/>
      <c r="S256" s="149">
        <v>45418.0</v>
      </c>
      <c r="T256" s="151"/>
      <c r="U256" s="151"/>
      <c r="V256" s="151"/>
      <c r="W256" s="151"/>
    </row>
    <row r="257">
      <c r="A257" s="142">
        <v>2925.0</v>
      </c>
      <c r="B257" s="143" t="str">
        <f t="shared" ref="B257:B259" si="74">IF(A257=A256,B256,"")</f>
        <v>H</v>
      </c>
      <c r="C257" s="143" t="str">
        <f t="shared" ref="C257:C259" si="75">IF(A257=A256,C256,"")</f>
        <v>ANEKA-MALANG</v>
      </c>
      <c r="D257" s="145" t="s">
        <v>4433</v>
      </c>
      <c r="E257" s="145" t="str">
        <f>IFERROR(__xludf.DUMMYFUNCTION("vlookup(D257,IMPORTRANGE(""https://docs.google.com/spreadsheets/d/1swGwZOEqYlTEUCJLY-eeJM1911Kvaei5oySBIxdgtNo/edit?pli=1#gid=257618397"",""stock FAKTUR!B:C""),2,false)"),"PW JK CP-12PB PANJANG")</f>
        <v>PW JK CP-12PB PANJANG</v>
      </c>
      <c r="F257" s="53" t="str">
        <f>IFERROR(__xludf.DUMMYFUNCTION("vlookup($D257,IMPORTRANGE(""https://docs.google.com/spreadsheets/d/1swGwZOEqYlTEUCJLY-eeJM1911Kvaei5oySBIxdgtNo/edit?pli=1#gid=257618397"",""stock FAKTUR!B:d""),3,false)"),"")</f>
        <v/>
      </c>
      <c r="G257" s="53" t="str">
        <f>IFERROR(__xludf.DUMMYFUNCTION("vlookup($D257,IMPORTRANGE(""https://docs.google.com/spreadsheets/d/1swGwZOEqYlTEUCJLY-eeJM1911Kvaei5oySBIxdgtNo/edit?pli=1#gid=257618397"",""stock FAKTUR!B:e""),4,false)"),"12W")</f>
        <v>12W</v>
      </c>
      <c r="H257" s="53" t="str">
        <f>IFERROR(__xludf.DUMMYFUNCTION("vlookup($D257,IMPORTRANGE(""https://docs.google.com/spreadsheets/d/1swGwZOEqYlTEUCJLY-eeJM1911Kvaei5oySBIxdgtNo/edit?pli=1#gid=257618397"",""stock FAKTUR!B:F""),5,false)"),"JK")</f>
        <v>JK</v>
      </c>
      <c r="I257" s="53" t="str">
        <f>IFERROR(__xludf.DUMMYFUNCTION("vlookup($D257,IMPORTRANGE(""https://docs.google.com/spreadsheets/d/1swGwZOEqYlTEUCJLY-eeJM1911Kvaei5oySBIxdgtNo/edit?pli=1#gid=257618397"",""stock FAKTUR!B:G""),6,false)"),"CP-12PB")</f>
        <v>CP-12PB</v>
      </c>
      <c r="J257" s="120" t="str">
        <f t="shared" si="25"/>
        <v>ADA</v>
      </c>
      <c r="K257" s="142">
        <f>12*12</f>
        <v>144</v>
      </c>
      <c r="L257" s="145" t="str">
        <f>IFERROR(__xludf.DUMMYFUNCTION("vlookup($D257,IMPORTRANGE(""https://docs.google.com/spreadsheets/d/1swGwZOEqYlTEUCJLY-eeJM1911Kvaei5oySBIxdgtNo/edit?pli=1#gid=257618397"",""stock FAKTUR!B:q""),16,false)"),"PCS")</f>
        <v>PCS</v>
      </c>
      <c r="M257" s="176">
        <f>122400/12</f>
        <v>10200</v>
      </c>
      <c r="N257" s="152">
        <v>0.125</v>
      </c>
      <c r="O257" s="147">
        <f t="shared" si="73"/>
        <v>1285200</v>
      </c>
      <c r="P257" s="147" t="str">
        <f t="shared" si="3"/>
        <v>Rp10,200-144 PCS-12.50%</v>
      </c>
      <c r="Q257" s="149">
        <v>45412.0</v>
      </c>
      <c r="R257" s="150"/>
      <c r="S257" s="149">
        <v>45418.0</v>
      </c>
      <c r="T257" s="151"/>
      <c r="U257" s="151"/>
      <c r="V257" s="151"/>
      <c r="W257" s="151"/>
    </row>
    <row r="258">
      <c r="A258" s="142">
        <v>2925.0</v>
      </c>
      <c r="B258" s="143" t="str">
        <f t="shared" si="74"/>
        <v>H</v>
      </c>
      <c r="C258" s="143" t="str">
        <f t="shared" si="75"/>
        <v>ANEKA-MALANG</v>
      </c>
      <c r="D258" s="145" t="s">
        <v>4557</v>
      </c>
      <c r="E258" s="145" t="str">
        <f>IFERROR(__xludf.DUMMYFUNCTION("vlookup(D258,IMPORTRANGE(""https://docs.google.com/spreadsheets/d/1swGwZOEqYlTEUCJLY-eeJM1911Kvaei5oySBIxdgtNo/edit?pli=1#gid=257618397"",""stock FAKTUR!B:C""),2,false)"),"TIPEX KENKO CT-902")</f>
        <v>TIPEX KENKO CT-902</v>
      </c>
      <c r="F258" s="53" t="str">
        <f>IFERROR(__xludf.DUMMYFUNCTION("vlookup($D258,IMPORTRANGE(""https://docs.google.com/spreadsheets/d/1swGwZOEqYlTEUCJLY-eeJM1911Kvaei5oySBIxdgtNo/edit?pli=1#gid=257618397"",""stock FAKTUR!B:d""),3,false)"),"")</f>
        <v/>
      </c>
      <c r="G258" s="53" t="str">
        <f>IFERROR(__xludf.DUMMYFUNCTION("vlookup($D258,IMPORTRANGE(""https://docs.google.com/spreadsheets/d/1swGwZOEqYlTEUCJLY-eeJM1911Kvaei5oySBIxdgtNo/edit?pli=1#gid=257618397"",""stock FAKTUR!B:e""),4,false)"),"")</f>
        <v/>
      </c>
      <c r="H258" s="53" t="str">
        <f>IFERROR(__xludf.DUMMYFUNCTION("vlookup($D258,IMPORTRANGE(""https://docs.google.com/spreadsheets/d/1swGwZOEqYlTEUCJLY-eeJM1911Kvaei5oySBIxdgtNo/edit?pli=1#gid=257618397"",""stock FAKTUR!B:F""),5,false)"),"KN")</f>
        <v>KN</v>
      </c>
      <c r="I258" s="53" t="str">
        <f>IFERROR(__xludf.DUMMYFUNCTION("vlookup($D258,IMPORTRANGE(""https://docs.google.com/spreadsheets/d/1swGwZOEqYlTEUCJLY-eeJM1911Kvaei5oySBIxdgtNo/edit?pli=1#gid=257618397"",""stock FAKTUR!B:G""),6,false)"),"CT-902")</f>
        <v>CT-902</v>
      </c>
      <c r="J258" s="120" t="str">
        <f t="shared" si="25"/>
        <v>ADA</v>
      </c>
      <c r="K258" s="142">
        <v>48.0</v>
      </c>
      <c r="L258" s="145" t="str">
        <f>IFERROR(__xludf.DUMMYFUNCTION("vlookup($D258,IMPORTRANGE(""https://docs.google.com/spreadsheets/d/1swGwZOEqYlTEUCJLY-eeJM1911Kvaei5oySBIxdgtNo/edit?pli=1#gid=257618397"",""stock FAKTUR!B:q""),16,false)"),"LSN")</f>
        <v>LSN</v>
      </c>
      <c r="M258" s="176">
        <v>54000.0</v>
      </c>
      <c r="N258" s="152">
        <v>0.125</v>
      </c>
      <c r="O258" s="147">
        <f t="shared" si="73"/>
        <v>2268000</v>
      </c>
      <c r="P258" s="147" t="str">
        <f t="shared" si="3"/>
        <v>Rp54,000-48 LSN-12.50%</v>
      </c>
      <c r="Q258" s="149">
        <v>45412.0</v>
      </c>
      <c r="R258" s="150"/>
      <c r="S258" s="149">
        <v>45418.0</v>
      </c>
      <c r="T258" s="151"/>
      <c r="U258" s="151"/>
      <c r="V258" s="151"/>
      <c r="W258" s="151"/>
    </row>
    <row r="259">
      <c r="A259" s="142">
        <v>2925.0</v>
      </c>
      <c r="B259" s="143" t="str">
        <f t="shared" si="74"/>
        <v>H</v>
      </c>
      <c r="C259" s="143" t="str">
        <f t="shared" si="75"/>
        <v>ANEKA-MALANG</v>
      </c>
      <c r="D259" s="145" t="s">
        <v>4393</v>
      </c>
      <c r="E259" s="145" t="str">
        <f>IFERROR(__xludf.DUMMYFUNCTION("vlookup(D259,IMPORTRANGE(""https://docs.google.com/spreadsheets/d/1swGwZOEqYlTEUCJLY-eeJM1911Kvaei5oySBIxdgtNo/edit?pli=1#gid=257618397"",""stock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259" s="53" t="str">
        <f>IFERROR(__xludf.DUMMYFUNCTION("vlookup($D259,IMPORTRANGE(""https://docs.google.com/spreadsheets/d/1swGwZOEqYlTEUCJLY-eeJM1911Kvaei5oySBIxdgtNo/edit?pli=1#gid=257618397"",""stock FAKTUR!B:d""),3,false)"),"")</f>
        <v/>
      </c>
      <c r="G259" s="53" t="str">
        <f>IFERROR(__xludf.DUMMYFUNCTION("vlookup($D259,IMPORTRANGE(""https://docs.google.com/spreadsheets/d/1swGwZOEqYlTEUCJLY-eeJM1911Kvaei5oySBIxdgtNo/edit?pli=1#gid=257618397"",""stock FAKTUR!B:e""),4,false)"),"36W")</f>
        <v>36W</v>
      </c>
      <c r="H259" s="53" t="str">
        <f>IFERROR(__xludf.DUMMYFUNCTION("vlookup($D259,IMPORTRANGE(""https://docs.google.com/spreadsheets/d/1swGwZOEqYlTEUCJLY-eeJM1911Kvaei5oySBIxdgtNo/edit?pli=1#gid=257618397"",""stock FAKTUR!B:F""),5,false)"),"JK")</f>
        <v>JK</v>
      </c>
      <c r="I259" s="53" t="str">
        <f>IFERROR(__xludf.DUMMYFUNCTION("vlookup($D259,IMPORTRANGE(""https://docs.google.com/spreadsheets/d/1swGwZOEqYlTEUCJLY-eeJM1911Kvaei5oySBIxdgtNo/edit?pli=1#gid=257618397"",""stock FAKTUR!B:G""),6,false)"),"OP-36S")</f>
        <v>OP-36S</v>
      </c>
      <c r="J259" s="120" t="str">
        <f t="shared" si="25"/>
        <v>ADA</v>
      </c>
      <c r="K259" s="142">
        <v>36.0</v>
      </c>
      <c r="L259" s="145" t="str">
        <f>IFERROR(__xludf.DUMMYFUNCTION("vlookup($D259,IMPORTRANGE(""https://docs.google.com/spreadsheets/d/1swGwZOEqYlTEUCJLY-eeJM1911Kvaei5oySBIxdgtNo/edit?pli=1#gid=257618397"",""stock FAKTUR!B:q""),16,false)"),"PCS")</f>
        <v>PCS</v>
      </c>
      <c r="M259" s="176">
        <v>41500.0</v>
      </c>
      <c r="N259" s="152">
        <v>0.125</v>
      </c>
      <c r="O259" s="147">
        <f t="shared" si="73"/>
        <v>1307250</v>
      </c>
      <c r="P259" s="147" t="str">
        <f t="shared" si="3"/>
        <v>Rp41,500-36 PCS-12.50%</v>
      </c>
      <c r="Q259" s="149">
        <v>45412.0</v>
      </c>
      <c r="R259" s="150"/>
      <c r="S259" s="149">
        <v>45418.0</v>
      </c>
      <c r="T259" s="151"/>
      <c r="U259" s="151"/>
      <c r="V259" s="151"/>
      <c r="W259" s="151"/>
    </row>
    <row r="260">
      <c r="A260" s="142">
        <v>2926.0</v>
      </c>
      <c r="B260" s="143" t="s">
        <v>33</v>
      </c>
      <c r="C260" s="143" t="s">
        <v>2371</v>
      </c>
      <c r="D260" s="145" t="s">
        <v>4501</v>
      </c>
      <c r="E260" s="145" t="str">
        <f>IFERROR(__xludf.DUMMYFUNCTION("vlookup(D260,IMPORTRANGE(""https://docs.google.com/spreadsheets/d/1swGwZOEqYlTEUCJLY-eeJM1911Kvaei5oySBIxdgtNo/edit?pli=1#gid=257618397"",""stock FAKTUR!B:C""),2,false)"),"PENSIL JK P-88 2B")</f>
        <v>PENSIL JK P-88 2B</v>
      </c>
      <c r="F260" s="53" t="str">
        <f>IFERROR(__xludf.DUMMYFUNCTION("vlookup($D260,IMPORTRANGE(""https://docs.google.com/spreadsheets/d/1swGwZOEqYlTEUCJLY-eeJM1911Kvaei5oySBIxdgtNo/edit?pli=1#gid=257618397"",""stock FAKTUR!B:d""),3,false)"),"")</f>
        <v/>
      </c>
      <c r="G260" s="53" t="str">
        <f>IFERROR(__xludf.DUMMYFUNCTION("vlookup($D260,IMPORTRANGE(""https://docs.google.com/spreadsheets/d/1swGwZOEqYlTEUCJLY-eeJM1911Kvaei5oySBIxdgtNo/edit?pli=1#gid=257618397"",""stock FAKTUR!B:e""),4,false)"),"")</f>
        <v/>
      </c>
      <c r="H260" s="53" t="str">
        <f>IFERROR(__xludf.DUMMYFUNCTION("vlookup($D260,IMPORTRANGE(""https://docs.google.com/spreadsheets/d/1swGwZOEqYlTEUCJLY-eeJM1911Kvaei5oySBIxdgtNo/edit?pli=1#gid=257618397"",""stock FAKTUR!B:F""),5,false)"),"JK")</f>
        <v>JK</v>
      </c>
      <c r="I260" s="53" t="str">
        <f>IFERROR(__xludf.DUMMYFUNCTION("vlookup($D260,IMPORTRANGE(""https://docs.google.com/spreadsheets/d/1swGwZOEqYlTEUCJLY-eeJM1911Kvaei5oySBIxdgtNo/edit?pli=1#gid=257618397"",""stock FAKTUR!B:G""),6,false)"),"P-88")</f>
        <v>P-88</v>
      </c>
      <c r="J260" s="120" t="str">
        <f t="shared" si="25"/>
        <v>ADA</v>
      </c>
      <c r="K260" s="142">
        <v>30.0</v>
      </c>
      <c r="L260" s="145" t="str">
        <f>IFERROR(__xludf.DUMMYFUNCTION("vlookup($D260,IMPORTRANGE(""https://docs.google.com/spreadsheets/d/1swGwZOEqYlTEUCJLY-eeJM1911Kvaei5oySBIxdgtNo/edit?pli=1#gid=257618397"",""stock FAKTUR!B:q""),16,false)"),"GRS")</f>
        <v>GRS</v>
      </c>
      <c r="M260" s="176">
        <v>104400.0</v>
      </c>
      <c r="N260" s="152">
        <v>0.1</v>
      </c>
      <c r="O260" s="147">
        <f t="shared" si="73"/>
        <v>2818800</v>
      </c>
      <c r="P260" s="147" t="str">
        <f t="shared" si="3"/>
        <v>Rp104,400-30 GRS-10.00%</v>
      </c>
      <c r="Q260" s="149">
        <v>45412.0</v>
      </c>
      <c r="R260" s="150"/>
      <c r="S260" s="149">
        <v>45418.0</v>
      </c>
      <c r="T260" s="151"/>
      <c r="U260" s="151"/>
      <c r="V260" s="151"/>
      <c r="W260" s="151"/>
    </row>
    <row r="261">
      <c r="A261" s="142">
        <v>2924.0</v>
      </c>
      <c r="B261" s="143" t="s">
        <v>33</v>
      </c>
      <c r="C261" s="143" t="s">
        <v>2243</v>
      </c>
      <c r="D261" s="145" t="s">
        <v>4501</v>
      </c>
      <c r="E261" s="145" t="str">
        <f>IFERROR(__xludf.DUMMYFUNCTION("vlookup(D261,IMPORTRANGE(""https://docs.google.com/spreadsheets/d/1swGwZOEqYlTEUCJLY-eeJM1911Kvaei5oySBIxdgtNo/edit?pli=1#gid=257618397"",""stock FAKTUR!B:C""),2,false)"),"PENSIL JK P-88 2B")</f>
        <v>PENSIL JK P-88 2B</v>
      </c>
      <c r="F261" s="53" t="str">
        <f>IFERROR(__xludf.DUMMYFUNCTION("vlookup($D261,IMPORTRANGE(""https://docs.google.com/spreadsheets/d/1swGwZOEqYlTEUCJLY-eeJM1911Kvaei5oySBIxdgtNo/edit?pli=1#gid=257618397"",""stock FAKTUR!B:d""),3,false)"),"")</f>
        <v/>
      </c>
      <c r="G261" s="53" t="str">
        <f>IFERROR(__xludf.DUMMYFUNCTION("vlookup($D261,IMPORTRANGE(""https://docs.google.com/spreadsheets/d/1swGwZOEqYlTEUCJLY-eeJM1911Kvaei5oySBIxdgtNo/edit?pli=1#gid=257618397"",""stock FAKTUR!B:e""),4,false)"),"")</f>
        <v/>
      </c>
      <c r="H261" s="53" t="str">
        <f>IFERROR(__xludf.DUMMYFUNCTION("vlookup($D261,IMPORTRANGE(""https://docs.google.com/spreadsheets/d/1swGwZOEqYlTEUCJLY-eeJM1911Kvaei5oySBIxdgtNo/edit?pli=1#gid=257618397"",""stock FAKTUR!B:F""),5,false)"),"JK")</f>
        <v>JK</v>
      </c>
      <c r="I261" s="53" t="str">
        <f>IFERROR(__xludf.DUMMYFUNCTION("vlookup($D261,IMPORTRANGE(""https://docs.google.com/spreadsheets/d/1swGwZOEqYlTEUCJLY-eeJM1911Kvaei5oySBIxdgtNo/edit?pli=1#gid=257618397"",""stock FAKTUR!B:G""),6,false)"),"P-88")</f>
        <v>P-88</v>
      </c>
      <c r="J261" s="120" t="str">
        <f t="shared" si="25"/>
        <v>ADA</v>
      </c>
      <c r="K261" s="142">
        <v>210.0</v>
      </c>
      <c r="L261" s="145" t="str">
        <f>IFERROR(__xludf.DUMMYFUNCTION("vlookup($D261,IMPORTRANGE(""https://docs.google.com/spreadsheets/d/1swGwZOEqYlTEUCJLY-eeJM1911Kvaei5oySBIxdgtNo/edit?pli=1#gid=257618397"",""stock FAKTUR!B:q""),16,false)"),"GRS")</f>
        <v>GRS</v>
      </c>
      <c r="M261" s="176">
        <v>104400.0</v>
      </c>
      <c r="N261" s="152">
        <v>0.125</v>
      </c>
      <c r="O261" s="147">
        <f t="shared" si="73"/>
        <v>19183500</v>
      </c>
      <c r="P261" s="147" t="str">
        <f t="shared" si="3"/>
        <v>Rp104,400-210 GRS-12.50%</v>
      </c>
      <c r="Q261" s="149">
        <v>45412.0</v>
      </c>
      <c r="R261" s="150"/>
      <c r="S261" s="149">
        <v>45418.0</v>
      </c>
      <c r="T261" s="151"/>
      <c r="U261" s="151"/>
      <c r="V261" s="151"/>
      <c r="W261" s="151"/>
    </row>
    <row r="262">
      <c r="A262" s="142">
        <v>2924.0</v>
      </c>
      <c r="B262" s="143" t="str">
        <f t="shared" ref="B262:B263" si="76">IF(A262=A261,B261,"")</f>
        <v>H</v>
      </c>
      <c r="C262" s="143" t="str">
        <f t="shared" ref="C262:C263" si="77">IF(A262=A261,C261,"")</f>
        <v>MANGGALA SAKTI-MALANG</v>
      </c>
      <c r="D262" s="145" t="s">
        <v>4433</v>
      </c>
      <c r="E262" s="145" t="str">
        <f>IFERROR(__xludf.DUMMYFUNCTION("vlookup(D262,IMPORTRANGE(""https://docs.google.com/spreadsheets/d/1swGwZOEqYlTEUCJLY-eeJM1911Kvaei5oySBIxdgtNo/edit?pli=1#gid=257618397"",""stock FAKTUR!B:C""),2,false)"),"PW JK CP-12PB PANJANG")</f>
        <v>PW JK CP-12PB PANJANG</v>
      </c>
      <c r="F262" s="53" t="str">
        <f>IFERROR(__xludf.DUMMYFUNCTION("vlookup($D262,IMPORTRANGE(""https://docs.google.com/spreadsheets/d/1swGwZOEqYlTEUCJLY-eeJM1911Kvaei5oySBIxdgtNo/edit?pli=1#gid=257618397"",""stock FAKTUR!B:d""),3,false)"),"")</f>
        <v/>
      </c>
      <c r="G262" s="53" t="str">
        <f>IFERROR(__xludf.DUMMYFUNCTION("vlookup($D262,IMPORTRANGE(""https://docs.google.com/spreadsheets/d/1swGwZOEqYlTEUCJLY-eeJM1911Kvaei5oySBIxdgtNo/edit?pli=1#gid=257618397"",""stock FAKTUR!B:e""),4,false)"),"12W")</f>
        <v>12W</v>
      </c>
      <c r="H262" s="53" t="str">
        <f>IFERROR(__xludf.DUMMYFUNCTION("vlookup($D262,IMPORTRANGE(""https://docs.google.com/spreadsheets/d/1swGwZOEqYlTEUCJLY-eeJM1911Kvaei5oySBIxdgtNo/edit?pli=1#gid=257618397"",""stock FAKTUR!B:F""),5,false)"),"JK")</f>
        <v>JK</v>
      </c>
      <c r="I262" s="53" t="str">
        <f>IFERROR(__xludf.DUMMYFUNCTION("vlookup($D262,IMPORTRANGE(""https://docs.google.com/spreadsheets/d/1swGwZOEqYlTEUCJLY-eeJM1911Kvaei5oySBIxdgtNo/edit?pli=1#gid=257618397"",""stock FAKTUR!B:G""),6,false)"),"CP-12PB")</f>
        <v>CP-12PB</v>
      </c>
      <c r="J262" s="120" t="str">
        <f t="shared" si="25"/>
        <v>ADA</v>
      </c>
      <c r="K262" s="142">
        <f>132*12</f>
        <v>1584</v>
      </c>
      <c r="L262" s="145" t="str">
        <f>IFERROR(__xludf.DUMMYFUNCTION("vlookup($D262,IMPORTRANGE(""https://docs.google.com/spreadsheets/d/1swGwZOEqYlTEUCJLY-eeJM1911Kvaei5oySBIxdgtNo/edit?pli=1#gid=257618397"",""stock FAKTUR!B:q""),16,false)"),"PCS")</f>
        <v>PCS</v>
      </c>
      <c r="M262" s="176">
        <f>122400/12</f>
        <v>10200</v>
      </c>
      <c r="N262" s="152">
        <v>0.125</v>
      </c>
      <c r="O262" s="147">
        <f t="shared" si="73"/>
        <v>14137200</v>
      </c>
      <c r="P262" s="147" t="str">
        <f t="shared" si="3"/>
        <v>Rp10,200-1584 PCS-12.50%</v>
      </c>
      <c r="Q262" s="149">
        <v>45412.0</v>
      </c>
      <c r="R262" s="150"/>
      <c r="S262" s="149">
        <v>45418.0</v>
      </c>
      <c r="T262" s="151"/>
      <c r="U262" s="151"/>
      <c r="V262" s="151"/>
      <c r="W262" s="151"/>
    </row>
    <row r="263">
      <c r="A263" s="142">
        <v>2924.0</v>
      </c>
      <c r="B263" s="143" t="str">
        <f t="shared" si="76"/>
        <v>H</v>
      </c>
      <c r="C263" s="143" t="str">
        <f t="shared" si="77"/>
        <v>MANGGALA SAKTI-MALANG</v>
      </c>
      <c r="D263" s="145" t="s">
        <v>4500</v>
      </c>
      <c r="E263" s="145" t="str">
        <f>IFERROR(__xludf.DUMMYFUNCTION("vlookup(D263,IMPORTRANGE(""https://docs.google.com/spreadsheets/d/1swGwZOEqYlTEUCJLY-eeJM1911Kvaei5oySBIxdgtNo/edit?pli=1#gid=257618397"",""stock FAKTUR!B:C""),2,false)"),"ISI CUTTER JK L-150 AM BESAR")</f>
        <v>ISI CUTTER JK L-150 AM BESAR</v>
      </c>
      <c r="F263" s="53" t="str">
        <f>IFERROR(__xludf.DUMMYFUNCTION("vlookup($D263,IMPORTRANGE(""https://docs.google.com/spreadsheets/d/1swGwZOEqYlTEUCJLY-eeJM1911Kvaei5oySBIxdgtNo/edit?pli=1#gid=257618397"",""stock FAKTUR!B:d""),3,false)"),"B")</f>
        <v>B</v>
      </c>
      <c r="G263" s="53" t="str">
        <f>IFERROR(__xludf.DUMMYFUNCTION("vlookup($D263,IMPORTRANGE(""https://docs.google.com/spreadsheets/d/1swGwZOEqYlTEUCJLY-eeJM1911Kvaei5oySBIxdgtNo/edit?pli=1#gid=257618397"",""stock FAKTUR!B:e""),4,false)"),"")</f>
        <v/>
      </c>
      <c r="H263" s="53" t="str">
        <f>IFERROR(__xludf.DUMMYFUNCTION("vlookup($D263,IMPORTRANGE(""https://docs.google.com/spreadsheets/d/1swGwZOEqYlTEUCJLY-eeJM1911Kvaei5oySBIxdgtNo/edit?pli=1#gid=257618397"",""stock FAKTUR!B:F""),5,false)"),"JK")</f>
        <v>JK</v>
      </c>
      <c r="I263" s="53" t="str">
        <f>IFERROR(__xludf.DUMMYFUNCTION("vlookup($D263,IMPORTRANGE(""https://docs.google.com/spreadsheets/d/1swGwZOEqYlTEUCJLY-eeJM1911Kvaei5oySBIxdgtNo/edit?pli=1#gid=257618397"",""stock FAKTUR!B:G""),6,false)"),"L-150 AM")</f>
        <v>L-150 AM</v>
      </c>
      <c r="J263" s="120" t="str">
        <f t="shared" si="25"/>
        <v>ADA</v>
      </c>
      <c r="K263" s="142">
        <v>120.0</v>
      </c>
      <c r="L263" s="145" t="str">
        <f>IFERROR(__xludf.DUMMYFUNCTION("vlookup($D263,IMPORTRANGE(""https://docs.google.com/spreadsheets/d/1swGwZOEqYlTEUCJLY-eeJM1911Kvaei5oySBIxdgtNo/edit?pli=1#gid=257618397"",""stock FAKTUR!B:q""),16,false)"),"LSN")</f>
        <v>LSN</v>
      </c>
      <c r="M263" s="176">
        <v>49200.0</v>
      </c>
      <c r="N263" s="152">
        <v>0.125</v>
      </c>
      <c r="O263" s="147">
        <f t="shared" si="73"/>
        <v>5166000</v>
      </c>
      <c r="P263" s="147" t="str">
        <f t="shared" si="3"/>
        <v>Rp49,200-120 LSN-12.50%</v>
      </c>
      <c r="Q263" s="149">
        <v>45412.0</v>
      </c>
      <c r="R263" s="150"/>
      <c r="S263" s="149">
        <v>45418.0</v>
      </c>
      <c r="T263" s="151"/>
      <c r="U263" s="151"/>
      <c r="V263" s="151"/>
      <c r="W263" s="151"/>
    </row>
    <row r="264">
      <c r="A264" s="142">
        <v>4604.0</v>
      </c>
      <c r="B264" s="143" t="s">
        <v>33</v>
      </c>
      <c r="C264" s="143" t="s">
        <v>2434</v>
      </c>
      <c r="D264" s="145" t="s">
        <v>4504</v>
      </c>
      <c r="E264" s="145" t="str">
        <f>IFERROR(__xludf.DUMMYFUNCTION("vlookup(D264,IMPORTRANGE(""https://docs.google.com/spreadsheets/d/1swGwZOEqYlTEUCJLY-eeJM1911Kvaei5oySBIxdgtNo/edit?pli=1#gid=257618397"",""stock FAKTUR!B:C""),2,false)"),"BINDER CLIP JK 260")</f>
        <v>BINDER CLIP JK 260</v>
      </c>
      <c r="F264" s="53" t="str">
        <f>IFERROR(__xludf.DUMMYFUNCTION("vlookup($D264,IMPORTRANGE(""https://docs.google.com/spreadsheets/d/1swGwZOEqYlTEUCJLY-eeJM1911Kvaei5oySBIxdgtNo/edit?pli=1#gid=257618397"",""stock FAKTUR!B:d""),3,false)"),"")</f>
        <v/>
      </c>
      <c r="G264" s="53" t="str">
        <f>IFERROR(__xludf.DUMMYFUNCTION("vlookup($D264,IMPORTRANGE(""https://docs.google.com/spreadsheets/d/1swGwZOEqYlTEUCJLY-eeJM1911Kvaei5oySBIxdgtNo/edit?pli=1#gid=257618397"",""stock FAKTUR!B:e""),4,false)"),"")</f>
        <v/>
      </c>
      <c r="H264" s="53" t="str">
        <f>IFERROR(__xludf.DUMMYFUNCTION("vlookup($D264,IMPORTRANGE(""https://docs.google.com/spreadsheets/d/1swGwZOEqYlTEUCJLY-eeJM1911Kvaei5oySBIxdgtNo/edit?pli=1#gid=257618397"",""stock FAKTUR!B:F""),5,false)"),"JK")</f>
        <v>JK</v>
      </c>
      <c r="I264" s="53" t="str">
        <f>IFERROR(__xludf.DUMMYFUNCTION("vlookup($D264,IMPORTRANGE(""https://docs.google.com/spreadsheets/d/1swGwZOEqYlTEUCJLY-eeJM1911Kvaei5oySBIxdgtNo/edit?pli=1#gid=257618397"",""stock FAKTUR!B:G""),6,false)"),"260")</f>
        <v>260</v>
      </c>
      <c r="J264" s="120" t="str">
        <f t="shared" si="25"/>
        <v>ADA</v>
      </c>
      <c r="K264" s="142">
        <f>60/12</f>
        <v>5</v>
      </c>
      <c r="L264" s="145" t="str">
        <f>IFERROR(__xludf.DUMMYFUNCTION("vlookup($D264,IMPORTRANGE(""https://docs.google.com/spreadsheets/d/1swGwZOEqYlTEUCJLY-eeJM1911Kvaei5oySBIxdgtNo/edit?pli=1#gid=257618397"",""stock FAKTUR!B:q""),16,false)"),"GRS")</f>
        <v>GRS</v>
      </c>
      <c r="M264" s="176">
        <f>14750*12</f>
        <v>177000</v>
      </c>
      <c r="N264" s="152">
        <v>0.125</v>
      </c>
      <c r="O264" s="147">
        <f t="shared" si="73"/>
        <v>774375</v>
      </c>
      <c r="P264" s="147" t="str">
        <f t="shared" si="3"/>
        <v>Rp177,000-5 GRS-12.50%</v>
      </c>
      <c r="Q264" s="149">
        <v>45412.0</v>
      </c>
      <c r="R264" s="149">
        <v>45405.0</v>
      </c>
      <c r="S264" s="149">
        <v>45418.0</v>
      </c>
      <c r="T264" s="151"/>
      <c r="U264" s="151"/>
      <c r="V264" s="151"/>
      <c r="W264" s="151"/>
    </row>
    <row r="265">
      <c r="A265" s="142">
        <v>4604.0</v>
      </c>
      <c r="B265" s="143" t="str">
        <f>IF(A265=A264,B264,"")</f>
        <v>H</v>
      </c>
      <c r="C265" s="143" t="str">
        <f>IF(A265=A264,C264,"")</f>
        <v>KONDANG-TEMANGGUNG</v>
      </c>
      <c r="D265" s="145" t="s">
        <v>4420</v>
      </c>
      <c r="E265" s="145" t="str">
        <f>IFERROR(__xludf.DUMMYFUNCTION("vlookup(D265,IMPORTRANGE(""https://docs.google.com/spreadsheets/d/1swGwZOEqYlTEUCJLY-eeJM1911Kvaei5oySBIxdgtNo/edit?pli=1#gid=257618397"",""stock FAKTUR!B:C""),2,false)"),"LEM KENKO LG-50")</f>
        <v>LEM KENKO LG-50</v>
      </c>
      <c r="F265" s="53" t="str">
        <f>IFERROR(__xludf.DUMMYFUNCTION("vlookup($D265,IMPORTRANGE(""https://docs.google.com/spreadsheets/d/1swGwZOEqYlTEUCJLY-eeJM1911Kvaei5oySBIxdgtNo/edit?pli=1#gid=257618397"",""stock FAKTUR!B:d""),3,false)"),"")</f>
        <v/>
      </c>
      <c r="G265" s="53" t="str">
        <f>IFERROR(__xludf.DUMMYFUNCTION("vlookup($D265,IMPORTRANGE(""https://docs.google.com/spreadsheets/d/1swGwZOEqYlTEUCJLY-eeJM1911Kvaei5oySBIxdgtNo/edit?pli=1#gid=257618397"",""stock FAKTUR!B:e""),4,false)"),"")</f>
        <v/>
      </c>
      <c r="H265" s="53" t="str">
        <f>IFERROR(__xludf.DUMMYFUNCTION("vlookup($D265,IMPORTRANGE(""https://docs.google.com/spreadsheets/d/1swGwZOEqYlTEUCJLY-eeJM1911Kvaei5oySBIxdgtNo/edit?pli=1#gid=257618397"",""stock FAKTUR!B:F""),5,false)"),"KN")</f>
        <v>KN</v>
      </c>
      <c r="I265" s="53" t="str">
        <f>IFERROR(__xludf.DUMMYFUNCTION("vlookup($D265,IMPORTRANGE(""https://docs.google.com/spreadsheets/d/1swGwZOEqYlTEUCJLY-eeJM1911Kvaei5oySBIxdgtNo/edit?pli=1#gid=257618397"",""stock FAKTUR!B:G""),6,false)"),"LG-50")</f>
        <v>LG-50</v>
      </c>
      <c r="J265" s="120" t="str">
        <f t="shared" si="25"/>
        <v>ADA</v>
      </c>
      <c r="K265" s="142">
        <v>10.0</v>
      </c>
      <c r="L265" s="145" t="str">
        <f>IFERROR(__xludf.DUMMYFUNCTION("vlookup($D265,IMPORTRANGE(""https://docs.google.com/spreadsheets/d/1swGwZOEqYlTEUCJLY-eeJM1911Kvaei5oySBIxdgtNo/edit?pli=1#gid=257618397"",""stock FAKTUR!B:q""),16,false)"),"LSN")</f>
        <v>LSN</v>
      </c>
      <c r="M265" s="176">
        <v>25200.0</v>
      </c>
      <c r="N265" s="152">
        <v>0.1</v>
      </c>
      <c r="O265" s="147">
        <f t="shared" si="73"/>
        <v>226800</v>
      </c>
      <c r="P265" s="147" t="str">
        <f t="shared" si="3"/>
        <v>Rp25,200-10 LSN-10.00%</v>
      </c>
      <c r="Q265" s="149">
        <v>45412.0</v>
      </c>
      <c r="R265" s="150"/>
      <c r="S265" s="149">
        <v>45418.0</v>
      </c>
      <c r="T265" s="151"/>
      <c r="U265" s="151"/>
      <c r="V265" s="151"/>
      <c r="W265" s="151"/>
    </row>
    <row r="266">
      <c r="A266" s="142">
        <v>4647.0</v>
      </c>
      <c r="B266" s="143" t="s">
        <v>65</v>
      </c>
      <c r="C266" s="143" t="s">
        <v>4558</v>
      </c>
      <c r="D266" s="145" t="s">
        <v>4428</v>
      </c>
      <c r="E266" s="145" t="str">
        <f>IFERROR(__xludf.DUMMYFUNCTION("vlookup(D266,IMPORTRANGE(""https://docs.google.com/spreadsheets/d/1swGwZOEqYlTEUCJLY-eeJM1911Kvaei5oySBIxdgtNo/edit?pli=1#gid=257618397"",""stock FAKTUR!B:C""),2,false)"),"ISI STAPLER GW NO. 10")</f>
        <v>ISI STAPLER GW NO. 10</v>
      </c>
      <c r="F266" s="53" t="str">
        <f>IFERROR(__xludf.DUMMYFUNCTION("vlookup($D266,IMPORTRANGE(""https://docs.google.com/spreadsheets/d/1swGwZOEqYlTEUCJLY-eeJM1911Kvaei5oySBIxdgtNo/edit?pli=1#gid=257618397"",""stock FAKTUR!B:d""),3,false)"),"")</f>
        <v/>
      </c>
      <c r="G266" s="53" t="str">
        <f>IFERROR(__xludf.DUMMYFUNCTION("vlookup($D266,IMPORTRANGE(""https://docs.google.com/spreadsheets/d/1swGwZOEqYlTEUCJLY-eeJM1911Kvaei5oySBIxdgtNo/edit?pli=1#gid=257618397"",""stock FAKTUR!B:e""),4,false)"),"")</f>
        <v/>
      </c>
      <c r="H266" s="53" t="str">
        <f>IFERROR(__xludf.DUMMYFUNCTION("vlookup($D266,IMPORTRANGE(""https://docs.google.com/spreadsheets/d/1swGwZOEqYlTEUCJLY-eeJM1911Kvaei5oySBIxdgtNo/edit?pli=1#gid=257618397"",""stock FAKTUR!B:F""),5,false)"),"GW")</f>
        <v>GW</v>
      </c>
      <c r="I266" s="53" t="str">
        <f>IFERROR(__xludf.DUMMYFUNCTION("vlookup($D266,IMPORTRANGE(""https://docs.google.com/spreadsheets/d/1swGwZOEqYlTEUCJLY-eeJM1911Kvaei5oySBIxdgtNo/edit?pli=1#gid=257618397"",""stock FAKTUR!B:G""),6,false)"),"10")</f>
        <v>10</v>
      </c>
      <c r="J266" s="120" t="str">
        <f t="shared" si="25"/>
        <v>ADA</v>
      </c>
      <c r="K266" s="142">
        <v>500.0</v>
      </c>
      <c r="L266" s="145" t="str">
        <f>IFERROR(__xludf.DUMMYFUNCTION("vlookup($D266,IMPORTRANGE(""https://docs.google.com/spreadsheets/d/1swGwZOEqYlTEUCJLY-eeJM1911Kvaei5oySBIxdgtNo/edit?pli=1#gid=257618397"",""stock FAKTUR!B:q""),16,false)"),"PAK")</f>
        <v>PAK</v>
      </c>
      <c r="M266" s="176">
        <v>13250.0</v>
      </c>
      <c r="N266" s="148" t="s">
        <v>4545</v>
      </c>
      <c r="O266" s="147">
        <f t="shared" si="73"/>
        <v>6625000</v>
      </c>
      <c r="P266" s="147" t="str">
        <f t="shared" si="3"/>
        <v>Rp13,250-500 PAK-</v>
      </c>
      <c r="Q266" s="149">
        <v>45409.0</v>
      </c>
      <c r="R266" s="150"/>
      <c r="S266" s="149">
        <v>45418.0</v>
      </c>
      <c r="T266" s="151"/>
      <c r="U266" s="151"/>
      <c r="V266" s="151"/>
      <c r="W266" s="151"/>
    </row>
    <row r="267">
      <c r="A267" s="142">
        <v>4647.0</v>
      </c>
      <c r="B267" s="143" t="str">
        <f>IF(A267=A266,B266,"")</f>
        <v>A</v>
      </c>
      <c r="C267" s="143" t="str">
        <f>IF(A267=A266,C266,"")</f>
        <v>IRAWAN-PURWOKERTO</v>
      </c>
      <c r="D267" s="145" t="s">
        <v>4559</v>
      </c>
      <c r="E267" s="145" t="str">
        <f>IFERROR(__xludf.DUMMYFUNCTION("vlookup(D267,IMPORTRANGE(""https://docs.google.com/spreadsheets/d/1swGwZOEqYlTEUCJLY-eeJM1911Kvaei5oySBIxdgtNo/edit?pli=1#gid=257618397"",""stock FAKTUR!B:C""),2,false)"),"ISI STAPLER GW NO. 369")</f>
        <v>ISI STAPLER GW NO. 369</v>
      </c>
      <c r="F267" s="53" t="str">
        <f>IFERROR(__xludf.DUMMYFUNCTION("vlookup($D267,IMPORTRANGE(""https://docs.google.com/spreadsheets/d/1swGwZOEqYlTEUCJLY-eeJM1911Kvaei5oySBIxdgtNo/edit?pli=1#gid=257618397"",""stock FAKTUR!B:d""),3,false)"),"")</f>
        <v/>
      </c>
      <c r="G267" s="53" t="str">
        <f>IFERROR(__xludf.DUMMYFUNCTION("vlookup($D267,IMPORTRANGE(""https://docs.google.com/spreadsheets/d/1swGwZOEqYlTEUCJLY-eeJM1911Kvaei5oySBIxdgtNo/edit?pli=1#gid=257618397"",""stock FAKTUR!B:e""),4,false)"),"")</f>
        <v/>
      </c>
      <c r="H267" s="53" t="str">
        <f>IFERROR(__xludf.DUMMYFUNCTION("vlookup($D267,IMPORTRANGE(""https://docs.google.com/spreadsheets/d/1swGwZOEqYlTEUCJLY-eeJM1911Kvaei5oySBIxdgtNo/edit?pli=1#gid=257618397"",""stock FAKTUR!B:F""),5,false)"),"GW")</f>
        <v>GW</v>
      </c>
      <c r="I267" s="53" t="str">
        <f>IFERROR(__xludf.DUMMYFUNCTION("vlookup($D267,IMPORTRANGE(""https://docs.google.com/spreadsheets/d/1swGwZOEqYlTEUCJLY-eeJM1911Kvaei5oySBIxdgtNo/edit?pli=1#gid=257618397"",""stock FAKTUR!B:G""),6,false)"),"369")</f>
        <v>369</v>
      </c>
      <c r="J267" s="120" t="str">
        <f t="shared" si="25"/>
        <v>ADA</v>
      </c>
      <c r="K267" s="142">
        <v>150.0</v>
      </c>
      <c r="L267" s="145" t="str">
        <f>IFERROR(__xludf.DUMMYFUNCTION("vlookup($D267,IMPORTRANGE(""https://docs.google.com/spreadsheets/d/1swGwZOEqYlTEUCJLY-eeJM1911Kvaei5oySBIxdgtNo/edit?pli=1#gid=257618397"",""stock FAKTUR!B:q""),16,false)"),"PAK")</f>
        <v>PAK</v>
      </c>
      <c r="M267" s="176">
        <v>25500.0</v>
      </c>
      <c r="N267" s="148" t="s">
        <v>4545</v>
      </c>
      <c r="O267" s="147">
        <f t="shared" si="73"/>
        <v>3825000</v>
      </c>
      <c r="P267" s="147" t="str">
        <f t="shared" si="3"/>
        <v>Rp25,500-150 PAK-</v>
      </c>
      <c r="Q267" s="149">
        <v>45409.0</v>
      </c>
      <c r="R267" s="150"/>
      <c r="S267" s="149">
        <v>45418.0</v>
      </c>
      <c r="T267" s="151"/>
      <c r="U267" s="151"/>
      <c r="V267" s="151"/>
      <c r="W267" s="151"/>
    </row>
    <row r="268">
      <c r="A268" s="142">
        <v>4658.0</v>
      </c>
      <c r="B268" s="143" t="s">
        <v>33</v>
      </c>
      <c r="C268" s="143" t="s">
        <v>3557</v>
      </c>
      <c r="D268" s="145" t="s">
        <v>4428</v>
      </c>
      <c r="E268" s="145" t="str">
        <f>IFERROR(__xludf.DUMMYFUNCTION("vlookup(D268,IMPORTRANGE(""https://docs.google.com/spreadsheets/d/1swGwZOEqYlTEUCJLY-eeJM1911Kvaei5oySBIxdgtNo/edit?pli=1#gid=257618397"",""stock FAKTUR!B:C""),2,false)"),"ISI STAPLER GW NO. 10")</f>
        <v>ISI STAPLER GW NO. 10</v>
      </c>
      <c r="F268" s="53" t="str">
        <f>IFERROR(__xludf.DUMMYFUNCTION("vlookup($D268,IMPORTRANGE(""https://docs.google.com/spreadsheets/d/1swGwZOEqYlTEUCJLY-eeJM1911Kvaei5oySBIxdgtNo/edit?pli=1#gid=257618397"",""stock FAKTUR!B:d""),3,false)"),"")</f>
        <v/>
      </c>
      <c r="G268" s="53" t="str">
        <f>IFERROR(__xludf.DUMMYFUNCTION("vlookup($D268,IMPORTRANGE(""https://docs.google.com/spreadsheets/d/1swGwZOEqYlTEUCJLY-eeJM1911Kvaei5oySBIxdgtNo/edit?pli=1#gid=257618397"",""stock FAKTUR!B:e""),4,false)"),"")</f>
        <v/>
      </c>
      <c r="H268" s="53" t="str">
        <f>IFERROR(__xludf.DUMMYFUNCTION("vlookup($D268,IMPORTRANGE(""https://docs.google.com/spreadsheets/d/1swGwZOEqYlTEUCJLY-eeJM1911Kvaei5oySBIxdgtNo/edit?pli=1#gid=257618397"",""stock FAKTUR!B:F""),5,false)"),"GW")</f>
        <v>GW</v>
      </c>
      <c r="I268" s="53" t="str">
        <f>IFERROR(__xludf.DUMMYFUNCTION("vlookup($D268,IMPORTRANGE(""https://docs.google.com/spreadsheets/d/1swGwZOEqYlTEUCJLY-eeJM1911Kvaei5oySBIxdgtNo/edit?pli=1#gid=257618397"",""stock FAKTUR!B:G""),6,false)"),"10")</f>
        <v>10</v>
      </c>
      <c r="J268" s="120" t="str">
        <f t="shared" si="25"/>
        <v>ADA</v>
      </c>
      <c r="K268" s="142">
        <v>200.0</v>
      </c>
      <c r="L268" s="145" t="str">
        <f>IFERROR(__xludf.DUMMYFUNCTION("vlookup($D268,IMPORTRANGE(""https://docs.google.com/spreadsheets/d/1swGwZOEqYlTEUCJLY-eeJM1911Kvaei5oySBIxdgtNo/edit?pli=1#gid=257618397"",""stock FAKTUR!B:q""),16,false)"),"PAK")</f>
        <v>PAK</v>
      </c>
      <c r="M268" s="176">
        <v>13500.0</v>
      </c>
      <c r="N268" s="148" t="s">
        <v>4545</v>
      </c>
      <c r="O268" s="147">
        <f t="shared" si="73"/>
        <v>2700000</v>
      </c>
      <c r="P268" s="147" t="str">
        <f t="shared" si="3"/>
        <v>Rp13,500-200 PAK-</v>
      </c>
      <c r="Q268" s="149">
        <v>45411.0</v>
      </c>
      <c r="R268" s="150"/>
      <c r="S268" s="149">
        <v>45418.0</v>
      </c>
      <c r="T268" s="151"/>
      <c r="U268" s="151"/>
      <c r="V268" s="151"/>
      <c r="W268" s="151"/>
    </row>
    <row r="269">
      <c r="A269" s="142">
        <v>4679.0</v>
      </c>
      <c r="B269" s="143" t="s">
        <v>33</v>
      </c>
      <c r="C269" s="143" t="s">
        <v>3283</v>
      </c>
      <c r="D269" s="183" t="s">
        <v>4476</v>
      </c>
      <c r="E269" s="145" t="str">
        <f>IFERROR(__xludf.DUMMYFUNCTION("vlookup(D269,IMPORTRANGE(""https://docs.google.com/spreadsheets/d/1swGwZOEqYlTEUCJLY-eeJM1911Kvaei5oySBIxdgtNo/edit?pli=1#gid=257618397"",""stock FAKTUR!B:C""),2,false)"),"CALCULATOR JK DTC-1313 CH")</f>
        <v>CALCULATOR JK DTC-1313 CH</v>
      </c>
      <c r="F269" s="53" t="str">
        <f>IFERROR(__xludf.DUMMYFUNCTION("vlookup($D269,IMPORTRANGE(""https://docs.google.com/spreadsheets/d/1swGwZOEqYlTEUCJLY-eeJM1911Kvaei5oySBIxdgtNo/edit?pli=1#gid=257618397"",""stock FAKTUR!B:d""),3,false)"),"")</f>
        <v/>
      </c>
      <c r="G269" s="53" t="str">
        <f>IFERROR(__xludf.DUMMYFUNCTION("vlookup($D269,IMPORTRANGE(""https://docs.google.com/spreadsheets/d/1swGwZOEqYlTEUCJLY-eeJM1911Kvaei5oySBIxdgtNo/edit?pli=1#gid=257618397"",""stock FAKTUR!B:e""),4,false)"),"")</f>
        <v/>
      </c>
      <c r="H269" s="53" t="str">
        <f>IFERROR(__xludf.DUMMYFUNCTION("vlookup($D269,IMPORTRANGE(""https://docs.google.com/spreadsheets/d/1swGwZOEqYlTEUCJLY-eeJM1911Kvaei5oySBIxdgtNo/edit?pli=1#gid=257618397"",""stock FAKTUR!B:F""),5,false)"),"JK")</f>
        <v>JK</v>
      </c>
      <c r="I269" s="53" t="str">
        <f>IFERROR(__xludf.DUMMYFUNCTION("vlookup($D269,IMPORTRANGE(""https://docs.google.com/spreadsheets/d/1swGwZOEqYlTEUCJLY-eeJM1911Kvaei5oySBIxdgtNo/edit?pli=1#gid=257618397"",""stock FAKTUR!B:G""),6,false)"),"DTC-1313 CH")</f>
        <v>DTC-1313 CH</v>
      </c>
      <c r="J269" s="120" t="str">
        <f t="shared" si="25"/>
        <v>ADA</v>
      </c>
      <c r="K269" s="142">
        <v>20.0</v>
      </c>
      <c r="L269" s="145" t="str">
        <f>IFERROR(__xludf.DUMMYFUNCTION("vlookup($D269,IMPORTRANGE(""https://docs.google.com/spreadsheets/d/1swGwZOEqYlTEUCJLY-eeJM1911Kvaei5oySBIxdgtNo/edit?pli=1#gid=257618397"",""stock FAKTUR!B:q""),16,false)"),"PCS")</f>
        <v>PCS</v>
      </c>
      <c r="M269" s="176">
        <v>40000.0</v>
      </c>
      <c r="N269" s="152">
        <v>0.125</v>
      </c>
      <c r="O269" s="147">
        <f t="shared" si="73"/>
        <v>700000</v>
      </c>
      <c r="P269" s="147" t="str">
        <f t="shared" si="3"/>
        <v>Rp40,000-20 PCS-12.50%</v>
      </c>
      <c r="Q269" s="149">
        <v>45412.0</v>
      </c>
      <c r="R269" s="150"/>
      <c r="S269" s="149">
        <v>45418.0</v>
      </c>
      <c r="T269" s="151"/>
      <c r="U269" s="151"/>
      <c r="V269" s="151"/>
      <c r="W269" s="151"/>
    </row>
    <row r="270">
      <c r="A270" s="142">
        <v>4679.0</v>
      </c>
      <c r="B270" s="143" t="str">
        <f t="shared" ref="B270:B271" si="78">IF(A270=A269,B269,"")</f>
        <v>H</v>
      </c>
      <c r="C270" s="143" t="str">
        <f t="shared" ref="C270:C271" si="79">IF(A270=A269,C269,"")</f>
        <v>TELADAN-TEGAL</v>
      </c>
      <c r="D270" s="145" t="s">
        <v>4560</v>
      </c>
      <c r="E270" s="145" t="str">
        <f>IFERROR(__xludf.DUMMYFUNCTION("vlookup(D270,IMPORTRANGE(""https://docs.google.com/spreadsheets/d/1swGwZOEqYlTEUCJLY-eeJM1911Kvaei5oySBIxdgtNo/edit?pli=1#gid=257618397"",""stock FAKTUR!B:C""),2,false)"),"BP JK BP-338 VOCUS HITAM")</f>
        <v>BP JK BP-338 VOCUS HITAM</v>
      </c>
      <c r="F270" s="53" t="str">
        <f>IFERROR(__xludf.DUMMYFUNCTION("vlookup($D270,IMPORTRANGE(""https://docs.google.com/spreadsheets/d/1swGwZOEqYlTEUCJLY-eeJM1911Kvaei5oySBIxdgtNo/edit?pli=1#gid=257618397"",""stock FAKTUR!B:d""),3,false)"),"")</f>
        <v/>
      </c>
      <c r="G270" s="53" t="str">
        <f>IFERROR(__xludf.DUMMYFUNCTION("vlookup($D270,IMPORTRANGE(""https://docs.google.com/spreadsheets/d/1swGwZOEqYlTEUCJLY-eeJM1911Kvaei5oySBIxdgtNo/edit?pli=1#gid=257618397"",""stock FAKTUR!B:e""),4,false)"),"")</f>
        <v/>
      </c>
      <c r="H270" s="53" t="str">
        <f>IFERROR(__xludf.DUMMYFUNCTION("vlookup($D270,IMPORTRANGE(""https://docs.google.com/spreadsheets/d/1swGwZOEqYlTEUCJLY-eeJM1911Kvaei5oySBIxdgtNo/edit?pli=1#gid=257618397"",""stock FAKTUR!B:F""),5,false)"),"JK")</f>
        <v>JK</v>
      </c>
      <c r="I270" s="53" t="str">
        <f>IFERROR(__xludf.DUMMYFUNCTION("vlookup($D270,IMPORTRANGE(""https://docs.google.com/spreadsheets/d/1swGwZOEqYlTEUCJLY-eeJM1911Kvaei5oySBIxdgtNo/edit?pli=1#gid=257618397"",""stock FAKTUR!B:G""),6,false)"),"BP-338")</f>
        <v>BP-338</v>
      </c>
      <c r="J270" s="120" t="str">
        <f t="shared" si="25"/>
        <v>ADA</v>
      </c>
      <c r="K270" s="142">
        <v>36.0</v>
      </c>
      <c r="L270" s="145" t="str">
        <f>IFERROR(__xludf.DUMMYFUNCTION("vlookup($D270,IMPORTRANGE(""https://docs.google.com/spreadsheets/d/1swGwZOEqYlTEUCJLY-eeJM1911Kvaei5oySBIxdgtNo/edit?pli=1#gid=257618397"",""stock FAKTUR!B:q""),16,false)"),"LSN")</f>
        <v>LSN</v>
      </c>
      <c r="M270" s="176">
        <v>12600.0</v>
      </c>
      <c r="N270" s="152">
        <v>0.125</v>
      </c>
      <c r="O270" s="147">
        <f t="shared" si="73"/>
        <v>396900</v>
      </c>
      <c r="P270" s="147" t="str">
        <f t="shared" si="3"/>
        <v>Rp12,600-36 LSN-12.50%</v>
      </c>
      <c r="Q270" s="149">
        <v>45412.0</v>
      </c>
      <c r="R270" s="150"/>
      <c r="S270" s="149">
        <v>45418.0</v>
      </c>
      <c r="T270" s="151"/>
      <c r="U270" s="151"/>
      <c r="V270" s="151"/>
      <c r="W270" s="151"/>
    </row>
    <row r="271">
      <c r="A271" s="142">
        <v>4679.0</v>
      </c>
      <c r="B271" s="143" t="str">
        <f t="shared" si="78"/>
        <v>H</v>
      </c>
      <c r="C271" s="143" t="str">
        <f t="shared" si="79"/>
        <v>TELADAN-TEGAL</v>
      </c>
      <c r="D271" s="145" t="s">
        <v>4561</v>
      </c>
      <c r="E271" s="145" t="str">
        <f>IFERROR(__xludf.DUMMYFUNCTION("vlookup(D271,IMPORTRANGE(""https://docs.google.com/spreadsheets/d/1swGwZOEqYlTEUCJLY-eeJM1911Kvaei5oySBIxdgtNo/edit?pli=1#gid=257618397"",""stock FAKTUR!B:C""),2,false)"),"PUNCH KENKO 40")</f>
        <v>PUNCH KENKO 40</v>
      </c>
      <c r="F271" s="53" t="str">
        <f>IFERROR(__xludf.DUMMYFUNCTION("vlookup($D271,IMPORTRANGE(""https://docs.google.com/spreadsheets/d/1swGwZOEqYlTEUCJLY-eeJM1911Kvaei5oySBIxdgtNo/edit?pli=1#gid=257618397"",""stock FAKTUR!B:d""),3,false)"),"")</f>
        <v/>
      </c>
      <c r="G271" s="53" t="str">
        <f>IFERROR(__xludf.DUMMYFUNCTION("vlookup($D271,IMPORTRANGE(""https://docs.google.com/spreadsheets/d/1swGwZOEqYlTEUCJLY-eeJM1911Kvaei5oySBIxdgtNo/edit?pli=1#gid=257618397"",""stock FAKTUR!B:e""),4,false)"),"")</f>
        <v/>
      </c>
      <c r="H271" s="53" t="str">
        <f>IFERROR(__xludf.DUMMYFUNCTION("vlookup($D271,IMPORTRANGE(""https://docs.google.com/spreadsheets/d/1swGwZOEqYlTEUCJLY-eeJM1911Kvaei5oySBIxdgtNo/edit?pli=1#gid=257618397"",""stock FAKTUR!B:F""),5,false)"),"KN")</f>
        <v>KN</v>
      </c>
      <c r="I271" s="53" t="str">
        <f>IFERROR(__xludf.DUMMYFUNCTION("vlookup($D271,IMPORTRANGE(""https://docs.google.com/spreadsheets/d/1swGwZOEqYlTEUCJLY-eeJM1911Kvaei5oySBIxdgtNo/edit?pli=1#gid=257618397"",""stock FAKTUR!B:G""),6,false)"),"40")</f>
        <v>40</v>
      </c>
      <c r="J271" s="120" t="str">
        <f t="shared" si="25"/>
        <v>ADA</v>
      </c>
      <c r="K271" s="142">
        <v>1.0</v>
      </c>
      <c r="L271" s="145" t="str">
        <f>IFERROR(__xludf.DUMMYFUNCTION("vlookup($D271,IMPORTRANGE(""https://docs.google.com/spreadsheets/d/1swGwZOEqYlTEUCJLY-eeJM1911Kvaei5oySBIxdgtNo/edit?pli=1#gid=257618397"",""stock FAKTUR!B:q""),16,false)"),"LSN")</f>
        <v>LSN</v>
      </c>
      <c r="M271" s="176">
        <f>23500*12</f>
        <v>282000</v>
      </c>
      <c r="N271" s="152">
        <v>0.125</v>
      </c>
      <c r="O271" s="147">
        <f t="shared" si="73"/>
        <v>246750</v>
      </c>
      <c r="P271" s="147" t="str">
        <f t="shared" si="3"/>
        <v>Rp282,000-1 LSN-12.50%</v>
      </c>
      <c r="Q271" s="149">
        <v>45412.0</v>
      </c>
      <c r="R271" s="150"/>
      <c r="S271" s="149">
        <v>45418.0</v>
      </c>
      <c r="T271" s="151"/>
      <c r="U271" s="151"/>
      <c r="V271" s="151"/>
      <c r="W271" s="151"/>
    </row>
    <row r="272">
      <c r="A272" s="142">
        <v>2990.0</v>
      </c>
      <c r="B272" s="143" t="s">
        <v>58</v>
      </c>
      <c r="C272" s="143" t="s">
        <v>2061</v>
      </c>
      <c r="D272" s="145" t="s">
        <v>4442</v>
      </c>
      <c r="E272" s="145" t="str">
        <f>IFERROR(__xludf.DUMMYFUNCTION("vlookup(D272,IMPORTRANGE(""https://docs.google.com/spreadsheets/d/1swGwZOEqYlTEUCJLY-eeJM1911Kvaei5oySBIxdgtNo/edit?pli=1#gid=257618397"",""stock FAKTUR!B:C""),2,false)"),"CUTTER KENKO A-300")</f>
        <v>CUTTER KENKO A-300</v>
      </c>
      <c r="F272" s="53" t="str">
        <f>IFERROR(__xludf.DUMMYFUNCTION("vlookup($D272,IMPORTRANGE(""https://docs.google.com/spreadsheets/d/1swGwZOEqYlTEUCJLY-eeJM1911Kvaei5oySBIxdgtNo/edit?pli=1#gid=257618397"",""stock FAKTUR!B:d""),3,false)"),"9 MM")</f>
        <v>9 MM</v>
      </c>
      <c r="G272" s="53" t="str">
        <f>IFERROR(__xludf.DUMMYFUNCTION("vlookup($D272,IMPORTRANGE(""https://docs.google.com/spreadsheets/d/1swGwZOEqYlTEUCJLY-eeJM1911Kvaei5oySBIxdgtNo/edit?pli=1#gid=257618397"",""stock FAKTUR!B:e""),4,false)"),"")</f>
        <v/>
      </c>
      <c r="H272" s="53" t="str">
        <f>IFERROR(__xludf.DUMMYFUNCTION("vlookup($D272,IMPORTRANGE(""https://docs.google.com/spreadsheets/d/1swGwZOEqYlTEUCJLY-eeJM1911Kvaei5oySBIxdgtNo/edit?pli=1#gid=257618397"",""stock FAKTUR!B:F""),5,false)"),"KN")</f>
        <v>KN</v>
      </c>
      <c r="I272" s="53" t="str">
        <f>IFERROR(__xludf.DUMMYFUNCTION("vlookup($D272,IMPORTRANGE(""https://docs.google.com/spreadsheets/d/1swGwZOEqYlTEUCJLY-eeJM1911Kvaei5oySBIxdgtNo/edit?pli=1#gid=257618397"",""stock FAKTUR!B:G""),6,false)"),"CTR-004")</f>
        <v>CTR-004</v>
      </c>
      <c r="J272" s="120" t="str">
        <f t="shared" si="25"/>
        <v>ADA</v>
      </c>
      <c r="K272" s="142">
        <v>4.0</v>
      </c>
      <c r="L272" s="145" t="str">
        <f>IFERROR(__xludf.DUMMYFUNCTION("vlookup($D272,IMPORTRANGE(""https://docs.google.com/spreadsheets/d/1swGwZOEqYlTEUCJLY-eeJM1911Kvaei5oySBIxdgtNo/edit?pli=1#gid=257618397"",""stock FAKTUR!B:q""),16,false)"),"LSN")</f>
        <v>LSN</v>
      </c>
      <c r="M272" s="176">
        <v>57000.0</v>
      </c>
      <c r="N272" s="152">
        <v>0.1</v>
      </c>
      <c r="O272" s="147">
        <f t="shared" si="73"/>
        <v>205200</v>
      </c>
      <c r="P272" s="147" t="str">
        <f t="shared" si="3"/>
        <v>Rp57,000-4 LSN-10.00%</v>
      </c>
      <c r="Q272" s="149">
        <v>45412.0</v>
      </c>
      <c r="R272" s="150"/>
      <c r="S272" s="149">
        <v>45418.0</v>
      </c>
      <c r="T272" s="151"/>
      <c r="U272" s="151"/>
      <c r="V272" s="151"/>
      <c r="W272" s="151"/>
    </row>
    <row r="273">
      <c r="A273" s="142">
        <v>2990.0</v>
      </c>
      <c r="B273" s="143" t="str">
        <f t="shared" ref="B273:B276" si="80">IF(A273=A272,B272,"")</f>
        <v>G</v>
      </c>
      <c r="C273" s="143" t="str">
        <f t="shared" ref="C273:C276" si="81">IF(A273=A272,C272,"")</f>
        <v>PUAS-PATI</v>
      </c>
      <c r="D273" s="145" t="s">
        <v>4556</v>
      </c>
      <c r="E273" s="145" t="str">
        <f>IFERROR(__xludf.DUMMYFUNCTION("vlookup(D273,IMPORTRANGE(""https://docs.google.com/spreadsheets/d/1swGwZOEqYlTEUCJLY-eeJM1911Kvaei5oySBIxdgtNo/edit?pli=1#gid=257618397"",""stock FAKTUR!B:C""),2,false)"),"BP GEL KENKO EASY KLIK HITAM")</f>
        <v>BP GEL KENKO EASY KLIK HITAM</v>
      </c>
      <c r="F273" s="53" t="str">
        <f>IFERROR(__xludf.DUMMYFUNCTION("vlookup($D273,IMPORTRANGE(""https://docs.google.com/spreadsheets/d/1swGwZOEqYlTEUCJLY-eeJM1911Kvaei5oySBIxdgtNo/edit?pli=1#gid=257618397"",""stock FAKTUR!B:d""),3,false)"),"")</f>
        <v/>
      </c>
      <c r="G273" s="53" t="str">
        <f>IFERROR(__xludf.DUMMYFUNCTION("vlookup($D273,IMPORTRANGE(""https://docs.google.com/spreadsheets/d/1swGwZOEqYlTEUCJLY-eeJM1911Kvaei5oySBIxdgtNo/edit?pli=1#gid=257618397"",""stock FAKTUR!B:e""),4,false)"),"HITAM")</f>
        <v>HITAM</v>
      </c>
      <c r="H273" s="53" t="str">
        <f>IFERROR(__xludf.DUMMYFUNCTION("vlookup($D273,IMPORTRANGE(""https://docs.google.com/spreadsheets/d/1swGwZOEqYlTEUCJLY-eeJM1911Kvaei5oySBIxdgtNo/edit?pli=1#gid=257618397"",""stock FAKTUR!B:F""),5,false)"),"KN")</f>
        <v>KN</v>
      </c>
      <c r="I273" s="53" t="str">
        <f>IFERROR(__xludf.DUMMYFUNCTION("vlookup($D273,IMPORTRANGE(""https://docs.google.com/spreadsheets/d/1swGwZOEqYlTEUCJLY-eeJM1911Kvaei5oySBIxdgtNo/edit?pli=1#gid=257618397"",""stock FAKTUR!B:G""),6,false)"),"GPR-023B")</f>
        <v>GPR-023B</v>
      </c>
      <c r="J273" s="120" t="str">
        <f t="shared" si="25"/>
        <v>ADA</v>
      </c>
      <c r="K273" s="142">
        <v>24.0</v>
      </c>
      <c r="L273" s="145" t="str">
        <f>IFERROR(__xludf.DUMMYFUNCTION("vlookup($D273,IMPORTRANGE(""https://docs.google.com/spreadsheets/d/1swGwZOEqYlTEUCJLY-eeJM1911Kvaei5oySBIxdgtNo/edit?pli=1#gid=257618397"",""stock FAKTUR!B:q""),16,false)"),"LSN")</f>
        <v>LSN</v>
      </c>
      <c r="M273" s="176">
        <v>30000.0</v>
      </c>
      <c r="N273" s="152">
        <v>0.1</v>
      </c>
      <c r="O273" s="147">
        <f t="shared" si="73"/>
        <v>648000</v>
      </c>
      <c r="P273" s="147" t="str">
        <f t="shared" si="3"/>
        <v>Rp30,000-24 LSN-10.00%</v>
      </c>
      <c r="Q273" s="149">
        <v>45412.0</v>
      </c>
      <c r="R273" s="150"/>
      <c r="S273" s="149">
        <v>45418.0</v>
      </c>
      <c r="T273" s="151"/>
      <c r="U273" s="151"/>
      <c r="V273" s="151"/>
      <c r="W273" s="151"/>
    </row>
    <row r="274">
      <c r="A274" s="142">
        <v>2990.0</v>
      </c>
      <c r="B274" s="143" t="str">
        <f t="shared" si="80"/>
        <v>G</v>
      </c>
      <c r="C274" s="143" t="str">
        <f t="shared" si="81"/>
        <v>PUAS-PATI</v>
      </c>
      <c r="D274" s="145" t="s">
        <v>4436</v>
      </c>
      <c r="E274" s="145" t="str">
        <f>IFERROR(__xludf.DUMMYFUNCTION("vlookup(D274,IMPORTRANGE(""https://docs.google.com/spreadsheets/d/1swGwZOEqYlTEUCJLY-eeJM1911Kvaei5oySBIxdgtNo/edit?pli=1#gid=257618397"",""stock FAKTUR!B:C""),2,false)"),"STAPLER KENKO HD-50")</f>
        <v>STAPLER KENKO HD-50</v>
      </c>
      <c r="F274" s="53" t="str">
        <f>IFERROR(__xludf.DUMMYFUNCTION("vlookup($D274,IMPORTRANGE(""https://docs.google.com/spreadsheets/d/1swGwZOEqYlTEUCJLY-eeJM1911Kvaei5oySBIxdgtNo/edit?pli=1#gid=257618397"",""stock FAKTUR!B:d""),3,false)"),"")</f>
        <v/>
      </c>
      <c r="G274" s="53" t="str">
        <f>IFERROR(__xludf.DUMMYFUNCTION("vlookup($D274,IMPORTRANGE(""https://docs.google.com/spreadsheets/d/1swGwZOEqYlTEUCJLY-eeJM1911Kvaei5oySBIxdgtNo/edit?pli=1#gid=257618397"",""stock FAKTUR!B:e""),4,false)"),"")</f>
        <v/>
      </c>
      <c r="H274" s="53" t="str">
        <f>IFERROR(__xludf.DUMMYFUNCTION("vlookup($D274,IMPORTRANGE(""https://docs.google.com/spreadsheets/d/1swGwZOEqYlTEUCJLY-eeJM1911Kvaei5oySBIxdgtNo/edit?pli=1#gid=257618397"",""stock FAKTUR!B:F""),5,false)"),"KN")</f>
        <v>KN</v>
      </c>
      <c r="I274" s="53" t="str">
        <f>IFERROR(__xludf.DUMMYFUNCTION("vlookup($D274,IMPORTRANGE(""https://docs.google.com/spreadsheets/d/1swGwZOEqYlTEUCJLY-eeJM1911Kvaei5oySBIxdgtNo/edit?pli=1#gid=257618397"",""stock FAKTUR!B:G""),6,false)"),"HD-50")</f>
        <v>HD-50</v>
      </c>
      <c r="J274" s="120" t="str">
        <f t="shared" si="25"/>
        <v>ADA</v>
      </c>
      <c r="K274" s="142">
        <f>2*12</f>
        <v>24</v>
      </c>
      <c r="L274" s="145" t="str">
        <f>IFERROR(__xludf.DUMMYFUNCTION("vlookup($D274,IMPORTRANGE(""https://docs.google.com/spreadsheets/d/1swGwZOEqYlTEUCJLY-eeJM1911Kvaei5oySBIxdgtNo/edit?pli=1#gid=257618397"",""stock FAKTUR!B:q""),16,false)"),"PCS")</f>
        <v>PCS</v>
      </c>
      <c r="M274" s="176">
        <f>228000/12</f>
        <v>19000</v>
      </c>
      <c r="N274" s="152">
        <v>0.1</v>
      </c>
      <c r="O274" s="147">
        <f t="shared" si="73"/>
        <v>410400</v>
      </c>
      <c r="P274" s="147" t="str">
        <f t="shared" si="3"/>
        <v>Rp19,000-24 PCS-10.00%</v>
      </c>
      <c r="Q274" s="149">
        <v>45412.0</v>
      </c>
      <c r="R274" s="150"/>
      <c r="S274" s="149">
        <v>45418.0</v>
      </c>
      <c r="T274" s="151"/>
      <c r="U274" s="151"/>
      <c r="V274" s="151"/>
      <c r="W274" s="151"/>
    </row>
    <row r="275">
      <c r="A275" s="153">
        <v>2990.0</v>
      </c>
      <c r="B275" s="144" t="str">
        <f t="shared" si="80"/>
        <v>G</v>
      </c>
      <c r="C275" s="144" t="str">
        <f t="shared" si="81"/>
        <v>PUAS-PATI</v>
      </c>
      <c r="D275" s="145" t="s">
        <v>4414</v>
      </c>
      <c r="E275" s="145" t="str">
        <f>IFERROR(__xludf.DUMMYFUNCTION("vlookup(D275,IMPORTRANGE(""https://docs.google.com/spreadsheets/d/1swGwZOEqYlTEUCJLY-eeJM1911Kvaei5oySBIxdgtNo/edit?pli=1#gid=257618397"",""stock FAKTUR!B:C""),2,false)"),"PENSIL GLASS JK PG-100 (PUTIH)")</f>
        <v>PENSIL GLASS JK PG-100 (PUTIH)</v>
      </c>
      <c r="F275" s="53" t="str">
        <f>IFERROR(__xludf.DUMMYFUNCTION("vlookup($D275,IMPORTRANGE(""https://docs.google.com/spreadsheets/d/1swGwZOEqYlTEUCJLY-eeJM1911Kvaei5oySBIxdgtNo/edit?pli=1#gid=257618397"",""stock FAKTUR!B:d""),3,false)"),"")</f>
        <v/>
      </c>
      <c r="G275" s="53" t="str">
        <f>IFERROR(__xludf.DUMMYFUNCTION("vlookup($D275,IMPORTRANGE(""https://docs.google.com/spreadsheets/d/1swGwZOEqYlTEUCJLY-eeJM1911Kvaei5oySBIxdgtNo/edit?pli=1#gid=257618397"",""stock FAKTUR!B:e""),4,false)"),"PUTIH")</f>
        <v>PUTIH</v>
      </c>
      <c r="H275" s="53" t="str">
        <f>IFERROR(__xludf.DUMMYFUNCTION("vlookup($D275,IMPORTRANGE(""https://docs.google.com/spreadsheets/d/1swGwZOEqYlTEUCJLY-eeJM1911Kvaei5oySBIxdgtNo/edit?pli=1#gid=257618397"",""stock FAKTUR!B:F""),5,false)"),"JK")</f>
        <v>JK</v>
      </c>
      <c r="I275" s="53" t="str">
        <f>IFERROR(__xludf.DUMMYFUNCTION("vlookup($D275,IMPORTRANGE(""https://docs.google.com/spreadsheets/d/1swGwZOEqYlTEUCJLY-eeJM1911Kvaei5oySBIxdgtNo/edit?pli=1#gid=257618397"",""stock FAKTUR!B:G""),6,false)"),"")</f>
        <v/>
      </c>
      <c r="J275" s="120" t="str">
        <f t="shared" si="25"/>
        <v>ADA</v>
      </c>
      <c r="K275" s="153">
        <f>5/12</f>
        <v>0.4166666667</v>
      </c>
      <c r="L275" s="145" t="str">
        <f>IFERROR(__xludf.DUMMYFUNCTION("vlookup($D275,IMPORTRANGE(""https://docs.google.com/spreadsheets/d/1swGwZOEqYlTEUCJLY-eeJM1911Kvaei5oySBIxdgtNo/edit?pli=1#gid=257618397"",""stock FAKTUR!B:q""),16,false)"),"GRS")</f>
        <v>GRS</v>
      </c>
      <c r="M275" s="181">
        <f>12*21300</f>
        <v>255600</v>
      </c>
      <c r="N275" s="156">
        <v>0.1</v>
      </c>
      <c r="O275" s="155">
        <f t="shared" si="73"/>
        <v>95850</v>
      </c>
      <c r="P275" s="155" t="str">
        <f t="shared" si="3"/>
        <v>Rp255,600-0.416666666666667 GRS-10.00%</v>
      </c>
      <c r="Q275" s="157">
        <v>45412.0</v>
      </c>
      <c r="R275" s="158"/>
      <c r="S275" s="157">
        <v>45418.0</v>
      </c>
      <c r="T275" s="145" t="s">
        <v>4562</v>
      </c>
      <c r="U275" s="145" t="s">
        <v>4563</v>
      </c>
      <c r="V275" s="145"/>
      <c r="W275" s="159"/>
    </row>
    <row r="276">
      <c r="A276" s="142">
        <v>2990.0</v>
      </c>
      <c r="B276" s="143" t="str">
        <f t="shared" si="80"/>
        <v>G</v>
      </c>
      <c r="C276" s="143" t="str">
        <f t="shared" si="81"/>
        <v>PUAS-PATI</v>
      </c>
      <c r="D276" s="183" t="s">
        <v>4514</v>
      </c>
      <c r="E276" s="145" t="str">
        <f>IFERROR(__xludf.DUMMYFUNCTION("vlookup(D276,IMPORTRANGE(""https://docs.google.com/spreadsheets/d/1swGwZOEqYlTEUCJLY-eeJM1911Kvaei5oySBIxdgtNo/edit?pli=1#gid=257618397"",""stock FAKTUR!B:C""),2,false)"),"TAPE DISPENSER KENKO TD-323")</f>
        <v>TAPE DISPENSER KENKO TD-323</v>
      </c>
      <c r="F276" s="53" t="str">
        <f>IFERROR(__xludf.DUMMYFUNCTION("vlookup($D276,IMPORTRANGE(""https://docs.google.com/spreadsheets/d/1swGwZOEqYlTEUCJLY-eeJM1911Kvaei5oySBIxdgtNo/edit?pli=1#gid=257618397"",""stock FAKTUR!B:d""),3,false)"),"")</f>
        <v/>
      </c>
      <c r="G276" s="53" t="str">
        <f>IFERROR(__xludf.DUMMYFUNCTION("vlookup($D276,IMPORTRANGE(""https://docs.google.com/spreadsheets/d/1swGwZOEqYlTEUCJLY-eeJM1911Kvaei5oySBIxdgtNo/edit?pli=1#gid=257618397"",""stock FAKTUR!B:e""),4,false)"),"")</f>
        <v/>
      </c>
      <c r="H276" s="53" t="str">
        <f>IFERROR(__xludf.DUMMYFUNCTION("vlookup($D276,IMPORTRANGE(""https://docs.google.com/spreadsheets/d/1swGwZOEqYlTEUCJLY-eeJM1911Kvaei5oySBIxdgtNo/edit?pli=1#gid=257618397"",""stock FAKTUR!B:F""),5,false)"),"KN")</f>
        <v>KN</v>
      </c>
      <c r="I276" s="53" t="str">
        <f>IFERROR(__xludf.DUMMYFUNCTION("vlookup($D276,IMPORTRANGE(""https://docs.google.com/spreadsheets/d/1swGwZOEqYlTEUCJLY-eeJM1911Kvaei5oySBIxdgtNo/edit?pli=1#gid=257618397"",""stock FAKTUR!B:G""),6,false)"),"TPD-006")</f>
        <v>TPD-006</v>
      </c>
      <c r="J276" s="120" t="str">
        <f t="shared" si="25"/>
        <v>ADA</v>
      </c>
      <c r="K276" s="142">
        <v>24.0</v>
      </c>
      <c r="L276" s="145" t="str">
        <f>IFERROR(__xludf.DUMMYFUNCTION("vlookup($D276,IMPORTRANGE(""https://docs.google.com/spreadsheets/d/1swGwZOEqYlTEUCJLY-eeJM1911Kvaei5oySBIxdgtNo/edit?pli=1#gid=257618397"",""stock FAKTUR!B:q""),16,false)"),"PCS")</f>
        <v>PCS</v>
      </c>
      <c r="M276" s="176">
        <v>19250.0</v>
      </c>
      <c r="N276" s="152">
        <v>0.125</v>
      </c>
      <c r="O276" s="147">
        <f t="shared" si="73"/>
        <v>404250</v>
      </c>
      <c r="P276" s="147" t="str">
        <f t="shared" si="3"/>
        <v>Rp19,250-24 PCS-12.50%</v>
      </c>
      <c r="Q276" s="149">
        <v>45412.0</v>
      </c>
      <c r="R276" s="150"/>
      <c r="S276" s="149">
        <v>45418.0</v>
      </c>
      <c r="T276" s="172"/>
      <c r="U276" s="172"/>
      <c r="V276" s="151"/>
      <c r="W276" s="151"/>
    </row>
    <row r="277">
      <c r="A277" s="142">
        <v>2989.0</v>
      </c>
      <c r="B277" s="143" t="s">
        <v>58</v>
      </c>
      <c r="C277" s="143" t="s">
        <v>2061</v>
      </c>
      <c r="D277" s="171" t="s">
        <v>4564</v>
      </c>
      <c r="E277" s="145" t="str">
        <f>IFERROR(__xludf.DUMMYFUNCTION("vlookup(D277,IMPORTRANGE(""https://docs.google.com/spreadsheets/d/1swGwZOEqYlTEUCJLY-eeJM1911Kvaei5oySBIxdgtNo/edit?pli=1#gid=257618397"",""stock FAKTUR!B:C""),2,false)"),"MAP DOC BAG+HANDLE 2545 JARING A5")</f>
        <v>MAP DOC BAG+HANDLE 2545 JARING A5</v>
      </c>
      <c r="F277" s="53" t="str">
        <f>IFERROR(__xludf.DUMMYFUNCTION("vlookup($D277,IMPORTRANGE(""https://docs.google.com/spreadsheets/d/1swGwZOEqYlTEUCJLY-eeJM1911Kvaei5oySBIxdgtNo/edit?pli=1#gid=257618397"",""stock FAKTUR!B:d""),3,false)"),"B5")</f>
        <v>B5</v>
      </c>
      <c r="G277" s="53" t="str">
        <f>IFERROR(__xludf.DUMMYFUNCTION("vlookup($D277,IMPORTRANGE(""https://docs.google.com/spreadsheets/d/1swGwZOEqYlTEUCJLY-eeJM1911Kvaei5oySBIxdgtNo/edit?pli=1#gid=257618397"",""stock FAKTUR!B:e""),4,false)"),"")</f>
        <v/>
      </c>
      <c r="H277" s="53" t="str">
        <f>IFERROR(__xludf.DUMMYFUNCTION("vlookup($D277,IMPORTRANGE(""https://docs.google.com/spreadsheets/d/1swGwZOEqYlTEUCJLY-eeJM1911Kvaei5oySBIxdgtNo/edit?pli=1#gid=257618397"",""stock FAKTUR!B:F""),5,false)"),"CR")</f>
        <v>CR</v>
      </c>
      <c r="I277" s="53" t="str">
        <f>IFERROR(__xludf.DUMMYFUNCTION("vlookup($D277,IMPORTRANGE(""https://docs.google.com/spreadsheets/d/1swGwZOEqYlTEUCJLY-eeJM1911Kvaei5oySBIxdgtNo/edit?pli=1#gid=257618397"",""stock FAKTUR!B:G""),6,false)"),"2545")</f>
        <v>2545</v>
      </c>
      <c r="J277" s="120" t="str">
        <f t="shared" si="25"/>
        <v>ADA</v>
      </c>
      <c r="K277" s="142">
        <v>3.0</v>
      </c>
      <c r="L277" s="145" t="str">
        <f>IFERROR(__xludf.DUMMYFUNCTION("vlookup($D277,IMPORTRANGE(""https://docs.google.com/spreadsheets/d/1swGwZOEqYlTEUCJLY-eeJM1911Kvaei5oySBIxdgtNo/edit?pli=1#gid=257618397"",""stock FAKTUR!B:q""),16,false)"),"LSN")</f>
        <v>LSN</v>
      </c>
      <c r="M277" s="176">
        <v>105000.0</v>
      </c>
      <c r="N277" s="148"/>
      <c r="O277" s="147">
        <f t="shared" si="73"/>
        <v>315000</v>
      </c>
      <c r="P277" s="147" t="str">
        <f t="shared" si="3"/>
        <v>Rp105,000-3 LSN-0.00%</v>
      </c>
      <c r="Q277" s="149">
        <v>45412.0</v>
      </c>
      <c r="R277" s="150"/>
      <c r="S277" s="149">
        <v>45418.0</v>
      </c>
      <c r="T277" s="172"/>
      <c r="U277" s="172"/>
      <c r="V277" s="151"/>
      <c r="W277" s="151"/>
    </row>
    <row r="278">
      <c r="A278" s="142">
        <v>2989.0</v>
      </c>
      <c r="B278" s="143" t="str">
        <f t="shared" ref="B278:B283" si="82">IF(A278=A277,B277,"")</f>
        <v>G</v>
      </c>
      <c r="C278" s="143" t="str">
        <f t="shared" ref="C278:C283" si="83">IF(A278=A277,C277,"")</f>
        <v>PUAS-PATI</v>
      </c>
      <c r="D278" s="145" t="s">
        <v>4539</v>
      </c>
      <c r="E278" s="145" t="str">
        <f>IFERROR(__xludf.DUMMYFUNCTION("vlookup(D278,IMPORTRANGE(""https://docs.google.com/spreadsheets/d/1swGwZOEqYlTEUCJLY-eeJM1911Kvaei5oySBIxdgtNo/edit?pli=1#gid=257618397"",""stock FAKTUR!B:C""),2,false)"),"MAP DOC BAG 2543 JARING A4")</f>
        <v>MAP DOC BAG 2543 JARING A4</v>
      </c>
      <c r="F278" s="53" t="str">
        <f>IFERROR(__xludf.DUMMYFUNCTION("vlookup($D278,IMPORTRANGE(""https://docs.google.com/spreadsheets/d/1swGwZOEqYlTEUCJLY-eeJM1911Kvaei5oySBIxdgtNo/edit?pli=1#gid=257618397"",""stock FAKTUR!B:d""),3,false)"),"A4")</f>
        <v>A4</v>
      </c>
      <c r="G278" s="53" t="str">
        <f>IFERROR(__xludf.DUMMYFUNCTION("vlookup($D278,IMPORTRANGE(""https://docs.google.com/spreadsheets/d/1swGwZOEqYlTEUCJLY-eeJM1911Kvaei5oySBIxdgtNo/edit?pli=1#gid=257618397"",""stock FAKTUR!B:e""),4,false)"),"4W")</f>
        <v>4W</v>
      </c>
      <c r="H278" s="53" t="str">
        <f>IFERROR(__xludf.DUMMYFUNCTION("vlookup($D278,IMPORTRANGE(""https://docs.google.com/spreadsheets/d/1swGwZOEqYlTEUCJLY-eeJM1911Kvaei5oySBIxdgtNo/edit?pli=1#gid=257618397"",""stock FAKTUR!B:F""),5,false)"),"CR")</f>
        <v>CR</v>
      </c>
      <c r="I278" s="53" t="str">
        <f>IFERROR(__xludf.DUMMYFUNCTION("vlookup($D278,IMPORTRANGE(""https://docs.google.com/spreadsheets/d/1swGwZOEqYlTEUCJLY-eeJM1911Kvaei5oySBIxdgtNo/edit?pli=1#gid=257618397"",""stock FAKTUR!B:G""),6,false)"),"2543")</f>
        <v>2543</v>
      </c>
      <c r="J278" s="120" t="str">
        <f t="shared" si="25"/>
        <v>ADA</v>
      </c>
      <c r="K278" s="142">
        <v>3.0</v>
      </c>
      <c r="L278" s="145" t="str">
        <f>IFERROR(__xludf.DUMMYFUNCTION("vlookup($D278,IMPORTRANGE(""https://docs.google.com/spreadsheets/d/1swGwZOEqYlTEUCJLY-eeJM1911Kvaei5oySBIxdgtNo/edit?pli=1#gid=257618397"",""stock FAKTUR!B:q""),16,false)"),"LSN")</f>
        <v>LSN</v>
      </c>
      <c r="M278" s="176">
        <v>126000.0</v>
      </c>
      <c r="N278" s="148"/>
      <c r="O278" s="147">
        <f t="shared" si="73"/>
        <v>378000</v>
      </c>
      <c r="P278" s="147" t="str">
        <f t="shared" si="3"/>
        <v>Rp126,000-3 LSN-0.00%</v>
      </c>
      <c r="Q278" s="149">
        <v>45412.0</v>
      </c>
      <c r="R278" s="150"/>
      <c r="S278" s="149">
        <v>45418.0</v>
      </c>
      <c r="T278" s="172"/>
      <c r="U278" s="172"/>
      <c r="V278" s="151"/>
      <c r="W278" s="151"/>
    </row>
    <row r="279">
      <c r="A279" s="142">
        <v>2989.0</v>
      </c>
      <c r="B279" s="143" t="str">
        <f t="shared" si="82"/>
        <v>G</v>
      </c>
      <c r="C279" s="143" t="str">
        <f t="shared" si="83"/>
        <v>PUAS-PATI</v>
      </c>
      <c r="D279" s="145" t="s">
        <v>4517</v>
      </c>
      <c r="E279" s="145" t="str">
        <f>IFERROR(__xludf.DUMMYFUNCTION("vlookup(D279,IMPORTRANGE(""https://docs.google.com/spreadsheets/d/1swGwZOEqYlTEUCJLY-eeJM1911Kvaei5oySBIxdgtNo/edit?pli=1#gid=257618397"",""stock FAKTUR!B:C""),2,false)"),"BP VANCO 1609")</f>
        <v>BP VANCO 1609</v>
      </c>
      <c r="F279" s="53" t="str">
        <f>IFERROR(__xludf.DUMMYFUNCTION("vlookup($D279,IMPORTRANGE(""https://docs.google.com/spreadsheets/d/1swGwZOEqYlTEUCJLY-eeJM1911Kvaei5oySBIxdgtNo/edit?pli=1#gid=257618397"",""stock FAKTUR!B:d""),3,false)"),"")</f>
        <v/>
      </c>
      <c r="G279" s="53" t="str">
        <f>IFERROR(__xludf.DUMMYFUNCTION("vlookup($D279,IMPORTRANGE(""https://docs.google.com/spreadsheets/d/1swGwZOEqYlTEUCJLY-eeJM1911Kvaei5oySBIxdgtNo/edit?pli=1#gid=257618397"",""stock FAKTUR!B:e""),4,false)"),"")</f>
        <v/>
      </c>
      <c r="H279" s="53" t="str">
        <f>IFERROR(__xludf.DUMMYFUNCTION("vlookup($D279,IMPORTRANGE(""https://docs.google.com/spreadsheets/d/1swGwZOEqYlTEUCJLY-eeJM1911Kvaei5oySBIxdgtNo/edit?pli=1#gid=257618397"",""stock FAKTUR!B:F""),5,false)"),"VN")</f>
        <v>VN</v>
      </c>
      <c r="I279" s="53" t="str">
        <f>IFERROR(__xludf.DUMMYFUNCTION("vlookup($D279,IMPORTRANGE(""https://docs.google.com/spreadsheets/d/1swGwZOEqYlTEUCJLY-eeJM1911Kvaei5oySBIxdgtNo/edit?pli=1#gid=257618397"",""stock FAKTUR!B:G""),6,false)"),"1609")</f>
        <v>1609</v>
      </c>
      <c r="J279" s="120" t="str">
        <f t="shared" si="25"/>
        <v>ADA</v>
      </c>
      <c r="K279" s="142">
        <v>24.0</v>
      </c>
      <c r="L279" s="145" t="str">
        <f>IFERROR(__xludf.DUMMYFUNCTION("vlookup($D279,IMPORTRANGE(""https://docs.google.com/spreadsheets/d/1swGwZOEqYlTEUCJLY-eeJM1911Kvaei5oySBIxdgtNo/edit?pli=1#gid=257618397"",""stock FAKTUR!B:q""),16,false)"),"LSN")</f>
        <v>LSN</v>
      </c>
      <c r="M279" s="176">
        <v>11000.0</v>
      </c>
      <c r="N279" s="148"/>
      <c r="O279" s="147">
        <f t="shared" si="73"/>
        <v>264000</v>
      </c>
      <c r="P279" s="147" t="str">
        <f t="shared" si="3"/>
        <v>Rp11,000-24 LSN-0.00%</v>
      </c>
      <c r="Q279" s="149">
        <v>45412.0</v>
      </c>
      <c r="R279" s="150"/>
      <c r="S279" s="149">
        <v>45418.0</v>
      </c>
      <c r="T279" s="172"/>
      <c r="U279" s="172"/>
      <c r="V279" s="151"/>
      <c r="W279" s="151"/>
    </row>
    <row r="280">
      <c r="A280" s="142">
        <v>2989.0</v>
      </c>
      <c r="B280" s="143" t="str">
        <f t="shared" si="82"/>
        <v>G</v>
      </c>
      <c r="C280" s="143" t="str">
        <f t="shared" si="83"/>
        <v>PUAS-PATI</v>
      </c>
      <c r="D280" s="145" t="s">
        <v>4565</v>
      </c>
      <c r="E280" s="145" t="str">
        <f>IFERROR(__xludf.DUMMYFUNCTION("vlookup(D280,IMPORTRANGE(""https://docs.google.com/spreadsheets/d/1swGwZOEqYlTEUCJLY-eeJM1911Kvaei5oySBIxdgtNo/edit?pli=1#gid=257618397"",""stock FAKTUR!B:C""),2,false)"),"PC MAGNIT FC-6295 (23X10)")</f>
        <v>PC MAGNIT FC-6295 (23X10)</v>
      </c>
      <c r="F280" s="53" t="str">
        <f>IFERROR(__xludf.DUMMYFUNCTION("vlookup($D280,IMPORTRANGE(""https://docs.google.com/spreadsheets/d/1swGwZOEqYlTEUCJLY-eeJM1911Kvaei5oySBIxdgtNo/edit?pli=1#gid=257618397"",""stock FAKTUR!B:d""),3,false)"),"")</f>
        <v/>
      </c>
      <c r="G280" s="53" t="str">
        <f>IFERROR(__xludf.DUMMYFUNCTION("vlookup($D280,IMPORTRANGE(""https://docs.google.com/spreadsheets/d/1swGwZOEqYlTEUCJLY-eeJM1911Kvaei5oySBIxdgtNo/edit?pli=1#gid=257618397"",""stock FAKTUR!B:e""),4,false)"),"")</f>
        <v/>
      </c>
      <c r="H280" s="53" t="str">
        <f>IFERROR(__xludf.DUMMYFUNCTION("vlookup($D280,IMPORTRANGE(""https://docs.google.com/spreadsheets/d/1swGwZOEqYlTEUCJLY-eeJM1911Kvaei5oySBIxdgtNo/edit?pli=1#gid=257618397"",""stock FAKTUR!B:F""),5,false)"),"NB")</f>
        <v>NB</v>
      </c>
      <c r="I280" s="53" t="str">
        <f>IFERROR(__xludf.DUMMYFUNCTION("vlookup($D280,IMPORTRANGE(""https://docs.google.com/spreadsheets/d/1swGwZOEqYlTEUCJLY-eeJM1911Kvaei5oySBIxdgtNo/edit?pli=1#gid=257618397"",""stock FAKTUR!B:G""),6,false)"),"")</f>
        <v/>
      </c>
      <c r="J280" s="120" t="str">
        <f t="shared" si="25"/>
        <v>ADA</v>
      </c>
      <c r="K280" s="184">
        <v>22.0</v>
      </c>
      <c r="L280" s="145" t="str">
        <f>IFERROR(__xludf.DUMMYFUNCTION("vlookup($D280,IMPORTRANGE(""https://docs.google.com/spreadsheets/d/1swGwZOEqYlTEUCJLY-eeJM1911Kvaei5oySBIxdgtNo/edit?pli=1#gid=257618397"",""stock FAKTUR!B:q""),16,false)"),"PCS")</f>
        <v>PCS</v>
      </c>
      <c r="M280" s="176">
        <f t="shared" ref="M280:M281" si="84">160000/12</f>
        <v>13333.33333</v>
      </c>
      <c r="N280" s="148"/>
      <c r="O280" s="147">
        <f t="shared" si="73"/>
        <v>293333.3333</v>
      </c>
      <c r="P280" s="147" t="str">
        <f t="shared" si="3"/>
        <v>Rp13,333-22 PCS-0.00%</v>
      </c>
      <c r="Q280" s="149">
        <v>45412.0</v>
      </c>
      <c r="R280" s="150"/>
      <c r="S280" s="149">
        <v>45418.0</v>
      </c>
      <c r="T280" s="151"/>
      <c r="U280" s="151"/>
      <c r="V280" s="151"/>
      <c r="W280" s="151"/>
    </row>
    <row r="281">
      <c r="A281" s="142">
        <v>2989.0</v>
      </c>
      <c r="B281" s="143" t="str">
        <f t="shared" si="82"/>
        <v>G</v>
      </c>
      <c r="C281" s="143" t="str">
        <f t="shared" si="83"/>
        <v>PUAS-PATI</v>
      </c>
      <c r="D281" s="145" t="s">
        <v>4566</v>
      </c>
      <c r="E281" s="145" t="str">
        <f>IFERROR(__xludf.DUMMYFUNCTION("vlookup(D281,IMPORTRANGE(""https://docs.google.com/spreadsheets/d/1swGwZOEqYlTEUCJLY-eeJM1911Kvaei5oySBIxdgtNo/edit?pli=1#gid=257618397"",""stock FAKTUR!B:C""),2,false)"),"PC MAGNIT FC-5223 3D (23X8.5)")</f>
        <v>PC MAGNIT FC-5223 3D (23X8.5)</v>
      </c>
      <c r="F281" s="53" t="str">
        <f>IFERROR(__xludf.DUMMYFUNCTION("vlookup($D281,IMPORTRANGE(""https://docs.google.com/spreadsheets/d/1swGwZOEqYlTEUCJLY-eeJM1911Kvaei5oySBIxdgtNo/edit?pli=1#gid=257618397"",""stock FAKTUR!B:d""),3,false)"),"")</f>
        <v/>
      </c>
      <c r="G281" s="53" t="str">
        <f>IFERROR(__xludf.DUMMYFUNCTION("vlookup($D281,IMPORTRANGE(""https://docs.google.com/spreadsheets/d/1swGwZOEqYlTEUCJLY-eeJM1911Kvaei5oySBIxdgtNo/edit?pli=1#gid=257618397"",""stock FAKTUR!B:e""),4,false)"),"")</f>
        <v/>
      </c>
      <c r="H281" s="53" t="str">
        <f>IFERROR(__xludf.DUMMYFUNCTION("vlookup($D281,IMPORTRANGE(""https://docs.google.com/spreadsheets/d/1swGwZOEqYlTEUCJLY-eeJM1911Kvaei5oySBIxdgtNo/edit?pli=1#gid=257618397"",""stock FAKTUR!B:F""),5,false)"),"NB")</f>
        <v>NB</v>
      </c>
      <c r="I281" s="53" t="str">
        <f>IFERROR(__xludf.DUMMYFUNCTION("vlookup($D281,IMPORTRANGE(""https://docs.google.com/spreadsheets/d/1swGwZOEqYlTEUCJLY-eeJM1911Kvaei5oySBIxdgtNo/edit?pli=1#gid=257618397"",""stock FAKTUR!B:G""),6,false)"),"")</f>
        <v/>
      </c>
      <c r="J281" s="120" t="str">
        <f t="shared" si="25"/>
        <v>ADA</v>
      </c>
      <c r="K281" s="142">
        <f t="shared" ref="K281:K283" si="85">3*12</f>
        <v>36</v>
      </c>
      <c r="L281" s="145" t="str">
        <f>IFERROR(__xludf.DUMMYFUNCTION("vlookup($D281,IMPORTRANGE(""https://docs.google.com/spreadsheets/d/1swGwZOEqYlTEUCJLY-eeJM1911Kvaei5oySBIxdgtNo/edit?pli=1#gid=257618397"",""stock FAKTUR!B:q""),16,false)"),"PCS")</f>
        <v>PCS</v>
      </c>
      <c r="M281" s="176">
        <f t="shared" si="84"/>
        <v>13333.33333</v>
      </c>
      <c r="N281" s="148"/>
      <c r="O281" s="147">
        <f t="shared" si="73"/>
        <v>480000</v>
      </c>
      <c r="P281" s="147" t="str">
        <f t="shared" si="3"/>
        <v>Rp13,333-36 PCS-0.00%</v>
      </c>
      <c r="Q281" s="149">
        <v>45412.0</v>
      </c>
      <c r="R281" s="150"/>
      <c r="S281" s="149">
        <v>45418.0</v>
      </c>
      <c r="T281" s="151"/>
      <c r="U281" s="151"/>
      <c r="V281" s="151"/>
      <c r="W281" s="151"/>
    </row>
    <row r="282">
      <c r="A282" s="142">
        <v>2989.0</v>
      </c>
      <c r="B282" s="143" t="str">
        <f t="shared" si="82"/>
        <v>G</v>
      </c>
      <c r="C282" s="143" t="str">
        <f t="shared" si="83"/>
        <v>PUAS-PATI</v>
      </c>
      <c r="D282" s="145" t="s">
        <v>4567</v>
      </c>
      <c r="E282" s="145" t="str">
        <f>IFERROR(__xludf.DUMMYFUNCTION("vlookup(D282,IMPORTRANGE(""https://docs.google.com/spreadsheets/d/1swGwZOEqYlTEUCJLY-eeJM1911Kvaei5oySBIxdgtNo/edit?pli=1#gid=257618397"",""stock FAKTUR!B:C""),2,false)"),"PC MAGNIT FX-2275 (22X7.5) METALIK")</f>
        <v>PC MAGNIT FX-2275 (22X7.5) METALIK</v>
      </c>
      <c r="F282" s="53" t="str">
        <f>IFERROR(__xludf.DUMMYFUNCTION("vlookup($D282,IMPORTRANGE(""https://docs.google.com/spreadsheets/d/1swGwZOEqYlTEUCJLY-eeJM1911Kvaei5oySBIxdgtNo/edit?pli=1#gid=257618397"",""stock FAKTUR!B:d""),3,false)"),"")</f>
        <v/>
      </c>
      <c r="G282" s="53" t="str">
        <f>IFERROR(__xludf.DUMMYFUNCTION("vlookup($D282,IMPORTRANGE(""https://docs.google.com/spreadsheets/d/1swGwZOEqYlTEUCJLY-eeJM1911Kvaei5oySBIxdgtNo/edit?pli=1#gid=257618397"",""stock FAKTUR!B:e""),4,false)"),"")</f>
        <v/>
      </c>
      <c r="H282" s="53" t="str">
        <f>IFERROR(__xludf.DUMMYFUNCTION("vlookup($D282,IMPORTRANGE(""https://docs.google.com/spreadsheets/d/1swGwZOEqYlTEUCJLY-eeJM1911Kvaei5oySBIxdgtNo/edit?pli=1#gid=257618397"",""stock FAKTUR!B:F""),5,false)"),"NB")</f>
        <v>NB</v>
      </c>
      <c r="I282" s="53" t="str">
        <f>IFERROR(__xludf.DUMMYFUNCTION("vlookup($D282,IMPORTRANGE(""https://docs.google.com/spreadsheets/d/1swGwZOEqYlTEUCJLY-eeJM1911Kvaei5oySBIxdgtNo/edit?pli=1#gid=257618397"",""stock FAKTUR!B:G""),6,false)"),"FX-2275")</f>
        <v>FX-2275</v>
      </c>
      <c r="J282" s="120" t="str">
        <f t="shared" si="25"/>
        <v>ADA</v>
      </c>
      <c r="K282" s="142">
        <f t="shared" si="85"/>
        <v>36</v>
      </c>
      <c r="L282" s="145" t="str">
        <f>IFERROR(__xludf.DUMMYFUNCTION("vlookup($D282,IMPORTRANGE(""https://docs.google.com/spreadsheets/d/1swGwZOEqYlTEUCJLY-eeJM1911Kvaei5oySBIxdgtNo/edit?pli=1#gid=257618397"",""stock FAKTUR!B:q""),16,false)"),"PCS")</f>
        <v>PCS</v>
      </c>
      <c r="M282" s="176">
        <f t="shared" ref="M282:M283" si="86">145000/12</f>
        <v>12083.33333</v>
      </c>
      <c r="N282" s="148"/>
      <c r="O282" s="147">
        <f t="shared" si="73"/>
        <v>435000</v>
      </c>
      <c r="P282" s="147" t="str">
        <f t="shared" si="3"/>
        <v>Rp12,083-36 PCS-0.00%</v>
      </c>
      <c r="Q282" s="149">
        <v>45412.0</v>
      </c>
      <c r="R282" s="150"/>
      <c r="S282" s="149">
        <v>45418.0</v>
      </c>
      <c r="T282" s="151"/>
      <c r="U282" s="151"/>
      <c r="V282" s="151"/>
      <c r="W282" s="151"/>
    </row>
    <row r="283">
      <c r="A283" s="142">
        <v>2989.0</v>
      </c>
      <c r="B283" s="143" t="str">
        <f t="shared" si="82"/>
        <v>G</v>
      </c>
      <c r="C283" s="143" t="str">
        <f t="shared" si="83"/>
        <v>PUAS-PATI</v>
      </c>
      <c r="D283" s="145" t="s">
        <v>4568</v>
      </c>
      <c r="E283" s="145" t="str">
        <f>IFERROR(__xludf.DUMMYFUNCTION("vlookup(D283,IMPORTRANGE(""https://docs.google.com/spreadsheets/d/1swGwZOEqYlTEUCJLY-eeJM1911Kvaei5oySBIxdgtNo/edit?pli=1#gid=257618397"",""stock FAKTUR!B:C""),2,false)"),"PC MAGNT LPY-6 (23X8)")</f>
        <v>PC MAGNT LPY-6 (23X8)</v>
      </c>
      <c r="F283" s="53" t="str">
        <f>IFERROR(__xludf.DUMMYFUNCTION("vlookup($D283,IMPORTRANGE(""https://docs.google.com/spreadsheets/d/1swGwZOEqYlTEUCJLY-eeJM1911Kvaei5oySBIxdgtNo/edit?pli=1#gid=257618397"",""stock FAKTUR!B:d""),3,false)"),"")</f>
        <v/>
      </c>
      <c r="G283" s="53" t="str">
        <f>IFERROR(__xludf.DUMMYFUNCTION("vlookup($D283,IMPORTRANGE(""https://docs.google.com/spreadsheets/d/1swGwZOEqYlTEUCJLY-eeJM1911Kvaei5oySBIxdgtNo/edit?pli=1#gid=257618397"",""stock FAKTUR!B:e""),4,false)"),"")</f>
        <v/>
      </c>
      <c r="H283" s="53" t="str">
        <f>IFERROR(__xludf.DUMMYFUNCTION("vlookup($D283,IMPORTRANGE(""https://docs.google.com/spreadsheets/d/1swGwZOEqYlTEUCJLY-eeJM1911Kvaei5oySBIxdgtNo/edit?pli=1#gid=257618397"",""stock FAKTUR!B:F""),5,false)"),"NB")</f>
        <v>NB</v>
      </c>
      <c r="I283" s="53" t="str">
        <f>IFERROR(__xludf.DUMMYFUNCTION("vlookup($D283,IMPORTRANGE(""https://docs.google.com/spreadsheets/d/1swGwZOEqYlTEUCJLY-eeJM1911Kvaei5oySBIxdgtNo/edit?pli=1#gid=257618397"",""stock FAKTUR!B:G""),6,false)"),"")</f>
        <v/>
      </c>
      <c r="J283" s="120" t="str">
        <f t="shared" si="25"/>
        <v>ADA</v>
      </c>
      <c r="K283" s="142">
        <f t="shared" si="85"/>
        <v>36</v>
      </c>
      <c r="L283" s="145" t="str">
        <f>IFERROR(__xludf.DUMMYFUNCTION("vlookup($D283,IMPORTRANGE(""https://docs.google.com/spreadsheets/d/1swGwZOEqYlTEUCJLY-eeJM1911Kvaei5oySBIxdgtNo/edit?pli=1#gid=257618397"",""stock FAKTUR!B:q""),16,false)"),"PCS")</f>
        <v>PCS</v>
      </c>
      <c r="M283" s="176">
        <f t="shared" si="86"/>
        <v>12083.33333</v>
      </c>
      <c r="N283" s="148"/>
      <c r="O283" s="147">
        <f t="shared" si="73"/>
        <v>435000</v>
      </c>
      <c r="P283" s="147" t="str">
        <f t="shared" si="3"/>
        <v>Rp12,083-36 PCS-0.00%</v>
      </c>
      <c r="Q283" s="149">
        <v>45412.0</v>
      </c>
      <c r="R283" s="150"/>
      <c r="S283" s="149">
        <v>45418.0</v>
      </c>
      <c r="T283" s="151"/>
      <c r="U283" s="151"/>
      <c r="V283" s="151"/>
      <c r="W283" s="151"/>
    </row>
    <row r="284">
      <c r="A284" s="142">
        <v>2991.0</v>
      </c>
      <c r="B284" s="143" t="s">
        <v>65</v>
      </c>
      <c r="C284" s="143" t="s">
        <v>729</v>
      </c>
      <c r="D284" s="145" t="s">
        <v>4569</v>
      </c>
      <c r="E284" s="145" t="str">
        <f>IFERROR(__xludf.DUMMYFUNCTION("vlookup(D284,IMPORTRANGE(""https://docs.google.com/spreadsheets/d/1swGwZOEqYlTEUCJLY-eeJM1911Kvaei5oySBIxdgtNo/edit?pli=1#gid=257618397"",""stock FAKTUR!B:C""),2,false)"),"GARISAN SET PS-9810")</f>
        <v>GARISAN SET PS-9810</v>
      </c>
      <c r="F284" s="53" t="str">
        <f>IFERROR(__xludf.DUMMYFUNCTION("vlookup($D284,IMPORTRANGE(""https://docs.google.com/spreadsheets/d/1swGwZOEqYlTEUCJLY-eeJM1911Kvaei5oySBIxdgtNo/edit?pli=1#gid=257618397"",""stock FAKTUR!B:d""),3,false)"),"")</f>
        <v/>
      </c>
      <c r="G284" s="53" t="str">
        <f>IFERROR(__xludf.DUMMYFUNCTION("vlookup($D284,IMPORTRANGE(""https://docs.google.com/spreadsheets/d/1swGwZOEqYlTEUCJLY-eeJM1911Kvaei5oySBIxdgtNo/edit?pli=1#gid=257618397"",""stock FAKTUR!B:e""),4,false)"),"")</f>
        <v/>
      </c>
      <c r="H284" s="53" t="str">
        <f>IFERROR(__xludf.DUMMYFUNCTION("vlookup($D284,IMPORTRANGE(""https://docs.google.com/spreadsheets/d/1swGwZOEqYlTEUCJLY-eeJM1911Kvaei5oySBIxdgtNo/edit?pli=1#gid=257618397"",""stock FAKTUR!B:F""),5,false)"),"NB")</f>
        <v>NB</v>
      </c>
      <c r="I284" s="53" t="str">
        <f>IFERROR(__xludf.DUMMYFUNCTION("vlookup($D284,IMPORTRANGE(""https://docs.google.com/spreadsheets/d/1swGwZOEqYlTEUCJLY-eeJM1911Kvaei5oySBIxdgtNo/edit?pli=1#gid=257618397"",""stock FAKTUR!B:G""),6,false)"),"9810")</f>
        <v>9810</v>
      </c>
      <c r="J284" s="120" t="str">
        <f t="shared" si="25"/>
        <v>ADA</v>
      </c>
      <c r="K284" s="142">
        <v>40.0</v>
      </c>
      <c r="L284" s="145" t="str">
        <f>IFERROR(__xludf.DUMMYFUNCTION("vlookup($D284,IMPORTRANGE(""https://docs.google.com/spreadsheets/d/1swGwZOEqYlTEUCJLY-eeJM1911Kvaei5oySBIxdgtNo/edit?pli=1#gid=257618397"",""stock FAKTUR!B:q""),16,false)"),"SET")</f>
        <v>SET</v>
      </c>
      <c r="M284" s="176">
        <f t="shared" ref="M284:M286" si="87">140000/40</f>
        <v>3500</v>
      </c>
      <c r="N284" s="148"/>
      <c r="O284" s="147">
        <f t="shared" si="73"/>
        <v>140000</v>
      </c>
      <c r="P284" s="147" t="str">
        <f t="shared" si="3"/>
        <v>Rp3,500-40 SET-0.00%</v>
      </c>
      <c r="Q284" s="149">
        <v>45412.0</v>
      </c>
      <c r="R284" s="150"/>
      <c r="S284" s="149">
        <v>45418.0</v>
      </c>
      <c r="T284" s="151"/>
      <c r="U284" s="151"/>
      <c r="V284" s="151"/>
      <c r="W284" s="151"/>
    </row>
    <row r="285">
      <c r="A285" s="142">
        <v>2991.0</v>
      </c>
      <c r="B285" s="143" t="str">
        <f t="shared" ref="B285:B288" si="88">IF(A285=A284,B284,"")</f>
        <v>A</v>
      </c>
      <c r="C285" s="143" t="str">
        <f t="shared" ref="C285:C288" si="89">IF(A285=A284,C284,"")</f>
        <v>MERDEKA-BOYOLALI</v>
      </c>
      <c r="D285" s="145" t="s">
        <v>4570</v>
      </c>
      <c r="E285" s="145" t="str">
        <f>IFERROR(__xludf.DUMMYFUNCTION("vlookup(D285,IMPORTRANGE(""https://docs.google.com/spreadsheets/d/1swGwZOEqYlTEUCJLY-eeJM1911Kvaei5oySBIxdgtNo/edit?pli=1#gid=257618397"",""stock FAKTUR!B:C""),2,false)"),"GARISAN SET HZ-5012")</f>
        <v>GARISAN SET HZ-5012</v>
      </c>
      <c r="F285" s="53" t="str">
        <f>IFERROR(__xludf.DUMMYFUNCTION("vlookup($D285,IMPORTRANGE(""https://docs.google.com/spreadsheets/d/1swGwZOEqYlTEUCJLY-eeJM1911Kvaei5oySBIxdgtNo/edit?pli=1#gid=257618397"",""stock FAKTUR!B:d""),3,false)"),"")</f>
        <v/>
      </c>
      <c r="G285" s="53" t="str">
        <f>IFERROR(__xludf.DUMMYFUNCTION("vlookup($D285,IMPORTRANGE(""https://docs.google.com/spreadsheets/d/1swGwZOEqYlTEUCJLY-eeJM1911Kvaei5oySBIxdgtNo/edit?pli=1#gid=257618397"",""stock FAKTUR!B:e""),4,false)"),"")</f>
        <v/>
      </c>
      <c r="H285" s="53" t="str">
        <f>IFERROR(__xludf.DUMMYFUNCTION("vlookup($D285,IMPORTRANGE(""https://docs.google.com/spreadsheets/d/1swGwZOEqYlTEUCJLY-eeJM1911Kvaei5oySBIxdgtNo/edit?pli=1#gid=257618397"",""stock FAKTUR!B:F""),5,false)"),"NB")</f>
        <v>NB</v>
      </c>
      <c r="I285" s="53" t="str">
        <f>IFERROR(__xludf.DUMMYFUNCTION("vlookup($D285,IMPORTRANGE(""https://docs.google.com/spreadsheets/d/1swGwZOEqYlTEUCJLY-eeJM1911Kvaei5oySBIxdgtNo/edit?pli=1#gid=257618397"",""stock FAKTUR!B:G""),6,false)"),"HZ-5012")</f>
        <v>HZ-5012</v>
      </c>
      <c r="J285" s="120" t="str">
        <f t="shared" si="25"/>
        <v>ADA</v>
      </c>
      <c r="K285" s="142">
        <v>40.0</v>
      </c>
      <c r="L285" s="145" t="str">
        <f>IFERROR(__xludf.DUMMYFUNCTION("vlookup($D285,IMPORTRANGE(""https://docs.google.com/spreadsheets/d/1swGwZOEqYlTEUCJLY-eeJM1911Kvaei5oySBIxdgtNo/edit?pli=1#gid=257618397"",""stock FAKTUR!B:q""),16,false)"),"SET")</f>
        <v>SET</v>
      </c>
      <c r="M285" s="176">
        <f t="shared" si="87"/>
        <v>3500</v>
      </c>
      <c r="N285" s="148"/>
      <c r="O285" s="147">
        <f t="shared" si="73"/>
        <v>140000</v>
      </c>
      <c r="P285" s="147" t="str">
        <f t="shared" si="3"/>
        <v>Rp3,500-40 SET-0.00%</v>
      </c>
      <c r="Q285" s="149">
        <v>45412.0</v>
      </c>
      <c r="R285" s="150"/>
      <c r="S285" s="149">
        <v>45418.0</v>
      </c>
      <c r="T285" s="151"/>
      <c r="U285" s="151"/>
      <c r="V285" s="151"/>
      <c r="W285" s="151"/>
    </row>
    <row r="286">
      <c r="A286" s="142">
        <v>2991.0</v>
      </c>
      <c r="B286" s="143" t="str">
        <f t="shared" si="88"/>
        <v>A</v>
      </c>
      <c r="C286" s="143" t="str">
        <f t="shared" si="89"/>
        <v>MERDEKA-BOYOLALI</v>
      </c>
      <c r="D286" s="145" t="s">
        <v>4553</v>
      </c>
      <c r="E286" s="145" t="str">
        <f>IFERROR(__xludf.DUMMYFUNCTION("vlookup(D286,IMPORTRANGE(""https://docs.google.com/spreadsheets/d/1swGwZOEqYlTEUCJLY-eeJM1911Kvaei5oySBIxdgtNo/edit?pli=1#gid=257618397"",""stock FAKTUR!B:C""),2,false)"),"GARISAN SET ZX 6116")</f>
        <v>GARISAN SET ZX 6116</v>
      </c>
      <c r="F286" s="53" t="str">
        <f>IFERROR(__xludf.DUMMYFUNCTION("vlookup($D286,IMPORTRANGE(""https://docs.google.com/spreadsheets/d/1swGwZOEqYlTEUCJLY-eeJM1911Kvaei5oySBIxdgtNo/edit?pli=1#gid=257618397"",""stock FAKTUR!B:d""),3,false)"),"")</f>
        <v/>
      </c>
      <c r="G286" s="53" t="str">
        <f>IFERROR(__xludf.DUMMYFUNCTION("vlookup($D286,IMPORTRANGE(""https://docs.google.com/spreadsheets/d/1swGwZOEqYlTEUCJLY-eeJM1911Kvaei5oySBIxdgtNo/edit?pli=1#gid=257618397"",""stock FAKTUR!B:e""),4,false)"),"")</f>
        <v/>
      </c>
      <c r="H286" s="53" t="str">
        <f>IFERROR(__xludf.DUMMYFUNCTION("vlookup($D286,IMPORTRANGE(""https://docs.google.com/spreadsheets/d/1swGwZOEqYlTEUCJLY-eeJM1911Kvaei5oySBIxdgtNo/edit?pli=1#gid=257618397"",""stock FAKTUR!B:F""),5,false)"),"ZX")</f>
        <v>ZX</v>
      </c>
      <c r="I286" s="53" t="str">
        <f>IFERROR(__xludf.DUMMYFUNCTION("vlookup($D286,IMPORTRANGE(""https://docs.google.com/spreadsheets/d/1swGwZOEqYlTEUCJLY-eeJM1911Kvaei5oySBIxdgtNo/edit?pli=1#gid=257618397"",""stock FAKTUR!B:G""),6,false)"),"6116")</f>
        <v>6116</v>
      </c>
      <c r="J286" s="120" t="str">
        <f t="shared" si="25"/>
        <v>ADA</v>
      </c>
      <c r="K286" s="142">
        <v>40.0</v>
      </c>
      <c r="L286" s="145" t="str">
        <f>IFERROR(__xludf.DUMMYFUNCTION("vlookup($D286,IMPORTRANGE(""https://docs.google.com/spreadsheets/d/1swGwZOEqYlTEUCJLY-eeJM1911Kvaei5oySBIxdgtNo/edit?pli=1#gid=257618397"",""stock FAKTUR!B:q""),16,false)"),"SET")</f>
        <v>SET</v>
      </c>
      <c r="M286" s="176">
        <f t="shared" si="87"/>
        <v>3500</v>
      </c>
      <c r="N286" s="148" t="s">
        <v>4545</v>
      </c>
      <c r="O286" s="147">
        <f t="shared" si="73"/>
        <v>140000</v>
      </c>
      <c r="P286" s="147" t="str">
        <f t="shared" si="3"/>
        <v>Rp3,500-40 SET-</v>
      </c>
      <c r="Q286" s="149">
        <v>45412.0</v>
      </c>
      <c r="R286" s="150"/>
      <c r="S286" s="149">
        <v>45418.0</v>
      </c>
      <c r="T286" s="151"/>
      <c r="U286" s="151"/>
      <c r="V286" s="151"/>
      <c r="W286" s="151"/>
    </row>
    <row r="287">
      <c r="A287" s="142">
        <v>2991.0</v>
      </c>
      <c r="B287" s="143" t="str">
        <f t="shared" si="88"/>
        <v>A</v>
      </c>
      <c r="C287" s="143" t="str">
        <f t="shared" si="89"/>
        <v>MERDEKA-BOYOLALI</v>
      </c>
      <c r="D287" s="145" t="s">
        <v>4501</v>
      </c>
      <c r="E287" s="145" t="str">
        <f>IFERROR(__xludf.DUMMYFUNCTION("vlookup(D287,IMPORTRANGE(""https://docs.google.com/spreadsheets/d/1swGwZOEqYlTEUCJLY-eeJM1911Kvaei5oySBIxdgtNo/edit?pli=1#gid=257618397"",""stock FAKTUR!B:C""),2,false)"),"PENSIL JK P-88 2B")</f>
        <v>PENSIL JK P-88 2B</v>
      </c>
      <c r="F287" s="53" t="str">
        <f>IFERROR(__xludf.DUMMYFUNCTION("vlookup($D287,IMPORTRANGE(""https://docs.google.com/spreadsheets/d/1swGwZOEqYlTEUCJLY-eeJM1911Kvaei5oySBIxdgtNo/edit?pli=1#gid=257618397"",""stock FAKTUR!B:d""),3,false)"),"")</f>
        <v/>
      </c>
      <c r="G287" s="53" t="str">
        <f>IFERROR(__xludf.DUMMYFUNCTION("vlookup($D287,IMPORTRANGE(""https://docs.google.com/spreadsheets/d/1swGwZOEqYlTEUCJLY-eeJM1911Kvaei5oySBIxdgtNo/edit?pli=1#gid=257618397"",""stock FAKTUR!B:e""),4,false)"),"")</f>
        <v/>
      </c>
      <c r="H287" s="53" t="str">
        <f>IFERROR(__xludf.DUMMYFUNCTION("vlookup($D287,IMPORTRANGE(""https://docs.google.com/spreadsheets/d/1swGwZOEqYlTEUCJLY-eeJM1911Kvaei5oySBIxdgtNo/edit?pli=1#gid=257618397"",""stock FAKTUR!B:F""),5,false)"),"JK")</f>
        <v>JK</v>
      </c>
      <c r="I287" s="53" t="str">
        <f>IFERROR(__xludf.DUMMYFUNCTION("vlookup($D287,IMPORTRANGE(""https://docs.google.com/spreadsheets/d/1swGwZOEqYlTEUCJLY-eeJM1911Kvaei5oySBIxdgtNo/edit?pli=1#gid=257618397"",""stock FAKTUR!B:G""),6,false)"),"P-88")</f>
        <v>P-88</v>
      </c>
      <c r="J287" s="120" t="str">
        <f t="shared" si="25"/>
        <v>ADA</v>
      </c>
      <c r="K287" s="142">
        <v>4.0</v>
      </c>
      <c r="L287" s="145" t="str">
        <f>IFERROR(__xludf.DUMMYFUNCTION("vlookup($D287,IMPORTRANGE(""https://docs.google.com/spreadsheets/d/1swGwZOEqYlTEUCJLY-eeJM1911Kvaei5oySBIxdgtNo/edit?pli=1#gid=257618397"",""stock FAKTUR!B:q""),16,false)"),"GRS")</f>
        <v>GRS</v>
      </c>
      <c r="M287" s="176">
        <v>104400.0</v>
      </c>
      <c r="N287" s="152">
        <v>0.125</v>
      </c>
      <c r="O287" s="147">
        <f t="shared" si="73"/>
        <v>365400</v>
      </c>
      <c r="P287" s="147" t="str">
        <f t="shared" si="3"/>
        <v>Rp104,400-4 GRS-12.50%</v>
      </c>
      <c r="Q287" s="149">
        <v>45412.0</v>
      </c>
      <c r="R287" s="150"/>
      <c r="S287" s="149">
        <v>45418.0</v>
      </c>
      <c r="T287" s="151"/>
      <c r="U287" s="151"/>
      <c r="V287" s="151"/>
      <c r="W287" s="151"/>
    </row>
    <row r="288">
      <c r="A288" s="142">
        <v>2991.0</v>
      </c>
      <c r="B288" s="143" t="str">
        <f t="shared" si="88"/>
        <v>A</v>
      </c>
      <c r="C288" s="143" t="str">
        <f t="shared" si="89"/>
        <v>MERDEKA-BOYOLALI</v>
      </c>
      <c r="D288" s="145" t="s">
        <v>4396</v>
      </c>
      <c r="E288" s="145" t="str">
        <f>IFERROR(__xludf.DUMMYFUNCTION("vlookup(D288,IMPORTRANGE(""https://docs.google.com/spreadsheets/d/1swGwZOEqYlTEUCJLY-eeJM1911Kvaei5oySBIxdgtNo/edit?pli=1#gid=257618397"",""stock FAKTUR!B:C""),2,false)"),"STAPLER KENKO HD-10")</f>
        <v>STAPLER KENKO HD-10</v>
      </c>
      <c r="F288" s="53" t="str">
        <f>IFERROR(__xludf.DUMMYFUNCTION("vlookup($D288,IMPORTRANGE(""https://docs.google.com/spreadsheets/d/1swGwZOEqYlTEUCJLY-eeJM1911Kvaei5oySBIxdgtNo/edit?pli=1#gid=257618397"",""stock FAKTUR!B:d""),3,false)"),"")</f>
        <v/>
      </c>
      <c r="G288" s="53" t="str">
        <f>IFERROR(__xludf.DUMMYFUNCTION("vlookup($D288,IMPORTRANGE(""https://docs.google.com/spreadsheets/d/1swGwZOEqYlTEUCJLY-eeJM1911Kvaei5oySBIxdgtNo/edit?pli=1#gid=257618397"",""stock FAKTUR!B:e""),4,false)"),"")</f>
        <v/>
      </c>
      <c r="H288" s="53" t="str">
        <f>IFERROR(__xludf.DUMMYFUNCTION("vlookup($D288,IMPORTRANGE(""https://docs.google.com/spreadsheets/d/1swGwZOEqYlTEUCJLY-eeJM1911Kvaei5oySBIxdgtNo/edit?pli=1#gid=257618397"",""stock FAKTUR!B:F""),5,false)"),"KN")</f>
        <v>KN</v>
      </c>
      <c r="I288" s="53" t="str">
        <f>IFERROR(__xludf.DUMMYFUNCTION("vlookup($D288,IMPORTRANGE(""https://docs.google.com/spreadsheets/d/1swGwZOEqYlTEUCJLY-eeJM1911Kvaei5oySBIxdgtNo/edit?pli=1#gid=257618397"",""stock FAKTUR!B:G""),6,false)"),"HD-10")</f>
        <v>HD-10</v>
      </c>
      <c r="J288" s="120" t="str">
        <f t="shared" si="25"/>
        <v>ADA</v>
      </c>
      <c r="K288" s="142">
        <v>20.0</v>
      </c>
      <c r="L288" s="145" t="str">
        <f>IFERROR(__xludf.DUMMYFUNCTION("vlookup($D288,IMPORTRANGE(""https://docs.google.com/spreadsheets/d/1swGwZOEqYlTEUCJLY-eeJM1911Kvaei5oySBIxdgtNo/edit?pli=1#gid=257618397"",""stock FAKTUR!B:q""),16,false)"),"LSN")</f>
        <v>LSN</v>
      </c>
      <c r="M288" s="176">
        <v>93000.0</v>
      </c>
      <c r="N288" s="152">
        <v>0.125</v>
      </c>
      <c r="O288" s="147">
        <f t="shared" si="73"/>
        <v>1627500</v>
      </c>
      <c r="P288" s="147" t="str">
        <f t="shared" si="3"/>
        <v>Rp93,000-20 LSN-12.50%</v>
      </c>
      <c r="Q288" s="149">
        <v>45412.0</v>
      </c>
      <c r="R288" s="150"/>
      <c r="S288" s="149">
        <v>45418.0</v>
      </c>
      <c r="T288" s="151"/>
      <c r="U288" s="151"/>
      <c r="V288" s="151"/>
      <c r="W288" s="151"/>
    </row>
    <row r="289">
      <c r="A289" s="142">
        <v>4699.0</v>
      </c>
      <c r="B289" s="143" t="s">
        <v>58</v>
      </c>
      <c r="C289" s="143" t="s">
        <v>2001</v>
      </c>
      <c r="D289" s="145" t="s">
        <v>4543</v>
      </c>
      <c r="E289" s="145" t="str">
        <f>IFERROR(__xludf.DUMMYFUNCTION("vlookup(D289,IMPORTRANGE(""https://docs.google.com/spreadsheets/d/1swGwZOEqYlTEUCJLY-eeJM1911Kvaei5oySBIxdgtNo/edit?pli=1#gid=257618397"",""stock FAKTUR!B:C""),2,false)"),"STABILLO HIGHLIGHTER VANCO HL-521")</f>
        <v>STABILLO HIGHLIGHTER VANCO HL-521</v>
      </c>
      <c r="F289" s="53" t="str">
        <f>IFERROR(__xludf.DUMMYFUNCTION("vlookup($D289,IMPORTRANGE(""https://docs.google.com/spreadsheets/d/1swGwZOEqYlTEUCJLY-eeJM1911Kvaei5oySBIxdgtNo/edit?pli=1#gid=257618397"",""stock FAKTUR!B:d""),3,false)"),"")</f>
        <v/>
      </c>
      <c r="G289" s="53" t="str">
        <f>IFERROR(__xludf.DUMMYFUNCTION("vlookup($D289,IMPORTRANGE(""https://docs.google.com/spreadsheets/d/1swGwZOEqYlTEUCJLY-eeJM1911Kvaei5oySBIxdgtNo/edit?pli=1#gid=257618397"",""stock FAKTUR!B:e""),4,false)"),"")</f>
        <v/>
      </c>
      <c r="H289" s="53" t="str">
        <f>IFERROR(__xludf.DUMMYFUNCTION("vlookup($D289,IMPORTRANGE(""https://docs.google.com/spreadsheets/d/1swGwZOEqYlTEUCJLY-eeJM1911Kvaei5oySBIxdgtNo/edit?pli=1#gid=257618397"",""stock FAKTUR!B:F""),5,false)"),"VN")</f>
        <v>VN</v>
      </c>
      <c r="I289" s="53" t="str">
        <f>IFERROR(__xludf.DUMMYFUNCTION("vlookup($D289,IMPORTRANGE(""https://docs.google.com/spreadsheets/d/1swGwZOEqYlTEUCJLY-eeJM1911Kvaei5oySBIxdgtNo/edit?pli=1#gid=257618397"",""stock FAKTUR!B:G""),6,false)"),"HL-521")</f>
        <v>HL-521</v>
      </c>
      <c r="J289" s="120" t="str">
        <f t="shared" si="25"/>
        <v>ADA</v>
      </c>
      <c r="K289" s="142">
        <v>6.0</v>
      </c>
      <c r="L289" s="145" t="str">
        <f>IFERROR(__xludf.DUMMYFUNCTION("vlookup($D289,IMPORTRANGE(""https://docs.google.com/spreadsheets/d/1swGwZOEqYlTEUCJLY-eeJM1911Kvaei5oySBIxdgtNo/edit?pli=1#gid=257618397"",""stock FAKTUR!B:q""),16,false)"),"LSN")</f>
        <v>LSN</v>
      </c>
      <c r="M289" s="176">
        <v>21000.0</v>
      </c>
      <c r="N289" s="148" t="s">
        <v>4545</v>
      </c>
      <c r="O289" s="147">
        <f t="shared" si="73"/>
        <v>126000</v>
      </c>
      <c r="P289" s="147" t="str">
        <f t="shared" si="3"/>
        <v>Rp21,000-6 LSN-</v>
      </c>
      <c r="Q289" s="149">
        <v>45412.0</v>
      </c>
      <c r="R289" s="150"/>
      <c r="S289" s="149">
        <v>45418.0</v>
      </c>
      <c r="T289" s="151"/>
      <c r="U289" s="151"/>
      <c r="V289" s="151"/>
      <c r="W289" s="151"/>
    </row>
    <row r="290">
      <c r="A290" s="142">
        <v>4704.0</v>
      </c>
      <c r="B290" s="143" t="s">
        <v>58</v>
      </c>
      <c r="C290" s="143" t="s">
        <v>2001</v>
      </c>
      <c r="D290" s="159" t="s">
        <v>4513</v>
      </c>
      <c r="E290" s="145" t="str">
        <f>IFERROR(__xludf.DUMMYFUNCTION("vlookup(D290,IMPORTRANGE(""https://docs.google.com/spreadsheets/d/1swGwZOEqYlTEUCJLY-eeJM1911Kvaei5oySBIxdgtNo/edit?pli=1#gid=257618397"",""stock FAKTUR!B:C""),2,false)"),"BP KENKO SG-1 SNOW GEL HITAM")</f>
        <v>BP KENKO SG-1 SNOW GEL HITAM</v>
      </c>
      <c r="F290" s="53" t="str">
        <f>IFERROR(__xludf.DUMMYFUNCTION("vlookup($D290,IMPORTRANGE(""https://docs.google.com/spreadsheets/d/1swGwZOEqYlTEUCJLY-eeJM1911Kvaei5oySBIxdgtNo/edit?pli=1#gid=257618397"",""stock FAKTUR!B:d""),3,false)"),"")</f>
        <v/>
      </c>
      <c r="G290" s="53" t="str">
        <f>IFERROR(__xludf.DUMMYFUNCTION("vlookup($D290,IMPORTRANGE(""https://docs.google.com/spreadsheets/d/1swGwZOEqYlTEUCJLY-eeJM1911Kvaei5oySBIxdgtNo/edit?pli=1#gid=257618397"",""stock FAKTUR!B:e""),4,false)"),"HITAM")</f>
        <v>HITAM</v>
      </c>
      <c r="H290" s="53" t="str">
        <f>IFERROR(__xludf.DUMMYFUNCTION("vlookup($D290,IMPORTRANGE(""https://docs.google.com/spreadsheets/d/1swGwZOEqYlTEUCJLY-eeJM1911Kvaei5oySBIxdgtNo/edit?pli=1#gid=257618397"",""stock FAKTUR!B:F""),5,false)"),"KN")</f>
        <v>KN</v>
      </c>
      <c r="I290" s="53" t="str">
        <f>IFERROR(__xludf.DUMMYFUNCTION("vlookup($D290,IMPORTRANGE(""https://docs.google.com/spreadsheets/d/1swGwZOEqYlTEUCJLY-eeJM1911Kvaei5oySBIxdgtNo/edit?pli=1#gid=257618397"",""stock FAKTUR!B:G""),6,false)"),"SG-1")</f>
        <v>SG-1</v>
      </c>
      <c r="J290" s="120" t="str">
        <f t="shared" si="25"/>
        <v>ADA</v>
      </c>
      <c r="K290" s="142">
        <v>12.0</v>
      </c>
      <c r="L290" s="145" t="str">
        <f>IFERROR(__xludf.DUMMYFUNCTION("vlookup($D290,IMPORTRANGE(""https://docs.google.com/spreadsheets/d/1swGwZOEqYlTEUCJLY-eeJM1911Kvaei5oySBIxdgtNo/edit?pli=1#gid=257618397"",""stock FAKTUR!B:q""),16,false)"),"LSN")</f>
        <v>LSN</v>
      </c>
      <c r="M290" s="176">
        <v>39600.0</v>
      </c>
      <c r="N290" s="152">
        <v>0.075</v>
      </c>
      <c r="O290" s="147">
        <f t="shared" si="73"/>
        <v>439560</v>
      </c>
      <c r="P290" s="147" t="str">
        <f t="shared" si="3"/>
        <v>Rp39,600-12 LSN-7.50%</v>
      </c>
      <c r="Q290" s="149">
        <v>45412.0</v>
      </c>
      <c r="R290" s="150"/>
      <c r="S290" s="149">
        <v>45418.0</v>
      </c>
      <c r="T290" s="151"/>
      <c r="U290" s="151"/>
      <c r="V290" s="151"/>
      <c r="W290" s="151"/>
    </row>
    <row r="291">
      <c r="A291" s="142">
        <v>4704.0</v>
      </c>
      <c r="B291" s="143" t="str">
        <f t="shared" ref="B291:B305" si="90">IF(A291=A290,B290,"")</f>
        <v>G</v>
      </c>
      <c r="C291" s="143" t="str">
        <f t="shared" ref="C291:C305" si="91">IF(A291=A290,C290,"")</f>
        <v>INDRASARI-MRANGGEN</v>
      </c>
      <c r="D291" s="145" t="s">
        <v>4501</v>
      </c>
      <c r="E291" s="145" t="str">
        <f>IFERROR(__xludf.DUMMYFUNCTION("vlookup(D291,IMPORTRANGE(""https://docs.google.com/spreadsheets/d/1swGwZOEqYlTEUCJLY-eeJM1911Kvaei5oySBIxdgtNo/edit?pli=1#gid=257618397"",""stock FAKTUR!B:C""),2,false)"),"PENSIL JK P-88 2B")</f>
        <v>PENSIL JK P-88 2B</v>
      </c>
      <c r="F291" s="53" t="str">
        <f>IFERROR(__xludf.DUMMYFUNCTION("vlookup($D291,IMPORTRANGE(""https://docs.google.com/spreadsheets/d/1swGwZOEqYlTEUCJLY-eeJM1911Kvaei5oySBIxdgtNo/edit?pli=1#gid=257618397"",""stock FAKTUR!B:d""),3,false)"),"")</f>
        <v/>
      </c>
      <c r="G291" s="53" t="str">
        <f>IFERROR(__xludf.DUMMYFUNCTION("vlookup($D291,IMPORTRANGE(""https://docs.google.com/spreadsheets/d/1swGwZOEqYlTEUCJLY-eeJM1911Kvaei5oySBIxdgtNo/edit?pli=1#gid=257618397"",""stock FAKTUR!B:e""),4,false)"),"")</f>
        <v/>
      </c>
      <c r="H291" s="53" t="str">
        <f>IFERROR(__xludf.DUMMYFUNCTION("vlookup($D291,IMPORTRANGE(""https://docs.google.com/spreadsheets/d/1swGwZOEqYlTEUCJLY-eeJM1911Kvaei5oySBIxdgtNo/edit?pli=1#gid=257618397"",""stock FAKTUR!B:F""),5,false)"),"JK")</f>
        <v>JK</v>
      </c>
      <c r="I291" s="53" t="str">
        <f>IFERROR(__xludf.DUMMYFUNCTION("vlookup($D291,IMPORTRANGE(""https://docs.google.com/spreadsheets/d/1swGwZOEqYlTEUCJLY-eeJM1911Kvaei5oySBIxdgtNo/edit?pli=1#gid=257618397"",""stock FAKTUR!B:G""),6,false)"),"P-88")</f>
        <v>P-88</v>
      </c>
      <c r="J291" s="120" t="str">
        <f t="shared" si="25"/>
        <v>ADA</v>
      </c>
      <c r="K291" s="142">
        <v>1.0</v>
      </c>
      <c r="L291" s="145" t="str">
        <f>IFERROR(__xludf.DUMMYFUNCTION("vlookup($D291,IMPORTRANGE(""https://docs.google.com/spreadsheets/d/1swGwZOEqYlTEUCJLY-eeJM1911Kvaei5oySBIxdgtNo/edit?pli=1#gid=257618397"",""stock FAKTUR!B:q""),16,false)"),"GRS")</f>
        <v>GRS</v>
      </c>
      <c r="M291" s="176">
        <v>104400.0</v>
      </c>
      <c r="N291" s="152">
        <v>0.075</v>
      </c>
      <c r="O291" s="147">
        <f t="shared" si="73"/>
        <v>96570</v>
      </c>
      <c r="P291" s="147" t="str">
        <f t="shared" si="3"/>
        <v>Rp104,400-1 GRS-7.50%</v>
      </c>
      <c r="Q291" s="149">
        <v>45412.0</v>
      </c>
      <c r="R291" s="150"/>
      <c r="S291" s="149">
        <v>45418.0</v>
      </c>
      <c r="T291" s="151"/>
      <c r="U291" s="151"/>
      <c r="V291" s="151"/>
      <c r="W291" s="151"/>
    </row>
    <row r="292">
      <c r="A292" s="142">
        <v>4704.0</v>
      </c>
      <c r="B292" s="143" t="str">
        <f t="shared" si="90"/>
        <v>G</v>
      </c>
      <c r="C292" s="143" t="str">
        <f t="shared" si="91"/>
        <v>INDRASARI-MRANGGEN</v>
      </c>
      <c r="D292" s="145" t="s">
        <v>4509</v>
      </c>
      <c r="E292" s="145" t="str">
        <f>IFERROR(__xludf.DUMMYFUNCTION("vlookup(D292,IMPORTRANGE(""https://docs.google.com/spreadsheets/d/1swGwZOEqYlTEUCJLY-eeJM1911Kvaei5oySBIxdgtNo/edit?pli=1#gid=257618397"",""stock FAKTUR!B:C""),2,false)"),"PW JK 12W CP-103")</f>
        <v>PW JK 12W CP-103</v>
      </c>
      <c r="F292" s="53" t="str">
        <f>IFERROR(__xludf.DUMMYFUNCTION("vlookup($D292,IMPORTRANGE(""https://docs.google.com/spreadsheets/d/1swGwZOEqYlTEUCJLY-eeJM1911Kvaei5oySBIxdgtNo/edit?pli=1#gid=257618397"",""stock FAKTUR!B:d""),3,false)"),"")</f>
        <v/>
      </c>
      <c r="G292" s="53" t="str">
        <f>IFERROR(__xludf.DUMMYFUNCTION("vlookup($D292,IMPORTRANGE(""https://docs.google.com/spreadsheets/d/1swGwZOEqYlTEUCJLY-eeJM1911Kvaei5oySBIxdgtNo/edit?pli=1#gid=257618397"",""stock FAKTUR!B:e""),4,false)"),"12W")</f>
        <v>12W</v>
      </c>
      <c r="H292" s="53" t="str">
        <f>IFERROR(__xludf.DUMMYFUNCTION("vlookup($D292,IMPORTRANGE(""https://docs.google.com/spreadsheets/d/1swGwZOEqYlTEUCJLY-eeJM1911Kvaei5oySBIxdgtNo/edit?pli=1#gid=257618397"",""stock FAKTUR!B:F""),5,false)"),"JK")</f>
        <v>JK</v>
      </c>
      <c r="I292" s="53" t="str">
        <f>IFERROR(__xludf.DUMMYFUNCTION("vlookup($D292,IMPORTRANGE(""https://docs.google.com/spreadsheets/d/1swGwZOEqYlTEUCJLY-eeJM1911Kvaei5oySBIxdgtNo/edit?pli=1#gid=257618397"",""stock FAKTUR!B:G""),6,false)"),"CP-103")</f>
        <v>CP-103</v>
      </c>
      <c r="J292" s="120" t="str">
        <f t="shared" si="25"/>
        <v>ADA</v>
      </c>
      <c r="K292" s="185">
        <f t="shared" ref="K292:K293" si="92">1*12</f>
        <v>12</v>
      </c>
      <c r="L292" s="145" t="str">
        <f>IFERROR(__xludf.DUMMYFUNCTION("vlookup($D292,IMPORTRANGE(""https://docs.google.com/spreadsheets/d/1swGwZOEqYlTEUCJLY-eeJM1911Kvaei5oySBIxdgtNo/edit?pli=1#gid=257618397"",""stock FAKTUR!B:q""),16,false)"),"PCS")</f>
        <v>PCS</v>
      </c>
      <c r="M292" s="176">
        <f>201600/12</f>
        <v>16800</v>
      </c>
      <c r="N292" s="152">
        <v>0.075</v>
      </c>
      <c r="O292" s="147">
        <f t="shared" si="73"/>
        <v>186480</v>
      </c>
      <c r="P292" s="147" t="str">
        <f t="shared" si="3"/>
        <v>Rp16,800-12 PCS-7.50%</v>
      </c>
      <c r="Q292" s="149">
        <v>45412.0</v>
      </c>
      <c r="R292" s="150"/>
      <c r="S292" s="149">
        <v>45418.0</v>
      </c>
      <c r="T292" s="151"/>
      <c r="U292" s="151"/>
      <c r="V292" s="151"/>
      <c r="W292" s="151"/>
    </row>
    <row r="293">
      <c r="A293" s="142">
        <v>4704.0</v>
      </c>
      <c r="B293" s="143" t="str">
        <f t="shared" si="90"/>
        <v>G</v>
      </c>
      <c r="C293" s="143" t="str">
        <f t="shared" si="91"/>
        <v>INDRASARI-MRANGGEN</v>
      </c>
      <c r="D293" s="145" t="s">
        <v>4571</v>
      </c>
      <c r="E293" s="145" t="str">
        <f>IFERROR(__xludf.DUMMYFUNCTION("vlookup(D293,IMPORTRANGE(""https://docs.google.com/spreadsheets/d/1swGwZOEqYlTEUCJLY-eeJM1911Kvaei5oySBIxdgtNo/edit?pli=1#gid=257618397"",""stock FAKTUR!B:C""),2,false)"),"PW JK CP-104")</f>
        <v>PW JK CP-104</v>
      </c>
      <c r="F293" s="53" t="str">
        <f>IFERROR(__xludf.DUMMYFUNCTION("vlookup($D293,IMPORTRANGE(""https://docs.google.com/spreadsheets/d/1swGwZOEqYlTEUCJLY-eeJM1911Kvaei5oySBIxdgtNo/edit?pli=1#gid=257618397"",""stock FAKTUR!B:d""),3,false)"),"")</f>
        <v/>
      </c>
      <c r="G293" s="53" t="str">
        <f>IFERROR(__xludf.DUMMYFUNCTION("vlookup($D293,IMPORTRANGE(""https://docs.google.com/spreadsheets/d/1swGwZOEqYlTEUCJLY-eeJM1911Kvaei5oySBIxdgtNo/edit?pli=1#gid=257618397"",""stock FAKTUR!B:e""),4,false)"),"")</f>
        <v/>
      </c>
      <c r="H293" s="53" t="str">
        <f>IFERROR(__xludf.DUMMYFUNCTION("vlookup($D293,IMPORTRANGE(""https://docs.google.com/spreadsheets/d/1swGwZOEqYlTEUCJLY-eeJM1911Kvaei5oySBIxdgtNo/edit?pli=1#gid=257618397"",""stock FAKTUR!B:F""),5,false)"),"JK")</f>
        <v>JK</v>
      </c>
      <c r="I293" s="53" t="str">
        <f>IFERROR(__xludf.DUMMYFUNCTION("vlookup($D293,IMPORTRANGE(""https://docs.google.com/spreadsheets/d/1swGwZOEqYlTEUCJLY-eeJM1911Kvaei5oySBIxdgtNo/edit?pli=1#gid=257618397"",""stock FAKTUR!B:G""),6,false)"),"CP-104")</f>
        <v>CP-104</v>
      </c>
      <c r="J293" s="120" t="str">
        <f t="shared" si="25"/>
        <v>ADA</v>
      </c>
      <c r="K293" s="185">
        <f t="shared" si="92"/>
        <v>12</v>
      </c>
      <c r="L293" s="145" t="str">
        <f>IFERROR(__xludf.DUMMYFUNCTION("vlookup($D293,IMPORTRANGE(""https://docs.google.com/spreadsheets/d/1swGwZOEqYlTEUCJLY-eeJM1911Kvaei5oySBIxdgtNo/edit?pli=1#gid=257618397"",""stock FAKTUR!B:q""),16,false)"),"PCS")</f>
        <v>PCS</v>
      </c>
      <c r="M293" s="176">
        <f>100800/12</f>
        <v>8400</v>
      </c>
      <c r="N293" s="152">
        <v>0.075</v>
      </c>
      <c r="O293" s="147">
        <f t="shared" si="73"/>
        <v>93240</v>
      </c>
      <c r="P293" s="147" t="str">
        <f t="shared" si="3"/>
        <v>Rp8,400-12 PCS-7.50%</v>
      </c>
      <c r="Q293" s="149">
        <v>45412.0</v>
      </c>
      <c r="R293" s="150"/>
      <c r="S293" s="149">
        <v>45418.0</v>
      </c>
      <c r="T293" s="151"/>
      <c r="U293" s="151"/>
      <c r="V293" s="151"/>
      <c r="W293" s="151"/>
    </row>
    <row r="294">
      <c r="A294" s="142">
        <v>4704.0</v>
      </c>
      <c r="B294" s="143" t="str">
        <f t="shared" si="90"/>
        <v>G</v>
      </c>
      <c r="C294" s="143" t="str">
        <f t="shared" si="91"/>
        <v>INDRASARI-MRANGGEN</v>
      </c>
      <c r="D294" s="145" t="s">
        <v>4572</v>
      </c>
      <c r="E294" s="145" t="str">
        <f>IFERROR(__xludf.DUMMYFUNCTION("vlookup(D294,IMPORTRANGE(""https://docs.google.com/spreadsheets/d/1swGwZOEqYlTEUCJLY-eeJM1911Kvaei5oySBIxdgtNo/edit?pli=1#gid=257618397"",""stock FAKTUR!B:C""),2,false)"),"PENSIL KENKO 2B-6393 FLUORESCENT")</f>
        <v>PENSIL KENKO 2B-6393 FLUORESCENT</v>
      </c>
      <c r="F294" s="53" t="str">
        <f>IFERROR(__xludf.DUMMYFUNCTION("vlookup($D294,IMPORTRANGE(""https://docs.google.com/spreadsheets/d/1swGwZOEqYlTEUCJLY-eeJM1911Kvaei5oySBIxdgtNo/edit?pli=1#gid=257618397"",""stock FAKTUR!B:d""),3,false)"),"")</f>
        <v/>
      </c>
      <c r="G294" s="53" t="str">
        <f>IFERROR(__xludf.DUMMYFUNCTION("vlookup($D294,IMPORTRANGE(""https://docs.google.com/spreadsheets/d/1swGwZOEqYlTEUCJLY-eeJM1911Kvaei5oySBIxdgtNo/edit?pli=1#gid=257618397"",""stock FAKTUR!B:e""),4,false)"),"")</f>
        <v/>
      </c>
      <c r="H294" s="53" t="str">
        <f>IFERROR(__xludf.DUMMYFUNCTION("vlookup($D294,IMPORTRANGE(""https://docs.google.com/spreadsheets/d/1swGwZOEqYlTEUCJLY-eeJM1911Kvaei5oySBIxdgtNo/edit?pli=1#gid=257618397"",""stock FAKTUR!B:F""),5,false)"),"KN")</f>
        <v>KN</v>
      </c>
      <c r="I294" s="53" t="str">
        <f>IFERROR(__xludf.DUMMYFUNCTION("vlookup($D294,IMPORTRANGE(""https://docs.google.com/spreadsheets/d/1swGwZOEqYlTEUCJLY-eeJM1911Kvaei5oySBIxdgtNo/edit?pli=1#gid=257618397"",""stock FAKTUR!B:G""),6,false)"),"")</f>
        <v/>
      </c>
      <c r="J294" s="120" t="str">
        <f t="shared" si="25"/>
        <v>ADA</v>
      </c>
      <c r="K294" s="185">
        <v>2.0</v>
      </c>
      <c r="L294" s="145" t="str">
        <f>IFERROR(__xludf.DUMMYFUNCTION("vlookup($D294,IMPORTRANGE(""https://docs.google.com/spreadsheets/d/1swGwZOEqYlTEUCJLY-eeJM1911Kvaei5oySBIxdgtNo/edit?pli=1#gid=257618397"",""stock FAKTUR!B:q""),16,false)"),"GRS")</f>
        <v>GRS</v>
      </c>
      <c r="M294" s="176">
        <v>120000.0</v>
      </c>
      <c r="N294" s="152">
        <v>0.075</v>
      </c>
      <c r="O294" s="147">
        <f t="shared" si="73"/>
        <v>222000</v>
      </c>
      <c r="P294" s="147" t="str">
        <f t="shared" si="3"/>
        <v>Rp120,000-2 GRS-7.50%</v>
      </c>
      <c r="Q294" s="149">
        <v>45412.0</v>
      </c>
      <c r="R294" s="150"/>
      <c r="S294" s="149">
        <v>45418.0</v>
      </c>
      <c r="T294" s="151"/>
      <c r="U294" s="151"/>
      <c r="V294" s="151"/>
      <c r="W294" s="151"/>
    </row>
    <row r="295">
      <c r="A295" s="142">
        <v>4704.0</v>
      </c>
      <c r="B295" s="143" t="str">
        <f t="shared" si="90"/>
        <v>G</v>
      </c>
      <c r="C295" s="143" t="str">
        <f t="shared" si="91"/>
        <v>INDRASARI-MRANGGEN</v>
      </c>
      <c r="D295" s="183" t="s">
        <v>4573</v>
      </c>
      <c r="E295" s="145" t="str">
        <f>IFERROR(__xludf.DUMMYFUNCTION("vlookup(D295,IMPORTRANGE(""https://docs.google.com/spreadsheets/d/1swGwZOEqYlTEUCJLY-eeJM1911Kvaei5oySBIxdgtNo/edit?pli=1#gid=257618397"",""stock FAKTUR!B:C""),2,false)"),"PENSIL KENKO 2B-6120 DOODLE")</f>
        <v>PENSIL KENKO 2B-6120 DOODLE</v>
      </c>
      <c r="F295" s="53" t="str">
        <f>IFERROR(__xludf.DUMMYFUNCTION("vlookup($D295,IMPORTRANGE(""https://docs.google.com/spreadsheets/d/1swGwZOEqYlTEUCJLY-eeJM1911Kvaei5oySBIxdgtNo/edit?pli=1#gid=257618397"",""stock FAKTUR!B:d""),3,false)"),"")</f>
        <v/>
      </c>
      <c r="G295" s="53" t="str">
        <f>IFERROR(__xludf.DUMMYFUNCTION("vlookup($D295,IMPORTRANGE(""https://docs.google.com/spreadsheets/d/1swGwZOEqYlTEUCJLY-eeJM1911Kvaei5oySBIxdgtNo/edit?pli=1#gid=257618397"",""stock FAKTUR!B:e""),4,false)"),"")</f>
        <v/>
      </c>
      <c r="H295" s="53" t="str">
        <f>IFERROR(__xludf.DUMMYFUNCTION("vlookup($D295,IMPORTRANGE(""https://docs.google.com/spreadsheets/d/1swGwZOEqYlTEUCJLY-eeJM1911Kvaei5oySBIxdgtNo/edit?pli=1#gid=257618397"",""stock FAKTUR!B:F""),5,false)"),"KN")</f>
        <v>KN</v>
      </c>
      <c r="I295" s="53" t="str">
        <f>IFERROR(__xludf.DUMMYFUNCTION("vlookup($D295,IMPORTRANGE(""https://docs.google.com/spreadsheets/d/1swGwZOEqYlTEUCJLY-eeJM1911Kvaei5oySBIxdgtNo/edit?pli=1#gid=257618397"",""stock FAKTUR!B:G""),6,false)"),"6120")</f>
        <v>6120</v>
      </c>
      <c r="J295" s="120" t="str">
        <f t="shared" si="25"/>
        <v>ADA</v>
      </c>
      <c r="K295" s="185">
        <v>2.0</v>
      </c>
      <c r="L295" s="145" t="str">
        <f>IFERROR(__xludf.DUMMYFUNCTION("vlookup($D295,IMPORTRANGE(""https://docs.google.com/spreadsheets/d/1swGwZOEqYlTEUCJLY-eeJM1911Kvaei5oySBIxdgtNo/edit?pli=1#gid=257618397"",""stock FAKTUR!B:q""),16,false)"),"GRS")</f>
        <v>GRS</v>
      </c>
      <c r="M295" s="176">
        <v>105600.0</v>
      </c>
      <c r="N295" s="152">
        <v>0.075</v>
      </c>
      <c r="O295" s="147">
        <f t="shared" si="73"/>
        <v>195360</v>
      </c>
      <c r="P295" s="147" t="str">
        <f t="shared" si="3"/>
        <v>Rp105,600-2 GRS-7.50%</v>
      </c>
      <c r="Q295" s="149">
        <v>45412.0</v>
      </c>
      <c r="R295" s="150"/>
      <c r="S295" s="149">
        <v>45418.0</v>
      </c>
      <c r="T295" s="151"/>
      <c r="U295" s="151"/>
      <c r="V295" s="151"/>
      <c r="W295" s="151"/>
    </row>
    <row r="296">
      <c r="A296" s="142">
        <v>4704.0</v>
      </c>
      <c r="B296" s="143" t="str">
        <f t="shared" si="90"/>
        <v>G</v>
      </c>
      <c r="C296" s="143" t="str">
        <f t="shared" si="91"/>
        <v>INDRASARI-MRANGGEN</v>
      </c>
      <c r="D296" s="145" t="s">
        <v>4574</v>
      </c>
      <c r="E296" s="145" t="str">
        <f>IFERROR(__xludf.DUMMYFUNCTION("vlookup(D296,IMPORTRANGE(""https://docs.google.com/spreadsheets/d/1swGwZOEqYlTEUCJLY-eeJM1911Kvaei5oySBIxdgtNo/edit?pli=1#gid=257618397"",""stock FAKTUR!B:C""),2,false)"),"PENSIL KENKO 6363")</f>
        <v>PENSIL KENKO 6363</v>
      </c>
      <c r="F296" s="53" t="str">
        <f>IFERROR(__xludf.DUMMYFUNCTION("vlookup($D296,IMPORTRANGE(""https://docs.google.com/spreadsheets/d/1swGwZOEqYlTEUCJLY-eeJM1911Kvaei5oySBIxdgtNo/edit?pli=1#gid=257618397"",""stock FAKTUR!B:d""),3,false)"),"")</f>
        <v/>
      </c>
      <c r="G296" s="53" t="str">
        <f>IFERROR(__xludf.DUMMYFUNCTION("vlookup($D296,IMPORTRANGE(""https://docs.google.com/spreadsheets/d/1swGwZOEqYlTEUCJLY-eeJM1911Kvaei5oySBIxdgtNo/edit?pli=1#gid=257618397"",""stock FAKTUR!B:e""),4,false)"),"")</f>
        <v/>
      </c>
      <c r="H296" s="53" t="str">
        <f>IFERROR(__xludf.DUMMYFUNCTION("vlookup($D296,IMPORTRANGE(""https://docs.google.com/spreadsheets/d/1swGwZOEqYlTEUCJLY-eeJM1911Kvaei5oySBIxdgtNo/edit?pli=1#gid=257618397"",""stock FAKTUR!B:F""),5,false)"),"KN")</f>
        <v>KN</v>
      </c>
      <c r="I296" s="53" t="str">
        <f>IFERROR(__xludf.DUMMYFUNCTION("vlookup($D296,IMPORTRANGE(""https://docs.google.com/spreadsheets/d/1swGwZOEqYlTEUCJLY-eeJM1911Kvaei5oySBIxdgtNo/edit?pli=1#gid=257618397"",""stock FAKTUR!B:G""),6,false)"),"6363")</f>
        <v>6363</v>
      </c>
      <c r="J296" s="120" t="str">
        <f t="shared" si="25"/>
        <v>ADA</v>
      </c>
      <c r="K296" s="185">
        <v>2.0</v>
      </c>
      <c r="L296" s="145" t="str">
        <f>IFERROR(__xludf.DUMMYFUNCTION("vlookup($D296,IMPORTRANGE(""https://docs.google.com/spreadsheets/d/1swGwZOEqYlTEUCJLY-eeJM1911Kvaei5oySBIxdgtNo/edit?pli=1#gid=257618397"",""stock FAKTUR!B:q""),16,false)"),"GRS")</f>
        <v>GRS</v>
      </c>
      <c r="M296" s="176">
        <v>112800.0</v>
      </c>
      <c r="N296" s="152">
        <v>0.075</v>
      </c>
      <c r="O296" s="147">
        <f t="shared" si="73"/>
        <v>208680</v>
      </c>
      <c r="P296" s="147" t="str">
        <f t="shared" si="3"/>
        <v>Rp112,800-2 GRS-7.50%</v>
      </c>
      <c r="Q296" s="149">
        <v>45412.0</v>
      </c>
      <c r="R296" s="150"/>
      <c r="S296" s="149">
        <v>45418.0</v>
      </c>
      <c r="T296" s="151"/>
      <c r="U296" s="151"/>
      <c r="V296" s="151"/>
      <c r="W296" s="151"/>
    </row>
    <row r="297">
      <c r="A297" s="142">
        <v>4704.0</v>
      </c>
      <c r="B297" s="143" t="str">
        <f t="shared" si="90"/>
        <v>G</v>
      </c>
      <c r="C297" s="143" t="str">
        <f t="shared" si="91"/>
        <v>INDRASARI-MRANGGEN</v>
      </c>
      <c r="D297" s="145" t="s">
        <v>4575</v>
      </c>
      <c r="E297" s="145" t="str">
        <f>IFERROR(__xludf.DUMMYFUNCTION("vlookup(D297,IMPORTRANGE(""https://docs.google.com/spreadsheets/d/1swGwZOEqYlTEUCJLY-eeJM1911Kvaei5oySBIxdgtNo/edit?pli=1#gid=257618397"",""stock FAKTUR!B:C""),2,false)"),"PENSIL KENKO 2B-0810 FLUORESCENT")</f>
        <v>PENSIL KENKO 2B-0810 FLUORESCENT</v>
      </c>
      <c r="F297" s="53" t="str">
        <f>IFERROR(__xludf.DUMMYFUNCTION("vlookup($D297,IMPORTRANGE(""https://docs.google.com/spreadsheets/d/1swGwZOEqYlTEUCJLY-eeJM1911Kvaei5oySBIxdgtNo/edit?pli=1#gid=257618397"",""stock FAKTUR!B:d""),3,false)"),"")</f>
        <v/>
      </c>
      <c r="G297" s="53" t="str">
        <f>IFERROR(__xludf.DUMMYFUNCTION("vlookup($D297,IMPORTRANGE(""https://docs.google.com/spreadsheets/d/1swGwZOEqYlTEUCJLY-eeJM1911Kvaei5oySBIxdgtNo/edit?pli=1#gid=257618397"",""stock FAKTUR!B:e""),4,false)"),"")</f>
        <v/>
      </c>
      <c r="H297" s="53" t="str">
        <f>IFERROR(__xludf.DUMMYFUNCTION("vlookup($D297,IMPORTRANGE(""https://docs.google.com/spreadsheets/d/1swGwZOEqYlTEUCJLY-eeJM1911Kvaei5oySBIxdgtNo/edit?pli=1#gid=257618397"",""stock FAKTUR!B:F""),5,false)"),"KN")</f>
        <v>KN</v>
      </c>
      <c r="I297" s="53" t="str">
        <f>IFERROR(__xludf.DUMMYFUNCTION("vlookup($D297,IMPORTRANGE(""https://docs.google.com/spreadsheets/d/1swGwZOEqYlTEUCJLY-eeJM1911Kvaei5oySBIxdgtNo/edit?pli=1#gid=257618397"",""stock FAKTUR!B:G""),6,false)"),"")</f>
        <v/>
      </c>
      <c r="J297" s="120" t="str">
        <f t="shared" si="25"/>
        <v>ADA</v>
      </c>
      <c r="K297" s="142">
        <v>2.0</v>
      </c>
      <c r="L297" s="145" t="str">
        <f>IFERROR(__xludf.DUMMYFUNCTION("vlookup($D297,IMPORTRANGE(""https://docs.google.com/spreadsheets/d/1swGwZOEqYlTEUCJLY-eeJM1911Kvaei5oySBIxdgtNo/edit?pli=1#gid=257618397"",""stock FAKTUR!B:q""),16,false)"),"GRS")</f>
        <v>GRS</v>
      </c>
      <c r="M297" s="176">
        <v>115200.0</v>
      </c>
      <c r="N297" s="152">
        <v>0.075</v>
      </c>
      <c r="O297" s="147">
        <f t="shared" si="73"/>
        <v>213120</v>
      </c>
      <c r="P297" s="147" t="str">
        <f t="shared" si="3"/>
        <v>Rp115,200-2 GRS-7.50%</v>
      </c>
      <c r="Q297" s="149">
        <v>45412.0</v>
      </c>
      <c r="R297" s="150"/>
      <c r="S297" s="149">
        <v>45418.0</v>
      </c>
      <c r="T297" s="151"/>
      <c r="U297" s="151"/>
      <c r="V297" s="151"/>
      <c r="W297" s="151"/>
    </row>
    <row r="298">
      <c r="A298" s="160">
        <v>4704.0</v>
      </c>
      <c r="B298" s="161" t="str">
        <f t="shared" si="90"/>
        <v>G</v>
      </c>
      <c r="C298" s="161" t="str">
        <f t="shared" si="91"/>
        <v>INDRASARI-MRANGGEN</v>
      </c>
      <c r="D298" s="23" t="s">
        <v>4576</v>
      </c>
      <c r="E298" s="145" t="str">
        <f>IFERROR(__xludf.DUMMYFUNCTION("vlookup(D298,IMPORTRANGE(""https://docs.google.com/spreadsheets/d/1swGwZOEqYlTEUCJLY-eeJM1911Kvaei5oySBIxdgtNo/edit?pli=1#gid=257618397"",""stock FAKTUR!B:C""),2,false)"),"PENSIL KENKO 2B-0192")</f>
        <v>PENSIL KENKO 2B-0192</v>
      </c>
      <c r="F298" s="53" t="str">
        <f>IFERROR(__xludf.DUMMYFUNCTION("vlookup($D298,IMPORTRANGE(""https://docs.google.com/spreadsheets/d/1swGwZOEqYlTEUCJLY-eeJM1911Kvaei5oySBIxdgtNo/edit?pli=1#gid=257618397"",""stock FAKTUR!B:d""),3,false)"),"")</f>
        <v/>
      </c>
      <c r="G298" s="53" t="str">
        <f>IFERROR(__xludf.DUMMYFUNCTION("vlookup($D298,IMPORTRANGE(""https://docs.google.com/spreadsheets/d/1swGwZOEqYlTEUCJLY-eeJM1911Kvaei5oySBIxdgtNo/edit?pli=1#gid=257618397"",""stock FAKTUR!B:e""),4,false)"),"")</f>
        <v/>
      </c>
      <c r="H298" s="53" t="str">
        <f>IFERROR(__xludf.DUMMYFUNCTION("vlookup($D298,IMPORTRANGE(""https://docs.google.com/spreadsheets/d/1swGwZOEqYlTEUCJLY-eeJM1911Kvaei5oySBIxdgtNo/edit?pli=1#gid=257618397"",""stock FAKTUR!B:F""),5,false)"),"KN")</f>
        <v>KN</v>
      </c>
      <c r="I298" s="53" t="str">
        <f>IFERROR(__xludf.DUMMYFUNCTION("vlookup($D298,IMPORTRANGE(""https://docs.google.com/spreadsheets/d/1swGwZOEqYlTEUCJLY-eeJM1911Kvaei5oySBIxdgtNo/edit?pli=1#gid=257618397"",""stock FAKTUR!B:G""),6,false)"),"0192")</f>
        <v>0192</v>
      </c>
      <c r="J298" s="120" t="str">
        <f t="shared" si="25"/>
        <v>ADA</v>
      </c>
      <c r="K298" s="160">
        <v>2.0</v>
      </c>
      <c r="L298" s="145" t="str">
        <f>IFERROR(__xludf.DUMMYFUNCTION("vlookup($D298,IMPORTRANGE(""https://docs.google.com/spreadsheets/d/1swGwZOEqYlTEUCJLY-eeJM1911Kvaei5oySBIxdgtNo/edit?pli=1#gid=257618397"",""stock FAKTUR!B:q""),16,false)"),"GRS")</f>
        <v>GRS</v>
      </c>
      <c r="M298" s="177">
        <v>122400.0</v>
      </c>
      <c r="N298" s="165">
        <v>0.075</v>
      </c>
      <c r="O298" s="164">
        <f t="shared" si="73"/>
        <v>226440</v>
      </c>
      <c r="P298" s="164" t="str">
        <f t="shared" si="3"/>
        <v>Rp122,400-2 GRS-7.50%</v>
      </c>
      <c r="Q298" s="166">
        <v>45412.0</v>
      </c>
      <c r="R298" s="167"/>
      <c r="S298" s="166">
        <v>45418.0</v>
      </c>
      <c r="T298" s="162" t="s">
        <v>4577</v>
      </c>
      <c r="U298" s="173" t="s">
        <v>4390</v>
      </c>
      <c r="V298" s="162"/>
      <c r="W298" s="159"/>
    </row>
    <row r="299">
      <c r="A299" s="142">
        <v>4704.0</v>
      </c>
      <c r="B299" s="143" t="str">
        <f t="shared" si="90"/>
        <v>G</v>
      </c>
      <c r="C299" s="143" t="str">
        <f t="shared" si="91"/>
        <v>INDRASARI-MRANGGEN</v>
      </c>
      <c r="D299" s="145" t="s">
        <v>4420</v>
      </c>
      <c r="E299" s="145" t="str">
        <f>IFERROR(__xludf.DUMMYFUNCTION("vlookup(D299,IMPORTRANGE(""https://docs.google.com/spreadsheets/d/1swGwZOEqYlTEUCJLY-eeJM1911Kvaei5oySBIxdgtNo/edit?pli=1#gid=257618397"",""stock FAKTUR!B:C""),2,false)"),"LEM KENKO LG-50")</f>
        <v>LEM KENKO LG-50</v>
      </c>
      <c r="F299" s="53" t="str">
        <f>IFERROR(__xludf.DUMMYFUNCTION("vlookup($D299,IMPORTRANGE(""https://docs.google.com/spreadsheets/d/1swGwZOEqYlTEUCJLY-eeJM1911Kvaei5oySBIxdgtNo/edit?pli=1#gid=257618397"",""stock FAKTUR!B:d""),3,false)"),"")</f>
        <v/>
      </c>
      <c r="G299" s="53" t="str">
        <f>IFERROR(__xludf.DUMMYFUNCTION("vlookup($D299,IMPORTRANGE(""https://docs.google.com/spreadsheets/d/1swGwZOEqYlTEUCJLY-eeJM1911Kvaei5oySBIxdgtNo/edit?pli=1#gid=257618397"",""stock FAKTUR!B:e""),4,false)"),"")</f>
        <v/>
      </c>
      <c r="H299" s="53" t="str">
        <f>IFERROR(__xludf.DUMMYFUNCTION("vlookup($D299,IMPORTRANGE(""https://docs.google.com/spreadsheets/d/1swGwZOEqYlTEUCJLY-eeJM1911Kvaei5oySBIxdgtNo/edit?pli=1#gid=257618397"",""stock FAKTUR!B:F""),5,false)"),"KN")</f>
        <v>KN</v>
      </c>
      <c r="I299" s="53" t="str">
        <f>IFERROR(__xludf.DUMMYFUNCTION("vlookup($D299,IMPORTRANGE(""https://docs.google.com/spreadsheets/d/1swGwZOEqYlTEUCJLY-eeJM1911Kvaei5oySBIxdgtNo/edit?pli=1#gid=257618397"",""stock FAKTUR!B:G""),6,false)"),"LG-50")</f>
        <v>LG-50</v>
      </c>
      <c r="J299" s="120" t="str">
        <f t="shared" si="25"/>
        <v>ADA</v>
      </c>
      <c r="K299" s="142">
        <v>5.0</v>
      </c>
      <c r="L299" s="145" t="str">
        <f>IFERROR(__xludf.DUMMYFUNCTION("vlookup($D299,IMPORTRANGE(""https://docs.google.com/spreadsheets/d/1swGwZOEqYlTEUCJLY-eeJM1911Kvaei5oySBIxdgtNo/edit?pli=1#gid=257618397"",""stock FAKTUR!B:q""),16,false)"),"LSN")</f>
        <v>LSN</v>
      </c>
      <c r="M299" s="176">
        <v>25200.0</v>
      </c>
      <c r="N299" s="152">
        <v>0.075</v>
      </c>
      <c r="O299" s="147">
        <f t="shared" si="73"/>
        <v>116550</v>
      </c>
      <c r="P299" s="147" t="str">
        <f t="shared" si="3"/>
        <v>Rp25,200-5 LSN-7.50%</v>
      </c>
      <c r="Q299" s="149">
        <v>45412.0</v>
      </c>
      <c r="R299" s="150"/>
      <c r="S299" s="149">
        <v>45418.0</v>
      </c>
      <c r="T299" s="151"/>
      <c r="U299" s="151"/>
      <c r="V299" s="151"/>
      <c r="W299" s="151"/>
    </row>
    <row r="300">
      <c r="A300" s="142">
        <v>4704.0</v>
      </c>
      <c r="B300" s="143" t="str">
        <f t="shared" si="90"/>
        <v>G</v>
      </c>
      <c r="C300" s="143" t="str">
        <f t="shared" si="91"/>
        <v>INDRASARI-MRANGGEN</v>
      </c>
      <c r="D300" s="145" t="s">
        <v>4578</v>
      </c>
      <c r="E300" s="145" t="str">
        <f>IFERROR(__xludf.DUMMYFUNCTION("vlookup(D300,IMPORTRANGE(""https://docs.google.com/spreadsheets/d/1swGwZOEqYlTEUCJLY-eeJM1911Kvaei5oySBIxdgtNo/edit?pli=1#gid=257618397"",""stock FAKTUR!B:C""),2,false)"),"OIL PASTEL JK OP-72S PP CASE SEA WORLD")</f>
        <v>OIL PASTEL JK OP-72S PP CASE SEA WORLD</v>
      </c>
      <c r="F300" s="53" t="str">
        <f>IFERROR(__xludf.DUMMYFUNCTION("vlookup($D300,IMPORTRANGE(""https://docs.google.com/spreadsheets/d/1swGwZOEqYlTEUCJLY-eeJM1911Kvaei5oySBIxdgtNo/edit?pli=1#gid=257618397"",""stock FAKTUR!B:d""),3,false)"),"")</f>
        <v/>
      </c>
      <c r="G300" s="53" t="str">
        <f>IFERROR(__xludf.DUMMYFUNCTION("vlookup($D300,IMPORTRANGE(""https://docs.google.com/spreadsheets/d/1swGwZOEqYlTEUCJLY-eeJM1911Kvaei5oySBIxdgtNo/edit?pli=1#gid=257618397"",""stock FAKTUR!B:e""),4,false)"),"72W")</f>
        <v>72W</v>
      </c>
      <c r="H300" s="53" t="str">
        <f>IFERROR(__xludf.DUMMYFUNCTION("vlookup($D300,IMPORTRANGE(""https://docs.google.com/spreadsheets/d/1swGwZOEqYlTEUCJLY-eeJM1911Kvaei5oySBIxdgtNo/edit?pli=1#gid=257618397"",""stock FAKTUR!B:F""),5,false)"),"JK")</f>
        <v>JK</v>
      </c>
      <c r="I300" s="53" t="str">
        <f>IFERROR(__xludf.DUMMYFUNCTION("vlookup($D300,IMPORTRANGE(""https://docs.google.com/spreadsheets/d/1swGwZOEqYlTEUCJLY-eeJM1911Kvaei5oySBIxdgtNo/edit?pli=1#gid=257618397"",""stock FAKTUR!B:G""),6,false)"),"OP-72S")</f>
        <v>OP-72S</v>
      </c>
      <c r="J300" s="120" t="str">
        <f t="shared" si="25"/>
        <v>ADA</v>
      </c>
      <c r="K300" s="142">
        <v>3.0</v>
      </c>
      <c r="L300" s="145" t="str">
        <f>IFERROR(__xludf.DUMMYFUNCTION("vlookup($D300,IMPORTRANGE(""https://docs.google.com/spreadsheets/d/1swGwZOEqYlTEUCJLY-eeJM1911Kvaei5oySBIxdgtNo/edit?pli=1#gid=257618397"",""stock FAKTUR!B:q""),16,false)"),"PCS")</f>
        <v>PCS</v>
      </c>
      <c r="M300" s="176">
        <v>98400.0</v>
      </c>
      <c r="N300" s="152">
        <v>0.075</v>
      </c>
      <c r="O300" s="147">
        <f t="shared" si="73"/>
        <v>273060</v>
      </c>
      <c r="P300" s="147" t="str">
        <f t="shared" si="3"/>
        <v>Rp98,400-3 PCS-7.50%</v>
      </c>
      <c r="Q300" s="149">
        <v>45412.0</v>
      </c>
      <c r="R300" s="150"/>
      <c r="S300" s="149">
        <v>45418.0</v>
      </c>
      <c r="T300" s="151"/>
      <c r="U300" s="151"/>
      <c r="V300" s="151"/>
      <c r="W300" s="151"/>
    </row>
    <row r="301">
      <c r="A301" s="142">
        <v>4704.0</v>
      </c>
      <c r="B301" s="143" t="str">
        <f t="shared" si="90"/>
        <v>G</v>
      </c>
      <c r="C301" s="143" t="str">
        <f t="shared" si="91"/>
        <v>INDRASARI-MRANGGEN</v>
      </c>
      <c r="D301" s="145" t="s">
        <v>4402</v>
      </c>
      <c r="E301" s="145" t="str">
        <f>IFERROR(__xludf.DUMMYFUNCTION("vlookup(D301,IMPORTRANGE(""https://docs.google.com/spreadsheets/d/1swGwZOEqYlTEUCJLY-eeJM1911Kvaei5oySBIxdgtNo/edit?pli=1#gid=257618397"",""stock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301" s="53" t="str">
        <f>IFERROR(__xludf.DUMMYFUNCTION("vlookup($D301,IMPORTRANGE(""https://docs.google.com/spreadsheets/d/1swGwZOEqYlTEUCJLY-eeJM1911Kvaei5oySBIxdgtNo/edit?pli=1#gid=257618397"",""stock FAKTUR!B:d""),3,false)"),"")</f>
        <v/>
      </c>
      <c r="G301" s="53" t="str">
        <f>IFERROR(__xludf.DUMMYFUNCTION("vlookup($D301,IMPORTRANGE(""https://docs.google.com/spreadsheets/d/1swGwZOEqYlTEUCJLY-eeJM1911Kvaei5oySBIxdgtNo/edit?pli=1#gid=257618397"",""stock FAKTUR!B:e""),4,false)"),"55W")</f>
        <v>55W</v>
      </c>
      <c r="H301" s="53" t="str">
        <f>IFERROR(__xludf.DUMMYFUNCTION("vlookup($D301,IMPORTRANGE(""https://docs.google.com/spreadsheets/d/1swGwZOEqYlTEUCJLY-eeJM1911Kvaei5oySBIxdgtNo/edit?pli=1#gid=257618397"",""stock FAKTUR!B:F""),5,false)"),"JK")</f>
        <v>JK</v>
      </c>
      <c r="I301" s="53" t="str">
        <f>IFERROR(__xludf.DUMMYFUNCTION("vlookup($D301,IMPORTRANGE(""https://docs.google.com/spreadsheets/d/1swGwZOEqYlTEUCJLY-eeJM1911Kvaei5oySBIxdgtNo/edit?pli=1#gid=257618397"",""stock FAKTUR!B:G""),6,false)"),"")</f>
        <v/>
      </c>
      <c r="J301" s="120" t="str">
        <f t="shared" si="25"/>
        <v>ADA</v>
      </c>
      <c r="K301" s="142">
        <v>6.0</v>
      </c>
      <c r="L301" s="145" t="str">
        <f>IFERROR(__xludf.DUMMYFUNCTION("vlookup($D301,IMPORTRANGE(""https://docs.google.com/spreadsheets/d/1swGwZOEqYlTEUCJLY-eeJM1911Kvaei5oySBIxdgtNo/edit?pli=1#gid=257618397"",""stock FAKTUR!B:q""),16,false)"),"PCS")</f>
        <v>PCS</v>
      </c>
      <c r="M301" s="176">
        <v>68700.0</v>
      </c>
      <c r="N301" s="152">
        <v>0.075</v>
      </c>
      <c r="O301" s="147">
        <f t="shared" si="73"/>
        <v>381285</v>
      </c>
      <c r="P301" s="147" t="str">
        <f t="shared" si="3"/>
        <v>Rp68,700-6 PCS-7.50%</v>
      </c>
      <c r="Q301" s="149">
        <v>45412.0</v>
      </c>
      <c r="R301" s="150"/>
      <c r="S301" s="149">
        <v>45418.0</v>
      </c>
      <c r="T301" s="151"/>
      <c r="U301" s="151"/>
      <c r="V301" s="151"/>
      <c r="W301" s="151"/>
    </row>
    <row r="302">
      <c r="A302" s="142">
        <v>4704.0</v>
      </c>
      <c r="B302" s="143" t="str">
        <f t="shared" si="90"/>
        <v>G</v>
      </c>
      <c r="C302" s="143" t="str">
        <f t="shared" si="91"/>
        <v>INDRASARI-MRANGGEN</v>
      </c>
      <c r="D302" s="145" t="s">
        <v>4579</v>
      </c>
      <c r="E302" s="145" t="str">
        <f>IFERROR(__xludf.DUMMYFUNCTION("vlookup(D302,IMPORTRANGE(""https://docs.google.com/spreadsheets/d/1swGwZOEqYlTEUCJLY-eeJM1911Kvaei5oySBIxdgtNo/edit?pli=1#gid=257618397"",""stock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302" s="53" t="str">
        <f>IFERROR(__xludf.DUMMYFUNCTION("vlookup($D302,IMPORTRANGE(""https://docs.google.com/spreadsheets/d/1swGwZOEqYlTEUCJLY-eeJM1911Kvaei5oySBIxdgtNo/edit?pli=1#gid=257618397"",""stock FAKTUR!B:d""),3,false)"),"")</f>
        <v/>
      </c>
      <c r="G302" s="53" t="str">
        <f>IFERROR(__xludf.DUMMYFUNCTION("vlookup($D302,IMPORTRANGE(""https://docs.google.com/spreadsheets/d/1swGwZOEqYlTEUCJLY-eeJM1911Kvaei5oySBIxdgtNo/edit?pli=1#gid=257618397"",""stock FAKTUR!B:e""),4,false)"),"48W")</f>
        <v>48W</v>
      </c>
      <c r="H302" s="53" t="str">
        <f>IFERROR(__xludf.DUMMYFUNCTION("vlookup($D302,IMPORTRANGE(""https://docs.google.com/spreadsheets/d/1swGwZOEqYlTEUCJLY-eeJM1911Kvaei5oySBIxdgtNo/edit?pli=1#gid=257618397"",""stock FAKTUR!B:F""),5,false)"),"JK")</f>
        <v>JK</v>
      </c>
      <c r="I302" s="53" t="str">
        <f>IFERROR(__xludf.DUMMYFUNCTION("vlookup($D302,IMPORTRANGE(""https://docs.google.com/spreadsheets/d/1swGwZOEqYlTEUCJLY-eeJM1911Kvaei5oySBIxdgtNo/edit?pli=1#gid=257618397"",""stock FAKTUR!B:G""),6,false)"),"OP-48S")</f>
        <v>OP-48S</v>
      </c>
      <c r="J302" s="120" t="str">
        <f t="shared" si="25"/>
        <v>ADA</v>
      </c>
      <c r="K302" s="142">
        <v>6.0</v>
      </c>
      <c r="L302" s="145" t="str">
        <f>IFERROR(__xludf.DUMMYFUNCTION("vlookup($D302,IMPORTRANGE(""https://docs.google.com/spreadsheets/d/1swGwZOEqYlTEUCJLY-eeJM1911Kvaei5oySBIxdgtNo/edit?pli=1#gid=257618397"",""stock FAKTUR!B:q""),16,false)"),"PCS")</f>
        <v>PCS</v>
      </c>
      <c r="M302" s="176">
        <v>60700.0</v>
      </c>
      <c r="N302" s="152">
        <v>0.075</v>
      </c>
      <c r="O302" s="147">
        <f t="shared" si="73"/>
        <v>336885</v>
      </c>
      <c r="P302" s="147" t="str">
        <f t="shared" si="3"/>
        <v>Rp60,700-6 PCS-7.50%</v>
      </c>
      <c r="Q302" s="149">
        <v>45412.0</v>
      </c>
      <c r="R302" s="150"/>
      <c r="S302" s="149">
        <v>45418.0</v>
      </c>
      <c r="T302" s="151"/>
      <c r="U302" s="151"/>
      <c r="V302" s="151"/>
      <c r="W302" s="151"/>
    </row>
    <row r="303">
      <c r="A303" s="142">
        <v>4704.0</v>
      </c>
      <c r="B303" s="143" t="str">
        <f t="shared" si="90"/>
        <v>G</v>
      </c>
      <c r="C303" s="143" t="str">
        <f t="shared" si="91"/>
        <v>INDRASARI-MRANGGEN</v>
      </c>
      <c r="D303" s="145" t="s">
        <v>4393</v>
      </c>
      <c r="E303" s="145" t="str">
        <f>IFERROR(__xludf.DUMMYFUNCTION("vlookup(D303,IMPORTRANGE(""https://docs.google.com/spreadsheets/d/1swGwZOEqYlTEUCJLY-eeJM1911Kvaei5oySBIxdgtNo/edit?pli=1#gid=257618397"",""stock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303" s="53" t="str">
        <f>IFERROR(__xludf.DUMMYFUNCTION("vlookup($D303,IMPORTRANGE(""https://docs.google.com/spreadsheets/d/1swGwZOEqYlTEUCJLY-eeJM1911Kvaei5oySBIxdgtNo/edit?pli=1#gid=257618397"",""stock FAKTUR!B:d""),3,false)"),"")</f>
        <v/>
      </c>
      <c r="G303" s="53" t="str">
        <f>IFERROR(__xludf.DUMMYFUNCTION("vlookup($D303,IMPORTRANGE(""https://docs.google.com/spreadsheets/d/1swGwZOEqYlTEUCJLY-eeJM1911Kvaei5oySBIxdgtNo/edit?pli=1#gid=257618397"",""stock FAKTUR!B:e""),4,false)"),"36W")</f>
        <v>36W</v>
      </c>
      <c r="H303" s="53" t="str">
        <f>IFERROR(__xludf.DUMMYFUNCTION("vlookup($D303,IMPORTRANGE(""https://docs.google.com/spreadsheets/d/1swGwZOEqYlTEUCJLY-eeJM1911Kvaei5oySBIxdgtNo/edit?pli=1#gid=257618397"",""stock FAKTUR!B:F""),5,false)"),"JK")</f>
        <v>JK</v>
      </c>
      <c r="I303" s="53" t="str">
        <f>IFERROR(__xludf.DUMMYFUNCTION("vlookup($D303,IMPORTRANGE(""https://docs.google.com/spreadsheets/d/1swGwZOEqYlTEUCJLY-eeJM1911Kvaei5oySBIxdgtNo/edit?pli=1#gid=257618397"",""stock FAKTUR!B:G""),6,false)"),"OP-36S")</f>
        <v>OP-36S</v>
      </c>
      <c r="J303" s="120" t="str">
        <f t="shared" si="25"/>
        <v>ADA</v>
      </c>
      <c r="K303" s="142">
        <v>12.0</v>
      </c>
      <c r="L303" s="145" t="str">
        <f>IFERROR(__xludf.DUMMYFUNCTION("vlookup($D303,IMPORTRANGE(""https://docs.google.com/spreadsheets/d/1swGwZOEqYlTEUCJLY-eeJM1911Kvaei5oySBIxdgtNo/edit?pli=1#gid=257618397"",""stock FAKTUR!B:q""),16,false)"),"PCS")</f>
        <v>PCS</v>
      </c>
      <c r="M303" s="176">
        <v>42700.0</v>
      </c>
      <c r="N303" s="152">
        <v>0.075</v>
      </c>
      <c r="O303" s="147">
        <f t="shared" si="73"/>
        <v>473970</v>
      </c>
      <c r="P303" s="147" t="str">
        <f t="shared" si="3"/>
        <v>Rp42,700-12 PCS-7.50%</v>
      </c>
      <c r="Q303" s="149">
        <v>45412.0</v>
      </c>
      <c r="R303" s="150"/>
      <c r="S303" s="149">
        <v>45418.0</v>
      </c>
      <c r="T303" s="151"/>
      <c r="U303" s="151"/>
      <c r="V303" s="151"/>
      <c r="W303" s="151"/>
    </row>
    <row r="304">
      <c r="A304" s="142">
        <v>4704.0</v>
      </c>
      <c r="B304" s="143" t="str">
        <f t="shared" si="90"/>
        <v>G</v>
      </c>
      <c r="C304" s="143" t="str">
        <f t="shared" si="91"/>
        <v>INDRASARI-MRANGGEN</v>
      </c>
      <c r="D304" s="145" t="s">
        <v>4386</v>
      </c>
      <c r="E304" s="145" t="str">
        <f>IFERROR(__xludf.DUMMYFUNCTION("vlookup(D304,IMPORTRANGE(""https://docs.google.com/spreadsheets/d/1swGwZOEqYlTEUCJLY-eeJM1911Kvaei5oySBIxdgtNo/edit?pli=1#gid=257618397"",""stock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304" s="53" t="str">
        <f>IFERROR(__xludf.DUMMYFUNCTION("vlookup($D304,IMPORTRANGE(""https://docs.google.com/spreadsheets/d/1swGwZOEqYlTEUCJLY-eeJM1911Kvaei5oySBIxdgtNo/edit?pli=1#gid=257618397"",""stock FAKTUR!B:d""),3,false)"),"")</f>
        <v/>
      </c>
      <c r="G304" s="53" t="str">
        <f>IFERROR(__xludf.DUMMYFUNCTION("vlookup($D304,IMPORTRANGE(""https://docs.google.com/spreadsheets/d/1swGwZOEqYlTEUCJLY-eeJM1911Kvaei5oySBIxdgtNo/edit?pli=1#gid=257618397"",""stock FAKTUR!B:e""),4,false)"),"12W")</f>
        <v>12W</v>
      </c>
      <c r="H304" s="53" t="str">
        <f>IFERROR(__xludf.DUMMYFUNCTION("vlookup($D304,IMPORTRANGE(""https://docs.google.com/spreadsheets/d/1swGwZOEqYlTEUCJLY-eeJM1911Kvaei5oySBIxdgtNo/edit?pli=1#gid=257618397"",""stock FAKTUR!B:F""),5,false)"),"JK")</f>
        <v>JK</v>
      </c>
      <c r="I304" s="53" t="str">
        <f>IFERROR(__xludf.DUMMYFUNCTION("vlookup($D304,IMPORTRANGE(""https://docs.google.com/spreadsheets/d/1swGwZOEqYlTEUCJLY-eeJM1911Kvaei5oySBIxdgtNo/edit?pli=1#gid=257618397"",""stock FAKTUR!B:G""),6,false)"),"OP-12S")</f>
        <v>OP-12S</v>
      </c>
      <c r="J304" s="120" t="str">
        <f t="shared" si="25"/>
        <v>ADA</v>
      </c>
      <c r="K304" s="142">
        <v>12.0</v>
      </c>
      <c r="L304" s="145" t="str">
        <f>IFERROR(__xludf.DUMMYFUNCTION("vlookup($D304,IMPORTRANGE(""https://docs.google.com/spreadsheets/d/1swGwZOEqYlTEUCJLY-eeJM1911Kvaei5oySBIxdgtNo/edit?pli=1#gid=257618397"",""stock FAKTUR!B:q""),16,false)"),"PCS")</f>
        <v>PCS</v>
      </c>
      <c r="M304" s="176">
        <v>12300.0</v>
      </c>
      <c r="N304" s="152">
        <v>0.075</v>
      </c>
      <c r="O304" s="147">
        <f t="shared" si="73"/>
        <v>136530</v>
      </c>
      <c r="P304" s="147" t="str">
        <f t="shared" si="3"/>
        <v>Rp12,300-12 PCS-7.50%</v>
      </c>
      <c r="Q304" s="149">
        <v>45412.0</v>
      </c>
      <c r="R304" s="150"/>
      <c r="S304" s="149">
        <v>45418.0</v>
      </c>
      <c r="T304" s="151"/>
      <c r="U304" s="151"/>
      <c r="V304" s="151"/>
      <c r="W304" s="151"/>
    </row>
    <row r="305">
      <c r="A305" s="153">
        <v>4704.0</v>
      </c>
      <c r="B305" s="144" t="str">
        <f t="shared" si="90"/>
        <v>G</v>
      </c>
      <c r="C305" s="144" t="str">
        <f t="shared" si="91"/>
        <v>INDRASARI-MRANGGEN</v>
      </c>
      <c r="D305" s="145" t="s">
        <v>4580</v>
      </c>
      <c r="E305" s="145" t="str">
        <f>IFERROR(__xludf.DUMMYFUNCTION("vlookup(D305,IMPORTRANGE(""https://docs.google.com/spreadsheets/d/1swGwZOEqYlTEUCJLY-eeJM1911Kvaei5oySBIxdgtNo/edit?pli=1#gid=257618397"",""stock FAKTUR!B:C""),2,false)"),"OIL PASTEL TITI 55W TI-P-55 S")</f>
        <v>OIL PASTEL TITI 55W TI-P-55 S</v>
      </c>
      <c r="F305" s="53" t="str">
        <f>IFERROR(__xludf.DUMMYFUNCTION("vlookup($D305,IMPORTRANGE(""https://docs.google.com/spreadsheets/d/1swGwZOEqYlTEUCJLY-eeJM1911Kvaei5oySBIxdgtNo/edit?pli=1#gid=257618397"",""stock FAKTUR!B:d""),3,false)"),"")</f>
        <v/>
      </c>
      <c r="G305" s="53" t="str">
        <f>IFERROR(__xludf.DUMMYFUNCTION("vlookup($D305,IMPORTRANGE(""https://docs.google.com/spreadsheets/d/1swGwZOEqYlTEUCJLY-eeJM1911Kvaei5oySBIxdgtNo/edit?pli=1#gid=257618397"",""stock FAKTUR!B:e""),4,false)"),"55W")</f>
        <v>55W</v>
      </c>
      <c r="H305" s="53" t="str">
        <f>IFERROR(__xludf.DUMMYFUNCTION("vlookup($D305,IMPORTRANGE(""https://docs.google.com/spreadsheets/d/1swGwZOEqYlTEUCJLY-eeJM1911Kvaei5oySBIxdgtNo/edit?pli=1#gid=257618397"",""stock FAKTUR!B:F""),5,false)"),"TT")</f>
        <v>TT</v>
      </c>
      <c r="I305" s="53" t="str">
        <f>IFERROR(__xludf.DUMMYFUNCTION("vlookup($D305,IMPORTRANGE(""https://docs.google.com/spreadsheets/d/1swGwZOEqYlTEUCJLY-eeJM1911Kvaei5oySBIxdgtNo/edit?pli=1#gid=257618397"",""stock FAKTUR!B:G""),6,false)"),"")</f>
        <v/>
      </c>
      <c r="J305" s="120" t="str">
        <f t="shared" si="25"/>
        <v>ADA</v>
      </c>
      <c r="K305" s="186">
        <v>2.0</v>
      </c>
      <c r="L305" s="145" t="str">
        <f>IFERROR(__xludf.DUMMYFUNCTION("vlookup($D305,IMPORTRANGE(""https://docs.google.com/spreadsheets/d/1swGwZOEqYlTEUCJLY-eeJM1911Kvaei5oySBIxdgtNo/edit?pli=1#gid=257618397"",""stock FAKTUR!B:q""),16,false)"),"BOX")</f>
        <v>BOX</v>
      </c>
      <c r="M305" s="181">
        <f>6*76000</f>
        <v>456000</v>
      </c>
      <c r="N305" s="156">
        <v>0.075</v>
      </c>
      <c r="O305" s="155">
        <f t="shared" si="73"/>
        <v>843600</v>
      </c>
      <c r="P305" s="155" t="str">
        <f t="shared" si="3"/>
        <v>Rp456,000-2 BOX-7.50%</v>
      </c>
      <c r="Q305" s="157">
        <v>45412.0</v>
      </c>
      <c r="R305" s="158"/>
      <c r="S305" s="157">
        <v>45418.0</v>
      </c>
      <c r="T305" s="145" t="s">
        <v>4581</v>
      </c>
      <c r="U305" s="169" t="s">
        <v>4582</v>
      </c>
      <c r="V305" s="145"/>
      <c r="W305" s="159"/>
    </row>
    <row r="306">
      <c r="A306" s="153">
        <v>4705.0</v>
      </c>
      <c r="B306" s="144" t="s">
        <v>58</v>
      </c>
      <c r="C306" s="144" t="s">
        <v>2001</v>
      </c>
      <c r="D306" s="180" t="s">
        <v>4583</v>
      </c>
      <c r="E306" s="145" t="str">
        <f>IFERROR(__xludf.DUMMYFUNCTION("vlookup(D306,IMPORTRANGE(""https://docs.google.com/spreadsheets/d/1swGwZOEqYlTEUCJLY-eeJM1911Kvaei5oySBIxdgtNo/edit?pli=1#gid=257618397"",""stock FAKTUR!B:C""),2,false)"),"PW KALENG (TIN CASE) KENKO CP-12")</f>
        <v>PW KALENG (TIN CASE) KENKO CP-12</v>
      </c>
      <c r="F306" s="53" t="str">
        <f>IFERROR(__xludf.DUMMYFUNCTION("vlookup($D306,IMPORTRANGE(""https://docs.google.com/spreadsheets/d/1swGwZOEqYlTEUCJLY-eeJM1911Kvaei5oySBIxdgtNo/edit?pli=1#gid=257618397"",""stock FAKTUR!B:d""),3,false)"),"")</f>
        <v/>
      </c>
      <c r="G306" s="53" t="str">
        <f>IFERROR(__xludf.DUMMYFUNCTION("vlookup($D306,IMPORTRANGE(""https://docs.google.com/spreadsheets/d/1swGwZOEqYlTEUCJLY-eeJM1911Kvaei5oySBIxdgtNo/edit?pli=1#gid=257618397"",""stock FAKTUR!B:e""),4,false)"),"12W")</f>
        <v>12W</v>
      </c>
      <c r="H306" s="53" t="str">
        <f>IFERROR(__xludf.DUMMYFUNCTION("vlookup($D306,IMPORTRANGE(""https://docs.google.com/spreadsheets/d/1swGwZOEqYlTEUCJLY-eeJM1911Kvaei5oySBIxdgtNo/edit?pli=1#gid=257618397"",""stock FAKTUR!B:F""),5,false)"),"KN")</f>
        <v>KN</v>
      </c>
      <c r="I306" s="53" t="str">
        <f>IFERROR(__xludf.DUMMYFUNCTION("vlookup($D306,IMPORTRANGE(""https://docs.google.com/spreadsheets/d/1swGwZOEqYlTEUCJLY-eeJM1911Kvaei5oySBIxdgtNo/edit?pli=1#gid=257618397"",""stock FAKTUR!B:G""),6,false)"),"CP-12")</f>
        <v>CP-12</v>
      </c>
      <c r="J306" s="120" t="str">
        <f t="shared" si="25"/>
        <v>ADA</v>
      </c>
      <c r="K306" s="153">
        <v>2.0</v>
      </c>
      <c r="L306" s="145" t="str">
        <f>IFERROR(__xludf.DUMMYFUNCTION("vlookup($D306,IMPORTRANGE(""https://docs.google.com/spreadsheets/d/1swGwZOEqYlTEUCJLY-eeJM1911Kvaei5oySBIxdgtNo/edit?pli=1#gid=257618397"",""stock FAKTUR!B:q""),16,false)"),"LSN")</f>
        <v>LSN</v>
      </c>
      <c r="M306" s="181">
        <v>204000.0</v>
      </c>
      <c r="N306" s="156">
        <v>0.075</v>
      </c>
      <c r="O306" s="155">
        <f t="shared" si="73"/>
        <v>377400</v>
      </c>
      <c r="P306" s="155" t="str">
        <f t="shared" si="3"/>
        <v>Rp204,000-2 LSN-7.50%</v>
      </c>
      <c r="Q306" s="157">
        <v>45412.0</v>
      </c>
      <c r="R306" s="158"/>
      <c r="S306" s="157">
        <v>45418.0</v>
      </c>
      <c r="T306" s="145" t="s">
        <v>4584</v>
      </c>
      <c r="U306" s="145" t="s">
        <v>4390</v>
      </c>
      <c r="V306" s="145"/>
      <c r="W306" s="159"/>
    </row>
    <row r="307">
      <c r="A307" s="142">
        <v>233.0</v>
      </c>
      <c r="B307" s="143" t="str">
        <f t="shared" ref="B307:B308" si="93">IF(A307=A306,B306,"")</f>
        <v/>
      </c>
      <c r="C307" s="143" t="s">
        <v>4518</v>
      </c>
      <c r="D307" s="145" t="s">
        <v>4585</v>
      </c>
      <c r="E307" s="145" t="str">
        <f>IFERROR(__xludf.DUMMYFUNCTION("vlookup(D307,IMPORTRANGE(""https://docs.google.com/spreadsheets/d/1swGwZOEqYlTEUCJLY-eeJM1911Kvaei5oySBIxdgtNo/edit?pli=1#gid=257618397"",""stock FAKTUR!B:C""),2,false)"),"GUNTING KENKO SC-828")</f>
        <v>GUNTING KENKO SC-828</v>
      </c>
      <c r="F307" s="53" t="str">
        <f>IFERROR(__xludf.DUMMYFUNCTION("vlookup($D307,IMPORTRANGE(""https://docs.google.com/spreadsheets/d/1swGwZOEqYlTEUCJLY-eeJM1911Kvaei5oySBIxdgtNo/edit?pli=1#gid=257618397"",""stock FAKTUR!B:d""),3,false)"),"")</f>
        <v/>
      </c>
      <c r="G307" s="53" t="str">
        <f>IFERROR(__xludf.DUMMYFUNCTION("vlookup($D307,IMPORTRANGE(""https://docs.google.com/spreadsheets/d/1swGwZOEqYlTEUCJLY-eeJM1911Kvaei5oySBIxdgtNo/edit?pli=1#gid=257618397"",""stock FAKTUR!B:e""),4,false)"),"")</f>
        <v/>
      </c>
      <c r="H307" s="53" t="str">
        <f>IFERROR(__xludf.DUMMYFUNCTION("vlookup($D307,IMPORTRANGE(""https://docs.google.com/spreadsheets/d/1swGwZOEqYlTEUCJLY-eeJM1911Kvaei5oySBIxdgtNo/edit?pli=1#gid=257618397"",""stock FAKTUR!B:F""),5,false)"),"KN")</f>
        <v>KN</v>
      </c>
      <c r="I307" s="53" t="str">
        <f>IFERROR(__xludf.DUMMYFUNCTION("vlookup($D307,IMPORTRANGE(""https://docs.google.com/spreadsheets/d/1swGwZOEqYlTEUCJLY-eeJM1911Kvaei5oySBIxdgtNo/edit?pli=1#gid=257618397"",""stock FAKTUR!B:G""),6,false)"),"SCS-001GO")</f>
        <v>SCS-001GO</v>
      </c>
      <c r="J307" s="120" t="str">
        <f t="shared" si="25"/>
        <v>ADA</v>
      </c>
      <c r="K307" s="142">
        <v>2.0</v>
      </c>
      <c r="L307" s="145" t="str">
        <f>IFERROR(__xludf.DUMMYFUNCTION("vlookup($D307,IMPORTRANGE(""https://docs.google.com/spreadsheets/d/1swGwZOEqYlTEUCJLY-eeJM1911Kvaei5oySBIxdgtNo/edit?pli=1#gid=257618397"",""stock FAKTUR!B:q""),16,false)"),"LSN")</f>
        <v>LSN</v>
      </c>
      <c r="M307" s="176">
        <f>56400</f>
        <v>56400</v>
      </c>
      <c r="N307" s="152">
        <v>0.125</v>
      </c>
      <c r="O307" s="147">
        <f>(K307*M307)-((M307*K307)*N307)-4935</f>
        <v>93765</v>
      </c>
      <c r="P307" s="147" t="str">
        <f t="shared" si="3"/>
        <v>Rp56,400-2 LSN-12.50%</v>
      </c>
      <c r="Q307" s="149">
        <v>45414.0</v>
      </c>
      <c r="R307" s="150"/>
      <c r="S307" s="149">
        <v>45418.0</v>
      </c>
      <c r="T307" s="151"/>
      <c r="U307" s="151"/>
      <c r="V307" s="151"/>
      <c r="W307" s="151"/>
    </row>
    <row r="308">
      <c r="A308" s="142">
        <v>233.0</v>
      </c>
      <c r="B308" s="143" t="str">
        <f t="shared" si="93"/>
        <v/>
      </c>
      <c r="C308" s="143" t="str">
        <f>IF(A308=A307,C307,"")</f>
        <v>SBM</v>
      </c>
      <c r="D308" s="145" t="s">
        <v>4586</v>
      </c>
      <c r="E308" s="145" t="str">
        <f>IFERROR(__xludf.DUMMYFUNCTION("vlookup(D308,IMPORTRANGE(""https://docs.google.com/spreadsheets/d/1swGwZOEqYlTEUCJLY-eeJM1911Kvaei5oySBIxdgtNo/edit?pli=1#gid=257618397"",""stock FAKTUR!B:C""),2,false)"),"GUNTING KENKO SC 838 N")</f>
        <v>GUNTING KENKO SC 838 N</v>
      </c>
      <c r="F308" s="53" t="str">
        <f>IFERROR(__xludf.DUMMYFUNCTION("vlookup($D308,IMPORTRANGE(""https://docs.google.com/spreadsheets/d/1swGwZOEqYlTEUCJLY-eeJM1911Kvaei5oySBIxdgtNo/edit?pli=1#gid=257618397"",""stock FAKTUR!B:d""),3,false)"),"")</f>
        <v/>
      </c>
      <c r="G308" s="53" t="str">
        <f>IFERROR(__xludf.DUMMYFUNCTION("vlookup($D308,IMPORTRANGE(""https://docs.google.com/spreadsheets/d/1swGwZOEqYlTEUCJLY-eeJM1911Kvaei5oySBIxdgtNo/edit?pli=1#gid=257618397"",""stock FAKTUR!B:e""),4,false)"),"")</f>
        <v/>
      </c>
      <c r="H308" s="53" t="str">
        <f>IFERROR(__xludf.DUMMYFUNCTION("vlookup($D308,IMPORTRANGE(""https://docs.google.com/spreadsheets/d/1swGwZOEqYlTEUCJLY-eeJM1911Kvaei5oySBIxdgtNo/edit?pli=1#gid=257618397"",""stock FAKTUR!B:F""),5,false)"),"KN")</f>
        <v>KN</v>
      </c>
      <c r="I308" s="53" t="str">
        <f>IFERROR(__xludf.DUMMYFUNCTION("vlookup($D308,IMPORTRANGE(""https://docs.google.com/spreadsheets/d/1swGwZOEqYlTEUCJLY-eeJM1911Kvaei5oySBIxdgtNo/edit?pli=1#gid=257618397"",""stock FAKTUR!B:G""),6,false)"),"SCS-002GO")</f>
        <v>SCS-002GO</v>
      </c>
      <c r="J308" s="120" t="str">
        <f t="shared" si="25"/>
        <v>ADA</v>
      </c>
      <c r="K308" s="142">
        <v>1.0</v>
      </c>
      <c r="L308" s="145" t="str">
        <f>IFERROR(__xludf.DUMMYFUNCTION("vlookup($D308,IMPORTRANGE(""https://docs.google.com/spreadsheets/d/1swGwZOEqYlTEUCJLY-eeJM1911Kvaei5oySBIxdgtNo/edit?pli=1#gid=257618397"",""stock FAKTUR!B:q""),16,false)"),"LSN")</f>
        <v>LSN</v>
      </c>
      <c r="M308" s="176">
        <v>79800.0</v>
      </c>
      <c r="N308" s="152">
        <v>0.125</v>
      </c>
      <c r="O308" s="147">
        <f>(K308*M308)-((M308*K308)*N308)-3490</f>
        <v>66335</v>
      </c>
      <c r="P308" s="147" t="str">
        <f t="shared" si="3"/>
        <v>Rp79,800-1 LSN-12.50%</v>
      </c>
      <c r="Q308" s="149">
        <v>45414.0</v>
      </c>
      <c r="R308" s="150"/>
      <c r="S308" s="149">
        <v>45418.0</v>
      </c>
      <c r="T308" s="151"/>
      <c r="U308" s="151"/>
      <c r="V308" s="151"/>
      <c r="W308" s="151"/>
    </row>
    <row r="309">
      <c r="A309" s="142">
        <v>4689.0</v>
      </c>
      <c r="B309" s="143" t="s">
        <v>33</v>
      </c>
      <c r="C309" s="143" t="s">
        <v>3040</v>
      </c>
      <c r="D309" s="145" t="s">
        <v>4587</v>
      </c>
      <c r="E309" s="145" t="str">
        <f>IFERROR(__xludf.DUMMYFUNCTION("vlookup(D309,IMPORTRANGE(""https://docs.google.com/spreadsheets/d/1swGwZOEqYlTEUCJLY-eeJM1911Kvaei5oySBIxdgtNo/edit?pli=1#gid=257618397"",""stock FAKTUR!B:C""),2,false)"),"BP KENKO HI-TECH 0.28MM BIRU")</f>
        <v>BP KENKO HI-TECH 0.28MM BIRU</v>
      </c>
      <c r="F309" s="53" t="str">
        <f>IFERROR(__xludf.DUMMYFUNCTION("vlookup($D309,IMPORTRANGE(""https://docs.google.com/spreadsheets/d/1swGwZOEqYlTEUCJLY-eeJM1911Kvaei5oySBIxdgtNo/edit?pli=1#gid=257618397"",""stock FAKTUR!B:d""),3,false)"),"")</f>
        <v/>
      </c>
      <c r="G309" s="53" t="str">
        <f>IFERROR(__xludf.DUMMYFUNCTION("vlookup($D309,IMPORTRANGE(""https://docs.google.com/spreadsheets/d/1swGwZOEqYlTEUCJLY-eeJM1911Kvaei5oySBIxdgtNo/edit?pli=1#gid=257618397"",""stock FAKTUR!B:e""),4,false)"),"BIRU")</f>
        <v>BIRU</v>
      </c>
      <c r="H309" s="53" t="str">
        <f>IFERROR(__xludf.DUMMYFUNCTION("vlookup($D309,IMPORTRANGE(""https://docs.google.com/spreadsheets/d/1swGwZOEqYlTEUCJLY-eeJM1911Kvaei5oySBIxdgtNo/edit?pli=1#gid=257618397"",""stock FAKTUR!B:F""),5,false)"),"KN")</f>
        <v>KN</v>
      </c>
      <c r="I309" s="53" t="str">
        <f>IFERROR(__xludf.DUMMYFUNCTION("vlookup($D309,IMPORTRANGE(""https://docs.google.com/spreadsheets/d/1swGwZOEqYlTEUCJLY-eeJM1911Kvaei5oySBIxdgtNo/edit?pli=1#gid=257618397"",""stock FAKTUR!B:G""),6,false)"),"GPT-018BL")</f>
        <v>GPT-018BL</v>
      </c>
      <c r="J309" s="120" t="str">
        <f t="shared" si="25"/>
        <v>ADA</v>
      </c>
      <c r="K309" s="142">
        <v>144.0</v>
      </c>
      <c r="L309" s="145" t="str">
        <f>IFERROR(__xludf.DUMMYFUNCTION("vlookup($D309,IMPORTRANGE(""https://docs.google.com/spreadsheets/d/1swGwZOEqYlTEUCJLY-eeJM1911Kvaei5oySBIxdgtNo/edit?pli=1#gid=257618397"",""stock FAKTUR!B:q""),16,false)"),"LSN")</f>
        <v>LSN</v>
      </c>
      <c r="M309" s="147">
        <v>39000.0</v>
      </c>
      <c r="N309" s="152">
        <v>0.125</v>
      </c>
      <c r="O309" s="147">
        <f t="shared" ref="O309:O454" si="94">(K309*M309)-((M309*K309)*N309)</f>
        <v>4914000</v>
      </c>
      <c r="P309" s="147" t="str">
        <f t="shared" si="3"/>
        <v>Rp39,000-144 LSN-12.50%</v>
      </c>
      <c r="Q309" s="149">
        <v>45414.0</v>
      </c>
      <c r="R309" s="150"/>
      <c r="S309" s="149">
        <v>45418.0</v>
      </c>
      <c r="T309" s="151"/>
      <c r="U309" s="151"/>
      <c r="V309" s="151"/>
      <c r="W309" s="151"/>
    </row>
    <row r="310">
      <c r="A310" s="142">
        <v>4695.0</v>
      </c>
      <c r="B310" s="143" t="s">
        <v>65</v>
      </c>
      <c r="C310" s="144" t="s">
        <v>4526</v>
      </c>
      <c r="D310" s="145" t="s">
        <v>4386</v>
      </c>
      <c r="E310" s="145" t="str">
        <f>IFERROR(__xludf.DUMMYFUNCTION("vlookup(D310,IMPORTRANGE(""https://docs.google.com/spreadsheets/d/1swGwZOEqYlTEUCJLY-eeJM1911Kvaei5oySBIxdgtNo/edit?pli=1#gid=257618397"",""stock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310" s="53" t="str">
        <f>IFERROR(__xludf.DUMMYFUNCTION("vlookup($D310,IMPORTRANGE(""https://docs.google.com/spreadsheets/d/1swGwZOEqYlTEUCJLY-eeJM1911Kvaei5oySBIxdgtNo/edit?pli=1#gid=257618397"",""stock FAKTUR!B:d""),3,false)"),"")</f>
        <v/>
      </c>
      <c r="G310" s="53" t="str">
        <f>IFERROR(__xludf.DUMMYFUNCTION("vlookup($D310,IMPORTRANGE(""https://docs.google.com/spreadsheets/d/1swGwZOEqYlTEUCJLY-eeJM1911Kvaei5oySBIxdgtNo/edit?pli=1#gid=257618397"",""stock FAKTUR!B:e""),4,false)"),"12W")</f>
        <v>12W</v>
      </c>
      <c r="H310" s="53" t="str">
        <f>IFERROR(__xludf.DUMMYFUNCTION("vlookup($D310,IMPORTRANGE(""https://docs.google.com/spreadsheets/d/1swGwZOEqYlTEUCJLY-eeJM1911Kvaei5oySBIxdgtNo/edit?pli=1#gid=257618397"",""stock FAKTUR!B:F""),5,false)"),"JK")</f>
        <v>JK</v>
      </c>
      <c r="I310" s="53" t="str">
        <f>IFERROR(__xludf.DUMMYFUNCTION("vlookup($D310,IMPORTRANGE(""https://docs.google.com/spreadsheets/d/1swGwZOEqYlTEUCJLY-eeJM1911Kvaei5oySBIxdgtNo/edit?pli=1#gid=257618397"",""stock FAKTUR!B:G""),6,false)"),"OP-12S")</f>
        <v>OP-12S</v>
      </c>
      <c r="J310" s="120" t="str">
        <f t="shared" si="25"/>
        <v>ADA</v>
      </c>
      <c r="K310" s="142">
        <v>432.0</v>
      </c>
      <c r="L310" s="145" t="str">
        <f>IFERROR(__xludf.DUMMYFUNCTION("vlookup($D310,IMPORTRANGE(""https://docs.google.com/spreadsheets/d/1swGwZOEqYlTEUCJLY-eeJM1911Kvaei5oySBIxdgtNo/edit?pli=1#gid=257618397"",""stock FAKTUR!B:q""),16,false)"),"PCS")</f>
        <v>PCS</v>
      </c>
      <c r="M310" s="147">
        <v>12300.0</v>
      </c>
      <c r="N310" s="152">
        <v>0.125</v>
      </c>
      <c r="O310" s="147">
        <f t="shared" si="94"/>
        <v>4649400</v>
      </c>
      <c r="P310" s="147" t="str">
        <f t="shared" si="3"/>
        <v>Rp12,300-432 PCS-12.50%</v>
      </c>
      <c r="Q310" s="149">
        <v>45414.0</v>
      </c>
      <c r="R310" s="150"/>
      <c r="S310" s="149">
        <v>45418.0</v>
      </c>
      <c r="T310" s="151"/>
      <c r="U310" s="151"/>
      <c r="V310" s="151"/>
      <c r="W310" s="151"/>
    </row>
    <row r="311">
      <c r="A311" s="142">
        <v>4695.0</v>
      </c>
      <c r="B311" s="143" t="str">
        <f>IF(A311=A310,B310,"")</f>
        <v>A</v>
      </c>
      <c r="C311" s="143" t="str">
        <f>IF(A311=A310,C310,"")</f>
        <v>AYP-SOLO</v>
      </c>
      <c r="D311" s="145" t="s">
        <v>4393</v>
      </c>
      <c r="E311" s="145" t="str">
        <f>IFERROR(__xludf.DUMMYFUNCTION("vlookup(D311,IMPORTRANGE(""https://docs.google.com/spreadsheets/d/1swGwZOEqYlTEUCJLY-eeJM1911Kvaei5oySBIxdgtNo/edit?pli=1#gid=257618397"",""stock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311" s="53" t="str">
        <f>IFERROR(__xludf.DUMMYFUNCTION("vlookup($D311,IMPORTRANGE(""https://docs.google.com/spreadsheets/d/1swGwZOEqYlTEUCJLY-eeJM1911Kvaei5oySBIxdgtNo/edit?pli=1#gid=257618397"",""stock FAKTUR!B:d""),3,false)"),"")</f>
        <v/>
      </c>
      <c r="G311" s="53" t="str">
        <f>IFERROR(__xludf.DUMMYFUNCTION("vlookup($D311,IMPORTRANGE(""https://docs.google.com/spreadsheets/d/1swGwZOEqYlTEUCJLY-eeJM1911Kvaei5oySBIxdgtNo/edit?pli=1#gid=257618397"",""stock FAKTUR!B:e""),4,false)"),"36W")</f>
        <v>36W</v>
      </c>
      <c r="H311" s="53" t="str">
        <f>IFERROR(__xludf.DUMMYFUNCTION("vlookup($D311,IMPORTRANGE(""https://docs.google.com/spreadsheets/d/1swGwZOEqYlTEUCJLY-eeJM1911Kvaei5oySBIxdgtNo/edit?pli=1#gid=257618397"",""stock FAKTUR!B:F""),5,false)"),"JK")</f>
        <v>JK</v>
      </c>
      <c r="I311" s="53" t="str">
        <f>IFERROR(__xludf.DUMMYFUNCTION("vlookup($D311,IMPORTRANGE(""https://docs.google.com/spreadsheets/d/1swGwZOEqYlTEUCJLY-eeJM1911Kvaei5oySBIxdgtNo/edit?pli=1#gid=257618397"",""stock FAKTUR!B:G""),6,false)"),"OP-36S")</f>
        <v>OP-36S</v>
      </c>
      <c r="J311" s="120" t="str">
        <f t="shared" si="25"/>
        <v>ADA</v>
      </c>
      <c r="K311" s="142">
        <v>72.0</v>
      </c>
      <c r="L311" s="145" t="str">
        <f>IFERROR(__xludf.DUMMYFUNCTION("vlookup($D311,IMPORTRANGE(""https://docs.google.com/spreadsheets/d/1swGwZOEqYlTEUCJLY-eeJM1911Kvaei5oySBIxdgtNo/edit?pli=1#gid=257618397"",""stock FAKTUR!B:q""),16,false)"),"PCS")</f>
        <v>PCS</v>
      </c>
      <c r="M311" s="147">
        <v>42700.0</v>
      </c>
      <c r="N311" s="152">
        <v>0.125</v>
      </c>
      <c r="O311" s="147">
        <f t="shared" si="94"/>
        <v>2690100</v>
      </c>
      <c r="P311" s="147" t="str">
        <f t="shared" si="3"/>
        <v>Rp42,700-72 PCS-12.50%</v>
      </c>
      <c r="Q311" s="149">
        <v>45414.0</v>
      </c>
      <c r="R311" s="150"/>
      <c r="S311" s="149">
        <v>45418.0</v>
      </c>
      <c r="T311" s="151"/>
      <c r="U311" s="151"/>
      <c r="V311" s="151"/>
      <c r="W311" s="151"/>
    </row>
    <row r="312">
      <c r="A312" s="153">
        <v>2927.0</v>
      </c>
      <c r="B312" s="144" t="s">
        <v>33</v>
      </c>
      <c r="C312" s="144" t="s">
        <v>2474</v>
      </c>
      <c r="D312" s="145" t="s">
        <v>4588</v>
      </c>
      <c r="E312" s="145" t="str">
        <f>IFERROR(__xludf.DUMMYFUNCTION("vlookup(D312,IMPORTRANGE(""https://docs.google.com/spreadsheets/d/1swGwZOEqYlTEUCJLY-eeJM1911Kvaei5oySBIxdgtNo/edit?pli=1#gid=257618397"",""stock FAKTUR!B:C""),2,false)"),"LABEL JK LB-2RL 1 BARIS PUTIH")</f>
        <v>LABEL JK LB-2RL 1 BARIS PUTIH</v>
      </c>
      <c r="F312" s="53" t="str">
        <f>IFERROR(__xludf.DUMMYFUNCTION("vlookup($D312,IMPORTRANGE(""https://docs.google.com/spreadsheets/d/1swGwZOEqYlTEUCJLY-eeJM1911Kvaei5oySBIxdgtNo/edit?pli=1#gid=257618397"",""stock FAKTUR!B:d""),3,false)"),"")</f>
        <v/>
      </c>
      <c r="G312" s="53" t="str">
        <f>IFERROR(__xludf.DUMMYFUNCTION("vlookup($D312,IMPORTRANGE(""https://docs.google.com/spreadsheets/d/1swGwZOEqYlTEUCJLY-eeJM1911Kvaei5oySBIxdgtNo/edit?pli=1#gid=257618397"",""stock FAKTUR!B:e""),4,false)"),"PUTIH")</f>
        <v>PUTIH</v>
      </c>
      <c r="H312" s="53" t="str">
        <f>IFERROR(__xludf.DUMMYFUNCTION("vlookup($D312,IMPORTRANGE(""https://docs.google.com/spreadsheets/d/1swGwZOEqYlTEUCJLY-eeJM1911Kvaei5oySBIxdgtNo/edit?pli=1#gid=257618397"",""stock FAKTUR!B:F""),5,false)"),"JK")</f>
        <v>JK</v>
      </c>
      <c r="I312" s="53" t="str">
        <f>IFERROR(__xludf.DUMMYFUNCTION("vlookup($D312,IMPORTRANGE(""https://docs.google.com/spreadsheets/d/1swGwZOEqYlTEUCJLY-eeJM1911Kvaei5oySBIxdgtNo/edit?pli=1#gid=257618397"",""stock FAKTUR!B:G""),6,false)"),"LB-2RL")</f>
        <v>LB-2RL</v>
      </c>
      <c r="J312" s="120" t="str">
        <f t="shared" si="25"/>
        <v>ADA</v>
      </c>
      <c r="K312" s="153">
        <v>100.0</v>
      </c>
      <c r="L312" s="145" t="str">
        <f>IFERROR(__xludf.DUMMYFUNCTION("vlookup($D312,IMPORTRANGE(""https://docs.google.com/spreadsheets/d/1swGwZOEqYlTEUCJLY-eeJM1911Kvaei5oySBIxdgtNo/edit?pli=1#gid=257618397"",""stock FAKTUR!B:q""),16,false)"),"PAK")</f>
        <v>PAK</v>
      </c>
      <c r="M312" s="155">
        <v>20500.0</v>
      </c>
      <c r="N312" s="156">
        <v>0.125</v>
      </c>
      <c r="O312" s="155">
        <f t="shared" si="94"/>
        <v>1793750</v>
      </c>
      <c r="P312" s="155" t="str">
        <f t="shared" si="3"/>
        <v>Rp20,500-100 PAK-12.50%</v>
      </c>
      <c r="Q312" s="157">
        <v>45414.0</v>
      </c>
      <c r="R312" s="158"/>
      <c r="S312" s="157">
        <v>45418.0</v>
      </c>
      <c r="T312" s="145" t="s">
        <v>4581</v>
      </c>
      <c r="U312" s="145" t="s">
        <v>4589</v>
      </c>
      <c r="V312" s="145"/>
      <c r="W312" s="159"/>
    </row>
    <row r="313">
      <c r="A313" s="142">
        <v>4696.0</v>
      </c>
      <c r="B313" s="143" t="s">
        <v>33</v>
      </c>
      <c r="C313" s="143" t="s">
        <v>4590</v>
      </c>
      <c r="D313" s="145" t="s">
        <v>4510</v>
      </c>
      <c r="E313" s="145" t="str">
        <f>IFERROR(__xludf.DUMMYFUNCTION("vlookup(D313,IMPORTRANGE(""https://docs.google.com/spreadsheets/d/1swGwZOEqYlTEUCJLY-eeJM1911Kvaei5oySBIxdgtNo/edit?pli=1#gid=257618397"",""stock FAKTUR!B:C""),2,false)"),"BP JK BP-349-12 VOKUS TRANS HITAM")</f>
        <v>BP JK BP-349-12 VOKUS TRANS HITAM</v>
      </c>
      <c r="F313" s="53" t="str">
        <f>IFERROR(__xludf.DUMMYFUNCTION("vlookup($D313,IMPORTRANGE(""https://docs.google.com/spreadsheets/d/1swGwZOEqYlTEUCJLY-eeJM1911Kvaei5oySBIxdgtNo/edit?pli=1#gid=257618397"",""stock FAKTUR!B:d""),3,false)"),"")</f>
        <v/>
      </c>
      <c r="G313" s="53" t="str">
        <f>IFERROR(__xludf.DUMMYFUNCTION("vlookup($D313,IMPORTRANGE(""https://docs.google.com/spreadsheets/d/1swGwZOEqYlTEUCJLY-eeJM1911Kvaei5oySBIxdgtNo/edit?pli=1#gid=257618397"",""stock FAKTUR!B:e""),4,false)"),"")</f>
        <v/>
      </c>
      <c r="H313" s="53" t="str">
        <f>IFERROR(__xludf.DUMMYFUNCTION("vlookup($D313,IMPORTRANGE(""https://docs.google.com/spreadsheets/d/1swGwZOEqYlTEUCJLY-eeJM1911Kvaei5oySBIxdgtNo/edit?pli=1#gid=257618397"",""stock FAKTUR!B:F""),5,false)"),"JK")</f>
        <v>JK</v>
      </c>
      <c r="I313" s="53" t="str">
        <f>IFERROR(__xludf.DUMMYFUNCTION("vlookup($D313,IMPORTRANGE(""https://docs.google.com/spreadsheets/d/1swGwZOEqYlTEUCJLY-eeJM1911Kvaei5oySBIxdgtNo/edit?pli=1#gid=257618397"",""stock FAKTUR!B:G""),6,false)"),"349-12")</f>
        <v>349-12</v>
      </c>
      <c r="J313" s="120" t="str">
        <f t="shared" si="25"/>
        <v>ADA</v>
      </c>
      <c r="K313" s="142">
        <v>144.0</v>
      </c>
      <c r="L313" s="145" t="str">
        <f>IFERROR(__xludf.DUMMYFUNCTION("vlookup($D313,IMPORTRANGE(""https://docs.google.com/spreadsheets/d/1swGwZOEqYlTEUCJLY-eeJM1911Kvaei5oySBIxdgtNo/edit?pli=1#gid=257618397"",""stock FAKTUR!B:q""),16,false)"),"LSN")</f>
        <v>LSN</v>
      </c>
      <c r="M313" s="147">
        <v>13200.0</v>
      </c>
      <c r="N313" s="152">
        <v>0.13</v>
      </c>
      <c r="O313" s="147">
        <f t="shared" si="94"/>
        <v>1653696</v>
      </c>
      <c r="P313" s="147" t="str">
        <f t="shared" si="3"/>
        <v>Rp13,200-144 LSN-13.00%</v>
      </c>
      <c r="Q313" s="149">
        <v>45415.0</v>
      </c>
      <c r="R313" s="150"/>
      <c r="S313" s="149">
        <v>45418.0</v>
      </c>
      <c r="T313" s="151"/>
      <c r="U313" s="151"/>
      <c r="V313" s="151"/>
      <c r="W313" s="151"/>
    </row>
    <row r="314">
      <c r="A314" s="142">
        <v>4696.0</v>
      </c>
      <c r="B314" s="143" t="str">
        <f>IF(A314=A313,B313,"")</f>
        <v>H</v>
      </c>
      <c r="C314" s="143" t="str">
        <f>IF(A314=A313,C313,"")</f>
        <v>SINKONG-PURWOREJO</v>
      </c>
      <c r="D314" s="145" t="s">
        <v>4560</v>
      </c>
      <c r="E314" s="145" t="str">
        <f>IFERROR(__xludf.DUMMYFUNCTION("vlookup(D314,IMPORTRANGE(""https://docs.google.com/spreadsheets/d/1swGwZOEqYlTEUCJLY-eeJM1911Kvaei5oySBIxdgtNo/edit?pli=1#gid=257618397"",""stock FAKTUR!B:C""),2,false)"),"BP JK BP-338 VOCUS HITAM")</f>
        <v>BP JK BP-338 VOCUS HITAM</v>
      </c>
      <c r="F314" s="53" t="str">
        <f>IFERROR(__xludf.DUMMYFUNCTION("vlookup($D314,IMPORTRANGE(""https://docs.google.com/spreadsheets/d/1swGwZOEqYlTEUCJLY-eeJM1911Kvaei5oySBIxdgtNo/edit?pli=1#gid=257618397"",""stock FAKTUR!B:d""),3,false)"),"")</f>
        <v/>
      </c>
      <c r="G314" s="53" t="str">
        <f>IFERROR(__xludf.DUMMYFUNCTION("vlookup($D314,IMPORTRANGE(""https://docs.google.com/spreadsheets/d/1swGwZOEqYlTEUCJLY-eeJM1911Kvaei5oySBIxdgtNo/edit?pli=1#gid=257618397"",""stock FAKTUR!B:e""),4,false)"),"")</f>
        <v/>
      </c>
      <c r="H314" s="53" t="str">
        <f>IFERROR(__xludf.DUMMYFUNCTION("vlookup($D314,IMPORTRANGE(""https://docs.google.com/spreadsheets/d/1swGwZOEqYlTEUCJLY-eeJM1911Kvaei5oySBIxdgtNo/edit?pli=1#gid=257618397"",""stock FAKTUR!B:F""),5,false)"),"JK")</f>
        <v>JK</v>
      </c>
      <c r="I314" s="53" t="str">
        <f>IFERROR(__xludf.DUMMYFUNCTION("vlookup($D314,IMPORTRANGE(""https://docs.google.com/spreadsheets/d/1swGwZOEqYlTEUCJLY-eeJM1911Kvaei5oySBIxdgtNo/edit?pli=1#gid=257618397"",""stock FAKTUR!B:G""),6,false)"),"BP-338")</f>
        <v>BP-338</v>
      </c>
      <c r="J314" s="120" t="str">
        <f t="shared" si="25"/>
        <v>ADA</v>
      </c>
      <c r="K314" s="142">
        <v>144.0</v>
      </c>
      <c r="L314" s="145" t="str">
        <f>IFERROR(__xludf.DUMMYFUNCTION("vlookup($D314,IMPORTRANGE(""https://docs.google.com/spreadsheets/d/1swGwZOEqYlTEUCJLY-eeJM1911Kvaei5oySBIxdgtNo/edit?pli=1#gid=257618397"",""stock FAKTUR!B:q""),16,false)"),"LSN")</f>
        <v>LSN</v>
      </c>
      <c r="M314" s="147">
        <v>12600.0</v>
      </c>
      <c r="N314" s="152">
        <v>0.13</v>
      </c>
      <c r="O314" s="147">
        <f t="shared" si="94"/>
        <v>1578528</v>
      </c>
      <c r="P314" s="147" t="str">
        <f t="shared" si="3"/>
        <v>Rp12,600-144 LSN-13.00%</v>
      </c>
      <c r="Q314" s="149">
        <v>45415.0</v>
      </c>
      <c r="R314" s="150"/>
      <c r="S314" s="149">
        <v>45418.0</v>
      </c>
      <c r="T314" s="151"/>
      <c r="U314" s="151"/>
      <c r="V314" s="151"/>
      <c r="W314" s="151"/>
    </row>
    <row r="315">
      <c r="A315" s="142">
        <v>2986.0</v>
      </c>
      <c r="B315" s="143" t="s">
        <v>65</v>
      </c>
      <c r="C315" s="143" t="s">
        <v>2588</v>
      </c>
      <c r="D315" s="145" t="s">
        <v>4522</v>
      </c>
      <c r="E315" s="145" t="str">
        <f>IFERROR(__xludf.DUMMYFUNCTION("vlookup(D315,IMPORTRANGE(""https://docs.google.com/spreadsheets/d/1swGwZOEqYlTEUCJLY-eeJM1911Kvaei5oySBIxdgtNo/edit?pli=1#gid=257618397"",""stock FAKTUR!B:C""),2,false)"),"ISI STAPLER SDI 1210 (23/10)")</f>
        <v>ISI STAPLER SDI 1210 (23/10)</v>
      </c>
      <c r="F315" s="53" t="str">
        <f>IFERROR(__xludf.DUMMYFUNCTION("vlookup($D315,IMPORTRANGE(""https://docs.google.com/spreadsheets/d/1swGwZOEqYlTEUCJLY-eeJM1911Kvaei5oySBIxdgtNo/edit?pli=1#gid=257618397"",""stock FAKTUR!B:d""),3,false)"),"")</f>
        <v/>
      </c>
      <c r="G315" s="53" t="str">
        <f>IFERROR(__xludf.DUMMYFUNCTION("vlookup($D315,IMPORTRANGE(""https://docs.google.com/spreadsheets/d/1swGwZOEqYlTEUCJLY-eeJM1911Kvaei5oySBIxdgtNo/edit?pli=1#gid=257618397"",""stock FAKTUR!B:e""),4,false)"),"")</f>
        <v/>
      </c>
      <c r="H315" s="53" t="str">
        <f>IFERROR(__xludf.DUMMYFUNCTION("vlookup($D315,IMPORTRANGE(""https://docs.google.com/spreadsheets/d/1swGwZOEqYlTEUCJLY-eeJM1911Kvaei5oySBIxdgtNo/edit?pli=1#gid=257618397"",""stock FAKTUR!B:F""),5,false)"),"SDI")</f>
        <v>SDI</v>
      </c>
      <c r="I315" s="53" t="str">
        <f>IFERROR(__xludf.DUMMYFUNCTION("vlookup($D315,IMPORTRANGE(""https://docs.google.com/spreadsheets/d/1swGwZOEqYlTEUCJLY-eeJM1911Kvaei5oySBIxdgtNo/edit?pli=1#gid=257618397"",""stock FAKTUR!B:G""),6,false)"),"1210")</f>
        <v>1210</v>
      </c>
      <c r="J315" s="120" t="str">
        <f t="shared" si="25"/>
        <v>ADA</v>
      </c>
      <c r="K315" s="184">
        <v>20.0</v>
      </c>
      <c r="L315" s="145" t="str">
        <f>IFERROR(__xludf.DUMMYFUNCTION("vlookup($D315,IMPORTRANGE(""https://docs.google.com/spreadsheets/d/1swGwZOEqYlTEUCJLY-eeJM1911Kvaei5oySBIxdgtNo/edit?pli=1#gid=257618397"",""stock FAKTUR!B:q""),16,false)"),"BOX")</f>
        <v>BOX</v>
      </c>
      <c r="M315" s="187">
        <v>121000.0</v>
      </c>
      <c r="N315" s="152">
        <v>0.125</v>
      </c>
      <c r="O315" s="147">
        <f t="shared" si="94"/>
        <v>2117500</v>
      </c>
      <c r="P315" s="147" t="str">
        <f t="shared" si="3"/>
        <v>Rp121,000-20 BOX-12.50%</v>
      </c>
      <c r="Q315" s="149">
        <v>45415.0</v>
      </c>
      <c r="R315" s="150"/>
      <c r="S315" s="149">
        <v>45418.0</v>
      </c>
      <c r="T315" s="151"/>
      <c r="U315" s="151"/>
      <c r="V315" s="151"/>
      <c r="W315" s="151"/>
    </row>
    <row r="316">
      <c r="A316" s="142">
        <v>4701.0</v>
      </c>
      <c r="B316" s="143" t="s">
        <v>33</v>
      </c>
      <c r="C316" s="143" t="s">
        <v>625</v>
      </c>
      <c r="D316" s="151" t="s">
        <v>4591</v>
      </c>
      <c r="E316" s="145" t="str">
        <f>IFERROR(__xludf.DUMMYFUNCTION("vlookup(D316,IMPORTRANGE(""https://docs.google.com/spreadsheets/d/1swGwZOEqYlTEUCJLY-eeJM1911Kvaei5oySBIxdgtNo/edit?pli=1#gid=257618397"",""stock FAKTUR!B:C""),2,false)"),"LOOSE LEAF KENKO A5 50")</f>
        <v>LOOSE LEAF KENKO A5 50</v>
      </c>
      <c r="F316" s="53" t="str">
        <f>IFERROR(__xludf.DUMMYFUNCTION("vlookup($D316,IMPORTRANGE(""https://docs.google.com/spreadsheets/d/1swGwZOEqYlTEUCJLY-eeJM1911Kvaei5oySBIxdgtNo/edit?pli=1#gid=257618397"",""stock FAKTUR!B:d""),3,false)"),"")</f>
        <v/>
      </c>
      <c r="G316" s="53" t="str">
        <f>IFERROR(__xludf.DUMMYFUNCTION("vlookup($D316,IMPORTRANGE(""https://docs.google.com/spreadsheets/d/1swGwZOEqYlTEUCJLY-eeJM1911Kvaei5oySBIxdgtNo/edit?pli=1#gid=257618397"",""stock FAKTUR!B:e""),4,false)"),"")</f>
        <v/>
      </c>
      <c r="H316" s="53" t="str">
        <f>IFERROR(__xludf.DUMMYFUNCTION("vlookup($D316,IMPORTRANGE(""https://docs.google.com/spreadsheets/d/1swGwZOEqYlTEUCJLY-eeJM1911Kvaei5oySBIxdgtNo/edit?pli=1#gid=257618397"",""stock FAKTUR!B:F""),5,false)"),"KN")</f>
        <v>KN</v>
      </c>
      <c r="I316" s="53" t="str">
        <f>IFERROR(__xludf.DUMMYFUNCTION("vlookup($D316,IMPORTRANGE(""https://docs.google.com/spreadsheets/d/1swGwZOEqYlTEUCJLY-eeJM1911Kvaei5oySBIxdgtNo/edit?pli=1#gid=257618397"",""stock FAKTUR!B:G""),6,false)"),"50-2070")</f>
        <v>50-2070</v>
      </c>
      <c r="J316" s="120" t="str">
        <f t="shared" si="25"/>
        <v>ADA</v>
      </c>
      <c r="K316" s="142">
        <v>50.0</v>
      </c>
      <c r="L316" s="145" t="str">
        <f>IFERROR(__xludf.DUMMYFUNCTION("vlookup($D316,IMPORTRANGE(""https://docs.google.com/spreadsheets/d/1swGwZOEqYlTEUCJLY-eeJM1911Kvaei5oySBIxdgtNo/edit?pli=1#gid=257618397"",""stock FAKTUR!B:q""),16,false)"),"PCS")</f>
        <v>PCS</v>
      </c>
      <c r="M316" s="147">
        <v>4400.0</v>
      </c>
      <c r="N316" s="152">
        <v>0.125</v>
      </c>
      <c r="O316" s="147">
        <f t="shared" si="94"/>
        <v>192500</v>
      </c>
      <c r="P316" s="147" t="str">
        <f t="shared" si="3"/>
        <v>Rp4,400-50 PCS-12.50%</v>
      </c>
      <c r="Q316" s="149">
        <v>45415.0</v>
      </c>
      <c r="R316" s="150"/>
      <c r="S316" s="149">
        <v>45418.0</v>
      </c>
      <c r="T316" s="151"/>
      <c r="U316" s="151"/>
      <c r="V316" s="151"/>
      <c r="W316" s="151"/>
    </row>
    <row r="317">
      <c r="A317" s="142">
        <v>4701.0</v>
      </c>
      <c r="B317" s="143" t="str">
        <f>IF(A317=A316,B316,"")</f>
        <v>H</v>
      </c>
      <c r="C317" s="143" t="str">
        <f>IF(A317=A316,C316,"")</f>
        <v>MEMORY-BATANG</v>
      </c>
      <c r="D317" s="145" t="s">
        <v>4592</v>
      </c>
      <c r="E317" s="145" t="str">
        <f>IFERROR(__xludf.DUMMYFUNCTION("vlookup(D317,IMPORTRANGE(""https://docs.google.com/spreadsheets/d/1swGwZOEqYlTEUCJLY-eeJM1911Kvaei5oySBIxdgtNo/edit?pli=1#gid=257618397"",""stock FAKTUR!B:C""),2,false)"),"LOOSE LEAF KENKO 100-2070 A5")</f>
        <v>LOOSE LEAF KENKO 100-2070 A5</v>
      </c>
      <c r="F317" s="53" t="str">
        <f>IFERROR(__xludf.DUMMYFUNCTION("vlookup($D317,IMPORTRANGE(""https://docs.google.com/spreadsheets/d/1swGwZOEqYlTEUCJLY-eeJM1911Kvaei5oySBIxdgtNo/edit?pli=1#gid=257618397"",""stock FAKTUR!B:d""),3,false)"),"A5")</f>
        <v>A5</v>
      </c>
      <c r="G317" s="53" t="str">
        <f>IFERROR(__xludf.DUMMYFUNCTION("vlookup($D317,IMPORTRANGE(""https://docs.google.com/spreadsheets/d/1swGwZOEqYlTEUCJLY-eeJM1911Kvaei5oySBIxdgtNo/edit?pli=1#gid=257618397"",""stock FAKTUR!B:e""),4,false)"),"")</f>
        <v/>
      </c>
      <c r="H317" s="53" t="str">
        <f>IFERROR(__xludf.DUMMYFUNCTION("vlookup($D317,IMPORTRANGE(""https://docs.google.com/spreadsheets/d/1swGwZOEqYlTEUCJLY-eeJM1911Kvaei5oySBIxdgtNo/edit?pli=1#gid=257618397"",""stock FAKTUR!B:F""),5,false)"),"KN")</f>
        <v>KN</v>
      </c>
      <c r="I317" s="53" t="str">
        <f>IFERROR(__xludf.DUMMYFUNCTION("vlookup($D317,IMPORTRANGE(""https://docs.google.com/spreadsheets/d/1swGwZOEqYlTEUCJLY-eeJM1911Kvaei5oySBIxdgtNo/edit?pli=1#gid=257618397"",""stock FAKTUR!B:G""),6,false)"),"LLF-002")</f>
        <v>LLF-002</v>
      </c>
      <c r="J317" s="120" t="str">
        <f t="shared" si="25"/>
        <v>ADA</v>
      </c>
      <c r="K317" s="142">
        <v>50.0</v>
      </c>
      <c r="L317" s="145" t="str">
        <f>IFERROR(__xludf.DUMMYFUNCTION("vlookup($D317,IMPORTRANGE(""https://docs.google.com/spreadsheets/d/1swGwZOEqYlTEUCJLY-eeJM1911Kvaei5oySBIxdgtNo/edit?pli=1#gid=257618397"",""stock FAKTUR!B:q""),16,false)"),"PCS")</f>
        <v>PCS</v>
      </c>
      <c r="M317" s="147">
        <v>8350.0</v>
      </c>
      <c r="N317" s="152">
        <v>0.125</v>
      </c>
      <c r="O317" s="147">
        <f t="shared" si="94"/>
        <v>365312.5</v>
      </c>
      <c r="P317" s="147" t="str">
        <f t="shared" si="3"/>
        <v>Rp8,350-50 PCS-12.50%</v>
      </c>
      <c r="Q317" s="149">
        <v>45415.0</v>
      </c>
      <c r="R317" s="150"/>
      <c r="S317" s="149">
        <v>45418.0</v>
      </c>
      <c r="T317" s="151"/>
      <c r="U317" s="151"/>
      <c r="V317" s="151"/>
      <c r="W317" s="151"/>
    </row>
    <row r="318">
      <c r="A318" s="142">
        <v>2988.0</v>
      </c>
      <c r="B318" s="143" t="s">
        <v>33</v>
      </c>
      <c r="C318" s="143" t="s">
        <v>1768</v>
      </c>
      <c r="D318" s="145" t="s">
        <v>35</v>
      </c>
      <c r="E318" s="145" t="str">
        <f>IFERROR(__xludf.DUMMYFUNCTION("vlookup(D318,IMPORTRANGE(""https://docs.google.com/spreadsheets/d/1swGwZOEqYlTEUCJLY-eeJM1911Kvaei5oySBIxdgtNo/edit?pli=1#gid=257618397"",""stock FAKTUR!B:C""),2,false)"),"BP TZ 501 HITAM")</f>
        <v>BP TZ 501 HITAM</v>
      </c>
      <c r="F318" s="53" t="str">
        <f>IFERROR(__xludf.DUMMYFUNCTION("vlookup($D318,IMPORTRANGE(""https://docs.google.com/spreadsheets/d/1swGwZOEqYlTEUCJLY-eeJM1911Kvaei5oySBIxdgtNo/edit?pli=1#gid=257618397"",""stock FAKTUR!B:d""),3,false)"),"")</f>
        <v/>
      </c>
      <c r="G318" s="53" t="str">
        <f>IFERROR(__xludf.DUMMYFUNCTION("vlookup($D318,IMPORTRANGE(""https://docs.google.com/spreadsheets/d/1swGwZOEqYlTEUCJLY-eeJM1911Kvaei5oySBIxdgtNo/edit?pli=1#gid=257618397"",""stock FAKTUR!B:e""),4,false)"),"")</f>
        <v/>
      </c>
      <c r="H318" s="53" t="str">
        <f>IFERROR(__xludf.DUMMYFUNCTION("vlookup($D318,IMPORTRANGE(""https://docs.google.com/spreadsheets/d/1swGwZOEqYlTEUCJLY-eeJM1911Kvaei5oySBIxdgtNo/edit?pli=1#gid=257618397"",""stock FAKTUR!B:F""),5,false)"),"TZ")</f>
        <v>TZ</v>
      </c>
      <c r="I318" s="53" t="str">
        <f>IFERROR(__xludf.DUMMYFUNCTION("vlookup($D318,IMPORTRANGE(""https://docs.google.com/spreadsheets/d/1swGwZOEqYlTEUCJLY-eeJM1911Kvaei5oySBIxdgtNo/edit?pli=1#gid=257618397"",""stock FAKTUR!B:G""),6,false)"),"")</f>
        <v/>
      </c>
      <c r="J318" s="120" t="str">
        <f t="shared" si="25"/>
        <v>ADA</v>
      </c>
      <c r="K318" s="142">
        <v>6.0</v>
      </c>
      <c r="L318" s="145" t="str">
        <f>IFERROR(__xludf.DUMMYFUNCTION("vlookup($D318,IMPORTRANGE(""https://docs.google.com/spreadsheets/d/1swGwZOEqYlTEUCJLY-eeJM1911Kvaei5oySBIxdgtNo/edit?pli=1#gid=257618397"",""stock FAKTUR!B:q""),16,false)"),"LSN")</f>
        <v>LSN</v>
      </c>
      <c r="M318" s="147">
        <v>24000.0</v>
      </c>
      <c r="N318" s="148"/>
      <c r="O318" s="147">
        <f t="shared" si="94"/>
        <v>144000</v>
      </c>
      <c r="P318" s="147" t="str">
        <f t="shared" si="3"/>
        <v>Rp24,000-6 LSN-0.00%</v>
      </c>
      <c r="Q318" s="149">
        <v>45415.0</v>
      </c>
      <c r="R318" s="150"/>
      <c r="S318" s="149">
        <v>45418.0</v>
      </c>
      <c r="T318" s="151"/>
      <c r="U318" s="151"/>
      <c r="V318" s="151"/>
      <c r="W318" s="151"/>
    </row>
    <row r="319">
      <c r="A319" s="142">
        <v>2988.0</v>
      </c>
      <c r="B319" s="143" t="str">
        <f t="shared" ref="B319:B327" si="95">IF(A319=A318,B318,"")</f>
        <v>H</v>
      </c>
      <c r="C319" s="143" t="str">
        <f t="shared" ref="C319:C327" si="96">IF(A319=A318,C318,"")</f>
        <v>SISWA-MUNTILAN</v>
      </c>
      <c r="D319" s="145" t="s">
        <v>4543</v>
      </c>
      <c r="E319" s="145" t="str">
        <f>IFERROR(__xludf.DUMMYFUNCTION("vlookup(D319,IMPORTRANGE(""https://docs.google.com/spreadsheets/d/1swGwZOEqYlTEUCJLY-eeJM1911Kvaei5oySBIxdgtNo/edit?pli=1#gid=257618397"",""stock FAKTUR!B:C""),2,false)"),"STABILLO HIGHLIGHTER VANCO HL-521")</f>
        <v>STABILLO HIGHLIGHTER VANCO HL-521</v>
      </c>
      <c r="F319" s="53" t="str">
        <f>IFERROR(__xludf.DUMMYFUNCTION("vlookup($D319,IMPORTRANGE(""https://docs.google.com/spreadsheets/d/1swGwZOEqYlTEUCJLY-eeJM1911Kvaei5oySBIxdgtNo/edit?pli=1#gid=257618397"",""stock FAKTUR!B:d""),3,false)"),"")</f>
        <v/>
      </c>
      <c r="G319" s="53" t="str">
        <f>IFERROR(__xludf.DUMMYFUNCTION("vlookup($D319,IMPORTRANGE(""https://docs.google.com/spreadsheets/d/1swGwZOEqYlTEUCJLY-eeJM1911Kvaei5oySBIxdgtNo/edit?pli=1#gid=257618397"",""stock FAKTUR!B:e""),4,false)"),"")</f>
        <v/>
      </c>
      <c r="H319" s="53" t="str">
        <f>IFERROR(__xludf.DUMMYFUNCTION("vlookup($D319,IMPORTRANGE(""https://docs.google.com/spreadsheets/d/1swGwZOEqYlTEUCJLY-eeJM1911Kvaei5oySBIxdgtNo/edit?pli=1#gid=257618397"",""stock FAKTUR!B:F""),5,false)"),"VN")</f>
        <v>VN</v>
      </c>
      <c r="I319" s="53" t="str">
        <f>IFERROR(__xludf.DUMMYFUNCTION("vlookup($D319,IMPORTRANGE(""https://docs.google.com/spreadsheets/d/1swGwZOEqYlTEUCJLY-eeJM1911Kvaei5oySBIxdgtNo/edit?pli=1#gid=257618397"",""stock FAKTUR!B:G""),6,false)"),"HL-521")</f>
        <v>HL-521</v>
      </c>
      <c r="J319" s="120" t="str">
        <f t="shared" si="25"/>
        <v>ADA</v>
      </c>
      <c r="K319" s="142">
        <v>6.0</v>
      </c>
      <c r="L319" s="145" t="str">
        <f>IFERROR(__xludf.DUMMYFUNCTION("vlookup($D319,IMPORTRANGE(""https://docs.google.com/spreadsheets/d/1swGwZOEqYlTEUCJLY-eeJM1911Kvaei5oySBIxdgtNo/edit?pli=1#gid=257618397"",""stock FAKTUR!B:q""),16,false)"),"LSN")</f>
        <v>LSN</v>
      </c>
      <c r="M319" s="147">
        <v>21000.0</v>
      </c>
      <c r="N319" s="148"/>
      <c r="O319" s="147">
        <f t="shared" si="94"/>
        <v>126000</v>
      </c>
      <c r="P319" s="147" t="str">
        <f t="shared" si="3"/>
        <v>Rp21,000-6 LSN-0.00%</v>
      </c>
      <c r="Q319" s="149">
        <v>45415.0</v>
      </c>
      <c r="R319" s="150"/>
      <c r="S319" s="149">
        <v>45418.0</v>
      </c>
      <c r="T319" s="151"/>
      <c r="U319" s="151"/>
      <c r="V319" s="151"/>
      <c r="W319" s="151"/>
    </row>
    <row r="320">
      <c r="A320" s="142">
        <v>2988.0</v>
      </c>
      <c r="B320" s="143" t="str">
        <f t="shared" si="95"/>
        <v>H</v>
      </c>
      <c r="C320" s="143" t="str">
        <f t="shared" si="96"/>
        <v>SISWA-MUNTILAN</v>
      </c>
      <c r="D320" s="145" t="s">
        <v>4415</v>
      </c>
      <c r="E320" s="145" t="str">
        <f>IFERROR(__xludf.DUMMYFUNCTION("vlookup(D320,IMPORTRANGE(""https://docs.google.com/spreadsheets/d/1swGwZOEqYlTEUCJLY-eeJM1911Kvaei5oySBIxdgtNo/edit?pli=1#gid=257618397"",""stock FAKTUR!B:C""),2,false)"),"BP KENKO K-1 HITAM")</f>
        <v>BP KENKO K-1 HITAM</v>
      </c>
      <c r="F320" s="53" t="str">
        <f>IFERROR(__xludf.DUMMYFUNCTION("vlookup($D320,IMPORTRANGE(""https://docs.google.com/spreadsheets/d/1swGwZOEqYlTEUCJLY-eeJM1911Kvaei5oySBIxdgtNo/edit?pli=1#gid=257618397"",""stock FAKTUR!B:d""),3,false)"),"")</f>
        <v/>
      </c>
      <c r="G320" s="53" t="str">
        <f>IFERROR(__xludf.DUMMYFUNCTION("vlookup($D320,IMPORTRANGE(""https://docs.google.com/spreadsheets/d/1swGwZOEqYlTEUCJLY-eeJM1911Kvaei5oySBIxdgtNo/edit?pli=1#gid=257618397"",""stock FAKTUR!B:e""),4,false)"),"HITAM")</f>
        <v>HITAM</v>
      </c>
      <c r="H320" s="53" t="str">
        <f>IFERROR(__xludf.DUMMYFUNCTION("vlookup($D320,IMPORTRANGE(""https://docs.google.com/spreadsheets/d/1swGwZOEqYlTEUCJLY-eeJM1911Kvaei5oySBIxdgtNo/edit?pli=1#gid=257618397"",""stock FAKTUR!B:F""),5,false)"),"KN")</f>
        <v>KN</v>
      </c>
      <c r="I320" s="53" t="str">
        <f>IFERROR(__xludf.DUMMYFUNCTION("vlookup($D320,IMPORTRANGE(""https://docs.google.com/spreadsheets/d/1swGwZOEqYlTEUCJLY-eeJM1911Kvaei5oySBIxdgtNo/edit?pli=1#gid=257618397"",""stock FAKTUR!B:G""),6,false)"),"GPR-003B")</f>
        <v>GPR-003B</v>
      </c>
      <c r="J320" s="120" t="str">
        <f t="shared" si="25"/>
        <v>ADA</v>
      </c>
      <c r="K320" s="142">
        <v>12.0</v>
      </c>
      <c r="L320" s="145" t="str">
        <f>IFERROR(__xludf.DUMMYFUNCTION("vlookup($D320,IMPORTRANGE(""https://docs.google.com/spreadsheets/d/1swGwZOEqYlTEUCJLY-eeJM1911Kvaei5oySBIxdgtNo/edit?pli=1#gid=257618397"",""stock FAKTUR!B:q""),16,false)"),"LSN")</f>
        <v>LSN</v>
      </c>
      <c r="M320" s="147">
        <v>39600.0</v>
      </c>
      <c r="N320" s="152">
        <v>0.125</v>
      </c>
      <c r="O320" s="147">
        <f t="shared" si="94"/>
        <v>415800</v>
      </c>
      <c r="P320" s="147" t="str">
        <f t="shared" si="3"/>
        <v>Rp39,600-12 LSN-12.50%</v>
      </c>
      <c r="Q320" s="149">
        <v>45415.0</v>
      </c>
      <c r="R320" s="150"/>
      <c r="S320" s="149">
        <v>45418.0</v>
      </c>
      <c r="T320" s="151"/>
      <c r="U320" s="151"/>
      <c r="V320" s="151"/>
      <c r="W320" s="151"/>
    </row>
    <row r="321">
      <c r="A321" s="142">
        <v>2988.0</v>
      </c>
      <c r="B321" s="143" t="str">
        <f t="shared" si="95"/>
        <v>H</v>
      </c>
      <c r="C321" s="143" t="str">
        <f t="shared" si="96"/>
        <v>SISWA-MUNTILAN</v>
      </c>
      <c r="D321" s="145" t="s">
        <v>4593</v>
      </c>
      <c r="E321" s="145" t="str">
        <f>IFERROR(__xludf.DUMMYFUNCTION("vlookup(D321,IMPORTRANGE(""https://docs.google.com/spreadsheets/d/1swGwZOEqYlTEUCJLY-eeJM1911Kvaei5oySBIxdgtNo/edit?pli=1#gid=257618397"",""stock FAKTUR!B:C""),2,false)"),"ISI PENSIL KENKO PL-05 2B HI-POLYMER")</f>
        <v>ISI PENSIL KENKO PL-05 2B HI-POLYMER</v>
      </c>
      <c r="F321" s="53" t="str">
        <f>IFERROR(__xludf.DUMMYFUNCTION("vlookup($D321,IMPORTRANGE(""https://docs.google.com/spreadsheets/d/1swGwZOEqYlTEUCJLY-eeJM1911Kvaei5oySBIxdgtNo/edit?pli=1#gid=257618397"",""stock FAKTUR!B:d""),3,false)"),"")</f>
        <v/>
      </c>
      <c r="G321" s="53" t="str">
        <f>IFERROR(__xludf.DUMMYFUNCTION("vlookup($D321,IMPORTRANGE(""https://docs.google.com/spreadsheets/d/1swGwZOEqYlTEUCJLY-eeJM1911Kvaei5oySBIxdgtNo/edit?pli=1#gid=257618397"",""stock FAKTUR!B:e""),4,false)"),"")</f>
        <v/>
      </c>
      <c r="H321" s="53" t="str">
        <f>IFERROR(__xludf.DUMMYFUNCTION("vlookup($D321,IMPORTRANGE(""https://docs.google.com/spreadsheets/d/1swGwZOEqYlTEUCJLY-eeJM1911Kvaei5oySBIxdgtNo/edit?pli=1#gid=257618397"",""stock FAKTUR!B:F""),5,false)"),"KN")</f>
        <v>KN</v>
      </c>
      <c r="I321" s="53" t="str">
        <f>IFERROR(__xludf.DUMMYFUNCTION("vlookup($D321,IMPORTRANGE(""https://docs.google.com/spreadsheets/d/1swGwZOEqYlTEUCJLY-eeJM1911Kvaei5oySBIxdgtNo/edit?pli=1#gid=257618397"",""stock FAKTUR!B:G""),6,false)"),"")</f>
        <v/>
      </c>
      <c r="J321" s="120" t="str">
        <f t="shared" si="25"/>
        <v>ADA</v>
      </c>
      <c r="K321" s="142">
        <v>24.0</v>
      </c>
      <c r="L321" s="145" t="str">
        <f>IFERROR(__xludf.DUMMYFUNCTION("vlookup($D321,IMPORTRANGE(""https://docs.google.com/spreadsheets/d/1swGwZOEqYlTEUCJLY-eeJM1911Kvaei5oySBIxdgtNo/edit?pli=1#gid=257618397"",""stock FAKTUR!B:q""),16,false)"),"LSN")</f>
        <v>LSN</v>
      </c>
      <c r="M321" s="147">
        <v>15000.0</v>
      </c>
      <c r="N321" s="152">
        <v>0.125</v>
      </c>
      <c r="O321" s="147">
        <f t="shared" si="94"/>
        <v>315000</v>
      </c>
      <c r="P321" s="147" t="str">
        <f t="shared" si="3"/>
        <v>Rp15,000-24 LSN-12.50%</v>
      </c>
      <c r="Q321" s="149">
        <v>45415.0</v>
      </c>
      <c r="R321" s="150"/>
      <c r="S321" s="149">
        <v>45418.0</v>
      </c>
      <c r="T321" s="151"/>
      <c r="U321" s="151"/>
      <c r="V321" s="151"/>
      <c r="W321" s="151"/>
    </row>
    <row r="322">
      <c r="A322" s="142">
        <v>2988.0</v>
      </c>
      <c r="B322" s="143" t="str">
        <f t="shared" si="95"/>
        <v>H</v>
      </c>
      <c r="C322" s="143" t="str">
        <f t="shared" si="96"/>
        <v>SISWA-MUNTILAN</v>
      </c>
      <c r="D322" s="159" t="s">
        <v>4560</v>
      </c>
      <c r="E322" s="145" t="str">
        <f>IFERROR(__xludf.DUMMYFUNCTION("vlookup(D322,IMPORTRANGE(""https://docs.google.com/spreadsheets/d/1swGwZOEqYlTEUCJLY-eeJM1911Kvaei5oySBIxdgtNo/edit?pli=1#gid=257618397"",""stock FAKTUR!B:C""),2,false)"),"BP JK BP-338 VOCUS HITAM")</f>
        <v>BP JK BP-338 VOCUS HITAM</v>
      </c>
      <c r="F322" s="53" t="str">
        <f>IFERROR(__xludf.DUMMYFUNCTION("vlookup($D322,IMPORTRANGE(""https://docs.google.com/spreadsheets/d/1swGwZOEqYlTEUCJLY-eeJM1911Kvaei5oySBIxdgtNo/edit?pli=1#gid=257618397"",""stock FAKTUR!B:d""),3,false)"),"")</f>
        <v/>
      </c>
      <c r="G322" s="53" t="str">
        <f>IFERROR(__xludf.DUMMYFUNCTION("vlookup($D322,IMPORTRANGE(""https://docs.google.com/spreadsheets/d/1swGwZOEqYlTEUCJLY-eeJM1911Kvaei5oySBIxdgtNo/edit?pli=1#gid=257618397"",""stock FAKTUR!B:e""),4,false)"),"")</f>
        <v/>
      </c>
      <c r="H322" s="53" t="str">
        <f>IFERROR(__xludf.DUMMYFUNCTION("vlookup($D322,IMPORTRANGE(""https://docs.google.com/spreadsheets/d/1swGwZOEqYlTEUCJLY-eeJM1911Kvaei5oySBIxdgtNo/edit?pli=1#gid=257618397"",""stock FAKTUR!B:F""),5,false)"),"JK")</f>
        <v>JK</v>
      </c>
      <c r="I322" s="53" t="str">
        <f>IFERROR(__xludf.DUMMYFUNCTION("vlookup($D322,IMPORTRANGE(""https://docs.google.com/spreadsheets/d/1swGwZOEqYlTEUCJLY-eeJM1911Kvaei5oySBIxdgtNo/edit?pli=1#gid=257618397"",""stock FAKTUR!B:G""),6,false)"),"BP-338")</f>
        <v>BP-338</v>
      </c>
      <c r="J322" s="120" t="str">
        <f t="shared" si="25"/>
        <v>ADA</v>
      </c>
      <c r="K322" s="142">
        <v>12.0</v>
      </c>
      <c r="L322" s="145" t="str">
        <f>IFERROR(__xludf.DUMMYFUNCTION("vlookup($D322,IMPORTRANGE(""https://docs.google.com/spreadsheets/d/1swGwZOEqYlTEUCJLY-eeJM1911Kvaei5oySBIxdgtNo/edit?pli=1#gid=257618397"",""stock FAKTUR!B:q""),16,false)"),"LSN")</f>
        <v>LSN</v>
      </c>
      <c r="M322" s="147">
        <v>12600.0</v>
      </c>
      <c r="N322" s="152">
        <v>0.125</v>
      </c>
      <c r="O322" s="147">
        <f t="shared" si="94"/>
        <v>132300</v>
      </c>
      <c r="P322" s="147" t="str">
        <f t="shared" si="3"/>
        <v>Rp12,600-12 LSN-12.50%</v>
      </c>
      <c r="Q322" s="149">
        <v>45415.0</v>
      </c>
      <c r="R322" s="150"/>
      <c r="S322" s="149">
        <v>45418.0</v>
      </c>
      <c r="T322" s="151"/>
      <c r="U322" s="151"/>
      <c r="V322" s="151"/>
      <c r="W322" s="151"/>
    </row>
    <row r="323">
      <c r="A323" s="142">
        <v>2988.0</v>
      </c>
      <c r="B323" s="143" t="str">
        <f t="shared" si="95"/>
        <v>H</v>
      </c>
      <c r="C323" s="143" t="str">
        <f t="shared" si="96"/>
        <v>SISWA-MUNTILAN</v>
      </c>
      <c r="D323" s="145" t="s">
        <v>4510</v>
      </c>
      <c r="E323" s="145" t="str">
        <f>IFERROR(__xludf.DUMMYFUNCTION("vlookup(D323,IMPORTRANGE(""https://docs.google.com/spreadsheets/d/1swGwZOEqYlTEUCJLY-eeJM1911Kvaei5oySBIxdgtNo/edit?pli=1#gid=257618397"",""stock FAKTUR!B:C""),2,false)"),"BP JK BP-349-12 VOKUS TRANS HITAM")</f>
        <v>BP JK BP-349-12 VOKUS TRANS HITAM</v>
      </c>
      <c r="F323" s="53" t="str">
        <f>IFERROR(__xludf.DUMMYFUNCTION("vlookup($D323,IMPORTRANGE(""https://docs.google.com/spreadsheets/d/1swGwZOEqYlTEUCJLY-eeJM1911Kvaei5oySBIxdgtNo/edit?pli=1#gid=257618397"",""stock FAKTUR!B:d""),3,false)"),"")</f>
        <v/>
      </c>
      <c r="G323" s="53" t="str">
        <f>IFERROR(__xludf.DUMMYFUNCTION("vlookup($D323,IMPORTRANGE(""https://docs.google.com/spreadsheets/d/1swGwZOEqYlTEUCJLY-eeJM1911Kvaei5oySBIxdgtNo/edit?pli=1#gid=257618397"",""stock FAKTUR!B:e""),4,false)"),"")</f>
        <v/>
      </c>
      <c r="H323" s="53" t="str">
        <f>IFERROR(__xludf.DUMMYFUNCTION("vlookup($D323,IMPORTRANGE(""https://docs.google.com/spreadsheets/d/1swGwZOEqYlTEUCJLY-eeJM1911Kvaei5oySBIxdgtNo/edit?pli=1#gid=257618397"",""stock FAKTUR!B:F""),5,false)"),"JK")</f>
        <v>JK</v>
      </c>
      <c r="I323" s="53" t="str">
        <f>IFERROR(__xludf.DUMMYFUNCTION("vlookup($D323,IMPORTRANGE(""https://docs.google.com/spreadsheets/d/1swGwZOEqYlTEUCJLY-eeJM1911Kvaei5oySBIxdgtNo/edit?pli=1#gid=257618397"",""stock FAKTUR!B:G""),6,false)"),"349-12")</f>
        <v>349-12</v>
      </c>
      <c r="J323" s="120" t="str">
        <f t="shared" si="25"/>
        <v>ADA</v>
      </c>
      <c r="K323" s="142">
        <v>12.0</v>
      </c>
      <c r="L323" s="145" t="str">
        <f>IFERROR(__xludf.DUMMYFUNCTION("vlookup($D323,IMPORTRANGE(""https://docs.google.com/spreadsheets/d/1swGwZOEqYlTEUCJLY-eeJM1911Kvaei5oySBIxdgtNo/edit?pli=1#gid=257618397"",""stock FAKTUR!B:q""),16,false)"),"LSN")</f>
        <v>LSN</v>
      </c>
      <c r="M323" s="147">
        <v>13200.0</v>
      </c>
      <c r="N323" s="152">
        <v>0.125</v>
      </c>
      <c r="O323" s="147">
        <f t="shared" si="94"/>
        <v>138600</v>
      </c>
      <c r="P323" s="147" t="str">
        <f t="shared" si="3"/>
        <v>Rp13,200-12 LSN-12.50%</v>
      </c>
      <c r="Q323" s="149">
        <v>45415.0</v>
      </c>
      <c r="R323" s="150"/>
      <c r="S323" s="149">
        <v>45418.0</v>
      </c>
      <c r="T323" s="151"/>
      <c r="U323" s="151"/>
      <c r="V323" s="151"/>
      <c r="W323" s="151"/>
    </row>
    <row r="324">
      <c r="A324" s="142">
        <v>2988.0</v>
      </c>
      <c r="B324" s="143" t="str">
        <f t="shared" si="95"/>
        <v>H</v>
      </c>
      <c r="C324" s="143" t="str">
        <f t="shared" si="96"/>
        <v>SISWA-MUNTILAN</v>
      </c>
      <c r="D324" s="145" t="s">
        <v>4210</v>
      </c>
      <c r="E324" s="145" t="str">
        <f>IFERROR(__xludf.DUMMYFUNCTION("vlookup(D324,IMPORTRANGE(""https://docs.google.com/spreadsheets/d/1swGwZOEqYlTEUCJLY-eeJM1911Kvaei5oySBIxdgtNo/edit?pli=1#gid=257618397"",""stock FAKTUR!B:C""),2,false)"),"CUTTER KENKO L-500")</f>
        <v>CUTTER KENKO L-500</v>
      </c>
      <c r="F324" s="53" t="str">
        <f>IFERROR(__xludf.DUMMYFUNCTION("vlookup($D324,IMPORTRANGE(""https://docs.google.com/spreadsheets/d/1swGwZOEqYlTEUCJLY-eeJM1911Kvaei5oySBIxdgtNo/edit?pli=1#gid=257618397"",""stock FAKTUR!B:d""),3,false)"),"18 MM")</f>
        <v>18 MM</v>
      </c>
      <c r="G324" s="53" t="str">
        <f>IFERROR(__xludf.DUMMYFUNCTION("vlookup($D324,IMPORTRANGE(""https://docs.google.com/spreadsheets/d/1swGwZOEqYlTEUCJLY-eeJM1911Kvaei5oySBIxdgtNo/edit?pli=1#gid=257618397"",""stock FAKTUR!B:e""),4,false)"),"")</f>
        <v/>
      </c>
      <c r="H324" s="53" t="str">
        <f>IFERROR(__xludf.DUMMYFUNCTION("vlookup($D324,IMPORTRANGE(""https://docs.google.com/spreadsheets/d/1swGwZOEqYlTEUCJLY-eeJM1911Kvaei5oySBIxdgtNo/edit?pli=1#gid=257618397"",""stock FAKTUR!B:F""),5,false)"),"KN")</f>
        <v>KN</v>
      </c>
      <c r="I324" s="53" t="str">
        <f>IFERROR(__xludf.DUMMYFUNCTION("vlookup($D324,IMPORTRANGE(""https://docs.google.com/spreadsheets/d/1swGwZOEqYlTEUCJLY-eeJM1911Kvaei5oySBIxdgtNo/edit?pli=1#gid=257618397"",""stock FAKTUR!B:G""),6,false)"),"CTR-007")</f>
        <v>CTR-007</v>
      </c>
      <c r="J324" s="120" t="str">
        <f t="shared" si="25"/>
        <v>ADA</v>
      </c>
      <c r="K324" s="142">
        <v>12.0</v>
      </c>
      <c r="L324" s="145" t="str">
        <f>IFERROR(__xludf.DUMMYFUNCTION("vlookup($D324,IMPORTRANGE(""https://docs.google.com/spreadsheets/d/1swGwZOEqYlTEUCJLY-eeJM1911Kvaei5oySBIxdgtNo/edit?pli=1#gid=257618397"",""stock FAKTUR!B:q""),16,false)"),"LSN")</f>
        <v>LSN</v>
      </c>
      <c r="M324" s="147">
        <v>147600.0</v>
      </c>
      <c r="N324" s="152">
        <v>0.125</v>
      </c>
      <c r="O324" s="147">
        <f t="shared" si="94"/>
        <v>1549800</v>
      </c>
      <c r="P324" s="147" t="str">
        <f t="shared" si="3"/>
        <v>Rp147,600-12 LSN-12.50%</v>
      </c>
      <c r="Q324" s="149">
        <v>45415.0</v>
      </c>
      <c r="R324" s="150"/>
      <c r="S324" s="149">
        <v>45418.0</v>
      </c>
      <c r="T324" s="151"/>
      <c r="U324" s="151"/>
      <c r="V324" s="151"/>
      <c r="W324" s="151"/>
    </row>
    <row r="325">
      <c r="A325" s="142">
        <v>2988.0</v>
      </c>
      <c r="B325" s="143" t="str">
        <f t="shared" si="95"/>
        <v>H</v>
      </c>
      <c r="C325" s="143" t="str">
        <f t="shared" si="96"/>
        <v>SISWA-MUNTILAN</v>
      </c>
      <c r="D325" s="159" t="s">
        <v>4594</v>
      </c>
      <c r="E325" s="145" t="str">
        <f>IFERROR(__xludf.DUMMYFUNCTION("vlookup(D325,IMPORTRANGE(""https://docs.google.com/spreadsheets/d/1swGwZOEqYlTEUCJLY-eeJM1911Kvaei5oySBIxdgtNo/edit?pli=1#gid=257618397"",""stock FAKTUR!B:C""),2,false)"),"STIP JK 526-B40BL")</f>
        <v>STIP JK 526-B40BL</v>
      </c>
      <c r="F325" s="53" t="str">
        <f>IFERROR(__xludf.DUMMYFUNCTION("vlookup($D325,IMPORTRANGE(""https://docs.google.com/spreadsheets/d/1swGwZOEqYlTEUCJLY-eeJM1911Kvaei5oySBIxdgtNo/edit?pli=1#gid=257618397"",""stock FAKTUR!B:d""),3,false)"),"")</f>
        <v/>
      </c>
      <c r="G325" s="53" t="str">
        <f>IFERROR(__xludf.DUMMYFUNCTION("vlookup($D325,IMPORTRANGE(""https://docs.google.com/spreadsheets/d/1swGwZOEqYlTEUCJLY-eeJM1911Kvaei5oySBIxdgtNo/edit?pli=1#gid=257618397"",""stock FAKTUR!B:e""),4,false)"),"HITAM")</f>
        <v>HITAM</v>
      </c>
      <c r="H325" s="53" t="str">
        <f>IFERROR(__xludf.DUMMYFUNCTION("vlookup($D325,IMPORTRANGE(""https://docs.google.com/spreadsheets/d/1swGwZOEqYlTEUCJLY-eeJM1911Kvaei5oySBIxdgtNo/edit?pli=1#gid=257618397"",""stock FAKTUR!B:F""),5,false)"),"JK")</f>
        <v>JK</v>
      </c>
      <c r="I325" s="53" t="str">
        <f>IFERROR(__xludf.DUMMYFUNCTION("vlookup($D325,IMPORTRANGE(""https://docs.google.com/spreadsheets/d/1swGwZOEqYlTEUCJLY-eeJM1911Kvaei5oySBIxdgtNo/edit?pli=1#gid=257618397"",""stock FAKTUR!B:G""),6,false)"),"40 BL")</f>
        <v>40 BL</v>
      </c>
      <c r="J325" s="120" t="str">
        <f t="shared" si="25"/>
        <v>ADA</v>
      </c>
      <c r="K325" s="142">
        <v>20.0</v>
      </c>
      <c r="L325" s="145" t="str">
        <f>IFERROR(__xludf.DUMMYFUNCTION("vlookup($D325,IMPORTRANGE(""https://docs.google.com/spreadsheets/d/1swGwZOEqYlTEUCJLY-eeJM1911Kvaei5oySBIxdgtNo/edit?pli=1#gid=257618397"",""stock FAKTUR!B:q""),16,false)"),"BOX")</f>
        <v>BOX</v>
      </c>
      <c r="M325" s="147">
        <v>28300.0</v>
      </c>
      <c r="N325" s="152">
        <v>0.125</v>
      </c>
      <c r="O325" s="147">
        <f t="shared" si="94"/>
        <v>495250</v>
      </c>
      <c r="P325" s="147" t="str">
        <f t="shared" si="3"/>
        <v>Rp28,300-20 BOX-12.50%</v>
      </c>
      <c r="Q325" s="149">
        <v>45415.0</v>
      </c>
      <c r="R325" s="150"/>
      <c r="S325" s="149">
        <v>45418.0</v>
      </c>
      <c r="T325" s="151"/>
      <c r="U325" s="151"/>
      <c r="V325" s="151"/>
      <c r="W325" s="151"/>
    </row>
    <row r="326">
      <c r="A326" s="142">
        <v>2988.0</v>
      </c>
      <c r="B326" s="143" t="str">
        <f t="shared" si="95"/>
        <v>H</v>
      </c>
      <c r="C326" s="143" t="str">
        <f t="shared" si="96"/>
        <v>SISWA-MUNTILAN</v>
      </c>
      <c r="D326" s="145" t="s">
        <v>4595</v>
      </c>
      <c r="E326" s="145" t="str">
        <f>IFERROR(__xludf.DUMMYFUNCTION("vlookup(D326,IMPORTRANGE(""https://docs.google.com/spreadsheets/d/1swGwZOEqYlTEUCJLY-eeJM1911Kvaei5oySBIxdgtNo/edit?pli=1#gid=257618397"",""stock FAKTUR!B:C""),2,false)"),"STIP KENKO ERW-40SQ PUTIH")</f>
        <v>STIP KENKO ERW-40SQ PUTIH</v>
      </c>
      <c r="F326" s="53" t="str">
        <f>IFERROR(__xludf.DUMMYFUNCTION("vlookup($D326,IMPORTRANGE(""https://docs.google.com/spreadsheets/d/1swGwZOEqYlTEUCJLY-eeJM1911Kvaei5oySBIxdgtNo/edit?pli=1#gid=257618397"",""stock FAKTUR!B:d""),3,false)"),"")</f>
        <v/>
      </c>
      <c r="G326" s="53" t="str">
        <f>IFERROR(__xludf.DUMMYFUNCTION("vlookup($D326,IMPORTRANGE(""https://docs.google.com/spreadsheets/d/1swGwZOEqYlTEUCJLY-eeJM1911Kvaei5oySBIxdgtNo/edit?pli=1#gid=257618397"",""stock FAKTUR!B:e""),4,false)"),"PUTIH")</f>
        <v>PUTIH</v>
      </c>
      <c r="H326" s="53" t="str">
        <f>IFERROR(__xludf.DUMMYFUNCTION("vlookup($D326,IMPORTRANGE(""https://docs.google.com/spreadsheets/d/1swGwZOEqYlTEUCJLY-eeJM1911Kvaei5oySBIxdgtNo/edit?pli=1#gid=257618397"",""stock FAKTUR!B:F""),5,false)"),"KN")</f>
        <v>KN</v>
      </c>
      <c r="I326" s="53" t="str">
        <f>IFERROR(__xludf.DUMMYFUNCTION("vlookup($D326,IMPORTRANGE(""https://docs.google.com/spreadsheets/d/1swGwZOEqYlTEUCJLY-eeJM1911Kvaei5oySBIxdgtNo/edit?pli=1#gid=257618397"",""stock FAKTUR!B:G""),6,false)"),"ERS-005")</f>
        <v>ERS-005</v>
      </c>
      <c r="J326" s="120" t="str">
        <f t="shared" si="25"/>
        <v>ADA</v>
      </c>
      <c r="K326" s="142">
        <v>20.0</v>
      </c>
      <c r="L326" s="145" t="str">
        <f>IFERROR(__xludf.DUMMYFUNCTION("vlookup($D326,IMPORTRANGE(""https://docs.google.com/spreadsheets/d/1swGwZOEqYlTEUCJLY-eeJM1911Kvaei5oySBIxdgtNo/edit?pli=1#gid=257618397"",""stock FAKTUR!B:q""),16,false)"),"BOX")</f>
        <v>BOX</v>
      </c>
      <c r="M326" s="147">
        <v>27500.0</v>
      </c>
      <c r="N326" s="152">
        <v>0.125</v>
      </c>
      <c r="O326" s="147">
        <f t="shared" si="94"/>
        <v>481250</v>
      </c>
      <c r="P326" s="147" t="str">
        <f t="shared" si="3"/>
        <v>Rp27,500-20 BOX-12.50%</v>
      </c>
      <c r="Q326" s="149">
        <v>45415.0</v>
      </c>
      <c r="R326" s="150"/>
      <c r="S326" s="149">
        <v>45418.0</v>
      </c>
      <c r="T326" s="151"/>
      <c r="U326" s="151"/>
      <c r="V326" s="151"/>
      <c r="W326" s="151"/>
    </row>
    <row r="327">
      <c r="A327" s="142">
        <v>2988.0</v>
      </c>
      <c r="B327" s="143" t="str">
        <f t="shared" si="95"/>
        <v>H</v>
      </c>
      <c r="C327" s="143" t="str">
        <f t="shared" si="96"/>
        <v>SISWA-MUNTILAN</v>
      </c>
      <c r="D327" s="145" t="s">
        <v>4398</v>
      </c>
      <c r="E327" s="145" t="str">
        <f>IFERROR(__xludf.DUMMYFUNCTION("vlookup(D327,IMPORTRANGE(""https://docs.google.com/spreadsheets/d/1swGwZOEqYlTEUCJLY-eeJM1911Kvaei5oySBIxdgtNo/edit?pli=1#gid=257618397"",""stock FAKTUR!B:C""),2,false)"),"ISI CUTTER KENKO L-150 BESAR")</f>
        <v>ISI CUTTER KENKO L-150 BESAR</v>
      </c>
      <c r="F327" s="53" t="str">
        <f>IFERROR(__xludf.DUMMYFUNCTION("vlookup($D327,IMPORTRANGE(""https://docs.google.com/spreadsheets/d/1swGwZOEqYlTEUCJLY-eeJM1911Kvaei5oySBIxdgtNo/edit?pli=1#gid=257618397"",""stock FAKTUR!B:d""),3,false)"),"18 MM")</f>
        <v>18 MM</v>
      </c>
      <c r="G327" s="53" t="str">
        <f>IFERROR(__xludf.DUMMYFUNCTION("vlookup($D327,IMPORTRANGE(""https://docs.google.com/spreadsheets/d/1swGwZOEqYlTEUCJLY-eeJM1911Kvaei5oySBIxdgtNo/edit?pli=1#gid=257618397"",""stock FAKTUR!B:e""),4,false)"),"")</f>
        <v/>
      </c>
      <c r="H327" s="53" t="str">
        <f>IFERROR(__xludf.DUMMYFUNCTION("vlookup($D327,IMPORTRANGE(""https://docs.google.com/spreadsheets/d/1swGwZOEqYlTEUCJLY-eeJM1911Kvaei5oySBIxdgtNo/edit?pli=1#gid=257618397"",""stock FAKTUR!B:F""),5,false)"),"KN")</f>
        <v>KN</v>
      </c>
      <c r="I327" s="53" t="str">
        <f>IFERROR(__xludf.DUMMYFUNCTION("vlookup($D327,IMPORTRANGE(""https://docs.google.com/spreadsheets/d/1swGwZOEqYlTEUCJLY-eeJM1911Kvaei5oySBIxdgtNo/edit?pli=1#gid=257618397"",""stock FAKTUR!B:G""),6,false)"),"CTB-002")</f>
        <v>CTB-002</v>
      </c>
      <c r="J327" s="120" t="str">
        <f t="shared" si="25"/>
        <v>ADA</v>
      </c>
      <c r="K327" s="142">
        <v>60.0</v>
      </c>
      <c r="L327" s="145" t="str">
        <f>IFERROR(__xludf.DUMMYFUNCTION("vlookup($D327,IMPORTRANGE(""https://docs.google.com/spreadsheets/d/1swGwZOEqYlTEUCJLY-eeJM1911Kvaei5oySBIxdgtNo/edit?pli=1#gid=257618397"",""stock FAKTUR!B:q""),16,false)"),"LSN")</f>
        <v>LSN</v>
      </c>
      <c r="M327" s="147">
        <v>64800.0</v>
      </c>
      <c r="N327" s="152">
        <v>0.125</v>
      </c>
      <c r="O327" s="147">
        <f t="shared" si="94"/>
        <v>3402000</v>
      </c>
      <c r="P327" s="147" t="str">
        <f t="shared" si="3"/>
        <v>Rp64,800-60 LSN-12.50%</v>
      </c>
      <c r="Q327" s="149">
        <v>45415.0</v>
      </c>
      <c r="R327" s="150"/>
      <c r="S327" s="149">
        <v>45418.0</v>
      </c>
      <c r="T327" s="151"/>
      <c r="U327" s="151"/>
      <c r="V327" s="151"/>
      <c r="W327" s="151"/>
    </row>
    <row r="328">
      <c r="A328" s="142">
        <v>4703.0</v>
      </c>
      <c r="B328" s="143" t="s">
        <v>33</v>
      </c>
      <c r="C328" s="143" t="s">
        <v>2476</v>
      </c>
      <c r="D328" s="145" t="s">
        <v>4401</v>
      </c>
      <c r="E328" s="145" t="str">
        <f>IFERROR(__xludf.DUMMYFUNCTION("vlookup(D328,IMPORTRANGE(""https://docs.google.com/spreadsheets/d/1swGwZOEqYlTEUCJLY-eeJM1911Kvaei5oySBIxdgtNo/edit?pli=1#gid=257618397"",""stock FAKTUR!B:C""),2,false)"),"BP GEL KENKO EASY HITAM")</f>
        <v>BP GEL KENKO EASY HITAM</v>
      </c>
      <c r="F328" s="53" t="str">
        <f>IFERROR(__xludf.DUMMYFUNCTION("vlookup($D328,IMPORTRANGE(""https://docs.google.com/spreadsheets/d/1swGwZOEqYlTEUCJLY-eeJM1911Kvaei5oySBIxdgtNo/edit?pli=1#gid=257618397"",""stock FAKTUR!B:d""),3,false)"),"")</f>
        <v/>
      </c>
      <c r="G328" s="53" t="str">
        <f>IFERROR(__xludf.DUMMYFUNCTION("vlookup($D328,IMPORTRANGE(""https://docs.google.com/spreadsheets/d/1swGwZOEqYlTEUCJLY-eeJM1911Kvaei5oySBIxdgtNo/edit?pli=1#gid=257618397"",""stock FAKTUR!B:e""),4,false)"),"HITAM")</f>
        <v>HITAM</v>
      </c>
      <c r="H328" s="53" t="str">
        <f>IFERROR(__xludf.DUMMYFUNCTION("vlookup($D328,IMPORTRANGE(""https://docs.google.com/spreadsheets/d/1swGwZOEqYlTEUCJLY-eeJM1911Kvaei5oySBIxdgtNo/edit?pli=1#gid=257618397"",""stock FAKTUR!B:F""),5,false)"),"KN")</f>
        <v>KN</v>
      </c>
      <c r="I328" s="53" t="str">
        <f>IFERROR(__xludf.DUMMYFUNCTION("vlookup($D328,IMPORTRANGE(""https://docs.google.com/spreadsheets/d/1swGwZOEqYlTEUCJLY-eeJM1911Kvaei5oySBIxdgtNo/edit?pli=1#gid=257618397"",""stock FAKTUR!B:G""),6,false)"),"GPT-005B")</f>
        <v>GPT-005B</v>
      </c>
      <c r="J328" s="120" t="str">
        <f t="shared" si="25"/>
        <v>ADA</v>
      </c>
      <c r="K328" s="142">
        <v>144.0</v>
      </c>
      <c r="L328" s="145" t="str">
        <f>IFERROR(__xludf.DUMMYFUNCTION("vlookup($D328,IMPORTRANGE(""https://docs.google.com/spreadsheets/d/1swGwZOEqYlTEUCJLY-eeJM1911Kvaei5oySBIxdgtNo/edit?pli=1#gid=257618397"",""stock FAKTUR!B:q""),16,false)"),"LSN")</f>
        <v>LSN</v>
      </c>
      <c r="M328" s="147">
        <v>26100.0</v>
      </c>
      <c r="N328" s="152">
        <v>0.15</v>
      </c>
      <c r="O328" s="147">
        <f t="shared" si="94"/>
        <v>3194640</v>
      </c>
      <c r="P328" s="147" t="str">
        <f t="shared" si="3"/>
        <v>Rp26,100-144 LSN-15.00%</v>
      </c>
      <c r="Q328" s="149">
        <v>45415.0</v>
      </c>
      <c r="R328" s="150"/>
      <c r="S328" s="149">
        <v>45418.0</v>
      </c>
      <c r="T328" s="151"/>
      <c r="U328" s="151"/>
      <c r="V328" s="151"/>
      <c r="W328" s="151"/>
    </row>
    <row r="329">
      <c r="A329" s="142">
        <v>4703.0</v>
      </c>
      <c r="B329" s="143" t="str">
        <f>IF(A329=A328,B328,"")</f>
        <v>H</v>
      </c>
      <c r="C329" s="143" t="str">
        <f>IF(A329=A328,C328,"")</f>
        <v>PERDANA-BREBES</v>
      </c>
      <c r="D329" s="159" t="s">
        <v>4596</v>
      </c>
      <c r="E329" s="145" t="str">
        <f>IFERROR(__xludf.DUMMYFUNCTION("vlookup(D329,IMPORTRANGE(""https://docs.google.com/spreadsheets/d/1swGwZOEqYlTEUCJLY-eeJM1911Kvaei5oySBIxdgtNo/edit?pli=1#gid=257618397"",""stock FAKTUR!B:C""),2,false)"),"GUNTING GUNINDO SPL COKLAT")</f>
        <v>GUNTING GUNINDO SPL COKLAT</v>
      </c>
      <c r="F329" s="53" t="str">
        <f>IFERROR(__xludf.DUMMYFUNCTION("vlookup($D329,IMPORTRANGE(""https://docs.google.com/spreadsheets/d/1swGwZOEqYlTEUCJLY-eeJM1911Kvaei5oySBIxdgtNo/edit?pli=1#gid=257618397"",""stock FAKTUR!B:d""),3,false)"),"")</f>
        <v/>
      </c>
      <c r="G329" s="53" t="str">
        <f>IFERROR(__xludf.DUMMYFUNCTION("vlookup($D329,IMPORTRANGE(""https://docs.google.com/spreadsheets/d/1swGwZOEqYlTEUCJLY-eeJM1911Kvaei5oySBIxdgtNo/edit?pli=1#gid=257618397"",""stock FAKTUR!B:e""),4,false)"),"")</f>
        <v/>
      </c>
      <c r="H329" s="53" t="str">
        <f>IFERROR(__xludf.DUMMYFUNCTION("vlookup($D329,IMPORTRANGE(""https://docs.google.com/spreadsheets/d/1swGwZOEqYlTEUCJLY-eeJM1911Kvaei5oySBIxdgtNo/edit?pli=1#gid=257618397"",""stock FAKTUR!B:F""),5,false)"),"GN")</f>
        <v>GN</v>
      </c>
      <c r="I329" s="53" t="str">
        <f>IFERROR(__xludf.DUMMYFUNCTION("vlookup($D329,IMPORTRANGE(""https://docs.google.com/spreadsheets/d/1swGwZOEqYlTEUCJLY-eeJM1911Kvaei5oySBIxdgtNo/edit?pli=1#gid=257618397"",""stock FAKTUR!B:G""),6,false)"),"SPL")</f>
        <v>SPL</v>
      </c>
      <c r="J329" s="120" t="str">
        <f t="shared" si="25"/>
        <v>ADA</v>
      </c>
      <c r="K329" s="142">
        <v>30.0</v>
      </c>
      <c r="L329" s="145" t="str">
        <f>IFERROR(__xludf.DUMMYFUNCTION("vlookup($D329,IMPORTRANGE(""https://docs.google.com/spreadsheets/d/1swGwZOEqYlTEUCJLY-eeJM1911Kvaei5oySBIxdgtNo/edit?pli=1#gid=257618397"",""stock FAKTUR!B:q""),16,false)"),"LSN")</f>
        <v>LSN</v>
      </c>
      <c r="M329" s="147">
        <v>60000.0</v>
      </c>
      <c r="N329" s="152">
        <v>0.125</v>
      </c>
      <c r="O329" s="147">
        <f t="shared" si="94"/>
        <v>1575000</v>
      </c>
      <c r="P329" s="147" t="str">
        <f t="shared" si="3"/>
        <v>Rp60,000-30 LSN-12.50%</v>
      </c>
      <c r="Q329" s="149">
        <v>45415.0</v>
      </c>
      <c r="R329" s="150"/>
      <c r="S329" s="149">
        <v>45418.0</v>
      </c>
      <c r="T329" s="151"/>
      <c r="U329" s="151"/>
      <c r="V329" s="151"/>
      <c r="W329" s="151"/>
    </row>
    <row r="330">
      <c r="A330" s="142">
        <v>4697.0</v>
      </c>
      <c r="B330" s="143" t="s">
        <v>58</v>
      </c>
      <c r="C330" s="143" t="s">
        <v>2578</v>
      </c>
      <c r="D330" s="145" t="s">
        <v>4532</v>
      </c>
      <c r="E330" s="145" t="str">
        <f>IFERROR(__xludf.DUMMYFUNCTION("vlookup(D330,IMPORTRANGE(""https://docs.google.com/spreadsheets/d/1swGwZOEqYlTEUCJLY-eeJM1911Kvaei5oySBIxdgtNo/edit?pli=1#gid=257618397"",""stock FAKTUR!B:C""),2,false)"),"BINDER CLIP KENKO NO. 260")</f>
        <v>BINDER CLIP KENKO NO. 260</v>
      </c>
      <c r="F330" s="53" t="str">
        <f>IFERROR(__xludf.DUMMYFUNCTION("vlookup($D330,IMPORTRANGE(""https://docs.google.com/spreadsheets/d/1swGwZOEqYlTEUCJLY-eeJM1911Kvaei5oySBIxdgtNo/edit?pli=1#gid=257618397"",""stock FAKTUR!B:d""),3,false)"),"")</f>
        <v/>
      </c>
      <c r="G330" s="53" t="str">
        <f>IFERROR(__xludf.DUMMYFUNCTION("vlookup($D330,IMPORTRANGE(""https://docs.google.com/spreadsheets/d/1swGwZOEqYlTEUCJLY-eeJM1911Kvaei5oySBIxdgtNo/edit?pli=1#gid=257618397"",""stock FAKTUR!B:e""),4,false)"),"")</f>
        <v/>
      </c>
      <c r="H330" s="53" t="str">
        <f>IFERROR(__xludf.DUMMYFUNCTION("vlookup($D330,IMPORTRANGE(""https://docs.google.com/spreadsheets/d/1swGwZOEqYlTEUCJLY-eeJM1911Kvaei5oySBIxdgtNo/edit?pli=1#gid=257618397"",""stock FAKTUR!B:F""),5,false)"),"KN")</f>
        <v>KN</v>
      </c>
      <c r="I330" s="53" t="str">
        <f>IFERROR(__xludf.DUMMYFUNCTION("vlookup($D330,IMPORTRANGE(""https://docs.google.com/spreadsheets/d/1swGwZOEqYlTEUCJLY-eeJM1911Kvaei5oySBIxdgtNo/edit?pli=1#gid=257618397"",""stock FAKTUR!B:G""),6,false)"),"BCL-006QH")</f>
        <v>BCL-006QH</v>
      </c>
      <c r="J330" s="120" t="str">
        <f t="shared" si="25"/>
        <v>ADA</v>
      </c>
      <c r="K330" s="142">
        <v>5.0</v>
      </c>
      <c r="L330" s="145" t="str">
        <f>IFERROR(__xludf.DUMMYFUNCTION("vlookup($D330,IMPORTRANGE(""https://docs.google.com/spreadsheets/d/1swGwZOEqYlTEUCJLY-eeJM1911Kvaei5oySBIxdgtNo/edit?pli=1#gid=257618397"",""stock FAKTUR!B:q""),16,false)"),"GRS")</f>
        <v>GRS</v>
      </c>
      <c r="M330" s="147">
        <v>180000.0</v>
      </c>
      <c r="N330" s="152">
        <v>0.125</v>
      </c>
      <c r="O330" s="147">
        <f t="shared" si="94"/>
        <v>787500</v>
      </c>
      <c r="P330" s="147" t="str">
        <f t="shared" si="3"/>
        <v>Rp180,000-5 GRS-12.50%</v>
      </c>
      <c r="Q330" s="149">
        <v>45415.0</v>
      </c>
      <c r="R330" s="150"/>
      <c r="S330" s="149">
        <v>45418.0</v>
      </c>
      <c r="T330" s="151"/>
      <c r="U330" s="151"/>
      <c r="V330" s="151"/>
      <c r="W330" s="151"/>
    </row>
    <row r="331">
      <c r="A331" s="142">
        <v>4702.0</v>
      </c>
      <c r="B331" s="143" t="s">
        <v>58</v>
      </c>
      <c r="C331" s="143" t="s">
        <v>2362</v>
      </c>
      <c r="D331" s="145" t="s">
        <v>4401</v>
      </c>
      <c r="E331" s="145" t="str">
        <f>IFERROR(__xludf.DUMMYFUNCTION("vlookup(D331,IMPORTRANGE(""https://docs.google.com/spreadsheets/d/1swGwZOEqYlTEUCJLY-eeJM1911Kvaei5oySBIxdgtNo/edit?pli=1#gid=257618397"",""stock FAKTUR!B:C""),2,false)"),"BP GEL KENKO EASY HITAM")</f>
        <v>BP GEL KENKO EASY HITAM</v>
      </c>
      <c r="F331" s="53" t="str">
        <f>IFERROR(__xludf.DUMMYFUNCTION("vlookup($D331,IMPORTRANGE(""https://docs.google.com/spreadsheets/d/1swGwZOEqYlTEUCJLY-eeJM1911Kvaei5oySBIxdgtNo/edit?pli=1#gid=257618397"",""stock FAKTUR!B:d""),3,false)"),"")</f>
        <v/>
      </c>
      <c r="G331" s="53" t="str">
        <f>IFERROR(__xludf.DUMMYFUNCTION("vlookup($D331,IMPORTRANGE(""https://docs.google.com/spreadsheets/d/1swGwZOEqYlTEUCJLY-eeJM1911Kvaei5oySBIxdgtNo/edit?pli=1#gid=257618397"",""stock FAKTUR!B:e""),4,false)"),"HITAM")</f>
        <v>HITAM</v>
      </c>
      <c r="H331" s="53" t="str">
        <f>IFERROR(__xludf.DUMMYFUNCTION("vlookup($D331,IMPORTRANGE(""https://docs.google.com/spreadsheets/d/1swGwZOEqYlTEUCJLY-eeJM1911Kvaei5oySBIxdgtNo/edit?pli=1#gid=257618397"",""stock FAKTUR!B:F""),5,false)"),"KN")</f>
        <v>KN</v>
      </c>
      <c r="I331" s="53" t="str">
        <f>IFERROR(__xludf.DUMMYFUNCTION("vlookup($D331,IMPORTRANGE(""https://docs.google.com/spreadsheets/d/1swGwZOEqYlTEUCJLY-eeJM1911Kvaei5oySBIxdgtNo/edit?pli=1#gid=257618397"",""stock FAKTUR!B:G""),6,false)"),"GPT-005B")</f>
        <v>GPT-005B</v>
      </c>
      <c r="J331" s="120" t="str">
        <f t="shared" si="25"/>
        <v>ADA</v>
      </c>
      <c r="K331" s="142">
        <v>288.0</v>
      </c>
      <c r="L331" s="145" t="str">
        <f>IFERROR(__xludf.DUMMYFUNCTION("vlookup($D331,IMPORTRANGE(""https://docs.google.com/spreadsheets/d/1swGwZOEqYlTEUCJLY-eeJM1911Kvaei5oySBIxdgtNo/edit?pli=1#gid=257618397"",""stock FAKTUR!B:q""),16,false)"),"LSN")</f>
        <v>LSN</v>
      </c>
      <c r="M331" s="147">
        <v>26400.0</v>
      </c>
      <c r="N331" s="152">
        <v>0.125</v>
      </c>
      <c r="O331" s="147">
        <f t="shared" si="94"/>
        <v>6652800</v>
      </c>
      <c r="P331" s="147" t="str">
        <f t="shared" si="3"/>
        <v>Rp26,400-288 LSN-12.50%</v>
      </c>
      <c r="Q331" s="149">
        <v>45415.0</v>
      </c>
      <c r="R331" s="150"/>
      <c r="S331" s="149">
        <v>45418.0</v>
      </c>
      <c r="T331" s="151"/>
      <c r="U331" s="151"/>
      <c r="V331" s="151"/>
      <c r="W331" s="151"/>
    </row>
    <row r="332">
      <c r="A332" s="142">
        <v>4711.0</v>
      </c>
      <c r="B332" s="143" t="s">
        <v>65</v>
      </c>
      <c r="C332" s="143" t="s">
        <v>2601</v>
      </c>
      <c r="D332" s="145" t="s">
        <v>4386</v>
      </c>
      <c r="E332" s="145" t="str">
        <f>IFERROR(__xludf.DUMMYFUNCTION("vlookup(D332,IMPORTRANGE(""https://docs.google.com/spreadsheets/d/1swGwZOEqYlTEUCJLY-eeJM1911Kvaei5oySBIxdgtNo/edit?pli=1#gid=257618397"",""stock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332" s="53" t="str">
        <f>IFERROR(__xludf.DUMMYFUNCTION("vlookup($D332,IMPORTRANGE(""https://docs.google.com/spreadsheets/d/1swGwZOEqYlTEUCJLY-eeJM1911Kvaei5oySBIxdgtNo/edit?pli=1#gid=257618397"",""stock FAKTUR!B:d""),3,false)"),"")</f>
        <v/>
      </c>
      <c r="G332" s="53" t="str">
        <f>IFERROR(__xludf.DUMMYFUNCTION("vlookup($D332,IMPORTRANGE(""https://docs.google.com/spreadsheets/d/1swGwZOEqYlTEUCJLY-eeJM1911Kvaei5oySBIxdgtNo/edit?pli=1#gid=257618397"",""stock FAKTUR!B:e""),4,false)"),"12W")</f>
        <v>12W</v>
      </c>
      <c r="H332" s="53" t="str">
        <f>IFERROR(__xludf.DUMMYFUNCTION("vlookup($D332,IMPORTRANGE(""https://docs.google.com/spreadsheets/d/1swGwZOEqYlTEUCJLY-eeJM1911Kvaei5oySBIxdgtNo/edit?pli=1#gid=257618397"",""stock FAKTUR!B:F""),5,false)"),"JK")</f>
        <v>JK</v>
      </c>
      <c r="I332" s="53" t="str">
        <f>IFERROR(__xludf.DUMMYFUNCTION("vlookup($D332,IMPORTRANGE(""https://docs.google.com/spreadsheets/d/1swGwZOEqYlTEUCJLY-eeJM1911Kvaei5oySBIxdgtNo/edit?pli=1#gid=257618397"",""stock FAKTUR!B:G""),6,false)"),"OP-12S")</f>
        <v>OP-12S</v>
      </c>
      <c r="J332" s="120" t="str">
        <f t="shared" si="25"/>
        <v>ADA</v>
      </c>
      <c r="K332" s="142">
        <v>48.0</v>
      </c>
      <c r="L332" s="145" t="str">
        <f>IFERROR(__xludf.DUMMYFUNCTION("vlookup($D332,IMPORTRANGE(""https://docs.google.com/spreadsheets/d/1swGwZOEqYlTEUCJLY-eeJM1911Kvaei5oySBIxdgtNo/edit?pli=1#gid=257618397"",""stock FAKTUR!B:q""),16,false)"),"PCS")</f>
        <v>PCS</v>
      </c>
      <c r="M332" s="147">
        <v>12300.0</v>
      </c>
      <c r="N332" s="152">
        <v>0.125</v>
      </c>
      <c r="O332" s="147">
        <f t="shared" si="94"/>
        <v>516600</v>
      </c>
      <c r="P332" s="147" t="str">
        <f t="shared" si="3"/>
        <v>Rp12,300-48 PCS-12.50%</v>
      </c>
      <c r="Q332" s="149">
        <v>45416.0</v>
      </c>
      <c r="R332" s="150"/>
      <c r="S332" s="149">
        <v>45418.0</v>
      </c>
      <c r="T332" s="151"/>
      <c r="U332" s="151"/>
      <c r="V332" s="151"/>
      <c r="W332" s="151"/>
    </row>
    <row r="333">
      <c r="A333" s="142">
        <v>4709.0</v>
      </c>
      <c r="B333" s="143" t="s">
        <v>33</v>
      </c>
      <c r="C333" s="143" t="s">
        <v>4590</v>
      </c>
      <c r="D333" s="145" t="s">
        <v>4597</v>
      </c>
      <c r="E333" s="145" t="str">
        <f>IFERROR(__xludf.DUMMYFUNCTION("vlookup(D333,IMPORTRANGE(""https://docs.google.com/spreadsheets/d/1swGwZOEqYlTEUCJLY-eeJM1911Kvaei5oySBIxdgtNo/edit?pli=1#gid=257618397"",""stock FAKTUR!B:C""),2,false)"),"GUNTING JK SC-828")</f>
        <v>GUNTING JK SC-828</v>
      </c>
      <c r="F333" s="53" t="str">
        <f>IFERROR(__xludf.DUMMYFUNCTION("vlookup($D333,IMPORTRANGE(""https://docs.google.com/spreadsheets/d/1swGwZOEqYlTEUCJLY-eeJM1911Kvaei5oySBIxdgtNo/edit?pli=1#gid=257618397"",""stock FAKTUR!B:d""),3,false)"),"")</f>
        <v/>
      </c>
      <c r="G333" s="53" t="str">
        <f>IFERROR(__xludf.DUMMYFUNCTION("vlookup($D333,IMPORTRANGE(""https://docs.google.com/spreadsheets/d/1swGwZOEqYlTEUCJLY-eeJM1911Kvaei5oySBIxdgtNo/edit?pli=1#gid=257618397"",""stock FAKTUR!B:e""),4,false)"),"")</f>
        <v/>
      </c>
      <c r="H333" s="53" t="str">
        <f>IFERROR(__xludf.DUMMYFUNCTION("vlookup($D333,IMPORTRANGE(""https://docs.google.com/spreadsheets/d/1swGwZOEqYlTEUCJLY-eeJM1911Kvaei5oySBIxdgtNo/edit?pli=1#gid=257618397"",""stock FAKTUR!B:F""),5,false)"),"JK")</f>
        <v>JK</v>
      </c>
      <c r="I333" s="53" t="str">
        <f>IFERROR(__xludf.DUMMYFUNCTION("vlookup($D333,IMPORTRANGE(""https://docs.google.com/spreadsheets/d/1swGwZOEqYlTEUCJLY-eeJM1911Kvaei5oySBIxdgtNo/edit?pli=1#gid=257618397"",""stock FAKTUR!B:G""),6,false)"),"SC-828")</f>
        <v>SC-828</v>
      </c>
      <c r="J333" s="120" t="str">
        <f t="shared" si="25"/>
        <v>ADA</v>
      </c>
      <c r="K333" s="142">
        <f>144/12</f>
        <v>12</v>
      </c>
      <c r="L333" s="145" t="str">
        <f>IFERROR(__xludf.DUMMYFUNCTION("vlookup($D333,IMPORTRANGE(""https://docs.google.com/spreadsheets/d/1swGwZOEqYlTEUCJLY-eeJM1911Kvaei5oySBIxdgtNo/edit?pli=1#gid=257618397"",""stock FAKTUR!B:q""),16,false)"),"LSN")</f>
        <v>LSN</v>
      </c>
      <c r="M333" s="147">
        <f>4350*12</f>
        <v>52200</v>
      </c>
      <c r="N333" s="152">
        <v>0.13</v>
      </c>
      <c r="O333" s="147">
        <f t="shared" si="94"/>
        <v>544968</v>
      </c>
      <c r="P333" s="147" t="str">
        <f t="shared" si="3"/>
        <v>Rp52,200-12 LSN-13.00%</v>
      </c>
      <c r="Q333" s="149">
        <v>45416.0</v>
      </c>
      <c r="R333" s="150"/>
      <c r="S333" s="149">
        <v>45418.0</v>
      </c>
      <c r="T333" s="151"/>
      <c r="U333" s="151"/>
      <c r="V333" s="151"/>
      <c r="W333" s="151"/>
    </row>
    <row r="334">
      <c r="A334" s="142">
        <v>4709.0</v>
      </c>
      <c r="B334" s="143" t="str">
        <f t="shared" ref="B334:B336" si="97">IF(A334=A333,B333,"")</f>
        <v>H</v>
      </c>
      <c r="C334" s="143" t="str">
        <f t="shared" ref="C334:C336" si="98">IF(A334=A333,C333,"")</f>
        <v>SINKONG-PURWOREJO</v>
      </c>
      <c r="D334" s="145" t="s">
        <v>4598</v>
      </c>
      <c r="E334" s="145" t="str">
        <f>IFERROR(__xludf.DUMMYFUNCTION("vlookup(D334,IMPORTRANGE(""https://docs.google.com/spreadsheets/d/1swGwZOEqYlTEUCJLY-eeJM1911Kvaei5oySBIxdgtNo/edit?pli=1#gid=257618397"",""stock FAKTUR!B:C""),2,false)"),"KUAS SET JK BR-1")</f>
        <v>KUAS SET JK BR-1</v>
      </c>
      <c r="F334" s="53" t="str">
        <f>IFERROR(__xludf.DUMMYFUNCTION("vlookup($D334,IMPORTRANGE(""https://docs.google.com/spreadsheets/d/1swGwZOEqYlTEUCJLY-eeJM1911Kvaei5oySBIxdgtNo/edit?pli=1#gid=257618397"",""stock FAKTUR!B:d""),3,false)"),"")</f>
        <v/>
      </c>
      <c r="G334" s="53" t="str">
        <f>IFERROR(__xludf.DUMMYFUNCTION("vlookup($D334,IMPORTRANGE(""https://docs.google.com/spreadsheets/d/1swGwZOEqYlTEUCJLY-eeJM1911Kvaei5oySBIxdgtNo/edit?pli=1#gid=257618397"",""stock FAKTUR!B:e""),4,false)"),"")</f>
        <v/>
      </c>
      <c r="H334" s="53" t="str">
        <f>IFERROR(__xludf.DUMMYFUNCTION("vlookup($D334,IMPORTRANGE(""https://docs.google.com/spreadsheets/d/1swGwZOEqYlTEUCJLY-eeJM1911Kvaei5oySBIxdgtNo/edit?pli=1#gid=257618397"",""stock FAKTUR!B:F""),5,false)"),"JK")</f>
        <v>JK</v>
      </c>
      <c r="I334" s="53" t="str">
        <f>IFERROR(__xludf.DUMMYFUNCTION("vlookup($D334,IMPORTRANGE(""https://docs.google.com/spreadsheets/d/1swGwZOEqYlTEUCJLY-eeJM1911Kvaei5oySBIxdgtNo/edit?pli=1#gid=257618397"",""stock FAKTUR!B:G""),6,false)"),"BR-1")</f>
        <v>BR-1</v>
      </c>
      <c r="J334" s="120" t="str">
        <f t="shared" si="25"/>
        <v>ADA</v>
      </c>
      <c r="K334" s="142">
        <v>240.0</v>
      </c>
      <c r="L334" s="145" t="str">
        <f>IFERROR(__xludf.DUMMYFUNCTION("vlookup($D334,IMPORTRANGE(""https://docs.google.com/spreadsheets/d/1swGwZOEqYlTEUCJLY-eeJM1911Kvaei5oySBIxdgtNo/edit?pli=1#gid=257618397"",""stock FAKTUR!B:q""),16,false)"),"SET")</f>
        <v>SET</v>
      </c>
      <c r="M334" s="147">
        <v>8800.0</v>
      </c>
      <c r="N334" s="152">
        <v>0.13</v>
      </c>
      <c r="O334" s="147">
        <f t="shared" si="94"/>
        <v>1837440</v>
      </c>
      <c r="P334" s="147" t="str">
        <f t="shared" si="3"/>
        <v>Rp8,800-240 SET-13.00%</v>
      </c>
      <c r="Q334" s="149">
        <v>45416.0</v>
      </c>
      <c r="R334" s="150"/>
      <c r="S334" s="149">
        <v>45418.0</v>
      </c>
      <c r="T334" s="151"/>
      <c r="U334" s="151"/>
      <c r="V334" s="151"/>
      <c r="W334" s="151"/>
    </row>
    <row r="335">
      <c r="A335" s="142">
        <v>4709.0</v>
      </c>
      <c r="B335" s="143" t="str">
        <f t="shared" si="97"/>
        <v>H</v>
      </c>
      <c r="C335" s="143" t="str">
        <f t="shared" si="98"/>
        <v>SINKONG-PURWOREJO</v>
      </c>
      <c r="D335" s="145" t="s">
        <v>4401</v>
      </c>
      <c r="E335" s="145" t="str">
        <f>IFERROR(__xludf.DUMMYFUNCTION("vlookup(D335,IMPORTRANGE(""https://docs.google.com/spreadsheets/d/1swGwZOEqYlTEUCJLY-eeJM1911Kvaei5oySBIxdgtNo/edit?pli=1#gid=257618397"",""stock FAKTUR!B:C""),2,false)"),"BP GEL KENKO EASY HITAM")</f>
        <v>BP GEL KENKO EASY HITAM</v>
      </c>
      <c r="F335" s="53" t="str">
        <f>IFERROR(__xludf.DUMMYFUNCTION("vlookup($D335,IMPORTRANGE(""https://docs.google.com/spreadsheets/d/1swGwZOEqYlTEUCJLY-eeJM1911Kvaei5oySBIxdgtNo/edit?pli=1#gid=257618397"",""stock FAKTUR!B:d""),3,false)"),"")</f>
        <v/>
      </c>
      <c r="G335" s="53" t="str">
        <f>IFERROR(__xludf.DUMMYFUNCTION("vlookup($D335,IMPORTRANGE(""https://docs.google.com/spreadsheets/d/1swGwZOEqYlTEUCJLY-eeJM1911Kvaei5oySBIxdgtNo/edit?pli=1#gid=257618397"",""stock FAKTUR!B:e""),4,false)"),"HITAM")</f>
        <v>HITAM</v>
      </c>
      <c r="H335" s="53" t="str">
        <f>IFERROR(__xludf.DUMMYFUNCTION("vlookup($D335,IMPORTRANGE(""https://docs.google.com/spreadsheets/d/1swGwZOEqYlTEUCJLY-eeJM1911Kvaei5oySBIxdgtNo/edit?pli=1#gid=257618397"",""stock FAKTUR!B:F""),5,false)"),"KN")</f>
        <v>KN</v>
      </c>
      <c r="I335" s="53" t="str">
        <f>IFERROR(__xludf.DUMMYFUNCTION("vlookup($D335,IMPORTRANGE(""https://docs.google.com/spreadsheets/d/1swGwZOEqYlTEUCJLY-eeJM1911Kvaei5oySBIxdgtNo/edit?pli=1#gid=257618397"",""stock FAKTUR!B:G""),6,false)"),"GPT-005B")</f>
        <v>GPT-005B</v>
      </c>
      <c r="J335" s="120" t="str">
        <f t="shared" si="25"/>
        <v>ADA</v>
      </c>
      <c r="K335" s="142">
        <v>72.0</v>
      </c>
      <c r="L335" s="145" t="str">
        <f>IFERROR(__xludf.DUMMYFUNCTION("vlookup($D335,IMPORTRANGE(""https://docs.google.com/spreadsheets/d/1swGwZOEqYlTEUCJLY-eeJM1911Kvaei5oySBIxdgtNo/edit?pli=1#gid=257618397"",""stock FAKTUR!B:q""),16,false)"),"LSN")</f>
        <v>LSN</v>
      </c>
      <c r="M335" s="147">
        <v>26100.0</v>
      </c>
      <c r="N335" s="152">
        <v>0.13</v>
      </c>
      <c r="O335" s="147">
        <f t="shared" si="94"/>
        <v>1634904</v>
      </c>
      <c r="P335" s="147" t="str">
        <f t="shared" si="3"/>
        <v>Rp26,100-72 LSN-13.00%</v>
      </c>
      <c r="Q335" s="149">
        <v>45416.0</v>
      </c>
      <c r="R335" s="150"/>
      <c r="S335" s="149">
        <v>45418.0</v>
      </c>
      <c r="T335" s="151"/>
      <c r="U335" s="151"/>
      <c r="V335" s="151"/>
      <c r="W335" s="151"/>
    </row>
    <row r="336">
      <c r="A336" s="142">
        <v>4709.0</v>
      </c>
      <c r="B336" s="143" t="str">
        <f t="shared" si="97"/>
        <v>H</v>
      </c>
      <c r="C336" s="143" t="str">
        <f t="shared" si="98"/>
        <v>SINKONG-PURWOREJO</v>
      </c>
      <c r="D336" s="145" t="s">
        <v>4557</v>
      </c>
      <c r="E336" s="145" t="str">
        <f>IFERROR(__xludf.DUMMYFUNCTION("vlookup(D336,IMPORTRANGE(""https://docs.google.com/spreadsheets/d/1swGwZOEqYlTEUCJLY-eeJM1911Kvaei5oySBIxdgtNo/edit?pli=1#gid=257618397"",""stock FAKTUR!B:C""),2,false)"),"TIPEX KENKO CT-902")</f>
        <v>TIPEX KENKO CT-902</v>
      </c>
      <c r="F336" s="53" t="str">
        <f>IFERROR(__xludf.DUMMYFUNCTION("vlookup($D336,IMPORTRANGE(""https://docs.google.com/spreadsheets/d/1swGwZOEqYlTEUCJLY-eeJM1911Kvaei5oySBIxdgtNo/edit?pli=1#gid=257618397"",""stock FAKTUR!B:d""),3,false)"),"")</f>
        <v/>
      </c>
      <c r="G336" s="53" t="str">
        <f>IFERROR(__xludf.DUMMYFUNCTION("vlookup($D336,IMPORTRANGE(""https://docs.google.com/spreadsheets/d/1swGwZOEqYlTEUCJLY-eeJM1911Kvaei5oySBIxdgtNo/edit?pli=1#gid=257618397"",""stock FAKTUR!B:e""),4,false)"),"")</f>
        <v/>
      </c>
      <c r="H336" s="53" t="str">
        <f>IFERROR(__xludf.DUMMYFUNCTION("vlookup($D336,IMPORTRANGE(""https://docs.google.com/spreadsheets/d/1swGwZOEqYlTEUCJLY-eeJM1911Kvaei5oySBIxdgtNo/edit?pli=1#gid=257618397"",""stock FAKTUR!B:F""),5,false)"),"KN")</f>
        <v>KN</v>
      </c>
      <c r="I336" s="53" t="str">
        <f>IFERROR(__xludf.DUMMYFUNCTION("vlookup($D336,IMPORTRANGE(""https://docs.google.com/spreadsheets/d/1swGwZOEqYlTEUCJLY-eeJM1911Kvaei5oySBIxdgtNo/edit?pli=1#gid=257618397"",""stock FAKTUR!B:G""),6,false)"),"CT-902")</f>
        <v>CT-902</v>
      </c>
      <c r="J336" s="120" t="str">
        <f t="shared" si="25"/>
        <v>ADA</v>
      </c>
      <c r="K336" s="142">
        <v>22.0</v>
      </c>
      <c r="L336" s="145" t="str">
        <f>IFERROR(__xludf.DUMMYFUNCTION("vlookup($D336,IMPORTRANGE(""https://docs.google.com/spreadsheets/d/1swGwZOEqYlTEUCJLY-eeJM1911Kvaei5oySBIxdgtNo/edit?pli=1#gid=257618397"",""stock FAKTUR!B:q""),16,false)"),"LSN")</f>
        <v>LSN</v>
      </c>
      <c r="M336" s="147">
        <v>54000.0</v>
      </c>
      <c r="N336" s="152">
        <v>0.13</v>
      </c>
      <c r="O336" s="147">
        <f t="shared" si="94"/>
        <v>1033560</v>
      </c>
      <c r="P336" s="147" t="str">
        <f t="shared" si="3"/>
        <v>Rp54,000-22 LSN-13.00%</v>
      </c>
      <c r="Q336" s="149">
        <v>45416.0</v>
      </c>
      <c r="R336" s="150"/>
      <c r="S336" s="149">
        <v>45418.0</v>
      </c>
      <c r="T336" s="151"/>
      <c r="U336" s="151"/>
      <c r="V336" s="151"/>
      <c r="W336" s="151"/>
    </row>
    <row r="337">
      <c r="A337" s="142">
        <v>4700.0</v>
      </c>
      <c r="B337" s="143" t="s">
        <v>58</v>
      </c>
      <c r="C337" s="143" t="s">
        <v>103</v>
      </c>
      <c r="D337" s="145" t="s">
        <v>4599</v>
      </c>
      <c r="E337" s="145" t="str">
        <f>IFERROR(__xludf.DUMMYFUNCTION("vlookup(D337,IMPORTRANGE(""https://docs.google.com/spreadsheets/d/1swGwZOEqYlTEUCJLY-eeJM1911Kvaei5oySBIxdgtNo/edit?pli=1#gid=257618397"",""stock FAKTUR!B:C""),2,false)"),"OIL PASTEL TITI 12W TI-P-12S")</f>
        <v>OIL PASTEL TITI 12W TI-P-12S</v>
      </c>
      <c r="F337" s="53" t="str">
        <f>IFERROR(__xludf.DUMMYFUNCTION("vlookup($D337,IMPORTRANGE(""https://docs.google.com/spreadsheets/d/1swGwZOEqYlTEUCJLY-eeJM1911Kvaei5oySBIxdgtNo/edit?pli=1#gid=257618397"",""stock FAKTUR!B:d""),3,false)"),"")</f>
        <v/>
      </c>
      <c r="G337" s="53" t="str">
        <f>IFERROR(__xludf.DUMMYFUNCTION("vlookup($D337,IMPORTRANGE(""https://docs.google.com/spreadsheets/d/1swGwZOEqYlTEUCJLY-eeJM1911Kvaei5oySBIxdgtNo/edit?pli=1#gid=257618397"",""stock FAKTUR!B:e""),4,false)"),"12W")</f>
        <v>12W</v>
      </c>
      <c r="H337" s="53" t="str">
        <f>IFERROR(__xludf.DUMMYFUNCTION("vlookup($D337,IMPORTRANGE(""https://docs.google.com/spreadsheets/d/1swGwZOEqYlTEUCJLY-eeJM1911Kvaei5oySBIxdgtNo/edit?pli=1#gid=257618397"",""stock FAKTUR!B:F""),5,false)"),"TT")</f>
        <v>TT</v>
      </c>
      <c r="I337" s="53" t="str">
        <f>IFERROR(__xludf.DUMMYFUNCTION("vlookup($D337,IMPORTRANGE(""https://docs.google.com/spreadsheets/d/1swGwZOEqYlTEUCJLY-eeJM1911Kvaei5oySBIxdgtNo/edit?pli=1#gid=257618397"",""stock FAKTUR!B:G""),6,false)"),"OPS-007")</f>
        <v>OPS-007</v>
      </c>
      <c r="J337" s="120" t="str">
        <f t="shared" si="25"/>
        <v>ADA</v>
      </c>
      <c r="K337" s="142">
        <v>144.0</v>
      </c>
      <c r="L337" s="145" t="str">
        <f>IFERROR(__xludf.DUMMYFUNCTION("vlookup($D337,IMPORTRANGE(""https://docs.google.com/spreadsheets/d/1swGwZOEqYlTEUCJLY-eeJM1911Kvaei5oySBIxdgtNo/edit?pli=1#gid=257618397"",""stock FAKTUR!B:q""),16,false)"),"PCS")</f>
        <v>PCS</v>
      </c>
      <c r="M337" s="147">
        <v>14500.0</v>
      </c>
      <c r="N337" s="152">
        <v>0.125</v>
      </c>
      <c r="O337" s="147">
        <f t="shared" si="94"/>
        <v>1827000</v>
      </c>
      <c r="P337" s="147" t="str">
        <f t="shared" si="3"/>
        <v>Rp14,500-144 PCS-12.50%</v>
      </c>
      <c r="Q337" s="149">
        <v>45416.0</v>
      </c>
      <c r="R337" s="150"/>
      <c r="S337" s="149">
        <v>45418.0</v>
      </c>
      <c r="T337" s="151"/>
      <c r="U337" s="151"/>
      <c r="V337" s="151"/>
      <c r="W337" s="151"/>
    </row>
    <row r="338">
      <c r="A338" s="142">
        <v>4700.0</v>
      </c>
      <c r="B338" s="143" t="str">
        <f t="shared" ref="B338:B340" si="99">IF(A338=A337,B337,"")</f>
        <v>G</v>
      </c>
      <c r="C338" s="143" t="str">
        <f t="shared" ref="C338:C340" si="100">IF(A338=A337,C337,"")</f>
        <v>SASA-BOJONEGORO</v>
      </c>
      <c r="D338" s="145" t="s">
        <v>4477</v>
      </c>
      <c r="E338" s="145" t="str">
        <f>IFERROR(__xludf.DUMMYFUNCTION("vlookup(D338,IMPORTRANGE(""https://docs.google.com/spreadsheets/d/1swGwZOEqYlTEUCJLY-eeJM1911Kvaei5oySBIxdgtNo/edit?pli=1#gid=257618397"",""stock FAKTUR!B:C""),2,false)"),"OIL PASTEL TITI 18W TI-P-18S")</f>
        <v>OIL PASTEL TITI 18W TI-P-18S</v>
      </c>
      <c r="F338" s="53" t="str">
        <f>IFERROR(__xludf.DUMMYFUNCTION("vlookup($D338,IMPORTRANGE(""https://docs.google.com/spreadsheets/d/1swGwZOEqYlTEUCJLY-eeJM1911Kvaei5oySBIxdgtNo/edit?pli=1#gid=257618397"",""stock FAKTUR!B:d""),3,false)"),"")</f>
        <v/>
      </c>
      <c r="G338" s="53" t="str">
        <f>IFERROR(__xludf.DUMMYFUNCTION("vlookup($D338,IMPORTRANGE(""https://docs.google.com/spreadsheets/d/1swGwZOEqYlTEUCJLY-eeJM1911Kvaei5oySBIxdgtNo/edit?pli=1#gid=257618397"",""stock FAKTUR!B:e""),4,false)"),"18W")</f>
        <v>18W</v>
      </c>
      <c r="H338" s="53" t="str">
        <f>IFERROR(__xludf.DUMMYFUNCTION("vlookup($D338,IMPORTRANGE(""https://docs.google.com/spreadsheets/d/1swGwZOEqYlTEUCJLY-eeJM1911Kvaei5oySBIxdgtNo/edit?pli=1#gid=257618397"",""stock FAKTUR!B:F""),5,false)"),"TT")</f>
        <v>TT</v>
      </c>
      <c r="I338" s="53" t="str">
        <f>IFERROR(__xludf.DUMMYFUNCTION("vlookup($D338,IMPORTRANGE(""https://docs.google.com/spreadsheets/d/1swGwZOEqYlTEUCJLY-eeJM1911Kvaei5oySBIxdgtNo/edit?pli=1#gid=257618397"",""stock FAKTUR!B:G""),6,false)"),"OPS-008")</f>
        <v>OPS-008</v>
      </c>
      <c r="J338" s="120" t="str">
        <f t="shared" si="25"/>
        <v>ADA</v>
      </c>
      <c r="K338" s="142">
        <v>72.0</v>
      </c>
      <c r="L338" s="145" t="str">
        <f>IFERROR(__xludf.DUMMYFUNCTION("vlookup($D338,IMPORTRANGE(""https://docs.google.com/spreadsheets/d/1swGwZOEqYlTEUCJLY-eeJM1911Kvaei5oySBIxdgtNo/edit?pli=1#gid=257618397"",""stock FAKTUR!B:q""),16,false)"),"PCS")</f>
        <v>PCS</v>
      </c>
      <c r="M338" s="147">
        <v>27000.0</v>
      </c>
      <c r="N338" s="152">
        <v>0.125</v>
      </c>
      <c r="O338" s="147">
        <f t="shared" si="94"/>
        <v>1701000</v>
      </c>
      <c r="P338" s="147" t="str">
        <f t="shared" si="3"/>
        <v>Rp27,000-72 PCS-12.50%</v>
      </c>
      <c r="Q338" s="149">
        <v>45416.0</v>
      </c>
      <c r="R338" s="150"/>
      <c r="S338" s="149">
        <v>45418.0</v>
      </c>
      <c r="T338" s="151"/>
      <c r="U338" s="151"/>
      <c r="V338" s="151"/>
      <c r="W338" s="151"/>
    </row>
    <row r="339">
      <c r="A339" s="142">
        <v>4700.0</v>
      </c>
      <c r="B339" s="143" t="str">
        <f t="shared" si="99"/>
        <v>G</v>
      </c>
      <c r="C339" s="143" t="str">
        <f t="shared" si="100"/>
        <v>SASA-BOJONEGORO</v>
      </c>
      <c r="D339" s="188" t="s">
        <v>4478</v>
      </c>
      <c r="E339" s="145" t="str">
        <f>IFERROR(__xludf.DUMMYFUNCTION("vlookup(D339,IMPORTRANGE(""https://docs.google.com/spreadsheets/d/1swGwZOEqYlTEUCJLY-eeJM1911Kvaei5oySBIxdgtNo/edit?pli=1#gid=257618397"",""stock FAKTUR!B:C""),2,false)"),"OIL PASTEL TITI 36W TI-P-36 S")</f>
        <v>OIL PASTEL TITI 36W TI-P-36 S</v>
      </c>
      <c r="F339" s="53" t="str">
        <f>IFERROR(__xludf.DUMMYFUNCTION("vlookup($D339,IMPORTRANGE(""https://docs.google.com/spreadsheets/d/1swGwZOEqYlTEUCJLY-eeJM1911Kvaei5oySBIxdgtNo/edit?pli=1#gid=257618397"",""stock FAKTUR!B:d""),3,false)"),"")</f>
        <v/>
      </c>
      <c r="G339" s="53" t="str">
        <f>IFERROR(__xludf.DUMMYFUNCTION("vlookup($D339,IMPORTRANGE(""https://docs.google.com/spreadsheets/d/1swGwZOEqYlTEUCJLY-eeJM1911Kvaei5oySBIxdgtNo/edit?pli=1#gid=257618397"",""stock FAKTUR!B:e""),4,false)"),"36W")</f>
        <v>36W</v>
      </c>
      <c r="H339" s="53" t="str">
        <f>IFERROR(__xludf.DUMMYFUNCTION("vlookup($D339,IMPORTRANGE(""https://docs.google.com/spreadsheets/d/1swGwZOEqYlTEUCJLY-eeJM1911Kvaei5oySBIxdgtNo/edit?pli=1#gid=257618397"",""stock FAKTUR!B:F""),5,false)"),"TT")</f>
        <v>TT</v>
      </c>
      <c r="I339" s="53" t="str">
        <f>IFERROR(__xludf.DUMMYFUNCTION("vlookup($D339,IMPORTRANGE(""https://docs.google.com/spreadsheets/d/1swGwZOEqYlTEUCJLY-eeJM1911Kvaei5oySBIxdgtNo/edit?pli=1#gid=257618397"",""stock FAKTUR!B:G""),6,false)"),"")</f>
        <v/>
      </c>
      <c r="J339" s="120" t="str">
        <f t="shared" si="25"/>
        <v>ADA</v>
      </c>
      <c r="K339" s="142">
        <v>36.0</v>
      </c>
      <c r="L339" s="145" t="str">
        <f>IFERROR(__xludf.DUMMYFUNCTION("vlookup($D339,IMPORTRANGE(""https://docs.google.com/spreadsheets/d/1swGwZOEqYlTEUCJLY-eeJM1911Kvaei5oySBIxdgtNo/edit?pli=1#gid=257618397"",""stock FAKTUR!B:q""),16,false)"),"PCS")</f>
        <v>PCS</v>
      </c>
      <c r="M339" s="147">
        <v>47500.0</v>
      </c>
      <c r="N339" s="152">
        <v>0.125</v>
      </c>
      <c r="O339" s="147">
        <f t="shared" si="94"/>
        <v>1496250</v>
      </c>
      <c r="P339" s="147" t="str">
        <f t="shared" si="3"/>
        <v>Rp47,500-36 PCS-12.50%</v>
      </c>
      <c r="Q339" s="149">
        <v>45416.0</v>
      </c>
      <c r="R339" s="150"/>
      <c r="S339" s="149">
        <v>45418.0</v>
      </c>
      <c r="T339" s="151"/>
      <c r="U339" s="151"/>
      <c r="V339" s="151"/>
      <c r="W339" s="151"/>
    </row>
    <row r="340">
      <c r="A340" s="142">
        <v>4700.0</v>
      </c>
      <c r="B340" s="143" t="str">
        <f t="shared" si="99"/>
        <v>G</v>
      </c>
      <c r="C340" s="143" t="str">
        <f t="shared" si="100"/>
        <v>SASA-BOJONEGORO</v>
      </c>
      <c r="D340" s="145" t="s">
        <v>4600</v>
      </c>
      <c r="E340" s="145" t="str">
        <f>IFERROR(__xludf.DUMMYFUNCTION("vlookup(D340,IMPORTRANGE(""https://docs.google.com/spreadsheets/d/1swGwZOEqYlTEUCJLY-eeJM1911Kvaei5oySBIxdgtNo/edit?pli=1#gid=257618397"",""stock FAKTUR!B:C""),2,false)"),"ISI PENSIL JK PL-11 (2.0)")</f>
        <v>ISI PENSIL JK PL-11 (2.0)</v>
      </c>
      <c r="F340" s="53" t="str">
        <f>IFERROR(__xludf.DUMMYFUNCTION("vlookup($D340,IMPORTRANGE(""https://docs.google.com/spreadsheets/d/1swGwZOEqYlTEUCJLY-eeJM1911Kvaei5oySBIxdgtNo/edit?pli=1#gid=257618397"",""stock FAKTUR!B:d""),3,false)"),"")</f>
        <v/>
      </c>
      <c r="G340" s="53" t="str">
        <f>IFERROR(__xludf.DUMMYFUNCTION("vlookup($D340,IMPORTRANGE(""https://docs.google.com/spreadsheets/d/1swGwZOEqYlTEUCJLY-eeJM1911Kvaei5oySBIxdgtNo/edit?pli=1#gid=257618397"",""stock FAKTUR!B:e""),4,false)"),"")</f>
        <v/>
      </c>
      <c r="H340" s="53" t="str">
        <f>IFERROR(__xludf.DUMMYFUNCTION("vlookup($D340,IMPORTRANGE(""https://docs.google.com/spreadsheets/d/1swGwZOEqYlTEUCJLY-eeJM1911Kvaei5oySBIxdgtNo/edit?pli=1#gid=257618397"",""stock FAKTUR!B:F""),5,false)"),"JK")</f>
        <v>JK</v>
      </c>
      <c r="I340" s="53" t="str">
        <f>IFERROR(__xludf.DUMMYFUNCTION("vlookup($D340,IMPORTRANGE(""https://docs.google.com/spreadsheets/d/1swGwZOEqYlTEUCJLY-eeJM1911Kvaei5oySBIxdgtNo/edit?pli=1#gid=257618397"",""stock FAKTUR!B:G""),6,false)"),"PL-11")</f>
        <v>PL-11</v>
      </c>
      <c r="J340" s="120" t="str">
        <f t="shared" si="25"/>
        <v>ADA</v>
      </c>
      <c r="K340" s="142">
        <v>72.0</v>
      </c>
      <c r="L340" s="145" t="str">
        <f>IFERROR(__xludf.DUMMYFUNCTION("vlookup($D340,IMPORTRANGE(""https://docs.google.com/spreadsheets/d/1swGwZOEqYlTEUCJLY-eeJM1911Kvaei5oySBIxdgtNo/edit?pli=1#gid=257618397"",""stock FAKTUR!B:q""),16,false)"),"BOX")</f>
        <v>BOX</v>
      </c>
      <c r="M340" s="147">
        <v>37200.0</v>
      </c>
      <c r="N340" s="152">
        <v>0.125</v>
      </c>
      <c r="O340" s="147">
        <f t="shared" si="94"/>
        <v>2343600</v>
      </c>
      <c r="P340" s="147" t="str">
        <f t="shared" si="3"/>
        <v>Rp37,200-72 BOX-12.50%</v>
      </c>
      <c r="Q340" s="149">
        <v>45416.0</v>
      </c>
      <c r="R340" s="150"/>
      <c r="S340" s="149">
        <v>45418.0</v>
      </c>
      <c r="T340" s="151"/>
      <c r="U340" s="151"/>
      <c r="V340" s="151"/>
      <c r="W340" s="151"/>
    </row>
    <row r="341">
      <c r="A341" s="142">
        <v>4706.0</v>
      </c>
      <c r="B341" s="143" t="s">
        <v>58</v>
      </c>
      <c r="C341" s="143" t="s">
        <v>4601</v>
      </c>
      <c r="D341" s="145" t="s">
        <v>4602</v>
      </c>
      <c r="E341" s="145" t="str">
        <f>IFERROR(__xludf.DUMMYFUNCTION("vlookup(D341,IMPORTRANGE(""https://docs.google.com/spreadsheets/d/1swGwZOEqYlTEUCJLY-eeJM1911Kvaei5oySBIxdgtNo/edit?pli=1#gid=257618397"",""stock FAKTUR!B:C""),2,false)"),"PW KENKO CP-12FNW NON WOOD 12W")</f>
        <v>PW KENKO CP-12FNW NON WOOD 12W</v>
      </c>
      <c r="F341" s="53" t="str">
        <f>IFERROR(__xludf.DUMMYFUNCTION("vlookup($D341,IMPORTRANGE(""https://docs.google.com/spreadsheets/d/1swGwZOEqYlTEUCJLY-eeJM1911Kvaei5oySBIxdgtNo/edit?pli=1#gid=257618397"",""stock FAKTUR!B:d""),3,false)"),"")</f>
        <v/>
      </c>
      <c r="G341" s="53" t="str">
        <f>IFERROR(__xludf.DUMMYFUNCTION("vlookup($D341,IMPORTRANGE(""https://docs.google.com/spreadsheets/d/1swGwZOEqYlTEUCJLY-eeJM1911Kvaei5oySBIxdgtNo/edit?pli=1#gid=257618397"",""stock FAKTUR!B:e""),4,false)"),"12W")</f>
        <v>12W</v>
      </c>
      <c r="H341" s="53" t="str">
        <f>IFERROR(__xludf.DUMMYFUNCTION("vlookup($D341,IMPORTRANGE(""https://docs.google.com/spreadsheets/d/1swGwZOEqYlTEUCJLY-eeJM1911Kvaei5oySBIxdgtNo/edit?pli=1#gid=257618397"",""stock FAKTUR!B:F""),5,false)"),"KN")</f>
        <v>KN</v>
      </c>
      <c r="I341" s="53" t="str">
        <f>IFERROR(__xludf.DUMMYFUNCTION("vlookup($D341,IMPORTRANGE(""https://docs.google.com/spreadsheets/d/1swGwZOEqYlTEUCJLY-eeJM1911Kvaei5oySBIxdgtNo/edit?pli=1#gid=257618397"",""stock FAKTUR!B:G""),6,false)"),"CP-12FNW")</f>
        <v>CP-12FNW</v>
      </c>
      <c r="J341" s="120" t="str">
        <f t="shared" si="25"/>
        <v>ADA</v>
      </c>
      <c r="K341" s="142">
        <v>24.0</v>
      </c>
      <c r="L341" s="145" t="str">
        <f>IFERROR(__xludf.DUMMYFUNCTION("vlookup($D341,IMPORTRANGE(""https://docs.google.com/spreadsheets/d/1swGwZOEqYlTEUCJLY-eeJM1911Kvaei5oySBIxdgtNo/edit?pli=1#gid=257618397"",""stock FAKTUR!B:q""),16,false)"),"LSN")</f>
        <v>LSN</v>
      </c>
      <c r="M341" s="147">
        <v>102000.0</v>
      </c>
      <c r="N341" s="152">
        <v>0.125</v>
      </c>
      <c r="O341" s="147">
        <f t="shared" si="94"/>
        <v>2142000</v>
      </c>
      <c r="P341" s="147" t="str">
        <f t="shared" si="3"/>
        <v>Rp102,000-24 LSN-12.50%</v>
      </c>
      <c r="Q341" s="149">
        <v>45416.0</v>
      </c>
      <c r="R341" s="150"/>
      <c r="S341" s="149">
        <v>45418.0</v>
      </c>
      <c r="T341" s="151"/>
      <c r="U341" s="151"/>
      <c r="V341" s="151"/>
      <c r="W341" s="151"/>
    </row>
    <row r="342">
      <c r="A342" s="142">
        <v>4708.0</v>
      </c>
      <c r="B342" s="143" t="s">
        <v>33</v>
      </c>
      <c r="C342" s="143" t="s">
        <v>4464</v>
      </c>
      <c r="D342" s="145" t="s">
        <v>4603</v>
      </c>
      <c r="E342" s="145" t="str">
        <f>IFERROR(__xludf.DUMMYFUNCTION("vlookup(D342,IMPORTRANGE(""https://docs.google.com/spreadsheets/d/1swGwZOEqYlTEUCJLY-eeJM1911Kvaei5oySBIxdgtNo/edit?pli=1#gid=257618397"",""stock FAKTUR!B:C""),2,false)"),"OIL PASTEL JK 12W OP-12CH HEXAGONAL")</f>
        <v>OIL PASTEL JK 12W OP-12CH HEXAGONAL</v>
      </c>
      <c r="F342" s="53" t="str">
        <f>IFERROR(__xludf.DUMMYFUNCTION("vlookup($D342,IMPORTRANGE(""https://docs.google.com/spreadsheets/d/1swGwZOEqYlTEUCJLY-eeJM1911Kvaei5oySBIxdgtNo/edit?pli=1#gid=257618397"",""stock FAKTUR!B:d""),3,false)"),"")</f>
        <v/>
      </c>
      <c r="G342" s="53" t="str">
        <f>IFERROR(__xludf.DUMMYFUNCTION("vlookup($D342,IMPORTRANGE(""https://docs.google.com/spreadsheets/d/1swGwZOEqYlTEUCJLY-eeJM1911Kvaei5oySBIxdgtNo/edit?pli=1#gid=257618397"",""stock FAKTUR!B:e""),4,false)"),"")</f>
        <v/>
      </c>
      <c r="H342" s="53" t="str">
        <f>IFERROR(__xludf.DUMMYFUNCTION("vlookup($D342,IMPORTRANGE(""https://docs.google.com/spreadsheets/d/1swGwZOEqYlTEUCJLY-eeJM1911Kvaei5oySBIxdgtNo/edit?pli=1#gid=257618397"",""stock FAKTUR!B:F""),5,false)"),"JK")</f>
        <v>JK</v>
      </c>
      <c r="I342" s="53" t="str">
        <f>IFERROR(__xludf.DUMMYFUNCTION("vlookup($D342,IMPORTRANGE(""https://docs.google.com/spreadsheets/d/1swGwZOEqYlTEUCJLY-eeJM1911Kvaei5oySBIxdgtNo/edit?pli=1#gid=257618397"",""stock FAKTUR!B:G""),6,false)"),"")</f>
        <v/>
      </c>
      <c r="J342" s="120" t="str">
        <f t="shared" si="25"/>
        <v>ADA</v>
      </c>
      <c r="K342" s="142">
        <f>144/12</f>
        <v>12</v>
      </c>
      <c r="L342" s="145" t="str">
        <f>IFERROR(__xludf.DUMMYFUNCTION("vlookup($D342,IMPORTRANGE(""https://docs.google.com/spreadsheets/d/1swGwZOEqYlTEUCJLY-eeJM1911Kvaei5oySBIxdgtNo/edit?pli=1#gid=257618397"",""stock FAKTUR!B:q""),16,false)"),"LSN")</f>
        <v>LSN</v>
      </c>
      <c r="M342" s="147">
        <f>11300*12</f>
        <v>135600</v>
      </c>
      <c r="N342" s="152">
        <v>0.125</v>
      </c>
      <c r="O342" s="147">
        <f t="shared" si="94"/>
        <v>1423800</v>
      </c>
      <c r="P342" s="147" t="str">
        <f t="shared" si="3"/>
        <v>Rp135,600-12 LSN-12.50%</v>
      </c>
      <c r="Q342" s="149">
        <v>45416.0</v>
      </c>
      <c r="R342" s="150"/>
      <c r="S342" s="149">
        <v>45418.0</v>
      </c>
      <c r="T342" s="151"/>
      <c r="U342" s="151"/>
      <c r="V342" s="151"/>
      <c r="W342" s="151"/>
    </row>
    <row r="343">
      <c r="A343" s="142">
        <v>4707.0</v>
      </c>
      <c r="B343" s="143" t="s">
        <v>33</v>
      </c>
      <c r="C343" s="143" t="s">
        <v>2434</v>
      </c>
      <c r="D343" s="151" t="s">
        <v>4604</v>
      </c>
      <c r="E343" s="145" t="str">
        <f>IFERROR(__xludf.DUMMYFUNCTION("vlookup(D343,IMPORTRANGE(""https://docs.google.com/spreadsheets/d/1swGwZOEqYlTEUCJLY-eeJM1911Kvaei5oySBIxdgtNo/edit?pli=1#gid=257618397"",""stock FAKTUR!B:C""),2,false)"),"POCKET NOTE KENKO PN-501")</f>
        <v>POCKET NOTE KENKO PN-501</v>
      </c>
      <c r="F343" s="53" t="str">
        <f>IFERROR(__xludf.DUMMYFUNCTION("vlookup($D343,IMPORTRANGE(""https://docs.google.com/spreadsheets/d/1swGwZOEqYlTEUCJLY-eeJM1911Kvaei5oySBIxdgtNo/edit?pli=1#gid=257618397"",""stock FAKTUR!B:d""),3,false)"),"")</f>
        <v/>
      </c>
      <c r="G343" s="53" t="str">
        <f>IFERROR(__xludf.DUMMYFUNCTION("vlookup($D343,IMPORTRANGE(""https://docs.google.com/spreadsheets/d/1swGwZOEqYlTEUCJLY-eeJM1911Kvaei5oySBIxdgtNo/edit?pli=1#gid=257618397"",""stock FAKTUR!B:e""),4,false)"),"")</f>
        <v/>
      </c>
      <c r="H343" s="53" t="str">
        <f>IFERROR(__xludf.DUMMYFUNCTION("vlookup($D343,IMPORTRANGE(""https://docs.google.com/spreadsheets/d/1swGwZOEqYlTEUCJLY-eeJM1911Kvaei5oySBIxdgtNo/edit?pli=1#gid=257618397"",""stock FAKTUR!B:F""),5,false)"),"KN")</f>
        <v>KN</v>
      </c>
      <c r="I343" s="53" t="str">
        <f>IFERROR(__xludf.DUMMYFUNCTION("vlookup($D343,IMPORTRANGE(""https://docs.google.com/spreadsheets/d/1swGwZOEqYlTEUCJLY-eeJM1911Kvaei5oySBIxdgtNo/edit?pli=1#gid=257618397"",""stock FAKTUR!B:G""),6,false)"),"PN-501")</f>
        <v>PN-501</v>
      </c>
      <c r="J343" s="120" t="str">
        <f t="shared" si="25"/>
        <v>ADA</v>
      </c>
      <c r="K343" s="142">
        <v>12.0</v>
      </c>
      <c r="L343" s="145" t="str">
        <f>IFERROR(__xludf.DUMMYFUNCTION("vlookup($D343,IMPORTRANGE(""https://docs.google.com/spreadsheets/d/1swGwZOEqYlTEUCJLY-eeJM1911Kvaei5oySBIxdgtNo/edit?pli=1#gid=257618397"",""stock FAKTUR!B:q""),16,false)"),"LSN")</f>
        <v>LSN</v>
      </c>
      <c r="M343" s="147">
        <v>135000.0</v>
      </c>
      <c r="N343" s="152">
        <v>0.125</v>
      </c>
      <c r="O343" s="147">
        <f t="shared" si="94"/>
        <v>1417500</v>
      </c>
      <c r="P343" s="147" t="str">
        <f t="shared" si="3"/>
        <v>Rp135,000-12 LSN-12.50%</v>
      </c>
      <c r="Q343" s="149">
        <v>45416.0</v>
      </c>
      <c r="R343" s="150"/>
      <c r="S343" s="149">
        <v>45418.0</v>
      </c>
      <c r="T343" s="151"/>
      <c r="U343" s="151"/>
      <c r="V343" s="151"/>
      <c r="W343" s="151"/>
    </row>
    <row r="344">
      <c r="A344" s="142">
        <v>2928.0</v>
      </c>
      <c r="B344" s="143" t="s">
        <v>33</v>
      </c>
      <c r="C344" s="143" t="s">
        <v>2243</v>
      </c>
      <c r="D344" s="145" t="s">
        <v>4597</v>
      </c>
      <c r="E344" s="145" t="str">
        <f>IFERROR(__xludf.DUMMYFUNCTION("vlookup(D344,IMPORTRANGE(""https://docs.google.com/spreadsheets/d/1swGwZOEqYlTEUCJLY-eeJM1911Kvaei5oySBIxdgtNo/edit?pli=1#gid=257618397"",""stock FAKTUR!B:C""),2,false)"),"GUNTING JK SC-828")</f>
        <v>GUNTING JK SC-828</v>
      </c>
      <c r="F344" s="53" t="str">
        <f>IFERROR(__xludf.DUMMYFUNCTION("vlookup($D344,IMPORTRANGE(""https://docs.google.com/spreadsheets/d/1swGwZOEqYlTEUCJLY-eeJM1911Kvaei5oySBIxdgtNo/edit?pli=1#gid=257618397"",""stock FAKTUR!B:d""),3,false)"),"")</f>
        <v/>
      </c>
      <c r="G344" s="53" t="str">
        <f>IFERROR(__xludf.DUMMYFUNCTION("vlookup($D344,IMPORTRANGE(""https://docs.google.com/spreadsheets/d/1swGwZOEqYlTEUCJLY-eeJM1911Kvaei5oySBIxdgtNo/edit?pli=1#gid=257618397"",""stock FAKTUR!B:e""),4,false)"),"")</f>
        <v/>
      </c>
      <c r="H344" s="53" t="str">
        <f>IFERROR(__xludf.DUMMYFUNCTION("vlookup($D344,IMPORTRANGE(""https://docs.google.com/spreadsheets/d/1swGwZOEqYlTEUCJLY-eeJM1911Kvaei5oySBIxdgtNo/edit?pli=1#gid=257618397"",""stock FAKTUR!B:F""),5,false)"),"JK")</f>
        <v>JK</v>
      </c>
      <c r="I344" s="53" t="str">
        <f>IFERROR(__xludf.DUMMYFUNCTION("vlookup($D344,IMPORTRANGE(""https://docs.google.com/spreadsheets/d/1swGwZOEqYlTEUCJLY-eeJM1911Kvaei5oySBIxdgtNo/edit?pli=1#gid=257618397"",""stock FAKTUR!B:G""),6,false)"),"SC-828")</f>
        <v>SC-828</v>
      </c>
      <c r="J344" s="120" t="str">
        <f t="shared" si="25"/>
        <v>ADA</v>
      </c>
      <c r="K344" s="142">
        <f t="shared" ref="K344:K346" si="101">576/12</f>
        <v>48</v>
      </c>
      <c r="L344" s="145" t="str">
        <f>IFERROR(__xludf.DUMMYFUNCTION("vlookup($D344,IMPORTRANGE(""https://docs.google.com/spreadsheets/d/1swGwZOEqYlTEUCJLY-eeJM1911Kvaei5oySBIxdgtNo/edit?pli=1#gid=257618397"",""stock FAKTUR!B:q""),16,false)"),"LSN")</f>
        <v>LSN</v>
      </c>
      <c r="M344" s="147">
        <f>4350*12</f>
        <v>52200</v>
      </c>
      <c r="N344" s="152">
        <v>0.125</v>
      </c>
      <c r="O344" s="147">
        <f t="shared" si="94"/>
        <v>2192400</v>
      </c>
      <c r="P344" s="147" t="str">
        <f t="shared" si="3"/>
        <v>Rp52,200-48 LSN-12.50%</v>
      </c>
      <c r="Q344" s="149">
        <v>45416.0</v>
      </c>
      <c r="R344" s="150"/>
      <c r="S344" s="149">
        <v>45418.0</v>
      </c>
      <c r="T344" s="151"/>
      <c r="U344" s="151"/>
      <c r="V344" s="151"/>
      <c r="W344" s="151"/>
    </row>
    <row r="345">
      <c r="A345" s="142">
        <v>2928.0</v>
      </c>
      <c r="B345" s="143" t="str">
        <f t="shared" ref="B345:B346" si="102">IF(A345=A344,B344,"")</f>
        <v>H</v>
      </c>
      <c r="C345" s="143" t="str">
        <f t="shared" ref="C345:C346" si="103">IF(A345=A344,C344,"")</f>
        <v>MANGGALA SAKTI-MALANG</v>
      </c>
      <c r="D345" s="145" t="s">
        <v>4605</v>
      </c>
      <c r="E345" s="145" t="str">
        <f>IFERROR(__xludf.DUMMYFUNCTION("vlookup(D345,IMPORTRANGE(""https://docs.google.com/spreadsheets/d/1swGwZOEqYlTEUCJLY-eeJM1911Kvaei5oySBIxdgtNo/edit?pli=1#gid=257618397"",""stock FAKTUR!B:C""),2,false)"),"GUNTING JK SC-838")</f>
        <v>GUNTING JK SC-838</v>
      </c>
      <c r="F345" s="53" t="str">
        <f>IFERROR(__xludf.DUMMYFUNCTION("vlookup($D345,IMPORTRANGE(""https://docs.google.com/spreadsheets/d/1swGwZOEqYlTEUCJLY-eeJM1911Kvaei5oySBIxdgtNo/edit?pli=1#gid=257618397"",""stock FAKTUR!B:d""),3,false)"),"")</f>
        <v/>
      </c>
      <c r="G345" s="53" t="str">
        <f>IFERROR(__xludf.DUMMYFUNCTION("vlookup($D345,IMPORTRANGE(""https://docs.google.com/spreadsheets/d/1swGwZOEqYlTEUCJLY-eeJM1911Kvaei5oySBIxdgtNo/edit?pli=1#gid=257618397"",""stock FAKTUR!B:e""),4,false)"),"")</f>
        <v/>
      </c>
      <c r="H345" s="53" t="str">
        <f>IFERROR(__xludf.DUMMYFUNCTION("vlookup($D345,IMPORTRANGE(""https://docs.google.com/spreadsheets/d/1swGwZOEqYlTEUCJLY-eeJM1911Kvaei5oySBIxdgtNo/edit?pli=1#gid=257618397"",""stock FAKTUR!B:F""),5,false)"),"JK")</f>
        <v>JK</v>
      </c>
      <c r="I345" s="53" t="str">
        <f>IFERROR(__xludf.DUMMYFUNCTION("vlookup($D345,IMPORTRANGE(""https://docs.google.com/spreadsheets/d/1swGwZOEqYlTEUCJLY-eeJM1911Kvaei5oySBIxdgtNo/edit?pli=1#gid=257618397"",""stock FAKTUR!B:G""),6,false)"),"SC-838")</f>
        <v>SC-838</v>
      </c>
      <c r="J345" s="120" t="str">
        <f t="shared" si="25"/>
        <v>ADA</v>
      </c>
      <c r="K345" s="142">
        <f t="shared" si="101"/>
        <v>48</v>
      </c>
      <c r="L345" s="145" t="str">
        <f>IFERROR(__xludf.DUMMYFUNCTION("vlookup($D345,IMPORTRANGE(""https://docs.google.com/spreadsheets/d/1swGwZOEqYlTEUCJLY-eeJM1911Kvaei5oySBIxdgtNo/edit?pli=1#gid=257618397"",""stock FAKTUR!B:q""),16,false)"),"LSN")</f>
        <v>LSN</v>
      </c>
      <c r="M345" s="147">
        <f>6500*12</f>
        <v>78000</v>
      </c>
      <c r="N345" s="152">
        <v>0.125</v>
      </c>
      <c r="O345" s="147">
        <f t="shared" si="94"/>
        <v>3276000</v>
      </c>
      <c r="P345" s="147" t="str">
        <f t="shared" si="3"/>
        <v>Rp78,000-48 LSN-12.50%</v>
      </c>
      <c r="Q345" s="149">
        <v>45416.0</v>
      </c>
      <c r="R345" s="150"/>
      <c r="S345" s="149">
        <v>45418.0</v>
      </c>
      <c r="T345" s="151"/>
      <c r="U345" s="151"/>
      <c r="V345" s="151"/>
      <c r="W345" s="151"/>
    </row>
    <row r="346">
      <c r="A346" s="142">
        <v>2928.0</v>
      </c>
      <c r="B346" s="143" t="str">
        <f t="shared" si="102"/>
        <v>H</v>
      </c>
      <c r="C346" s="143" t="str">
        <f t="shared" si="103"/>
        <v>MANGGALA SAKTI-MALANG</v>
      </c>
      <c r="D346" s="145" t="s">
        <v>4606</v>
      </c>
      <c r="E346" s="145" t="str">
        <f>IFERROR(__xludf.DUMMYFUNCTION("vlookup(D346,IMPORTRANGE(""https://docs.google.com/spreadsheets/d/1swGwZOEqYlTEUCJLY-eeJM1911Kvaei5oySBIxdgtNo/edit?pli=1#gid=257618397"",""stock FAKTUR!B:C""),2,false)"),"GUNTING JK SC-848")</f>
        <v>GUNTING JK SC-848</v>
      </c>
      <c r="F346" s="53" t="str">
        <f>IFERROR(__xludf.DUMMYFUNCTION("vlookup($D346,IMPORTRANGE(""https://docs.google.com/spreadsheets/d/1swGwZOEqYlTEUCJLY-eeJM1911Kvaei5oySBIxdgtNo/edit?pli=1#gid=257618397"",""stock FAKTUR!B:d""),3,false)"),"")</f>
        <v/>
      </c>
      <c r="G346" s="53" t="str">
        <f>IFERROR(__xludf.DUMMYFUNCTION("vlookup($D346,IMPORTRANGE(""https://docs.google.com/spreadsheets/d/1swGwZOEqYlTEUCJLY-eeJM1911Kvaei5oySBIxdgtNo/edit?pli=1#gid=257618397"",""stock FAKTUR!B:e""),4,false)"),"")</f>
        <v/>
      </c>
      <c r="H346" s="53" t="str">
        <f>IFERROR(__xludf.DUMMYFUNCTION("vlookup($D346,IMPORTRANGE(""https://docs.google.com/spreadsheets/d/1swGwZOEqYlTEUCJLY-eeJM1911Kvaei5oySBIxdgtNo/edit?pli=1#gid=257618397"",""stock FAKTUR!B:F""),5,false)"),"JK")</f>
        <v>JK</v>
      </c>
      <c r="I346" s="53" t="str">
        <f>IFERROR(__xludf.DUMMYFUNCTION("vlookup($D346,IMPORTRANGE(""https://docs.google.com/spreadsheets/d/1swGwZOEqYlTEUCJLY-eeJM1911Kvaei5oySBIxdgtNo/edit?pli=1#gid=257618397"",""stock FAKTUR!B:G""),6,false)"),"SC-848")</f>
        <v>SC-848</v>
      </c>
      <c r="J346" s="120" t="str">
        <f t="shared" si="25"/>
        <v>ADA</v>
      </c>
      <c r="K346" s="142">
        <f t="shared" si="101"/>
        <v>48</v>
      </c>
      <c r="L346" s="145" t="str">
        <f>IFERROR(__xludf.DUMMYFUNCTION("vlookup($D346,IMPORTRANGE(""https://docs.google.com/spreadsheets/d/1swGwZOEqYlTEUCJLY-eeJM1911Kvaei5oySBIxdgtNo/edit?pli=1#gid=257618397"",""stock FAKTUR!B:q""),16,false)"),"LSN")</f>
        <v>LSN</v>
      </c>
      <c r="M346" s="147">
        <f>9750*12</f>
        <v>117000</v>
      </c>
      <c r="N346" s="152">
        <v>0.125</v>
      </c>
      <c r="O346" s="147">
        <f t="shared" si="94"/>
        <v>4914000</v>
      </c>
      <c r="P346" s="147" t="str">
        <f t="shared" si="3"/>
        <v>Rp117,000-48 LSN-12.50%</v>
      </c>
      <c r="Q346" s="149">
        <v>45416.0</v>
      </c>
      <c r="R346" s="150"/>
      <c r="S346" s="149">
        <v>45418.0</v>
      </c>
      <c r="T346" s="151"/>
      <c r="U346" s="151"/>
      <c r="V346" s="151"/>
      <c r="W346" s="151"/>
    </row>
    <row r="347">
      <c r="A347" s="142">
        <v>4710.0</v>
      </c>
      <c r="B347" s="143" t="s">
        <v>33</v>
      </c>
      <c r="C347" s="143" t="s">
        <v>4607</v>
      </c>
      <c r="D347" s="145" t="s">
        <v>4608</v>
      </c>
      <c r="E347" s="145" t="str">
        <f>IFERROR(__xludf.DUMMYFUNCTION("vlookup(D347,IMPORTRANGE(""https://docs.google.com/spreadsheets/d/1swGwZOEqYlTEUCJLY-eeJM1911Kvaei5oySBIxdgtNo/edit?pli=1#gid=257618397"",""stock FAKTUR!B:C""),2,false)"),"BP GEL KENKO EASY BIRU")</f>
        <v>BP GEL KENKO EASY BIRU</v>
      </c>
      <c r="F347" s="53" t="str">
        <f>IFERROR(__xludf.DUMMYFUNCTION("vlookup($D347,IMPORTRANGE(""https://docs.google.com/spreadsheets/d/1swGwZOEqYlTEUCJLY-eeJM1911Kvaei5oySBIxdgtNo/edit?pli=1#gid=257618397"",""stock FAKTUR!B:d""),3,false)"),"")</f>
        <v/>
      </c>
      <c r="G347" s="53" t="str">
        <f>IFERROR(__xludf.DUMMYFUNCTION("vlookup($D347,IMPORTRANGE(""https://docs.google.com/spreadsheets/d/1swGwZOEqYlTEUCJLY-eeJM1911Kvaei5oySBIxdgtNo/edit?pli=1#gid=257618397"",""stock FAKTUR!B:e""),4,false)"),"BIRU")</f>
        <v>BIRU</v>
      </c>
      <c r="H347" s="53" t="str">
        <f>IFERROR(__xludf.DUMMYFUNCTION("vlookup($D347,IMPORTRANGE(""https://docs.google.com/spreadsheets/d/1swGwZOEqYlTEUCJLY-eeJM1911Kvaei5oySBIxdgtNo/edit?pli=1#gid=257618397"",""stock FAKTUR!B:F""),5,false)"),"KN")</f>
        <v>KN</v>
      </c>
      <c r="I347" s="53" t="str">
        <f>IFERROR(__xludf.DUMMYFUNCTION("vlookup($D347,IMPORTRANGE(""https://docs.google.com/spreadsheets/d/1swGwZOEqYlTEUCJLY-eeJM1911Kvaei5oySBIxdgtNo/edit?pli=1#gid=257618397"",""stock FAKTUR!B:G""),6,false)"),"")</f>
        <v/>
      </c>
      <c r="J347" s="120" t="str">
        <f t="shared" si="25"/>
        <v>ADA</v>
      </c>
      <c r="K347" s="142">
        <v>144.0</v>
      </c>
      <c r="L347" s="145" t="str">
        <f>IFERROR(__xludf.DUMMYFUNCTION("vlookup($D347,IMPORTRANGE(""https://docs.google.com/spreadsheets/d/1swGwZOEqYlTEUCJLY-eeJM1911Kvaei5oySBIxdgtNo/edit?pli=1#gid=257618397"",""stock FAKTUR!B:q""),16,false)"),"LSN")</f>
        <v>LSN</v>
      </c>
      <c r="M347" s="147">
        <v>26100.0</v>
      </c>
      <c r="N347" s="152">
        <v>0.135</v>
      </c>
      <c r="O347" s="147">
        <f t="shared" si="94"/>
        <v>3251016</v>
      </c>
      <c r="P347" s="147" t="str">
        <f t="shared" si="3"/>
        <v>Rp26,100-144 LSN-13.50%</v>
      </c>
      <c r="Q347" s="149">
        <v>45416.0</v>
      </c>
      <c r="R347" s="150"/>
      <c r="S347" s="149">
        <v>45418.0</v>
      </c>
      <c r="T347" s="151"/>
      <c r="U347" s="151"/>
      <c r="V347" s="151"/>
      <c r="W347" s="151"/>
    </row>
    <row r="348">
      <c r="A348" s="142">
        <v>4710.0</v>
      </c>
      <c r="B348" s="143" t="str">
        <f t="shared" ref="B348:B352" si="104">IF(A348=A347,B347,"")</f>
        <v>H</v>
      </c>
      <c r="C348" s="143" t="str">
        <f t="shared" ref="C348:C352" si="105">IF(A348=A347,C347,"")</f>
        <v>ANUGRAH SEJAHTERA-PURWOKERTO</v>
      </c>
      <c r="D348" s="145" t="s">
        <v>4457</v>
      </c>
      <c r="E348" s="145" t="str">
        <f>IFERROR(__xludf.DUMMYFUNCTION("vlookup(D348,IMPORTRANGE(""https://docs.google.com/spreadsheets/d/1swGwZOEqYlTEUCJLY-eeJM1911Kvaei5oySBIxdgtNo/edit?pli=1#gid=257618397"",""stock FAKTUR!B:C""),2,false)"),"PENSIL KENKO 2B-6191 HIJAU CAP HITAM")</f>
        <v>PENSIL KENKO 2B-6191 HIJAU CAP HITAM</v>
      </c>
      <c r="F348" s="53" t="str">
        <f>IFERROR(__xludf.DUMMYFUNCTION("vlookup($D348,IMPORTRANGE(""https://docs.google.com/spreadsheets/d/1swGwZOEqYlTEUCJLY-eeJM1911Kvaei5oySBIxdgtNo/edit?pli=1#gid=257618397"",""stock FAKTUR!B:d""),3,false)"),"")</f>
        <v/>
      </c>
      <c r="G348" s="53" t="str">
        <f>IFERROR(__xludf.DUMMYFUNCTION("vlookup($D348,IMPORTRANGE(""https://docs.google.com/spreadsheets/d/1swGwZOEqYlTEUCJLY-eeJM1911Kvaei5oySBIxdgtNo/edit?pli=1#gid=257618397"",""stock FAKTUR!B:e""),4,false)"),"HIJAU")</f>
        <v>HIJAU</v>
      </c>
      <c r="H348" s="53" t="str">
        <f>IFERROR(__xludf.DUMMYFUNCTION("vlookup($D348,IMPORTRANGE(""https://docs.google.com/spreadsheets/d/1swGwZOEqYlTEUCJLY-eeJM1911Kvaei5oySBIxdgtNo/edit?pli=1#gid=257618397"",""stock FAKTUR!B:F""),5,false)"),"KN")</f>
        <v>KN</v>
      </c>
      <c r="I348" s="53" t="str">
        <f>IFERROR(__xludf.DUMMYFUNCTION("vlookup($D348,IMPORTRANGE(""https://docs.google.com/spreadsheets/d/1swGwZOEqYlTEUCJLY-eeJM1911Kvaei5oySBIxdgtNo/edit?pli=1#gid=257618397"",""stock FAKTUR!B:G""),6,false)"),"PCL-008AK")</f>
        <v>PCL-008AK</v>
      </c>
      <c r="J348" s="120" t="str">
        <f t="shared" si="25"/>
        <v>ADA</v>
      </c>
      <c r="K348" s="142">
        <v>40.0</v>
      </c>
      <c r="L348" s="145" t="str">
        <f>IFERROR(__xludf.DUMMYFUNCTION("vlookup($D348,IMPORTRANGE(""https://docs.google.com/spreadsheets/d/1swGwZOEqYlTEUCJLY-eeJM1911Kvaei5oySBIxdgtNo/edit?pli=1#gid=257618397"",""stock FAKTUR!B:q""),16,false)"),"GRS")</f>
        <v>GRS</v>
      </c>
      <c r="M348" s="147">
        <v>110400.0</v>
      </c>
      <c r="N348" s="152">
        <v>0.135</v>
      </c>
      <c r="O348" s="147">
        <f t="shared" si="94"/>
        <v>3819840</v>
      </c>
      <c r="P348" s="147" t="str">
        <f t="shared" si="3"/>
        <v>Rp110,400-40 GRS-13.50%</v>
      </c>
      <c r="Q348" s="149">
        <v>45416.0</v>
      </c>
      <c r="R348" s="150"/>
      <c r="S348" s="149">
        <v>45418.0</v>
      </c>
      <c r="T348" s="151"/>
      <c r="U348" s="151"/>
      <c r="V348" s="151"/>
      <c r="W348" s="151"/>
    </row>
    <row r="349">
      <c r="A349" s="142">
        <v>4710.0</v>
      </c>
      <c r="B349" s="143" t="str">
        <f t="shared" si="104"/>
        <v>H</v>
      </c>
      <c r="C349" s="143" t="str">
        <f t="shared" si="105"/>
        <v>ANUGRAH SEJAHTERA-PURWOKERTO</v>
      </c>
      <c r="D349" s="145" t="s">
        <v>4609</v>
      </c>
      <c r="E349" s="145" t="str">
        <f>IFERROR(__xludf.DUMMYFUNCTION("vlookup(D349,IMPORTRANGE(""https://docs.google.com/spreadsheets/d/1swGwZOEqYlTEUCJLY-eeJM1911Kvaei5oySBIxdgtNo/edit?pli=1#gid=257618397"",""stock FAKTUR!B:C""),2,false)"),"STABILLO HIGHLIGHTER KENKO HL-100 HIJAU")</f>
        <v>STABILLO HIGHLIGHTER KENKO HL-100 HIJAU</v>
      </c>
      <c r="F349" s="53" t="str">
        <f>IFERROR(__xludf.DUMMYFUNCTION("vlookup($D349,IMPORTRANGE(""https://docs.google.com/spreadsheets/d/1swGwZOEqYlTEUCJLY-eeJM1911Kvaei5oySBIxdgtNo/edit?pli=1#gid=257618397"",""stock FAKTUR!B:d""),3,false)"),"")</f>
        <v/>
      </c>
      <c r="G349" s="53" t="str">
        <f>IFERROR(__xludf.DUMMYFUNCTION("vlookup($D349,IMPORTRANGE(""https://docs.google.com/spreadsheets/d/1swGwZOEqYlTEUCJLY-eeJM1911Kvaei5oySBIxdgtNo/edit?pli=1#gid=257618397"",""stock FAKTUR!B:e""),4,false)"),"HIJAU")</f>
        <v>HIJAU</v>
      </c>
      <c r="H349" s="53" t="str">
        <f>IFERROR(__xludf.DUMMYFUNCTION("vlookup($D349,IMPORTRANGE(""https://docs.google.com/spreadsheets/d/1swGwZOEqYlTEUCJLY-eeJM1911Kvaei5oySBIxdgtNo/edit?pli=1#gid=257618397"",""stock FAKTUR!B:F""),5,false)"),"KN")</f>
        <v>KN</v>
      </c>
      <c r="I349" s="53" t="str">
        <f>IFERROR(__xludf.DUMMYFUNCTION("vlookup($D349,IMPORTRANGE(""https://docs.google.com/spreadsheets/d/1swGwZOEqYlTEUCJLY-eeJM1911Kvaei5oySBIxdgtNo/edit?pli=1#gid=257618397"",""stock FAKTUR!B:G""),6,false)"),"")</f>
        <v/>
      </c>
      <c r="J349" s="120" t="str">
        <f t="shared" si="25"/>
        <v>ADA</v>
      </c>
      <c r="K349" s="142">
        <v>480.0</v>
      </c>
      <c r="L349" s="145" t="str">
        <f>IFERROR(__xludf.DUMMYFUNCTION("vlookup($D349,IMPORTRANGE(""https://docs.google.com/spreadsheets/d/1swGwZOEqYlTEUCJLY-eeJM1911Kvaei5oySBIxdgtNo/edit?pli=1#gid=257618397"",""stock FAKTUR!B:q""),16,false)"),"PCS")</f>
        <v>PCS</v>
      </c>
      <c r="M349" s="147">
        <v>3050.0</v>
      </c>
      <c r="N349" s="152">
        <v>0.135</v>
      </c>
      <c r="O349" s="147">
        <f t="shared" si="94"/>
        <v>1266360</v>
      </c>
      <c r="P349" s="147" t="str">
        <f t="shared" si="3"/>
        <v>Rp3,050-480 PCS-13.50%</v>
      </c>
      <c r="Q349" s="149">
        <v>45416.0</v>
      </c>
      <c r="R349" s="150"/>
      <c r="S349" s="149">
        <v>45418.0</v>
      </c>
      <c r="T349" s="151"/>
      <c r="U349" s="151"/>
      <c r="V349" s="151"/>
      <c r="W349" s="151"/>
    </row>
    <row r="350">
      <c r="A350" s="142">
        <v>4710.0</v>
      </c>
      <c r="B350" s="143" t="str">
        <f t="shared" si="104"/>
        <v>H</v>
      </c>
      <c r="C350" s="143" t="str">
        <f t="shared" si="105"/>
        <v>ANUGRAH SEJAHTERA-PURWOKERTO</v>
      </c>
      <c r="D350" s="145" t="s">
        <v>4610</v>
      </c>
      <c r="E350" s="145" t="str">
        <f>IFERROR(__xludf.DUMMYFUNCTION("vlookup(D350,IMPORTRANGE(""https://docs.google.com/spreadsheets/d/1swGwZOEqYlTEUCJLY-eeJM1911Kvaei5oySBIxdgtNo/edit?pli=1#gid=257618397"",""stock FAKTUR!B:C""),2,false)"),"STABILLO HIGHLIGHTER KENKO HL-100 PINK")</f>
        <v>STABILLO HIGHLIGHTER KENKO HL-100 PINK</v>
      </c>
      <c r="F350" s="53" t="str">
        <f>IFERROR(__xludf.DUMMYFUNCTION("vlookup($D350,IMPORTRANGE(""https://docs.google.com/spreadsheets/d/1swGwZOEqYlTEUCJLY-eeJM1911Kvaei5oySBIxdgtNo/edit?pli=1#gid=257618397"",""stock FAKTUR!B:d""),3,false)"),"")</f>
        <v/>
      </c>
      <c r="G350" s="53" t="str">
        <f>IFERROR(__xludf.DUMMYFUNCTION("vlookup($D350,IMPORTRANGE(""https://docs.google.com/spreadsheets/d/1swGwZOEqYlTEUCJLY-eeJM1911Kvaei5oySBIxdgtNo/edit?pli=1#gid=257618397"",""stock FAKTUR!B:e""),4,false)"),"PINK")</f>
        <v>PINK</v>
      </c>
      <c r="H350" s="53" t="str">
        <f>IFERROR(__xludf.DUMMYFUNCTION("vlookup($D350,IMPORTRANGE(""https://docs.google.com/spreadsheets/d/1swGwZOEqYlTEUCJLY-eeJM1911Kvaei5oySBIxdgtNo/edit?pli=1#gid=257618397"",""stock FAKTUR!B:F""),5,false)"),"KN")</f>
        <v>KN</v>
      </c>
      <c r="I350" s="53" t="str">
        <f>IFERROR(__xludf.DUMMYFUNCTION("vlookup($D350,IMPORTRANGE(""https://docs.google.com/spreadsheets/d/1swGwZOEqYlTEUCJLY-eeJM1911Kvaei5oySBIxdgtNo/edit?pli=1#gid=257618397"",""stock FAKTUR!B:G""),6,false)"),"")</f>
        <v/>
      </c>
      <c r="J350" s="120" t="str">
        <f t="shared" si="25"/>
        <v>ADA</v>
      </c>
      <c r="K350" s="142">
        <v>480.0</v>
      </c>
      <c r="L350" s="145" t="str">
        <f>IFERROR(__xludf.DUMMYFUNCTION("vlookup($D350,IMPORTRANGE(""https://docs.google.com/spreadsheets/d/1swGwZOEqYlTEUCJLY-eeJM1911Kvaei5oySBIxdgtNo/edit?pli=1#gid=257618397"",""stock FAKTUR!B:q""),16,false)"),"PCS")</f>
        <v>PCS</v>
      </c>
      <c r="M350" s="147">
        <v>3050.0</v>
      </c>
      <c r="N350" s="152">
        <v>0.135</v>
      </c>
      <c r="O350" s="147">
        <f t="shared" si="94"/>
        <v>1266360</v>
      </c>
      <c r="P350" s="147" t="str">
        <f t="shared" si="3"/>
        <v>Rp3,050-480 PCS-13.50%</v>
      </c>
      <c r="Q350" s="149">
        <v>45416.0</v>
      </c>
      <c r="R350" s="150"/>
      <c r="S350" s="149">
        <v>45418.0</v>
      </c>
      <c r="T350" s="151"/>
      <c r="U350" s="151"/>
      <c r="V350" s="151"/>
      <c r="W350" s="151"/>
    </row>
    <row r="351">
      <c r="A351" s="142">
        <v>4710.0</v>
      </c>
      <c r="B351" s="143" t="str">
        <f t="shared" si="104"/>
        <v>H</v>
      </c>
      <c r="C351" s="143" t="str">
        <f t="shared" si="105"/>
        <v>ANUGRAH SEJAHTERA-PURWOKERTO</v>
      </c>
      <c r="D351" s="145" t="s">
        <v>4595</v>
      </c>
      <c r="E351" s="145" t="str">
        <f>IFERROR(__xludf.DUMMYFUNCTION("vlookup(D351,IMPORTRANGE(""https://docs.google.com/spreadsheets/d/1swGwZOEqYlTEUCJLY-eeJM1911Kvaei5oySBIxdgtNo/edit?pli=1#gid=257618397"",""stock FAKTUR!B:C""),2,false)"),"STIP KENKO ERW-40SQ PUTIH")</f>
        <v>STIP KENKO ERW-40SQ PUTIH</v>
      </c>
      <c r="F351" s="53" t="str">
        <f>IFERROR(__xludf.DUMMYFUNCTION("vlookup($D351,IMPORTRANGE(""https://docs.google.com/spreadsheets/d/1swGwZOEqYlTEUCJLY-eeJM1911Kvaei5oySBIxdgtNo/edit?pli=1#gid=257618397"",""stock FAKTUR!B:d""),3,false)"),"")</f>
        <v/>
      </c>
      <c r="G351" s="53" t="str">
        <f>IFERROR(__xludf.DUMMYFUNCTION("vlookup($D351,IMPORTRANGE(""https://docs.google.com/spreadsheets/d/1swGwZOEqYlTEUCJLY-eeJM1911Kvaei5oySBIxdgtNo/edit?pli=1#gid=257618397"",""stock FAKTUR!B:e""),4,false)"),"PUTIH")</f>
        <v>PUTIH</v>
      </c>
      <c r="H351" s="53" t="str">
        <f>IFERROR(__xludf.DUMMYFUNCTION("vlookup($D351,IMPORTRANGE(""https://docs.google.com/spreadsheets/d/1swGwZOEqYlTEUCJLY-eeJM1911Kvaei5oySBIxdgtNo/edit?pli=1#gid=257618397"",""stock FAKTUR!B:F""),5,false)"),"KN")</f>
        <v>KN</v>
      </c>
      <c r="I351" s="53" t="str">
        <f>IFERROR(__xludf.DUMMYFUNCTION("vlookup($D351,IMPORTRANGE(""https://docs.google.com/spreadsheets/d/1swGwZOEqYlTEUCJLY-eeJM1911Kvaei5oySBIxdgtNo/edit?pli=1#gid=257618397"",""stock FAKTUR!B:G""),6,false)"),"ERS-005")</f>
        <v>ERS-005</v>
      </c>
      <c r="J351" s="120" t="str">
        <f t="shared" si="25"/>
        <v>ADA</v>
      </c>
      <c r="K351" s="142">
        <v>50.0</v>
      </c>
      <c r="L351" s="145" t="str">
        <f>IFERROR(__xludf.DUMMYFUNCTION("vlookup($D351,IMPORTRANGE(""https://docs.google.com/spreadsheets/d/1swGwZOEqYlTEUCJLY-eeJM1911Kvaei5oySBIxdgtNo/edit?pli=1#gid=257618397"",""stock FAKTUR!B:q""),16,false)"),"BOX")</f>
        <v>BOX</v>
      </c>
      <c r="M351" s="147">
        <v>27500.0</v>
      </c>
      <c r="N351" s="152">
        <v>0.135</v>
      </c>
      <c r="O351" s="147">
        <f t="shared" si="94"/>
        <v>1189375</v>
      </c>
      <c r="P351" s="147" t="str">
        <f t="shared" si="3"/>
        <v>Rp27,500-50 BOX-13.50%</v>
      </c>
      <c r="Q351" s="149">
        <v>45416.0</v>
      </c>
      <c r="R351" s="150"/>
      <c r="S351" s="149">
        <v>45418.0</v>
      </c>
      <c r="T351" s="151"/>
      <c r="U351" s="151"/>
      <c r="V351" s="151"/>
      <c r="W351" s="151"/>
    </row>
    <row r="352">
      <c r="A352" s="142">
        <v>4710.0</v>
      </c>
      <c r="B352" s="143" t="str">
        <f t="shared" si="104"/>
        <v>H</v>
      </c>
      <c r="C352" s="143" t="str">
        <f t="shared" si="105"/>
        <v>ANUGRAH SEJAHTERA-PURWOKERTO</v>
      </c>
      <c r="D352" s="159" t="s">
        <v>4611</v>
      </c>
      <c r="E352" s="145" t="str">
        <f>IFERROR(__xludf.DUMMYFUNCTION("vlookup(D352,IMPORTRANGE(""https://docs.google.com/spreadsheets/d/1swGwZOEqYlTEUCJLY-eeJM1911Kvaei5oySBIxdgtNo/edit?pli=1#gid=257618397"",""stock FAKTUR!B:C""),2,false)"),"PUSH PIN KENKO PN-30 WARNA")</f>
        <v>PUSH PIN KENKO PN-30 WARNA</v>
      </c>
      <c r="F352" s="53" t="str">
        <f>IFERROR(__xludf.DUMMYFUNCTION("vlookup($D352,IMPORTRANGE(""https://docs.google.com/spreadsheets/d/1swGwZOEqYlTEUCJLY-eeJM1911Kvaei5oySBIxdgtNo/edit?pli=1#gid=257618397"",""stock FAKTUR!B:d""),3,false)"),"")</f>
        <v/>
      </c>
      <c r="G352" s="53" t="str">
        <f>IFERROR(__xludf.DUMMYFUNCTION("vlookup($D352,IMPORTRANGE(""https://docs.google.com/spreadsheets/d/1swGwZOEqYlTEUCJLY-eeJM1911Kvaei5oySBIxdgtNo/edit?pli=1#gid=257618397"",""stock FAKTUR!B:e""),4,false)"),"")</f>
        <v/>
      </c>
      <c r="H352" s="53" t="str">
        <f>IFERROR(__xludf.DUMMYFUNCTION("vlookup($D352,IMPORTRANGE(""https://docs.google.com/spreadsheets/d/1swGwZOEqYlTEUCJLY-eeJM1911Kvaei5oySBIxdgtNo/edit?pli=1#gid=257618397"",""stock FAKTUR!B:F""),5,false)"),"KN")</f>
        <v>KN</v>
      </c>
      <c r="I352" s="53" t="str">
        <f>IFERROR(__xludf.DUMMYFUNCTION("vlookup($D352,IMPORTRANGE(""https://docs.google.com/spreadsheets/d/1swGwZOEqYlTEUCJLY-eeJM1911Kvaei5oySBIxdgtNo/edit?pli=1#gid=257618397"",""stock FAKTUR!B:G""),6,false)"),"PN-30")</f>
        <v>PN-30</v>
      </c>
      <c r="J352" s="120" t="str">
        <f t="shared" si="25"/>
        <v>ADA</v>
      </c>
      <c r="K352" s="142">
        <v>48.0</v>
      </c>
      <c r="L352" s="145" t="str">
        <f>IFERROR(__xludf.DUMMYFUNCTION("vlookup($D352,IMPORTRANGE(""https://docs.google.com/spreadsheets/d/1swGwZOEqYlTEUCJLY-eeJM1911Kvaei5oySBIxdgtNo/edit?pli=1#gid=257618397"",""stock FAKTUR!B:q""),16,false)"),"LSN")</f>
        <v>LSN</v>
      </c>
      <c r="M352" s="147">
        <v>33000.0</v>
      </c>
      <c r="N352" s="152">
        <v>0.135</v>
      </c>
      <c r="O352" s="147">
        <f t="shared" si="94"/>
        <v>1370160</v>
      </c>
      <c r="P352" s="147" t="str">
        <f t="shared" si="3"/>
        <v>Rp33,000-48 LSN-13.50%</v>
      </c>
      <c r="Q352" s="149">
        <v>45416.0</v>
      </c>
      <c r="R352" s="150"/>
      <c r="S352" s="149">
        <v>45418.0</v>
      </c>
      <c r="T352" s="151"/>
      <c r="U352" s="151"/>
      <c r="V352" s="151"/>
      <c r="W352" s="151"/>
    </row>
    <row r="353">
      <c r="A353" s="142">
        <v>4710.0</v>
      </c>
      <c r="B353" s="143" t="str">
        <f>IF(A353=A351,B351,"")</f>
        <v>H</v>
      </c>
      <c r="C353" s="143" t="str">
        <f>IF(A353=A351,C351,"")</f>
        <v>ANUGRAH SEJAHTERA-PURWOKERTO</v>
      </c>
      <c r="D353" s="159" t="s">
        <v>4612</v>
      </c>
      <c r="E353" s="145" t="str">
        <f>IFERROR(__xludf.DUMMYFUNCTION("vlookup(D353,IMPORTRANGE(""https://docs.google.com/spreadsheets/d/1swGwZOEqYlTEUCJLY-eeJM1911Kvaei5oySBIxdgtNo/edit?pli=1#gid=257618397"",""stock FAKTUR!B:C""),2,false)"),"LABEL JK LB-3 (2 BARIS, YELLOW, FLOUR)")</f>
        <v>LABEL JK LB-3 (2 BARIS, YELLOW, FLOUR)</v>
      </c>
      <c r="F353" s="53" t="str">
        <f>IFERROR(__xludf.DUMMYFUNCTION("vlookup($D353,IMPORTRANGE(""https://docs.google.com/spreadsheets/d/1swGwZOEqYlTEUCJLY-eeJM1911Kvaei5oySBIxdgtNo/edit?pli=1#gid=257618397"",""stock FAKTUR!B:d""),3,false)"),"")</f>
        <v/>
      </c>
      <c r="G353" s="53" t="str">
        <f>IFERROR(__xludf.DUMMYFUNCTION("vlookup($D353,IMPORTRANGE(""https://docs.google.com/spreadsheets/d/1swGwZOEqYlTEUCJLY-eeJM1911Kvaei5oySBIxdgtNo/edit?pli=1#gid=257618397"",""stock FAKTUR!B:e""),4,false)"),"")</f>
        <v/>
      </c>
      <c r="H353" s="53" t="str">
        <f>IFERROR(__xludf.DUMMYFUNCTION("vlookup($D353,IMPORTRANGE(""https://docs.google.com/spreadsheets/d/1swGwZOEqYlTEUCJLY-eeJM1911Kvaei5oySBIxdgtNo/edit?pli=1#gid=257618397"",""stock FAKTUR!B:F""),5,false)"),"JK")</f>
        <v>JK</v>
      </c>
      <c r="I353" s="53" t="str">
        <f>IFERROR(__xludf.DUMMYFUNCTION("vlookup($D353,IMPORTRANGE(""https://docs.google.com/spreadsheets/d/1swGwZOEqYlTEUCJLY-eeJM1911Kvaei5oySBIxdgtNo/edit?pli=1#gid=257618397"",""stock FAKTUR!B:G""),6,false)"),"LB-3")</f>
        <v>LB-3</v>
      </c>
      <c r="J353" s="120" t="str">
        <f t="shared" si="25"/>
        <v>ADA</v>
      </c>
      <c r="K353" s="142">
        <v>500.0</v>
      </c>
      <c r="L353" s="145" t="str">
        <f>IFERROR(__xludf.DUMMYFUNCTION("vlookup($D353,IMPORTRANGE(""https://docs.google.com/spreadsheets/d/1swGwZOEqYlTEUCJLY-eeJM1911Kvaei5oySBIxdgtNo/edit?pli=1#gid=257618397"",""stock FAKTUR!B:q""),16,false)"),"PAK")</f>
        <v>PAK</v>
      </c>
      <c r="M353" s="147">
        <v>4300.0</v>
      </c>
      <c r="N353" s="152">
        <v>0.135</v>
      </c>
      <c r="O353" s="147">
        <f t="shared" si="94"/>
        <v>1859750</v>
      </c>
      <c r="P353" s="147" t="str">
        <f t="shared" si="3"/>
        <v>Rp4,300-500 PAK-13.50%</v>
      </c>
      <c r="Q353" s="149">
        <v>45416.0</v>
      </c>
      <c r="R353" s="150"/>
      <c r="S353" s="149">
        <v>45418.0</v>
      </c>
      <c r="T353" s="151"/>
      <c r="U353" s="151"/>
      <c r="V353" s="151"/>
      <c r="W353" s="151"/>
    </row>
    <row r="354">
      <c r="A354" s="142">
        <v>4710.0</v>
      </c>
      <c r="B354" s="143" t="str">
        <f t="shared" ref="B354:B356" si="106">IF(A354=A353,B353,"")</f>
        <v>H</v>
      </c>
      <c r="C354" s="143" t="str">
        <f t="shared" ref="C354:C356" si="107">IF(A354=A353,C353,"")</f>
        <v>ANUGRAH SEJAHTERA-PURWOKERTO</v>
      </c>
      <c r="D354" s="145" t="s">
        <v>4613</v>
      </c>
      <c r="E354" s="145" t="str">
        <f>IFERROR(__xludf.DUMMYFUNCTION("vlookup(D354,IMPORTRANGE(""https://docs.google.com/spreadsheets/d/1swGwZOEqYlTEUCJLY-eeJM1911Kvaei5oySBIxdgtNo/edit?pli=1#gid=257618397"",""stock FAKTUR!B:C""),2,false)"),"ISI STAPLER (STAPLES) KENKO 1210")</f>
        <v>ISI STAPLER (STAPLES) KENKO 1210</v>
      </c>
      <c r="F354" s="53" t="str">
        <f>IFERROR(__xludf.DUMMYFUNCTION("vlookup($D354,IMPORTRANGE(""https://docs.google.com/spreadsheets/d/1swGwZOEqYlTEUCJLY-eeJM1911Kvaei5oySBIxdgtNo/edit?pli=1#gid=257618397"",""stock FAKTUR!B:d""),3,false)"),"")</f>
        <v/>
      </c>
      <c r="G354" s="53" t="str">
        <f>IFERROR(__xludf.DUMMYFUNCTION("vlookup($D354,IMPORTRANGE(""https://docs.google.com/spreadsheets/d/1swGwZOEqYlTEUCJLY-eeJM1911Kvaei5oySBIxdgtNo/edit?pli=1#gid=257618397"",""stock FAKTUR!B:e""),4,false)"),"")</f>
        <v/>
      </c>
      <c r="H354" s="53" t="str">
        <f>IFERROR(__xludf.DUMMYFUNCTION("vlookup($D354,IMPORTRANGE(""https://docs.google.com/spreadsheets/d/1swGwZOEqYlTEUCJLY-eeJM1911Kvaei5oySBIxdgtNo/edit?pli=1#gid=257618397"",""stock FAKTUR!B:F""),5,false)"),"KN")</f>
        <v>KN</v>
      </c>
      <c r="I354" s="53" t="str">
        <f>IFERROR(__xludf.DUMMYFUNCTION("vlookup($D354,IMPORTRANGE(""https://docs.google.com/spreadsheets/d/1swGwZOEqYlTEUCJLY-eeJM1911Kvaei5oySBIxdgtNo/edit?pli=1#gid=257618397"",""stock FAKTUR!B:G""),6,false)"),"STS-004QH")</f>
        <v>STS-004QH</v>
      </c>
      <c r="J354" s="120" t="str">
        <f t="shared" si="25"/>
        <v>ADA</v>
      </c>
      <c r="K354" s="184">
        <v>100.0</v>
      </c>
      <c r="L354" s="145" t="str">
        <f>IFERROR(__xludf.DUMMYFUNCTION("vlookup($D354,IMPORTRANGE(""https://docs.google.com/spreadsheets/d/1swGwZOEqYlTEUCJLY-eeJM1911Kvaei5oySBIxdgtNo/edit?pli=1#gid=257618397"",""stock FAKTUR!B:q""),16,false)"),"PAK")</f>
        <v>PAK</v>
      </c>
      <c r="M354" s="187">
        <v>42000.0</v>
      </c>
      <c r="N354" s="152">
        <v>0.135</v>
      </c>
      <c r="O354" s="147">
        <f t="shared" si="94"/>
        <v>3633000</v>
      </c>
      <c r="P354" s="147" t="str">
        <f t="shared" si="3"/>
        <v>Rp42,000-100 PAK-13.50%</v>
      </c>
      <c r="Q354" s="149">
        <v>45416.0</v>
      </c>
      <c r="R354" s="150"/>
      <c r="S354" s="149">
        <v>45418.0</v>
      </c>
      <c r="T354" s="151"/>
      <c r="U354" s="151"/>
      <c r="V354" s="151"/>
      <c r="W354" s="151"/>
    </row>
    <row r="355">
      <c r="A355" s="142">
        <v>4710.0</v>
      </c>
      <c r="B355" s="143" t="str">
        <f t="shared" si="106"/>
        <v>H</v>
      </c>
      <c r="C355" s="143" t="str">
        <f t="shared" si="107"/>
        <v>ANUGRAH SEJAHTERA-PURWOKERTO</v>
      </c>
      <c r="D355" s="145" t="s">
        <v>4416</v>
      </c>
      <c r="E355" s="145" t="str">
        <f>IFERROR(__xludf.DUMMYFUNCTION("vlookup(D355,IMPORTRANGE(""https://docs.google.com/spreadsheets/d/1swGwZOEqYlTEUCJLY-eeJM1911Kvaei5oySBIxdgtNo/edit?pli=1#gid=257618397"",""stock FAKTUR!B:C""),2,false)"),"BP KENKO KE-303 T-GEL HITAM")</f>
        <v>BP KENKO KE-303 T-GEL HITAM</v>
      </c>
      <c r="F355" s="53" t="str">
        <f>IFERROR(__xludf.DUMMYFUNCTION("vlookup($D355,IMPORTRANGE(""https://docs.google.com/spreadsheets/d/1swGwZOEqYlTEUCJLY-eeJM1911Kvaei5oySBIxdgtNo/edit?pli=1#gid=257618397"",""stock FAKTUR!B:d""),3,false)"),"")</f>
        <v/>
      </c>
      <c r="G355" s="53" t="str">
        <f>IFERROR(__xludf.DUMMYFUNCTION("vlookup($D355,IMPORTRANGE(""https://docs.google.com/spreadsheets/d/1swGwZOEqYlTEUCJLY-eeJM1911Kvaei5oySBIxdgtNo/edit?pli=1#gid=257618397"",""stock FAKTUR!B:e""),4,false)"),"")</f>
        <v/>
      </c>
      <c r="H355" s="53" t="str">
        <f>IFERROR(__xludf.DUMMYFUNCTION("vlookup($D355,IMPORTRANGE(""https://docs.google.com/spreadsheets/d/1swGwZOEqYlTEUCJLY-eeJM1911Kvaei5oySBIxdgtNo/edit?pli=1#gid=257618397"",""stock FAKTUR!B:F""),5,false)"),"KN")</f>
        <v>KN</v>
      </c>
      <c r="I355" s="53" t="str">
        <f>IFERROR(__xludf.DUMMYFUNCTION("vlookup($D355,IMPORTRANGE(""https://docs.google.com/spreadsheets/d/1swGwZOEqYlTEUCJLY-eeJM1911Kvaei5oySBIxdgtNo/edit?pli=1#gid=257618397"",""stock FAKTUR!B:G""),6,false)"),"KE-303")</f>
        <v>KE-303</v>
      </c>
      <c r="J355" s="120" t="str">
        <f t="shared" si="25"/>
        <v>ADA</v>
      </c>
      <c r="K355" s="142">
        <v>432.0</v>
      </c>
      <c r="L355" s="145" t="str">
        <f>IFERROR(__xludf.DUMMYFUNCTION("vlookup($D355,IMPORTRANGE(""https://docs.google.com/spreadsheets/d/1swGwZOEqYlTEUCJLY-eeJM1911Kvaei5oySBIxdgtNo/edit?pli=1#gid=257618397"",""stock FAKTUR!B:q""),16,false)"),"LSN")</f>
        <v>LSN</v>
      </c>
      <c r="M355" s="147">
        <v>21600.0</v>
      </c>
      <c r="N355" s="152">
        <v>0.135</v>
      </c>
      <c r="O355" s="147">
        <f t="shared" si="94"/>
        <v>8071488</v>
      </c>
      <c r="P355" s="147" t="str">
        <f t="shared" si="3"/>
        <v>Rp21,600-432 LSN-13.50%</v>
      </c>
      <c r="Q355" s="149">
        <v>45416.0</v>
      </c>
      <c r="R355" s="150"/>
      <c r="S355" s="149">
        <v>45418.0</v>
      </c>
      <c r="T355" s="151"/>
      <c r="U355" s="151"/>
      <c r="V355" s="151"/>
      <c r="W355" s="151"/>
    </row>
    <row r="356">
      <c r="A356" s="142">
        <v>4710.0</v>
      </c>
      <c r="B356" s="143" t="str">
        <f t="shared" si="106"/>
        <v>H</v>
      </c>
      <c r="C356" s="143" t="str">
        <f t="shared" si="107"/>
        <v>ANUGRAH SEJAHTERA-PURWOKERTO</v>
      </c>
      <c r="D356" s="159" t="s">
        <v>4614</v>
      </c>
      <c r="E356" s="145" t="str">
        <f>IFERROR(__xludf.DUMMYFUNCTION("vlookup(D356,IMPORTRANGE(""https://docs.google.com/spreadsheets/d/1swGwZOEqYlTEUCJLY-eeJM1911Kvaei5oySBIxdgtNo/edit?pli=1#gid=257618397"",""stock FAKTUR!B:C""),2,false)"),"STAPLER JK HD-12N/24")</f>
        <v>STAPLER JK HD-12N/24</v>
      </c>
      <c r="F356" s="53" t="str">
        <f>IFERROR(__xludf.DUMMYFUNCTION("vlookup($D356,IMPORTRANGE(""https://docs.google.com/spreadsheets/d/1swGwZOEqYlTEUCJLY-eeJM1911Kvaei5oySBIxdgtNo/edit?pli=1#gid=257618397"",""stock FAKTUR!B:d""),3,false)"),"")</f>
        <v/>
      </c>
      <c r="G356" s="53" t="str">
        <f>IFERROR(__xludf.DUMMYFUNCTION("vlookup($D356,IMPORTRANGE(""https://docs.google.com/spreadsheets/d/1swGwZOEqYlTEUCJLY-eeJM1911Kvaei5oySBIxdgtNo/edit?pli=1#gid=257618397"",""stock FAKTUR!B:e""),4,false)"),"")</f>
        <v/>
      </c>
      <c r="H356" s="53" t="str">
        <f>IFERROR(__xludf.DUMMYFUNCTION("vlookup($D356,IMPORTRANGE(""https://docs.google.com/spreadsheets/d/1swGwZOEqYlTEUCJLY-eeJM1911Kvaei5oySBIxdgtNo/edit?pli=1#gid=257618397"",""stock FAKTUR!B:F""),5,false)"),"JK")</f>
        <v>JK</v>
      </c>
      <c r="I356" s="53" t="str">
        <f>IFERROR(__xludf.DUMMYFUNCTION("vlookup($D356,IMPORTRANGE(""https://docs.google.com/spreadsheets/d/1swGwZOEqYlTEUCJLY-eeJM1911Kvaei5oySBIxdgtNo/edit?pli=1#gid=257618397"",""stock FAKTUR!B:G""),6,false)"),"12N/24")</f>
        <v>12N/24</v>
      </c>
      <c r="J356" s="120" t="str">
        <f t="shared" si="25"/>
        <v>ADA</v>
      </c>
      <c r="K356" s="142">
        <v>6.0</v>
      </c>
      <c r="L356" s="145" t="str">
        <f>IFERROR(__xludf.DUMMYFUNCTION("vlookup($D356,IMPORTRANGE(""https://docs.google.com/spreadsheets/d/1swGwZOEqYlTEUCJLY-eeJM1911Kvaei5oySBIxdgtNo/edit?pli=1#gid=257618397"",""stock FAKTUR!B:q""),16,false)"),"PCS")</f>
        <v>PCS</v>
      </c>
      <c r="M356" s="147">
        <v>155000.0</v>
      </c>
      <c r="N356" s="152">
        <v>0.135</v>
      </c>
      <c r="O356" s="147">
        <f t="shared" si="94"/>
        <v>804450</v>
      </c>
      <c r="P356" s="147" t="str">
        <f t="shared" si="3"/>
        <v>Rp155,000-6 PCS-13.50%</v>
      </c>
      <c r="Q356" s="149">
        <v>45416.0</v>
      </c>
      <c r="R356" s="150"/>
      <c r="S356" s="149">
        <v>45418.0</v>
      </c>
      <c r="T356" s="151"/>
      <c r="U356" s="151"/>
      <c r="V356" s="151"/>
      <c r="W356" s="151"/>
    </row>
    <row r="357">
      <c r="A357" s="142">
        <v>4681.0</v>
      </c>
      <c r="B357" s="143" t="s">
        <v>33</v>
      </c>
      <c r="C357" s="143" t="s">
        <v>1768</v>
      </c>
      <c r="D357" s="145" t="s">
        <v>4382</v>
      </c>
      <c r="E357" s="145" t="str">
        <f>IFERROR(__xludf.DUMMYFUNCTION("vlookup(D357,IMPORTRANGE(""https://docs.google.com/spreadsheets/d/1swGwZOEqYlTEUCJLY-eeJM1911Kvaei5oySBIxdgtNo/edit?pli=1#gid=257618397"",""stock FAKTUR!B:C""),2,false)"),"PENSIL 2B ZHONG HUA 6925 OVAL")</f>
        <v>PENSIL 2B ZHONG HUA 6925 OVAL</v>
      </c>
      <c r="F357" s="53" t="str">
        <f>IFERROR(__xludf.DUMMYFUNCTION("vlookup($D357,IMPORTRANGE(""https://docs.google.com/spreadsheets/d/1swGwZOEqYlTEUCJLY-eeJM1911Kvaei5oySBIxdgtNo/edit?pli=1#gid=257618397"",""stock FAKTUR!B:d""),3,false)"),"")</f>
        <v/>
      </c>
      <c r="G357" s="53" t="str">
        <f>IFERROR(__xludf.DUMMYFUNCTION("vlookup($D357,IMPORTRANGE(""https://docs.google.com/spreadsheets/d/1swGwZOEqYlTEUCJLY-eeJM1911Kvaei5oySBIxdgtNo/edit?pli=1#gid=257618397"",""stock FAKTUR!B:e""),4,false)"),"")</f>
        <v/>
      </c>
      <c r="H357" s="53" t="str">
        <f>IFERROR(__xludf.DUMMYFUNCTION("vlookup($D357,IMPORTRANGE(""https://docs.google.com/spreadsheets/d/1swGwZOEqYlTEUCJLY-eeJM1911Kvaei5oySBIxdgtNo/edit?pli=1#gid=257618397"",""stock FAKTUR!B:F""),5,false)"),"ZH")</f>
        <v>ZH</v>
      </c>
      <c r="I357" s="53" t="str">
        <f>IFERROR(__xludf.DUMMYFUNCTION("vlookup($D357,IMPORTRANGE(""https://docs.google.com/spreadsheets/d/1swGwZOEqYlTEUCJLY-eeJM1911Kvaei5oySBIxdgtNo/edit?pli=1#gid=257618397"",""stock FAKTUR!B:G""),6,false)"),"6925")</f>
        <v>6925</v>
      </c>
      <c r="J357" s="120" t="str">
        <f t="shared" si="25"/>
        <v>ADA</v>
      </c>
      <c r="K357" s="142">
        <v>12.0</v>
      </c>
      <c r="L357" s="145" t="str">
        <f>IFERROR(__xludf.DUMMYFUNCTION("vlookup($D357,IMPORTRANGE(""https://docs.google.com/spreadsheets/d/1swGwZOEqYlTEUCJLY-eeJM1911Kvaei5oySBIxdgtNo/edit?pli=1#gid=257618397"",""stock FAKTUR!B:q""),16,false)"),"BOX")</f>
        <v>BOX</v>
      </c>
      <c r="M357" s="147">
        <v>75000.0</v>
      </c>
      <c r="N357" s="148"/>
      <c r="O357" s="147">
        <f t="shared" si="94"/>
        <v>900000</v>
      </c>
      <c r="P357" s="147" t="str">
        <f t="shared" si="3"/>
        <v>Rp75,000-12 BOX-0.00%</v>
      </c>
      <c r="Q357" s="149">
        <v>45412.0</v>
      </c>
      <c r="R357" s="150"/>
      <c r="S357" s="149">
        <v>45419.0</v>
      </c>
      <c r="T357" s="151"/>
      <c r="U357" s="151"/>
      <c r="V357" s="151"/>
      <c r="W357" s="151"/>
    </row>
    <row r="358">
      <c r="A358" s="153">
        <v>4681.0</v>
      </c>
      <c r="B358" s="144" t="str">
        <f t="shared" ref="B358:B365" si="108">IF(A358=A357,B357,"")</f>
        <v>H</v>
      </c>
      <c r="C358" s="144" t="str">
        <f t="shared" ref="C358:C365" si="109">IF(A358=A357,C357,"")</f>
        <v>SISWA-MUNTILAN</v>
      </c>
      <c r="D358" s="23" t="s">
        <v>4615</v>
      </c>
      <c r="E358" s="145" t="str">
        <f>IFERROR(__xludf.DUMMYFUNCTION("vlookup(D358,IMPORTRANGE(""https://docs.google.com/spreadsheets/d/1swGwZOEqYlTEUCJLY-eeJM1911Kvaei5oySBIxdgtNo/edit?pli=1#gid=257618397"",""stock FAKTUR!B:C""),2,false)"),"PENSIL METALIK 2B NO. 69")</f>
        <v>PENSIL METALIK 2B NO. 69</v>
      </c>
      <c r="F358" s="53" t="str">
        <f>IFERROR(__xludf.DUMMYFUNCTION("vlookup($D358,IMPORTRANGE(""https://docs.google.com/spreadsheets/d/1swGwZOEqYlTEUCJLY-eeJM1911Kvaei5oySBIxdgtNo/edit?pli=1#gid=257618397"",""stock FAKTUR!B:d""),3,false)"),"")</f>
        <v/>
      </c>
      <c r="G358" s="53" t="str">
        <f>IFERROR(__xludf.DUMMYFUNCTION("vlookup($D358,IMPORTRANGE(""https://docs.google.com/spreadsheets/d/1swGwZOEqYlTEUCJLY-eeJM1911Kvaei5oySBIxdgtNo/edit?pli=1#gid=257618397"",""stock FAKTUR!B:e""),4,false)"),"")</f>
        <v/>
      </c>
      <c r="H358" s="53" t="str">
        <f>IFERROR(__xludf.DUMMYFUNCTION("vlookup($D358,IMPORTRANGE(""https://docs.google.com/spreadsheets/d/1swGwZOEqYlTEUCJLY-eeJM1911Kvaei5oySBIxdgtNo/edit?pli=1#gid=257618397"",""stock FAKTUR!B:F""),5,false)"),"ZH")</f>
        <v>ZH</v>
      </c>
      <c r="I358" s="53" t="str">
        <f>IFERROR(__xludf.DUMMYFUNCTION("vlookup($D358,IMPORTRANGE(""https://docs.google.com/spreadsheets/d/1swGwZOEqYlTEUCJLY-eeJM1911Kvaei5oySBIxdgtNo/edit?pli=1#gid=257618397"",""stock FAKTUR!B:G""),6,false)"),"69")</f>
        <v>69</v>
      </c>
      <c r="J358" s="120" t="str">
        <f t="shared" si="25"/>
        <v>ADA</v>
      </c>
      <c r="K358" s="153">
        <v>2.0</v>
      </c>
      <c r="L358" s="145" t="str">
        <f>IFERROR(__xludf.DUMMYFUNCTION("vlookup($D358,IMPORTRANGE(""https://docs.google.com/spreadsheets/d/1swGwZOEqYlTEUCJLY-eeJM1911Kvaei5oySBIxdgtNo/edit?pli=1#gid=257618397"",""stock FAKTUR!B:q""),16,false)"),"BOX")</f>
        <v>BOX</v>
      </c>
      <c r="M358" s="155">
        <v>340000.0</v>
      </c>
      <c r="N358" s="182"/>
      <c r="O358" s="155">
        <f t="shared" si="94"/>
        <v>680000</v>
      </c>
      <c r="P358" s="155" t="str">
        <f t="shared" si="3"/>
        <v>Rp340,000-2 BOX-0.00%</v>
      </c>
      <c r="Q358" s="157">
        <v>45412.0</v>
      </c>
      <c r="R358" s="158"/>
      <c r="S358" s="157">
        <v>45419.0</v>
      </c>
      <c r="T358" s="145" t="s">
        <v>4616</v>
      </c>
      <c r="U358" s="145" t="s">
        <v>4390</v>
      </c>
      <c r="V358" s="145"/>
      <c r="W358" s="159"/>
    </row>
    <row r="359">
      <c r="A359" s="142">
        <v>4681.0</v>
      </c>
      <c r="B359" s="143" t="str">
        <f t="shared" si="108"/>
        <v>H</v>
      </c>
      <c r="C359" s="143" t="str">
        <f t="shared" si="109"/>
        <v>SISWA-MUNTILAN</v>
      </c>
      <c r="D359" s="145" t="s">
        <v>4617</v>
      </c>
      <c r="E359" s="145" t="str">
        <f>IFERROR(__xludf.DUMMYFUNCTION("vlookup(D359,IMPORTRANGE(""https://docs.google.com/spreadsheets/d/1swGwZOEqYlTEUCJLY-eeJM1911Kvaei5oySBIxdgtNo/edit?pli=1#gid=257618397"",""stock FAKTUR!B:C""),2,false)"),"BT KENKO BT-2920-01 KEMBANG")</f>
        <v>BT KENKO BT-2920-01 KEMBANG</v>
      </c>
      <c r="F359" s="53" t="str">
        <f>IFERROR(__xludf.DUMMYFUNCTION("vlookup($D359,IMPORTRANGE(""https://docs.google.com/spreadsheets/d/1swGwZOEqYlTEUCJLY-eeJM1911Kvaei5oySBIxdgtNo/edit?pli=1#gid=257618397"",""stock FAKTUR!B:d""),3,false)"),"")</f>
        <v/>
      </c>
      <c r="G359" s="53" t="str">
        <f>IFERROR(__xludf.DUMMYFUNCTION("vlookup($D359,IMPORTRANGE(""https://docs.google.com/spreadsheets/d/1swGwZOEqYlTEUCJLY-eeJM1911Kvaei5oySBIxdgtNo/edit?pli=1#gid=257618397"",""stock FAKTUR!B:e""),4,false)"),"")</f>
        <v/>
      </c>
      <c r="H359" s="53" t="str">
        <f>IFERROR(__xludf.DUMMYFUNCTION("vlookup($D359,IMPORTRANGE(""https://docs.google.com/spreadsheets/d/1swGwZOEqYlTEUCJLY-eeJM1911Kvaei5oySBIxdgtNo/edit?pli=1#gid=257618397"",""stock FAKTUR!B:F""),5,false)"),"KN")</f>
        <v>KN</v>
      </c>
      <c r="I359" s="53" t="str">
        <f>IFERROR(__xludf.DUMMYFUNCTION("vlookup($D359,IMPORTRANGE(""https://docs.google.com/spreadsheets/d/1swGwZOEqYlTEUCJLY-eeJM1911Kvaei5oySBIxdgtNo/edit?pli=1#gid=257618397"",""stock FAKTUR!B:G""),6,false)"),"")</f>
        <v/>
      </c>
      <c r="J359" s="120" t="str">
        <f t="shared" si="25"/>
        <v>ADA</v>
      </c>
      <c r="K359" s="142">
        <v>1.0</v>
      </c>
      <c r="L359" s="145" t="str">
        <f>IFERROR(__xludf.DUMMYFUNCTION("vlookup($D359,IMPORTRANGE(""https://docs.google.com/spreadsheets/d/1swGwZOEqYlTEUCJLY-eeJM1911Kvaei5oySBIxdgtNo/edit?pli=1#gid=257618397"",""stock FAKTUR!B:q""),16,false)"),"LSN")</f>
        <v>LSN</v>
      </c>
      <c r="M359" s="147">
        <v>156000.0</v>
      </c>
      <c r="N359" s="152">
        <v>0.125</v>
      </c>
      <c r="O359" s="147">
        <f t="shared" si="94"/>
        <v>136500</v>
      </c>
      <c r="P359" s="147" t="str">
        <f t="shared" si="3"/>
        <v>Rp156,000-1 LSN-12.50%</v>
      </c>
      <c r="Q359" s="149">
        <v>45412.0</v>
      </c>
      <c r="R359" s="150"/>
      <c r="S359" s="149">
        <v>45419.0</v>
      </c>
      <c r="T359" s="151"/>
      <c r="U359" s="151"/>
      <c r="V359" s="151"/>
      <c r="W359" s="151"/>
    </row>
    <row r="360">
      <c r="A360" s="142">
        <v>4681.0</v>
      </c>
      <c r="B360" s="143" t="str">
        <f t="shared" si="108"/>
        <v>H</v>
      </c>
      <c r="C360" s="143" t="str">
        <f t="shared" si="109"/>
        <v>SISWA-MUNTILAN</v>
      </c>
      <c r="D360" s="145" t="s">
        <v>4386</v>
      </c>
      <c r="E360" s="145" t="str">
        <f>IFERROR(__xludf.DUMMYFUNCTION("vlookup(D360,IMPORTRANGE(""https://docs.google.com/spreadsheets/d/1swGwZOEqYlTEUCJLY-eeJM1911Kvaei5oySBIxdgtNo/edit?pli=1#gid=257618397"",""stock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360" s="53" t="str">
        <f>IFERROR(__xludf.DUMMYFUNCTION("vlookup($D360,IMPORTRANGE(""https://docs.google.com/spreadsheets/d/1swGwZOEqYlTEUCJLY-eeJM1911Kvaei5oySBIxdgtNo/edit?pli=1#gid=257618397"",""stock FAKTUR!B:d""),3,false)"),"")</f>
        <v/>
      </c>
      <c r="G360" s="53" t="str">
        <f>IFERROR(__xludf.DUMMYFUNCTION("vlookup($D360,IMPORTRANGE(""https://docs.google.com/spreadsheets/d/1swGwZOEqYlTEUCJLY-eeJM1911Kvaei5oySBIxdgtNo/edit?pli=1#gid=257618397"",""stock FAKTUR!B:e""),4,false)"),"12W")</f>
        <v>12W</v>
      </c>
      <c r="H360" s="53" t="str">
        <f>IFERROR(__xludf.DUMMYFUNCTION("vlookup($D360,IMPORTRANGE(""https://docs.google.com/spreadsheets/d/1swGwZOEqYlTEUCJLY-eeJM1911Kvaei5oySBIxdgtNo/edit?pli=1#gid=257618397"",""stock FAKTUR!B:F""),5,false)"),"JK")</f>
        <v>JK</v>
      </c>
      <c r="I360" s="53" t="str">
        <f>IFERROR(__xludf.DUMMYFUNCTION("vlookup($D360,IMPORTRANGE(""https://docs.google.com/spreadsheets/d/1swGwZOEqYlTEUCJLY-eeJM1911Kvaei5oySBIxdgtNo/edit?pli=1#gid=257618397"",""stock FAKTUR!B:G""),6,false)"),"OP-12S")</f>
        <v>OP-12S</v>
      </c>
      <c r="J360" s="120" t="str">
        <f t="shared" si="25"/>
        <v>ADA</v>
      </c>
      <c r="K360" s="142">
        <v>720.0</v>
      </c>
      <c r="L360" s="145" t="str">
        <f>IFERROR(__xludf.DUMMYFUNCTION("vlookup($D360,IMPORTRANGE(""https://docs.google.com/spreadsheets/d/1swGwZOEqYlTEUCJLY-eeJM1911Kvaei5oySBIxdgtNo/edit?pli=1#gid=257618397"",""stock FAKTUR!B:q""),16,false)"),"PCS")</f>
        <v>PCS</v>
      </c>
      <c r="M360" s="147">
        <v>11900.0</v>
      </c>
      <c r="N360" s="152">
        <v>0.125</v>
      </c>
      <c r="O360" s="147">
        <f t="shared" si="94"/>
        <v>7497000</v>
      </c>
      <c r="P360" s="147" t="str">
        <f t="shared" si="3"/>
        <v>Rp11,900-720 PCS-12.50%</v>
      </c>
      <c r="Q360" s="149">
        <v>45412.0</v>
      </c>
      <c r="R360" s="150"/>
      <c r="S360" s="149">
        <v>45419.0</v>
      </c>
      <c r="T360" s="151"/>
      <c r="U360" s="151"/>
      <c r="V360" s="151"/>
      <c r="W360" s="151"/>
    </row>
    <row r="361">
      <c r="A361" s="142">
        <v>4681.0</v>
      </c>
      <c r="B361" s="143" t="str">
        <f t="shared" si="108"/>
        <v>H</v>
      </c>
      <c r="C361" s="143" t="str">
        <f t="shared" si="109"/>
        <v>SISWA-MUNTILAN</v>
      </c>
      <c r="D361" s="145" t="s">
        <v>4393</v>
      </c>
      <c r="E361" s="145" t="str">
        <f>IFERROR(__xludf.DUMMYFUNCTION("vlookup(D361,IMPORTRANGE(""https://docs.google.com/spreadsheets/d/1swGwZOEqYlTEUCJLY-eeJM1911Kvaei5oySBIxdgtNo/edit?pli=1#gid=257618397"",""stock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361" s="53" t="str">
        <f>IFERROR(__xludf.DUMMYFUNCTION("vlookup($D361,IMPORTRANGE(""https://docs.google.com/spreadsheets/d/1swGwZOEqYlTEUCJLY-eeJM1911Kvaei5oySBIxdgtNo/edit?pli=1#gid=257618397"",""stock FAKTUR!B:d""),3,false)"),"")</f>
        <v/>
      </c>
      <c r="G361" s="53" t="str">
        <f>IFERROR(__xludf.DUMMYFUNCTION("vlookup($D361,IMPORTRANGE(""https://docs.google.com/spreadsheets/d/1swGwZOEqYlTEUCJLY-eeJM1911Kvaei5oySBIxdgtNo/edit?pli=1#gid=257618397"",""stock FAKTUR!B:e""),4,false)"),"36W")</f>
        <v>36W</v>
      </c>
      <c r="H361" s="53" t="str">
        <f>IFERROR(__xludf.DUMMYFUNCTION("vlookup($D361,IMPORTRANGE(""https://docs.google.com/spreadsheets/d/1swGwZOEqYlTEUCJLY-eeJM1911Kvaei5oySBIxdgtNo/edit?pli=1#gid=257618397"",""stock FAKTUR!B:F""),5,false)"),"JK")</f>
        <v>JK</v>
      </c>
      <c r="I361" s="53" t="str">
        <f>IFERROR(__xludf.DUMMYFUNCTION("vlookup($D361,IMPORTRANGE(""https://docs.google.com/spreadsheets/d/1swGwZOEqYlTEUCJLY-eeJM1911Kvaei5oySBIxdgtNo/edit?pli=1#gid=257618397"",""stock FAKTUR!B:G""),6,false)"),"OP-36S")</f>
        <v>OP-36S</v>
      </c>
      <c r="J361" s="120" t="str">
        <f t="shared" si="25"/>
        <v>ADA</v>
      </c>
      <c r="K361" s="142">
        <v>108.0</v>
      </c>
      <c r="L361" s="145" t="str">
        <f>IFERROR(__xludf.DUMMYFUNCTION("vlookup($D361,IMPORTRANGE(""https://docs.google.com/spreadsheets/d/1swGwZOEqYlTEUCJLY-eeJM1911Kvaei5oySBIxdgtNo/edit?pli=1#gid=257618397"",""stock FAKTUR!B:q""),16,false)"),"PCS")</f>
        <v>PCS</v>
      </c>
      <c r="M361" s="147">
        <v>41500.0</v>
      </c>
      <c r="N361" s="152">
        <v>0.125</v>
      </c>
      <c r="O361" s="147">
        <f t="shared" si="94"/>
        <v>3921750</v>
      </c>
      <c r="P361" s="147" t="str">
        <f t="shared" si="3"/>
        <v>Rp41,500-108 PCS-12.50%</v>
      </c>
      <c r="Q361" s="149">
        <v>45412.0</v>
      </c>
      <c r="R361" s="150"/>
      <c r="S361" s="149">
        <v>45419.0</v>
      </c>
      <c r="T361" s="151"/>
      <c r="U361" s="151"/>
      <c r="V361" s="151"/>
      <c r="W361" s="151"/>
    </row>
    <row r="362">
      <c r="A362" s="142">
        <v>4681.0</v>
      </c>
      <c r="B362" s="143" t="str">
        <f t="shared" si="108"/>
        <v>H</v>
      </c>
      <c r="C362" s="143" t="str">
        <f t="shared" si="109"/>
        <v>SISWA-MUNTILAN</v>
      </c>
      <c r="D362" s="145" t="s">
        <v>4402</v>
      </c>
      <c r="E362" s="145" t="str">
        <f>IFERROR(__xludf.DUMMYFUNCTION("vlookup(D362,IMPORTRANGE(""https://docs.google.com/spreadsheets/d/1swGwZOEqYlTEUCJLY-eeJM1911Kvaei5oySBIxdgtNo/edit?pli=1#gid=257618397"",""stock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362" s="53" t="str">
        <f>IFERROR(__xludf.DUMMYFUNCTION("vlookup($D362,IMPORTRANGE(""https://docs.google.com/spreadsheets/d/1swGwZOEqYlTEUCJLY-eeJM1911Kvaei5oySBIxdgtNo/edit?pli=1#gid=257618397"",""stock FAKTUR!B:d""),3,false)"),"")</f>
        <v/>
      </c>
      <c r="G362" s="53" t="str">
        <f>IFERROR(__xludf.DUMMYFUNCTION("vlookup($D362,IMPORTRANGE(""https://docs.google.com/spreadsheets/d/1swGwZOEqYlTEUCJLY-eeJM1911Kvaei5oySBIxdgtNo/edit?pli=1#gid=257618397"",""stock FAKTUR!B:e""),4,false)"),"55W")</f>
        <v>55W</v>
      </c>
      <c r="H362" s="53" t="str">
        <f>IFERROR(__xludf.DUMMYFUNCTION("vlookup($D362,IMPORTRANGE(""https://docs.google.com/spreadsheets/d/1swGwZOEqYlTEUCJLY-eeJM1911Kvaei5oySBIxdgtNo/edit?pli=1#gid=257618397"",""stock FAKTUR!B:F""),5,false)"),"JK")</f>
        <v>JK</v>
      </c>
      <c r="I362" s="53" t="str">
        <f>IFERROR(__xludf.DUMMYFUNCTION("vlookup($D362,IMPORTRANGE(""https://docs.google.com/spreadsheets/d/1swGwZOEqYlTEUCJLY-eeJM1911Kvaei5oySBIxdgtNo/edit?pli=1#gid=257618397"",""stock FAKTUR!B:G""),6,false)"),"")</f>
        <v/>
      </c>
      <c r="J362" s="120" t="str">
        <f t="shared" si="25"/>
        <v>ADA</v>
      </c>
      <c r="K362" s="142">
        <v>24.0</v>
      </c>
      <c r="L362" s="145" t="str">
        <f>IFERROR(__xludf.DUMMYFUNCTION("vlookup($D362,IMPORTRANGE(""https://docs.google.com/spreadsheets/d/1swGwZOEqYlTEUCJLY-eeJM1911Kvaei5oySBIxdgtNo/edit?pli=1#gid=257618397"",""stock FAKTUR!B:q""),16,false)"),"PCS")</f>
        <v>PCS</v>
      </c>
      <c r="M362" s="147">
        <v>66900.0</v>
      </c>
      <c r="N362" s="152">
        <v>0.125</v>
      </c>
      <c r="O362" s="147">
        <f t="shared" si="94"/>
        <v>1404900</v>
      </c>
      <c r="P362" s="147" t="str">
        <f t="shared" si="3"/>
        <v>Rp66,900-24 PCS-12.50%</v>
      </c>
      <c r="Q362" s="149">
        <v>45412.0</v>
      </c>
      <c r="R362" s="150"/>
      <c r="S362" s="149">
        <v>45419.0</v>
      </c>
      <c r="T362" s="151"/>
      <c r="U362" s="151"/>
      <c r="V362" s="151"/>
      <c r="W362" s="151"/>
    </row>
    <row r="363">
      <c r="A363" s="142">
        <v>4681.0</v>
      </c>
      <c r="B363" s="143" t="str">
        <f t="shared" si="108"/>
        <v>H</v>
      </c>
      <c r="C363" s="143" t="str">
        <f t="shared" si="109"/>
        <v>SISWA-MUNTILAN</v>
      </c>
      <c r="D363" s="145" t="s">
        <v>4618</v>
      </c>
      <c r="E363" s="145" t="str">
        <f>IFERROR(__xludf.DUMMYFUNCTION("vlookup(D363,IMPORTRANGE(""https://docs.google.com/spreadsheets/d/1swGwZOEqYlTEUCJLY-eeJM1911Kvaei5oySBIxdgtNo/edit?pli=1#gid=257618397"",""stock FAKTUR!B:C""),2,false)"),"MIKA LAMINATING VANCO LF-100 FOLIO")</f>
        <v>MIKA LAMINATING VANCO LF-100 FOLIO</v>
      </c>
      <c r="F363" s="53" t="str">
        <f>IFERROR(__xludf.DUMMYFUNCTION("vlookup($D363,IMPORTRANGE(""https://docs.google.com/spreadsheets/d/1swGwZOEqYlTEUCJLY-eeJM1911Kvaei5oySBIxdgtNo/edit?pli=1#gid=257618397"",""stock FAKTUR!B:d""),3,false)"),"")</f>
        <v/>
      </c>
      <c r="G363" s="53" t="str">
        <f>IFERROR(__xludf.DUMMYFUNCTION("vlookup($D363,IMPORTRANGE(""https://docs.google.com/spreadsheets/d/1swGwZOEqYlTEUCJLY-eeJM1911Kvaei5oySBIxdgtNo/edit?pli=1#gid=257618397"",""stock FAKTUR!B:e""),4,false)"),"")</f>
        <v/>
      </c>
      <c r="H363" s="53" t="str">
        <f>IFERROR(__xludf.DUMMYFUNCTION("vlookup($D363,IMPORTRANGE(""https://docs.google.com/spreadsheets/d/1swGwZOEqYlTEUCJLY-eeJM1911Kvaei5oySBIxdgtNo/edit?pli=1#gid=257618397"",""stock FAKTUR!B:F""),5,false)"),"VN")</f>
        <v>VN</v>
      </c>
      <c r="I363" s="53" t="str">
        <f>IFERROR(__xludf.DUMMYFUNCTION("vlookup($D363,IMPORTRANGE(""https://docs.google.com/spreadsheets/d/1swGwZOEqYlTEUCJLY-eeJM1911Kvaei5oySBIxdgtNo/edit?pli=1#gid=257618397"",""stock FAKTUR!B:G""),6,false)"),"LF-100")</f>
        <v>LF-100</v>
      </c>
      <c r="J363" s="120" t="str">
        <f t="shared" si="25"/>
        <v>ADA</v>
      </c>
      <c r="K363" s="142">
        <v>4.0</v>
      </c>
      <c r="L363" s="145" t="str">
        <f>IFERROR(__xludf.DUMMYFUNCTION("vlookup($D363,IMPORTRANGE(""https://docs.google.com/spreadsheets/d/1swGwZOEqYlTEUCJLY-eeJM1911Kvaei5oySBIxdgtNo/edit?pli=1#gid=257618397"",""stock FAKTUR!B:q""),16,false)"),"PAK")</f>
        <v>PAK</v>
      </c>
      <c r="M363" s="147">
        <v>70000.0</v>
      </c>
      <c r="N363" s="148"/>
      <c r="O363" s="147">
        <f t="shared" si="94"/>
        <v>280000</v>
      </c>
      <c r="P363" s="147" t="str">
        <f t="shared" si="3"/>
        <v>Rp70,000-4 PAK-0.00%</v>
      </c>
      <c r="Q363" s="149">
        <v>45412.0</v>
      </c>
      <c r="R363" s="150"/>
      <c r="S363" s="149">
        <v>45419.0</v>
      </c>
      <c r="T363" s="151"/>
      <c r="U363" s="151"/>
      <c r="V363" s="151"/>
      <c r="W363" s="151"/>
    </row>
    <row r="364">
      <c r="A364" s="142">
        <v>4681.0</v>
      </c>
      <c r="B364" s="143" t="str">
        <f t="shared" si="108"/>
        <v>H</v>
      </c>
      <c r="C364" s="143" t="str">
        <f t="shared" si="109"/>
        <v>SISWA-MUNTILAN</v>
      </c>
      <c r="D364" s="145" t="s">
        <v>4434</v>
      </c>
      <c r="E364" s="145" t="str">
        <f>IFERROR(__xludf.DUMMYFUNCTION("vlookup(D364,IMPORTRANGE(""https://docs.google.com/spreadsheets/d/1swGwZOEqYlTEUCJLY-eeJM1911Kvaei5oySBIxdgtNo/edit?pli=1#gid=257618397"",""stock FAKTUR!B:C""),2,false)"),"PW KENKO 24W CP-24F CLASSIC PANJANG")</f>
        <v>PW KENKO 24W CP-24F CLASSIC PANJANG</v>
      </c>
      <c r="F364" s="53" t="str">
        <f>IFERROR(__xludf.DUMMYFUNCTION("vlookup($D364,IMPORTRANGE(""https://docs.google.com/spreadsheets/d/1swGwZOEqYlTEUCJLY-eeJM1911Kvaei5oySBIxdgtNo/edit?pli=1#gid=257618397"",""stock FAKTUR!B:d""),3,false)"),"")</f>
        <v/>
      </c>
      <c r="G364" s="53" t="str">
        <f>IFERROR(__xludf.DUMMYFUNCTION("vlookup($D364,IMPORTRANGE(""https://docs.google.com/spreadsheets/d/1swGwZOEqYlTEUCJLY-eeJM1911Kvaei5oySBIxdgtNo/edit?pli=1#gid=257618397"",""stock FAKTUR!B:e""),4,false)"),"24W")</f>
        <v>24W</v>
      </c>
      <c r="H364" s="53" t="str">
        <f>IFERROR(__xludf.DUMMYFUNCTION("vlookup($D364,IMPORTRANGE(""https://docs.google.com/spreadsheets/d/1swGwZOEqYlTEUCJLY-eeJM1911Kvaei5oySBIxdgtNo/edit?pli=1#gid=257618397"",""stock FAKTUR!B:F""),5,false)"),"KN")</f>
        <v>KN</v>
      </c>
      <c r="I364" s="53" t="str">
        <f>IFERROR(__xludf.DUMMYFUNCTION("vlookup($D364,IMPORTRANGE(""https://docs.google.com/spreadsheets/d/1swGwZOEqYlTEUCJLY-eeJM1911Kvaei5oySBIxdgtNo/edit?pli=1#gid=257618397"",""stock FAKTUR!B:G""),6,false)"),"CP-24F")</f>
        <v>CP-24F</v>
      </c>
      <c r="J364" s="120" t="str">
        <f t="shared" si="25"/>
        <v>ADA</v>
      </c>
      <c r="K364" s="142">
        <v>2.0</v>
      </c>
      <c r="L364" s="145" t="str">
        <f>IFERROR(__xludf.DUMMYFUNCTION("vlookup($D364,IMPORTRANGE(""https://docs.google.com/spreadsheets/d/1swGwZOEqYlTEUCJLY-eeJM1911Kvaei5oySBIxdgtNo/edit?pli=1#gid=257618397"",""stock FAKTUR!B:q""),16,false)"),"LSN")</f>
        <v>LSN</v>
      </c>
      <c r="M364" s="147">
        <v>248400.0</v>
      </c>
      <c r="N364" s="152">
        <v>0.125</v>
      </c>
      <c r="O364" s="147">
        <f t="shared" si="94"/>
        <v>434700</v>
      </c>
      <c r="P364" s="147" t="str">
        <f t="shared" si="3"/>
        <v>Rp248,400-2 LSN-12.50%</v>
      </c>
      <c r="Q364" s="149">
        <v>45412.0</v>
      </c>
      <c r="R364" s="150"/>
      <c r="S364" s="149">
        <v>45419.0</v>
      </c>
      <c r="T364" s="151"/>
      <c r="U364" s="151"/>
      <c r="V364" s="151"/>
      <c r="W364" s="151"/>
    </row>
    <row r="365">
      <c r="A365" s="142">
        <v>4681.0</v>
      </c>
      <c r="B365" s="143" t="str">
        <f t="shared" si="108"/>
        <v>H</v>
      </c>
      <c r="C365" s="143" t="str">
        <f t="shared" si="109"/>
        <v>SISWA-MUNTILAN</v>
      </c>
      <c r="D365" s="145" t="s">
        <v>4387</v>
      </c>
      <c r="E365" s="145" t="str">
        <f>IFERROR(__xludf.DUMMYFUNCTION("vlookup(D365,IMPORTRANGE(""https://docs.google.com/spreadsheets/d/1swGwZOEqYlTEUCJLY-eeJM1911Kvaei5oySBIxdgtNo/edit?pli=1#gid=257618397"",""stock FAKTUR!B:C""),2,false)"),"BP KENKO HI-TECH 0.28MM HITAM")</f>
        <v>BP KENKO HI-TECH 0.28MM HITAM</v>
      </c>
      <c r="F365" s="53" t="str">
        <f>IFERROR(__xludf.DUMMYFUNCTION("vlookup($D365,IMPORTRANGE(""https://docs.google.com/spreadsheets/d/1swGwZOEqYlTEUCJLY-eeJM1911Kvaei5oySBIxdgtNo/edit?pli=1#gid=257618397"",""stock FAKTUR!B:d""),3,false)"),"")</f>
        <v/>
      </c>
      <c r="G365" s="53" t="str">
        <f>IFERROR(__xludf.DUMMYFUNCTION("vlookup($D365,IMPORTRANGE(""https://docs.google.com/spreadsheets/d/1swGwZOEqYlTEUCJLY-eeJM1911Kvaei5oySBIxdgtNo/edit?pli=1#gid=257618397"",""stock FAKTUR!B:e""),4,false)"),"HITAM")</f>
        <v>HITAM</v>
      </c>
      <c r="H365" s="53" t="str">
        <f>IFERROR(__xludf.DUMMYFUNCTION("vlookup($D365,IMPORTRANGE(""https://docs.google.com/spreadsheets/d/1swGwZOEqYlTEUCJLY-eeJM1911Kvaei5oySBIxdgtNo/edit?pli=1#gid=257618397"",""stock FAKTUR!B:F""),5,false)"),"KN")</f>
        <v>KN</v>
      </c>
      <c r="I365" s="53" t="str">
        <f>IFERROR(__xludf.DUMMYFUNCTION("vlookup($D365,IMPORTRANGE(""https://docs.google.com/spreadsheets/d/1swGwZOEqYlTEUCJLY-eeJM1911Kvaei5oySBIxdgtNo/edit?pli=1#gid=257618397"",""stock FAKTUR!B:G""),6,false)"),"GPT-018B")</f>
        <v>GPT-018B</v>
      </c>
      <c r="J365" s="120" t="str">
        <f t="shared" si="25"/>
        <v>ADA</v>
      </c>
      <c r="K365" s="142">
        <v>72.0</v>
      </c>
      <c r="L365" s="145" t="str">
        <f>IFERROR(__xludf.DUMMYFUNCTION("vlookup($D365,IMPORTRANGE(""https://docs.google.com/spreadsheets/d/1swGwZOEqYlTEUCJLY-eeJM1911Kvaei5oySBIxdgtNo/edit?pli=1#gid=257618397"",""stock FAKTUR!B:q""),16,false)"),"LSN")</f>
        <v>LSN</v>
      </c>
      <c r="M365" s="147">
        <v>39000.0</v>
      </c>
      <c r="N365" s="152">
        <v>0.125</v>
      </c>
      <c r="O365" s="147">
        <f t="shared" si="94"/>
        <v>2457000</v>
      </c>
      <c r="P365" s="147" t="str">
        <f t="shared" si="3"/>
        <v>Rp39,000-72 LSN-12.50%</v>
      </c>
      <c r="Q365" s="149">
        <v>45412.0</v>
      </c>
      <c r="R365" s="150"/>
      <c r="S365" s="149">
        <v>45419.0</v>
      </c>
      <c r="T365" s="151"/>
      <c r="U365" s="151"/>
      <c r="V365" s="151"/>
      <c r="W365" s="151"/>
    </row>
    <row r="366">
      <c r="A366" s="142">
        <v>4680.0</v>
      </c>
      <c r="B366" s="143" t="s">
        <v>33</v>
      </c>
      <c r="C366" s="143" t="s">
        <v>2418</v>
      </c>
      <c r="D366" s="145" t="s">
        <v>4619</v>
      </c>
      <c r="E366" s="145" t="str">
        <f>IFERROR(__xludf.DUMMYFUNCTION("vlookup(D366,IMPORTRANGE(""https://docs.google.com/spreadsheets/d/1swGwZOEqYlTEUCJLY-eeJM1911Kvaei5oySBIxdgtNo/edit?pli=1#gid=257618397"",""stock FAKTUR!B:C""),2,false)"),"COLOR CLIP KENKO 3100")</f>
        <v>COLOR CLIP KENKO 3100</v>
      </c>
      <c r="F366" s="53" t="str">
        <f>IFERROR(__xludf.DUMMYFUNCTION("vlookup($D366,IMPORTRANGE(""https://docs.google.com/spreadsheets/d/1swGwZOEqYlTEUCJLY-eeJM1911Kvaei5oySBIxdgtNo/edit?pli=1#gid=257618397"",""stock FAKTUR!B:d""),3,false)"),"")</f>
        <v/>
      </c>
      <c r="G366" s="53" t="str">
        <f>IFERROR(__xludf.DUMMYFUNCTION("vlookup($D366,IMPORTRANGE(""https://docs.google.com/spreadsheets/d/1swGwZOEqYlTEUCJLY-eeJM1911Kvaei5oySBIxdgtNo/edit?pli=1#gid=257618397"",""stock FAKTUR!B:e""),4,false)"),"")</f>
        <v/>
      </c>
      <c r="H366" s="53" t="str">
        <f>IFERROR(__xludf.DUMMYFUNCTION("vlookup($D366,IMPORTRANGE(""https://docs.google.com/spreadsheets/d/1swGwZOEqYlTEUCJLY-eeJM1911Kvaei5oySBIxdgtNo/edit?pli=1#gid=257618397"",""stock FAKTUR!B:F""),5,false)"),"KN")</f>
        <v>KN</v>
      </c>
      <c r="I366" s="53" t="str">
        <f>IFERROR(__xludf.DUMMYFUNCTION("vlookup($D366,IMPORTRANGE(""https://docs.google.com/spreadsheets/d/1swGwZOEqYlTEUCJLY-eeJM1911Kvaei5oySBIxdgtNo/edit?pli=1#gid=257618397"",""stock FAKTUR!B:G""),6,false)"),"CLP-004")</f>
        <v>CLP-004</v>
      </c>
      <c r="J366" s="120" t="str">
        <f t="shared" si="25"/>
        <v>ADA</v>
      </c>
      <c r="K366" s="142">
        <v>6.0</v>
      </c>
      <c r="L366" s="145" t="str">
        <f>IFERROR(__xludf.DUMMYFUNCTION("vlookup($D366,IMPORTRANGE(""https://docs.google.com/spreadsheets/d/1swGwZOEqYlTEUCJLY-eeJM1911Kvaei5oySBIxdgtNo/edit?pli=1#gid=257618397"",""stock FAKTUR!B:q""),16,false)"),"LSN")</f>
        <v>LSN</v>
      </c>
      <c r="M366" s="147">
        <v>41400.0</v>
      </c>
      <c r="N366" s="152">
        <v>0.05</v>
      </c>
      <c r="O366" s="147">
        <f t="shared" si="94"/>
        <v>235980</v>
      </c>
      <c r="P366" s="147" t="str">
        <f t="shared" si="3"/>
        <v>Rp41,400-6 LSN-5.00%</v>
      </c>
      <c r="Q366" s="149">
        <v>45412.0</v>
      </c>
      <c r="R366" s="150"/>
      <c r="S366" s="149">
        <v>45419.0</v>
      </c>
      <c r="T366" s="151"/>
      <c r="U366" s="151"/>
      <c r="V366" s="151"/>
      <c r="W366" s="151"/>
    </row>
    <row r="367">
      <c r="A367" s="142">
        <v>4680.0</v>
      </c>
      <c r="B367" s="143" t="str">
        <f t="shared" ref="B367:B368" si="110">IF(A367=A366,B366,"")</f>
        <v>H</v>
      </c>
      <c r="C367" s="143" t="str">
        <f t="shared" ref="C367:C368" si="111">IF(A367=A366,C366,"")</f>
        <v>PANTES-BANTUL</v>
      </c>
      <c r="D367" s="145" t="s">
        <v>4620</v>
      </c>
      <c r="E367" s="145" t="str">
        <f>IFERROR(__xludf.DUMMYFUNCTION("vlookup(D367,IMPORTRANGE(""https://docs.google.com/spreadsheets/d/1swGwZOEqYlTEUCJLY-eeJM1911Kvaei5oySBIxdgtNo/edit?pli=1#gid=257618397"",""stock FAKTUR!B:C""),2,false)"),"STIP KENKO ERB-20SQ HITAM")</f>
        <v>STIP KENKO ERB-20SQ HITAM</v>
      </c>
      <c r="F367" s="53" t="str">
        <f>IFERROR(__xludf.DUMMYFUNCTION("vlookup($D367,IMPORTRANGE(""https://docs.google.com/spreadsheets/d/1swGwZOEqYlTEUCJLY-eeJM1911Kvaei5oySBIxdgtNo/edit?pli=1#gid=257618397"",""stock FAKTUR!B:d""),3,false)"),"")</f>
        <v/>
      </c>
      <c r="G367" s="53" t="str">
        <f>IFERROR(__xludf.DUMMYFUNCTION("vlookup($D367,IMPORTRANGE(""https://docs.google.com/spreadsheets/d/1swGwZOEqYlTEUCJLY-eeJM1911Kvaei5oySBIxdgtNo/edit?pli=1#gid=257618397"",""stock FAKTUR!B:e""),4,false)"),"HITAM")</f>
        <v>HITAM</v>
      </c>
      <c r="H367" s="53" t="str">
        <f>IFERROR(__xludf.DUMMYFUNCTION("vlookup($D367,IMPORTRANGE(""https://docs.google.com/spreadsheets/d/1swGwZOEqYlTEUCJLY-eeJM1911Kvaei5oySBIxdgtNo/edit?pli=1#gid=257618397"",""stock FAKTUR!B:F""),5,false)"),"KN")</f>
        <v>KN</v>
      </c>
      <c r="I367" s="53" t="str">
        <f>IFERROR(__xludf.DUMMYFUNCTION("vlookup($D367,IMPORTRANGE(""https://docs.google.com/spreadsheets/d/1swGwZOEqYlTEUCJLY-eeJM1911Kvaei5oySBIxdgtNo/edit?pli=1#gid=257618397"",""stock FAKTUR!B:G""),6,false)"),"ERS-001")</f>
        <v>ERS-001</v>
      </c>
      <c r="J367" s="120" t="str">
        <f t="shared" si="25"/>
        <v>ADA</v>
      </c>
      <c r="K367" s="142">
        <v>5.0</v>
      </c>
      <c r="L367" s="145" t="str">
        <f>IFERROR(__xludf.DUMMYFUNCTION("vlookup($D367,IMPORTRANGE(""https://docs.google.com/spreadsheets/d/1swGwZOEqYlTEUCJLY-eeJM1911Kvaei5oySBIxdgtNo/edit?pli=1#gid=257618397"",""stock FAKTUR!B:q""),16,false)"),"BOX")</f>
        <v>BOX</v>
      </c>
      <c r="M367" s="147">
        <v>30000.0</v>
      </c>
      <c r="N367" s="152">
        <v>0.05</v>
      </c>
      <c r="O367" s="147">
        <f t="shared" si="94"/>
        <v>142500</v>
      </c>
      <c r="P367" s="147" t="str">
        <f t="shared" si="3"/>
        <v>Rp30,000-5 BOX-5.00%</v>
      </c>
      <c r="Q367" s="149">
        <v>45412.0</v>
      </c>
      <c r="R367" s="150"/>
      <c r="S367" s="149">
        <v>45419.0</v>
      </c>
      <c r="T367" s="151"/>
      <c r="U367" s="151"/>
      <c r="V367" s="151"/>
      <c r="W367" s="151"/>
    </row>
    <row r="368">
      <c r="A368" s="142">
        <v>4680.0</v>
      </c>
      <c r="B368" s="143" t="str">
        <f t="shared" si="110"/>
        <v>H</v>
      </c>
      <c r="C368" s="143" t="str">
        <f t="shared" si="111"/>
        <v>PANTES-BANTUL</v>
      </c>
      <c r="D368" s="145" t="s">
        <v>4459</v>
      </c>
      <c r="E368" s="145" t="str">
        <f>IFERROR(__xludf.DUMMYFUNCTION("vlookup(D368,IMPORTRANGE(""https://docs.google.com/spreadsheets/d/1swGwZOEqYlTEUCJLY-eeJM1911Kvaei5oySBIxdgtNo/edit?pli=1#gid=257618397"",""stock FAKTUR!B:C""),2,false)"),"STIP KENKO ERW-20SQ PUTIH")</f>
        <v>STIP KENKO ERW-20SQ PUTIH</v>
      </c>
      <c r="F368" s="53" t="str">
        <f>IFERROR(__xludf.DUMMYFUNCTION("vlookup($D368,IMPORTRANGE(""https://docs.google.com/spreadsheets/d/1swGwZOEqYlTEUCJLY-eeJM1911Kvaei5oySBIxdgtNo/edit?pli=1#gid=257618397"",""stock FAKTUR!B:d""),3,false)"),"")</f>
        <v/>
      </c>
      <c r="G368" s="53" t="str">
        <f>IFERROR(__xludf.DUMMYFUNCTION("vlookup($D368,IMPORTRANGE(""https://docs.google.com/spreadsheets/d/1swGwZOEqYlTEUCJLY-eeJM1911Kvaei5oySBIxdgtNo/edit?pli=1#gid=257618397"",""stock FAKTUR!B:e""),4,false)"),"PUTIH")</f>
        <v>PUTIH</v>
      </c>
      <c r="H368" s="53" t="str">
        <f>IFERROR(__xludf.DUMMYFUNCTION("vlookup($D368,IMPORTRANGE(""https://docs.google.com/spreadsheets/d/1swGwZOEqYlTEUCJLY-eeJM1911Kvaei5oySBIxdgtNo/edit?pli=1#gid=257618397"",""stock FAKTUR!B:F""),5,false)"),"KN")</f>
        <v>KN</v>
      </c>
      <c r="I368" s="53" t="str">
        <f>IFERROR(__xludf.DUMMYFUNCTION("vlookup($D368,IMPORTRANGE(""https://docs.google.com/spreadsheets/d/1swGwZOEqYlTEUCJLY-eeJM1911Kvaei5oySBIxdgtNo/edit?pli=1#gid=257618397"",""stock FAKTUR!B:G""),6,false)"),"ERS-002")</f>
        <v>ERS-002</v>
      </c>
      <c r="J368" s="120" t="str">
        <f t="shared" si="25"/>
        <v>ADA</v>
      </c>
      <c r="K368" s="142">
        <v>5.0</v>
      </c>
      <c r="L368" s="145" t="str">
        <f>IFERROR(__xludf.DUMMYFUNCTION("vlookup($D368,IMPORTRANGE(""https://docs.google.com/spreadsheets/d/1swGwZOEqYlTEUCJLY-eeJM1911Kvaei5oySBIxdgtNo/edit?pli=1#gid=257618397"",""stock FAKTUR!B:q""),16,false)"),"BOX")</f>
        <v>BOX</v>
      </c>
      <c r="M368" s="147">
        <v>30000.0</v>
      </c>
      <c r="N368" s="152">
        <v>0.05</v>
      </c>
      <c r="O368" s="147">
        <f t="shared" si="94"/>
        <v>142500</v>
      </c>
      <c r="P368" s="147" t="str">
        <f t="shared" si="3"/>
        <v>Rp30,000-5 BOX-5.00%</v>
      </c>
      <c r="Q368" s="149">
        <v>45412.0</v>
      </c>
      <c r="R368" s="150"/>
      <c r="S368" s="149">
        <v>45419.0</v>
      </c>
      <c r="T368" s="151"/>
      <c r="U368" s="151"/>
      <c r="V368" s="151"/>
      <c r="W368" s="151"/>
    </row>
    <row r="369">
      <c r="A369" s="142">
        <v>4677.0</v>
      </c>
      <c r="B369" s="143" t="s">
        <v>33</v>
      </c>
      <c r="C369" s="143" t="s">
        <v>34</v>
      </c>
      <c r="D369" s="145" t="s">
        <v>4505</v>
      </c>
      <c r="E369" s="145" t="str">
        <f>IFERROR(__xludf.DUMMYFUNCTION("vlookup(D369,IMPORTRANGE(""https://docs.google.com/spreadsheets/d/1swGwZOEqYlTEUCJLY-eeJM1911Kvaei5oySBIxdgtNo/edit?pli=1#gid=257618397"",""stock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369" s="53" t="str">
        <f>IFERROR(__xludf.DUMMYFUNCTION("vlookup($D369,IMPORTRANGE(""https://docs.google.com/spreadsheets/d/1swGwZOEqYlTEUCJLY-eeJM1911Kvaei5oySBIxdgtNo/edit?pli=1#gid=257618397"",""stock FAKTUR!B:d""),3,false)"),"")</f>
        <v/>
      </c>
      <c r="G369" s="53" t="str">
        <f>IFERROR(__xludf.DUMMYFUNCTION("vlookup($D369,IMPORTRANGE(""https://docs.google.com/spreadsheets/d/1swGwZOEqYlTEUCJLY-eeJM1911Kvaei5oySBIxdgtNo/edit?pli=1#gid=257618397"",""stock FAKTUR!B:e""),4,false)"),"24W")</f>
        <v>24W</v>
      </c>
      <c r="H369" s="53" t="str">
        <f>IFERROR(__xludf.DUMMYFUNCTION("vlookup($D369,IMPORTRANGE(""https://docs.google.com/spreadsheets/d/1swGwZOEqYlTEUCJLY-eeJM1911Kvaei5oySBIxdgtNo/edit?pli=1#gid=257618397"",""stock FAKTUR!B:F""),5,false)"),"JK")</f>
        <v>JK</v>
      </c>
      <c r="I369" s="53" t="str">
        <f>IFERROR(__xludf.DUMMYFUNCTION("vlookup($D369,IMPORTRANGE(""https://docs.google.com/spreadsheets/d/1swGwZOEqYlTEUCJLY-eeJM1911Kvaei5oySBIxdgtNo/edit?pli=1#gid=257618397"",""stock FAKTUR!B:G""),6,false)"),"OP-24S")</f>
        <v>OP-24S</v>
      </c>
      <c r="J369" s="120" t="str">
        <f t="shared" si="25"/>
        <v>ADA</v>
      </c>
      <c r="K369" s="142">
        <v>48.0</v>
      </c>
      <c r="L369" s="145" t="str">
        <f>IFERROR(__xludf.DUMMYFUNCTION("vlookup($D369,IMPORTRANGE(""https://docs.google.com/spreadsheets/d/1swGwZOEqYlTEUCJLY-eeJM1911Kvaei5oySBIxdgtNo/edit?pli=1#gid=257618397"",""stock FAKTUR!B:q""),16,false)"),"PCS")</f>
        <v>PCS</v>
      </c>
      <c r="M369" s="147">
        <v>29600.0</v>
      </c>
      <c r="N369" s="152">
        <v>0.13</v>
      </c>
      <c r="O369" s="147">
        <f t="shared" si="94"/>
        <v>1236096</v>
      </c>
      <c r="P369" s="147" t="str">
        <f t="shared" si="3"/>
        <v>Rp29,600-48 PCS-13.00%</v>
      </c>
      <c r="Q369" s="149">
        <v>45412.0</v>
      </c>
      <c r="R369" s="150"/>
      <c r="S369" s="149">
        <v>45419.0</v>
      </c>
      <c r="T369" s="151"/>
      <c r="U369" s="151"/>
      <c r="V369" s="151"/>
      <c r="W369" s="151"/>
    </row>
    <row r="370">
      <c r="A370" s="142">
        <v>4682.0</v>
      </c>
      <c r="B370" s="143" t="s">
        <v>33</v>
      </c>
      <c r="C370" s="143" t="s">
        <v>2413</v>
      </c>
      <c r="D370" s="145" t="s">
        <v>4621</v>
      </c>
      <c r="E370" s="145" t="str">
        <f>IFERROR(__xludf.DUMMYFUNCTION("vlookup(D370,IMPORTRANGE(""https://docs.google.com/spreadsheets/d/1swGwZOEqYlTEUCJLY-eeJM1911Kvaei5oySBIxdgtNo/edit?pli=1#gid=257618397"",""stock FAKTUR!B:C""),2,false)"),"PUNCH KENKO 30XL")</f>
        <v>PUNCH KENKO 30XL</v>
      </c>
      <c r="F370" s="53" t="str">
        <f>IFERROR(__xludf.DUMMYFUNCTION("vlookup($D370,IMPORTRANGE(""https://docs.google.com/spreadsheets/d/1swGwZOEqYlTEUCJLY-eeJM1911Kvaei5oySBIxdgtNo/edit?pli=1#gid=257618397"",""stock FAKTUR!B:d""),3,false)"),"")</f>
        <v/>
      </c>
      <c r="G370" s="53" t="str">
        <f>IFERROR(__xludf.DUMMYFUNCTION("vlookup($D370,IMPORTRANGE(""https://docs.google.com/spreadsheets/d/1swGwZOEqYlTEUCJLY-eeJM1911Kvaei5oySBIxdgtNo/edit?pli=1#gid=257618397"",""stock FAKTUR!B:e""),4,false)"),"")</f>
        <v/>
      </c>
      <c r="H370" s="53" t="str">
        <f>IFERROR(__xludf.DUMMYFUNCTION("vlookup($D370,IMPORTRANGE(""https://docs.google.com/spreadsheets/d/1swGwZOEqYlTEUCJLY-eeJM1911Kvaei5oySBIxdgtNo/edit?pli=1#gid=257618397"",""stock FAKTUR!B:F""),5,false)"),"KN")</f>
        <v>KN</v>
      </c>
      <c r="I370" s="53" t="str">
        <f>IFERROR(__xludf.DUMMYFUNCTION("vlookup($D370,IMPORTRANGE(""https://docs.google.com/spreadsheets/d/1swGwZOEqYlTEUCJLY-eeJM1911Kvaei5oySBIxdgtNo/edit?pli=1#gid=257618397"",""stock FAKTUR!B:G""),6,false)"),"PNC-006")</f>
        <v>PNC-006</v>
      </c>
      <c r="J370" s="120" t="str">
        <f t="shared" si="25"/>
        <v>ADA</v>
      </c>
      <c r="K370" s="142">
        <f>24/12</f>
        <v>2</v>
      </c>
      <c r="L370" s="145" t="str">
        <f>IFERROR(__xludf.DUMMYFUNCTION("vlookup($D370,IMPORTRANGE(""https://docs.google.com/spreadsheets/d/1swGwZOEqYlTEUCJLY-eeJM1911Kvaei5oySBIxdgtNo/edit?pli=1#gid=257618397"",""stock FAKTUR!B:q""),16,false)"),"LSN")</f>
        <v>LSN</v>
      </c>
      <c r="M370" s="147">
        <f>15000*12</f>
        <v>180000</v>
      </c>
      <c r="N370" s="152">
        <v>0.1</v>
      </c>
      <c r="O370" s="147">
        <f t="shared" si="94"/>
        <v>324000</v>
      </c>
      <c r="P370" s="147" t="str">
        <f t="shared" si="3"/>
        <v>Rp180,000-2 LSN-10.00%</v>
      </c>
      <c r="Q370" s="149">
        <v>45412.0</v>
      </c>
      <c r="R370" s="150"/>
      <c r="S370" s="149">
        <v>45419.0</v>
      </c>
      <c r="T370" s="151"/>
      <c r="U370" s="151"/>
      <c r="V370" s="151"/>
      <c r="W370" s="151"/>
    </row>
    <row r="371">
      <c r="A371" s="142">
        <v>4682.0</v>
      </c>
      <c r="B371" s="143" t="str">
        <f t="shared" ref="B371:B375" si="112">IF(A371=A370,B370,"")</f>
        <v>H</v>
      </c>
      <c r="C371" s="143" t="str">
        <f>IF(A371=A370,C370,"")</f>
        <v>MUDA JAYA-PURWOREJO</v>
      </c>
      <c r="D371" s="145" t="s">
        <v>4416</v>
      </c>
      <c r="E371" s="145" t="str">
        <f>IFERROR(__xludf.DUMMYFUNCTION("vlookup(D371,IMPORTRANGE(""https://docs.google.com/spreadsheets/d/1swGwZOEqYlTEUCJLY-eeJM1911Kvaei5oySBIxdgtNo/edit?pli=1#gid=257618397"",""stock FAKTUR!B:C""),2,false)"),"BP KENKO KE-303 T-GEL HITAM")</f>
        <v>BP KENKO KE-303 T-GEL HITAM</v>
      </c>
      <c r="F371" s="53" t="str">
        <f>IFERROR(__xludf.DUMMYFUNCTION("vlookup($D371,IMPORTRANGE(""https://docs.google.com/spreadsheets/d/1swGwZOEqYlTEUCJLY-eeJM1911Kvaei5oySBIxdgtNo/edit?pli=1#gid=257618397"",""stock FAKTUR!B:d""),3,false)"),"")</f>
        <v/>
      </c>
      <c r="G371" s="53" t="str">
        <f>IFERROR(__xludf.DUMMYFUNCTION("vlookup($D371,IMPORTRANGE(""https://docs.google.com/spreadsheets/d/1swGwZOEqYlTEUCJLY-eeJM1911Kvaei5oySBIxdgtNo/edit?pli=1#gid=257618397"",""stock FAKTUR!B:e""),4,false)"),"")</f>
        <v/>
      </c>
      <c r="H371" s="53" t="str">
        <f>IFERROR(__xludf.DUMMYFUNCTION("vlookup($D371,IMPORTRANGE(""https://docs.google.com/spreadsheets/d/1swGwZOEqYlTEUCJLY-eeJM1911Kvaei5oySBIxdgtNo/edit?pli=1#gid=257618397"",""stock FAKTUR!B:F""),5,false)"),"KN")</f>
        <v>KN</v>
      </c>
      <c r="I371" s="53" t="str">
        <f>IFERROR(__xludf.DUMMYFUNCTION("vlookup($D371,IMPORTRANGE(""https://docs.google.com/spreadsheets/d/1swGwZOEqYlTEUCJLY-eeJM1911Kvaei5oySBIxdgtNo/edit?pli=1#gid=257618397"",""stock FAKTUR!B:G""),6,false)"),"KE-303")</f>
        <v>KE-303</v>
      </c>
      <c r="J371" s="120" t="str">
        <f t="shared" si="25"/>
        <v>ADA</v>
      </c>
      <c r="K371" s="142">
        <v>12.0</v>
      </c>
      <c r="L371" s="145" t="str">
        <f>IFERROR(__xludf.DUMMYFUNCTION("vlookup($D371,IMPORTRANGE(""https://docs.google.com/spreadsheets/d/1swGwZOEqYlTEUCJLY-eeJM1911Kvaei5oySBIxdgtNo/edit?pli=1#gid=257618397"",""stock FAKTUR!B:q""),16,false)"),"LSN")</f>
        <v>LSN</v>
      </c>
      <c r="M371" s="147">
        <v>21600.0</v>
      </c>
      <c r="N371" s="152">
        <v>0.1</v>
      </c>
      <c r="O371" s="147">
        <f t="shared" si="94"/>
        <v>233280</v>
      </c>
      <c r="P371" s="147" t="str">
        <f t="shared" si="3"/>
        <v>Rp21,600-12 LSN-10.00%</v>
      </c>
      <c r="Q371" s="149">
        <v>45412.0</v>
      </c>
      <c r="R371" s="150"/>
      <c r="S371" s="149">
        <v>45419.0</v>
      </c>
      <c r="T371" s="151"/>
      <c r="U371" s="151"/>
      <c r="V371" s="151"/>
      <c r="W371" s="151"/>
    </row>
    <row r="372">
      <c r="A372" s="142">
        <v>234.0</v>
      </c>
      <c r="B372" s="143" t="str">
        <f t="shared" si="112"/>
        <v/>
      </c>
      <c r="C372" s="143" t="s">
        <v>4518</v>
      </c>
      <c r="D372" s="159" t="s">
        <v>4622</v>
      </c>
      <c r="E372" s="145" t="str">
        <f>IFERROR(__xludf.DUMMYFUNCTION("vlookup(D372,IMPORTRANGE(""https://docs.google.com/spreadsheets/d/1swGwZOEqYlTEUCJLY-eeJM1911Kvaei5oySBIxdgtNo/edit?pli=1#gid=257618397"",""stock FAKTUR!B:C""),2,false)"),"BP KENKO KE-303 T-GEL BIRU")</f>
        <v>BP KENKO KE-303 T-GEL BIRU</v>
      </c>
      <c r="F372" s="53" t="str">
        <f>IFERROR(__xludf.DUMMYFUNCTION("vlookup($D372,IMPORTRANGE(""https://docs.google.com/spreadsheets/d/1swGwZOEqYlTEUCJLY-eeJM1911Kvaei5oySBIxdgtNo/edit?pli=1#gid=257618397"",""stock FAKTUR!B:d""),3,false)"),"")</f>
        <v/>
      </c>
      <c r="G372" s="53" t="str">
        <f>IFERROR(__xludf.DUMMYFUNCTION("vlookup($D372,IMPORTRANGE(""https://docs.google.com/spreadsheets/d/1swGwZOEqYlTEUCJLY-eeJM1911Kvaei5oySBIxdgtNo/edit?pli=1#gid=257618397"",""stock FAKTUR!B:e""),4,false)"),"BIRU")</f>
        <v>BIRU</v>
      </c>
      <c r="H372" s="53" t="str">
        <f>IFERROR(__xludf.DUMMYFUNCTION("vlookup($D372,IMPORTRANGE(""https://docs.google.com/spreadsheets/d/1swGwZOEqYlTEUCJLY-eeJM1911Kvaei5oySBIxdgtNo/edit?pli=1#gid=257618397"",""stock FAKTUR!B:F""),5,false)"),"KN")</f>
        <v>KN</v>
      </c>
      <c r="I372" s="53" t="str">
        <f>IFERROR(__xludf.DUMMYFUNCTION("vlookup($D372,IMPORTRANGE(""https://docs.google.com/spreadsheets/d/1swGwZOEqYlTEUCJLY-eeJM1911Kvaei5oySBIxdgtNo/edit?pli=1#gid=257618397"",""stock FAKTUR!B:G""),6,false)"),"KE-303")</f>
        <v>KE-303</v>
      </c>
      <c r="J372" s="120" t="str">
        <f t="shared" si="25"/>
        <v>ADA</v>
      </c>
      <c r="K372" s="142">
        <v>1.0</v>
      </c>
      <c r="L372" s="145" t="str">
        <f>IFERROR(__xludf.DUMMYFUNCTION("vlookup($D372,IMPORTRANGE(""https://docs.google.com/spreadsheets/d/1swGwZOEqYlTEUCJLY-eeJM1911Kvaei5oySBIxdgtNo/edit?pli=1#gid=257618397"",""stock FAKTUR!B:q""),16,false)"),"LSN")</f>
        <v>LSN</v>
      </c>
      <c r="M372" s="147">
        <v>21600.0</v>
      </c>
      <c r="N372" s="152">
        <v>0.15</v>
      </c>
      <c r="O372" s="147">
        <f t="shared" si="94"/>
        <v>18360</v>
      </c>
      <c r="P372" s="147" t="str">
        <f t="shared" si="3"/>
        <v>Rp21,600-1 LSN-15.00%</v>
      </c>
      <c r="Q372" s="149">
        <v>45415.0</v>
      </c>
      <c r="R372" s="150"/>
      <c r="S372" s="149">
        <v>45419.0</v>
      </c>
      <c r="T372" s="151"/>
      <c r="U372" s="151"/>
      <c r="V372" s="151"/>
      <c r="W372" s="151"/>
    </row>
    <row r="373">
      <c r="A373" s="142">
        <v>234.0</v>
      </c>
      <c r="B373" s="143" t="str">
        <f t="shared" si="112"/>
        <v/>
      </c>
      <c r="C373" s="143" t="str">
        <f t="shared" ref="C373:C375" si="113">IF(A373=A372,C372,"")</f>
        <v>SBM</v>
      </c>
      <c r="D373" s="145" t="s">
        <v>4458</v>
      </c>
      <c r="E373" s="145" t="str">
        <f>IFERROR(__xludf.DUMMYFUNCTION("vlookup(D373,IMPORTRANGE(""https://docs.google.com/spreadsheets/d/1swGwZOEqYlTEUCJLY-eeJM1911Kvaei5oySBIxdgtNo/edit?pli=1#gid=257618397"",""stock FAKTUR!B:C""),2,false)"),"ISI CUTTER KENKO A-100 KECIL")</f>
        <v>ISI CUTTER KENKO A-100 KECIL</v>
      </c>
      <c r="F373" s="53" t="str">
        <f>IFERROR(__xludf.DUMMYFUNCTION("vlookup($D373,IMPORTRANGE(""https://docs.google.com/spreadsheets/d/1swGwZOEqYlTEUCJLY-eeJM1911Kvaei5oySBIxdgtNo/edit?pli=1#gid=257618397"",""stock FAKTUR!B:d""),3,false)"),"9 MM")</f>
        <v>9 MM</v>
      </c>
      <c r="G373" s="53" t="str">
        <f>IFERROR(__xludf.DUMMYFUNCTION("vlookup($D373,IMPORTRANGE(""https://docs.google.com/spreadsheets/d/1swGwZOEqYlTEUCJLY-eeJM1911Kvaei5oySBIxdgtNo/edit?pli=1#gid=257618397"",""stock FAKTUR!B:e""),4,false)"),"")</f>
        <v/>
      </c>
      <c r="H373" s="53" t="str">
        <f>IFERROR(__xludf.DUMMYFUNCTION("vlookup($D373,IMPORTRANGE(""https://docs.google.com/spreadsheets/d/1swGwZOEqYlTEUCJLY-eeJM1911Kvaei5oySBIxdgtNo/edit?pli=1#gid=257618397"",""stock FAKTUR!B:F""),5,false)"),"KN")</f>
        <v>KN</v>
      </c>
      <c r="I373" s="53" t="str">
        <f>IFERROR(__xludf.DUMMYFUNCTION("vlookup($D373,IMPORTRANGE(""https://docs.google.com/spreadsheets/d/1swGwZOEqYlTEUCJLY-eeJM1911Kvaei5oySBIxdgtNo/edit?pli=1#gid=257618397"",""stock FAKTUR!B:G""),6,false)"),"CTB-001")</f>
        <v>CTB-001</v>
      </c>
      <c r="J373" s="120" t="str">
        <f t="shared" si="25"/>
        <v>ADA</v>
      </c>
      <c r="K373" s="142">
        <v>1.0</v>
      </c>
      <c r="L373" s="145" t="str">
        <f>IFERROR(__xludf.DUMMYFUNCTION("vlookup($D373,IMPORTRANGE(""https://docs.google.com/spreadsheets/d/1swGwZOEqYlTEUCJLY-eeJM1911Kvaei5oySBIxdgtNo/edit?pli=1#gid=257618397"",""stock FAKTUR!B:q""),16,false)"),"LSN")</f>
        <v>LSN</v>
      </c>
      <c r="M373" s="147">
        <v>32400.0</v>
      </c>
      <c r="N373" s="152">
        <v>0.15</v>
      </c>
      <c r="O373" s="147">
        <f t="shared" si="94"/>
        <v>27540</v>
      </c>
      <c r="P373" s="147" t="str">
        <f t="shared" si="3"/>
        <v>Rp32,400-1 LSN-15.00%</v>
      </c>
      <c r="Q373" s="149">
        <v>45415.0</v>
      </c>
      <c r="R373" s="150"/>
      <c r="S373" s="149">
        <v>45419.0</v>
      </c>
      <c r="T373" s="151"/>
      <c r="U373" s="151"/>
      <c r="V373" s="151"/>
      <c r="W373" s="151"/>
    </row>
    <row r="374">
      <c r="A374" s="142">
        <v>234.0</v>
      </c>
      <c r="B374" s="143" t="str">
        <f t="shared" si="112"/>
        <v/>
      </c>
      <c r="C374" s="143" t="str">
        <f t="shared" si="113"/>
        <v>SBM</v>
      </c>
      <c r="D374" s="145" t="s">
        <v>4398</v>
      </c>
      <c r="E374" s="145" t="str">
        <f>IFERROR(__xludf.DUMMYFUNCTION("vlookup(D374,IMPORTRANGE(""https://docs.google.com/spreadsheets/d/1swGwZOEqYlTEUCJLY-eeJM1911Kvaei5oySBIxdgtNo/edit?pli=1#gid=257618397"",""stock FAKTUR!B:C""),2,false)"),"ISI CUTTER KENKO L-150 BESAR")</f>
        <v>ISI CUTTER KENKO L-150 BESAR</v>
      </c>
      <c r="F374" s="53" t="str">
        <f>IFERROR(__xludf.DUMMYFUNCTION("vlookup($D374,IMPORTRANGE(""https://docs.google.com/spreadsheets/d/1swGwZOEqYlTEUCJLY-eeJM1911Kvaei5oySBIxdgtNo/edit?pli=1#gid=257618397"",""stock FAKTUR!B:d""),3,false)"),"18 MM")</f>
        <v>18 MM</v>
      </c>
      <c r="G374" s="53" t="str">
        <f>IFERROR(__xludf.DUMMYFUNCTION("vlookup($D374,IMPORTRANGE(""https://docs.google.com/spreadsheets/d/1swGwZOEqYlTEUCJLY-eeJM1911Kvaei5oySBIxdgtNo/edit?pli=1#gid=257618397"",""stock FAKTUR!B:e""),4,false)"),"")</f>
        <v/>
      </c>
      <c r="H374" s="53" t="str">
        <f>IFERROR(__xludf.DUMMYFUNCTION("vlookup($D374,IMPORTRANGE(""https://docs.google.com/spreadsheets/d/1swGwZOEqYlTEUCJLY-eeJM1911Kvaei5oySBIxdgtNo/edit?pli=1#gid=257618397"",""stock FAKTUR!B:F""),5,false)"),"KN")</f>
        <v>KN</v>
      </c>
      <c r="I374" s="53" t="str">
        <f>IFERROR(__xludf.DUMMYFUNCTION("vlookup($D374,IMPORTRANGE(""https://docs.google.com/spreadsheets/d/1swGwZOEqYlTEUCJLY-eeJM1911Kvaei5oySBIxdgtNo/edit?pli=1#gid=257618397"",""stock FAKTUR!B:G""),6,false)"),"CTB-002")</f>
        <v>CTB-002</v>
      </c>
      <c r="J374" s="120" t="str">
        <f t="shared" si="25"/>
        <v>ADA</v>
      </c>
      <c r="K374" s="142">
        <v>1.0</v>
      </c>
      <c r="L374" s="145" t="str">
        <f>IFERROR(__xludf.DUMMYFUNCTION("vlookup($D374,IMPORTRANGE(""https://docs.google.com/spreadsheets/d/1swGwZOEqYlTEUCJLY-eeJM1911Kvaei5oySBIxdgtNo/edit?pli=1#gid=257618397"",""stock FAKTUR!B:q""),16,false)"),"LSN")</f>
        <v>LSN</v>
      </c>
      <c r="M374" s="147">
        <v>64800.0</v>
      </c>
      <c r="N374" s="152">
        <v>0.15</v>
      </c>
      <c r="O374" s="147">
        <f t="shared" si="94"/>
        <v>55080</v>
      </c>
      <c r="P374" s="147" t="str">
        <f t="shared" si="3"/>
        <v>Rp64,800-1 LSN-15.00%</v>
      </c>
      <c r="Q374" s="149">
        <v>45415.0</v>
      </c>
      <c r="R374" s="150"/>
      <c r="S374" s="149">
        <v>45419.0</v>
      </c>
      <c r="T374" s="151"/>
      <c r="U374" s="151"/>
      <c r="V374" s="151"/>
      <c r="W374" s="151"/>
    </row>
    <row r="375">
      <c r="A375" s="142">
        <v>234.0</v>
      </c>
      <c r="B375" s="143" t="str">
        <f t="shared" si="112"/>
        <v/>
      </c>
      <c r="C375" s="143" t="str">
        <f t="shared" si="113"/>
        <v>SBM</v>
      </c>
      <c r="D375" s="145" t="s">
        <v>4405</v>
      </c>
      <c r="E375" s="145" t="str">
        <f>IFERROR(__xludf.DUMMYFUNCTION("vlookup(D375,IMPORTRANGE(""https://docs.google.com/spreadsheets/d/1swGwZOEqYlTEUCJLY-eeJM1911Kvaei5oySBIxdgtNo/edit?pli=1#gid=257618397"",""stock FAKTUR!B:C""),2,false)"),"BK KAS KWARTO")</f>
        <v>BK KAS KWARTO</v>
      </c>
      <c r="F375" s="53" t="str">
        <f>IFERROR(__xludf.DUMMYFUNCTION("vlookup($D375,IMPORTRANGE(""https://docs.google.com/spreadsheets/d/1swGwZOEqYlTEUCJLY-eeJM1911Kvaei5oySBIxdgtNo/edit?pli=1#gid=257618397"",""stock FAKTUR!B:d""),3,false)"),"A4")</f>
        <v>A4</v>
      </c>
      <c r="G375" s="53" t="str">
        <f>IFERROR(__xludf.DUMMYFUNCTION("vlookup($D375,IMPORTRANGE(""https://docs.google.com/spreadsheets/d/1swGwZOEqYlTEUCJLY-eeJM1911Kvaei5oySBIxdgtNo/edit?pli=1#gid=257618397"",""stock FAKTUR!B:e""),4,false)"),"")</f>
        <v/>
      </c>
      <c r="H375" s="53" t="str">
        <f>IFERROR(__xludf.DUMMYFUNCTION("vlookup($D375,IMPORTRANGE(""https://docs.google.com/spreadsheets/d/1swGwZOEqYlTEUCJLY-eeJM1911Kvaei5oySBIxdgtNo/edit?pli=1#gid=257618397"",""stock FAKTUR!B:F""),5,false)"),"NB")</f>
        <v>NB</v>
      </c>
      <c r="I375" s="53" t="str">
        <f>IFERROR(__xludf.DUMMYFUNCTION("vlookup($D375,IMPORTRANGE(""https://docs.google.com/spreadsheets/d/1swGwZOEqYlTEUCJLY-eeJM1911Kvaei5oySBIxdgtNo/edit?pli=1#gid=257618397"",""stock FAKTUR!B:G""),6,false)"),"")</f>
        <v/>
      </c>
      <c r="J375" s="120" t="str">
        <f t="shared" si="25"/>
        <v>ADA</v>
      </c>
      <c r="K375" s="142">
        <v>5.0</v>
      </c>
      <c r="L375" s="145" t="str">
        <f>IFERROR(__xludf.DUMMYFUNCTION("vlookup($D375,IMPORTRANGE(""https://docs.google.com/spreadsheets/d/1swGwZOEqYlTEUCJLY-eeJM1911Kvaei5oySBIxdgtNo/edit?pli=1#gid=257618397"",""stock FAKTUR!B:q""),16,false)"),"PCS")</f>
        <v>PCS</v>
      </c>
      <c r="M375" s="147">
        <v>8500.0</v>
      </c>
      <c r="N375" s="152">
        <v>0.1</v>
      </c>
      <c r="O375" s="147">
        <f t="shared" si="94"/>
        <v>38250</v>
      </c>
      <c r="P375" s="147" t="str">
        <f t="shared" si="3"/>
        <v>Rp8,500-5 PCS-10.00%</v>
      </c>
      <c r="Q375" s="149">
        <v>45415.0</v>
      </c>
      <c r="R375" s="150"/>
      <c r="S375" s="149">
        <v>45419.0</v>
      </c>
      <c r="T375" s="151"/>
      <c r="U375" s="151"/>
      <c r="V375" s="151"/>
      <c r="W375" s="151"/>
    </row>
    <row r="376">
      <c r="A376" s="160">
        <v>3116.0</v>
      </c>
      <c r="B376" s="189" t="s">
        <v>33</v>
      </c>
      <c r="C376" s="189" t="s">
        <v>2371</v>
      </c>
      <c r="D376" s="77" t="s">
        <v>4623</v>
      </c>
      <c r="E376" s="145" t="str">
        <f>IFERROR(__xludf.DUMMYFUNCTION("vlookup(D376,IMPORTRANGE(""https://docs.google.com/spreadsheets/d/1swGwZOEqYlTEUCJLY-eeJM1911Kvaei5oySBIxdgtNo/edit?pli=1#gid=257618397"",""stock FAKTUR!B:C""),2,false)"),"BP GEL KENKO KE 303 MERAH")</f>
        <v>BP GEL KENKO KE 303 MERAH</v>
      </c>
      <c r="F376" s="53" t="str">
        <f>IFERROR(__xludf.DUMMYFUNCTION("vlookup($D376,IMPORTRANGE(""https://docs.google.com/spreadsheets/d/1swGwZOEqYlTEUCJLY-eeJM1911Kvaei5oySBIxdgtNo/edit?pli=1#gid=257618397"",""stock FAKTUR!B:d""),3,false)"),"")</f>
        <v/>
      </c>
      <c r="G376" s="53" t="str">
        <f>IFERROR(__xludf.DUMMYFUNCTION("vlookup($D376,IMPORTRANGE(""https://docs.google.com/spreadsheets/d/1swGwZOEqYlTEUCJLY-eeJM1911Kvaei5oySBIxdgtNo/edit?pli=1#gid=257618397"",""stock FAKTUR!B:e""),4,false)"),"MERAH")</f>
        <v>MERAH</v>
      </c>
      <c r="H376" s="53" t="str">
        <f>IFERROR(__xludf.DUMMYFUNCTION("vlookup($D376,IMPORTRANGE(""https://docs.google.com/spreadsheets/d/1swGwZOEqYlTEUCJLY-eeJM1911Kvaei5oySBIxdgtNo/edit?pli=1#gid=257618397"",""stock FAKTUR!B:F""),5,false)"),"KN")</f>
        <v>KN</v>
      </c>
      <c r="I376" s="53" t="str">
        <f>IFERROR(__xludf.DUMMYFUNCTION("vlookup($D376,IMPORTRANGE(""https://docs.google.com/spreadsheets/d/1swGwZOEqYlTEUCJLY-eeJM1911Kvaei5oySBIxdgtNo/edit?pli=1#gid=257618397"",""stock FAKTUR!B:G""),6,false)"),"KE-303")</f>
        <v>KE-303</v>
      </c>
      <c r="J376" s="120" t="str">
        <f t="shared" si="25"/>
        <v>ADA</v>
      </c>
      <c r="K376" s="160">
        <v>36.0</v>
      </c>
      <c r="L376" s="145" t="str">
        <f>IFERROR(__xludf.DUMMYFUNCTION("vlookup($D376,IMPORTRANGE(""https://docs.google.com/spreadsheets/d/1swGwZOEqYlTEUCJLY-eeJM1911Kvaei5oySBIxdgtNo/edit?pli=1#gid=257618397"",""stock FAKTUR!B:q""),16,false)"),"LSN")</f>
        <v>LSN</v>
      </c>
      <c r="M376" s="164">
        <v>21600.0</v>
      </c>
      <c r="N376" s="165">
        <v>0.1</v>
      </c>
      <c r="O376" s="164">
        <f t="shared" si="94"/>
        <v>699840</v>
      </c>
      <c r="P376" s="164" t="str">
        <f t="shared" si="3"/>
        <v>Rp21,600-36 LSN-10.00%</v>
      </c>
      <c r="Q376" s="166">
        <v>45415.0</v>
      </c>
      <c r="R376" s="166">
        <v>45415.0</v>
      </c>
      <c r="S376" s="166">
        <v>45419.0</v>
      </c>
      <c r="T376" s="162" t="s">
        <v>4624</v>
      </c>
      <c r="U376" s="173" t="s">
        <v>4390</v>
      </c>
      <c r="V376" s="162"/>
      <c r="W376" s="159"/>
    </row>
    <row r="377">
      <c r="A377" s="153">
        <v>3116.0</v>
      </c>
      <c r="B377" s="144" t="str">
        <f t="shared" ref="B377:B389" si="114">IF(A377=A376,B376,"")</f>
        <v>H</v>
      </c>
      <c r="C377" s="144" t="str">
        <f t="shared" ref="C377:C389" si="115">IF(A377=A376,C376,"")</f>
        <v>DIAN ILMU-MALANG</v>
      </c>
      <c r="D377" s="145" t="s">
        <v>4625</v>
      </c>
      <c r="E377" s="145" t="str">
        <f>IFERROR(__xludf.DUMMYFUNCTION("vlookup(D377,IMPORTRANGE(""https://docs.google.com/spreadsheets/d/1swGwZOEqYlTEUCJLY-eeJM1911Kvaei5oySBIxdgtNo/edit?pli=1#gid=257618397"",""stock FAKTUR!B:C""),2,false)"),"BP GEL KENKO K-1 MERAH")</f>
        <v>BP GEL KENKO K-1 MERAH</v>
      </c>
      <c r="F377" s="53" t="str">
        <f>IFERROR(__xludf.DUMMYFUNCTION("vlookup($D377,IMPORTRANGE(""https://docs.google.com/spreadsheets/d/1swGwZOEqYlTEUCJLY-eeJM1911Kvaei5oySBIxdgtNo/edit?pli=1#gid=257618397"",""stock FAKTUR!B:d""),3,false)"),"")</f>
        <v/>
      </c>
      <c r="G377" s="53" t="str">
        <f>IFERROR(__xludf.DUMMYFUNCTION("vlookup($D377,IMPORTRANGE(""https://docs.google.com/spreadsheets/d/1swGwZOEqYlTEUCJLY-eeJM1911Kvaei5oySBIxdgtNo/edit?pli=1#gid=257618397"",""stock FAKTUR!B:e""),4,false)"),"MERAH")</f>
        <v>MERAH</v>
      </c>
      <c r="H377" s="53" t="str">
        <f>IFERROR(__xludf.DUMMYFUNCTION("vlookup($D377,IMPORTRANGE(""https://docs.google.com/spreadsheets/d/1swGwZOEqYlTEUCJLY-eeJM1911Kvaei5oySBIxdgtNo/edit?pli=1#gid=257618397"",""stock FAKTUR!B:F""),5,false)"),"KN")</f>
        <v>KN</v>
      </c>
      <c r="I377" s="53" t="str">
        <f>IFERROR(__xludf.DUMMYFUNCTION("vlookup($D377,IMPORTRANGE(""https://docs.google.com/spreadsheets/d/1swGwZOEqYlTEUCJLY-eeJM1911Kvaei5oySBIxdgtNo/edit?pli=1#gid=257618397"",""stock FAKTUR!B:G""),6,false)"),"K-1")</f>
        <v>K-1</v>
      </c>
      <c r="J377" s="120" t="str">
        <f t="shared" si="25"/>
        <v>ADA</v>
      </c>
      <c r="K377" s="153">
        <v>24.0</v>
      </c>
      <c r="L377" s="145" t="str">
        <f>IFERROR(__xludf.DUMMYFUNCTION("vlookup($D377,IMPORTRANGE(""https://docs.google.com/spreadsheets/d/1swGwZOEqYlTEUCJLY-eeJM1911Kvaei5oySBIxdgtNo/edit?pli=1#gid=257618397"",""stock FAKTUR!B:q""),16,false)"),"LSN")</f>
        <v>LSN</v>
      </c>
      <c r="M377" s="155">
        <v>39600.0</v>
      </c>
      <c r="N377" s="156">
        <v>0.1</v>
      </c>
      <c r="O377" s="155">
        <f t="shared" si="94"/>
        <v>855360</v>
      </c>
      <c r="P377" s="155" t="str">
        <f t="shared" si="3"/>
        <v>Rp39,600-24 LSN-10.00%</v>
      </c>
      <c r="Q377" s="157">
        <v>45415.0</v>
      </c>
      <c r="R377" s="157">
        <v>45415.0</v>
      </c>
      <c r="S377" s="157">
        <v>45419.0</v>
      </c>
      <c r="T377" s="145" t="s">
        <v>4626</v>
      </c>
      <c r="U377" s="145" t="s">
        <v>4390</v>
      </c>
      <c r="V377" s="145"/>
      <c r="W377" s="159"/>
    </row>
    <row r="378">
      <c r="A378" s="142">
        <v>3116.0</v>
      </c>
      <c r="B378" s="143" t="str">
        <f t="shared" si="114"/>
        <v>H</v>
      </c>
      <c r="C378" s="143" t="str">
        <f t="shared" si="115"/>
        <v>DIAN ILMU-MALANG</v>
      </c>
      <c r="D378" s="145" t="s">
        <v>4627</v>
      </c>
      <c r="E378" s="145" t="str">
        <f>IFERROR(__xludf.DUMMYFUNCTION("vlookup(D378,IMPORTRANGE(""https://docs.google.com/spreadsheets/d/1swGwZOEqYlTEUCJLY-eeJM1911Kvaei5oySBIxdgtNo/edit?pli=1#gid=257618397"",""stock FAKTUR!B:C""),2,false)"),"MECHPEN JK MP 19")</f>
        <v>MECHPEN JK MP 19</v>
      </c>
      <c r="F378" s="53" t="str">
        <f>IFERROR(__xludf.DUMMYFUNCTION("vlookup($D378,IMPORTRANGE(""https://docs.google.com/spreadsheets/d/1swGwZOEqYlTEUCJLY-eeJM1911Kvaei5oySBIxdgtNo/edit?pli=1#gid=257618397"",""stock FAKTUR!B:d""),3,false)"),"")</f>
        <v/>
      </c>
      <c r="G378" s="53" t="str">
        <f>IFERROR(__xludf.DUMMYFUNCTION("vlookup($D378,IMPORTRANGE(""https://docs.google.com/spreadsheets/d/1swGwZOEqYlTEUCJLY-eeJM1911Kvaei5oySBIxdgtNo/edit?pli=1#gid=257618397"",""stock FAKTUR!B:e""),4,false)"),"")</f>
        <v/>
      </c>
      <c r="H378" s="53" t="str">
        <f>IFERROR(__xludf.DUMMYFUNCTION("vlookup($D378,IMPORTRANGE(""https://docs.google.com/spreadsheets/d/1swGwZOEqYlTEUCJLY-eeJM1911Kvaei5oySBIxdgtNo/edit?pli=1#gid=257618397"",""stock FAKTUR!B:F""),5,false)"),"JK")</f>
        <v>JK</v>
      </c>
      <c r="I378" s="53" t="str">
        <f>IFERROR(__xludf.DUMMYFUNCTION("vlookup($D378,IMPORTRANGE(""https://docs.google.com/spreadsheets/d/1swGwZOEqYlTEUCJLY-eeJM1911Kvaei5oySBIxdgtNo/edit?pli=1#gid=257618397"",""stock FAKTUR!B:G""),6,false)"),"MP-19")</f>
        <v>MP-19</v>
      </c>
      <c r="J378" s="120" t="str">
        <f t="shared" si="25"/>
        <v>ADA</v>
      </c>
      <c r="K378" s="142">
        <v>20.0</v>
      </c>
      <c r="L378" s="145" t="str">
        <f>IFERROR(__xludf.DUMMYFUNCTION("vlookup($D378,IMPORTRANGE(""https://docs.google.com/spreadsheets/d/1swGwZOEqYlTEUCJLY-eeJM1911Kvaei5oySBIxdgtNo/edit?pli=1#gid=257618397"",""stock FAKTUR!B:q""),16,false)"),"LSN")</f>
        <v>LSN</v>
      </c>
      <c r="M378" s="147">
        <v>40800.0</v>
      </c>
      <c r="N378" s="152">
        <v>0.1</v>
      </c>
      <c r="O378" s="147">
        <f t="shared" si="94"/>
        <v>734400</v>
      </c>
      <c r="P378" s="147" t="str">
        <f t="shared" si="3"/>
        <v>Rp40,800-20 LSN-10.00%</v>
      </c>
      <c r="Q378" s="149">
        <v>45415.0</v>
      </c>
      <c r="R378" s="149">
        <v>45415.0</v>
      </c>
      <c r="S378" s="149">
        <v>45419.0</v>
      </c>
      <c r="T378" s="151"/>
      <c r="U378" s="151"/>
      <c r="V378" s="151"/>
      <c r="W378" s="151"/>
    </row>
    <row r="379">
      <c r="A379" s="142">
        <v>3116.0</v>
      </c>
      <c r="B379" s="143" t="str">
        <f t="shared" si="114"/>
        <v>H</v>
      </c>
      <c r="C379" s="143" t="str">
        <f t="shared" si="115"/>
        <v>DIAN ILMU-MALANG</v>
      </c>
      <c r="D379" s="145" t="s">
        <v>4401</v>
      </c>
      <c r="E379" s="145" t="str">
        <f>IFERROR(__xludf.DUMMYFUNCTION("vlookup(D379,IMPORTRANGE(""https://docs.google.com/spreadsheets/d/1swGwZOEqYlTEUCJLY-eeJM1911Kvaei5oySBIxdgtNo/edit?pli=1#gid=257618397"",""stock FAKTUR!B:C""),2,false)"),"BP GEL KENKO EASY HITAM")</f>
        <v>BP GEL KENKO EASY HITAM</v>
      </c>
      <c r="F379" s="53" t="str">
        <f>IFERROR(__xludf.DUMMYFUNCTION("vlookup($D379,IMPORTRANGE(""https://docs.google.com/spreadsheets/d/1swGwZOEqYlTEUCJLY-eeJM1911Kvaei5oySBIxdgtNo/edit?pli=1#gid=257618397"",""stock FAKTUR!B:d""),3,false)"),"")</f>
        <v/>
      </c>
      <c r="G379" s="53" t="str">
        <f>IFERROR(__xludf.DUMMYFUNCTION("vlookup($D379,IMPORTRANGE(""https://docs.google.com/spreadsheets/d/1swGwZOEqYlTEUCJLY-eeJM1911Kvaei5oySBIxdgtNo/edit?pli=1#gid=257618397"",""stock FAKTUR!B:e""),4,false)"),"HITAM")</f>
        <v>HITAM</v>
      </c>
      <c r="H379" s="53" t="str">
        <f>IFERROR(__xludf.DUMMYFUNCTION("vlookup($D379,IMPORTRANGE(""https://docs.google.com/spreadsheets/d/1swGwZOEqYlTEUCJLY-eeJM1911Kvaei5oySBIxdgtNo/edit?pli=1#gid=257618397"",""stock FAKTUR!B:F""),5,false)"),"KN")</f>
        <v>KN</v>
      </c>
      <c r="I379" s="53" t="str">
        <f>IFERROR(__xludf.DUMMYFUNCTION("vlookup($D379,IMPORTRANGE(""https://docs.google.com/spreadsheets/d/1swGwZOEqYlTEUCJLY-eeJM1911Kvaei5oySBIxdgtNo/edit?pli=1#gid=257618397"",""stock FAKTUR!B:G""),6,false)"),"GPT-005B")</f>
        <v>GPT-005B</v>
      </c>
      <c r="J379" s="120" t="str">
        <f t="shared" si="25"/>
        <v>ADA</v>
      </c>
      <c r="K379" s="142">
        <v>72.0</v>
      </c>
      <c r="L379" s="145" t="str">
        <f>IFERROR(__xludf.DUMMYFUNCTION("vlookup($D379,IMPORTRANGE(""https://docs.google.com/spreadsheets/d/1swGwZOEqYlTEUCJLY-eeJM1911Kvaei5oySBIxdgtNo/edit?pli=1#gid=257618397"",""stock FAKTUR!B:q""),16,false)"),"LSN")</f>
        <v>LSN</v>
      </c>
      <c r="M379" s="147">
        <v>26400.0</v>
      </c>
      <c r="N379" s="152">
        <v>0.1</v>
      </c>
      <c r="O379" s="147">
        <f t="shared" si="94"/>
        <v>1710720</v>
      </c>
      <c r="P379" s="147" t="str">
        <f t="shared" si="3"/>
        <v>Rp26,400-72 LSN-10.00%</v>
      </c>
      <c r="Q379" s="149">
        <v>45415.0</v>
      </c>
      <c r="R379" s="149">
        <v>45415.0</v>
      </c>
      <c r="S379" s="149">
        <v>45419.0</v>
      </c>
      <c r="T379" s="151"/>
      <c r="U379" s="151"/>
      <c r="V379" s="151"/>
      <c r="W379" s="151"/>
    </row>
    <row r="380">
      <c r="A380" s="142">
        <v>3116.0</v>
      </c>
      <c r="B380" s="143" t="str">
        <f t="shared" si="114"/>
        <v>H</v>
      </c>
      <c r="C380" s="143" t="str">
        <f t="shared" si="115"/>
        <v>DIAN ILMU-MALANG</v>
      </c>
      <c r="D380" s="145" t="s">
        <v>4516</v>
      </c>
      <c r="E380" s="145" t="str">
        <f>IFERROR(__xludf.DUMMYFUNCTION("vlookup(D380,IMPORTRANGE(""https://docs.google.com/spreadsheets/d/1swGwZOEqYlTEUCJLY-eeJM1911Kvaei5oySBIxdgtNo/edit?pli=1#gid=257618397"",""stock FAKTUR!B:C""),2,false)"),"BP KENKO K-1 ECO HITAM")</f>
        <v>BP KENKO K-1 ECO HITAM</v>
      </c>
      <c r="F380" s="53" t="str">
        <f>IFERROR(__xludf.DUMMYFUNCTION("vlookup($D380,IMPORTRANGE(""https://docs.google.com/spreadsheets/d/1swGwZOEqYlTEUCJLY-eeJM1911Kvaei5oySBIxdgtNo/edit?pli=1#gid=257618397"",""stock FAKTUR!B:d""),3,false)"),"")</f>
        <v/>
      </c>
      <c r="G380" s="53" t="str">
        <f>IFERROR(__xludf.DUMMYFUNCTION("vlookup($D380,IMPORTRANGE(""https://docs.google.com/spreadsheets/d/1swGwZOEqYlTEUCJLY-eeJM1911Kvaei5oySBIxdgtNo/edit?pli=1#gid=257618397"",""stock FAKTUR!B:e""),4,false)"),"HITAM")</f>
        <v>HITAM</v>
      </c>
      <c r="H380" s="53" t="str">
        <f>IFERROR(__xludf.DUMMYFUNCTION("vlookup($D380,IMPORTRANGE(""https://docs.google.com/spreadsheets/d/1swGwZOEqYlTEUCJLY-eeJM1911Kvaei5oySBIxdgtNo/edit?pli=1#gid=257618397"",""stock FAKTUR!B:F""),5,false)"),"KN")</f>
        <v>KN</v>
      </c>
      <c r="I380" s="53" t="str">
        <f>IFERROR(__xludf.DUMMYFUNCTION("vlookup($D380,IMPORTRANGE(""https://docs.google.com/spreadsheets/d/1swGwZOEqYlTEUCJLY-eeJM1911Kvaei5oySBIxdgtNo/edit?pli=1#gid=257618397"",""stock FAKTUR!B:G""),6,false)"),"GPR-025B")</f>
        <v>GPR-025B</v>
      </c>
      <c r="J380" s="120" t="str">
        <f t="shared" si="25"/>
        <v>ADA</v>
      </c>
      <c r="K380" s="142">
        <v>72.0</v>
      </c>
      <c r="L380" s="145" t="str">
        <f>IFERROR(__xludf.DUMMYFUNCTION("vlookup($D380,IMPORTRANGE(""https://docs.google.com/spreadsheets/d/1swGwZOEqYlTEUCJLY-eeJM1911Kvaei5oySBIxdgtNo/edit?pli=1#gid=257618397"",""stock FAKTUR!B:q""),16,false)"),"LSN")</f>
        <v>LSN</v>
      </c>
      <c r="M380" s="147">
        <v>27000.0</v>
      </c>
      <c r="N380" s="152">
        <v>0.1</v>
      </c>
      <c r="O380" s="147">
        <f t="shared" si="94"/>
        <v>1749600</v>
      </c>
      <c r="P380" s="147" t="str">
        <f t="shared" si="3"/>
        <v>Rp27,000-72 LSN-10.00%</v>
      </c>
      <c r="Q380" s="149">
        <v>45415.0</v>
      </c>
      <c r="R380" s="149">
        <v>45415.0</v>
      </c>
      <c r="S380" s="149">
        <v>45419.0</v>
      </c>
      <c r="T380" s="151"/>
      <c r="U380" s="151"/>
      <c r="V380" s="151"/>
      <c r="W380" s="151"/>
    </row>
    <row r="381">
      <c r="A381" s="142">
        <v>3116.0</v>
      </c>
      <c r="B381" s="143" t="str">
        <f t="shared" si="114"/>
        <v>H</v>
      </c>
      <c r="C381" s="143" t="str">
        <f t="shared" si="115"/>
        <v>DIAN ILMU-MALANG</v>
      </c>
      <c r="D381" s="159" t="s">
        <v>4422</v>
      </c>
      <c r="E381" s="145" t="str">
        <f>IFERROR(__xludf.DUMMYFUNCTION("vlookup(D381,IMPORTRANGE(""https://docs.google.com/spreadsheets/d/1swGwZOEqYlTEUCJLY-eeJM1911Kvaei5oySBIxdgtNo/edit?pli=1#gid=257618397"",""stock FAKTUR!B:C""),2,false)"),"BP KENKO K-1 ECO BIRU")</f>
        <v>BP KENKO K-1 ECO BIRU</v>
      </c>
      <c r="F381" s="53" t="str">
        <f>IFERROR(__xludf.DUMMYFUNCTION("vlookup($D381,IMPORTRANGE(""https://docs.google.com/spreadsheets/d/1swGwZOEqYlTEUCJLY-eeJM1911Kvaei5oySBIxdgtNo/edit?pli=1#gid=257618397"",""stock FAKTUR!B:d""),3,false)"),"")</f>
        <v/>
      </c>
      <c r="G381" s="53" t="str">
        <f>IFERROR(__xludf.DUMMYFUNCTION("vlookup($D381,IMPORTRANGE(""https://docs.google.com/spreadsheets/d/1swGwZOEqYlTEUCJLY-eeJM1911Kvaei5oySBIxdgtNo/edit?pli=1#gid=257618397"",""stock FAKTUR!B:e""),4,false)"),"")</f>
        <v/>
      </c>
      <c r="H381" s="53" t="str">
        <f>IFERROR(__xludf.DUMMYFUNCTION("vlookup($D381,IMPORTRANGE(""https://docs.google.com/spreadsheets/d/1swGwZOEqYlTEUCJLY-eeJM1911Kvaei5oySBIxdgtNo/edit?pli=1#gid=257618397"",""stock FAKTUR!B:F""),5,false)"),"KN")</f>
        <v>KN</v>
      </c>
      <c r="I381" s="53" t="str">
        <f>IFERROR(__xludf.DUMMYFUNCTION("vlookup($D381,IMPORTRANGE(""https://docs.google.com/spreadsheets/d/1swGwZOEqYlTEUCJLY-eeJM1911Kvaei5oySBIxdgtNo/edit?pli=1#gid=257618397"",""stock FAKTUR!B:G""),6,false)"),"")</f>
        <v/>
      </c>
      <c r="J381" s="120" t="str">
        <f t="shared" si="25"/>
        <v>ADA</v>
      </c>
      <c r="K381" s="142">
        <v>24.0</v>
      </c>
      <c r="L381" s="145" t="str">
        <f>IFERROR(__xludf.DUMMYFUNCTION("vlookup($D381,IMPORTRANGE(""https://docs.google.com/spreadsheets/d/1swGwZOEqYlTEUCJLY-eeJM1911Kvaei5oySBIxdgtNo/edit?pli=1#gid=257618397"",""stock FAKTUR!B:q""),16,false)"),"LSN")</f>
        <v>LSN</v>
      </c>
      <c r="M381" s="147">
        <v>27000.0</v>
      </c>
      <c r="N381" s="152">
        <v>0.1</v>
      </c>
      <c r="O381" s="147">
        <f t="shared" si="94"/>
        <v>583200</v>
      </c>
      <c r="P381" s="147" t="str">
        <f t="shared" si="3"/>
        <v>Rp27,000-24 LSN-10.00%</v>
      </c>
      <c r="Q381" s="149">
        <v>45415.0</v>
      </c>
      <c r="R381" s="149">
        <v>45415.0</v>
      </c>
      <c r="S381" s="149">
        <v>45419.0</v>
      </c>
      <c r="T381" s="151"/>
      <c r="U381" s="151"/>
      <c r="V381" s="151"/>
      <c r="W381" s="151"/>
    </row>
    <row r="382">
      <c r="A382" s="142">
        <v>3116.0</v>
      </c>
      <c r="B382" s="143" t="str">
        <f t="shared" si="114"/>
        <v>H</v>
      </c>
      <c r="C382" s="143" t="str">
        <f t="shared" si="115"/>
        <v>DIAN ILMU-MALANG</v>
      </c>
      <c r="D382" s="159" t="s">
        <v>4421</v>
      </c>
      <c r="E382" s="145" t="str">
        <f>IFERROR(__xludf.DUMMYFUNCTION("vlookup(D382,IMPORTRANGE(""https://docs.google.com/spreadsheets/d/1swGwZOEqYlTEUCJLY-eeJM1911Kvaei5oySBIxdgtNo/edit?pli=1#gid=257618397"",""stock FAKTUR!B:C""),2,false)"),"BP KENKO K-1 ECO MERAH")</f>
        <v>BP KENKO K-1 ECO MERAH</v>
      </c>
      <c r="F382" s="53" t="str">
        <f>IFERROR(__xludf.DUMMYFUNCTION("vlookup($D382,IMPORTRANGE(""https://docs.google.com/spreadsheets/d/1swGwZOEqYlTEUCJLY-eeJM1911Kvaei5oySBIxdgtNo/edit?pli=1#gid=257618397"",""stock FAKTUR!B:d""),3,false)"),"")</f>
        <v/>
      </c>
      <c r="G382" s="53" t="str">
        <f>IFERROR(__xludf.DUMMYFUNCTION("vlookup($D382,IMPORTRANGE(""https://docs.google.com/spreadsheets/d/1swGwZOEqYlTEUCJLY-eeJM1911Kvaei5oySBIxdgtNo/edit?pli=1#gid=257618397"",""stock FAKTUR!B:e""),4,false)"),"")</f>
        <v/>
      </c>
      <c r="H382" s="53" t="str">
        <f>IFERROR(__xludf.DUMMYFUNCTION("vlookup($D382,IMPORTRANGE(""https://docs.google.com/spreadsheets/d/1swGwZOEqYlTEUCJLY-eeJM1911Kvaei5oySBIxdgtNo/edit?pli=1#gid=257618397"",""stock FAKTUR!B:F""),5,false)"),"KN")</f>
        <v>KN</v>
      </c>
      <c r="I382" s="53" t="str">
        <f>IFERROR(__xludf.DUMMYFUNCTION("vlookup($D382,IMPORTRANGE(""https://docs.google.com/spreadsheets/d/1swGwZOEqYlTEUCJLY-eeJM1911Kvaei5oySBIxdgtNo/edit?pli=1#gid=257618397"",""stock FAKTUR!B:G""),6,false)"),"")</f>
        <v/>
      </c>
      <c r="J382" s="120" t="str">
        <f t="shared" si="25"/>
        <v>ADA</v>
      </c>
      <c r="K382" s="142">
        <v>24.0</v>
      </c>
      <c r="L382" s="145" t="str">
        <f>IFERROR(__xludf.DUMMYFUNCTION("vlookup($D382,IMPORTRANGE(""https://docs.google.com/spreadsheets/d/1swGwZOEqYlTEUCJLY-eeJM1911Kvaei5oySBIxdgtNo/edit?pli=1#gid=257618397"",""stock FAKTUR!B:q""),16,false)"),"LSN")</f>
        <v>LSN</v>
      </c>
      <c r="M382" s="147">
        <v>27000.0</v>
      </c>
      <c r="N382" s="152">
        <v>0.1</v>
      </c>
      <c r="O382" s="147">
        <f t="shared" si="94"/>
        <v>583200</v>
      </c>
      <c r="P382" s="147" t="str">
        <f t="shared" si="3"/>
        <v>Rp27,000-24 LSN-10.00%</v>
      </c>
      <c r="Q382" s="149">
        <v>45415.0</v>
      </c>
      <c r="R382" s="149">
        <v>45415.0</v>
      </c>
      <c r="S382" s="149">
        <v>45419.0</v>
      </c>
      <c r="T382" s="151"/>
      <c r="U382" s="151"/>
      <c r="V382" s="151"/>
      <c r="W382" s="151"/>
    </row>
    <row r="383">
      <c r="A383" s="142">
        <v>3116.0</v>
      </c>
      <c r="B383" s="143" t="str">
        <f t="shared" si="114"/>
        <v>H</v>
      </c>
      <c r="C383" s="143" t="str">
        <f t="shared" si="115"/>
        <v>DIAN ILMU-MALANG</v>
      </c>
      <c r="D383" s="145" t="s">
        <v>4628</v>
      </c>
      <c r="E383" s="145" t="str">
        <f>IFERROR(__xludf.DUMMYFUNCTION("vlookup(D383,IMPORTRANGE(""https://docs.google.com/spreadsheets/d/1swGwZOEqYlTEUCJLY-eeJM1911Kvaei5oySBIxdgtNo/edit?pli=1#gid=257618397"",""stock FAKTUR!B:C""),2,false)"),"SPIDOL PERMANEN KENKO PM-100 HITAM")</f>
        <v>SPIDOL PERMANEN KENKO PM-100 HITAM</v>
      </c>
      <c r="F383" s="53" t="str">
        <f>IFERROR(__xludf.DUMMYFUNCTION("vlookup($D383,IMPORTRANGE(""https://docs.google.com/spreadsheets/d/1swGwZOEqYlTEUCJLY-eeJM1911Kvaei5oySBIxdgtNo/edit?pli=1#gid=257618397"",""stock FAKTUR!B:d""),3,false)"),"")</f>
        <v/>
      </c>
      <c r="G383" s="53" t="str">
        <f>IFERROR(__xludf.DUMMYFUNCTION("vlookup($D383,IMPORTRANGE(""https://docs.google.com/spreadsheets/d/1swGwZOEqYlTEUCJLY-eeJM1911Kvaei5oySBIxdgtNo/edit?pli=1#gid=257618397"",""stock FAKTUR!B:e""),4,false)"),"")</f>
        <v/>
      </c>
      <c r="H383" s="53" t="str">
        <f>IFERROR(__xludf.DUMMYFUNCTION("vlookup($D383,IMPORTRANGE(""https://docs.google.com/spreadsheets/d/1swGwZOEqYlTEUCJLY-eeJM1911Kvaei5oySBIxdgtNo/edit?pli=1#gid=257618397"",""stock FAKTUR!B:F""),5,false)"),"KN")</f>
        <v>KN</v>
      </c>
      <c r="I383" s="53" t="str">
        <f>IFERROR(__xludf.DUMMYFUNCTION("vlookup($D383,IMPORTRANGE(""https://docs.google.com/spreadsheets/d/1swGwZOEqYlTEUCJLY-eeJM1911Kvaei5oySBIxdgtNo/edit?pli=1#gid=257618397"",""stock FAKTUR!B:G""),6,false)"),"")</f>
        <v/>
      </c>
      <c r="J383" s="120" t="str">
        <f t="shared" si="25"/>
        <v>ADA</v>
      </c>
      <c r="K383" s="142">
        <v>30.0</v>
      </c>
      <c r="L383" s="145" t="str">
        <f>IFERROR(__xludf.DUMMYFUNCTION("vlookup($D383,IMPORTRANGE(""https://docs.google.com/spreadsheets/d/1swGwZOEqYlTEUCJLY-eeJM1911Kvaei5oySBIxdgtNo/edit?pli=1#gid=257618397"",""stock FAKTUR!B:q""),16,false)"),"LSN")</f>
        <v>LSN</v>
      </c>
      <c r="M383" s="147">
        <v>36000.0</v>
      </c>
      <c r="N383" s="152">
        <v>0.1</v>
      </c>
      <c r="O383" s="147">
        <f t="shared" si="94"/>
        <v>972000</v>
      </c>
      <c r="P383" s="147" t="str">
        <f t="shared" si="3"/>
        <v>Rp36,000-30 LSN-10.00%</v>
      </c>
      <c r="Q383" s="149">
        <v>45415.0</v>
      </c>
      <c r="R383" s="149">
        <v>45415.0</v>
      </c>
      <c r="S383" s="149">
        <v>45419.0</v>
      </c>
      <c r="T383" s="151"/>
      <c r="U383" s="151"/>
      <c r="V383" s="151"/>
      <c r="W383" s="151"/>
    </row>
    <row r="384">
      <c r="A384" s="142">
        <v>3116.0</v>
      </c>
      <c r="B384" s="143" t="str">
        <f t="shared" si="114"/>
        <v>H</v>
      </c>
      <c r="C384" s="143" t="str">
        <f t="shared" si="115"/>
        <v>DIAN ILMU-MALANG</v>
      </c>
      <c r="D384" s="145" t="s">
        <v>4629</v>
      </c>
      <c r="E384" s="145" t="str">
        <f>IFERROR(__xludf.DUMMYFUNCTION("vlookup(D384,IMPORTRANGE(""https://docs.google.com/spreadsheets/d/1swGwZOEqYlTEUCJLY-eeJM1911Kvaei5oySBIxdgtNo/edit?pli=1#gid=257618397"",""stock FAKTUR!B:C""),2,false)"),"SPIDOL W/B MARKER JK WM-65 HITAM")</f>
        <v>SPIDOL W/B MARKER JK WM-65 HITAM</v>
      </c>
      <c r="F384" s="53" t="str">
        <f>IFERROR(__xludf.DUMMYFUNCTION("vlookup($D384,IMPORTRANGE(""https://docs.google.com/spreadsheets/d/1swGwZOEqYlTEUCJLY-eeJM1911Kvaei5oySBIxdgtNo/edit?pli=1#gid=257618397"",""stock FAKTUR!B:d""),3,false)"),"")</f>
        <v/>
      </c>
      <c r="G384" s="53" t="str">
        <f>IFERROR(__xludf.DUMMYFUNCTION("vlookup($D384,IMPORTRANGE(""https://docs.google.com/spreadsheets/d/1swGwZOEqYlTEUCJLY-eeJM1911Kvaei5oySBIxdgtNo/edit?pli=1#gid=257618397"",""stock FAKTUR!B:e""),4,false)"),"HITAM")</f>
        <v>HITAM</v>
      </c>
      <c r="H384" s="53" t="str">
        <f>IFERROR(__xludf.DUMMYFUNCTION("vlookup($D384,IMPORTRANGE(""https://docs.google.com/spreadsheets/d/1swGwZOEqYlTEUCJLY-eeJM1911Kvaei5oySBIxdgtNo/edit?pli=1#gid=257618397"",""stock FAKTUR!B:F""),5,false)"),"JK")</f>
        <v>JK</v>
      </c>
      <c r="I384" s="53" t="str">
        <f>IFERROR(__xludf.DUMMYFUNCTION("vlookup($D384,IMPORTRANGE(""https://docs.google.com/spreadsheets/d/1swGwZOEqYlTEUCJLY-eeJM1911Kvaei5oySBIxdgtNo/edit?pli=1#gid=257618397"",""stock FAKTUR!B:G""),6,false)"),"WM-65")</f>
        <v>WM-65</v>
      </c>
      <c r="J384" s="120" t="str">
        <f t="shared" si="25"/>
        <v>ADA</v>
      </c>
      <c r="K384" s="142">
        <v>30.0</v>
      </c>
      <c r="L384" s="145" t="str">
        <f>IFERROR(__xludf.DUMMYFUNCTION("vlookup($D384,IMPORTRANGE(""https://docs.google.com/spreadsheets/d/1swGwZOEqYlTEUCJLY-eeJM1911Kvaei5oySBIxdgtNo/edit?pli=1#gid=257618397"",""stock FAKTUR!B:q""),16,false)"),"LSN")</f>
        <v>LSN</v>
      </c>
      <c r="M384" s="147">
        <v>27600.0</v>
      </c>
      <c r="N384" s="152">
        <v>0.1</v>
      </c>
      <c r="O384" s="147">
        <f t="shared" si="94"/>
        <v>745200</v>
      </c>
      <c r="P384" s="147" t="str">
        <f t="shared" si="3"/>
        <v>Rp27,600-30 LSN-10.00%</v>
      </c>
      <c r="Q384" s="149">
        <v>45415.0</v>
      </c>
      <c r="R384" s="149">
        <v>45415.0</v>
      </c>
      <c r="S384" s="149">
        <v>45419.0</v>
      </c>
      <c r="T384" s="151"/>
      <c r="U384" s="151"/>
      <c r="V384" s="151"/>
      <c r="W384" s="151"/>
    </row>
    <row r="385">
      <c r="A385" s="142">
        <v>3116.0</v>
      </c>
      <c r="B385" s="143" t="str">
        <f t="shared" si="114"/>
        <v>H</v>
      </c>
      <c r="C385" s="143" t="str">
        <f t="shared" si="115"/>
        <v>DIAN ILMU-MALANG</v>
      </c>
      <c r="D385" s="145" t="s">
        <v>4510</v>
      </c>
      <c r="E385" s="145" t="str">
        <f>IFERROR(__xludf.DUMMYFUNCTION("vlookup(D385,IMPORTRANGE(""https://docs.google.com/spreadsheets/d/1swGwZOEqYlTEUCJLY-eeJM1911Kvaei5oySBIxdgtNo/edit?pli=1#gid=257618397"",""stock FAKTUR!B:C""),2,false)"),"BP JK BP-349-12 VOKUS TRANS HITAM")</f>
        <v>BP JK BP-349-12 VOKUS TRANS HITAM</v>
      </c>
      <c r="F385" s="53" t="str">
        <f>IFERROR(__xludf.DUMMYFUNCTION("vlookup($D385,IMPORTRANGE(""https://docs.google.com/spreadsheets/d/1swGwZOEqYlTEUCJLY-eeJM1911Kvaei5oySBIxdgtNo/edit?pli=1#gid=257618397"",""stock FAKTUR!B:d""),3,false)"),"")</f>
        <v/>
      </c>
      <c r="G385" s="53" t="str">
        <f>IFERROR(__xludf.DUMMYFUNCTION("vlookup($D385,IMPORTRANGE(""https://docs.google.com/spreadsheets/d/1swGwZOEqYlTEUCJLY-eeJM1911Kvaei5oySBIxdgtNo/edit?pli=1#gid=257618397"",""stock FAKTUR!B:e""),4,false)"),"")</f>
        <v/>
      </c>
      <c r="H385" s="53" t="str">
        <f>IFERROR(__xludf.DUMMYFUNCTION("vlookup($D385,IMPORTRANGE(""https://docs.google.com/spreadsheets/d/1swGwZOEqYlTEUCJLY-eeJM1911Kvaei5oySBIxdgtNo/edit?pli=1#gid=257618397"",""stock FAKTUR!B:F""),5,false)"),"JK")</f>
        <v>JK</v>
      </c>
      <c r="I385" s="53" t="str">
        <f>IFERROR(__xludf.DUMMYFUNCTION("vlookup($D385,IMPORTRANGE(""https://docs.google.com/spreadsheets/d/1swGwZOEqYlTEUCJLY-eeJM1911Kvaei5oySBIxdgtNo/edit?pli=1#gid=257618397"",""stock FAKTUR!B:G""),6,false)"),"349-12")</f>
        <v>349-12</v>
      </c>
      <c r="J385" s="120" t="str">
        <f t="shared" si="25"/>
        <v>ADA</v>
      </c>
      <c r="K385" s="142">
        <v>72.0</v>
      </c>
      <c r="L385" s="145" t="str">
        <f>IFERROR(__xludf.DUMMYFUNCTION("vlookup($D385,IMPORTRANGE(""https://docs.google.com/spreadsheets/d/1swGwZOEqYlTEUCJLY-eeJM1911Kvaei5oySBIxdgtNo/edit?pli=1#gid=257618397"",""stock FAKTUR!B:q""),16,false)"),"LSN")</f>
        <v>LSN</v>
      </c>
      <c r="M385" s="147">
        <v>13200.0</v>
      </c>
      <c r="N385" s="152">
        <v>0.1</v>
      </c>
      <c r="O385" s="147">
        <f t="shared" si="94"/>
        <v>855360</v>
      </c>
      <c r="P385" s="147" t="str">
        <f t="shared" si="3"/>
        <v>Rp13,200-72 LSN-10.00%</v>
      </c>
      <c r="Q385" s="149">
        <v>45415.0</v>
      </c>
      <c r="R385" s="149">
        <v>45415.0</v>
      </c>
      <c r="S385" s="149">
        <v>45419.0</v>
      </c>
      <c r="T385" s="151"/>
      <c r="U385" s="151"/>
      <c r="V385" s="151"/>
      <c r="W385" s="151"/>
    </row>
    <row r="386">
      <c r="A386" s="142">
        <v>3116.0</v>
      </c>
      <c r="B386" s="143" t="str">
        <f t="shared" si="114"/>
        <v>H</v>
      </c>
      <c r="C386" s="143" t="str">
        <f t="shared" si="115"/>
        <v>DIAN ILMU-MALANG</v>
      </c>
      <c r="D386" s="145" t="s">
        <v>4630</v>
      </c>
      <c r="E386" s="145" t="str">
        <f>IFERROR(__xludf.DUMMYFUNCTION("vlookup(D386,IMPORTRANGE(""https://docs.google.com/spreadsheets/d/1swGwZOEqYlTEUCJLY-eeJM1911Kvaei5oySBIxdgtNo/edit?pli=1#gid=257618397"",""stock FAKTUR!B:C""),2,false)"),"BP JK GP-330 HITAM")</f>
        <v>BP JK GP-330 HITAM</v>
      </c>
      <c r="F386" s="53" t="str">
        <f>IFERROR(__xludf.DUMMYFUNCTION("vlookup($D386,IMPORTRANGE(""https://docs.google.com/spreadsheets/d/1swGwZOEqYlTEUCJLY-eeJM1911Kvaei5oySBIxdgtNo/edit?pli=1#gid=257618397"",""stock FAKTUR!B:d""),3,false)"),"")</f>
        <v/>
      </c>
      <c r="G386" s="53" t="str">
        <f>IFERROR(__xludf.DUMMYFUNCTION("vlookup($D386,IMPORTRANGE(""https://docs.google.com/spreadsheets/d/1swGwZOEqYlTEUCJLY-eeJM1911Kvaei5oySBIxdgtNo/edit?pli=1#gid=257618397"",""stock FAKTUR!B:e""),4,false)"),"HITAM")</f>
        <v>HITAM</v>
      </c>
      <c r="H386" s="53" t="str">
        <f>IFERROR(__xludf.DUMMYFUNCTION("vlookup($D386,IMPORTRANGE(""https://docs.google.com/spreadsheets/d/1swGwZOEqYlTEUCJLY-eeJM1911Kvaei5oySBIxdgtNo/edit?pli=1#gid=257618397"",""stock FAKTUR!B:F""),5,false)"),"JK")</f>
        <v>JK</v>
      </c>
      <c r="I386" s="53" t="str">
        <f>IFERROR(__xludf.DUMMYFUNCTION("vlookup($D386,IMPORTRANGE(""https://docs.google.com/spreadsheets/d/1swGwZOEqYlTEUCJLY-eeJM1911Kvaei5oySBIxdgtNo/edit?pli=1#gid=257618397"",""stock FAKTUR!B:G""),6,false)"),"GP-330")</f>
        <v>GP-330</v>
      </c>
      <c r="J386" s="120" t="str">
        <f t="shared" si="25"/>
        <v>ADA</v>
      </c>
      <c r="K386" s="142">
        <v>72.0</v>
      </c>
      <c r="L386" s="145" t="str">
        <f>IFERROR(__xludf.DUMMYFUNCTION("vlookup($D386,IMPORTRANGE(""https://docs.google.com/spreadsheets/d/1swGwZOEqYlTEUCJLY-eeJM1911Kvaei5oySBIxdgtNo/edit?pli=1#gid=257618397"",""stock FAKTUR!B:q""),16,false)"),"LSN")</f>
        <v>LSN</v>
      </c>
      <c r="M386" s="147">
        <v>14100.0</v>
      </c>
      <c r="N386" s="152">
        <v>0.1</v>
      </c>
      <c r="O386" s="147">
        <f t="shared" si="94"/>
        <v>913680</v>
      </c>
      <c r="P386" s="147" t="str">
        <f t="shared" si="3"/>
        <v>Rp14,100-72 LSN-10.00%</v>
      </c>
      <c r="Q386" s="149">
        <v>45415.0</v>
      </c>
      <c r="R386" s="149">
        <v>45415.0</v>
      </c>
      <c r="S386" s="149">
        <v>45419.0</v>
      </c>
      <c r="T386" s="151"/>
      <c r="U386" s="151"/>
      <c r="V386" s="151"/>
      <c r="W386" s="151"/>
    </row>
    <row r="387">
      <c r="A387" s="142">
        <v>3116.0</v>
      </c>
      <c r="B387" s="143" t="str">
        <f t="shared" si="114"/>
        <v>H</v>
      </c>
      <c r="C387" s="143" t="str">
        <f t="shared" si="115"/>
        <v>DIAN ILMU-MALANG</v>
      </c>
      <c r="D387" s="145" t="s">
        <v>4560</v>
      </c>
      <c r="E387" s="145" t="str">
        <f>IFERROR(__xludf.DUMMYFUNCTION("vlookup(D387,IMPORTRANGE(""https://docs.google.com/spreadsheets/d/1swGwZOEqYlTEUCJLY-eeJM1911Kvaei5oySBIxdgtNo/edit?pli=1#gid=257618397"",""stock FAKTUR!B:C""),2,false)"),"BP JK BP-338 VOCUS HITAM")</f>
        <v>BP JK BP-338 VOCUS HITAM</v>
      </c>
      <c r="F387" s="53" t="str">
        <f>IFERROR(__xludf.DUMMYFUNCTION("vlookup($D387,IMPORTRANGE(""https://docs.google.com/spreadsheets/d/1swGwZOEqYlTEUCJLY-eeJM1911Kvaei5oySBIxdgtNo/edit?pli=1#gid=257618397"",""stock FAKTUR!B:d""),3,false)"),"")</f>
        <v/>
      </c>
      <c r="G387" s="53" t="str">
        <f>IFERROR(__xludf.DUMMYFUNCTION("vlookup($D387,IMPORTRANGE(""https://docs.google.com/spreadsheets/d/1swGwZOEqYlTEUCJLY-eeJM1911Kvaei5oySBIxdgtNo/edit?pli=1#gid=257618397"",""stock FAKTUR!B:e""),4,false)"),"")</f>
        <v/>
      </c>
      <c r="H387" s="53" t="str">
        <f>IFERROR(__xludf.DUMMYFUNCTION("vlookup($D387,IMPORTRANGE(""https://docs.google.com/spreadsheets/d/1swGwZOEqYlTEUCJLY-eeJM1911Kvaei5oySBIxdgtNo/edit?pli=1#gid=257618397"",""stock FAKTUR!B:F""),5,false)"),"JK")</f>
        <v>JK</v>
      </c>
      <c r="I387" s="53" t="str">
        <f>IFERROR(__xludf.DUMMYFUNCTION("vlookup($D387,IMPORTRANGE(""https://docs.google.com/spreadsheets/d/1swGwZOEqYlTEUCJLY-eeJM1911Kvaei5oySBIxdgtNo/edit?pli=1#gid=257618397"",""stock FAKTUR!B:G""),6,false)"),"BP-338")</f>
        <v>BP-338</v>
      </c>
      <c r="J387" s="120" t="str">
        <f t="shared" si="25"/>
        <v>ADA</v>
      </c>
      <c r="K387" s="142">
        <v>72.0</v>
      </c>
      <c r="L387" s="145" t="str">
        <f>IFERROR(__xludf.DUMMYFUNCTION("vlookup($D387,IMPORTRANGE(""https://docs.google.com/spreadsheets/d/1swGwZOEqYlTEUCJLY-eeJM1911Kvaei5oySBIxdgtNo/edit?pli=1#gid=257618397"",""stock FAKTUR!B:q""),16,false)"),"LSN")</f>
        <v>LSN</v>
      </c>
      <c r="M387" s="147">
        <v>12600.0</v>
      </c>
      <c r="N387" s="152">
        <v>0.1</v>
      </c>
      <c r="O387" s="147">
        <f t="shared" si="94"/>
        <v>816480</v>
      </c>
      <c r="P387" s="147" t="str">
        <f t="shared" si="3"/>
        <v>Rp12,600-72 LSN-10.00%</v>
      </c>
      <c r="Q387" s="149">
        <v>45415.0</v>
      </c>
      <c r="R387" s="149">
        <v>45415.0</v>
      </c>
      <c r="S387" s="149">
        <v>45419.0</v>
      </c>
      <c r="T387" s="151"/>
      <c r="U387" s="151"/>
      <c r="V387" s="151"/>
      <c r="W387" s="151"/>
    </row>
    <row r="388">
      <c r="A388" s="153">
        <v>3116.0</v>
      </c>
      <c r="B388" s="144" t="str">
        <f t="shared" si="114"/>
        <v>H</v>
      </c>
      <c r="C388" s="144" t="str">
        <f t="shared" si="115"/>
        <v>DIAN ILMU-MALANG</v>
      </c>
      <c r="D388" s="145" t="s">
        <v>4631</v>
      </c>
      <c r="E388" s="145" t="str">
        <f>IFERROR(__xludf.DUMMYFUNCTION("vlookup(D388,IMPORTRANGE(""https://docs.google.com/spreadsheets/d/1swGwZOEqYlTEUCJLY-eeJM1911Kvaei5oySBIxdgtNo/edit?pli=1#gid=257618397"",""stock FAKTUR!B:C""),2,false)"),"STABILLO SOFTLINER COOL HSL-6C")</f>
        <v>STABILLO SOFTLINER COOL HSL-6C</v>
      </c>
      <c r="F388" s="53" t="str">
        <f>IFERROR(__xludf.DUMMYFUNCTION("vlookup($D388,IMPORTRANGE(""https://docs.google.com/spreadsheets/d/1swGwZOEqYlTEUCJLY-eeJM1911Kvaei5oySBIxdgtNo/edit?pli=1#gid=257618397"",""stock FAKTUR!B:d""),3,false)"),"")</f>
        <v/>
      </c>
      <c r="G388" s="53" t="str">
        <f>IFERROR(__xludf.DUMMYFUNCTION("vlookup($D388,IMPORTRANGE(""https://docs.google.com/spreadsheets/d/1swGwZOEqYlTEUCJLY-eeJM1911Kvaei5oySBIxdgtNo/edit?pli=1#gid=257618397"",""stock FAKTUR!B:e""),4,false)"),"")</f>
        <v/>
      </c>
      <c r="H388" s="53" t="str">
        <f>IFERROR(__xludf.DUMMYFUNCTION("vlookup($D388,IMPORTRANGE(""https://docs.google.com/spreadsheets/d/1swGwZOEqYlTEUCJLY-eeJM1911Kvaei5oySBIxdgtNo/edit?pli=1#gid=257618397"",""stock FAKTUR!B:F""),5,false)"),"KN")</f>
        <v>KN</v>
      </c>
      <c r="I388" s="53" t="str">
        <f>IFERROR(__xludf.DUMMYFUNCTION("vlookup($D388,IMPORTRANGE(""https://docs.google.com/spreadsheets/d/1swGwZOEqYlTEUCJLY-eeJM1911Kvaei5oySBIxdgtNo/edit?pli=1#gid=257618397"",""stock FAKTUR!B:G""),6,false)"),"HSL-6C")</f>
        <v>HSL-6C</v>
      </c>
      <c r="J388" s="120" t="str">
        <f t="shared" si="25"/>
        <v>ADA</v>
      </c>
      <c r="K388" s="153">
        <v>11.0</v>
      </c>
      <c r="L388" s="145" t="str">
        <f>IFERROR(__xludf.DUMMYFUNCTION("vlookup($D388,IMPORTRANGE(""https://docs.google.com/spreadsheets/d/1swGwZOEqYlTEUCJLY-eeJM1911Kvaei5oySBIxdgtNo/edit?pli=1#gid=257618397"",""stock FAKTUR!B:q""),16,false)"),"SET")</f>
        <v>SET</v>
      </c>
      <c r="M388" s="155">
        <v>15000.0</v>
      </c>
      <c r="N388" s="156">
        <v>0.1</v>
      </c>
      <c r="O388" s="155">
        <f t="shared" si="94"/>
        <v>148500</v>
      </c>
      <c r="P388" s="155" t="str">
        <f t="shared" si="3"/>
        <v>Rp15,000-11 SET-10.00%</v>
      </c>
      <c r="Q388" s="157">
        <v>45415.0</v>
      </c>
      <c r="R388" s="157">
        <v>45415.0</v>
      </c>
      <c r="S388" s="157">
        <v>45419.0</v>
      </c>
      <c r="T388" s="145" t="s">
        <v>4508</v>
      </c>
      <c r="U388" s="145" t="s">
        <v>4390</v>
      </c>
      <c r="V388" s="145"/>
      <c r="W388" s="159"/>
    </row>
    <row r="389">
      <c r="A389" s="142">
        <v>3116.0</v>
      </c>
      <c r="B389" s="143" t="str">
        <f t="shared" si="114"/>
        <v>H</v>
      </c>
      <c r="C389" s="143" t="str">
        <f t="shared" si="115"/>
        <v>DIAN ILMU-MALANG</v>
      </c>
      <c r="D389" s="151" t="s">
        <v>4534</v>
      </c>
      <c r="E389" s="145" t="str">
        <f>IFERROR(__xludf.DUMMYFUNCTION("vlookup(D389,IMPORTRANGE(""https://docs.google.com/spreadsheets/d/1swGwZOEqYlTEUCJLY-eeJM1911Kvaei5oySBIxdgtNo/edit?pli=1#gid=257618397"",""stock FAKTUR!B:C""),2,false)"),"BP DEBOZZ DB G 05")</f>
        <v>BP DEBOZZ DB G 05</v>
      </c>
      <c r="F389" s="53" t="str">
        <f>IFERROR(__xludf.DUMMYFUNCTION("vlookup($D389,IMPORTRANGE(""https://docs.google.com/spreadsheets/d/1swGwZOEqYlTEUCJLY-eeJM1911Kvaei5oySBIxdgtNo/edit?pli=1#gid=257618397"",""stock FAKTUR!B:d""),3,false)"),"")</f>
        <v/>
      </c>
      <c r="G389" s="53" t="str">
        <f>IFERROR(__xludf.DUMMYFUNCTION("vlookup($D389,IMPORTRANGE(""https://docs.google.com/spreadsheets/d/1swGwZOEqYlTEUCJLY-eeJM1911Kvaei5oySBIxdgtNo/edit?pli=1#gid=257618397"",""stock FAKTUR!B:e""),4,false)"),"")</f>
        <v/>
      </c>
      <c r="H389" s="53" t="str">
        <f>IFERROR(__xludf.DUMMYFUNCTION("vlookup($D389,IMPORTRANGE(""https://docs.google.com/spreadsheets/d/1swGwZOEqYlTEUCJLY-eeJM1911Kvaei5oySBIxdgtNo/edit?pli=1#gid=257618397"",""stock FAKTUR!B:F""),5,false)"),"DB")</f>
        <v>DB</v>
      </c>
      <c r="I389" s="53" t="str">
        <f>IFERROR(__xludf.DUMMYFUNCTION("vlookup($D389,IMPORTRANGE(""https://docs.google.com/spreadsheets/d/1swGwZOEqYlTEUCJLY-eeJM1911Kvaei5oySBIxdgtNo/edit?pli=1#gid=257618397"",""stock FAKTUR!B:G""),6,false)"),"G-05")</f>
        <v>G-05</v>
      </c>
      <c r="J389" s="120" t="str">
        <f t="shared" si="25"/>
        <v>ADA</v>
      </c>
      <c r="K389" s="142">
        <v>36.0</v>
      </c>
      <c r="L389" s="145" t="str">
        <f>IFERROR(__xludf.DUMMYFUNCTION("vlookup($D389,IMPORTRANGE(""https://docs.google.com/spreadsheets/d/1swGwZOEqYlTEUCJLY-eeJM1911Kvaei5oySBIxdgtNo/edit?pli=1#gid=257618397"",""stock FAKTUR!B:q""),16,false)"),"LSN")</f>
        <v>LSN</v>
      </c>
      <c r="M389" s="147">
        <v>28500.0</v>
      </c>
      <c r="N389" s="148"/>
      <c r="O389" s="147">
        <f t="shared" si="94"/>
        <v>1026000</v>
      </c>
      <c r="P389" s="147" t="str">
        <f t="shared" si="3"/>
        <v>Rp28,500-36 LSN-0.00%</v>
      </c>
      <c r="Q389" s="149">
        <v>45415.0</v>
      </c>
      <c r="R389" s="149">
        <v>45415.0</v>
      </c>
      <c r="S389" s="149">
        <v>45419.0</v>
      </c>
      <c r="T389" s="151"/>
      <c r="U389" s="151"/>
      <c r="V389" s="151"/>
      <c r="W389" s="151"/>
    </row>
    <row r="390">
      <c r="A390" s="142">
        <v>4714.0</v>
      </c>
      <c r="B390" s="143" t="s">
        <v>58</v>
      </c>
      <c r="C390" s="143" t="s">
        <v>2602</v>
      </c>
      <c r="D390" s="145" t="s">
        <v>4386</v>
      </c>
      <c r="E390" s="145" t="str">
        <f>IFERROR(__xludf.DUMMYFUNCTION("vlookup(D390,IMPORTRANGE(""https://docs.google.com/spreadsheets/d/1swGwZOEqYlTEUCJLY-eeJM1911Kvaei5oySBIxdgtNo/edit?pli=1#gid=257618397"",""stock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390" s="53" t="str">
        <f>IFERROR(__xludf.DUMMYFUNCTION("vlookup($D390,IMPORTRANGE(""https://docs.google.com/spreadsheets/d/1swGwZOEqYlTEUCJLY-eeJM1911Kvaei5oySBIxdgtNo/edit?pli=1#gid=257618397"",""stock FAKTUR!B:d""),3,false)"),"")</f>
        <v/>
      </c>
      <c r="G390" s="53" t="str">
        <f>IFERROR(__xludf.DUMMYFUNCTION("vlookup($D390,IMPORTRANGE(""https://docs.google.com/spreadsheets/d/1swGwZOEqYlTEUCJLY-eeJM1911Kvaei5oySBIxdgtNo/edit?pli=1#gid=257618397"",""stock FAKTUR!B:e""),4,false)"),"12W")</f>
        <v>12W</v>
      </c>
      <c r="H390" s="53" t="str">
        <f>IFERROR(__xludf.DUMMYFUNCTION("vlookup($D390,IMPORTRANGE(""https://docs.google.com/spreadsheets/d/1swGwZOEqYlTEUCJLY-eeJM1911Kvaei5oySBIxdgtNo/edit?pli=1#gid=257618397"",""stock FAKTUR!B:F""),5,false)"),"JK")</f>
        <v>JK</v>
      </c>
      <c r="I390" s="53" t="str">
        <f>IFERROR(__xludf.DUMMYFUNCTION("vlookup($D390,IMPORTRANGE(""https://docs.google.com/spreadsheets/d/1swGwZOEqYlTEUCJLY-eeJM1911Kvaei5oySBIxdgtNo/edit?pli=1#gid=257618397"",""stock FAKTUR!B:G""),6,false)"),"OP-12S")</f>
        <v>OP-12S</v>
      </c>
      <c r="J390" s="120" t="str">
        <f t="shared" si="25"/>
        <v>ADA</v>
      </c>
      <c r="K390" s="142">
        <v>12.0</v>
      </c>
      <c r="L390" s="145" t="str">
        <f>IFERROR(__xludf.DUMMYFUNCTION("vlookup($D390,IMPORTRANGE(""https://docs.google.com/spreadsheets/d/1swGwZOEqYlTEUCJLY-eeJM1911Kvaei5oySBIxdgtNo/edit?pli=1#gid=257618397"",""stock FAKTUR!B:q""),16,false)"),"PCS")</f>
        <v>PCS</v>
      </c>
      <c r="M390" s="147">
        <v>12300.0</v>
      </c>
      <c r="N390" s="148"/>
      <c r="O390" s="147">
        <f t="shared" si="94"/>
        <v>147600</v>
      </c>
      <c r="P390" s="147" t="str">
        <f t="shared" si="3"/>
        <v>Rp12,300-12 PCS-0.00%</v>
      </c>
      <c r="Q390" s="149">
        <v>45416.0</v>
      </c>
      <c r="R390" s="150"/>
      <c r="S390" s="149">
        <v>45419.0</v>
      </c>
      <c r="T390" s="151"/>
      <c r="U390" s="151"/>
      <c r="V390" s="151"/>
      <c r="W390" s="151"/>
    </row>
    <row r="391">
      <c r="A391" s="142">
        <v>4714.0</v>
      </c>
      <c r="B391" s="143" t="str">
        <f t="shared" ref="B391:B393" si="116">IF(A391=A390,B390,"")</f>
        <v>G</v>
      </c>
      <c r="C391" s="143" t="str">
        <f t="shared" ref="C391:C393" si="117">IF(A391=A390,C390,"")</f>
        <v>TRIO PLAZA-MAGELANG</v>
      </c>
      <c r="D391" s="145" t="s">
        <v>4393</v>
      </c>
      <c r="E391" s="145" t="str">
        <f>IFERROR(__xludf.DUMMYFUNCTION("vlookup(D391,IMPORTRANGE(""https://docs.google.com/spreadsheets/d/1swGwZOEqYlTEUCJLY-eeJM1911Kvaei5oySBIxdgtNo/edit?pli=1#gid=257618397"",""stock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391" s="53" t="str">
        <f>IFERROR(__xludf.DUMMYFUNCTION("vlookup($D391,IMPORTRANGE(""https://docs.google.com/spreadsheets/d/1swGwZOEqYlTEUCJLY-eeJM1911Kvaei5oySBIxdgtNo/edit?pli=1#gid=257618397"",""stock FAKTUR!B:d""),3,false)"),"")</f>
        <v/>
      </c>
      <c r="G391" s="53" t="str">
        <f>IFERROR(__xludf.DUMMYFUNCTION("vlookup($D391,IMPORTRANGE(""https://docs.google.com/spreadsheets/d/1swGwZOEqYlTEUCJLY-eeJM1911Kvaei5oySBIxdgtNo/edit?pli=1#gid=257618397"",""stock FAKTUR!B:e""),4,false)"),"36W")</f>
        <v>36W</v>
      </c>
      <c r="H391" s="53" t="str">
        <f>IFERROR(__xludf.DUMMYFUNCTION("vlookup($D391,IMPORTRANGE(""https://docs.google.com/spreadsheets/d/1swGwZOEqYlTEUCJLY-eeJM1911Kvaei5oySBIxdgtNo/edit?pli=1#gid=257618397"",""stock FAKTUR!B:F""),5,false)"),"JK")</f>
        <v>JK</v>
      </c>
      <c r="I391" s="53" t="str">
        <f>IFERROR(__xludf.DUMMYFUNCTION("vlookup($D391,IMPORTRANGE(""https://docs.google.com/spreadsheets/d/1swGwZOEqYlTEUCJLY-eeJM1911Kvaei5oySBIxdgtNo/edit?pli=1#gid=257618397"",""stock FAKTUR!B:G""),6,false)"),"OP-36S")</f>
        <v>OP-36S</v>
      </c>
      <c r="J391" s="120" t="str">
        <f t="shared" si="25"/>
        <v>ADA</v>
      </c>
      <c r="K391" s="142">
        <v>3.0</v>
      </c>
      <c r="L391" s="145" t="str">
        <f>IFERROR(__xludf.DUMMYFUNCTION("vlookup($D391,IMPORTRANGE(""https://docs.google.com/spreadsheets/d/1swGwZOEqYlTEUCJLY-eeJM1911Kvaei5oySBIxdgtNo/edit?pli=1#gid=257618397"",""stock FAKTUR!B:q""),16,false)"),"PCS")</f>
        <v>PCS</v>
      </c>
      <c r="M391" s="147">
        <v>42700.0</v>
      </c>
      <c r="N391" s="148"/>
      <c r="O391" s="147">
        <f t="shared" si="94"/>
        <v>128100</v>
      </c>
      <c r="P391" s="147" t="str">
        <f t="shared" si="3"/>
        <v>Rp42,700-3 PCS-0.00%</v>
      </c>
      <c r="Q391" s="149">
        <v>45416.0</v>
      </c>
      <c r="R391" s="150"/>
      <c r="S391" s="149">
        <v>45419.0</v>
      </c>
      <c r="T391" s="151"/>
      <c r="U391" s="151"/>
      <c r="V391" s="151"/>
      <c r="W391" s="151"/>
    </row>
    <row r="392">
      <c r="A392" s="142">
        <v>4714.0</v>
      </c>
      <c r="B392" s="143" t="str">
        <f t="shared" si="116"/>
        <v>G</v>
      </c>
      <c r="C392" s="143" t="str">
        <f t="shared" si="117"/>
        <v>TRIO PLAZA-MAGELANG</v>
      </c>
      <c r="D392" s="145" t="s">
        <v>4579</v>
      </c>
      <c r="E392" s="145" t="str">
        <f>IFERROR(__xludf.DUMMYFUNCTION("vlookup(D392,IMPORTRANGE(""https://docs.google.com/spreadsheets/d/1swGwZOEqYlTEUCJLY-eeJM1911Kvaei5oySBIxdgtNo/edit?pli=1#gid=257618397"",""stock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392" s="53" t="str">
        <f>IFERROR(__xludf.DUMMYFUNCTION("vlookup($D392,IMPORTRANGE(""https://docs.google.com/spreadsheets/d/1swGwZOEqYlTEUCJLY-eeJM1911Kvaei5oySBIxdgtNo/edit?pli=1#gid=257618397"",""stock FAKTUR!B:d""),3,false)"),"")</f>
        <v/>
      </c>
      <c r="G392" s="53" t="str">
        <f>IFERROR(__xludf.DUMMYFUNCTION("vlookup($D392,IMPORTRANGE(""https://docs.google.com/spreadsheets/d/1swGwZOEqYlTEUCJLY-eeJM1911Kvaei5oySBIxdgtNo/edit?pli=1#gid=257618397"",""stock FAKTUR!B:e""),4,false)"),"48W")</f>
        <v>48W</v>
      </c>
      <c r="H392" s="53" t="str">
        <f>IFERROR(__xludf.DUMMYFUNCTION("vlookup($D392,IMPORTRANGE(""https://docs.google.com/spreadsheets/d/1swGwZOEqYlTEUCJLY-eeJM1911Kvaei5oySBIxdgtNo/edit?pli=1#gid=257618397"",""stock FAKTUR!B:F""),5,false)"),"JK")</f>
        <v>JK</v>
      </c>
      <c r="I392" s="53" t="str">
        <f>IFERROR(__xludf.DUMMYFUNCTION("vlookup($D392,IMPORTRANGE(""https://docs.google.com/spreadsheets/d/1swGwZOEqYlTEUCJLY-eeJM1911Kvaei5oySBIxdgtNo/edit?pli=1#gid=257618397"",""stock FAKTUR!B:G""),6,false)"),"OP-48S")</f>
        <v>OP-48S</v>
      </c>
      <c r="J392" s="120" t="str">
        <f t="shared" si="25"/>
        <v>ADA</v>
      </c>
      <c r="K392" s="142">
        <v>3.0</v>
      </c>
      <c r="L392" s="145" t="str">
        <f>IFERROR(__xludf.DUMMYFUNCTION("vlookup($D392,IMPORTRANGE(""https://docs.google.com/spreadsheets/d/1swGwZOEqYlTEUCJLY-eeJM1911Kvaei5oySBIxdgtNo/edit?pli=1#gid=257618397"",""stock FAKTUR!B:q""),16,false)"),"PCS")</f>
        <v>PCS</v>
      </c>
      <c r="M392" s="147">
        <v>60700.0</v>
      </c>
      <c r="N392" s="148"/>
      <c r="O392" s="147">
        <f t="shared" si="94"/>
        <v>182100</v>
      </c>
      <c r="P392" s="147" t="str">
        <f t="shared" si="3"/>
        <v>Rp60,700-3 PCS-0.00%</v>
      </c>
      <c r="Q392" s="149">
        <v>45416.0</v>
      </c>
      <c r="R392" s="150"/>
      <c r="S392" s="149">
        <v>45419.0</v>
      </c>
      <c r="T392" s="151"/>
      <c r="U392" s="151"/>
      <c r="V392" s="151"/>
      <c r="W392" s="151"/>
    </row>
    <row r="393">
      <c r="A393" s="142">
        <v>4714.0</v>
      </c>
      <c r="B393" s="143" t="str">
        <f t="shared" si="116"/>
        <v>G</v>
      </c>
      <c r="C393" s="143" t="str">
        <f t="shared" si="117"/>
        <v>TRIO PLAZA-MAGELANG</v>
      </c>
      <c r="D393" s="145" t="s">
        <v>4402</v>
      </c>
      <c r="E393" s="145" t="str">
        <f>IFERROR(__xludf.DUMMYFUNCTION("vlookup(D393,IMPORTRANGE(""https://docs.google.com/spreadsheets/d/1swGwZOEqYlTEUCJLY-eeJM1911Kvaei5oySBIxdgtNo/edit?pli=1#gid=257618397"",""stock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393" s="53" t="str">
        <f>IFERROR(__xludf.DUMMYFUNCTION("vlookup($D393,IMPORTRANGE(""https://docs.google.com/spreadsheets/d/1swGwZOEqYlTEUCJLY-eeJM1911Kvaei5oySBIxdgtNo/edit?pli=1#gid=257618397"",""stock FAKTUR!B:d""),3,false)"),"")</f>
        <v/>
      </c>
      <c r="G393" s="53" t="str">
        <f>IFERROR(__xludf.DUMMYFUNCTION("vlookup($D393,IMPORTRANGE(""https://docs.google.com/spreadsheets/d/1swGwZOEqYlTEUCJLY-eeJM1911Kvaei5oySBIxdgtNo/edit?pli=1#gid=257618397"",""stock FAKTUR!B:e""),4,false)"),"55W")</f>
        <v>55W</v>
      </c>
      <c r="H393" s="53" t="str">
        <f>IFERROR(__xludf.DUMMYFUNCTION("vlookup($D393,IMPORTRANGE(""https://docs.google.com/spreadsheets/d/1swGwZOEqYlTEUCJLY-eeJM1911Kvaei5oySBIxdgtNo/edit?pli=1#gid=257618397"",""stock FAKTUR!B:F""),5,false)"),"JK")</f>
        <v>JK</v>
      </c>
      <c r="I393" s="53" t="str">
        <f>IFERROR(__xludf.DUMMYFUNCTION("vlookup($D393,IMPORTRANGE(""https://docs.google.com/spreadsheets/d/1swGwZOEqYlTEUCJLY-eeJM1911Kvaei5oySBIxdgtNo/edit?pli=1#gid=257618397"",""stock FAKTUR!B:G""),6,false)"),"")</f>
        <v/>
      </c>
      <c r="J393" s="120" t="str">
        <f t="shared" si="25"/>
        <v>ADA</v>
      </c>
      <c r="K393" s="142">
        <v>3.0</v>
      </c>
      <c r="L393" s="145" t="str">
        <f>IFERROR(__xludf.DUMMYFUNCTION("vlookup($D393,IMPORTRANGE(""https://docs.google.com/spreadsheets/d/1swGwZOEqYlTEUCJLY-eeJM1911Kvaei5oySBIxdgtNo/edit?pli=1#gid=257618397"",""stock FAKTUR!B:q""),16,false)"),"PCS")</f>
        <v>PCS</v>
      </c>
      <c r="M393" s="147">
        <v>68700.0</v>
      </c>
      <c r="N393" s="148"/>
      <c r="O393" s="147">
        <f t="shared" si="94"/>
        <v>206100</v>
      </c>
      <c r="P393" s="147" t="str">
        <f t="shared" si="3"/>
        <v>Rp68,700-3 PCS-0.00%</v>
      </c>
      <c r="Q393" s="149">
        <v>45416.0</v>
      </c>
      <c r="R393" s="150"/>
      <c r="S393" s="149">
        <v>45419.0</v>
      </c>
      <c r="T393" s="151"/>
      <c r="U393" s="151"/>
      <c r="V393" s="151"/>
      <c r="W393" s="151"/>
    </row>
    <row r="394">
      <c r="A394" s="142">
        <v>4713.0</v>
      </c>
      <c r="B394" s="143" t="s">
        <v>58</v>
      </c>
      <c r="C394" s="143" t="s">
        <v>2602</v>
      </c>
      <c r="D394" s="145" t="s">
        <v>4537</v>
      </c>
      <c r="E394" s="145" t="str">
        <f>IFERROR(__xludf.DUMMYFUNCTION("vlookup(D394,IMPORTRANGE(""https://docs.google.com/spreadsheets/d/1swGwZOEqYlTEUCJLY-eeJM1911Kvaei5oySBIxdgtNo/edit?pli=1#gid=257618397"",""stock FAKTUR!B:C""),2,false)"),"BP VANCO VC-559 0.28 HT")</f>
        <v>BP VANCO VC-559 0.28 HT</v>
      </c>
      <c r="F394" s="53" t="str">
        <f>IFERROR(__xludf.DUMMYFUNCTION("vlookup($D394,IMPORTRANGE(""https://docs.google.com/spreadsheets/d/1swGwZOEqYlTEUCJLY-eeJM1911Kvaei5oySBIxdgtNo/edit?pli=1#gid=257618397"",""stock FAKTUR!B:d""),3,false)"),"")</f>
        <v/>
      </c>
      <c r="G394" s="53" t="str">
        <f>IFERROR(__xludf.DUMMYFUNCTION("vlookup($D394,IMPORTRANGE(""https://docs.google.com/spreadsheets/d/1swGwZOEqYlTEUCJLY-eeJM1911Kvaei5oySBIxdgtNo/edit?pli=1#gid=257618397"",""stock FAKTUR!B:e""),4,false)"),"")</f>
        <v/>
      </c>
      <c r="H394" s="53" t="str">
        <f>IFERROR(__xludf.DUMMYFUNCTION("vlookup($D394,IMPORTRANGE(""https://docs.google.com/spreadsheets/d/1swGwZOEqYlTEUCJLY-eeJM1911Kvaei5oySBIxdgtNo/edit?pli=1#gid=257618397"",""stock FAKTUR!B:F""),5,false)"),"VN")</f>
        <v>VN</v>
      </c>
      <c r="I394" s="53" t="str">
        <f>IFERROR(__xludf.DUMMYFUNCTION("vlookup($D394,IMPORTRANGE(""https://docs.google.com/spreadsheets/d/1swGwZOEqYlTEUCJLY-eeJM1911Kvaei5oySBIxdgtNo/edit?pli=1#gid=257618397"",""stock FAKTUR!B:G""),6,false)"),"")</f>
        <v/>
      </c>
      <c r="J394" s="120" t="str">
        <f t="shared" si="25"/>
        <v>ADA</v>
      </c>
      <c r="K394" s="142">
        <f t="shared" ref="K394:K395" si="118">48/12</f>
        <v>4</v>
      </c>
      <c r="L394" s="145" t="str">
        <f>IFERROR(__xludf.DUMMYFUNCTION("vlookup($D394,IMPORTRANGE(""https://docs.google.com/spreadsheets/d/1swGwZOEqYlTEUCJLY-eeJM1911Kvaei5oySBIxdgtNo/edit?pli=1#gid=257618397"",""stock FAKTUR!B:q""),16,false)"),"LSN")</f>
        <v>LSN</v>
      </c>
      <c r="M394" s="147">
        <f>2000*12</f>
        <v>24000</v>
      </c>
      <c r="N394" s="148"/>
      <c r="O394" s="147">
        <f t="shared" si="94"/>
        <v>96000</v>
      </c>
      <c r="P394" s="147" t="str">
        <f t="shared" si="3"/>
        <v>Rp24,000-4 LSN-0.00%</v>
      </c>
      <c r="Q394" s="149">
        <v>45416.0</v>
      </c>
      <c r="R394" s="150"/>
      <c r="S394" s="149">
        <v>45419.0</v>
      </c>
      <c r="T394" s="151"/>
      <c r="U394" s="151"/>
      <c r="V394" s="151"/>
      <c r="W394" s="151"/>
    </row>
    <row r="395">
      <c r="A395" s="142">
        <v>4713.0</v>
      </c>
      <c r="B395" s="143" t="str">
        <f>IF(A395=A394,B394,"")</f>
        <v>G</v>
      </c>
      <c r="C395" s="143" t="str">
        <f>IF(A395=A394,C394,"")</f>
        <v>TRIO PLAZA-MAGELANG</v>
      </c>
      <c r="D395" s="145" t="s">
        <v>4517</v>
      </c>
      <c r="E395" s="145" t="str">
        <f>IFERROR(__xludf.DUMMYFUNCTION("vlookup(D395,IMPORTRANGE(""https://docs.google.com/spreadsheets/d/1swGwZOEqYlTEUCJLY-eeJM1911Kvaei5oySBIxdgtNo/edit?pli=1#gid=257618397"",""stock FAKTUR!B:C""),2,false)"),"BP VANCO 1609")</f>
        <v>BP VANCO 1609</v>
      </c>
      <c r="F395" s="53" t="str">
        <f>IFERROR(__xludf.DUMMYFUNCTION("vlookup($D395,IMPORTRANGE(""https://docs.google.com/spreadsheets/d/1swGwZOEqYlTEUCJLY-eeJM1911Kvaei5oySBIxdgtNo/edit?pli=1#gid=257618397"",""stock FAKTUR!B:d""),3,false)"),"")</f>
        <v/>
      </c>
      <c r="G395" s="53" t="str">
        <f>IFERROR(__xludf.DUMMYFUNCTION("vlookup($D395,IMPORTRANGE(""https://docs.google.com/spreadsheets/d/1swGwZOEqYlTEUCJLY-eeJM1911Kvaei5oySBIxdgtNo/edit?pli=1#gid=257618397"",""stock FAKTUR!B:e""),4,false)"),"")</f>
        <v/>
      </c>
      <c r="H395" s="53" t="str">
        <f>IFERROR(__xludf.DUMMYFUNCTION("vlookup($D395,IMPORTRANGE(""https://docs.google.com/spreadsheets/d/1swGwZOEqYlTEUCJLY-eeJM1911Kvaei5oySBIxdgtNo/edit?pli=1#gid=257618397"",""stock FAKTUR!B:F""),5,false)"),"VN")</f>
        <v>VN</v>
      </c>
      <c r="I395" s="53" t="str">
        <f>IFERROR(__xludf.DUMMYFUNCTION("vlookup($D395,IMPORTRANGE(""https://docs.google.com/spreadsheets/d/1swGwZOEqYlTEUCJLY-eeJM1911Kvaei5oySBIxdgtNo/edit?pli=1#gid=257618397"",""stock FAKTUR!B:G""),6,false)"),"1609")</f>
        <v>1609</v>
      </c>
      <c r="J395" s="120" t="str">
        <f t="shared" si="25"/>
        <v>ADA</v>
      </c>
      <c r="K395" s="142">
        <f t="shared" si="118"/>
        <v>4</v>
      </c>
      <c r="L395" s="145" t="str">
        <f>IFERROR(__xludf.DUMMYFUNCTION("vlookup($D395,IMPORTRANGE(""https://docs.google.com/spreadsheets/d/1swGwZOEqYlTEUCJLY-eeJM1911Kvaei5oySBIxdgtNo/edit?pli=1#gid=257618397"",""stock FAKTUR!B:q""),16,false)"),"LSN")</f>
        <v>LSN</v>
      </c>
      <c r="M395" s="147">
        <f>2083*12</f>
        <v>24996</v>
      </c>
      <c r="N395" s="148"/>
      <c r="O395" s="147">
        <f t="shared" si="94"/>
        <v>99984</v>
      </c>
      <c r="P395" s="147" t="str">
        <f t="shared" si="3"/>
        <v>Rp24,996-4 LSN-0.00%</v>
      </c>
      <c r="Q395" s="149">
        <v>45416.0</v>
      </c>
      <c r="R395" s="150"/>
      <c r="S395" s="149">
        <v>45419.0</v>
      </c>
      <c r="T395" s="151"/>
      <c r="U395" s="151"/>
      <c r="V395" s="151"/>
      <c r="W395" s="151"/>
    </row>
    <row r="396">
      <c r="A396" s="142">
        <v>4712.0</v>
      </c>
      <c r="B396" s="143" t="s">
        <v>58</v>
      </c>
      <c r="C396" s="143" t="s">
        <v>2362</v>
      </c>
      <c r="D396" s="145" t="s">
        <v>4447</v>
      </c>
      <c r="E396" s="145" t="str">
        <f>IFERROR(__xludf.DUMMYFUNCTION("vlookup(D396,IMPORTRANGE(""https://docs.google.com/spreadsheets/d/1swGwZOEqYlTEUCJLY-eeJM1911Kvaei5oySBIxdgtNo/edit?pli=1#gid=257618397"",""stock FAKTUR!B:C""),2,false)"),"PC MAGNIT FC-1758 (22X7.5)")</f>
        <v>PC MAGNIT FC-1758 (22X7.5)</v>
      </c>
      <c r="F396" s="53" t="str">
        <f>IFERROR(__xludf.DUMMYFUNCTION("vlookup($D396,IMPORTRANGE(""https://docs.google.com/spreadsheets/d/1swGwZOEqYlTEUCJLY-eeJM1911Kvaei5oySBIxdgtNo/edit?pli=1#gid=257618397"",""stock FAKTUR!B:d""),3,false)"),"")</f>
        <v/>
      </c>
      <c r="G396" s="53" t="str">
        <f>IFERROR(__xludf.DUMMYFUNCTION("vlookup($D396,IMPORTRANGE(""https://docs.google.com/spreadsheets/d/1swGwZOEqYlTEUCJLY-eeJM1911Kvaei5oySBIxdgtNo/edit?pli=1#gid=257618397"",""stock FAKTUR!B:e""),4,false)"),"")</f>
        <v/>
      </c>
      <c r="H396" s="53" t="str">
        <f>IFERROR(__xludf.DUMMYFUNCTION("vlookup($D396,IMPORTRANGE(""https://docs.google.com/spreadsheets/d/1swGwZOEqYlTEUCJLY-eeJM1911Kvaei5oySBIxdgtNo/edit?pli=1#gid=257618397"",""stock FAKTUR!B:F""),5,false)"),"NB")</f>
        <v>NB</v>
      </c>
      <c r="I396" s="53" t="str">
        <f>IFERROR(__xludf.DUMMYFUNCTION("vlookup($D396,IMPORTRANGE(""https://docs.google.com/spreadsheets/d/1swGwZOEqYlTEUCJLY-eeJM1911Kvaei5oySBIxdgtNo/edit?pli=1#gid=257618397"",""stock FAKTUR!B:G""),6,false)"),"")</f>
        <v/>
      </c>
      <c r="J396" s="120" t="str">
        <f t="shared" si="25"/>
        <v>ADA</v>
      </c>
      <c r="K396" s="142">
        <f>2*12</f>
        <v>24</v>
      </c>
      <c r="L396" s="145" t="str">
        <f>IFERROR(__xludf.DUMMYFUNCTION("vlookup($D396,IMPORTRANGE(""https://docs.google.com/spreadsheets/d/1swGwZOEqYlTEUCJLY-eeJM1911Kvaei5oySBIxdgtNo/edit?pli=1#gid=257618397"",""stock FAKTUR!B:q""),16,false)"),"PCS")</f>
        <v>PCS</v>
      </c>
      <c r="M396" s="147">
        <f>128000/12</f>
        <v>10666.66667</v>
      </c>
      <c r="N396" s="148"/>
      <c r="O396" s="147">
        <f t="shared" si="94"/>
        <v>256000</v>
      </c>
      <c r="P396" s="147" t="str">
        <f t="shared" si="3"/>
        <v>Rp10,667-24 PCS-0.00%</v>
      </c>
      <c r="Q396" s="149">
        <v>45416.0</v>
      </c>
      <c r="R396" s="149">
        <v>45416.0</v>
      </c>
      <c r="S396" s="149">
        <v>45419.0</v>
      </c>
      <c r="T396" s="151"/>
      <c r="U396" s="151"/>
      <c r="V396" s="151"/>
      <c r="W396" s="151"/>
    </row>
    <row r="397">
      <c r="A397" s="142">
        <v>4712.0</v>
      </c>
      <c r="B397" s="143" t="str">
        <f t="shared" ref="B397:B407" si="119">IF(A397=A396,B396,"")</f>
        <v>G</v>
      </c>
      <c r="C397" s="143" t="str">
        <f t="shared" ref="C397:C407" si="120">IF(A397=A396,C396,"")</f>
        <v>HT JAYA-JUWANA</v>
      </c>
      <c r="D397" s="145" t="s">
        <v>4554</v>
      </c>
      <c r="E397" s="145" t="str">
        <f>IFERROR(__xludf.DUMMYFUNCTION("vlookup(D397,IMPORTRANGE(""https://docs.google.com/spreadsheets/d/1swGwZOEqYlTEUCJLY-eeJM1911Kvaei5oySBIxdgtNo/edit?pli=1#gid=257618397"",""stock FAKTUR!B:C""),2,false)"),"MAP DLL-229")</f>
        <v>MAP DLL-229</v>
      </c>
      <c r="F397" s="53" t="str">
        <f>IFERROR(__xludf.DUMMYFUNCTION("vlookup($D397,IMPORTRANGE(""https://docs.google.com/spreadsheets/d/1swGwZOEqYlTEUCJLY-eeJM1911Kvaei5oySBIxdgtNo/edit?pli=1#gid=257618397"",""stock FAKTUR!B:d""),3,false)"),"")</f>
        <v/>
      </c>
      <c r="G397" s="53" t="str">
        <f>IFERROR(__xludf.DUMMYFUNCTION("vlookup($D397,IMPORTRANGE(""https://docs.google.com/spreadsheets/d/1swGwZOEqYlTEUCJLY-eeJM1911Kvaei5oySBIxdgtNo/edit?pli=1#gid=257618397"",""stock FAKTUR!B:e""),4,false)"),"")</f>
        <v/>
      </c>
      <c r="H397" s="53" t="str">
        <f>IFERROR(__xludf.DUMMYFUNCTION("vlookup($D397,IMPORTRANGE(""https://docs.google.com/spreadsheets/d/1swGwZOEqYlTEUCJLY-eeJM1911Kvaei5oySBIxdgtNo/edit?pli=1#gid=257618397"",""stock FAKTUR!B:F""),5,false)"),"NB")</f>
        <v>NB</v>
      </c>
      <c r="I397" s="53" t="str">
        <f>IFERROR(__xludf.DUMMYFUNCTION("vlookup($D397,IMPORTRANGE(""https://docs.google.com/spreadsheets/d/1swGwZOEqYlTEUCJLY-eeJM1911Kvaei5oySBIxdgtNo/edit?pli=1#gid=257618397"",""stock FAKTUR!B:G""),6,false)"),"DLL-229")</f>
        <v>DLL-229</v>
      </c>
      <c r="J397" s="120" t="str">
        <f t="shared" si="25"/>
        <v>ADA</v>
      </c>
      <c r="K397" s="142">
        <v>12.0</v>
      </c>
      <c r="L397" s="145" t="str">
        <f>IFERROR(__xludf.DUMMYFUNCTION("vlookup($D397,IMPORTRANGE(""https://docs.google.com/spreadsheets/d/1swGwZOEqYlTEUCJLY-eeJM1911Kvaei5oySBIxdgtNo/edit?pli=1#gid=257618397"",""stock FAKTUR!B:q""),16,false)"),"LSN")</f>
        <v>LSN</v>
      </c>
      <c r="M397" s="147">
        <v>55000.0</v>
      </c>
      <c r="N397" s="148"/>
      <c r="O397" s="147">
        <f t="shared" si="94"/>
        <v>660000</v>
      </c>
      <c r="P397" s="147" t="str">
        <f t="shared" si="3"/>
        <v>Rp55,000-12 LSN-0.00%</v>
      </c>
      <c r="Q397" s="149">
        <v>45416.0</v>
      </c>
      <c r="R397" s="149">
        <v>45412.0</v>
      </c>
      <c r="S397" s="149">
        <v>45419.0</v>
      </c>
      <c r="T397" s="151"/>
      <c r="U397" s="151"/>
      <c r="V397" s="151"/>
      <c r="W397" s="151"/>
    </row>
    <row r="398">
      <c r="A398" s="142">
        <v>4712.0</v>
      </c>
      <c r="B398" s="143" t="str">
        <f t="shared" si="119"/>
        <v>G</v>
      </c>
      <c r="C398" s="143" t="str">
        <f t="shared" si="120"/>
        <v>HT JAYA-JUWANA</v>
      </c>
      <c r="D398" s="145" t="s">
        <v>4568</v>
      </c>
      <c r="E398" s="145" t="str">
        <f>IFERROR(__xludf.DUMMYFUNCTION("vlookup(D398,IMPORTRANGE(""https://docs.google.com/spreadsheets/d/1swGwZOEqYlTEUCJLY-eeJM1911Kvaei5oySBIxdgtNo/edit?pli=1#gid=257618397"",""stock FAKTUR!B:C""),2,false)"),"PC MAGNT LPY-6 (23X8)")</f>
        <v>PC MAGNT LPY-6 (23X8)</v>
      </c>
      <c r="F398" s="53" t="str">
        <f>IFERROR(__xludf.DUMMYFUNCTION("vlookup($D398,IMPORTRANGE(""https://docs.google.com/spreadsheets/d/1swGwZOEqYlTEUCJLY-eeJM1911Kvaei5oySBIxdgtNo/edit?pli=1#gid=257618397"",""stock FAKTUR!B:d""),3,false)"),"")</f>
        <v/>
      </c>
      <c r="G398" s="53" t="str">
        <f>IFERROR(__xludf.DUMMYFUNCTION("vlookup($D398,IMPORTRANGE(""https://docs.google.com/spreadsheets/d/1swGwZOEqYlTEUCJLY-eeJM1911Kvaei5oySBIxdgtNo/edit?pli=1#gid=257618397"",""stock FAKTUR!B:e""),4,false)"),"")</f>
        <v/>
      </c>
      <c r="H398" s="53" t="str">
        <f>IFERROR(__xludf.DUMMYFUNCTION("vlookup($D398,IMPORTRANGE(""https://docs.google.com/spreadsheets/d/1swGwZOEqYlTEUCJLY-eeJM1911Kvaei5oySBIxdgtNo/edit?pli=1#gid=257618397"",""stock FAKTUR!B:F""),5,false)"),"NB")</f>
        <v>NB</v>
      </c>
      <c r="I398" s="53" t="str">
        <f>IFERROR(__xludf.DUMMYFUNCTION("vlookup($D398,IMPORTRANGE(""https://docs.google.com/spreadsheets/d/1swGwZOEqYlTEUCJLY-eeJM1911Kvaei5oySBIxdgtNo/edit?pli=1#gid=257618397"",""stock FAKTUR!B:G""),6,false)"),"")</f>
        <v/>
      </c>
      <c r="J398" s="120" t="str">
        <f t="shared" si="25"/>
        <v>ADA</v>
      </c>
      <c r="K398" s="142">
        <f t="shared" ref="K398:K403" si="121">1*12</f>
        <v>12</v>
      </c>
      <c r="L398" s="145" t="str">
        <f>IFERROR(__xludf.DUMMYFUNCTION("vlookup($D398,IMPORTRANGE(""https://docs.google.com/spreadsheets/d/1swGwZOEqYlTEUCJLY-eeJM1911Kvaei5oySBIxdgtNo/edit?pli=1#gid=257618397"",""stock FAKTUR!B:q""),16,false)"),"PCS")</f>
        <v>PCS</v>
      </c>
      <c r="M398" s="147">
        <f>145000/12</f>
        <v>12083.33333</v>
      </c>
      <c r="N398" s="148"/>
      <c r="O398" s="147">
        <f t="shared" si="94"/>
        <v>145000</v>
      </c>
      <c r="P398" s="147" t="str">
        <f t="shared" si="3"/>
        <v>Rp12,083-12 PCS-0.00%</v>
      </c>
      <c r="Q398" s="149">
        <v>45416.0</v>
      </c>
      <c r="R398" s="149">
        <v>45416.0</v>
      </c>
      <c r="S398" s="149">
        <v>45419.0</v>
      </c>
      <c r="T398" s="151"/>
      <c r="U398" s="151"/>
      <c r="V398" s="151"/>
      <c r="W398" s="151"/>
    </row>
    <row r="399">
      <c r="A399" s="142">
        <v>4712.0</v>
      </c>
      <c r="B399" s="143" t="str">
        <f t="shared" si="119"/>
        <v>G</v>
      </c>
      <c r="C399" s="143" t="str">
        <f t="shared" si="120"/>
        <v>HT JAYA-JUWANA</v>
      </c>
      <c r="D399" s="145" t="s">
        <v>4566</v>
      </c>
      <c r="E399" s="145" t="str">
        <f>IFERROR(__xludf.DUMMYFUNCTION("vlookup(D399,IMPORTRANGE(""https://docs.google.com/spreadsheets/d/1swGwZOEqYlTEUCJLY-eeJM1911Kvaei5oySBIxdgtNo/edit?pli=1#gid=257618397"",""stock FAKTUR!B:C""),2,false)"),"PC MAGNIT FC-5223 3D (23X8.5)")</f>
        <v>PC MAGNIT FC-5223 3D (23X8.5)</v>
      </c>
      <c r="F399" s="53" t="str">
        <f>IFERROR(__xludf.DUMMYFUNCTION("vlookup($D399,IMPORTRANGE(""https://docs.google.com/spreadsheets/d/1swGwZOEqYlTEUCJLY-eeJM1911Kvaei5oySBIxdgtNo/edit?pli=1#gid=257618397"",""stock FAKTUR!B:d""),3,false)"),"")</f>
        <v/>
      </c>
      <c r="G399" s="53" t="str">
        <f>IFERROR(__xludf.DUMMYFUNCTION("vlookup($D399,IMPORTRANGE(""https://docs.google.com/spreadsheets/d/1swGwZOEqYlTEUCJLY-eeJM1911Kvaei5oySBIxdgtNo/edit?pli=1#gid=257618397"",""stock FAKTUR!B:e""),4,false)"),"")</f>
        <v/>
      </c>
      <c r="H399" s="53" t="str">
        <f>IFERROR(__xludf.DUMMYFUNCTION("vlookup($D399,IMPORTRANGE(""https://docs.google.com/spreadsheets/d/1swGwZOEqYlTEUCJLY-eeJM1911Kvaei5oySBIxdgtNo/edit?pli=1#gid=257618397"",""stock FAKTUR!B:F""),5,false)"),"NB")</f>
        <v>NB</v>
      </c>
      <c r="I399" s="53" t="str">
        <f>IFERROR(__xludf.DUMMYFUNCTION("vlookup($D399,IMPORTRANGE(""https://docs.google.com/spreadsheets/d/1swGwZOEqYlTEUCJLY-eeJM1911Kvaei5oySBIxdgtNo/edit?pli=1#gid=257618397"",""stock FAKTUR!B:G""),6,false)"),"")</f>
        <v/>
      </c>
      <c r="J399" s="120" t="str">
        <f t="shared" si="25"/>
        <v>ADA</v>
      </c>
      <c r="K399" s="142">
        <f t="shared" si="121"/>
        <v>12</v>
      </c>
      <c r="L399" s="145" t="str">
        <f>IFERROR(__xludf.DUMMYFUNCTION("vlookup($D399,IMPORTRANGE(""https://docs.google.com/spreadsheets/d/1swGwZOEqYlTEUCJLY-eeJM1911Kvaei5oySBIxdgtNo/edit?pli=1#gid=257618397"",""stock FAKTUR!B:q""),16,false)"),"PCS")</f>
        <v>PCS</v>
      </c>
      <c r="M399" s="147">
        <f t="shared" ref="M399:M400" si="122">160000/12</f>
        <v>13333.33333</v>
      </c>
      <c r="N399" s="148"/>
      <c r="O399" s="147">
        <f t="shared" si="94"/>
        <v>160000</v>
      </c>
      <c r="P399" s="147" t="str">
        <f t="shared" si="3"/>
        <v>Rp13,333-12 PCS-0.00%</v>
      </c>
      <c r="Q399" s="149">
        <v>45416.0</v>
      </c>
      <c r="R399" s="149">
        <v>45416.0</v>
      </c>
      <c r="S399" s="149">
        <v>45419.0</v>
      </c>
      <c r="T399" s="151"/>
      <c r="U399" s="151"/>
      <c r="V399" s="151"/>
      <c r="W399" s="151"/>
    </row>
    <row r="400">
      <c r="A400" s="142">
        <v>4712.0</v>
      </c>
      <c r="B400" s="143" t="str">
        <f t="shared" si="119"/>
        <v>G</v>
      </c>
      <c r="C400" s="143" t="str">
        <f t="shared" si="120"/>
        <v>HT JAYA-JUWANA</v>
      </c>
      <c r="D400" s="145" t="s">
        <v>4565</v>
      </c>
      <c r="E400" s="145" t="str">
        <f>IFERROR(__xludf.DUMMYFUNCTION("vlookup(D400,IMPORTRANGE(""https://docs.google.com/spreadsheets/d/1swGwZOEqYlTEUCJLY-eeJM1911Kvaei5oySBIxdgtNo/edit?pli=1#gid=257618397"",""stock FAKTUR!B:C""),2,false)"),"PC MAGNIT FC-6295 (23X10)")</f>
        <v>PC MAGNIT FC-6295 (23X10)</v>
      </c>
      <c r="F400" s="53" t="str">
        <f>IFERROR(__xludf.DUMMYFUNCTION("vlookup($D400,IMPORTRANGE(""https://docs.google.com/spreadsheets/d/1swGwZOEqYlTEUCJLY-eeJM1911Kvaei5oySBIxdgtNo/edit?pli=1#gid=257618397"",""stock FAKTUR!B:d""),3,false)"),"")</f>
        <v/>
      </c>
      <c r="G400" s="53" t="str">
        <f>IFERROR(__xludf.DUMMYFUNCTION("vlookup($D400,IMPORTRANGE(""https://docs.google.com/spreadsheets/d/1swGwZOEqYlTEUCJLY-eeJM1911Kvaei5oySBIxdgtNo/edit?pli=1#gid=257618397"",""stock FAKTUR!B:e""),4,false)"),"")</f>
        <v/>
      </c>
      <c r="H400" s="53" t="str">
        <f>IFERROR(__xludf.DUMMYFUNCTION("vlookup($D400,IMPORTRANGE(""https://docs.google.com/spreadsheets/d/1swGwZOEqYlTEUCJLY-eeJM1911Kvaei5oySBIxdgtNo/edit?pli=1#gid=257618397"",""stock FAKTUR!B:F""),5,false)"),"NB")</f>
        <v>NB</v>
      </c>
      <c r="I400" s="53" t="str">
        <f>IFERROR(__xludf.DUMMYFUNCTION("vlookup($D400,IMPORTRANGE(""https://docs.google.com/spreadsheets/d/1swGwZOEqYlTEUCJLY-eeJM1911Kvaei5oySBIxdgtNo/edit?pli=1#gid=257618397"",""stock FAKTUR!B:G""),6,false)"),"")</f>
        <v/>
      </c>
      <c r="J400" s="120" t="str">
        <f t="shared" si="25"/>
        <v>ADA</v>
      </c>
      <c r="K400" s="142">
        <f t="shared" si="121"/>
        <v>12</v>
      </c>
      <c r="L400" s="145" t="str">
        <f>IFERROR(__xludf.DUMMYFUNCTION("vlookup($D400,IMPORTRANGE(""https://docs.google.com/spreadsheets/d/1swGwZOEqYlTEUCJLY-eeJM1911Kvaei5oySBIxdgtNo/edit?pli=1#gid=257618397"",""stock FAKTUR!B:q""),16,false)"),"PCS")</f>
        <v>PCS</v>
      </c>
      <c r="M400" s="147">
        <f t="shared" si="122"/>
        <v>13333.33333</v>
      </c>
      <c r="N400" s="148"/>
      <c r="O400" s="147">
        <f t="shared" si="94"/>
        <v>160000</v>
      </c>
      <c r="P400" s="147" t="str">
        <f t="shared" si="3"/>
        <v>Rp13,333-12 PCS-0.00%</v>
      </c>
      <c r="Q400" s="149">
        <v>45416.0</v>
      </c>
      <c r="R400" s="149">
        <v>45416.0</v>
      </c>
      <c r="S400" s="149">
        <v>45419.0</v>
      </c>
      <c r="T400" s="151"/>
      <c r="U400" s="151"/>
      <c r="V400" s="151"/>
      <c r="W400" s="151"/>
    </row>
    <row r="401">
      <c r="A401" s="142">
        <v>4712.0</v>
      </c>
      <c r="B401" s="143" t="str">
        <f t="shared" si="119"/>
        <v>G</v>
      </c>
      <c r="C401" s="143" t="str">
        <f t="shared" si="120"/>
        <v>HT JAYA-JUWANA</v>
      </c>
      <c r="D401" s="145" t="s">
        <v>4567</v>
      </c>
      <c r="E401" s="145" t="str">
        <f>IFERROR(__xludf.DUMMYFUNCTION("vlookup(D401,IMPORTRANGE(""https://docs.google.com/spreadsheets/d/1swGwZOEqYlTEUCJLY-eeJM1911Kvaei5oySBIxdgtNo/edit?pli=1#gid=257618397"",""stock FAKTUR!B:C""),2,false)"),"PC MAGNIT FX-2275 (22X7.5) METALIK")</f>
        <v>PC MAGNIT FX-2275 (22X7.5) METALIK</v>
      </c>
      <c r="F401" s="53" t="str">
        <f>IFERROR(__xludf.DUMMYFUNCTION("vlookup($D401,IMPORTRANGE(""https://docs.google.com/spreadsheets/d/1swGwZOEqYlTEUCJLY-eeJM1911Kvaei5oySBIxdgtNo/edit?pli=1#gid=257618397"",""stock FAKTUR!B:d""),3,false)"),"")</f>
        <v/>
      </c>
      <c r="G401" s="53" t="str">
        <f>IFERROR(__xludf.DUMMYFUNCTION("vlookup($D401,IMPORTRANGE(""https://docs.google.com/spreadsheets/d/1swGwZOEqYlTEUCJLY-eeJM1911Kvaei5oySBIxdgtNo/edit?pli=1#gid=257618397"",""stock FAKTUR!B:e""),4,false)"),"")</f>
        <v/>
      </c>
      <c r="H401" s="53" t="str">
        <f>IFERROR(__xludf.DUMMYFUNCTION("vlookup($D401,IMPORTRANGE(""https://docs.google.com/spreadsheets/d/1swGwZOEqYlTEUCJLY-eeJM1911Kvaei5oySBIxdgtNo/edit?pli=1#gid=257618397"",""stock FAKTUR!B:F""),5,false)"),"NB")</f>
        <v>NB</v>
      </c>
      <c r="I401" s="53" t="str">
        <f>IFERROR(__xludf.DUMMYFUNCTION("vlookup($D401,IMPORTRANGE(""https://docs.google.com/spreadsheets/d/1swGwZOEqYlTEUCJLY-eeJM1911Kvaei5oySBIxdgtNo/edit?pli=1#gid=257618397"",""stock FAKTUR!B:G""),6,false)"),"FX-2275")</f>
        <v>FX-2275</v>
      </c>
      <c r="J401" s="120" t="str">
        <f t="shared" si="25"/>
        <v>ADA</v>
      </c>
      <c r="K401" s="142">
        <f t="shared" si="121"/>
        <v>12</v>
      </c>
      <c r="L401" s="145" t="str">
        <f>IFERROR(__xludf.DUMMYFUNCTION("vlookup($D401,IMPORTRANGE(""https://docs.google.com/spreadsheets/d/1swGwZOEqYlTEUCJLY-eeJM1911Kvaei5oySBIxdgtNo/edit?pli=1#gid=257618397"",""stock FAKTUR!B:q""),16,false)"),"PCS")</f>
        <v>PCS</v>
      </c>
      <c r="M401" s="147">
        <f>145000/12</f>
        <v>12083.33333</v>
      </c>
      <c r="N401" s="148"/>
      <c r="O401" s="147">
        <f t="shared" si="94"/>
        <v>145000</v>
      </c>
      <c r="P401" s="147" t="str">
        <f t="shared" si="3"/>
        <v>Rp12,083-12 PCS-0.00%</v>
      </c>
      <c r="Q401" s="149">
        <v>45416.0</v>
      </c>
      <c r="R401" s="149">
        <v>45416.0</v>
      </c>
      <c r="S401" s="149">
        <v>45419.0</v>
      </c>
      <c r="T401" s="151"/>
      <c r="U401" s="151"/>
      <c r="V401" s="151"/>
      <c r="W401" s="151"/>
    </row>
    <row r="402">
      <c r="A402" s="142">
        <v>4712.0</v>
      </c>
      <c r="B402" s="143" t="str">
        <f t="shared" si="119"/>
        <v>G</v>
      </c>
      <c r="C402" s="143" t="str">
        <f t="shared" si="120"/>
        <v>HT JAYA-JUWANA</v>
      </c>
      <c r="D402" s="145" t="s">
        <v>4384</v>
      </c>
      <c r="E402" s="145" t="str">
        <f>IFERROR(__xludf.DUMMYFUNCTION("vlookup(D402,IMPORTRANGE(""https://docs.google.com/spreadsheets/d/1swGwZOEqYlTEUCJLY-eeJM1911Kvaei5oySBIxdgtNo/edit?pli=1#gid=257618397"",""stock FAKTUR!B:C""),2,false)"),"PC MAGNIT FC-1757 (22X7.5)")</f>
        <v>PC MAGNIT FC-1757 (22X7.5)</v>
      </c>
      <c r="F402" s="53" t="str">
        <f>IFERROR(__xludf.DUMMYFUNCTION("vlookup($D402,IMPORTRANGE(""https://docs.google.com/spreadsheets/d/1swGwZOEqYlTEUCJLY-eeJM1911Kvaei5oySBIxdgtNo/edit?pli=1#gid=257618397"",""stock FAKTUR!B:d""),3,false)"),"")</f>
        <v/>
      </c>
      <c r="G402" s="53" t="str">
        <f>IFERROR(__xludf.DUMMYFUNCTION("vlookup($D402,IMPORTRANGE(""https://docs.google.com/spreadsheets/d/1swGwZOEqYlTEUCJLY-eeJM1911Kvaei5oySBIxdgtNo/edit?pli=1#gid=257618397"",""stock FAKTUR!B:e""),4,false)"),"")</f>
        <v/>
      </c>
      <c r="H402" s="53" t="str">
        <f>IFERROR(__xludf.DUMMYFUNCTION("vlookup($D402,IMPORTRANGE(""https://docs.google.com/spreadsheets/d/1swGwZOEqYlTEUCJLY-eeJM1911Kvaei5oySBIxdgtNo/edit?pli=1#gid=257618397"",""stock FAKTUR!B:F""),5,false)"),"NB")</f>
        <v>NB</v>
      </c>
      <c r="I402" s="53" t="str">
        <f>IFERROR(__xludf.DUMMYFUNCTION("vlookup($D402,IMPORTRANGE(""https://docs.google.com/spreadsheets/d/1swGwZOEqYlTEUCJLY-eeJM1911Kvaei5oySBIxdgtNo/edit?pli=1#gid=257618397"",""stock FAKTUR!B:G""),6,false)"),"")</f>
        <v/>
      </c>
      <c r="J402" s="120" t="str">
        <f t="shared" si="25"/>
        <v>ADA</v>
      </c>
      <c r="K402" s="142">
        <f t="shared" si="121"/>
        <v>12</v>
      </c>
      <c r="L402" s="145" t="str">
        <f>IFERROR(__xludf.DUMMYFUNCTION("vlookup($D402,IMPORTRANGE(""https://docs.google.com/spreadsheets/d/1swGwZOEqYlTEUCJLY-eeJM1911Kvaei5oySBIxdgtNo/edit?pli=1#gid=257618397"",""stock FAKTUR!B:q""),16,false)"),"PCS")</f>
        <v>PCS</v>
      </c>
      <c r="M402" s="147">
        <f>128000/12</f>
        <v>10666.66667</v>
      </c>
      <c r="N402" s="148"/>
      <c r="O402" s="147">
        <f t="shared" si="94"/>
        <v>128000</v>
      </c>
      <c r="P402" s="147" t="str">
        <f t="shared" si="3"/>
        <v>Rp10,667-12 PCS-0.00%</v>
      </c>
      <c r="Q402" s="149">
        <v>45416.0</v>
      </c>
      <c r="R402" s="149">
        <v>45416.0</v>
      </c>
      <c r="S402" s="149">
        <v>45419.0</v>
      </c>
      <c r="T402" s="151"/>
      <c r="U402" s="151"/>
      <c r="V402" s="151"/>
      <c r="W402" s="151"/>
    </row>
    <row r="403">
      <c r="A403" s="142">
        <v>4712.0</v>
      </c>
      <c r="B403" s="143" t="str">
        <f t="shared" si="119"/>
        <v>G</v>
      </c>
      <c r="C403" s="143" t="str">
        <f t="shared" si="120"/>
        <v>HT JAYA-JUWANA</v>
      </c>
      <c r="D403" s="145" t="s">
        <v>4632</v>
      </c>
      <c r="E403" s="145" t="str">
        <f>IFERROR(__xludf.DUMMYFUNCTION("vlookup(D403,IMPORTRANGE(""https://docs.google.com/spreadsheets/d/1swGwZOEqYlTEUCJLY-eeJM1911Kvaei5oySBIxdgtNo/edit?pli=1#gid=257618397"",""stock FAKTUR!B:C""),2,false)"),"PC MAGNIT B 35145")</f>
        <v>PC MAGNIT B 35145</v>
      </c>
      <c r="F403" s="53" t="str">
        <f>IFERROR(__xludf.DUMMYFUNCTION("vlookup($D403,IMPORTRANGE(""https://docs.google.com/spreadsheets/d/1swGwZOEqYlTEUCJLY-eeJM1911Kvaei5oySBIxdgtNo/edit?pli=1#gid=257618397"",""stock FAKTUR!B:d""),3,false)"),"")</f>
        <v/>
      </c>
      <c r="G403" s="53" t="str">
        <f>IFERROR(__xludf.DUMMYFUNCTION("vlookup($D403,IMPORTRANGE(""https://docs.google.com/spreadsheets/d/1swGwZOEqYlTEUCJLY-eeJM1911Kvaei5oySBIxdgtNo/edit?pli=1#gid=257618397"",""stock FAKTUR!B:e""),4,false)"),"")</f>
        <v/>
      </c>
      <c r="H403" s="53" t="str">
        <f>IFERROR(__xludf.DUMMYFUNCTION("vlookup($D403,IMPORTRANGE(""https://docs.google.com/spreadsheets/d/1swGwZOEqYlTEUCJLY-eeJM1911Kvaei5oySBIxdgtNo/edit?pli=1#gid=257618397"",""stock FAKTUR!B:F""),5,false)"),"NB")</f>
        <v>NB</v>
      </c>
      <c r="I403" s="53" t="str">
        <f>IFERROR(__xludf.DUMMYFUNCTION("vlookup($D403,IMPORTRANGE(""https://docs.google.com/spreadsheets/d/1swGwZOEqYlTEUCJLY-eeJM1911Kvaei5oySBIxdgtNo/edit?pli=1#gid=257618397"",""stock FAKTUR!B:G""),6,false)"),"")</f>
        <v/>
      </c>
      <c r="J403" s="120" t="str">
        <f t="shared" si="25"/>
        <v>ADA</v>
      </c>
      <c r="K403" s="142">
        <f t="shared" si="121"/>
        <v>12</v>
      </c>
      <c r="L403" s="145" t="str">
        <f>IFERROR(__xludf.DUMMYFUNCTION("vlookup($D403,IMPORTRANGE(""https://docs.google.com/spreadsheets/d/1swGwZOEqYlTEUCJLY-eeJM1911Kvaei5oySBIxdgtNo/edit?pli=1#gid=257618397"",""stock FAKTUR!B:q""),16,false)"),"PCS")</f>
        <v>PCS</v>
      </c>
      <c r="M403" s="147">
        <f>210000/12</f>
        <v>17500</v>
      </c>
      <c r="N403" s="148"/>
      <c r="O403" s="147">
        <f t="shared" si="94"/>
        <v>210000</v>
      </c>
      <c r="P403" s="147" t="str">
        <f t="shared" si="3"/>
        <v>Rp17,500-12 PCS-0.00%</v>
      </c>
      <c r="Q403" s="149">
        <v>45416.0</v>
      </c>
      <c r="R403" s="149">
        <v>45416.0</v>
      </c>
      <c r="S403" s="149">
        <v>45419.0</v>
      </c>
      <c r="T403" s="151"/>
      <c r="U403" s="151"/>
      <c r="V403" s="151"/>
      <c r="W403" s="151"/>
    </row>
    <row r="404">
      <c r="A404" s="142">
        <v>4712.0</v>
      </c>
      <c r="B404" s="143" t="str">
        <f t="shared" si="119"/>
        <v>G</v>
      </c>
      <c r="C404" s="143" t="str">
        <f t="shared" si="120"/>
        <v>HT JAYA-JUWANA</v>
      </c>
      <c r="D404" s="145" t="s">
        <v>4496</v>
      </c>
      <c r="E404" s="145" t="str">
        <f>IFERROR(__xludf.DUMMYFUNCTION("vlookup(D404,IMPORTRANGE(""https://docs.google.com/spreadsheets/d/1swGwZOEqYlTEUCJLY-eeJM1911Kvaei5oySBIxdgtNo/edit?pli=1#gid=257618397"",""stock FAKTUR!B:C""),2,false)"),"MAP DOC BAG 2542 JARING A5")</f>
        <v>MAP DOC BAG 2542 JARING A5</v>
      </c>
      <c r="F404" s="53" t="str">
        <f>IFERROR(__xludf.DUMMYFUNCTION("vlookup($D404,IMPORTRANGE(""https://docs.google.com/spreadsheets/d/1swGwZOEqYlTEUCJLY-eeJM1911Kvaei5oySBIxdgtNo/edit?pli=1#gid=257618397"",""stock FAKTUR!B:d""),3,false)"),"A5")</f>
        <v>A5</v>
      </c>
      <c r="G404" s="53" t="str">
        <f>IFERROR(__xludf.DUMMYFUNCTION("vlookup($D404,IMPORTRANGE(""https://docs.google.com/spreadsheets/d/1swGwZOEqYlTEUCJLY-eeJM1911Kvaei5oySBIxdgtNo/edit?pli=1#gid=257618397"",""stock FAKTUR!B:e""),4,false)"),"4W")</f>
        <v>4W</v>
      </c>
      <c r="H404" s="53" t="str">
        <f>IFERROR(__xludf.DUMMYFUNCTION("vlookup($D404,IMPORTRANGE(""https://docs.google.com/spreadsheets/d/1swGwZOEqYlTEUCJLY-eeJM1911Kvaei5oySBIxdgtNo/edit?pli=1#gid=257618397"",""stock FAKTUR!B:F""),5,false)"),"CR")</f>
        <v>CR</v>
      </c>
      <c r="I404" s="53" t="str">
        <f>IFERROR(__xludf.DUMMYFUNCTION("vlookup($D404,IMPORTRANGE(""https://docs.google.com/spreadsheets/d/1swGwZOEqYlTEUCJLY-eeJM1911Kvaei5oySBIxdgtNo/edit?pli=1#gid=257618397"",""stock FAKTUR!B:G""),6,false)"),"2542")</f>
        <v>2542</v>
      </c>
      <c r="J404" s="120" t="str">
        <f t="shared" si="25"/>
        <v>ADA</v>
      </c>
      <c r="K404" s="142">
        <v>2.0</v>
      </c>
      <c r="L404" s="145" t="str">
        <f>IFERROR(__xludf.DUMMYFUNCTION("vlookup($D404,IMPORTRANGE(""https://docs.google.com/spreadsheets/d/1swGwZOEqYlTEUCJLY-eeJM1911Kvaei5oySBIxdgtNo/edit?pli=1#gid=257618397"",""stock FAKTUR!B:q""),16,false)"),"LSN")</f>
        <v>LSN</v>
      </c>
      <c r="M404" s="147">
        <v>96000.0</v>
      </c>
      <c r="N404" s="148"/>
      <c r="O404" s="147">
        <f t="shared" si="94"/>
        <v>192000</v>
      </c>
      <c r="P404" s="147" t="str">
        <f t="shared" si="3"/>
        <v>Rp96,000-2 LSN-0.00%</v>
      </c>
      <c r="Q404" s="149">
        <v>45416.0</v>
      </c>
      <c r="R404" s="149">
        <v>45412.0</v>
      </c>
      <c r="S404" s="149">
        <v>45419.0</v>
      </c>
      <c r="T404" s="151"/>
      <c r="U404" s="151"/>
      <c r="V404" s="151"/>
      <c r="W404" s="151"/>
    </row>
    <row r="405">
      <c r="A405" s="142">
        <v>4712.0</v>
      </c>
      <c r="B405" s="143" t="str">
        <f t="shared" si="119"/>
        <v>G</v>
      </c>
      <c r="C405" s="143" t="str">
        <f t="shared" si="120"/>
        <v>HT JAYA-JUWANA</v>
      </c>
      <c r="D405" s="145" t="s">
        <v>4494</v>
      </c>
      <c r="E405" s="145" t="str">
        <f>IFERROR(__xludf.DUMMYFUNCTION("vlookup(D405,IMPORTRANGE(""https://docs.google.com/spreadsheets/d/1swGwZOEqYlTEUCJLY-eeJM1911Kvaei5oySBIxdgtNo/edit?pli=1#gid=257618397"",""stock FAKTUR!B:C""),2,false)"),"MAP DOC BAG 2541 JARING B6")</f>
        <v>MAP DOC BAG 2541 JARING B6</v>
      </c>
      <c r="F405" s="53" t="str">
        <f>IFERROR(__xludf.DUMMYFUNCTION("vlookup($D405,IMPORTRANGE(""https://docs.google.com/spreadsheets/d/1swGwZOEqYlTEUCJLY-eeJM1911Kvaei5oySBIxdgtNo/edit?pli=1#gid=257618397"",""stock FAKTUR!B:d""),3,false)"),"B6")</f>
        <v>B6</v>
      </c>
      <c r="G405" s="53" t="str">
        <f>IFERROR(__xludf.DUMMYFUNCTION("vlookup($D405,IMPORTRANGE(""https://docs.google.com/spreadsheets/d/1swGwZOEqYlTEUCJLY-eeJM1911Kvaei5oySBIxdgtNo/edit?pli=1#gid=257618397"",""stock FAKTUR!B:e""),4,false)"),"4W")</f>
        <v>4W</v>
      </c>
      <c r="H405" s="53" t="str">
        <f>IFERROR(__xludf.DUMMYFUNCTION("vlookup($D405,IMPORTRANGE(""https://docs.google.com/spreadsheets/d/1swGwZOEqYlTEUCJLY-eeJM1911Kvaei5oySBIxdgtNo/edit?pli=1#gid=257618397"",""stock FAKTUR!B:F""),5,false)"),"CR")</f>
        <v>CR</v>
      </c>
      <c r="I405" s="53" t="str">
        <f>IFERROR(__xludf.DUMMYFUNCTION("vlookup($D405,IMPORTRANGE(""https://docs.google.com/spreadsheets/d/1swGwZOEqYlTEUCJLY-eeJM1911Kvaei5oySBIxdgtNo/edit?pli=1#gid=257618397"",""stock FAKTUR!B:G""),6,false)"),"2541")</f>
        <v>2541</v>
      </c>
      <c r="J405" s="120" t="str">
        <f t="shared" si="25"/>
        <v>ADA</v>
      </c>
      <c r="K405" s="142">
        <v>12.0</v>
      </c>
      <c r="L405" s="145" t="str">
        <f>IFERROR(__xludf.DUMMYFUNCTION("vlookup($D405,IMPORTRANGE(""https://docs.google.com/spreadsheets/d/1swGwZOEqYlTEUCJLY-eeJM1911Kvaei5oySBIxdgtNo/edit?pli=1#gid=257618397"",""stock FAKTUR!B:q""),16,false)"),"LSN")</f>
        <v>LSN</v>
      </c>
      <c r="M405" s="147">
        <v>72500.0</v>
      </c>
      <c r="N405" s="148"/>
      <c r="O405" s="147">
        <f t="shared" si="94"/>
        <v>870000</v>
      </c>
      <c r="P405" s="147" t="str">
        <f t="shared" si="3"/>
        <v>Rp72,500-12 LSN-0.00%</v>
      </c>
      <c r="Q405" s="149">
        <v>45416.0</v>
      </c>
      <c r="R405" s="149">
        <v>45412.0</v>
      </c>
      <c r="S405" s="149">
        <v>45419.0</v>
      </c>
      <c r="T405" s="151"/>
      <c r="U405" s="151"/>
      <c r="V405" s="151"/>
      <c r="W405" s="151"/>
    </row>
    <row r="406">
      <c r="A406" s="142">
        <v>4712.0</v>
      </c>
      <c r="B406" s="143" t="str">
        <f t="shared" si="119"/>
        <v>G</v>
      </c>
      <c r="C406" s="143" t="str">
        <f t="shared" si="120"/>
        <v>HT JAYA-JUWANA</v>
      </c>
      <c r="D406" s="171" t="s">
        <v>4495</v>
      </c>
      <c r="E406" s="145" t="str">
        <f>IFERROR(__xludf.DUMMYFUNCTION("vlookup(D406,IMPORTRANGE(""https://docs.google.com/spreadsheets/d/1swGwZOEqYlTEUCJLY-eeJM1911Kvaei5oySBIxdgtNo/edit?pli=1#gid=257618397"",""stock FAKTUR!B:C""),2,false)"),"MAP DOC BAG+HANDLE 2544 JARING B6")</f>
        <v>MAP DOC BAG+HANDLE 2544 JARING B6</v>
      </c>
      <c r="F406" s="53" t="str">
        <f>IFERROR(__xludf.DUMMYFUNCTION("vlookup($D406,IMPORTRANGE(""https://docs.google.com/spreadsheets/d/1swGwZOEqYlTEUCJLY-eeJM1911Kvaei5oySBIxdgtNo/edit?pli=1#gid=257618397"",""stock FAKTUR!B:d""),3,false)"),"B6")</f>
        <v>B6</v>
      </c>
      <c r="G406" s="53" t="str">
        <f>IFERROR(__xludf.DUMMYFUNCTION("vlookup($D406,IMPORTRANGE(""https://docs.google.com/spreadsheets/d/1swGwZOEqYlTEUCJLY-eeJM1911Kvaei5oySBIxdgtNo/edit?pli=1#gid=257618397"",""stock FAKTUR!B:e""),4,false)"),"")</f>
        <v/>
      </c>
      <c r="H406" s="53" t="str">
        <f>IFERROR(__xludf.DUMMYFUNCTION("vlookup($D406,IMPORTRANGE(""https://docs.google.com/spreadsheets/d/1swGwZOEqYlTEUCJLY-eeJM1911Kvaei5oySBIxdgtNo/edit?pli=1#gid=257618397"",""stock FAKTUR!B:F""),5,false)"),"CR")</f>
        <v>CR</v>
      </c>
      <c r="I406" s="53" t="str">
        <f>IFERROR(__xludf.DUMMYFUNCTION("vlookup($D406,IMPORTRANGE(""https://docs.google.com/spreadsheets/d/1swGwZOEqYlTEUCJLY-eeJM1911Kvaei5oySBIxdgtNo/edit?pli=1#gid=257618397"",""stock FAKTUR!B:G""),6,false)"),"2544")</f>
        <v>2544</v>
      </c>
      <c r="J406" s="120" t="str">
        <f t="shared" si="25"/>
        <v>ADA</v>
      </c>
      <c r="K406" s="142">
        <v>12.0</v>
      </c>
      <c r="L406" s="145" t="str">
        <f>IFERROR(__xludf.DUMMYFUNCTION("vlookup($D406,IMPORTRANGE(""https://docs.google.com/spreadsheets/d/1swGwZOEqYlTEUCJLY-eeJM1911Kvaei5oySBIxdgtNo/edit?pli=1#gid=257618397"",""stock FAKTUR!B:q""),16,false)"),"LSN")</f>
        <v>LSN</v>
      </c>
      <c r="M406" s="147">
        <v>77500.0</v>
      </c>
      <c r="N406" s="148"/>
      <c r="O406" s="147">
        <f t="shared" si="94"/>
        <v>930000</v>
      </c>
      <c r="P406" s="147" t="str">
        <f t="shared" si="3"/>
        <v>Rp77,500-12 LSN-0.00%</v>
      </c>
      <c r="Q406" s="149">
        <v>45416.0</v>
      </c>
      <c r="R406" s="149">
        <v>45412.0</v>
      </c>
      <c r="S406" s="149">
        <v>45419.0</v>
      </c>
      <c r="T406" s="151"/>
      <c r="U406" s="151"/>
      <c r="V406" s="151"/>
      <c r="W406" s="151"/>
    </row>
    <row r="407">
      <c r="A407" s="142">
        <v>4712.0</v>
      </c>
      <c r="B407" s="143" t="str">
        <f t="shared" si="119"/>
        <v>G</v>
      </c>
      <c r="C407" s="143" t="str">
        <f t="shared" si="120"/>
        <v>HT JAYA-JUWANA</v>
      </c>
      <c r="D407" s="145" t="s">
        <v>4539</v>
      </c>
      <c r="E407" s="145" t="str">
        <f>IFERROR(__xludf.DUMMYFUNCTION("vlookup(D407,IMPORTRANGE(""https://docs.google.com/spreadsheets/d/1swGwZOEqYlTEUCJLY-eeJM1911Kvaei5oySBIxdgtNo/edit?pli=1#gid=257618397"",""stock FAKTUR!B:C""),2,false)"),"MAP DOC BAG 2543 JARING A4")</f>
        <v>MAP DOC BAG 2543 JARING A4</v>
      </c>
      <c r="F407" s="53" t="str">
        <f>IFERROR(__xludf.DUMMYFUNCTION("vlookup($D407,IMPORTRANGE(""https://docs.google.com/spreadsheets/d/1swGwZOEqYlTEUCJLY-eeJM1911Kvaei5oySBIxdgtNo/edit?pli=1#gid=257618397"",""stock FAKTUR!B:d""),3,false)"),"A4")</f>
        <v>A4</v>
      </c>
      <c r="G407" s="53" t="str">
        <f>IFERROR(__xludf.DUMMYFUNCTION("vlookup($D407,IMPORTRANGE(""https://docs.google.com/spreadsheets/d/1swGwZOEqYlTEUCJLY-eeJM1911Kvaei5oySBIxdgtNo/edit?pli=1#gid=257618397"",""stock FAKTUR!B:e""),4,false)"),"4W")</f>
        <v>4W</v>
      </c>
      <c r="H407" s="53" t="str">
        <f>IFERROR(__xludf.DUMMYFUNCTION("vlookup($D407,IMPORTRANGE(""https://docs.google.com/spreadsheets/d/1swGwZOEqYlTEUCJLY-eeJM1911Kvaei5oySBIxdgtNo/edit?pli=1#gid=257618397"",""stock FAKTUR!B:F""),5,false)"),"CR")</f>
        <v>CR</v>
      </c>
      <c r="I407" s="53" t="str">
        <f>IFERROR(__xludf.DUMMYFUNCTION("vlookup($D407,IMPORTRANGE(""https://docs.google.com/spreadsheets/d/1swGwZOEqYlTEUCJLY-eeJM1911Kvaei5oySBIxdgtNo/edit?pli=1#gid=257618397"",""stock FAKTUR!B:G""),6,false)"),"2543")</f>
        <v>2543</v>
      </c>
      <c r="J407" s="120" t="str">
        <f t="shared" si="25"/>
        <v>ADA</v>
      </c>
      <c r="K407" s="142">
        <v>9.0</v>
      </c>
      <c r="L407" s="145" t="str">
        <f>IFERROR(__xludf.DUMMYFUNCTION("vlookup($D407,IMPORTRANGE(""https://docs.google.com/spreadsheets/d/1swGwZOEqYlTEUCJLY-eeJM1911Kvaei5oySBIxdgtNo/edit?pli=1#gid=257618397"",""stock FAKTUR!B:q""),16,false)"),"LSN")</f>
        <v>LSN</v>
      </c>
      <c r="M407" s="147">
        <v>121000.0</v>
      </c>
      <c r="N407" s="148"/>
      <c r="O407" s="147">
        <f t="shared" si="94"/>
        <v>1089000</v>
      </c>
      <c r="P407" s="147" t="str">
        <f t="shared" si="3"/>
        <v>Rp121,000-9 LSN-0.00%</v>
      </c>
      <c r="Q407" s="149">
        <v>45416.0</v>
      </c>
      <c r="R407" s="149">
        <v>45412.0</v>
      </c>
      <c r="S407" s="149">
        <v>45419.0</v>
      </c>
      <c r="T407" s="151"/>
      <c r="U407" s="151"/>
      <c r="V407" s="151"/>
      <c r="W407" s="151"/>
    </row>
    <row r="408">
      <c r="A408" s="142">
        <v>4715.0</v>
      </c>
      <c r="B408" s="143" t="s">
        <v>65</v>
      </c>
      <c r="C408" s="143" t="s">
        <v>2648</v>
      </c>
      <c r="D408" s="145" t="s">
        <v>35</v>
      </c>
      <c r="E408" s="145" t="str">
        <f>IFERROR(__xludf.DUMMYFUNCTION("vlookup(D408,IMPORTRANGE(""https://docs.google.com/spreadsheets/d/1swGwZOEqYlTEUCJLY-eeJM1911Kvaei5oySBIxdgtNo/edit?pli=1#gid=257618397"",""stock FAKTUR!B:C""),2,false)"),"BP TZ 501 HITAM")</f>
        <v>BP TZ 501 HITAM</v>
      </c>
      <c r="F408" s="53" t="str">
        <f>IFERROR(__xludf.DUMMYFUNCTION("vlookup($D408,IMPORTRANGE(""https://docs.google.com/spreadsheets/d/1swGwZOEqYlTEUCJLY-eeJM1911Kvaei5oySBIxdgtNo/edit?pli=1#gid=257618397"",""stock FAKTUR!B:d""),3,false)"),"")</f>
        <v/>
      </c>
      <c r="G408" s="53" t="str">
        <f>IFERROR(__xludf.DUMMYFUNCTION("vlookup($D408,IMPORTRANGE(""https://docs.google.com/spreadsheets/d/1swGwZOEqYlTEUCJLY-eeJM1911Kvaei5oySBIxdgtNo/edit?pli=1#gid=257618397"",""stock FAKTUR!B:e""),4,false)"),"")</f>
        <v/>
      </c>
      <c r="H408" s="53" t="str">
        <f>IFERROR(__xludf.DUMMYFUNCTION("vlookup($D408,IMPORTRANGE(""https://docs.google.com/spreadsheets/d/1swGwZOEqYlTEUCJLY-eeJM1911Kvaei5oySBIxdgtNo/edit?pli=1#gid=257618397"",""stock FAKTUR!B:F""),5,false)"),"TZ")</f>
        <v>TZ</v>
      </c>
      <c r="I408" s="53" t="str">
        <f>IFERROR(__xludf.DUMMYFUNCTION("vlookup($D408,IMPORTRANGE(""https://docs.google.com/spreadsheets/d/1swGwZOEqYlTEUCJLY-eeJM1911Kvaei5oySBIxdgtNo/edit?pli=1#gid=257618397"",""stock FAKTUR!B:G""),6,false)"),"")</f>
        <v/>
      </c>
      <c r="J408" s="120" t="str">
        <f t="shared" si="25"/>
        <v>ADA</v>
      </c>
      <c r="K408" s="142">
        <v>72.0</v>
      </c>
      <c r="L408" s="145" t="str">
        <f>IFERROR(__xludf.DUMMYFUNCTION("vlookup($D408,IMPORTRANGE(""https://docs.google.com/spreadsheets/d/1swGwZOEqYlTEUCJLY-eeJM1911Kvaei5oySBIxdgtNo/edit?pli=1#gid=257618397"",""stock FAKTUR!B:q""),16,false)"),"LSN")</f>
        <v>LSN</v>
      </c>
      <c r="M408" s="147">
        <v>25000.0</v>
      </c>
      <c r="N408" s="148"/>
      <c r="O408" s="147">
        <f t="shared" si="94"/>
        <v>1800000</v>
      </c>
      <c r="P408" s="147" t="str">
        <f t="shared" si="3"/>
        <v>Rp25,000-72 LSN-0.00%</v>
      </c>
      <c r="Q408" s="149">
        <v>45418.0</v>
      </c>
      <c r="R408" s="149">
        <v>45416.0</v>
      </c>
      <c r="S408" s="149">
        <v>45419.0</v>
      </c>
      <c r="T408" s="151"/>
      <c r="U408" s="151"/>
      <c r="V408" s="151"/>
      <c r="W408" s="151"/>
    </row>
    <row r="409">
      <c r="A409" s="142">
        <v>2992.0</v>
      </c>
      <c r="B409" s="143" t="s">
        <v>33</v>
      </c>
      <c r="C409" s="143" t="s">
        <v>2711</v>
      </c>
      <c r="D409" s="145" t="s">
        <v>4406</v>
      </c>
      <c r="E409" s="145" t="str">
        <f>IFERROR(__xludf.DUMMYFUNCTION("vlookup(D409,IMPORTRANGE(""https://docs.google.com/spreadsheets/d/1swGwZOEqYlTEUCJLY-eeJM1911Kvaei5oySBIxdgtNo/edit?pli=1#gid=257618397"",""stock FAKTUR!B:C""),2,false)"),"BK KAS FOLIO")</f>
        <v>BK KAS FOLIO</v>
      </c>
      <c r="F409" s="53" t="str">
        <f>IFERROR(__xludf.DUMMYFUNCTION("vlookup($D409,IMPORTRANGE(""https://docs.google.com/spreadsheets/d/1swGwZOEqYlTEUCJLY-eeJM1911Kvaei5oySBIxdgtNo/edit?pli=1#gid=257618397"",""stock FAKTUR!B:d""),3,false)"),"F4")</f>
        <v>F4</v>
      </c>
      <c r="G409" s="53" t="str">
        <f>IFERROR(__xludf.DUMMYFUNCTION("vlookup($D409,IMPORTRANGE(""https://docs.google.com/spreadsheets/d/1swGwZOEqYlTEUCJLY-eeJM1911Kvaei5oySBIxdgtNo/edit?pli=1#gid=257618397"",""stock FAKTUR!B:e""),4,false)"),"")</f>
        <v/>
      </c>
      <c r="H409" s="53" t="str">
        <f>IFERROR(__xludf.DUMMYFUNCTION("vlookup($D409,IMPORTRANGE(""https://docs.google.com/spreadsheets/d/1swGwZOEqYlTEUCJLY-eeJM1911Kvaei5oySBIxdgtNo/edit?pli=1#gid=257618397"",""stock FAKTUR!B:F""),5,false)"),"NB")</f>
        <v>NB</v>
      </c>
      <c r="I409" s="53" t="str">
        <f>IFERROR(__xludf.DUMMYFUNCTION("vlookup($D409,IMPORTRANGE(""https://docs.google.com/spreadsheets/d/1swGwZOEqYlTEUCJLY-eeJM1911Kvaei5oySBIxdgtNo/edit?pli=1#gid=257618397"",""stock FAKTUR!B:G""),6,false)"),"")</f>
        <v/>
      </c>
      <c r="J409" s="120" t="str">
        <f t="shared" si="25"/>
        <v>ADA</v>
      </c>
      <c r="K409" s="142">
        <v>50.0</v>
      </c>
      <c r="L409" s="145" t="str">
        <f>IFERROR(__xludf.DUMMYFUNCTION("vlookup($D409,IMPORTRANGE(""https://docs.google.com/spreadsheets/d/1swGwZOEqYlTEUCJLY-eeJM1911Kvaei5oySBIxdgtNo/edit?pli=1#gid=257618397"",""stock FAKTUR!B:q""),16,false)"),"PCS")</f>
        <v>PCS</v>
      </c>
      <c r="M409" s="147">
        <v>19000.0</v>
      </c>
      <c r="N409" s="148"/>
      <c r="O409" s="147">
        <f t="shared" si="94"/>
        <v>950000</v>
      </c>
      <c r="P409" s="147" t="str">
        <f t="shared" si="3"/>
        <v>Rp19,000-50 PCS-0.00%</v>
      </c>
      <c r="Q409" s="149">
        <v>45418.0</v>
      </c>
      <c r="R409" s="150"/>
      <c r="S409" s="149">
        <v>45419.0</v>
      </c>
      <c r="T409" s="151"/>
      <c r="U409" s="151"/>
      <c r="V409" s="151"/>
      <c r="W409" s="151"/>
    </row>
    <row r="410">
      <c r="A410" s="142">
        <v>2992.0</v>
      </c>
      <c r="B410" s="143" t="str">
        <f t="shared" ref="B410:B424" si="123">IF(A410=A409,B409,"")</f>
        <v>H</v>
      </c>
      <c r="C410" s="143" t="str">
        <f t="shared" ref="C410:C424" si="124">IF(A410=A409,C409,"")</f>
        <v>KURNIA-BANTUL</v>
      </c>
      <c r="D410" s="151" t="s">
        <v>4633</v>
      </c>
      <c r="E410" s="145" t="str">
        <f>IFERROR(__xludf.DUMMYFUNCTION("vlookup(D410,IMPORTRANGE(""https://docs.google.com/spreadsheets/d/1swGwZOEqYlTEUCJLY-eeJM1911Kvaei5oySBIxdgtNo/edit?pli=1#gid=257618397"",""stock FAKTUR!B:C""),2,false)"),"BP KLIK DEBOZZ FANCY DB-GF 10")</f>
        <v>BP KLIK DEBOZZ FANCY DB-GF 10</v>
      </c>
      <c r="F410" s="53" t="str">
        <f>IFERROR(__xludf.DUMMYFUNCTION("vlookup($D410,IMPORTRANGE(""https://docs.google.com/spreadsheets/d/1swGwZOEqYlTEUCJLY-eeJM1911Kvaei5oySBIxdgtNo/edit?pli=1#gid=257618397"",""stock FAKTUR!B:d""),3,false)"),"")</f>
        <v/>
      </c>
      <c r="G410" s="53" t="str">
        <f>IFERROR(__xludf.DUMMYFUNCTION("vlookup($D410,IMPORTRANGE(""https://docs.google.com/spreadsheets/d/1swGwZOEqYlTEUCJLY-eeJM1911Kvaei5oySBIxdgtNo/edit?pli=1#gid=257618397"",""stock FAKTUR!B:e""),4,false)"),"")</f>
        <v/>
      </c>
      <c r="H410" s="53" t="str">
        <f>IFERROR(__xludf.DUMMYFUNCTION("vlookup($D410,IMPORTRANGE(""https://docs.google.com/spreadsheets/d/1swGwZOEqYlTEUCJLY-eeJM1911Kvaei5oySBIxdgtNo/edit?pli=1#gid=257618397"",""stock FAKTUR!B:F""),5,false)"),"DB")</f>
        <v>DB</v>
      </c>
      <c r="I410" s="53" t="str">
        <f>IFERROR(__xludf.DUMMYFUNCTION("vlookup($D410,IMPORTRANGE(""https://docs.google.com/spreadsheets/d/1swGwZOEqYlTEUCJLY-eeJM1911Kvaei5oySBIxdgtNo/edit?pli=1#gid=257618397"",""stock FAKTUR!B:G""),6,false)"),"DB-GF10")</f>
        <v>DB-GF10</v>
      </c>
      <c r="J410" s="120" t="str">
        <f t="shared" si="25"/>
        <v>ADA</v>
      </c>
      <c r="K410" s="142">
        <v>12.0</v>
      </c>
      <c r="L410" s="145" t="str">
        <f>IFERROR(__xludf.DUMMYFUNCTION("vlookup($D410,IMPORTRANGE(""https://docs.google.com/spreadsheets/d/1swGwZOEqYlTEUCJLY-eeJM1911Kvaei5oySBIxdgtNo/edit?pli=1#gid=257618397"",""stock FAKTUR!B:q""),16,false)"),"LSN")</f>
        <v>LSN</v>
      </c>
      <c r="M410" s="147">
        <v>32500.0</v>
      </c>
      <c r="N410" s="148"/>
      <c r="O410" s="147">
        <f t="shared" si="94"/>
        <v>390000</v>
      </c>
      <c r="P410" s="147" t="str">
        <f t="shared" si="3"/>
        <v>Rp32,500-12 LSN-0.00%</v>
      </c>
      <c r="Q410" s="149">
        <v>45418.0</v>
      </c>
      <c r="R410" s="150"/>
      <c r="S410" s="149">
        <v>45419.0</v>
      </c>
      <c r="T410" s="151"/>
      <c r="U410" s="151"/>
      <c r="V410" s="151"/>
      <c r="W410" s="151"/>
    </row>
    <row r="411">
      <c r="A411" s="142">
        <v>2992.0</v>
      </c>
      <c r="B411" s="143" t="str">
        <f t="shared" si="123"/>
        <v>H</v>
      </c>
      <c r="C411" s="143" t="str">
        <f t="shared" si="124"/>
        <v>KURNIA-BANTUL</v>
      </c>
      <c r="D411" s="151" t="s">
        <v>4534</v>
      </c>
      <c r="E411" s="145" t="str">
        <f>IFERROR(__xludf.DUMMYFUNCTION("vlookup(D411,IMPORTRANGE(""https://docs.google.com/spreadsheets/d/1swGwZOEqYlTEUCJLY-eeJM1911Kvaei5oySBIxdgtNo/edit?pli=1#gid=257618397"",""stock FAKTUR!B:C""),2,false)"),"BP DEBOZZ DB G 05")</f>
        <v>BP DEBOZZ DB G 05</v>
      </c>
      <c r="F411" s="53" t="str">
        <f>IFERROR(__xludf.DUMMYFUNCTION("vlookup($D411,IMPORTRANGE(""https://docs.google.com/spreadsheets/d/1swGwZOEqYlTEUCJLY-eeJM1911Kvaei5oySBIxdgtNo/edit?pli=1#gid=257618397"",""stock FAKTUR!B:d""),3,false)"),"")</f>
        <v/>
      </c>
      <c r="G411" s="53" t="str">
        <f>IFERROR(__xludf.DUMMYFUNCTION("vlookup($D411,IMPORTRANGE(""https://docs.google.com/spreadsheets/d/1swGwZOEqYlTEUCJLY-eeJM1911Kvaei5oySBIxdgtNo/edit?pli=1#gid=257618397"",""stock FAKTUR!B:e""),4,false)"),"")</f>
        <v/>
      </c>
      <c r="H411" s="53" t="str">
        <f>IFERROR(__xludf.DUMMYFUNCTION("vlookup($D411,IMPORTRANGE(""https://docs.google.com/spreadsheets/d/1swGwZOEqYlTEUCJLY-eeJM1911Kvaei5oySBIxdgtNo/edit?pli=1#gid=257618397"",""stock FAKTUR!B:F""),5,false)"),"DB")</f>
        <v>DB</v>
      </c>
      <c r="I411" s="53" t="str">
        <f>IFERROR(__xludf.DUMMYFUNCTION("vlookup($D411,IMPORTRANGE(""https://docs.google.com/spreadsheets/d/1swGwZOEqYlTEUCJLY-eeJM1911Kvaei5oySBIxdgtNo/edit?pli=1#gid=257618397"",""stock FAKTUR!B:G""),6,false)"),"G-05")</f>
        <v>G-05</v>
      </c>
      <c r="J411" s="120" t="str">
        <f t="shared" si="25"/>
        <v>ADA</v>
      </c>
      <c r="K411" s="142">
        <v>1.0</v>
      </c>
      <c r="L411" s="145" t="str">
        <f>IFERROR(__xludf.DUMMYFUNCTION("vlookup($D411,IMPORTRANGE(""https://docs.google.com/spreadsheets/d/1swGwZOEqYlTEUCJLY-eeJM1911Kvaei5oySBIxdgtNo/edit?pli=1#gid=257618397"",""stock FAKTUR!B:q""),16,false)"),"LSN")</f>
        <v>LSN</v>
      </c>
      <c r="M411" s="147">
        <v>30000.0</v>
      </c>
      <c r="N411" s="148"/>
      <c r="O411" s="147">
        <f t="shared" si="94"/>
        <v>30000</v>
      </c>
      <c r="P411" s="147" t="str">
        <f t="shared" si="3"/>
        <v>Rp30,000-1 LSN-0.00%</v>
      </c>
      <c r="Q411" s="149">
        <v>45418.0</v>
      </c>
      <c r="R411" s="150"/>
      <c r="S411" s="149">
        <v>45419.0</v>
      </c>
      <c r="T411" s="151"/>
      <c r="U411" s="151"/>
      <c r="V411" s="151"/>
      <c r="W411" s="151"/>
    </row>
    <row r="412">
      <c r="A412" s="142">
        <v>2992.0</v>
      </c>
      <c r="B412" s="143" t="str">
        <f t="shared" si="123"/>
        <v>H</v>
      </c>
      <c r="C412" s="143" t="str">
        <f t="shared" si="124"/>
        <v>KURNIA-BANTUL</v>
      </c>
      <c r="D412" s="145" t="s">
        <v>4493</v>
      </c>
      <c r="E412" s="145" t="str">
        <f>IFERROR(__xludf.DUMMYFUNCTION("vlookup(D412,IMPORTRANGE(""https://docs.google.com/spreadsheets/d/1swGwZOEqYlTEUCJLY-eeJM1911Kvaei5oySBIxdgtNo/edit?pli=1#gid=257618397"",""stock FAKTUR!B:C""),2,false)"),"ISI GEL WEIYADA 681")</f>
        <v>ISI GEL WEIYADA 681</v>
      </c>
      <c r="F412" s="53" t="str">
        <f>IFERROR(__xludf.DUMMYFUNCTION("vlookup($D412,IMPORTRANGE(""https://docs.google.com/spreadsheets/d/1swGwZOEqYlTEUCJLY-eeJM1911Kvaei5oySBIxdgtNo/edit?pli=1#gid=257618397"",""stock FAKTUR!B:d""),3,false)"),"")</f>
        <v/>
      </c>
      <c r="G412" s="53" t="str">
        <f>IFERROR(__xludf.DUMMYFUNCTION("vlookup($D412,IMPORTRANGE(""https://docs.google.com/spreadsheets/d/1swGwZOEqYlTEUCJLY-eeJM1911Kvaei5oySBIxdgtNo/edit?pli=1#gid=257618397"",""stock FAKTUR!B:e""),4,false)"),"")</f>
        <v/>
      </c>
      <c r="H412" s="53" t="str">
        <f>IFERROR(__xludf.DUMMYFUNCTION("vlookup($D412,IMPORTRANGE(""https://docs.google.com/spreadsheets/d/1swGwZOEqYlTEUCJLY-eeJM1911Kvaei5oySBIxdgtNo/edit?pli=1#gid=257618397"",""stock FAKTUR!B:F""),5,false)"),"WY")</f>
        <v>WY</v>
      </c>
      <c r="I412" s="53" t="str">
        <f>IFERROR(__xludf.DUMMYFUNCTION("vlookup($D412,IMPORTRANGE(""https://docs.google.com/spreadsheets/d/1swGwZOEqYlTEUCJLY-eeJM1911Kvaei5oySBIxdgtNo/edit?pli=1#gid=257618397"",""stock FAKTUR!B:G""),6,false)"),"E-681R")</f>
        <v>E-681R</v>
      </c>
      <c r="J412" s="120" t="str">
        <f t="shared" si="25"/>
        <v>ADA</v>
      </c>
      <c r="K412" s="142">
        <v>6.0</v>
      </c>
      <c r="L412" s="145" t="str">
        <f>IFERROR(__xludf.DUMMYFUNCTION("vlookup($D412,IMPORTRANGE(""https://docs.google.com/spreadsheets/d/1swGwZOEqYlTEUCJLY-eeJM1911Kvaei5oySBIxdgtNo/edit?pli=1#gid=257618397"",""stock FAKTUR!B:q""),16,false)"),"LSN")</f>
        <v>LSN</v>
      </c>
      <c r="M412" s="147">
        <v>21000.0</v>
      </c>
      <c r="N412" s="148"/>
      <c r="O412" s="147">
        <f t="shared" si="94"/>
        <v>126000</v>
      </c>
      <c r="P412" s="147" t="str">
        <f t="shared" si="3"/>
        <v>Rp21,000-6 LSN-0.00%</v>
      </c>
      <c r="Q412" s="149">
        <v>45418.0</v>
      </c>
      <c r="R412" s="150"/>
      <c r="S412" s="149">
        <v>45419.0</v>
      </c>
      <c r="T412" s="151"/>
      <c r="U412" s="151"/>
      <c r="V412" s="151"/>
      <c r="W412" s="151"/>
    </row>
    <row r="413">
      <c r="A413" s="142">
        <v>2992.0</v>
      </c>
      <c r="B413" s="143" t="str">
        <f t="shared" si="123"/>
        <v>H</v>
      </c>
      <c r="C413" s="143" t="str">
        <f t="shared" si="124"/>
        <v>KURNIA-BANTUL</v>
      </c>
      <c r="D413" s="145" t="s">
        <v>4210</v>
      </c>
      <c r="E413" s="145" t="str">
        <f>IFERROR(__xludf.DUMMYFUNCTION("vlookup(D413,IMPORTRANGE(""https://docs.google.com/spreadsheets/d/1swGwZOEqYlTEUCJLY-eeJM1911Kvaei5oySBIxdgtNo/edit?pli=1#gid=257618397"",""stock FAKTUR!B:C""),2,false)"),"CUTTER KENKO L-500")</f>
        <v>CUTTER KENKO L-500</v>
      </c>
      <c r="F413" s="53" t="str">
        <f>IFERROR(__xludf.DUMMYFUNCTION("vlookup($D413,IMPORTRANGE(""https://docs.google.com/spreadsheets/d/1swGwZOEqYlTEUCJLY-eeJM1911Kvaei5oySBIxdgtNo/edit?pli=1#gid=257618397"",""stock FAKTUR!B:d""),3,false)"),"18 MM")</f>
        <v>18 MM</v>
      </c>
      <c r="G413" s="53" t="str">
        <f>IFERROR(__xludf.DUMMYFUNCTION("vlookup($D413,IMPORTRANGE(""https://docs.google.com/spreadsheets/d/1swGwZOEqYlTEUCJLY-eeJM1911Kvaei5oySBIxdgtNo/edit?pli=1#gid=257618397"",""stock FAKTUR!B:e""),4,false)"),"")</f>
        <v/>
      </c>
      <c r="H413" s="53" t="str">
        <f>IFERROR(__xludf.DUMMYFUNCTION("vlookup($D413,IMPORTRANGE(""https://docs.google.com/spreadsheets/d/1swGwZOEqYlTEUCJLY-eeJM1911Kvaei5oySBIxdgtNo/edit?pli=1#gid=257618397"",""stock FAKTUR!B:F""),5,false)"),"KN")</f>
        <v>KN</v>
      </c>
      <c r="I413" s="53" t="str">
        <f>IFERROR(__xludf.DUMMYFUNCTION("vlookup($D413,IMPORTRANGE(""https://docs.google.com/spreadsheets/d/1swGwZOEqYlTEUCJLY-eeJM1911Kvaei5oySBIxdgtNo/edit?pli=1#gid=257618397"",""stock FAKTUR!B:G""),6,false)"),"CTR-007")</f>
        <v>CTR-007</v>
      </c>
      <c r="J413" s="120" t="str">
        <f t="shared" si="25"/>
        <v>ADA</v>
      </c>
      <c r="K413" s="142">
        <v>6.0</v>
      </c>
      <c r="L413" s="145" t="str">
        <f>IFERROR(__xludf.DUMMYFUNCTION("vlookup($D413,IMPORTRANGE(""https://docs.google.com/spreadsheets/d/1swGwZOEqYlTEUCJLY-eeJM1911Kvaei5oySBIxdgtNo/edit?pli=1#gid=257618397"",""stock FAKTUR!B:q""),16,false)"),"LSN")</f>
        <v>LSN</v>
      </c>
      <c r="M413" s="147">
        <v>147600.0</v>
      </c>
      <c r="N413" s="148"/>
      <c r="O413" s="147">
        <f t="shared" si="94"/>
        <v>885600</v>
      </c>
      <c r="P413" s="147" t="str">
        <f t="shared" si="3"/>
        <v>Rp147,600-6 LSN-0.00%</v>
      </c>
      <c r="Q413" s="149">
        <v>45418.0</v>
      </c>
      <c r="R413" s="150"/>
      <c r="S413" s="149">
        <v>45419.0</v>
      </c>
      <c r="T413" s="151"/>
      <c r="U413" s="151"/>
      <c r="V413" s="151"/>
      <c r="W413" s="151"/>
    </row>
    <row r="414">
      <c r="A414" s="142">
        <v>2992.0</v>
      </c>
      <c r="B414" s="143" t="str">
        <f t="shared" si="123"/>
        <v>H</v>
      </c>
      <c r="C414" s="143" t="str">
        <f t="shared" si="124"/>
        <v>KURNIA-BANTUL</v>
      </c>
      <c r="D414" s="145" t="s">
        <v>4431</v>
      </c>
      <c r="E414" s="145" t="str">
        <f>IFERROR(__xludf.DUMMYFUNCTION("vlookup(D414,IMPORTRANGE(""https://docs.google.com/spreadsheets/d/1swGwZOEqYlTEUCJLY-eeJM1911Kvaei5oySBIxdgtNo/edit?pli=1#gid=257618397"",""stock FAKTUR!B:C""),2,false)"),"MESIN LABEL HARGA KENKO MX-5500")</f>
        <v>MESIN LABEL HARGA KENKO MX-5500</v>
      </c>
      <c r="F414" s="53" t="str">
        <f>IFERROR(__xludf.DUMMYFUNCTION("vlookup($D414,IMPORTRANGE(""https://docs.google.com/spreadsheets/d/1swGwZOEqYlTEUCJLY-eeJM1911Kvaei5oySBIxdgtNo/edit?pli=1#gid=257618397"",""stock FAKTUR!B:d""),3,false)"),"")</f>
        <v/>
      </c>
      <c r="G414" s="53" t="str">
        <f>IFERROR(__xludf.DUMMYFUNCTION("vlookup($D414,IMPORTRANGE(""https://docs.google.com/spreadsheets/d/1swGwZOEqYlTEUCJLY-eeJM1911Kvaei5oySBIxdgtNo/edit?pli=1#gid=257618397"",""stock FAKTUR!B:e""),4,false)"),"")</f>
        <v/>
      </c>
      <c r="H414" s="53" t="str">
        <f>IFERROR(__xludf.DUMMYFUNCTION("vlookup($D414,IMPORTRANGE(""https://docs.google.com/spreadsheets/d/1swGwZOEqYlTEUCJLY-eeJM1911Kvaei5oySBIxdgtNo/edit?pli=1#gid=257618397"",""stock FAKTUR!B:F""),5,false)"),"KN")</f>
        <v>KN</v>
      </c>
      <c r="I414" s="53" t="str">
        <f>IFERROR(__xludf.DUMMYFUNCTION("vlookup($D414,IMPORTRANGE(""https://docs.google.com/spreadsheets/d/1swGwZOEqYlTEUCJLY-eeJM1911Kvaei5oySBIxdgtNo/edit?pli=1#gid=257618397"",""stock FAKTUR!B:G""),6,false)"),"PLR-001")</f>
        <v>PLR-001</v>
      </c>
      <c r="J414" s="120" t="str">
        <f t="shared" si="25"/>
        <v>ADA</v>
      </c>
      <c r="K414" s="142">
        <v>6.0</v>
      </c>
      <c r="L414" s="145" t="str">
        <f>IFERROR(__xludf.DUMMYFUNCTION("vlookup($D414,IMPORTRANGE(""https://docs.google.com/spreadsheets/d/1swGwZOEqYlTEUCJLY-eeJM1911Kvaei5oySBIxdgtNo/edit?pli=1#gid=257618397"",""stock FAKTUR!B:q""),16,false)"),"PCS")</f>
        <v>PCS</v>
      </c>
      <c r="M414" s="147">
        <v>45000.0</v>
      </c>
      <c r="N414" s="148"/>
      <c r="O414" s="147">
        <f t="shared" si="94"/>
        <v>270000</v>
      </c>
      <c r="P414" s="147" t="str">
        <f t="shared" si="3"/>
        <v>Rp45,000-6 PCS-0.00%</v>
      </c>
      <c r="Q414" s="149">
        <v>45418.0</v>
      </c>
      <c r="R414" s="150"/>
      <c r="S414" s="149">
        <v>45419.0</v>
      </c>
      <c r="T414" s="151"/>
      <c r="U414" s="151"/>
      <c r="V414" s="151"/>
      <c r="W414" s="151"/>
    </row>
    <row r="415">
      <c r="A415" s="142">
        <v>2992.0</v>
      </c>
      <c r="B415" s="143" t="str">
        <f t="shared" si="123"/>
        <v>H</v>
      </c>
      <c r="C415" s="143" t="str">
        <f t="shared" si="124"/>
        <v>KURNIA-BANTUL</v>
      </c>
      <c r="D415" s="145" t="s">
        <v>4487</v>
      </c>
      <c r="E415" s="145" t="str">
        <f>IFERROR(__xludf.DUMMYFUNCTION("vlookup(D415,IMPORTRANGE(""https://docs.google.com/spreadsheets/d/1swGwZOEqYlTEUCJLY-eeJM1911Kvaei5oySBIxdgtNo/edit?pli=1#gid=257618397"",""stock FAKTUR!B:C""),2,false)"),"MESIN LABEL HARGA KENKO MX-6600 A")</f>
        <v>MESIN LABEL HARGA KENKO MX-6600 A</v>
      </c>
      <c r="F415" s="53" t="str">
        <f>IFERROR(__xludf.DUMMYFUNCTION("vlookup($D415,IMPORTRANGE(""https://docs.google.com/spreadsheets/d/1swGwZOEqYlTEUCJLY-eeJM1911Kvaei5oySBIxdgtNo/edit?pli=1#gid=257618397"",""stock FAKTUR!B:d""),3,false)"),"")</f>
        <v/>
      </c>
      <c r="G415" s="53" t="str">
        <f>IFERROR(__xludf.DUMMYFUNCTION("vlookup($D415,IMPORTRANGE(""https://docs.google.com/spreadsheets/d/1swGwZOEqYlTEUCJLY-eeJM1911Kvaei5oySBIxdgtNo/edit?pli=1#gid=257618397"",""stock FAKTUR!B:e""),4,false)"),"")</f>
        <v/>
      </c>
      <c r="H415" s="53" t="str">
        <f>IFERROR(__xludf.DUMMYFUNCTION("vlookup($D415,IMPORTRANGE(""https://docs.google.com/spreadsheets/d/1swGwZOEqYlTEUCJLY-eeJM1911Kvaei5oySBIxdgtNo/edit?pli=1#gid=257618397"",""stock FAKTUR!B:F""),5,false)"),"KN")</f>
        <v>KN</v>
      </c>
      <c r="I415" s="53" t="str">
        <f>IFERROR(__xludf.DUMMYFUNCTION("vlookup($D415,IMPORTRANGE(""https://docs.google.com/spreadsheets/d/1swGwZOEqYlTEUCJLY-eeJM1911Kvaei5oySBIxdgtNo/edit?pli=1#gid=257618397"",""stock FAKTUR!B:G""),6,false)"),"PLR-003A")</f>
        <v>PLR-003A</v>
      </c>
      <c r="J415" s="120" t="str">
        <f t="shared" si="25"/>
        <v>ADA</v>
      </c>
      <c r="K415" s="142">
        <v>6.0</v>
      </c>
      <c r="L415" s="145" t="str">
        <f>IFERROR(__xludf.DUMMYFUNCTION("vlookup($D415,IMPORTRANGE(""https://docs.google.com/spreadsheets/d/1swGwZOEqYlTEUCJLY-eeJM1911Kvaei5oySBIxdgtNo/edit?pli=1#gid=257618397"",""stock FAKTUR!B:q""),16,false)"),"PCS")</f>
        <v>PCS</v>
      </c>
      <c r="M415" s="147">
        <v>95000.0</v>
      </c>
      <c r="N415" s="148"/>
      <c r="O415" s="147">
        <f t="shared" si="94"/>
        <v>570000</v>
      </c>
      <c r="P415" s="147" t="str">
        <f t="shared" si="3"/>
        <v>Rp95,000-6 PCS-0.00%</v>
      </c>
      <c r="Q415" s="149">
        <v>45418.0</v>
      </c>
      <c r="R415" s="150"/>
      <c r="S415" s="149">
        <v>45419.0</v>
      </c>
      <c r="T415" s="151"/>
      <c r="U415" s="151"/>
      <c r="V415" s="151"/>
      <c r="W415" s="151"/>
    </row>
    <row r="416">
      <c r="A416" s="142">
        <v>2992.0</v>
      </c>
      <c r="B416" s="143" t="str">
        <f t="shared" si="123"/>
        <v>H</v>
      </c>
      <c r="C416" s="143" t="str">
        <f t="shared" si="124"/>
        <v>KURNIA-BANTUL</v>
      </c>
      <c r="D416" s="145" t="s">
        <v>4398</v>
      </c>
      <c r="E416" s="145" t="str">
        <f>IFERROR(__xludf.DUMMYFUNCTION("vlookup(D416,IMPORTRANGE(""https://docs.google.com/spreadsheets/d/1swGwZOEqYlTEUCJLY-eeJM1911Kvaei5oySBIxdgtNo/edit?pli=1#gid=257618397"",""stock FAKTUR!B:C""),2,false)"),"ISI CUTTER KENKO L-150 BESAR")</f>
        <v>ISI CUTTER KENKO L-150 BESAR</v>
      </c>
      <c r="F416" s="53" t="str">
        <f>IFERROR(__xludf.DUMMYFUNCTION("vlookup($D416,IMPORTRANGE(""https://docs.google.com/spreadsheets/d/1swGwZOEqYlTEUCJLY-eeJM1911Kvaei5oySBIxdgtNo/edit?pli=1#gid=257618397"",""stock FAKTUR!B:d""),3,false)"),"18 MM")</f>
        <v>18 MM</v>
      </c>
      <c r="G416" s="53" t="str">
        <f>IFERROR(__xludf.DUMMYFUNCTION("vlookup($D416,IMPORTRANGE(""https://docs.google.com/spreadsheets/d/1swGwZOEqYlTEUCJLY-eeJM1911Kvaei5oySBIxdgtNo/edit?pli=1#gid=257618397"",""stock FAKTUR!B:e""),4,false)"),"")</f>
        <v/>
      </c>
      <c r="H416" s="53" t="str">
        <f>IFERROR(__xludf.DUMMYFUNCTION("vlookup($D416,IMPORTRANGE(""https://docs.google.com/spreadsheets/d/1swGwZOEqYlTEUCJLY-eeJM1911Kvaei5oySBIxdgtNo/edit?pli=1#gid=257618397"",""stock FAKTUR!B:F""),5,false)"),"KN")</f>
        <v>KN</v>
      </c>
      <c r="I416" s="53" t="str">
        <f>IFERROR(__xludf.DUMMYFUNCTION("vlookup($D416,IMPORTRANGE(""https://docs.google.com/spreadsheets/d/1swGwZOEqYlTEUCJLY-eeJM1911Kvaei5oySBIxdgtNo/edit?pli=1#gid=257618397"",""stock FAKTUR!B:G""),6,false)"),"CTB-002")</f>
        <v>CTB-002</v>
      </c>
      <c r="J416" s="120" t="str">
        <f t="shared" si="25"/>
        <v>ADA</v>
      </c>
      <c r="K416" s="142">
        <v>30.0</v>
      </c>
      <c r="L416" s="145" t="str">
        <f>IFERROR(__xludf.DUMMYFUNCTION("vlookup($D416,IMPORTRANGE(""https://docs.google.com/spreadsheets/d/1swGwZOEqYlTEUCJLY-eeJM1911Kvaei5oySBIxdgtNo/edit?pli=1#gid=257618397"",""stock FAKTUR!B:q""),16,false)"),"LSN")</f>
        <v>LSN</v>
      </c>
      <c r="M416" s="147">
        <v>64800.0</v>
      </c>
      <c r="N416" s="148"/>
      <c r="O416" s="147">
        <f t="shared" si="94"/>
        <v>1944000</v>
      </c>
      <c r="P416" s="147" t="str">
        <f t="shared" si="3"/>
        <v>Rp64,800-30 LSN-0.00%</v>
      </c>
      <c r="Q416" s="149">
        <v>45418.0</v>
      </c>
      <c r="R416" s="150"/>
      <c r="S416" s="149">
        <v>45419.0</v>
      </c>
      <c r="T416" s="151"/>
      <c r="U416" s="151"/>
      <c r="V416" s="151"/>
      <c r="W416" s="151"/>
    </row>
    <row r="417">
      <c r="A417" s="142">
        <v>2992.0</v>
      </c>
      <c r="B417" s="143" t="str">
        <f t="shared" si="123"/>
        <v>H</v>
      </c>
      <c r="C417" s="143" t="str">
        <f t="shared" si="124"/>
        <v>KURNIA-BANTUL</v>
      </c>
      <c r="D417" s="145" t="s">
        <v>4525</v>
      </c>
      <c r="E417" s="145" t="str">
        <f>IFERROR(__xludf.DUMMYFUNCTION("vlookup(D417,IMPORTRANGE(""https://docs.google.com/spreadsheets/d/1swGwZOEqYlTEUCJLY-eeJM1911Kvaei5oySBIxdgtNo/edit?pli=1#gid=257618397"",""stock FAKTUR!B:C""),2,false)"),"DISPENSER MN-305 POLAR BEAR ")</f>
        <v>DISPENSER MN-305 POLAR BEAR </v>
      </c>
      <c r="F417" s="53" t="str">
        <f>IFERROR(__xludf.DUMMYFUNCTION("vlookup($D417,IMPORTRANGE(""https://docs.google.com/spreadsheets/d/1swGwZOEqYlTEUCJLY-eeJM1911Kvaei5oySBIxdgtNo/edit?pli=1#gid=257618397"",""stock FAKTUR!B:d""),3,false)"),"")</f>
        <v/>
      </c>
      <c r="G417" s="53" t="str">
        <f>IFERROR(__xludf.DUMMYFUNCTION("vlookup($D417,IMPORTRANGE(""https://docs.google.com/spreadsheets/d/1swGwZOEqYlTEUCJLY-eeJM1911Kvaei5oySBIxdgtNo/edit?pli=1#gid=257618397"",""stock FAKTUR!B:e""),4,false)"),"")</f>
        <v/>
      </c>
      <c r="H417" s="53" t="str">
        <f>IFERROR(__xludf.DUMMYFUNCTION("vlookup($D417,IMPORTRANGE(""https://docs.google.com/spreadsheets/d/1swGwZOEqYlTEUCJLY-eeJM1911Kvaei5oySBIxdgtNo/edit?pli=1#gid=257618397"",""stock FAKTUR!B:F""),5,false)"),"NB")</f>
        <v>NB</v>
      </c>
      <c r="I417" s="53" t="str">
        <f>IFERROR(__xludf.DUMMYFUNCTION("vlookup($D417,IMPORTRANGE(""https://docs.google.com/spreadsheets/d/1swGwZOEqYlTEUCJLY-eeJM1911Kvaei5oySBIxdgtNo/edit?pli=1#gid=257618397"",""stock FAKTUR!B:G""),6,false)"),"MN-305")</f>
        <v>MN-305</v>
      </c>
      <c r="J417" s="120" t="str">
        <f t="shared" si="25"/>
        <v>ADA</v>
      </c>
      <c r="K417" s="142">
        <v>2.0</v>
      </c>
      <c r="L417" s="145" t="str">
        <f>IFERROR(__xludf.DUMMYFUNCTION("vlookup($D417,IMPORTRANGE(""https://docs.google.com/spreadsheets/d/1swGwZOEqYlTEUCJLY-eeJM1911Kvaei5oySBIxdgtNo/edit?pli=1#gid=257618397"",""stock FAKTUR!B:q""),16,false)"),"LSN")</f>
        <v>LSN</v>
      </c>
      <c r="M417" s="147">
        <v>110000.0</v>
      </c>
      <c r="N417" s="148"/>
      <c r="O417" s="147">
        <f t="shared" si="94"/>
        <v>220000</v>
      </c>
      <c r="P417" s="147" t="str">
        <f t="shared" si="3"/>
        <v>Rp110,000-2 LSN-0.00%</v>
      </c>
      <c r="Q417" s="149">
        <v>45418.0</v>
      </c>
      <c r="R417" s="150"/>
      <c r="S417" s="149">
        <v>45419.0</v>
      </c>
      <c r="T417" s="151"/>
      <c r="U417" s="151"/>
      <c r="V417" s="151"/>
      <c r="W417" s="151"/>
    </row>
    <row r="418">
      <c r="A418" s="142">
        <v>2992.0</v>
      </c>
      <c r="B418" s="143" t="str">
        <f t="shared" si="123"/>
        <v>H</v>
      </c>
      <c r="C418" s="143" t="str">
        <f t="shared" si="124"/>
        <v>KURNIA-BANTUL</v>
      </c>
      <c r="D418" s="145" t="s">
        <v>4430</v>
      </c>
      <c r="E418" s="145" t="str">
        <f>IFERROR(__xludf.DUMMYFUNCTION("vlookup(D418,IMPORTRANGE(""https://docs.google.com/spreadsheets/d/1swGwZOEqYlTEUCJLY-eeJM1911Kvaei5oySBIxdgtNo/edit?pli=1#gid=257618397"",""stock FAKTUR!B:C""),2,false)"),"LEM STICK KENKO 8GR KECIL")</f>
        <v>LEM STICK KENKO 8GR KECIL</v>
      </c>
      <c r="F418" s="53" t="str">
        <f>IFERROR(__xludf.DUMMYFUNCTION("vlookup($D418,IMPORTRANGE(""https://docs.google.com/spreadsheets/d/1swGwZOEqYlTEUCJLY-eeJM1911Kvaei5oySBIxdgtNo/edit?pli=1#gid=257618397"",""stock FAKTUR!B:d""),3,false)"),"K")</f>
        <v>K</v>
      </c>
      <c r="G418" s="53" t="str">
        <f>IFERROR(__xludf.DUMMYFUNCTION("vlookup($D418,IMPORTRANGE(""https://docs.google.com/spreadsheets/d/1swGwZOEqYlTEUCJLY-eeJM1911Kvaei5oySBIxdgtNo/edit?pli=1#gid=257618397"",""stock FAKTUR!B:e""),4,false)"),"")</f>
        <v/>
      </c>
      <c r="H418" s="53" t="str">
        <f>IFERROR(__xludf.DUMMYFUNCTION("vlookup($D418,IMPORTRANGE(""https://docs.google.com/spreadsheets/d/1swGwZOEqYlTEUCJLY-eeJM1911Kvaei5oySBIxdgtNo/edit?pli=1#gid=257618397"",""stock FAKTUR!B:F""),5,false)"),"KN")</f>
        <v>KN</v>
      </c>
      <c r="I418" s="53" t="str">
        <f>IFERROR(__xludf.DUMMYFUNCTION("vlookup($D418,IMPORTRANGE(""https://docs.google.com/spreadsheets/d/1swGwZOEqYlTEUCJLY-eeJM1911Kvaei5oySBIxdgtNo/edit?pli=1#gid=257618397"",""stock FAKTUR!B:G""),6,false)"),"GST-001GA")</f>
        <v>GST-001GA</v>
      </c>
      <c r="J418" s="120" t="str">
        <f t="shared" si="25"/>
        <v>ADA</v>
      </c>
      <c r="K418" s="142">
        <v>5.0</v>
      </c>
      <c r="L418" s="145" t="str">
        <f>IFERROR(__xludf.DUMMYFUNCTION("vlookup($D418,IMPORTRANGE(""https://docs.google.com/spreadsheets/d/1swGwZOEqYlTEUCJLY-eeJM1911Kvaei5oySBIxdgtNo/edit?pli=1#gid=257618397"",""stock FAKTUR!B:q""),16,false)"),"BOX")</f>
        <v>BOX</v>
      </c>
      <c r="M418" s="147">
        <v>66000.0</v>
      </c>
      <c r="N418" s="148"/>
      <c r="O418" s="147">
        <f t="shared" si="94"/>
        <v>330000</v>
      </c>
      <c r="P418" s="147" t="str">
        <f t="shared" si="3"/>
        <v>Rp66,000-5 BOX-0.00%</v>
      </c>
      <c r="Q418" s="149">
        <v>45418.0</v>
      </c>
      <c r="R418" s="150"/>
      <c r="S418" s="149">
        <v>45419.0</v>
      </c>
      <c r="T418" s="151"/>
      <c r="U418" s="151"/>
      <c r="V418" s="151"/>
      <c r="W418" s="151"/>
    </row>
    <row r="419">
      <c r="A419" s="142">
        <v>2992.0</v>
      </c>
      <c r="B419" s="143" t="str">
        <f t="shared" si="123"/>
        <v>H</v>
      </c>
      <c r="C419" s="143" t="str">
        <f t="shared" si="124"/>
        <v>KURNIA-BANTUL</v>
      </c>
      <c r="D419" s="145" t="s">
        <v>4634</v>
      </c>
      <c r="E419" s="145" t="str">
        <f>IFERROR(__xludf.DUMMYFUNCTION("vlookup(D419,IMPORTRANGE(""https://docs.google.com/spreadsheets/d/1swGwZOEqYlTEUCJLY-eeJM1911Kvaei5oySBIxdgtNo/edit?pli=1#gid=257618397"",""stock FAKTUR!B:C""),2,false)"),"COUNTER HAND TALLY KENKO HT-303")</f>
        <v>COUNTER HAND TALLY KENKO HT-303</v>
      </c>
      <c r="F419" s="53" t="str">
        <f>IFERROR(__xludf.DUMMYFUNCTION("vlookup($D419,IMPORTRANGE(""https://docs.google.com/spreadsheets/d/1swGwZOEqYlTEUCJLY-eeJM1911Kvaei5oySBIxdgtNo/edit?pli=1#gid=257618397"",""stock FAKTUR!B:d""),3,false)"),"")</f>
        <v/>
      </c>
      <c r="G419" s="53" t="str">
        <f>IFERROR(__xludf.DUMMYFUNCTION("vlookup($D419,IMPORTRANGE(""https://docs.google.com/spreadsheets/d/1swGwZOEqYlTEUCJLY-eeJM1911Kvaei5oySBIxdgtNo/edit?pli=1#gid=257618397"",""stock FAKTUR!B:e""),4,false)"),"")</f>
        <v/>
      </c>
      <c r="H419" s="53" t="str">
        <f>IFERROR(__xludf.DUMMYFUNCTION("vlookup($D419,IMPORTRANGE(""https://docs.google.com/spreadsheets/d/1swGwZOEqYlTEUCJLY-eeJM1911Kvaei5oySBIxdgtNo/edit?pli=1#gid=257618397"",""stock FAKTUR!B:F""),5,false)"),"KN")</f>
        <v>KN</v>
      </c>
      <c r="I419" s="53" t="str">
        <f>IFERROR(__xludf.DUMMYFUNCTION("vlookup($D419,IMPORTRANGE(""https://docs.google.com/spreadsheets/d/1swGwZOEqYlTEUCJLY-eeJM1911Kvaei5oySBIxdgtNo/edit?pli=1#gid=257618397"",""stock FAKTUR!B:G""),6,false)"),"")</f>
        <v/>
      </c>
      <c r="J419" s="120" t="str">
        <f t="shared" si="25"/>
        <v>ADA</v>
      </c>
      <c r="K419" s="142">
        <f>12/12</f>
        <v>1</v>
      </c>
      <c r="L419" s="145" t="str">
        <f>IFERROR(__xludf.DUMMYFUNCTION("vlookup($D419,IMPORTRANGE(""https://docs.google.com/spreadsheets/d/1swGwZOEqYlTEUCJLY-eeJM1911Kvaei5oySBIxdgtNo/edit?pli=1#gid=257618397"",""stock FAKTUR!B:q""),16,false)"),"LSN")</f>
        <v>LSN</v>
      </c>
      <c r="M419" s="147">
        <f>13000*12</f>
        <v>156000</v>
      </c>
      <c r="N419" s="148"/>
      <c r="O419" s="147">
        <f t="shared" si="94"/>
        <v>156000</v>
      </c>
      <c r="P419" s="147" t="str">
        <f t="shared" si="3"/>
        <v>Rp156,000-1 LSN-0.00%</v>
      </c>
      <c r="Q419" s="149">
        <v>45418.0</v>
      </c>
      <c r="R419" s="150"/>
      <c r="S419" s="149">
        <v>45419.0</v>
      </c>
      <c r="T419" s="151"/>
      <c r="U419" s="151"/>
      <c r="V419" s="151"/>
      <c r="W419" s="151"/>
    </row>
    <row r="420">
      <c r="A420" s="142">
        <v>2992.0</v>
      </c>
      <c r="B420" s="143" t="str">
        <f t="shared" si="123"/>
        <v>H</v>
      </c>
      <c r="C420" s="143" t="str">
        <f t="shared" si="124"/>
        <v>KURNIA-BANTUL</v>
      </c>
      <c r="D420" s="145" t="s">
        <v>4635</v>
      </c>
      <c r="E420" s="145" t="str">
        <f>IFERROR(__xludf.DUMMYFUNCTION("vlookup(D420,IMPORTRANGE(""https://docs.google.com/spreadsheets/d/1swGwZOEqYlTEUCJLY-eeJM1911Kvaei5oySBIxdgtNo/edit?pli=1#gid=257618397"",""stock FAKTUR!B:C""),2,false)"),"GUNTING KENKO SC 848 SG")</f>
        <v>GUNTING KENKO SC 848 SG</v>
      </c>
      <c r="F420" s="53" t="str">
        <f>IFERROR(__xludf.DUMMYFUNCTION("vlookup($D420,IMPORTRANGE(""https://docs.google.com/spreadsheets/d/1swGwZOEqYlTEUCJLY-eeJM1911Kvaei5oySBIxdgtNo/edit?pli=1#gid=257618397"",""stock FAKTUR!B:d""),3,false)"),"")</f>
        <v/>
      </c>
      <c r="G420" s="53" t="str">
        <f>IFERROR(__xludf.DUMMYFUNCTION("vlookup($D420,IMPORTRANGE(""https://docs.google.com/spreadsheets/d/1swGwZOEqYlTEUCJLY-eeJM1911Kvaei5oySBIxdgtNo/edit?pli=1#gid=257618397"",""stock FAKTUR!B:e""),4,false)"),"")</f>
        <v/>
      </c>
      <c r="H420" s="53" t="str">
        <f>IFERROR(__xludf.DUMMYFUNCTION("vlookup($D420,IMPORTRANGE(""https://docs.google.com/spreadsheets/d/1swGwZOEqYlTEUCJLY-eeJM1911Kvaei5oySBIxdgtNo/edit?pli=1#gid=257618397"",""stock FAKTUR!B:F""),5,false)"),"KN")</f>
        <v>KN</v>
      </c>
      <c r="I420" s="53" t="str">
        <f>IFERROR(__xludf.DUMMYFUNCTION("vlookup($D420,IMPORTRANGE(""https://docs.google.com/spreadsheets/d/1swGwZOEqYlTEUCJLY-eeJM1911Kvaei5oySBIxdgtNo/edit?pli=1#gid=257618397"",""stock FAKTUR!B:G""),6,false)"),"")</f>
        <v/>
      </c>
      <c r="J420" s="120" t="str">
        <f t="shared" si="25"/>
        <v>ADA</v>
      </c>
      <c r="K420" s="142">
        <v>1.0</v>
      </c>
      <c r="L420" s="145" t="str">
        <f>IFERROR(__xludf.DUMMYFUNCTION("vlookup($D420,IMPORTRANGE(""https://docs.google.com/spreadsheets/d/1swGwZOEqYlTEUCJLY-eeJM1911Kvaei5oySBIxdgtNo/edit?pli=1#gid=257618397"",""stock FAKTUR!B:q""),16,false)"),"LSN")</f>
        <v>LSN</v>
      </c>
      <c r="M420" s="147">
        <v>126000.0</v>
      </c>
      <c r="N420" s="148"/>
      <c r="O420" s="147">
        <f t="shared" si="94"/>
        <v>126000</v>
      </c>
      <c r="P420" s="147" t="str">
        <f t="shared" si="3"/>
        <v>Rp126,000-1 LSN-0.00%</v>
      </c>
      <c r="Q420" s="149">
        <v>45418.0</v>
      </c>
      <c r="R420" s="150"/>
      <c r="S420" s="149">
        <v>45419.0</v>
      </c>
      <c r="T420" s="151"/>
      <c r="U420" s="151"/>
      <c r="V420" s="151"/>
      <c r="W420" s="151"/>
    </row>
    <row r="421">
      <c r="A421" s="142">
        <v>2992.0</v>
      </c>
      <c r="B421" s="143" t="str">
        <f t="shared" si="123"/>
        <v>H</v>
      </c>
      <c r="C421" s="143" t="str">
        <f t="shared" si="124"/>
        <v>KURNIA-BANTUL</v>
      </c>
      <c r="D421" s="145" t="s">
        <v>4397</v>
      </c>
      <c r="E421" s="145" t="str">
        <f>IFERROR(__xludf.DUMMYFUNCTION("vlookup(D421,IMPORTRANGE(""https://docs.google.com/spreadsheets/d/1swGwZOEqYlTEUCJLY-eeJM1911Kvaei5oySBIxdgtNo/edit?pli=1#gid=257618397"",""stock FAKTUR!B:C""),2,false)"),"TIPEX KENKO KE-107M")</f>
        <v>TIPEX KENKO KE-107M</v>
      </c>
      <c r="F421" s="53" t="str">
        <f>IFERROR(__xludf.DUMMYFUNCTION("vlookup($D421,IMPORTRANGE(""https://docs.google.com/spreadsheets/d/1swGwZOEqYlTEUCJLY-eeJM1911Kvaei5oySBIxdgtNo/edit?pli=1#gid=257618397"",""stock FAKTUR!B:d""),3,false)"),"")</f>
        <v/>
      </c>
      <c r="G421" s="53" t="str">
        <f>IFERROR(__xludf.DUMMYFUNCTION("vlookup($D421,IMPORTRANGE(""https://docs.google.com/spreadsheets/d/1swGwZOEqYlTEUCJLY-eeJM1911Kvaei5oySBIxdgtNo/edit?pli=1#gid=257618397"",""stock FAKTUR!B:e""),4,false)"),"")</f>
        <v/>
      </c>
      <c r="H421" s="53" t="str">
        <f>IFERROR(__xludf.DUMMYFUNCTION("vlookup($D421,IMPORTRANGE(""https://docs.google.com/spreadsheets/d/1swGwZOEqYlTEUCJLY-eeJM1911Kvaei5oySBIxdgtNo/edit?pli=1#gid=257618397"",""stock FAKTUR!B:F""),5,false)"),"KN")</f>
        <v>KN</v>
      </c>
      <c r="I421" s="53" t="str">
        <f>IFERROR(__xludf.DUMMYFUNCTION("vlookup($D421,IMPORTRANGE(""https://docs.google.com/spreadsheets/d/1swGwZOEqYlTEUCJLY-eeJM1911Kvaei5oySBIxdgtNo/edit?pli=1#gid=257618397"",""stock FAKTUR!B:G""),6,false)"),"CFL-002")</f>
        <v>CFL-002</v>
      </c>
      <c r="J421" s="120" t="str">
        <f t="shared" si="25"/>
        <v>ADA</v>
      </c>
      <c r="K421" s="142">
        <v>10.0</v>
      </c>
      <c r="L421" s="145" t="str">
        <f>IFERROR(__xludf.DUMMYFUNCTION("vlookup($D421,IMPORTRANGE(""https://docs.google.com/spreadsheets/d/1swGwZOEqYlTEUCJLY-eeJM1911Kvaei5oySBIxdgtNo/edit?pli=1#gid=257618397"",""stock FAKTUR!B:q""),16,false)"),"LSN")</f>
        <v>LSN</v>
      </c>
      <c r="M421" s="147">
        <v>57600.0</v>
      </c>
      <c r="N421" s="148"/>
      <c r="O421" s="147">
        <f t="shared" si="94"/>
        <v>576000</v>
      </c>
      <c r="P421" s="147" t="str">
        <f t="shared" si="3"/>
        <v>Rp57,600-10 LSN-0.00%</v>
      </c>
      <c r="Q421" s="149">
        <v>45418.0</v>
      </c>
      <c r="R421" s="150"/>
      <c r="S421" s="149">
        <v>45419.0</v>
      </c>
      <c r="T421" s="151"/>
      <c r="U421" s="151"/>
      <c r="V421" s="151"/>
      <c r="W421" s="151"/>
    </row>
    <row r="422">
      <c r="A422" s="153">
        <v>2992.0</v>
      </c>
      <c r="B422" s="144" t="str">
        <f t="shared" si="123"/>
        <v>H</v>
      </c>
      <c r="C422" s="144" t="str">
        <f t="shared" si="124"/>
        <v>KURNIA-BANTUL</v>
      </c>
      <c r="D422" s="145" t="s">
        <v>4636</v>
      </c>
      <c r="E422" s="145" t="str">
        <f>IFERROR(__xludf.DUMMYFUNCTION("vlookup(D422,IMPORTRANGE(""https://docs.google.com/spreadsheets/d/1swGwZOEqYlTEUCJLY-eeJM1911Kvaei5oySBIxdgtNo/edit?pli=1#gid=257618397"",""stock FAKTUR!B:C""),2,false)"),"STAPLER KENKO HD-12L/24")</f>
        <v>STAPLER KENKO HD-12L/24</v>
      </c>
      <c r="F422" s="53" t="str">
        <f>IFERROR(__xludf.DUMMYFUNCTION("vlookup($D422,IMPORTRANGE(""https://docs.google.com/spreadsheets/d/1swGwZOEqYlTEUCJLY-eeJM1911Kvaei5oySBIxdgtNo/edit?pli=1#gid=257618397"",""stock FAKTUR!B:d""),3,false)"),"")</f>
        <v/>
      </c>
      <c r="G422" s="53" t="str">
        <f>IFERROR(__xludf.DUMMYFUNCTION("vlookup($D422,IMPORTRANGE(""https://docs.google.com/spreadsheets/d/1swGwZOEqYlTEUCJLY-eeJM1911Kvaei5oySBIxdgtNo/edit?pli=1#gid=257618397"",""stock FAKTUR!B:e""),4,false)"),"")</f>
        <v/>
      </c>
      <c r="H422" s="53" t="str">
        <f>IFERROR(__xludf.DUMMYFUNCTION("vlookup($D422,IMPORTRANGE(""https://docs.google.com/spreadsheets/d/1swGwZOEqYlTEUCJLY-eeJM1911Kvaei5oySBIxdgtNo/edit?pli=1#gid=257618397"",""stock FAKTUR!B:F""),5,false)"),"KN")</f>
        <v>KN</v>
      </c>
      <c r="I422" s="53" t="str">
        <f>IFERROR(__xludf.DUMMYFUNCTION("vlookup($D422,IMPORTRANGE(""https://docs.google.com/spreadsheets/d/1swGwZOEqYlTEUCJLY-eeJM1911Kvaei5oySBIxdgtNo/edit?pli=1#gid=257618397"",""stock FAKTUR!B:G""),6,false)"),"HD-12L")</f>
        <v>HD-12L</v>
      </c>
      <c r="J422" s="120" t="str">
        <f t="shared" si="25"/>
        <v>ADA</v>
      </c>
      <c r="K422" s="153">
        <v>1.0</v>
      </c>
      <c r="L422" s="145" t="str">
        <f>IFERROR(__xludf.DUMMYFUNCTION("vlookup($D422,IMPORTRANGE(""https://docs.google.com/spreadsheets/d/1swGwZOEqYlTEUCJLY-eeJM1911Kvaei5oySBIxdgtNo/edit?pli=1#gid=257618397"",""stock FAKTUR!B:q""),16,false)"),"PCS")</f>
        <v>PCS</v>
      </c>
      <c r="M422" s="155">
        <v>360000.0</v>
      </c>
      <c r="N422" s="182"/>
      <c r="O422" s="155">
        <f t="shared" si="94"/>
        <v>360000</v>
      </c>
      <c r="P422" s="155" t="str">
        <f t="shared" si="3"/>
        <v>Rp360,000-1 PCS-0.00%</v>
      </c>
      <c r="Q422" s="157">
        <v>45418.0</v>
      </c>
      <c r="R422" s="158"/>
      <c r="S422" s="157">
        <v>45419.0</v>
      </c>
      <c r="T422" s="145" t="s">
        <v>4581</v>
      </c>
      <c r="U422" s="145" t="s">
        <v>4390</v>
      </c>
      <c r="V422" s="145"/>
      <c r="W422" s="159"/>
    </row>
    <row r="423">
      <c r="A423" s="153">
        <v>2992.0</v>
      </c>
      <c r="B423" s="144" t="str">
        <f t="shared" si="123"/>
        <v>H</v>
      </c>
      <c r="C423" s="144" t="str">
        <f t="shared" si="124"/>
        <v>KURNIA-BANTUL</v>
      </c>
      <c r="D423" s="145" t="s">
        <v>4532</v>
      </c>
      <c r="E423" s="145" t="str">
        <f>IFERROR(__xludf.DUMMYFUNCTION("vlookup(D423,IMPORTRANGE(""https://docs.google.com/spreadsheets/d/1swGwZOEqYlTEUCJLY-eeJM1911Kvaei5oySBIxdgtNo/edit?pli=1#gid=257618397"",""stock FAKTUR!B:C""),2,false)"),"BINDER CLIP KENKO NO. 260")</f>
        <v>BINDER CLIP KENKO NO. 260</v>
      </c>
      <c r="F423" s="53" t="str">
        <f>IFERROR(__xludf.DUMMYFUNCTION("vlookup($D423,IMPORTRANGE(""https://docs.google.com/spreadsheets/d/1swGwZOEqYlTEUCJLY-eeJM1911Kvaei5oySBIxdgtNo/edit?pli=1#gid=257618397"",""stock FAKTUR!B:d""),3,false)"),"")</f>
        <v/>
      </c>
      <c r="G423" s="53" t="str">
        <f>IFERROR(__xludf.DUMMYFUNCTION("vlookup($D423,IMPORTRANGE(""https://docs.google.com/spreadsheets/d/1swGwZOEqYlTEUCJLY-eeJM1911Kvaei5oySBIxdgtNo/edit?pli=1#gid=257618397"",""stock FAKTUR!B:e""),4,false)"),"")</f>
        <v/>
      </c>
      <c r="H423" s="53" t="str">
        <f>IFERROR(__xludf.DUMMYFUNCTION("vlookup($D423,IMPORTRANGE(""https://docs.google.com/spreadsheets/d/1swGwZOEqYlTEUCJLY-eeJM1911Kvaei5oySBIxdgtNo/edit?pli=1#gid=257618397"",""stock FAKTUR!B:F""),5,false)"),"KN")</f>
        <v>KN</v>
      </c>
      <c r="I423" s="53" t="str">
        <f>IFERROR(__xludf.DUMMYFUNCTION("vlookup($D423,IMPORTRANGE(""https://docs.google.com/spreadsheets/d/1swGwZOEqYlTEUCJLY-eeJM1911Kvaei5oySBIxdgtNo/edit?pli=1#gid=257618397"",""stock FAKTUR!B:G""),6,false)"),"BCL-006QH")</f>
        <v>BCL-006QH</v>
      </c>
      <c r="J423" s="120" t="str">
        <f t="shared" si="25"/>
        <v>ADA</v>
      </c>
      <c r="K423" s="153">
        <v>1.0</v>
      </c>
      <c r="L423" s="145" t="str">
        <f>IFERROR(__xludf.DUMMYFUNCTION("vlookup($D423,IMPORTRANGE(""https://docs.google.com/spreadsheets/d/1swGwZOEqYlTEUCJLY-eeJM1911Kvaei5oySBIxdgtNo/edit?pli=1#gid=257618397"",""stock FAKTUR!B:q""),16,false)"),"GRS")</f>
        <v>GRS</v>
      </c>
      <c r="M423" s="155">
        <f>12*15000</f>
        <v>180000</v>
      </c>
      <c r="N423" s="182"/>
      <c r="O423" s="155">
        <f t="shared" si="94"/>
        <v>180000</v>
      </c>
      <c r="P423" s="155" t="str">
        <f t="shared" si="3"/>
        <v>Rp180,000-1 GRS-0.00%</v>
      </c>
      <c r="Q423" s="157">
        <v>45418.0</v>
      </c>
      <c r="R423" s="158"/>
      <c r="S423" s="157">
        <v>45419.0</v>
      </c>
      <c r="T423" s="145" t="s">
        <v>4530</v>
      </c>
      <c r="U423" s="145" t="s">
        <v>4563</v>
      </c>
      <c r="V423" s="145"/>
      <c r="W423" s="159"/>
    </row>
    <row r="424">
      <c r="A424" s="153">
        <v>2992.0</v>
      </c>
      <c r="B424" s="144" t="str">
        <f t="shared" si="123"/>
        <v>H</v>
      </c>
      <c r="C424" s="144" t="str">
        <f t="shared" si="124"/>
        <v>KURNIA-BANTUL</v>
      </c>
      <c r="D424" s="145" t="s">
        <v>4637</v>
      </c>
      <c r="E424" s="145" t="str">
        <f>IFERROR(__xludf.DUMMYFUNCTION("vlookup(D424,IMPORTRANGE(""https://docs.google.com/spreadsheets/d/1swGwZOEqYlTEUCJLY-eeJM1911Kvaei5oySBIxdgtNo/edit?pli=1#gid=257618397"",""stock FAKTUR!B:C""),2,false)"),"BINDER CLIP KENKO NO. 300 (6PCS/BOX)")</f>
        <v>BINDER CLIP KENKO NO. 300 (6PCS/BOX)</v>
      </c>
      <c r="F424" s="53" t="str">
        <f>IFERROR(__xludf.DUMMYFUNCTION("vlookup($D424,IMPORTRANGE(""https://docs.google.com/spreadsheets/d/1swGwZOEqYlTEUCJLY-eeJM1911Kvaei5oySBIxdgtNo/edit?pli=1#gid=257618397"",""stock FAKTUR!B:d""),3,false)"),"")</f>
        <v/>
      </c>
      <c r="G424" s="53" t="str">
        <f>IFERROR(__xludf.DUMMYFUNCTION("vlookup($D424,IMPORTRANGE(""https://docs.google.com/spreadsheets/d/1swGwZOEqYlTEUCJLY-eeJM1911Kvaei5oySBIxdgtNo/edit?pli=1#gid=257618397"",""stock FAKTUR!B:e""),4,false)"),"")</f>
        <v/>
      </c>
      <c r="H424" s="53" t="str">
        <f>IFERROR(__xludf.DUMMYFUNCTION("vlookup($D424,IMPORTRANGE(""https://docs.google.com/spreadsheets/d/1swGwZOEqYlTEUCJLY-eeJM1911Kvaei5oySBIxdgtNo/edit?pli=1#gid=257618397"",""stock FAKTUR!B:F""),5,false)"),"KN")</f>
        <v>KN</v>
      </c>
      <c r="I424" s="53" t="str">
        <f>IFERROR(__xludf.DUMMYFUNCTION("vlookup($D424,IMPORTRANGE(""https://docs.google.com/spreadsheets/d/1swGwZOEqYlTEUCJLY-eeJM1911Kvaei5oySBIxdgtNo/edit?pli=1#gid=257618397"",""stock FAKTUR!B:G""),6,false)"),"BCL-008")</f>
        <v>BCL-008</v>
      </c>
      <c r="J424" s="120" t="str">
        <f t="shared" si="25"/>
        <v>ADA</v>
      </c>
      <c r="K424" s="153">
        <f>12/0.5</f>
        <v>24</v>
      </c>
      <c r="L424" s="145" t="str">
        <f>IFERROR(__xludf.DUMMYFUNCTION("vlookup($D424,IMPORTRANGE(""https://docs.google.com/spreadsheets/d/1swGwZOEqYlTEUCJLY-eeJM1911Kvaei5oySBIxdgtNo/edit?pli=1#gid=257618397"",""stock FAKTUR!B:q""),16,false)"),"BOX")</f>
        <v>BOX</v>
      </c>
      <c r="M424" s="155">
        <f>85800/2</f>
        <v>42900</v>
      </c>
      <c r="N424" s="182"/>
      <c r="O424" s="155">
        <f t="shared" si="94"/>
        <v>1029600</v>
      </c>
      <c r="P424" s="155" t="str">
        <f t="shared" si="3"/>
        <v>Rp42,900-24 BOX-0.00%</v>
      </c>
      <c r="Q424" s="157">
        <v>45418.0</v>
      </c>
      <c r="R424" s="158"/>
      <c r="S424" s="157">
        <v>45419.0</v>
      </c>
      <c r="T424" s="145" t="s">
        <v>4530</v>
      </c>
      <c r="U424" s="145" t="s">
        <v>4638</v>
      </c>
      <c r="V424" s="145"/>
      <c r="W424" s="159"/>
    </row>
    <row r="425">
      <c r="A425" s="142">
        <v>4716.0</v>
      </c>
      <c r="B425" s="143" t="s">
        <v>33</v>
      </c>
      <c r="C425" s="143" t="s">
        <v>2689</v>
      </c>
      <c r="D425" s="145" t="s">
        <v>24</v>
      </c>
      <c r="E425" s="145" t="str">
        <f>IFERROR(__xludf.DUMMYFUNCTION("vlookup(D425,IMPORTRANGE(""https://docs.google.com/spreadsheets/d/1swGwZOEqYlTEUCJLY-eeJM1911Kvaei5oySBIxdgtNo/edit?pli=1#gid=257618397"",""stock FAKTUR!B:C""),2,false)"),"KARTU STOCK KWARTO PINK")</f>
        <v>KARTU STOCK KWARTO PINK</v>
      </c>
      <c r="F425" s="53" t="str">
        <f>IFERROR(__xludf.DUMMYFUNCTION("vlookup($D425,IMPORTRANGE(""https://docs.google.com/spreadsheets/d/1swGwZOEqYlTEUCJLY-eeJM1911Kvaei5oySBIxdgtNo/edit?pli=1#gid=257618397"",""stock FAKTUR!B:d""),3,false)"),"A4")</f>
        <v>A4</v>
      </c>
      <c r="G425" s="53" t="str">
        <f>IFERROR(__xludf.DUMMYFUNCTION("vlookup($D425,IMPORTRANGE(""https://docs.google.com/spreadsheets/d/1swGwZOEqYlTEUCJLY-eeJM1911Kvaei5oySBIxdgtNo/edit?pli=1#gid=257618397"",""stock FAKTUR!B:e""),4,false)"),"PINK")</f>
        <v>PINK</v>
      </c>
      <c r="H425" s="53" t="str">
        <f>IFERROR(__xludf.DUMMYFUNCTION("vlookup($D425,IMPORTRANGE(""https://docs.google.com/spreadsheets/d/1swGwZOEqYlTEUCJLY-eeJM1911Kvaei5oySBIxdgtNo/edit?pli=1#gid=257618397"",""stock FAKTUR!B:F""),5,false)"),"NB")</f>
        <v>NB</v>
      </c>
      <c r="I425" s="53" t="str">
        <f>IFERROR(__xludf.DUMMYFUNCTION("vlookup($D425,IMPORTRANGE(""https://docs.google.com/spreadsheets/d/1swGwZOEqYlTEUCJLY-eeJM1911Kvaei5oySBIxdgtNo/edit?pli=1#gid=257618397"",""stock FAKTUR!B:G""),6,false)"),"")</f>
        <v/>
      </c>
      <c r="J425" s="120" t="str">
        <f t="shared" si="25"/>
        <v>ADA</v>
      </c>
      <c r="K425" s="142">
        <v>1.0</v>
      </c>
      <c r="L425" s="145" t="str">
        <f>IFERROR(__xludf.DUMMYFUNCTION("vlookup($D425,IMPORTRANGE(""https://docs.google.com/spreadsheets/d/1swGwZOEqYlTEUCJLY-eeJM1911Kvaei5oySBIxdgtNo/edit?pli=1#gid=257618397"",""stock FAKTUR!B:q""),16,false)"),"PAK")</f>
        <v>PAK</v>
      </c>
      <c r="M425" s="147">
        <v>24000.0</v>
      </c>
      <c r="N425" s="148"/>
      <c r="O425" s="147">
        <f t="shared" si="94"/>
        <v>24000</v>
      </c>
      <c r="P425" s="147" t="str">
        <f t="shared" si="3"/>
        <v>Rp24,000-1 PAK-0.00%</v>
      </c>
      <c r="Q425" s="149">
        <v>45418.0</v>
      </c>
      <c r="R425" s="150"/>
      <c r="S425" s="149">
        <v>45419.0</v>
      </c>
      <c r="T425" s="151"/>
      <c r="U425" s="151"/>
      <c r="V425" s="151"/>
      <c r="W425" s="151"/>
    </row>
    <row r="426">
      <c r="A426" s="142">
        <v>4716.0</v>
      </c>
      <c r="B426" s="143" t="str">
        <f t="shared" ref="B426:B428" si="125">IF(A426=A425,B425,"")</f>
        <v>H</v>
      </c>
      <c r="C426" s="143" t="str">
        <f t="shared" ref="C426:C428" si="126">IF(A426=A425,C425,"")</f>
        <v>PROGO-YOGYA</v>
      </c>
      <c r="D426" s="145" t="s">
        <v>4407</v>
      </c>
      <c r="E426" s="145" t="str">
        <f>IFERROR(__xludf.DUMMYFUNCTION("vlookup(D426,IMPORTRANGE(""https://docs.google.com/spreadsheets/d/1swGwZOEqYlTEUCJLY-eeJM1911Kvaei5oySBIxdgtNo/edit?pli=1#gid=257618397"",""stock FAKTUR!B:C""),2,false)"),"KARTU STOCK KWARTO HIJAU")</f>
        <v>KARTU STOCK KWARTO HIJAU</v>
      </c>
      <c r="F426" s="53" t="str">
        <f>IFERROR(__xludf.DUMMYFUNCTION("vlookup($D426,IMPORTRANGE(""https://docs.google.com/spreadsheets/d/1swGwZOEqYlTEUCJLY-eeJM1911Kvaei5oySBIxdgtNo/edit?pli=1#gid=257618397"",""stock FAKTUR!B:d""),3,false)"),"A4")</f>
        <v>A4</v>
      </c>
      <c r="G426" s="53" t="str">
        <f>IFERROR(__xludf.DUMMYFUNCTION("vlookup($D426,IMPORTRANGE(""https://docs.google.com/spreadsheets/d/1swGwZOEqYlTEUCJLY-eeJM1911Kvaei5oySBIxdgtNo/edit?pli=1#gid=257618397"",""stock FAKTUR!B:e""),4,false)"),"HIJAU")</f>
        <v>HIJAU</v>
      </c>
      <c r="H426" s="53" t="str">
        <f>IFERROR(__xludf.DUMMYFUNCTION("vlookup($D426,IMPORTRANGE(""https://docs.google.com/spreadsheets/d/1swGwZOEqYlTEUCJLY-eeJM1911Kvaei5oySBIxdgtNo/edit?pli=1#gid=257618397"",""stock FAKTUR!B:F""),5,false)"),"NB")</f>
        <v>NB</v>
      </c>
      <c r="I426" s="53" t="str">
        <f>IFERROR(__xludf.DUMMYFUNCTION("vlookup($D426,IMPORTRANGE(""https://docs.google.com/spreadsheets/d/1swGwZOEqYlTEUCJLY-eeJM1911Kvaei5oySBIxdgtNo/edit?pli=1#gid=257618397"",""stock FAKTUR!B:G""),6,false)"),"")</f>
        <v/>
      </c>
      <c r="J426" s="120" t="str">
        <f t="shared" si="25"/>
        <v>ADA</v>
      </c>
      <c r="K426" s="142">
        <v>1.0</v>
      </c>
      <c r="L426" s="145" t="str">
        <f>IFERROR(__xludf.DUMMYFUNCTION("vlookup($D426,IMPORTRANGE(""https://docs.google.com/spreadsheets/d/1swGwZOEqYlTEUCJLY-eeJM1911Kvaei5oySBIxdgtNo/edit?pli=1#gid=257618397"",""stock FAKTUR!B:q""),16,false)"),"PAK")</f>
        <v>PAK</v>
      </c>
      <c r="M426" s="147">
        <v>24000.0</v>
      </c>
      <c r="N426" s="148"/>
      <c r="O426" s="147">
        <f t="shared" si="94"/>
        <v>24000</v>
      </c>
      <c r="P426" s="147" t="str">
        <f t="shared" si="3"/>
        <v>Rp24,000-1 PAK-0.00%</v>
      </c>
      <c r="Q426" s="149">
        <v>45418.0</v>
      </c>
      <c r="R426" s="150"/>
      <c r="S426" s="149">
        <v>45419.0</v>
      </c>
      <c r="T426" s="151"/>
      <c r="U426" s="151"/>
      <c r="V426" s="151"/>
      <c r="W426" s="151"/>
    </row>
    <row r="427">
      <c r="A427" s="142">
        <v>4716.0</v>
      </c>
      <c r="B427" s="143" t="str">
        <f t="shared" si="125"/>
        <v>H</v>
      </c>
      <c r="C427" s="143" t="str">
        <f t="shared" si="126"/>
        <v>PROGO-YOGYA</v>
      </c>
      <c r="D427" s="145" t="s">
        <v>4408</v>
      </c>
      <c r="E427" s="145" t="str">
        <f>IFERROR(__xludf.DUMMYFUNCTION("vlookup(D427,IMPORTRANGE(""https://docs.google.com/spreadsheets/d/1swGwZOEqYlTEUCJLY-eeJM1911Kvaei5oySBIxdgtNo/edit?pli=1#gid=257618397"",""stock FAKTUR!B:C""),2,false)"),"KARTU STOCK KWARTO KUNING")</f>
        <v>KARTU STOCK KWARTO KUNING</v>
      </c>
      <c r="F427" s="53" t="str">
        <f>IFERROR(__xludf.DUMMYFUNCTION("vlookup($D427,IMPORTRANGE(""https://docs.google.com/spreadsheets/d/1swGwZOEqYlTEUCJLY-eeJM1911Kvaei5oySBIxdgtNo/edit?pli=1#gid=257618397"",""stock FAKTUR!B:d""),3,false)"),"A4")</f>
        <v>A4</v>
      </c>
      <c r="G427" s="53" t="str">
        <f>IFERROR(__xludf.DUMMYFUNCTION("vlookup($D427,IMPORTRANGE(""https://docs.google.com/spreadsheets/d/1swGwZOEqYlTEUCJLY-eeJM1911Kvaei5oySBIxdgtNo/edit?pli=1#gid=257618397"",""stock FAKTUR!B:e""),4,false)"),"KUNING")</f>
        <v>KUNING</v>
      </c>
      <c r="H427" s="53" t="str">
        <f>IFERROR(__xludf.DUMMYFUNCTION("vlookup($D427,IMPORTRANGE(""https://docs.google.com/spreadsheets/d/1swGwZOEqYlTEUCJLY-eeJM1911Kvaei5oySBIxdgtNo/edit?pli=1#gid=257618397"",""stock FAKTUR!B:F""),5,false)"),"NB")</f>
        <v>NB</v>
      </c>
      <c r="I427" s="53" t="str">
        <f>IFERROR(__xludf.DUMMYFUNCTION("vlookup($D427,IMPORTRANGE(""https://docs.google.com/spreadsheets/d/1swGwZOEqYlTEUCJLY-eeJM1911Kvaei5oySBIxdgtNo/edit?pli=1#gid=257618397"",""stock FAKTUR!B:G""),6,false)"),"")</f>
        <v/>
      </c>
      <c r="J427" s="120" t="str">
        <f t="shared" si="25"/>
        <v>ADA</v>
      </c>
      <c r="K427" s="142">
        <v>2.0</v>
      </c>
      <c r="L427" s="145" t="str">
        <f>IFERROR(__xludf.DUMMYFUNCTION("vlookup($D427,IMPORTRANGE(""https://docs.google.com/spreadsheets/d/1swGwZOEqYlTEUCJLY-eeJM1911Kvaei5oySBIxdgtNo/edit?pli=1#gid=257618397"",""stock FAKTUR!B:q""),16,false)"),"PAK")</f>
        <v>PAK</v>
      </c>
      <c r="M427" s="147">
        <v>24000.0</v>
      </c>
      <c r="N427" s="148"/>
      <c r="O427" s="147">
        <f t="shared" si="94"/>
        <v>48000</v>
      </c>
      <c r="P427" s="147" t="str">
        <f t="shared" si="3"/>
        <v>Rp24,000-2 PAK-0.00%</v>
      </c>
      <c r="Q427" s="149">
        <v>45418.0</v>
      </c>
      <c r="R427" s="150"/>
      <c r="S427" s="149">
        <v>45419.0</v>
      </c>
      <c r="T427" s="151"/>
      <c r="U427" s="151"/>
      <c r="V427" s="151"/>
      <c r="W427" s="151"/>
    </row>
    <row r="428">
      <c r="A428" s="142">
        <v>4716.0</v>
      </c>
      <c r="B428" s="143" t="str">
        <f t="shared" si="125"/>
        <v>H</v>
      </c>
      <c r="C428" s="143" t="str">
        <f t="shared" si="126"/>
        <v>PROGO-YOGYA</v>
      </c>
      <c r="D428" s="145" t="s">
        <v>4409</v>
      </c>
      <c r="E428" s="145" t="str">
        <f>IFERROR(__xludf.DUMMYFUNCTION("vlookup(D428,IMPORTRANGE(""https://docs.google.com/spreadsheets/d/1swGwZOEqYlTEUCJLY-eeJM1911Kvaei5oySBIxdgtNo/edit?pli=1#gid=257618397"",""stock FAKTUR!B:C""),2,false)"),"KARTU STOCK KWARTO PUTIH")</f>
        <v>KARTU STOCK KWARTO PUTIH</v>
      </c>
      <c r="F428" s="53" t="str">
        <f>IFERROR(__xludf.DUMMYFUNCTION("vlookup($D428,IMPORTRANGE(""https://docs.google.com/spreadsheets/d/1swGwZOEqYlTEUCJLY-eeJM1911Kvaei5oySBIxdgtNo/edit?pli=1#gid=257618397"",""stock FAKTUR!B:d""),3,false)"),"A4")</f>
        <v>A4</v>
      </c>
      <c r="G428" s="53" t="str">
        <f>IFERROR(__xludf.DUMMYFUNCTION("vlookup($D428,IMPORTRANGE(""https://docs.google.com/spreadsheets/d/1swGwZOEqYlTEUCJLY-eeJM1911Kvaei5oySBIxdgtNo/edit?pli=1#gid=257618397"",""stock FAKTUR!B:e""),4,false)"),"PUTIH")</f>
        <v>PUTIH</v>
      </c>
      <c r="H428" s="53" t="str">
        <f>IFERROR(__xludf.DUMMYFUNCTION("vlookup($D428,IMPORTRANGE(""https://docs.google.com/spreadsheets/d/1swGwZOEqYlTEUCJLY-eeJM1911Kvaei5oySBIxdgtNo/edit?pli=1#gid=257618397"",""stock FAKTUR!B:F""),5,false)"),"NB")</f>
        <v>NB</v>
      </c>
      <c r="I428" s="53" t="str">
        <f>IFERROR(__xludf.DUMMYFUNCTION("vlookup($D428,IMPORTRANGE(""https://docs.google.com/spreadsheets/d/1swGwZOEqYlTEUCJLY-eeJM1911Kvaei5oySBIxdgtNo/edit?pli=1#gid=257618397"",""stock FAKTUR!B:G""),6,false)"),"")</f>
        <v/>
      </c>
      <c r="J428" s="120" t="str">
        <f t="shared" si="25"/>
        <v>ADA</v>
      </c>
      <c r="K428" s="142">
        <v>2.0</v>
      </c>
      <c r="L428" s="145" t="str">
        <f>IFERROR(__xludf.DUMMYFUNCTION("vlookup($D428,IMPORTRANGE(""https://docs.google.com/spreadsheets/d/1swGwZOEqYlTEUCJLY-eeJM1911Kvaei5oySBIxdgtNo/edit?pli=1#gid=257618397"",""stock FAKTUR!B:q""),16,false)"),"PAK")</f>
        <v>PAK</v>
      </c>
      <c r="M428" s="147">
        <v>24000.0</v>
      </c>
      <c r="N428" s="148"/>
      <c r="O428" s="147">
        <f t="shared" si="94"/>
        <v>48000</v>
      </c>
      <c r="P428" s="147" t="str">
        <f t="shared" si="3"/>
        <v>Rp24,000-2 PAK-0.00%</v>
      </c>
      <c r="Q428" s="149">
        <v>45418.0</v>
      </c>
      <c r="R428" s="150"/>
      <c r="S428" s="149">
        <v>45419.0</v>
      </c>
      <c r="T428" s="151"/>
      <c r="U428" s="151"/>
      <c r="V428" s="151"/>
      <c r="W428" s="151"/>
    </row>
    <row r="429">
      <c r="A429" s="142">
        <v>4717.0</v>
      </c>
      <c r="B429" s="143" t="s">
        <v>33</v>
      </c>
      <c r="C429" s="143" t="s">
        <v>2803</v>
      </c>
      <c r="D429" s="145" t="s">
        <v>35</v>
      </c>
      <c r="E429" s="145" t="str">
        <f>IFERROR(__xludf.DUMMYFUNCTION("vlookup(D429,IMPORTRANGE(""https://docs.google.com/spreadsheets/d/1swGwZOEqYlTEUCJLY-eeJM1911Kvaei5oySBIxdgtNo/edit?pli=1#gid=257618397"",""stock FAKTUR!B:C""),2,false)"),"BP TZ 501 HITAM")</f>
        <v>BP TZ 501 HITAM</v>
      </c>
      <c r="F429" s="53" t="str">
        <f>IFERROR(__xludf.DUMMYFUNCTION("vlookup($D429,IMPORTRANGE(""https://docs.google.com/spreadsheets/d/1swGwZOEqYlTEUCJLY-eeJM1911Kvaei5oySBIxdgtNo/edit?pli=1#gid=257618397"",""stock FAKTUR!B:d""),3,false)"),"")</f>
        <v/>
      </c>
      <c r="G429" s="53" t="str">
        <f>IFERROR(__xludf.DUMMYFUNCTION("vlookup($D429,IMPORTRANGE(""https://docs.google.com/spreadsheets/d/1swGwZOEqYlTEUCJLY-eeJM1911Kvaei5oySBIxdgtNo/edit?pli=1#gid=257618397"",""stock FAKTUR!B:e""),4,false)"),"")</f>
        <v/>
      </c>
      <c r="H429" s="53" t="str">
        <f>IFERROR(__xludf.DUMMYFUNCTION("vlookup($D429,IMPORTRANGE(""https://docs.google.com/spreadsheets/d/1swGwZOEqYlTEUCJLY-eeJM1911Kvaei5oySBIxdgtNo/edit?pli=1#gid=257618397"",""stock FAKTUR!B:F""),5,false)"),"TZ")</f>
        <v>TZ</v>
      </c>
      <c r="I429" s="53" t="str">
        <f>IFERROR(__xludf.DUMMYFUNCTION("vlookup($D429,IMPORTRANGE(""https://docs.google.com/spreadsheets/d/1swGwZOEqYlTEUCJLY-eeJM1911Kvaei5oySBIxdgtNo/edit?pli=1#gid=257618397"",""stock FAKTUR!B:G""),6,false)"),"")</f>
        <v/>
      </c>
      <c r="J429" s="120" t="str">
        <f t="shared" si="25"/>
        <v>ADA</v>
      </c>
      <c r="K429" s="142">
        <v>12.0</v>
      </c>
      <c r="L429" s="145" t="str">
        <f>IFERROR(__xludf.DUMMYFUNCTION("vlookup($D429,IMPORTRANGE(""https://docs.google.com/spreadsheets/d/1swGwZOEqYlTEUCJLY-eeJM1911Kvaei5oySBIxdgtNo/edit?pli=1#gid=257618397"",""stock FAKTUR!B:q""),16,false)"),"LSN")</f>
        <v>LSN</v>
      </c>
      <c r="M429" s="147">
        <v>26500.0</v>
      </c>
      <c r="N429" s="148"/>
      <c r="O429" s="147">
        <f t="shared" si="94"/>
        <v>318000</v>
      </c>
      <c r="P429" s="147" t="str">
        <f t="shared" si="3"/>
        <v>Rp26,500-12 LSN-0.00%</v>
      </c>
      <c r="Q429" s="149">
        <v>45418.0</v>
      </c>
      <c r="R429" s="150"/>
      <c r="S429" s="149">
        <v>45419.0</v>
      </c>
      <c r="T429" s="151"/>
      <c r="U429" s="151"/>
      <c r="V429" s="151"/>
      <c r="W429" s="151"/>
    </row>
    <row r="430">
      <c r="A430" s="142">
        <v>4717.0</v>
      </c>
      <c r="B430" s="143" t="str">
        <f t="shared" ref="B430:B434" si="127">IF(A430=A429,B429,"")</f>
        <v>H</v>
      </c>
      <c r="C430" s="143" t="str">
        <f t="shared" ref="C430:C434" si="128">IF(A430=A429,C429,"")</f>
        <v>PANTES-PURWOREJO</v>
      </c>
      <c r="D430" s="151" t="s">
        <v>4534</v>
      </c>
      <c r="E430" s="145" t="str">
        <f>IFERROR(__xludf.DUMMYFUNCTION("vlookup(D430,IMPORTRANGE(""https://docs.google.com/spreadsheets/d/1swGwZOEqYlTEUCJLY-eeJM1911Kvaei5oySBIxdgtNo/edit?pli=1#gid=257618397"",""stock FAKTUR!B:C""),2,false)"),"BP DEBOZZ DB G 05")</f>
        <v>BP DEBOZZ DB G 05</v>
      </c>
      <c r="F430" s="53" t="str">
        <f>IFERROR(__xludf.DUMMYFUNCTION("vlookup($D430,IMPORTRANGE(""https://docs.google.com/spreadsheets/d/1swGwZOEqYlTEUCJLY-eeJM1911Kvaei5oySBIxdgtNo/edit?pli=1#gid=257618397"",""stock FAKTUR!B:d""),3,false)"),"")</f>
        <v/>
      </c>
      <c r="G430" s="53" t="str">
        <f>IFERROR(__xludf.DUMMYFUNCTION("vlookup($D430,IMPORTRANGE(""https://docs.google.com/spreadsheets/d/1swGwZOEqYlTEUCJLY-eeJM1911Kvaei5oySBIxdgtNo/edit?pli=1#gid=257618397"",""stock FAKTUR!B:e""),4,false)"),"")</f>
        <v/>
      </c>
      <c r="H430" s="53" t="str">
        <f>IFERROR(__xludf.DUMMYFUNCTION("vlookup($D430,IMPORTRANGE(""https://docs.google.com/spreadsheets/d/1swGwZOEqYlTEUCJLY-eeJM1911Kvaei5oySBIxdgtNo/edit?pli=1#gid=257618397"",""stock FAKTUR!B:F""),5,false)"),"DB")</f>
        <v>DB</v>
      </c>
      <c r="I430" s="53" t="str">
        <f>IFERROR(__xludf.DUMMYFUNCTION("vlookup($D430,IMPORTRANGE(""https://docs.google.com/spreadsheets/d/1swGwZOEqYlTEUCJLY-eeJM1911Kvaei5oySBIxdgtNo/edit?pli=1#gid=257618397"",""stock FAKTUR!B:G""),6,false)"),"G-05")</f>
        <v>G-05</v>
      </c>
      <c r="J430" s="120" t="str">
        <f t="shared" si="25"/>
        <v>ADA</v>
      </c>
      <c r="K430" s="142">
        <v>3.0</v>
      </c>
      <c r="L430" s="145" t="str">
        <f>IFERROR(__xludf.DUMMYFUNCTION("vlookup($D430,IMPORTRANGE(""https://docs.google.com/spreadsheets/d/1swGwZOEqYlTEUCJLY-eeJM1911Kvaei5oySBIxdgtNo/edit?pli=1#gid=257618397"",""stock FAKTUR!B:q""),16,false)"),"LSN")</f>
        <v>LSN</v>
      </c>
      <c r="M430" s="147">
        <v>35000.0</v>
      </c>
      <c r="N430" s="148"/>
      <c r="O430" s="147">
        <f t="shared" si="94"/>
        <v>105000</v>
      </c>
      <c r="P430" s="147" t="str">
        <f t="shared" si="3"/>
        <v>Rp35,000-3 LSN-0.00%</v>
      </c>
      <c r="Q430" s="149">
        <v>45418.0</v>
      </c>
      <c r="R430" s="150"/>
      <c r="S430" s="149">
        <v>45419.0</v>
      </c>
      <c r="T430" s="151"/>
      <c r="U430" s="151"/>
      <c r="V430" s="151"/>
      <c r="W430" s="151"/>
    </row>
    <row r="431">
      <c r="A431" s="142">
        <v>4717.0</v>
      </c>
      <c r="B431" s="143" t="str">
        <f t="shared" si="127"/>
        <v>H</v>
      </c>
      <c r="C431" s="143" t="str">
        <f t="shared" si="128"/>
        <v>PANTES-PURWOREJO</v>
      </c>
      <c r="D431" s="145" t="s">
        <v>4555</v>
      </c>
      <c r="E431" s="145" t="str">
        <f>IFERROR(__xludf.DUMMYFUNCTION("vlookup(D431,IMPORTRANGE(""https://docs.google.com/spreadsheets/d/1swGwZOEqYlTEUCJLY-eeJM1911Kvaei5oySBIxdgtNo/edit?pli=1#gid=257618397"",""stock FAKTUR!B:C""),2,false)"),"MAP DLL-204 SA (A4)")</f>
        <v>MAP DLL-204 SA (A4)</v>
      </c>
      <c r="F431" s="53" t="str">
        <f>IFERROR(__xludf.DUMMYFUNCTION("vlookup($D431,IMPORTRANGE(""https://docs.google.com/spreadsheets/d/1swGwZOEqYlTEUCJLY-eeJM1911Kvaei5oySBIxdgtNo/edit?pli=1#gid=257618397"",""stock FAKTUR!B:d""),3,false)"),"")</f>
        <v/>
      </c>
      <c r="G431" s="53" t="str">
        <f>IFERROR(__xludf.DUMMYFUNCTION("vlookup($D431,IMPORTRANGE(""https://docs.google.com/spreadsheets/d/1swGwZOEqYlTEUCJLY-eeJM1911Kvaei5oySBIxdgtNo/edit?pli=1#gid=257618397"",""stock FAKTUR!B:e""),4,false)"),"")</f>
        <v/>
      </c>
      <c r="H431" s="53" t="str">
        <f>IFERROR(__xludf.DUMMYFUNCTION("vlookup($D431,IMPORTRANGE(""https://docs.google.com/spreadsheets/d/1swGwZOEqYlTEUCJLY-eeJM1911Kvaei5oySBIxdgtNo/edit?pli=1#gid=257618397"",""stock FAKTUR!B:F""),5,false)"),"NB")</f>
        <v>NB</v>
      </c>
      <c r="I431" s="53" t="str">
        <f>IFERROR(__xludf.DUMMYFUNCTION("vlookup($D431,IMPORTRANGE(""https://docs.google.com/spreadsheets/d/1swGwZOEqYlTEUCJLY-eeJM1911Kvaei5oySBIxdgtNo/edit?pli=1#gid=257618397"",""stock FAKTUR!B:G""),6,false)"),"DLL-204")</f>
        <v>DLL-204</v>
      </c>
      <c r="J431" s="120" t="str">
        <f t="shared" si="25"/>
        <v>ADA</v>
      </c>
      <c r="K431" s="142">
        <v>1.0</v>
      </c>
      <c r="L431" s="145" t="str">
        <f>IFERROR(__xludf.DUMMYFUNCTION("vlookup($D431,IMPORTRANGE(""https://docs.google.com/spreadsheets/d/1swGwZOEqYlTEUCJLY-eeJM1911Kvaei5oySBIxdgtNo/edit?pli=1#gid=257618397"",""stock FAKTUR!B:q""),16,false)"),"LSN")</f>
        <v>LSN</v>
      </c>
      <c r="M431" s="147">
        <v>65000.0</v>
      </c>
      <c r="N431" s="148"/>
      <c r="O431" s="147">
        <f t="shared" si="94"/>
        <v>65000</v>
      </c>
      <c r="P431" s="147" t="str">
        <f t="shared" si="3"/>
        <v>Rp65,000-1 LSN-0.00%</v>
      </c>
      <c r="Q431" s="149">
        <v>45418.0</v>
      </c>
      <c r="R431" s="150"/>
      <c r="S431" s="149">
        <v>45419.0</v>
      </c>
      <c r="T431" s="151"/>
      <c r="U431" s="151"/>
      <c r="V431" s="151"/>
      <c r="W431" s="151"/>
    </row>
    <row r="432">
      <c r="A432" s="142">
        <v>4717.0</v>
      </c>
      <c r="B432" s="143" t="str">
        <f t="shared" si="127"/>
        <v>H</v>
      </c>
      <c r="C432" s="143" t="str">
        <f t="shared" si="128"/>
        <v>PANTES-PURWOREJO</v>
      </c>
      <c r="D432" s="145" t="s">
        <v>4554</v>
      </c>
      <c r="E432" s="145" t="str">
        <f>IFERROR(__xludf.DUMMYFUNCTION("vlookup(D432,IMPORTRANGE(""https://docs.google.com/spreadsheets/d/1swGwZOEqYlTEUCJLY-eeJM1911Kvaei5oySBIxdgtNo/edit?pli=1#gid=257618397"",""stock FAKTUR!B:C""),2,false)"),"MAP DLL-229")</f>
        <v>MAP DLL-229</v>
      </c>
      <c r="F432" s="53" t="str">
        <f>IFERROR(__xludf.DUMMYFUNCTION("vlookup($D432,IMPORTRANGE(""https://docs.google.com/spreadsheets/d/1swGwZOEqYlTEUCJLY-eeJM1911Kvaei5oySBIxdgtNo/edit?pli=1#gid=257618397"",""stock FAKTUR!B:d""),3,false)"),"")</f>
        <v/>
      </c>
      <c r="G432" s="53" t="str">
        <f>IFERROR(__xludf.DUMMYFUNCTION("vlookup($D432,IMPORTRANGE(""https://docs.google.com/spreadsheets/d/1swGwZOEqYlTEUCJLY-eeJM1911Kvaei5oySBIxdgtNo/edit?pli=1#gid=257618397"",""stock FAKTUR!B:e""),4,false)"),"")</f>
        <v/>
      </c>
      <c r="H432" s="53" t="str">
        <f>IFERROR(__xludf.DUMMYFUNCTION("vlookup($D432,IMPORTRANGE(""https://docs.google.com/spreadsheets/d/1swGwZOEqYlTEUCJLY-eeJM1911Kvaei5oySBIxdgtNo/edit?pli=1#gid=257618397"",""stock FAKTUR!B:F""),5,false)"),"NB")</f>
        <v>NB</v>
      </c>
      <c r="I432" s="53" t="str">
        <f>IFERROR(__xludf.DUMMYFUNCTION("vlookup($D432,IMPORTRANGE(""https://docs.google.com/spreadsheets/d/1swGwZOEqYlTEUCJLY-eeJM1911Kvaei5oySBIxdgtNo/edit?pli=1#gid=257618397"",""stock FAKTUR!B:G""),6,false)"),"DLL-229")</f>
        <v>DLL-229</v>
      </c>
      <c r="J432" s="120" t="str">
        <f t="shared" si="25"/>
        <v>ADA</v>
      </c>
      <c r="K432" s="142">
        <v>1.0</v>
      </c>
      <c r="L432" s="145" t="str">
        <f>IFERROR(__xludf.DUMMYFUNCTION("vlookup($D432,IMPORTRANGE(""https://docs.google.com/spreadsheets/d/1swGwZOEqYlTEUCJLY-eeJM1911Kvaei5oySBIxdgtNo/edit?pli=1#gid=257618397"",""stock FAKTUR!B:q""),16,false)"),"LSN")</f>
        <v>LSN</v>
      </c>
      <c r="M432" s="147">
        <v>65000.0</v>
      </c>
      <c r="N432" s="148"/>
      <c r="O432" s="147">
        <f t="shared" si="94"/>
        <v>65000</v>
      </c>
      <c r="P432" s="147" t="str">
        <f t="shared" si="3"/>
        <v>Rp65,000-1 LSN-0.00%</v>
      </c>
      <c r="Q432" s="149">
        <v>45418.0</v>
      </c>
      <c r="R432" s="150"/>
      <c r="S432" s="149">
        <v>45419.0</v>
      </c>
      <c r="T432" s="151"/>
      <c r="U432" s="151"/>
      <c r="V432" s="151"/>
      <c r="W432" s="151"/>
    </row>
    <row r="433">
      <c r="A433" s="142">
        <v>4717.0</v>
      </c>
      <c r="B433" s="143" t="str">
        <f t="shared" si="127"/>
        <v>H</v>
      </c>
      <c r="C433" s="143" t="str">
        <f t="shared" si="128"/>
        <v>PANTES-PURWOREJO</v>
      </c>
      <c r="D433" s="171" t="s">
        <v>4497</v>
      </c>
      <c r="E433" s="145" t="str">
        <f>IFERROR(__xludf.DUMMYFUNCTION("vlookup(D433,IMPORTRANGE(""https://docs.google.com/spreadsheets/d/1swGwZOEqYlTEUCJLY-eeJM1911Kvaei5oySBIxdgtNo/edit?pli=1#gid=257618397"",""stock FAKTUR!B:C""),2,false)"),"MAP DOC BAG+HANDLE 2546 JARING A4")</f>
        <v>MAP DOC BAG+HANDLE 2546 JARING A4</v>
      </c>
      <c r="F433" s="53" t="str">
        <f>IFERROR(__xludf.DUMMYFUNCTION("vlookup($D433,IMPORTRANGE(""https://docs.google.com/spreadsheets/d/1swGwZOEqYlTEUCJLY-eeJM1911Kvaei5oySBIxdgtNo/edit?pli=1#gid=257618397"",""stock FAKTUR!B:d""),3,false)"),"A4")</f>
        <v>A4</v>
      </c>
      <c r="G433" s="53" t="str">
        <f>IFERROR(__xludf.DUMMYFUNCTION("vlookup($D433,IMPORTRANGE(""https://docs.google.com/spreadsheets/d/1swGwZOEqYlTEUCJLY-eeJM1911Kvaei5oySBIxdgtNo/edit?pli=1#gid=257618397"",""stock FAKTUR!B:e""),4,false)"),"")</f>
        <v/>
      </c>
      <c r="H433" s="53" t="str">
        <f>IFERROR(__xludf.DUMMYFUNCTION("vlookup($D433,IMPORTRANGE(""https://docs.google.com/spreadsheets/d/1swGwZOEqYlTEUCJLY-eeJM1911Kvaei5oySBIxdgtNo/edit?pli=1#gid=257618397"",""stock FAKTUR!B:F""),5,false)"),"CR")</f>
        <v>CR</v>
      </c>
      <c r="I433" s="53" t="str">
        <f>IFERROR(__xludf.DUMMYFUNCTION("vlookup($D433,IMPORTRANGE(""https://docs.google.com/spreadsheets/d/1swGwZOEqYlTEUCJLY-eeJM1911Kvaei5oySBIxdgtNo/edit?pli=1#gid=257618397"",""stock FAKTUR!B:G""),6,false)"),"2546")</f>
        <v>2546</v>
      </c>
      <c r="J433" s="120" t="str">
        <f t="shared" si="25"/>
        <v>ADA</v>
      </c>
      <c r="K433" s="142">
        <v>1.0</v>
      </c>
      <c r="L433" s="145" t="str">
        <f>IFERROR(__xludf.DUMMYFUNCTION("vlookup($D433,IMPORTRANGE(""https://docs.google.com/spreadsheets/d/1swGwZOEqYlTEUCJLY-eeJM1911Kvaei5oySBIxdgtNo/edit?pli=1#gid=257618397"",""stock FAKTUR!B:q""),16,false)"),"LSN")</f>
        <v>LSN</v>
      </c>
      <c r="M433" s="147">
        <v>150000.0</v>
      </c>
      <c r="N433" s="148"/>
      <c r="O433" s="147">
        <f t="shared" si="94"/>
        <v>150000</v>
      </c>
      <c r="P433" s="147" t="str">
        <f t="shared" si="3"/>
        <v>Rp150,000-1 LSN-0.00%</v>
      </c>
      <c r="Q433" s="149">
        <v>45418.0</v>
      </c>
      <c r="R433" s="150"/>
      <c r="S433" s="149">
        <v>45419.0</v>
      </c>
      <c r="T433" s="151"/>
      <c r="U433" s="151"/>
      <c r="V433" s="151"/>
      <c r="W433" s="151"/>
    </row>
    <row r="434">
      <c r="A434" s="142">
        <v>4717.0</v>
      </c>
      <c r="B434" s="143" t="str">
        <f t="shared" si="127"/>
        <v>H</v>
      </c>
      <c r="C434" s="143" t="str">
        <f t="shared" si="128"/>
        <v>PANTES-PURWOREJO</v>
      </c>
      <c r="D434" s="145" t="s">
        <v>4618</v>
      </c>
      <c r="E434" s="145" t="str">
        <f>IFERROR(__xludf.DUMMYFUNCTION("vlookup(D434,IMPORTRANGE(""https://docs.google.com/spreadsheets/d/1swGwZOEqYlTEUCJLY-eeJM1911Kvaei5oySBIxdgtNo/edit?pli=1#gid=257618397"",""stock FAKTUR!B:C""),2,false)"),"MIKA LAMINATING VANCO LF-100 FOLIO")</f>
        <v>MIKA LAMINATING VANCO LF-100 FOLIO</v>
      </c>
      <c r="F434" s="53" t="str">
        <f>IFERROR(__xludf.DUMMYFUNCTION("vlookup($D434,IMPORTRANGE(""https://docs.google.com/spreadsheets/d/1swGwZOEqYlTEUCJLY-eeJM1911Kvaei5oySBIxdgtNo/edit?pli=1#gid=257618397"",""stock FAKTUR!B:d""),3,false)"),"")</f>
        <v/>
      </c>
      <c r="G434" s="53" t="str">
        <f>IFERROR(__xludf.DUMMYFUNCTION("vlookup($D434,IMPORTRANGE(""https://docs.google.com/spreadsheets/d/1swGwZOEqYlTEUCJLY-eeJM1911Kvaei5oySBIxdgtNo/edit?pli=1#gid=257618397"",""stock FAKTUR!B:e""),4,false)"),"")</f>
        <v/>
      </c>
      <c r="H434" s="53" t="str">
        <f>IFERROR(__xludf.DUMMYFUNCTION("vlookup($D434,IMPORTRANGE(""https://docs.google.com/spreadsheets/d/1swGwZOEqYlTEUCJLY-eeJM1911Kvaei5oySBIxdgtNo/edit?pli=1#gid=257618397"",""stock FAKTUR!B:F""),5,false)"),"VN")</f>
        <v>VN</v>
      </c>
      <c r="I434" s="53" t="str">
        <f>IFERROR(__xludf.DUMMYFUNCTION("vlookup($D434,IMPORTRANGE(""https://docs.google.com/spreadsheets/d/1swGwZOEqYlTEUCJLY-eeJM1911Kvaei5oySBIxdgtNo/edit?pli=1#gid=257618397"",""stock FAKTUR!B:G""),6,false)"),"LF-100")</f>
        <v>LF-100</v>
      </c>
      <c r="J434" s="120" t="str">
        <f t="shared" si="25"/>
        <v>ADA</v>
      </c>
      <c r="K434" s="142">
        <v>3.0</v>
      </c>
      <c r="L434" s="145" t="str">
        <f>IFERROR(__xludf.DUMMYFUNCTION("vlookup($D434,IMPORTRANGE(""https://docs.google.com/spreadsheets/d/1swGwZOEqYlTEUCJLY-eeJM1911Kvaei5oySBIxdgtNo/edit?pli=1#gid=257618397"",""stock FAKTUR!B:q""),16,false)"),"PAK")</f>
        <v>PAK</v>
      </c>
      <c r="M434" s="147">
        <v>80000.0</v>
      </c>
      <c r="N434" s="148"/>
      <c r="O434" s="147">
        <f t="shared" si="94"/>
        <v>240000</v>
      </c>
      <c r="P434" s="147" t="str">
        <f t="shared" si="3"/>
        <v>Rp80,000-3 PAK-0.00%</v>
      </c>
      <c r="Q434" s="149">
        <v>45418.0</v>
      </c>
      <c r="R434" s="150"/>
      <c r="S434" s="149">
        <v>45419.0</v>
      </c>
      <c r="T434" s="151"/>
      <c r="U434" s="151"/>
      <c r="V434" s="151"/>
      <c r="W434" s="151"/>
    </row>
    <row r="435">
      <c r="A435" s="142">
        <v>2929.0</v>
      </c>
      <c r="B435" s="143" t="s">
        <v>33</v>
      </c>
      <c r="C435" s="143" t="s">
        <v>4499</v>
      </c>
      <c r="D435" s="145" t="s">
        <v>4606</v>
      </c>
      <c r="E435" s="145" t="str">
        <f>IFERROR(__xludf.DUMMYFUNCTION("vlookup(D435,IMPORTRANGE(""https://docs.google.com/spreadsheets/d/1swGwZOEqYlTEUCJLY-eeJM1911Kvaei5oySBIxdgtNo/edit?pli=1#gid=257618397"",""stock FAKTUR!B:C""),2,false)"),"GUNTING JK SC-848")</f>
        <v>GUNTING JK SC-848</v>
      </c>
      <c r="F435" s="53" t="str">
        <f>IFERROR(__xludf.DUMMYFUNCTION("vlookup($D435,IMPORTRANGE(""https://docs.google.com/spreadsheets/d/1swGwZOEqYlTEUCJLY-eeJM1911Kvaei5oySBIxdgtNo/edit?pli=1#gid=257618397"",""stock FAKTUR!B:d""),3,false)"),"")</f>
        <v/>
      </c>
      <c r="G435" s="53" t="str">
        <f>IFERROR(__xludf.DUMMYFUNCTION("vlookup($D435,IMPORTRANGE(""https://docs.google.com/spreadsheets/d/1swGwZOEqYlTEUCJLY-eeJM1911Kvaei5oySBIxdgtNo/edit?pli=1#gid=257618397"",""stock FAKTUR!B:e""),4,false)"),"")</f>
        <v/>
      </c>
      <c r="H435" s="53" t="str">
        <f>IFERROR(__xludf.DUMMYFUNCTION("vlookup($D435,IMPORTRANGE(""https://docs.google.com/spreadsheets/d/1swGwZOEqYlTEUCJLY-eeJM1911Kvaei5oySBIxdgtNo/edit?pli=1#gid=257618397"",""stock FAKTUR!B:F""),5,false)"),"JK")</f>
        <v>JK</v>
      </c>
      <c r="I435" s="53" t="str">
        <f>IFERROR(__xludf.DUMMYFUNCTION("vlookup($D435,IMPORTRANGE(""https://docs.google.com/spreadsheets/d/1swGwZOEqYlTEUCJLY-eeJM1911Kvaei5oySBIxdgtNo/edit?pli=1#gid=257618397"",""stock FAKTUR!B:G""),6,false)"),"SC-848")</f>
        <v>SC-848</v>
      </c>
      <c r="J435" s="120" t="str">
        <f t="shared" si="25"/>
        <v>ADA</v>
      </c>
      <c r="K435" s="142">
        <f t="shared" ref="K435:K436" si="129">144/12</f>
        <v>12</v>
      </c>
      <c r="L435" s="145" t="str">
        <f>IFERROR(__xludf.DUMMYFUNCTION("vlookup($D435,IMPORTRANGE(""https://docs.google.com/spreadsheets/d/1swGwZOEqYlTEUCJLY-eeJM1911Kvaei5oySBIxdgtNo/edit?pli=1#gid=257618397"",""stock FAKTUR!B:q""),16,false)"),"LSN")</f>
        <v>LSN</v>
      </c>
      <c r="M435" s="147">
        <f>9750*12</f>
        <v>117000</v>
      </c>
      <c r="N435" s="152">
        <v>0.125</v>
      </c>
      <c r="O435" s="147">
        <f t="shared" si="94"/>
        <v>1228500</v>
      </c>
      <c r="P435" s="147" t="str">
        <f t="shared" si="3"/>
        <v>Rp117,000-12 LSN-12.50%</v>
      </c>
      <c r="Q435" s="149">
        <v>45416.0</v>
      </c>
      <c r="R435" s="150"/>
      <c r="S435" s="149">
        <v>45420.0</v>
      </c>
      <c r="T435" s="151"/>
      <c r="U435" s="151"/>
      <c r="V435" s="151"/>
      <c r="W435" s="151"/>
    </row>
    <row r="436">
      <c r="A436" s="142">
        <v>2929.0</v>
      </c>
      <c r="B436" s="143" t="str">
        <f t="shared" ref="B436:B441" si="130">IF(A436=A435,B435,"")</f>
        <v>H</v>
      </c>
      <c r="C436" s="143" t="str">
        <f>IF(A436=A435,C435,"")</f>
        <v>SIANA(PECINAN)-MALANG</v>
      </c>
      <c r="D436" s="145" t="s">
        <v>4597</v>
      </c>
      <c r="E436" s="145" t="str">
        <f>IFERROR(__xludf.DUMMYFUNCTION("vlookup(D436,IMPORTRANGE(""https://docs.google.com/spreadsheets/d/1swGwZOEqYlTEUCJLY-eeJM1911Kvaei5oySBIxdgtNo/edit?pli=1#gid=257618397"",""stock FAKTUR!B:C""),2,false)"),"GUNTING JK SC-828")</f>
        <v>GUNTING JK SC-828</v>
      </c>
      <c r="F436" s="53" t="str">
        <f>IFERROR(__xludf.DUMMYFUNCTION("vlookup($D436,IMPORTRANGE(""https://docs.google.com/spreadsheets/d/1swGwZOEqYlTEUCJLY-eeJM1911Kvaei5oySBIxdgtNo/edit?pli=1#gid=257618397"",""stock FAKTUR!B:d""),3,false)"),"")</f>
        <v/>
      </c>
      <c r="G436" s="53" t="str">
        <f>IFERROR(__xludf.DUMMYFUNCTION("vlookup($D436,IMPORTRANGE(""https://docs.google.com/spreadsheets/d/1swGwZOEqYlTEUCJLY-eeJM1911Kvaei5oySBIxdgtNo/edit?pli=1#gid=257618397"",""stock FAKTUR!B:e""),4,false)"),"")</f>
        <v/>
      </c>
      <c r="H436" s="53" t="str">
        <f>IFERROR(__xludf.DUMMYFUNCTION("vlookup($D436,IMPORTRANGE(""https://docs.google.com/spreadsheets/d/1swGwZOEqYlTEUCJLY-eeJM1911Kvaei5oySBIxdgtNo/edit?pli=1#gid=257618397"",""stock FAKTUR!B:F""),5,false)"),"JK")</f>
        <v>JK</v>
      </c>
      <c r="I436" s="53" t="str">
        <f>IFERROR(__xludf.DUMMYFUNCTION("vlookup($D436,IMPORTRANGE(""https://docs.google.com/spreadsheets/d/1swGwZOEqYlTEUCJLY-eeJM1911Kvaei5oySBIxdgtNo/edit?pli=1#gid=257618397"",""stock FAKTUR!B:G""),6,false)"),"SC-828")</f>
        <v>SC-828</v>
      </c>
      <c r="J436" s="120" t="str">
        <f t="shared" si="25"/>
        <v>ADA</v>
      </c>
      <c r="K436" s="142">
        <f t="shared" si="129"/>
        <v>12</v>
      </c>
      <c r="L436" s="145" t="str">
        <f>IFERROR(__xludf.DUMMYFUNCTION("vlookup($D436,IMPORTRANGE(""https://docs.google.com/spreadsheets/d/1swGwZOEqYlTEUCJLY-eeJM1911Kvaei5oySBIxdgtNo/edit?pli=1#gid=257618397"",""stock FAKTUR!B:q""),16,false)"),"LSN")</f>
        <v>LSN</v>
      </c>
      <c r="M436" s="147">
        <f>4350*12</f>
        <v>52200</v>
      </c>
      <c r="N436" s="152">
        <v>0.125</v>
      </c>
      <c r="O436" s="147">
        <f t="shared" si="94"/>
        <v>548100</v>
      </c>
      <c r="P436" s="147" t="str">
        <f t="shared" si="3"/>
        <v>Rp52,200-12 LSN-12.50%</v>
      </c>
      <c r="Q436" s="149">
        <v>45416.0</v>
      </c>
      <c r="R436" s="150"/>
      <c r="S436" s="149">
        <v>45420.0</v>
      </c>
      <c r="T436" s="151"/>
      <c r="U436" s="151"/>
      <c r="V436" s="151"/>
      <c r="W436" s="151"/>
    </row>
    <row r="437">
      <c r="A437" s="142">
        <v>235.0</v>
      </c>
      <c r="B437" s="143" t="str">
        <f t="shared" si="130"/>
        <v/>
      </c>
      <c r="C437" s="143" t="s">
        <v>4518</v>
      </c>
      <c r="D437" s="145" t="s">
        <v>4639</v>
      </c>
      <c r="E437" s="145" t="str">
        <f>IFERROR(__xludf.DUMMYFUNCTION("vlookup(D437,IMPORTRANGE(""https://docs.google.com/spreadsheets/d/1swGwZOEqYlTEUCJLY-eeJM1911Kvaei5oySBIxdgtNo/edit?pli=1#gid=257618397"",""stock FAKTUR!B:C""),2,false)"),"CLIP TRIGONAL KENKO NO. 1")</f>
        <v>CLIP TRIGONAL KENKO NO. 1</v>
      </c>
      <c r="F437" s="53" t="str">
        <f>IFERROR(__xludf.DUMMYFUNCTION("vlookup($D437,IMPORTRANGE(""https://docs.google.com/spreadsheets/d/1swGwZOEqYlTEUCJLY-eeJM1911Kvaei5oySBIxdgtNo/edit?pli=1#gid=257618397"",""stock FAKTUR!B:d""),3,false)"),"")</f>
        <v/>
      </c>
      <c r="G437" s="53" t="str">
        <f>IFERROR(__xludf.DUMMYFUNCTION("vlookup($D437,IMPORTRANGE(""https://docs.google.com/spreadsheets/d/1swGwZOEqYlTEUCJLY-eeJM1911Kvaei5oySBIxdgtNo/edit?pli=1#gid=257618397"",""stock FAKTUR!B:e""),4,false)"),"")</f>
        <v/>
      </c>
      <c r="H437" s="53" t="str">
        <f>IFERROR(__xludf.DUMMYFUNCTION("vlookup($D437,IMPORTRANGE(""https://docs.google.com/spreadsheets/d/1swGwZOEqYlTEUCJLY-eeJM1911Kvaei5oySBIxdgtNo/edit?pli=1#gid=257618397"",""stock FAKTUR!B:F""),5,false)"),"KN")</f>
        <v>KN</v>
      </c>
      <c r="I437" s="53" t="str">
        <f>IFERROR(__xludf.DUMMYFUNCTION("vlookup($D437,IMPORTRANGE(""https://docs.google.com/spreadsheets/d/1swGwZOEqYlTEUCJLY-eeJM1911Kvaei5oySBIxdgtNo/edit?pli=1#gid=257618397"",""stock FAKTUR!B:G""),6,false)"),"CLP-001")</f>
        <v>CLP-001</v>
      </c>
      <c r="J437" s="120" t="str">
        <f t="shared" si="25"/>
        <v>ADA</v>
      </c>
      <c r="K437" s="142">
        <v>2.0</v>
      </c>
      <c r="L437" s="145" t="str">
        <f>IFERROR(__xludf.DUMMYFUNCTION("vlookup($D437,IMPORTRANGE(""https://docs.google.com/spreadsheets/d/1swGwZOEqYlTEUCJLY-eeJM1911Kvaei5oySBIxdgtNo/edit?pli=1#gid=257618397"",""stock FAKTUR!B:q""),16,false)"),"BOX")</f>
        <v>BOX</v>
      </c>
      <c r="M437" s="147">
        <v>17000.0</v>
      </c>
      <c r="N437" s="152">
        <v>0.15</v>
      </c>
      <c r="O437" s="147">
        <f t="shared" si="94"/>
        <v>28900</v>
      </c>
      <c r="P437" s="147" t="str">
        <f t="shared" si="3"/>
        <v>Rp17,000-2 BOX-15.00%</v>
      </c>
      <c r="Q437" s="149">
        <v>45418.0</v>
      </c>
      <c r="R437" s="150"/>
      <c r="S437" s="149">
        <v>45420.0</v>
      </c>
      <c r="T437" s="151"/>
      <c r="U437" s="151"/>
      <c r="V437" s="151"/>
      <c r="W437" s="151"/>
    </row>
    <row r="438">
      <c r="A438" s="142">
        <v>235.0</v>
      </c>
      <c r="B438" s="143" t="str">
        <f t="shared" si="130"/>
        <v/>
      </c>
      <c r="C438" s="143" t="str">
        <f t="shared" ref="C438:C441" si="131">IF(A438=A437,C437,"")</f>
        <v>SBM</v>
      </c>
      <c r="D438" s="145" t="s">
        <v>24</v>
      </c>
      <c r="E438" s="145" t="str">
        <f>IFERROR(__xludf.DUMMYFUNCTION("vlookup(D438,IMPORTRANGE(""https://docs.google.com/spreadsheets/d/1swGwZOEqYlTEUCJLY-eeJM1911Kvaei5oySBIxdgtNo/edit?pli=1#gid=257618397"",""stock FAKTUR!B:C""),2,false)"),"KARTU STOCK KWARTO PINK")</f>
        <v>KARTU STOCK KWARTO PINK</v>
      </c>
      <c r="F438" s="53" t="str">
        <f>IFERROR(__xludf.DUMMYFUNCTION("vlookup($D438,IMPORTRANGE(""https://docs.google.com/spreadsheets/d/1swGwZOEqYlTEUCJLY-eeJM1911Kvaei5oySBIxdgtNo/edit?pli=1#gid=257618397"",""stock FAKTUR!B:d""),3,false)"),"A4")</f>
        <v>A4</v>
      </c>
      <c r="G438" s="53" t="str">
        <f>IFERROR(__xludf.DUMMYFUNCTION("vlookup($D438,IMPORTRANGE(""https://docs.google.com/spreadsheets/d/1swGwZOEqYlTEUCJLY-eeJM1911Kvaei5oySBIxdgtNo/edit?pli=1#gid=257618397"",""stock FAKTUR!B:e""),4,false)"),"PINK")</f>
        <v>PINK</v>
      </c>
      <c r="H438" s="53" t="str">
        <f>IFERROR(__xludf.DUMMYFUNCTION("vlookup($D438,IMPORTRANGE(""https://docs.google.com/spreadsheets/d/1swGwZOEqYlTEUCJLY-eeJM1911Kvaei5oySBIxdgtNo/edit?pli=1#gid=257618397"",""stock FAKTUR!B:F""),5,false)"),"NB")</f>
        <v>NB</v>
      </c>
      <c r="I438" s="53" t="str">
        <f>IFERROR(__xludf.DUMMYFUNCTION("vlookup($D438,IMPORTRANGE(""https://docs.google.com/spreadsheets/d/1swGwZOEqYlTEUCJLY-eeJM1911Kvaei5oySBIxdgtNo/edit?pli=1#gid=257618397"",""stock FAKTUR!B:G""),6,false)"),"")</f>
        <v/>
      </c>
      <c r="J438" s="120" t="str">
        <f t="shared" si="25"/>
        <v>ADA</v>
      </c>
      <c r="K438" s="142">
        <v>1.0</v>
      </c>
      <c r="L438" s="145" t="str">
        <f>IFERROR(__xludf.DUMMYFUNCTION("vlookup($D438,IMPORTRANGE(""https://docs.google.com/spreadsheets/d/1swGwZOEqYlTEUCJLY-eeJM1911Kvaei5oySBIxdgtNo/edit?pli=1#gid=257618397"",""stock FAKTUR!B:q""),16,false)"),"PAK")</f>
        <v>PAK</v>
      </c>
      <c r="M438" s="147">
        <v>18500.0</v>
      </c>
      <c r="N438" s="148"/>
      <c r="O438" s="147">
        <f t="shared" si="94"/>
        <v>18500</v>
      </c>
      <c r="P438" s="147" t="str">
        <f t="shared" si="3"/>
        <v>Rp18,500-1 PAK-0.00%</v>
      </c>
      <c r="Q438" s="149">
        <v>45418.0</v>
      </c>
      <c r="R438" s="150"/>
      <c r="S438" s="149">
        <v>45420.0</v>
      </c>
      <c r="T438" s="151"/>
      <c r="U438" s="151"/>
      <c r="V438" s="151"/>
      <c r="W438" s="151"/>
    </row>
    <row r="439">
      <c r="A439" s="142">
        <v>235.0</v>
      </c>
      <c r="B439" s="143" t="str">
        <f t="shared" si="130"/>
        <v/>
      </c>
      <c r="C439" s="143" t="str">
        <f t="shared" si="131"/>
        <v>SBM</v>
      </c>
      <c r="D439" s="145" t="s">
        <v>4407</v>
      </c>
      <c r="E439" s="145" t="str">
        <f>IFERROR(__xludf.DUMMYFUNCTION("vlookup(D439,IMPORTRANGE(""https://docs.google.com/spreadsheets/d/1swGwZOEqYlTEUCJLY-eeJM1911Kvaei5oySBIxdgtNo/edit?pli=1#gid=257618397"",""stock FAKTUR!B:C""),2,false)"),"KARTU STOCK KWARTO HIJAU")</f>
        <v>KARTU STOCK KWARTO HIJAU</v>
      </c>
      <c r="F439" s="53" t="str">
        <f>IFERROR(__xludf.DUMMYFUNCTION("vlookup($D439,IMPORTRANGE(""https://docs.google.com/spreadsheets/d/1swGwZOEqYlTEUCJLY-eeJM1911Kvaei5oySBIxdgtNo/edit?pli=1#gid=257618397"",""stock FAKTUR!B:d""),3,false)"),"A4")</f>
        <v>A4</v>
      </c>
      <c r="G439" s="53" t="str">
        <f>IFERROR(__xludf.DUMMYFUNCTION("vlookup($D439,IMPORTRANGE(""https://docs.google.com/spreadsheets/d/1swGwZOEqYlTEUCJLY-eeJM1911Kvaei5oySBIxdgtNo/edit?pli=1#gid=257618397"",""stock FAKTUR!B:e""),4,false)"),"HIJAU")</f>
        <v>HIJAU</v>
      </c>
      <c r="H439" s="53" t="str">
        <f>IFERROR(__xludf.DUMMYFUNCTION("vlookup($D439,IMPORTRANGE(""https://docs.google.com/spreadsheets/d/1swGwZOEqYlTEUCJLY-eeJM1911Kvaei5oySBIxdgtNo/edit?pli=1#gid=257618397"",""stock FAKTUR!B:F""),5,false)"),"NB")</f>
        <v>NB</v>
      </c>
      <c r="I439" s="53" t="str">
        <f>IFERROR(__xludf.DUMMYFUNCTION("vlookup($D439,IMPORTRANGE(""https://docs.google.com/spreadsheets/d/1swGwZOEqYlTEUCJLY-eeJM1911Kvaei5oySBIxdgtNo/edit?pli=1#gid=257618397"",""stock FAKTUR!B:G""),6,false)"),"")</f>
        <v/>
      </c>
      <c r="J439" s="120" t="str">
        <f t="shared" si="25"/>
        <v>ADA</v>
      </c>
      <c r="K439" s="142">
        <v>1.0</v>
      </c>
      <c r="L439" s="145" t="str">
        <f>IFERROR(__xludf.DUMMYFUNCTION("vlookup($D439,IMPORTRANGE(""https://docs.google.com/spreadsheets/d/1swGwZOEqYlTEUCJLY-eeJM1911Kvaei5oySBIxdgtNo/edit?pli=1#gid=257618397"",""stock FAKTUR!B:q""),16,false)"),"PAK")</f>
        <v>PAK</v>
      </c>
      <c r="M439" s="147">
        <v>18500.0</v>
      </c>
      <c r="N439" s="148"/>
      <c r="O439" s="147">
        <f t="shared" si="94"/>
        <v>18500</v>
      </c>
      <c r="P439" s="147" t="str">
        <f t="shared" si="3"/>
        <v>Rp18,500-1 PAK-0.00%</v>
      </c>
      <c r="Q439" s="149">
        <v>45418.0</v>
      </c>
      <c r="R439" s="150"/>
      <c r="S439" s="149">
        <v>45420.0</v>
      </c>
      <c r="T439" s="151"/>
      <c r="U439" s="151"/>
      <c r="V439" s="151"/>
      <c r="W439" s="151"/>
    </row>
    <row r="440">
      <c r="A440" s="142">
        <v>235.0</v>
      </c>
      <c r="B440" s="143" t="str">
        <f t="shared" si="130"/>
        <v/>
      </c>
      <c r="C440" s="143" t="str">
        <f t="shared" si="131"/>
        <v>SBM</v>
      </c>
      <c r="D440" s="145" t="s">
        <v>4408</v>
      </c>
      <c r="E440" s="145" t="str">
        <f>IFERROR(__xludf.DUMMYFUNCTION("vlookup(D440,IMPORTRANGE(""https://docs.google.com/spreadsheets/d/1swGwZOEqYlTEUCJLY-eeJM1911Kvaei5oySBIxdgtNo/edit?pli=1#gid=257618397"",""stock FAKTUR!B:C""),2,false)"),"KARTU STOCK KWARTO KUNING")</f>
        <v>KARTU STOCK KWARTO KUNING</v>
      </c>
      <c r="F440" s="53" t="str">
        <f>IFERROR(__xludf.DUMMYFUNCTION("vlookup($D440,IMPORTRANGE(""https://docs.google.com/spreadsheets/d/1swGwZOEqYlTEUCJLY-eeJM1911Kvaei5oySBIxdgtNo/edit?pli=1#gid=257618397"",""stock FAKTUR!B:d""),3,false)"),"A4")</f>
        <v>A4</v>
      </c>
      <c r="G440" s="53" t="str">
        <f>IFERROR(__xludf.DUMMYFUNCTION("vlookup($D440,IMPORTRANGE(""https://docs.google.com/spreadsheets/d/1swGwZOEqYlTEUCJLY-eeJM1911Kvaei5oySBIxdgtNo/edit?pli=1#gid=257618397"",""stock FAKTUR!B:e""),4,false)"),"KUNING")</f>
        <v>KUNING</v>
      </c>
      <c r="H440" s="53" t="str">
        <f>IFERROR(__xludf.DUMMYFUNCTION("vlookup($D440,IMPORTRANGE(""https://docs.google.com/spreadsheets/d/1swGwZOEqYlTEUCJLY-eeJM1911Kvaei5oySBIxdgtNo/edit?pli=1#gid=257618397"",""stock FAKTUR!B:F""),5,false)"),"NB")</f>
        <v>NB</v>
      </c>
      <c r="I440" s="53" t="str">
        <f>IFERROR(__xludf.DUMMYFUNCTION("vlookup($D440,IMPORTRANGE(""https://docs.google.com/spreadsheets/d/1swGwZOEqYlTEUCJLY-eeJM1911Kvaei5oySBIxdgtNo/edit?pli=1#gid=257618397"",""stock FAKTUR!B:G""),6,false)"),"")</f>
        <v/>
      </c>
      <c r="J440" s="120" t="str">
        <f t="shared" si="25"/>
        <v>ADA</v>
      </c>
      <c r="K440" s="142">
        <v>2.0</v>
      </c>
      <c r="L440" s="145" t="str">
        <f>IFERROR(__xludf.DUMMYFUNCTION("vlookup($D440,IMPORTRANGE(""https://docs.google.com/spreadsheets/d/1swGwZOEqYlTEUCJLY-eeJM1911Kvaei5oySBIxdgtNo/edit?pli=1#gid=257618397"",""stock FAKTUR!B:q""),16,false)"),"PAK")</f>
        <v>PAK</v>
      </c>
      <c r="M440" s="147">
        <v>18500.0</v>
      </c>
      <c r="N440" s="148"/>
      <c r="O440" s="147">
        <f t="shared" si="94"/>
        <v>37000</v>
      </c>
      <c r="P440" s="147" t="str">
        <f t="shared" si="3"/>
        <v>Rp18,500-2 PAK-0.00%</v>
      </c>
      <c r="Q440" s="149">
        <v>45418.0</v>
      </c>
      <c r="R440" s="150"/>
      <c r="S440" s="149">
        <v>45420.0</v>
      </c>
      <c r="T440" s="151"/>
      <c r="U440" s="151"/>
      <c r="V440" s="151"/>
      <c r="W440" s="151"/>
    </row>
    <row r="441">
      <c r="A441" s="142">
        <v>235.0</v>
      </c>
      <c r="B441" s="143" t="str">
        <f t="shared" si="130"/>
        <v/>
      </c>
      <c r="C441" s="143" t="str">
        <f t="shared" si="131"/>
        <v>SBM</v>
      </c>
      <c r="D441" s="145" t="s">
        <v>4409</v>
      </c>
      <c r="E441" s="145" t="str">
        <f>IFERROR(__xludf.DUMMYFUNCTION("vlookup(D441,IMPORTRANGE(""https://docs.google.com/spreadsheets/d/1swGwZOEqYlTEUCJLY-eeJM1911Kvaei5oySBIxdgtNo/edit?pli=1#gid=257618397"",""stock FAKTUR!B:C""),2,false)"),"KARTU STOCK KWARTO PUTIH")</f>
        <v>KARTU STOCK KWARTO PUTIH</v>
      </c>
      <c r="F441" s="53" t="str">
        <f>IFERROR(__xludf.DUMMYFUNCTION("vlookup($D441,IMPORTRANGE(""https://docs.google.com/spreadsheets/d/1swGwZOEqYlTEUCJLY-eeJM1911Kvaei5oySBIxdgtNo/edit?pli=1#gid=257618397"",""stock FAKTUR!B:d""),3,false)"),"A4")</f>
        <v>A4</v>
      </c>
      <c r="G441" s="53" t="str">
        <f>IFERROR(__xludf.DUMMYFUNCTION("vlookup($D441,IMPORTRANGE(""https://docs.google.com/spreadsheets/d/1swGwZOEqYlTEUCJLY-eeJM1911Kvaei5oySBIxdgtNo/edit?pli=1#gid=257618397"",""stock FAKTUR!B:e""),4,false)"),"PUTIH")</f>
        <v>PUTIH</v>
      </c>
      <c r="H441" s="53" t="str">
        <f>IFERROR(__xludf.DUMMYFUNCTION("vlookup($D441,IMPORTRANGE(""https://docs.google.com/spreadsheets/d/1swGwZOEqYlTEUCJLY-eeJM1911Kvaei5oySBIxdgtNo/edit?pli=1#gid=257618397"",""stock FAKTUR!B:F""),5,false)"),"NB")</f>
        <v>NB</v>
      </c>
      <c r="I441" s="53" t="str">
        <f>IFERROR(__xludf.DUMMYFUNCTION("vlookup($D441,IMPORTRANGE(""https://docs.google.com/spreadsheets/d/1swGwZOEqYlTEUCJLY-eeJM1911Kvaei5oySBIxdgtNo/edit?pli=1#gid=257618397"",""stock FAKTUR!B:G""),6,false)"),"")</f>
        <v/>
      </c>
      <c r="J441" s="120" t="str">
        <f t="shared" si="25"/>
        <v>ADA</v>
      </c>
      <c r="K441" s="142">
        <v>5.0</v>
      </c>
      <c r="L441" s="145" t="str">
        <f>IFERROR(__xludf.DUMMYFUNCTION("vlookup($D441,IMPORTRANGE(""https://docs.google.com/spreadsheets/d/1swGwZOEqYlTEUCJLY-eeJM1911Kvaei5oySBIxdgtNo/edit?pli=1#gid=257618397"",""stock FAKTUR!B:q""),16,false)"),"PAK")</f>
        <v>PAK</v>
      </c>
      <c r="M441" s="147">
        <v>18500.0</v>
      </c>
      <c r="N441" s="148"/>
      <c r="O441" s="147">
        <f t="shared" si="94"/>
        <v>92500</v>
      </c>
      <c r="P441" s="147" t="str">
        <f t="shared" si="3"/>
        <v>Rp18,500-5 PAK-0.00%</v>
      </c>
      <c r="Q441" s="149">
        <v>45418.0</v>
      </c>
      <c r="R441" s="150"/>
      <c r="S441" s="149">
        <v>45420.0</v>
      </c>
      <c r="T441" s="151"/>
      <c r="U441" s="151"/>
      <c r="V441" s="151"/>
      <c r="W441" s="151"/>
    </row>
    <row r="442">
      <c r="A442" s="142">
        <v>4718.0</v>
      </c>
      <c r="B442" s="143" t="s">
        <v>33</v>
      </c>
      <c r="C442" s="143" t="s">
        <v>4640</v>
      </c>
      <c r="D442" s="145" t="s">
        <v>4641</v>
      </c>
      <c r="E442" s="145" t="str">
        <f>IFERROR(__xludf.DUMMYFUNCTION("vlookup(D442,IMPORTRANGE(""https://docs.google.com/spreadsheets/d/1swGwZOEqYlTEUCJLY-eeJM1911Kvaei5oySBIxdgtNo/edit?pli=1#gid=257618397"",""stock FAKTUR!B:C""),2,false)"),"TIPEX KENKO CT-1505 FC")</f>
        <v>TIPEX KENKO CT-1505 FC</v>
      </c>
      <c r="F442" s="53" t="str">
        <f>IFERROR(__xludf.DUMMYFUNCTION("vlookup($D442,IMPORTRANGE(""https://docs.google.com/spreadsheets/d/1swGwZOEqYlTEUCJLY-eeJM1911Kvaei5oySBIxdgtNo/edit?pli=1#gid=257618397"",""stock FAKTUR!B:d""),3,false)"),"")</f>
        <v/>
      </c>
      <c r="G442" s="53" t="str">
        <f>IFERROR(__xludf.DUMMYFUNCTION("vlookup($D442,IMPORTRANGE(""https://docs.google.com/spreadsheets/d/1swGwZOEqYlTEUCJLY-eeJM1911Kvaei5oySBIxdgtNo/edit?pli=1#gid=257618397"",""stock FAKTUR!B:e""),4,false)"),"")</f>
        <v/>
      </c>
      <c r="H442" s="53" t="str">
        <f>IFERROR(__xludf.DUMMYFUNCTION("vlookup($D442,IMPORTRANGE(""https://docs.google.com/spreadsheets/d/1swGwZOEqYlTEUCJLY-eeJM1911Kvaei5oySBIxdgtNo/edit?pli=1#gid=257618397"",""stock FAKTUR!B:F""),5,false)"),"KN")</f>
        <v>KN</v>
      </c>
      <c r="I442" s="53" t="str">
        <f>IFERROR(__xludf.DUMMYFUNCTION("vlookup($D442,IMPORTRANGE(""https://docs.google.com/spreadsheets/d/1swGwZOEqYlTEUCJLY-eeJM1911Kvaei5oySBIxdgtNo/edit?pli=1#gid=257618397"",""stock FAKTUR!B:G""),6,false)"),"CT-1505")</f>
        <v>CT-1505</v>
      </c>
      <c r="J442" s="120" t="str">
        <f t="shared" si="25"/>
        <v>ADA</v>
      </c>
      <c r="K442" s="142">
        <v>3.0</v>
      </c>
      <c r="L442" s="145" t="str">
        <f>IFERROR(__xludf.DUMMYFUNCTION("vlookup($D442,IMPORTRANGE(""https://docs.google.com/spreadsheets/d/1swGwZOEqYlTEUCJLY-eeJM1911Kvaei5oySBIxdgtNo/edit?pli=1#gid=257618397"",""stock FAKTUR!B:q""),16,false)"),"LSN")</f>
        <v>LSN</v>
      </c>
      <c r="M442" s="147">
        <v>69600.0</v>
      </c>
      <c r="N442" s="152">
        <v>0.1</v>
      </c>
      <c r="O442" s="147">
        <f t="shared" si="94"/>
        <v>187920</v>
      </c>
      <c r="P442" s="147" t="str">
        <f t="shared" si="3"/>
        <v>Rp69,600-3 LSN-10.00%</v>
      </c>
      <c r="Q442" s="149">
        <v>45418.0</v>
      </c>
      <c r="R442" s="150"/>
      <c r="S442" s="149">
        <v>45420.0</v>
      </c>
      <c r="T442" s="151"/>
      <c r="U442" s="151"/>
      <c r="V442" s="151"/>
      <c r="W442" s="151"/>
    </row>
    <row r="443">
      <c r="A443" s="142">
        <v>4718.0</v>
      </c>
      <c r="B443" s="143" t="str">
        <f t="shared" ref="B443:B452" si="132">IF(A443=A442,B442,"")</f>
        <v>H</v>
      </c>
      <c r="C443" s="143" t="str">
        <f t="shared" ref="C443:C452" si="133">IF(A443=A442,C442,"")</f>
        <v>MUDAJAYA-PURWOREJO</v>
      </c>
      <c r="D443" s="145" t="s">
        <v>4642</v>
      </c>
      <c r="E443" s="145" t="str">
        <f>IFERROR(__xludf.DUMMYFUNCTION("vlookup(D443,IMPORTRANGE(""https://docs.google.com/spreadsheets/d/1swGwZOEqYlTEUCJLY-eeJM1911Kvaei5oySBIxdgtNo/edit?pli=1#gid=257618397"",""stock FAKTUR!B:C""),2,false)"),"TIPEX KENKO CT-902 CL")</f>
        <v>TIPEX KENKO CT-902 CL</v>
      </c>
      <c r="F443" s="53" t="str">
        <f>IFERROR(__xludf.DUMMYFUNCTION("vlookup($D443,IMPORTRANGE(""https://docs.google.com/spreadsheets/d/1swGwZOEqYlTEUCJLY-eeJM1911Kvaei5oySBIxdgtNo/edit?pli=1#gid=257618397"",""stock FAKTUR!B:d""),3,false)"),"")</f>
        <v/>
      </c>
      <c r="G443" s="53" t="str">
        <f>IFERROR(__xludf.DUMMYFUNCTION("vlookup($D443,IMPORTRANGE(""https://docs.google.com/spreadsheets/d/1swGwZOEqYlTEUCJLY-eeJM1911Kvaei5oySBIxdgtNo/edit?pli=1#gid=257618397"",""stock FAKTUR!B:e""),4,false)"),"")</f>
        <v/>
      </c>
      <c r="H443" s="53" t="str">
        <f>IFERROR(__xludf.DUMMYFUNCTION("vlookup($D443,IMPORTRANGE(""https://docs.google.com/spreadsheets/d/1swGwZOEqYlTEUCJLY-eeJM1911Kvaei5oySBIxdgtNo/edit?pli=1#gid=257618397"",""stock FAKTUR!B:F""),5,false)"),"KN")</f>
        <v>KN</v>
      </c>
      <c r="I443" s="53" t="str">
        <f>IFERROR(__xludf.DUMMYFUNCTION("vlookup($D443,IMPORTRANGE(""https://docs.google.com/spreadsheets/d/1swGwZOEqYlTEUCJLY-eeJM1911Kvaei5oySBIxdgtNo/edit?pli=1#gid=257618397"",""stock FAKTUR!B:G""),6,false)"),"CT-902")</f>
        <v>CT-902</v>
      </c>
      <c r="J443" s="120" t="str">
        <f t="shared" si="25"/>
        <v>ADA</v>
      </c>
      <c r="K443" s="142">
        <v>3.0</v>
      </c>
      <c r="L443" s="145" t="str">
        <f>IFERROR(__xludf.DUMMYFUNCTION("vlookup($D443,IMPORTRANGE(""https://docs.google.com/spreadsheets/d/1swGwZOEqYlTEUCJLY-eeJM1911Kvaei5oySBIxdgtNo/edit?pli=1#gid=257618397"",""stock FAKTUR!B:q""),16,false)"),"LSN")</f>
        <v>LSN</v>
      </c>
      <c r="M443" s="147">
        <v>54000.0</v>
      </c>
      <c r="N443" s="152">
        <v>0.1</v>
      </c>
      <c r="O443" s="147">
        <f t="shared" si="94"/>
        <v>145800</v>
      </c>
      <c r="P443" s="147" t="str">
        <f t="shared" si="3"/>
        <v>Rp54,000-3 LSN-10.00%</v>
      </c>
      <c r="Q443" s="149">
        <v>45418.0</v>
      </c>
      <c r="R443" s="150"/>
      <c r="S443" s="149">
        <v>45420.0</v>
      </c>
      <c r="T443" s="151"/>
      <c r="U443" s="151"/>
      <c r="V443" s="151"/>
      <c r="W443" s="151"/>
    </row>
    <row r="444">
      <c r="A444" s="142">
        <v>4718.0</v>
      </c>
      <c r="B444" s="143" t="str">
        <f t="shared" si="132"/>
        <v>H</v>
      </c>
      <c r="C444" s="143" t="str">
        <f t="shared" si="133"/>
        <v>MUDAJAYA-PURWOREJO</v>
      </c>
      <c r="D444" s="190" t="s">
        <v>4643</v>
      </c>
      <c r="E444" s="145" t="str">
        <f>IFERROR(__xludf.DUMMYFUNCTION("vlookup(D444,IMPORTRANGE(""https://docs.google.com/spreadsheets/d/1swGwZOEqYlTEUCJLY-eeJM1911Kvaei5oySBIxdgtNo/edit?pli=1#gid=257618397"",""stock FAKTUR!B:C""),2,false)"),"TIPEX KENKO CT-903")</f>
        <v>TIPEX KENKO CT-903</v>
      </c>
      <c r="F444" s="53" t="str">
        <f>IFERROR(__xludf.DUMMYFUNCTION("vlookup($D444,IMPORTRANGE(""https://docs.google.com/spreadsheets/d/1swGwZOEqYlTEUCJLY-eeJM1911Kvaei5oySBIxdgtNo/edit?pli=1#gid=257618397"",""stock FAKTUR!B:d""),3,false)"),"")</f>
        <v/>
      </c>
      <c r="G444" s="53" t="str">
        <f>IFERROR(__xludf.DUMMYFUNCTION("vlookup($D444,IMPORTRANGE(""https://docs.google.com/spreadsheets/d/1swGwZOEqYlTEUCJLY-eeJM1911Kvaei5oySBIxdgtNo/edit?pli=1#gid=257618397"",""stock FAKTUR!B:e""),4,false)"),"")</f>
        <v/>
      </c>
      <c r="H444" s="53" t="str">
        <f>IFERROR(__xludf.DUMMYFUNCTION("vlookup($D444,IMPORTRANGE(""https://docs.google.com/spreadsheets/d/1swGwZOEqYlTEUCJLY-eeJM1911Kvaei5oySBIxdgtNo/edit?pli=1#gid=257618397"",""stock FAKTUR!B:F""),5,false)"),"KN")</f>
        <v>KN</v>
      </c>
      <c r="I444" s="53" t="str">
        <f>IFERROR(__xludf.DUMMYFUNCTION("vlookup($D444,IMPORTRANGE(""https://docs.google.com/spreadsheets/d/1swGwZOEqYlTEUCJLY-eeJM1911Kvaei5oySBIxdgtNo/edit?pli=1#gid=257618397"",""stock FAKTUR!B:G""),6,false)"),"CT-903")</f>
        <v>CT-903</v>
      </c>
      <c r="J444" s="120" t="str">
        <f t="shared" si="25"/>
        <v>ADA</v>
      </c>
      <c r="K444" s="142">
        <v>3.0</v>
      </c>
      <c r="L444" s="145" t="str">
        <f>IFERROR(__xludf.DUMMYFUNCTION("vlookup($D444,IMPORTRANGE(""https://docs.google.com/spreadsheets/d/1swGwZOEqYlTEUCJLY-eeJM1911Kvaei5oySBIxdgtNo/edit?pli=1#gid=257618397"",""stock FAKTUR!B:q""),16,false)"),"LSN")</f>
        <v>LSN</v>
      </c>
      <c r="M444" s="147">
        <v>63000.0</v>
      </c>
      <c r="N444" s="152">
        <v>0.1</v>
      </c>
      <c r="O444" s="147">
        <f t="shared" si="94"/>
        <v>170100</v>
      </c>
      <c r="P444" s="147" t="str">
        <f t="shared" si="3"/>
        <v>Rp63,000-3 LSN-10.00%</v>
      </c>
      <c r="Q444" s="149">
        <v>45418.0</v>
      </c>
      <c r="R444" s="150"/>
      <c r="S444" s="149">
        <v>45420.0</v>
      </c>
      <c r="T444" s="151"/>
      <c r="U444" s="151"/>
      <c r="V444" s="151"/>
      <c r="W444" s="151"/>
    </row>
    <row r="445">
      <c r="A445" s="142">
        <v>4718.0</v>
      </c>
      <c r="B445" s="143" t="str">
        <f t="shared" si="132"/>
        <v>H</v>
      </c>
      <c r="C445" s="143" t="str">
        <f t="shared" si="133"/>
        <v>MUDAJAYA-PURWOREJO</v>
      </c>
      <c r="D445" s="145" t="s">
        <v>4587</v>
      </c>
      <c r="E445" s="145" t="str">
        <f>IFERROR(__xludf.DUMMYFUNCTION("vlookup(D445,IMPORTRANGE(""https://docs.google.com/spreadsheets/d/1swGwZOEqYlTEUCJLY-eeJM1911Kvaei5oySBIxdgtNo/edit?pli=1#gid=257618397"",""stock FAKTUR!B:C""),2,false)"),"BP KENKO HI-TECH 0.28MM BIRU")</f>
        <v>BP KENKO HI-TECH 0.28MM BIRU</v>
      </c>
      <c r="F445" s="53" t="str">
        <f>IFERROR(__xludf.DUMMYFUNCTION("vlookup($D445,IMPORTRANGE(""https://docs.google.com/spreadsheets/d/1swGwZOEqYlTEUCJLY-eeJM1911Kvaei5oySBIxdgtNo/edit?pli=1#gid=257618397"",""stock FAKTUR!B:d""),3,false)"),"")</f>
        <v/>
      </c>
      <c r="G445" s="53" t="str">
        <f>IFERROR(__xludf.DUMMYFUNCTION("vlookup($D445,IMPORTRANGE(""https://docs.google.com/spreadsheets/d/1swGwZOEqYlTEUCJLY-eeJM1911Kvaei5oySBIxdgtNo/edit?pli=1#gid=257618397"",""stock FAKTUR!B:e""),4,false)"),"BIRU")</f>
        <v>BIRU</v>
      </c>
      <c r="H445" s="53" t="str">
        <f>IFERROR(__xludf.DUMMYFUNCTION("vlookup($D445,IMPORTRANGE(""https://docs.google.com/spreadsheets/d/1swGwZOEqYlTEUCJLY-eeJM1911Kvaei5oySBIxdgtNo/edit?pli=1#gid=257618397"",""stock FAKTUR!B:F""),5,false)"),"KN")</f>
        <v>KN</v>
      </c>
      <c r="I445" s="53" t="str">
        <f>IFERROR(__xludf.DUMMYFUNCTION("vlookup($D445,IMPORTRANGE(""https://docs.google.com/spreadsheets/d/1swGwZOEqYlTEUCJLY-eeJM1911Kvaei5oySBIxdgtNo/edit?pli=1#gid=257618397"",""stock FAKTUR!B:G""),6,false)"),"GPT-018BL")</f>
        <v>GPT-018BL</v>
      </c>
      <c r="J445" s="120" t="str">
        <f t="shared" si="25"/>
        <v>ADA</v>
      </c>
      <c r="K445" s="142">
        <v>24.0</v>
      </c>
      <c r="L445" s="145" t="str">
        <f>IFERROR(__xludf.DUMMYFUNCTION("vlookup($D445,IMPORTRANGE(""https://docs.google.com/spreadsheets/d/1swGwZOEqYlTEUCJLY-eeJM1911Kvaei5oySBIxdgtNo/edit?pli=1#gid=257618397"",""stock FAKTUR!B:q""),16,false)"),"LSN")</f>
        <v>LSN</v>
      </c>
      <c r="M445" s="147">
        <v>39000.0</v>
      </c>
      <c r="N445" s="152">
        <v>0.1</v>
      </c>
      <c r="O445" s="147">
        <f t="shared" si="94"/>
        <v>842400</v>
      </c>
      <c r="P445" s="147" t="str">
        <f t="shared" si="3"/>
        <v>Rp39,000-24 LSN-10.00%</v>
      </c>
      <c r="Q445" s="149">
        <v>45418.0</v>
      </c>
      <c r="R445" s="150"/>
      <c r="S445" s="149">
        <v>45420.0</v>
      </c>
      <c r="T445" s="151"/>
      <c r="U445" s="151"/>
      <c r="V445" s="151"/>
      <c r="W445" s="151"/>
    </row>
    <row r="446">
      <c r="A446" s="142">
        <v>4718.0</v>
      </c>
      <c r="B446" s="143" t="str">
        <f t="shared" si="132"/>
        <v>H</v>
      </c>
      <c r="C446" s="143" t="str">
        <f t="shared" si="133"/>
        <v>MUDAJAYA-PURWOREJO</v>
      </c>
      <c r="D446" s="145" t="s">
        <v>4387</v>
      </c>
      <c r="E446" s="145" t="str">
        <f>IFERROR(__xludf.DUMMYFUNCTION("vlookup(D446,IMPORTRANGE(""https://docs.google.com/spreadsheets/d/1swGwZOEqYlTEUCJLY-eeJM1911Kvaei5oySBIxdgtNo/edit?pli=1#gid=257618397"",""stock FAKTUR!B:C""),2,false)"),"BP KENKO HI-TECH 0.28MM HITAM")</f>
        <v>BP KENKO HI-TECH 0.28MM HITAM</v>
      </c>
      <c r="F446" s="53" t="str">
        <f>IFERROR(__xludf.DUMMYFUNCTION("vlookup($D446,IMPORTRANGE(""https://docs.google.com/spreadsheets/d/1swGwZOEqYlTEUCJLY-eeJM1911Kvaei5oySBIxdgtNo/edit?pli=1#gid=257618397"",""stock FAKTUR!B:d""),3,false)"),"")</f>
        <v/>
      </c>
      <c r="G446" s="53" t="str">
        <f>IFERROR(__xludf.DUMMYFUNCTION("vlookup($D446,IMPORTRANGE(""https://docs.google.com/spreadsheets/d/1swGwZOEqYlTEUCJLY-eeJM1911Kvaei5oySBIxdgtNo/edit?pli=1#gid=257618397"",""stock FAKTUR!B:e""),4,false)"),"HITAM")</f>
        <v>HITAM</v>
      </c>
      <c r="H446" s="53" t="str">
        <f>IFERROR(__xludf.DUMMYFUNCTION("vlookup($D446,IMPORTRANGE(""https://docs.google.com/spreadsheets/d/1swGwZOEqYlTEUCJLY-eeJM1911Kvaei5oySBIxdgtNo/edit?pli=1#gid=257618397"",""stock FAKTUR!B:F""),5,false)"),"KN")</f>
        <v>KN</v>
      </c>
      <c r="I446" s="53" t="str">
        <f>IFERROR(__xludf.DUMMYFUNCTION("vlookup($D446,IMPORTRANGE(""https://docs.google.com/spreadsheets/d/1swGwZOEqYlTEUCJLY-eeJM1911Kvaei5oySBIxdgtNo/edit?pli=1#gid=257618397"",""stock FAKTUR!B:G""),6,false)"),"GPT-018B")</f>
        <v>GPT-018B</v>
      </c>
      <c r="J446" s="120" t="str">
        <f t="shared" si="25"/>
        <v>ADA</v>
      </c>
      <c r="K446" s="142">
        <v>24.0</v>
      </c>
      <c r="L446" s="145" t="str">
        <f>IFERROR(__xludf.DUMMYFUNCTION("vlookup($D446,IMPORTRANGE(""https://docs.google.com/spreadsheets/d/1swGwZOEqYlTEUCJLY-eeJM1911Kvaei5oySBIxdgtNo/edit?pli=1#gid=257618397"",""stock FAKTUR!B:q""),16,false)"),"LSN")</f>
        <v>LSN</v>
      </c>
      <c r="M446" s="147">
        <v>39000.0</v>
      </c>
      <c r="N446" s="152">
        <v>0.1</v>
      </c>
      <c r="O446" s="147">
        <f t="shared" si="94"/>
        <v>842400</v>
      </c>
      <c r="P446" s="147" t="str">
        <f t="shared" si="3"/>
        <v>Rp39,000-24 LSN-10.00%</v>
      </c>
      <c r="Q446" s="149">
        <v>45418.0</v>
      </c>
      <c r="R446" s="150"/>
      <c r="S446" s="149">
        <v>45420.0</v>
      </c>
      <c r="T446" s="151"/>
      <c r="U446" s="151"/>
      <c r="V446" s="151"/>
      <c r="W446" s="151"/>
    </row>
    <row r="447">
      <c r="A447" s="142">
        <v>4718.0</v>
      </c>
      <c r="B447" s="143" t="str">
        <f t="shared" si="132"/>
        <v>H</v>
      </c>
      <c r="C447" s="143" t="str">
        <f t="shared" si="133"/>
        <v>MUDAJAYA-PURWOREJO</v>
      </c>
      <c r="D447" s="145" t="s">
        <v>4396</v>
      </c>
      <c r="E447" s="145" t="str">
        <f>IFERROR(__xludf.DUMMYFUNCTION("vlookup(D447,IMPORTRANGE(""https://docs.google.com/spreadsheets/d/1swGwZOEqYlTEUCJLY-eeJM1911Kvaei5oySBIxdgtNo/edit?pli=1#gid=257618397"",""stock FAKTUR!B:C""),2,false)"),"STAPLER KENKO HD-10")</f>
        <v>STAPLER KENKO HD-10</v>
      </c>
      <c r="F447" s="53" t="str">
        <f>IFERROR(__xludf.DUMMYFUNCTION("vlookup($D447,IMPORTRANGE(""https://docs.google.com/spreadsheets/d/1swGwZOEqYlTEUCJLY-eeJM1911Kvaei5oySBIxdgtNo/edit?pli=1#gid=257618397"",""stock FAKTUR!B:d""),3,false)"),"")</f>
        <v/>
      </c>
      <c r="G447" s="53" t="str">
        <f>IFERROR(__xludf.DUMMYFUNCTION("vlookup($D447,IMPORTRANGE(""https://docs.google.com/spreadsheets/d/1swGwZOEqYlTEUCJLY-eeJM1911Kvaei5oySBIxdgtNo/edit?pli=1#gid=257618397"",""stock FAKTUR!B:e""),4,false)"),"")</f>
        <v/>
      </c>
      <c r="H447" s="53" t="str">
        <f>IFERROR(__xludf.DUMMYFUNCTION("vlookup($D447,IMPORTRANGE(""https://docs.google.com/spreadsheets/d/1swGwZOEqYlTEUCJLY-eeJM1911Kvaei5oySBIxdgtNo/edit?pli=1#gid=257618397"",""stock FAKTUR!B:F""),5,false)"),"KN")</f>
        <v>KN</v>
      </c>
      <c r="I447" s="53" t="str">
        <f>IFERROR(__xludf.DUMMYFUNCTION("vlookup($D447,IMPORTRANGE(""https://docs.google.com/spreadsheets/d/1swGwZOEqYlTEUCJLY-eeJM1911Kvaei5oySBIxdgtNo/edit?pli=1#gid=257618397"",""stock FAKTUR!B:G""),6,false)"),"HD-10")</f>
        <v>HD-10</v>
      </c>
      <c r="J447" s="120" t="str">
        <f t="shared" si="25"/>
        <v>ADA</v>
      </c>
      <c r="K447" s="142">
        <v>3.0</v>
      </c>
      <c r="L447" s="145" t="str">
        <f>IFERROR(__xludf.DUMMYFUNCTION("vlookup($D447,IMPORTRANGE(""https://docs.google.com/spreadsheets/d/1swGwZOEqYlTEUCJLY-eeJM1911Kvaei5oySBIxdgtNo/edit?pli=1#gid=257618397"",""stock FAKTUR!B:q""),16,false)"),"LSN")</f>
        <v>LSN</v>
      </c>
      <c r="M447" s="147">
        <v>93000.0</v>
      </c>
      <c r="N447" s="152">
        <v>0.1</v>
      </c>
      <c r="O447" s="147">
        <f t="shared" si="94"/>
        <v>251100</v>
      </c>
      <c r="P447" s="147" t="str">
        <f t="shared" si="3"/>
        <v>Rp93,000-3 LSN-10.00%</v>
      </c>
      <c r="Q447" s="149">
        <v>45418.0</v>
      </c>
      <c r="R447" s="150"/>
      <c r="S447" s="149">
        <v>45420.0</v>
      </c>
      <c r="T447" s="151"/>
      <c r="U447" s="151"/>
      <c r="V447" s="151"/>
      <c r="W447" s="151"/>
    </row>
    <row r="448">
      <c r="A448" s="142">
        <v>4718.0</v>
      </c>
      <c r="B448" s="143" t="str">
        <f t="shared" si="132"/>
        <v>H</v>
      </c>
      <c r="C448" s="143" t="str">
        <f t="shared" si="133"/>
        <v>MUDAJAYA-PURWOREJO</v>
      </c>
      <c r="D448" s="145" t="s">
        <v>4644</v>
      </c>
      <c r="E448" s="145" t="str">
        <f>IFERROR(__xludf.DUMMYFUNCTION("vlookup(D448,IMPORTRANGE(""https://docs.google.com/spreadsheets/d/1swGwZOEqYlTEUCJLY-eeJM1911Kvaei5oySBIxdgtNo/edit?pli=1#gid=257618397"",""stock FAKTUR!B:C""),2,false)"),"MESIN LABEL HARGA KENKO MX-5500 EOS")</f>
        <v>MESIN LABEL HARGA KENKO MX-5500 EOS</v>
      </c>
      <c r="F448" s="53" t="str">
        <f>IFERROR(__xludf.DUMMYFUNCTION("vlookup($D448,IMPORTRANGE(""https://docs.google.com/spreadsheets/d/1swGwZOEqYlTEUCJLY-eeJM1911Kvaei5oySBIxdgtNo/edit?pli=1#gid=257618397"",""stock FAKTUR!B:d""),3,false)"),"")</f>
        <v/>
      </c>
      <c r="G448" s="53" t="str">
        <f>IFERROR(__xludf.DUMMYFUNCTION("vlookup($D448,IMPORTRANGE(""https://docs.google.com/spreadsheets/d/1swGwZOEqYlTEUCJLY-eeJM1911Kvaei5oySBIxdgtNo/edit?pli=1#gid=257618397"",""stock FAKTUR!B:e""),4,false)"),"")</f>
        <v/>
      </c>
      <c r="H448" s="53" t="str">
        <f>IFERROR(__xludf.DUMMYFUNCTION("vlookup($D448,IMPORTRANGE(""https://docs.google.com/spreadsheets/d/1swGwZOEqYlTEUCJLY-eeJM1911Kvaei5oySBIxdgtNo/edit?pli=1#gid=257618397"",""stock FAKTUR!B:F""),5,false)"),"KN")</f>
        <v>KN</v>
      </c>
      <c r="I448" s="53" t="str">
        <f>IFERROR(__xludf.DUMMYFUNCTION("vlookup($D448,IMPORTRANGE(""https://docs.google.com/spreadsheets/d/1swGwZOEqYlTEUCJLY-eeJM1911Kvaei5oySBIxdgtNo/edit?pli=1#gid=257618397"",""stock FAKTUR!B:G""),6,false)"),"MX-5500")</f>
        <v>MX-5500</v>
      </c>
      <c r="J448" s="120" t="str">
        <f t="shared" si="25"/>
        <v>ADA</v>
      </c>
      <c r="K448" s="142">
        <v>3.0</v>
      </c>
      <c r="L448" s="145" t="str">
        <f>IFERROR(__xludf.DUMMYFUNCTION("vlookup($D448,IMPORTRANGE(""https://docs.google.com/spreadsheets/d/1swGwZOEqYlTEUCJLY-eeJM1911Kvaei5oySBIxdgtNo/edit?pli=1#gid=257618397"",""stock FAKTUR!B:q""),16,false)"),"PCS")</f>
        <v>PCS</v>
      </c>
      <c r="M448" s="147">
        <v>55000.0</v>
      </c>
      <c r="N448" s="152">
        <v>0.1</v>
      </c>
      <c r="O448" s="147">
        <f t="shared" si="94"/>
        <v>148500</v>
      </c>
      <c r="P448" s="147" t="str">
        <f t="shared" si="3"/>
        <v>Rp55,000-3 PCS-10.00%</v>
      </c>
      <c r="Q448" s="149">
        <v>45418.0</v>
      </c>
      <c r="R448" s="150"/>
      <c r="S448" s="149">
        <v>45420.0</v>
      </c>
      <c r="T448" s="151"/>
      <c r="U448" s="151"/>
      <c r="V448" s="151"/>
      <c r="W448" s="151"/>
    </row>
    <row r="449">
      <c r="A449" s="142">
        <v>4718.0</v>
      </c>
      <c r="B449" s="143" t="str">
        <f t="shared" si="132"/>
        <v>H</v>
      </c>
      <c r="C449" s="143" t="str">
        <f t="shared" si="133"/>
        <v>MUDAJAYA-PURWOREJO</v>
      </c>
      <c r="D449" s="145" t="s">
        <v>4382</v>
      </c>
      <c r="E449" s="145" t="str">
        <f>IFERROR(__xludf.DUMMYFUNCTION("vlookup(D449,IMPORTRANGE(""https://docs.google.com/spreadsheets/d/1swGwZOEqYlTEUCJLY-eeJM1911Kvaei5oySBIxdgtNo/edit?pli=1#gid=257618397"",""stock FAKTUR!B:C""),2,false)"),"PENSIL 2B ZHONG HUA 6925 OVAL")</f>
        <v>PENSIL 2B ZHONG HUA 6925 OVAL</v>
      </c>
      <c r="F449" s="53" t="str">
        <f>IFERROR(__xludf.DUMMYFUNCTION("vlookup($D449,IMPORTRANGE(""https://docs.google.com/spreadsheets/d/1swGwZOEqYlTEUCJLY-eeJM1911Kvaei5oySBIxdgtNo/edit?pli=1#gid=257618397"",""stock FAKTUR!B:d""),3,false)"),"")</f>
        <v/>
      </c>
      <c r="G449" s="53" t="str">
        <f>IFERROR(__xludf.DUMMYFUNCTION("vlookup($D449,IMPORTRANGE(""https://docs.google.com/spreadsheets/d/1swGwZOEqYlTEUCJLY-eeJM1911Kvaei5oySBIxdgtNo/edit?pli=1#gid=257618397"",""stock FAKTUR!B:e""),4,false)"),"")</f>
        <v/>
      </c>
      <c r="H449" s="53" t="str">
        <f>IFERROR(__xludf.DUMMYFUNCTION("vlookup($D449,IMPORTRANGE(""https://docs.google.com/spreadsheets/d/1swGwZOEqYlTEUCJLY-eeJM1911Kvaei5oySBIxdgtNo/edit?pli=1#gid=257618397"",""stock FAKTUR!B:F""),5,false)"),"ZH")</f>
        <v>ZH</v>
      </c>
      <c r="I449" s="53" t="str">
        <f>IFERROR(__xludf.DUMMYFUNCTION("vlookup($D449,IMPORTRANGE(""https://docs.google.com/spreadsheets/d/1swGwZOEqYlTEUCJLY-eeJM1911Kvaei5oySBIxdgtNo/edit?pli=1#gid=257618397"",""stock FAKTUR!B:G""),6,false)"),"6925")</f>
        <v>6925</v>
      </c>
      <c r="J449" s="120" t="str">
        <f t="shared" si="25"/>
        <v>ADA</v>
      </c>
      <c r="K449" s="142">
        <v>4.0</v>
      </c>
      <c r="L449" s="145" t="str">
        <f>IFERROR(__xludf.DUMMYFUNCTION("vlookup($D449,IMPORTRANGE(""https://docs.google.com/spreadsheets/d/1swGwZOEqYlTEUCJLY-eeJM1911Kvaei5oySBIxdgtNo/edit?pli=1#gid=257618397"",""stock FAKTUR!B:q""),16,false)"),"BOX")</f>
        <v>BOX</v>
      </c>
      <c r="M449" s="147">
        <v>75000.0</v>
      </c>
      <c r="N449" s="148"/>
      <c r="O449" s="147">
        <f t="shared" si="94"/>
        <v>300000</v>
      </c>
      <c r="P449" s="147" t="str">
        <f t="shared" si="3"/>
        <v>Rp75,000-4 BOX-0.00%</v>
      </c>
      <c r="Q449" s="149">
        <v>45418.0</v>
      </c>
      <c r="R449" s="150"/>
      <c r="S449" s="149">
        <v>45420.0</v>
      </c>
      <c r="T449" s="151"/>
      <c r="U449" s="151"/>
      <c r="V449" s="151"/>
      <c r="W449" s="151"/>
    </row>
    <row r="450">
      <c r="A450" s="142">
        <v>4718.0</v>
      </c>
      <c r="B450" s="143" t="str">
        <f t="shared" si="132"/>
        <v>H</v>
      </c>
      <c r="C450" s="143" t="str">
        <f t="shared" si="133"/>
        <v>MUDAJAYA-PURWOREJO</v>
      </c>
      <c r="D450" s="145" t="s">
        <v>4402</v>
      </c>
      <c r="E450" s="145" t="str">
        <f>IFERROR(__xludf.DUMMYFUNCTION("vlookup(D450,IMPORTRANGE(""https://docs.google.com/spreadsheets/d/1swGwZOEqYlTEUCJLY-eeJM1911Kvaei5oySBIxdgtNo/edit?pli=1#gid=257618397"",""stock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450" s="53" t="str">
        <f>IFERROR(__xludf.DUMMYFUNCTION("vlookup($D450,IMPORTRANGE(""https://docs.google.com/spreadsheets/d/1swGwZOEqYlTEUCJLY-eeJM1911Kvaei5oySBIxdgtNo/edit?pli=1#gid=257618397"",""stock FAKTUR!B:d""),3,false)"),"")</f>
        <v/>
      </c>
      <c r="G450" s="53" t="str">
        <f>IFERROR(__xludf.DUMMYFUNCTION("vlookup($D450,IMPORTRANGE(""https://docs.google.com/spreadsheets/d/1swGwZOEqYlTEUCJLY-eeJM1911Kvaei5oySBIxdgtNo/edit?pli=1#gid=257618397"",""stock FAKTUR!B:e""),4,false)"),"55W")</f>
        <v>55W</v>
      </c>
      <c r="H450" s="53" t="str">
        <f>IFERROR(__xludf.DUMMYFUNCTION("vlookup($D450,IMPORTRANGE(""https://docs.google.com/spreadsheets/d/1swGwZOEqYlTEUCJLY-eeJM1911Kvaei5oySBIxdgtNo/edit?pli=1#gid=257618397"",""stock FAKTUR!B:F""),5,false)"),"JK")</f>
        <v>JK</v>
      </c>
      <c r="I450" s="53" t="str">
        <f>IFERROR(__xludf.DUMMYFUNCTION("vlookup($D450,IMPORTRANGE(""https://docs.google.com/spreadsheets/d/1swGwZOEqYlTEUCJLY-eeJM1911Kvaei5oySBIxdgtNo/edit?pli=1#gid=257618397"",""stock FAKTUR!B:G""),6,false)"),"")</f>
        <v/>
      </c>
      <c r="J450" s="120" t="str">
        <f t="shared" si="25"/>
        <v>ADA</v>
      </c>
      <c r="K450" s="142">
        <v>3.0</v>
      </c>
      <c r="L450" s="145" t="str">
        <f>IFERROR(__xludf.DUMMYFUNCTION("vlookup($D450,IMPORTRANGE(""https://docs.google.com/spreadsheets/d/1swGwZOEqYlTEUCJLY-eeJM1911Kvaei5oySBIxdgtNo/edit?pli=1#gid=257618397"",""stock FAKTUR!B:q""),16,false)"),"PCS")</f>
        <v>PCS</v>
      </c>
      <c r="M450" s="147">
        <v>68700.0</v>
      </c>
      <c r="N450" s="152">
        <v>0.1</v>
      </c>
      <c r="O450" s="147">
        <f t="shared" si="94"/>
        <v>185490</v>
      </c>
      <c r="P450" s="147" t="str">
        <f t="shared" si="3"/>
        <v>Rp68,700-3 PCS-10.00%</v>
      </c>
      <c r="Q450" s="149">
        <v>45418.0</v>
      </c>
      <c r="R450" s="150"/>
      <c r="S450" s="149">
        <v>45420.0</v>
      </c>
      <c r="T450" s="151"/>
      <c r="U450" s="151"/>
      <c r="V450" s="151"/>
      <c r="W450" s="151"/>
    </row>
    <row r="451">
      <c r="A451" s="142">
        <v>4718.0</v>
      </c>
      <c r="B451" s="143" t="str">
        <f t="shared" si="132"/>
        <v>H</v>
      </c>
      <c r="C451" s="143" t="str">
        <f t="shared" si="133"/>
        <v>MUDAJAYA-PURWOREJO</v>
      </c>
      <c r="D451" s="145" t="s">
        <v>4579</v>
      </c>
      <c r="E451" s="145" t="str">
        <f>IFERROR(__xludf.DUMMYFUNCTION("vlookup(D451,IMPORTRANGE(""https://docs.google.com/spreadsheets/d/1swGwZOEqYlTEUCJLY-eeJM1911Kvaei5oySBIxdgtNo/edit?pli=1#gid=257618397"",""stock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451" s="53" t="str">
        <f>IFERROR(__xludf.DUMMYFUNCTION("vlookup($D451,IMPORTRANGE(""https://docs.google.com/spreadsheets/d/1swGwZOEqYlTEUCJLY-eeJM1911Kvaei5oySBIxdgtNo/edit?pli=1#gid=257618397"",""stock FAKTUR!B:d""),3,false)"),"")</f>
        <v/>
      </c>
      <c r="G451" s="53" t="str">
        <f>IFERROR(__xludf.DUMMYFUNCTION("vlookup($D451,IMPORTRANGE(""https://docs.google.com/spreadsheets/d/1swGwZOEqYlTEUCJLY-eeJM1911Kvaei5oySBIxdgtNo/edit?pli=1#gid=257618397"",""stock FAKTUR!B:e""),4,false)"),"48W")</f>
        <v>48W</v>
      </c>
      <c r="H451" s="53" t="str">
        <f>IFERROR(__xludf.DUMMYFUNCTION("vlookup($D451,IMPORTRANGE(""https://docs.google.com/spreadsheets/d/1swGwZOEqYlTEUCJLY-eeJM1911Kvaei5oySBIxdgtNo/edit?pli=1#gid=257618397"",""stock FAKTUR!B:F""),5,false)"),"JK")</f>
        <v>JK</v>
      </c>
      <c r="I451" s="53" t="str">
        <f>IFERROR(__xludf.DUMMYFUNCTION("vlookup($D451,IMPORTRANGE(""https://docs.google.com/spreadsheets/d/1swGwZOEqYlTEUCJLY-eeJM1911Kvaei5oySBIxdgtNo/edit?pli=1#gid=257618397"",""stock FAKTUR!B:G""),6,false)"),"OP-48S")</f>
        <v>OP-48S</v>
      </c>
      <c r="J451" s="120" t="str">
        <f t="shared" si="25"/>
        <v>ADA</v>
      </c>
      <c r="K451" s="142">
        <v>15.0</v>
      </c>
      <c r="L451" s="145" t="str">
        <f>IFERROR(__xludf.DUMMYFUNCTION("vlookup($D451,IMPORTRANGE(""https://docs.google.com/spreadsheets/d/1swGwZOEqYlTEUCJLY-eeJM1911Kvaei5oySBIxdgtNo/edit?pli=1#gid=257618397"",""stock FAKTUR!B:q""),16,false)"),"PCS")</f>
        <v>PCS</v>
      </c>
      <c r="M451" s="147">
        <v>60700.0</v>
      </c>
      <c r="N451" s="152">
        <v>0.1</v>
      </c>
      <c r="O451" s="147">
        <f t="shared" si="94"/>
        <v>819450</v>
      </c>
      <c r="P451" s="147" t="str">
        <f t="shared" si="3"/>
        <v>Rp60,700-15 PCS-10.00%</v>
      </c>
      <c r="Q451" s="149">
        <v>45418.0</v>
      </c>
      <c r="R451" s="150"/>
      <c r="S451" s="149">
        <v>45420.0</v>
      </c>
      <c r="T451" s="151"/>
      <c r="U451" s="151"/>
      <c r="V451" s="151"/>
      <c r="W451" s="151"/>
    </row>
    <row r="452">
      <c r="A452" s="142">
        <v>4718.0</v>
      </c>
      <c r="B452" s="143" t="str">
        <f t="shared" si="132"/>
        <v>H</v>
      </c>
      <c r="C452" s="143" t="str">
        <f t="shared" si="133"/>
        <v>MUDAJAYA-PURWOREJO</v>
      </c>
      <c r="D452" s="145" t="s">
        <v>4645</v>
      </c>
      <c r="E452" s="145" t="str">
        <f>IFERROR(__xludf.DUMMYFUNCTION("vlookup(D452,IMPORTRANGE(""https://docs.google.com/spreadsheets/d/1swGwZOEqYlTEUCJLY-eeJM1911Kvaei5oySBIxdgtNo/edit?pli=1#gid=257618397"",""stock FAKTUR!B:C""),2,false)"),"PW JK 24W CP-S24 PENDEK")</f>
        <v>PW JK 24W CP-S24 PENDEK</v>
      </c>
      <c r="F452" s="53" t="str">
        <f>IFERROR(__xludf.DUMMYFUNCTION("vlookup($D452,IMPORTRANGE(""https://docs.google.com/spreadsheets/d/1swGwZOEqYlTEUCJLY-eeJM1911Kvaei5oySBIxdgtNo/edit?pli=1#gid=257618397"",""stock FAKTUR!B:d""),3,false)"),"")</f>
        <v/>
      </c>
      <c r="G452" s="53" t="str">
        <f>IFERROR(__xludf.DUMMYFUNCTION("vlookup($D452,IMPORTRANGE(""https://docs.google.com/spreadsheets/d/1swGwZOEqYlTEUCJLY-eeJM1911Kvaei5oySBIxdgtNo/edit?pli=1#gid=257618397"",""stock FAKTUR!B:e""),4,false)"),"24W")</f>
        <v>24W</v>
      </c>
      <c r="H452" s="53" t="str">
        <f>IFERROR(__xludf.DUMMYFUNCTION("vlookup($D452,IMPORTRANGE(""https://docs.google.com/spreadsheets/d/1swGwZOEqYlTEUCJLY-eeJM1911Kvaei5oySBIxdgtNo/edit?pli=1#gid=257618397"",""stock FAKTUR!B:F""),5,false)"),"JK")</f>
        <v>JK</v>
      </c>
      <c r="I452" s="53" t="str">
        <f>IFERROR(__xludf.DUMMYFUNCTION("vlookup($D452,IMPORTRANGE(""https://docs.google.com/spreadsheets/d/1swGwZOEqYlTEUCJLY-eeJM1911Kvaei5oySBIxdgtNo/edit?pli=1#gid=257618397"",""stock FAKTUR!B:G""),6,false)"),"CP-S24")</f>
        <v>CP-S24</v>
      </c>
      <c r="J452" s="120" t="str">
        <f t="shared" si="25"/>
        <v>ADA</v>
      </c>
      <c r="K452" s="142">
        <v>1.0</v>
      </c>
      <c r="L452" s="145" t="str">
        <f>IFERROR(__xludf.DUMMYFUNCTION("vlookup($D452,IMPORTRANGE(""https://docs.google.com/spreadsheets/d/1swGwZOEqYlTEUCJLY-eeJM1911Kvaei5oySBIxdgtNo/edit?pli=1#gid=257618397"",""stock FAKTUR!B:q""),16,false)"),"LSN")</f>
        <v>LSN</v>
      </c>
      <c r="M452" s="147">
        <v>165600.0</v>
      </c>
      <c r="N452" s="152">
        <v>0.1</v>
      </c>
      <c r="O452" s="147">
        <f t="shared" si="94"/>
        <v>149040</v>
      </c>
      <c r="P452" s="147" t="str">
        <f t="shared" si="3"/>
        <v>Rp165,600-1 LSN-10.00%</v>
      </c>
      <c r="Q452" s="149">
        <v>45418.0</v>
      </c>
      <c r="R452" s="150"/>
      <c r="S452" s="149">
        <v>45420.0</v>
      </c>
      <c r="T452" s="151"/>
      <c r="U452" s="151"/>
      <c r="V452" s="151"/>
      <c r="W452" s="151"/>
    </row>
    <row r="453">
      <c r="A453" s="142">
        <v>4719.0</v>
      </c>
      <c r="B453" s="143" t="s">
        <v>33</v>
      </c>
      <c r="C453" s="143" t="s">
        <v>3040</v>
      </c>
      <c r="D453" s="145" t="s">
        <v>4398</v>
      </c>
      <c r="E453" s="145" t="str">
        <f>IFERROR(__xludf.DUMMYFUNCTION("vlookup(D453,IMPORTRANGE(""https://docs.google.com/spreadsheets/d/1swGwZOEqYlTEUCJLY-eeJM1911Kvaei5oySBIxdgtNo/edit?pli=1#gid=257618397"",""stock FAKTUR!B:C""),2,false)"),"ISI CUTTER KENKO L-150 BESAR")</f>
        <v>ISI CUTTER KENKO L-150 BESAR</v>
      </c>
      <c r="F453" s="53" t="str">
        <f>IFERROR(__xludf.DUMMYFUNCTION("vlookup($D453,IMPORTRANGE(""https://docs.google.com/spreadsheets/d/1swGwZOEqYlTEUCJLY-eeJM1911Kvaei5oySBIxdgtNo/edit?pli=1#gid=257618397"",""stock FAKTUR!B:d""),3,false)"),"18 MM")</f>
        <v>18 MM</v>
      </c>
      <c r="G453" s="53" t="str">
        <f>IFERROR(__xludf.DUMMYFUNCTION("vlookup($D453,IMPORTRANGE(""https://docs.google.com/spreadsheets/d/1swGwZOEqYlTEUCJLY-eeJM1911Kvaei5oySBIxdgtNo/edit?pli=1#gid=257618397"",""stock FAKTUR!B:e""),4,false)"),"")</f>
        <v/>
      </c>
      <c r="H453" s="53" t="str">
        <f>IFERROR(__xludf.DUMMYFUNCTION("vlookup($D453,IMPORTRANGE(""https://docs.google.com/spreadsheets/d/1swGwZOEqYlTEUCJLY-eeJM1911Kvaei5oySBIxdgtNo/edit?pli=1#gid=257618397"",""stock FAKTUR!B:F""),5,false)"),"KN")</f>
        <v>KN</v>
      </c>
      <c r="I453" s="53" t="str">
        <f>IFERROR(__xludf.DUMMYFUNCTION("vlookup($D453,IMPORTRANGE(""https://docs.google.com/spreadsheets/d/1swGwZOEqYlTEUCJLY-eeJM1911Kvaei5oySBIxdgtNo/edit?pli=1#gid=257618397"",""stock FAKTUR!B:G""),6,false)"),"CTB-002")</f>
        <v>CTB-002</v>
      </c>
      <c r="J453" s="120" t="str">
        <f t="shared" si="25"/>
        <v>ADA</v>
      </c>
      <c r="K453" s="142">
        <v>60.0</v>
      </c>
      <c r="L453" s="145" t="str">
        <f>IFERROR(__xludf.DUMMYFUNCTION("vlookup($D453,IMPORTRANGE(""https://docs.google.com/spreadsheets/d/1swGwZOEqYlTEUCJLY-eeJM1911Kvaei5oySBIxdgtNo/edit?pli=1#gid=257618397"",""stock FAKTUR!B:q""),16,false)"),"LSN")</f>
        <v>LSN</v>
      </c>
      <c r="M453" s="147">
        <v>64800.0</v>
      </c>
      <c r="N453" s="152">
        <v>0.125</v>
      </c>
      <c r="O453" s="147">
        <f t="shared" si="94"/>
        <v>3402000</v>
      </c>
      <c r="P453" s="147" t="str">
        <f t="shared" si="3"/>
        <v>Rp64,800-60 LSN-12.50%</v>
      </c>
      <c r="Q453" s="149">
        <v>45419.0</v>
      </c>
      <c r="R453" s="150"/>
      <c r="S453" s="149">
        <v>45420.0</v>
      </c>
      <c r="T453" s="151"/>
      <c r="U453" s="151"/>
      <c r="V453" s="151"/>
      <c r="W453" s="151"/>
    </row>
    <row r="454">
      <c r="A454" s="142">
        <v>4719.0</v>
      </c>
      <c r="B454" s="143" t="str">
        <f>IF(A454=A453,B453,"")</f>
        <v>H</v>
      </c>
      <c r="C454" s="143" t="str">
        <f>IF(A454=A453,C453,"")</f>
        <v>ENAM-CIREBON</v>
      </c>
      <c r="D454" s="145" t="s">
        <v>4527</v>
      </c>
      <c r="E454" s="145" t="str">
        <f>IFERROR(__xludf.DUMMYFUNCTION("vlookup(D454,IMPORTRANGE(""https://docs.google.com/spreadsheets/d/1swGwZOEqYlTEUCJLY-eeJM1911Kvaei5oySBIxdgtNo/edit?pli=1#gid=257618397"",""stock FAKTUR!B:C""),2,false)"),"BP KENKO KE-100 HITAM")</f>
        <v>BP KENKO KE-100 HITAM</v>
      </c>
      <c r="F454" s="53" t="str">
        <f>IFERROR(__xludf.DUMMYFUNCTION("vlookup($D454,IMPORTRANGE(""https://docs.google.com/spreadsheets/d/1swGwZOEqYlTEUCJLY-eeJM1911Kvaei5oySBIxdgtNo/edit?pli=1#gid=257618397"",""stock FAKTUR!B:d""),3,false)"),"")</f>
        <v/>
      </c>
      <c r="G454" s="53" t="str">
        <f>IFERROR(__xludf.DUMMYFUNCTION("vlookup($D454,IMPORTRANGE(""https://docs.google.com/spreadsheets/d/1swGwZOEqYlTEUCJLY-eeJM1911Kvaei5oySBIxdgtNo/edit?pli=1#gid=257618397"",""stock FAKTUR!B:e""),4,false)"),"HITAM")</f>
        <v>HITAM</v>
      </c>
      <c r="H454" s="53" t="str">
        <f>IFERROR(__xludf.DUMMYFUNCTION("vlookup($D454,IMPORTRANGE(""https://docs.google.com/spreadsheets/d/1swGwZOEqYlTEUCJLY-eeJM1911Kvaei5oySBIxdgtNo/edit?pli=1#gid=257618397"",""stock FAKTUR!B:F""),5,false)"),"KN")</f>
        <v>KN</v>
      </c>
      <c r="I454" s="53" t="str">
        <f>IFERROR(__xludf.DUMMYFUNCTION("vlookup($D454,IMPORTRANGE(""https://docs.google.com/spreadsheets/d/1swGwZOEqYlTEUCJLY-eeJM1911Kvaei5oySBIxdgtNo/edit?pli=1#gid=257618397"",""stock FAKTUR!B:G""),6,false)"),"GPT-001B")</f>
        <v>GPT-001B</v>
      </c>
      <c r="J454" s="120" t="str">
        <f t="shared" si="25"/>
        <v>ADA</v>
      </c>
      <c r="K454" s="142">
        <v>144.0</v>
      </c>
      <c r="L454" s="145" t="str">
        <f>IFERROR(__xludf.DUMMYFUNCTION("vlookup($D454,IMPORTRANGE(""https://docs.google.com/spreadsheets/d/1swGwZOEqYlTEUCJLY-eeJM1911Kvaei5oySBIxdgtNo/edit?pli=1#gid=257618397"",""stock FAKTUR!B:q""),16,false)"),"LSN")</f>
        <v>LSN</v>
      </c>
      <c r="M454" s="147">
        <v>19200.0</v>
      </c>
      <c r="N454" s="152">
        <v>0.125</v>
      </c>
      <c r="O454" s="147">
        <f t="shared" si="94"/>
        <v>2419200</v>
      </c>
      <c r="P454" s="147" t="str">
        <f t="shared" si="3"/>
        <v>Rp19,200-144 LSN-12.50%</v>
      </c>
      <c r="Q454" s="149">
        <v>45419.0</v>
      </c>
      <c r="R454" s="150"/>
      <c r="S454" s="149">
        <v>45420.0</v>
      </c>
      <c r="T454" s="151"/>
      <c r="U454" s="151"/>
      <c r="V454" s="151"/>
      <c r="W454" s="151"/>
    </row>
    <row r="455">
      <c r="A455" s="142">
        <v>4720.0</v>
      </c>
      <c r="B455" s="143" t="s">
        <v>33</v>
      </c>
      <c r="C455" s="143" t="s">
        <v>845</v>
      </c>
      <c r="D455" s="145" t="s">
        <v>4646</v>
      </c>
      <c r="E455" s="145" t="str">
        <f>IFERROR(__xludf.DUMMYFUNCTION("vlookup(D455,IMPORTRANGE(""https://docs.google.com/spreadsheets/d/1swGwZOEqYlTEUCJLY-eeJM1911Kvaei5oySBIxdgtNo/edit?pli=1#gid=257618397"",""stock FAKTUR!B:C""),2,false)"),"SAMPUL KWARTO BATIK ALFA")</f>
        <v>SAMPUL KWARTO BATIK ALFA</v>
      </c>
      <c r="F455" s="53" t="str">
        <f>IFERROR(__xludf.DUMMYFUNCTION("vlookup($D455,IMPORTRANGE(""https://docs.google.com/spreadsheets/d/1swGwZOEqYlTEUCJLY-eeJM1911Kvaei5oySBIxdgtNo/edit?pli=1#gid=257618397"",""stock FAKTUR!B:d""),3,false)"),"")</f>
        <v/>
      </c>
      <c r="G455" s="53" t="str">
        <f>IFERROR(__xludf.DUMMYFUNCTION("vlookup($D455,IMPORTRANGE(""https://docs.google.com/spreadsheets/d/1swGwZOEqYlTEUCJLY-eeJM1911Kvaei5oySBIxdgtNo/edit?pli=1#gid=257618397"",""stock FAKTUR!B:e""),4,false)"),"")</f>
        <v/>
      </c>
      <c r="H455" s="53" t="str">
        <f>IFERROR(__xludf.DUMMYFUNCTION("vlookup($D455,IMPORTRANGE(""https://docs.google.com/spreadsheets/d/1swGwZOEqYlTEUCJLY-eeJM1911Kvaei5oySBIxdgtNo/edit?pli=1#gid=257618397"",""stock FAKTUR!B:F""),5,false)"),"NB")</f>
        <v>NB</v>
      </c>
      <c r="I455" s="53" t="str">
        <f>IFERROR(__xludf.DUMMYFUNCTION("vlookup($D455,IMPORTRANGE(""https://docs.google.com/spreadsheets/d/1swGwZOEqYlTEUCJLY-eeJM1911Kvaei5oySBIxdgtNo/edit?pli=1#gid=257618397"",""stock FAKTUR!B:G""),6,false)"),"")</f>
        <v/>
      </c>
      <c r="J455" s="120" t="str">
        <f t="shared" si="25"/>
        <v>ADA</v>
      </c>
      <c r="K455" s="142">
        <v>240.0</v>
      </c>
      <c r="L455" s="145" t="str">
        <f>IFERROR(__xludf.DUMMYFUNCTION("vlookup($D455,IMPORTRANGE(""https://docs.google.com/spreadsheets/d/1swGwZOEqYlTEUCJLY-eeJM1911Kvaei5oySBIxdgtNo/edit?pli=1#gid=257618397"",""stock FAKTUR!B:q""),16,false)"),"PCS")</f>
        <v>PCS</v>
      </c>
      <c r="M455" s="147">
        <v>10000.0</v>
      </c>
      <c r="N455" s="152">
        <v>0.1</v>
      </c>
      <c r="O455" s="147">
        <f>(K455*M455)-((M455*K455)*N455)-108000</f>
        <v>2052000</v>
      </c>
      <c r="P455" s="147" t="str">
        <f t="shared" si="3"/>
        <v>Rp10,000-240 PCS-10.00%</v>
      </c>
      <c r="Q455" s="149">
        <v>45419.0</v>
      </c>
      <c r="R455" s="150"/>
      <c r="S455" s="149">
        <v>45420.0</v>
      </c>
      <c r="T455" s="151"/>
      <c r="U455" s="151"/>
      <c r="V455" s="151"/>
      <c r="W455" s="151"/>
    </row>
    <row r="456">
      <c r="A456" s="142">
        <v>2931.0</v>
      </c>
      <c r="B456" s="143" t="s">
        <v>33</v>
      </c>
      <c r="C456" s="143" t="s">
        <v>3042</v>
      </c>
      <c r="D456" s="145" t="s">
        <v>4416</v>
      </c>
      <c r="E456" s="145" t="str">
        <f>IFERROR(__xludf.DUMMYFUNCTION("vlookup(D456,IMPORTRANGE(""https://docs.google.com/spreadsheets/d/1swGwZOEqYlTEUCJLY-eeJM1911Kvaei5oySBIxdgtNo/edit?pli=1#gid=257618397"",""stock FAKTUR!B:C""),2,false)"),"BP KENKO KE-303 T-GEL HITAM")</f>
        <v>BP KENKO KE-303 T-GEL HITAM</v>
      </c>
      <c r="F456" s="53" t="str">
        <f>IFERROR(__xludf.DUMMYFUNCTION("vlookup($D456,IMPORTRANGE(""https://docs.google.com/spreadsheets/d/1swGwZOEqYlTEUCJLY-eeJM1911Kvaei5oySBIxdgtNo/edit?pli=1#gid=257618397"",""stock FAKTUR!B:d""),3,false)"),"")</f>
        <v/>
      </c>
      <c r="G456" s="53" t="str">
        <f>IFERROR(__xludf.DUMMYFUNCTION("vlookup($D456,IMPORTRANGE(""https://docs.google.com/spreadsheets/d/1swGwZOEqYlTEUCJLY-eeJM1911Kvaei5oySBIxdgtNo/edit?pli=1#gid=257618397"",""stock FAKTUR!B:e""),4,false)"),"")</f>
        <v/>
      </c>
      <c r="H456" s="53" t="str">
        <f>IFERROR(__xludf.DUMMYFUNCTION("vlookup($D456,IMPORTRANGE(""https://docs.google.com/spreadsheets/d/1swGwZOEqYlTEUCJLY-eeJM1911Kvaei5oySBIxdgtNo/edit?pli=1#gid=257618397"",""stock FAKTUR!B:F""),5,false)"),"KN")</f>
        <v>KN</v>
      </c>
      <c r="I456" s="53" t="str">
        <f>IFERROR(__xludf.DUMMYFUNCTION("vlookup($D456,IMPORTRANGE(""https://docs.google.com/spreadsheets/d/1swGwZOEqYlTEUCJLY-eeJM1911Kvaei5oySBIxdgtNo/edit?pli=1#gid=257618397"",""stock FAKTUR!B:G""),6,false)"),"KE-303")</f>
        <v>KE-303</v>
      </c>
      <c r="J456" s="120" t="str">
        <f t="shared" si="25"/>
        <v>ADA</v>
      </c>
      <c r="K456" s="142">
        <v>144.0</v>
      </c>
      <c r="L456" s="145" t="str">
        <f>IFERROR(__xludf.DUMMYFUNCTION("vlookup($D456,IMPORTRANGE(""https://docs.google.com/spreadsheets/d/1swGwZOEqYlTEUCJLY-eeJM1911Kvaei5oySBIxdgtNo/edit?pli=1#gid=257618397"",""stock FAKTUR!B:q""),16,false)"),"LSN")</f>
        <v>LSN</v>
      </c>
      <c r="M456" s="147">
        <v>21600.0</v>
      </c>
      <c r="N456" s="152">
        <v>0.125</v>
      </c>
      <c r="O456" s="147">
        <f t="shared" ref="O456:O576" si="134">(K456*M456)-((M456*K456)*N456)</f>
        <v>2721600</v>
      </c>
      <c r="P456" s="147" t="str">
        <f t="shared" si="3"/>
        <v>Rp21,600-144 LSN-12.50%</v>
      </c>
      <c r="Q456" s="149">
        <v>45419.0</v>
      </c>
      <c r="R456" s="150"/>
      <c r="S456" s="149">
        <v>45420.0</v>
      </c>
      <c r="T456" s="151"/>
      <c r="U456" s="151"/>
      <c r="V456" s="151"/>
      <c r="W456" s="151"/>
    </row>
    <row r="457">
      <c r="A457" s="142">
        <v>2932.0</v>
      </c>
      <c r="B457" s="143" t="s">
        <v>33</v>
      </c>
      <c r="C457" s="143" t="s">
        <v>3032</v>
      </c>
      <c r="D457" s="145" t="s">
        <v>35</v>
      </c>
      <c r="E457" s="145" t="str">
        <f>IFERROR(__xludf.DUMMYFUNCTION("vlookup(D457,IMPORTRANGE(""https://docs.google.com/spreadsheets/d/1swGwZOEqYlTEUCJLY-eeJM1911Kvaei5oySBIxdgtNo/edit?pli=1#gid=257618397"",""stock FAKTUR!B:C""),2,false)"),"BP TZ 501 HITAM")</f>
        <v>BP TZ 501 HITAM</v>
      </c>
      <c r="F457" s="53" t="str">
        <f>IFERROR(__xludf.DUMMYFUNCTION("vlookup($D457,IMPORTRANGE(""https://docs.google.com/spreadsheets/d/1swGwZOEqYlTEUCJLY-eeJM1911Kvaei5oySBIxdgtNo/edit?pli=1#gid=257618397"",""stock FAKTUR!B:d""),3,false)"),"")</f>
        <v/>
      </c>
      <c r="G457" s="53" t="str">
        <f>IFERROR(__xludf.DUMMYFUNCTION("vlookup($D457,IMPORTRANGE(""https://docs.google.com/spreadsheets/d/1swGwZOEqYlTEUCJLY-eeJM1911Kvaei5oySBIxdgtNo/edit?pli=1#gid=257618397"",""stock FAKTUR!B:e""),4,false)"),"")</f>
        <v/>
      </c>
      <c r="H457" s="53" t="str">
        <f>IFERROR(__xludf.DUMMYFUNCTION("vlookup($D457,IMPORTRANGE(""https://docs.google.com/spreadsheets/d/1swGwZOEqYlTEUCJLY-eeJM1911Kvaei5oySBIxdgtNo/edit?pli=1#gid=257618397"",""stock FAKTUR!B:F""),5,false)"),"TZ")</f>
        <v>TZ</v>
      </c>
      <c r="I457" s="53" t="str">
        <f>IFERROR(__xludf.DUMMYFUNCTION("vlookup($D457,IMPORTRANGE(""https://docs.google.com/spreadsheets/d/1swGwZOEqYlTEUCJLY-eeJM1911Kvaei5oySBIxdgtNo/edit?pli=1#gid=257618397"",""stock FAKTUR!B:G""),6,false)"),"")</f>
        <v/>
      </c>
      <c r="J457" s="120" t="str">
        <f t="shared" si="25"/>
        <v>ADA</v>
      </c>
      <c r="K457" s="142">
        <v>144.0</v>
      </c>
      <c r="L457" s="145" t="str">
        <f>IFERROR(__xludf.DUMMYFUNCTION("vlookup($D457,IMPORTRANGE(""https://docs.google.com/spreadsheets/d/1swGwZOEqYlTEUCJLY-eeJM1911Kvaei5oySBIxdgtNo/edit?pli=1#gid=257618397"",""stock FAKTUR!B:q""),16,false)"),"LSN")</f>
        <v>LSN</v>
      </c>
      <c r="M457" s="147">
        <v>24000.0</v>
      </c>
      <c r="N457" s="148"/>
      <c r="O457" s="147">
        <f t="shared" si="134"/>
        <v>3456000</v>
      </c>
      <c r="P457" s="147" t="str">
        <f t="shared" si="3"/>
        <v>Rp24,000-144 LSN-0.00%</v>
      </c>
      <c r="Q457" s="149">
        <v>45419.0</v>
      </c>
      <c r="R457" s="150"/>
      <c r="S457" s="149">
        <v>45420.0</v>
      </c>
      <c r="T457" s="151"/>
      <c r="U457" s="151"/>
      <c r="V457" s="151"/>
      <c r="W457" s="151"/>
    </row>
    <row r="458">
      <c r="A458" s="142">
        <v>4721.0</v>
      </c>
      <c r="B458" s="143" t="s">
        <v>33</v>
      </c>
      <c r="C458" s="143" t="s">
        <v>3043</v>
      </c>
      <c r="D458" s="145" t="s">
        <v>4647</v>
      </c>
      <c r="E458" s="145" t="str">
        <f>IFERROR(__xludf.DUMMYFUNCTION("vlookup(D458,IMPORTRANGE(""https://docs.google.com/spreadsheets/d/1swGwZOEqYlTEUCJLY-eeJM1911Kvaei5oySBIxdgtNo/edit?pli=1#gid=257618397"",""stock FAKTUR!B:C""),2,false)"),"BINDER CLIP JK 200")</f>
        <v>BINDER CLIP JK 200</v>
      </c>
      <c r="F458" s="53" t="str">
        <f>IFERROR(__xludf.DUMMYFUNCTION("vlookup($D458,IMPORTRANGE(""https://docs.google.com/spreadsheets/d/1swGwZOEqYlTEUCJLY-eeJM1911Kvaei5oySBIxdgtNo/edit?pli=1#gid=257618397"",""stock FAKTUR!B:d""),3,false)"),"")</f>
        <v/>
      </c>
      <c r="G458" s="53" t="str">
        <f>IFERROR(__xludf.DUMMYFUNCTION("vlookup($D458,IMPORTRANGE(""https://docs.google.com/spreadsheets/d/1swGwZOEqYlTEUCJLY-eeJM1911Kvaei5oySBIxdgtNo/edit?pli=1#gid=257618397"",""stock FAKTUR!B:e""),4,false)"),"")</f>
        <v/>
      </c>
      <c r="H458" s="53" t="str">
        <f>IFERROR(__xludf.DUMMYFUNCTION("vlookup($D458,IMPORTRANGE(""https://docs.google.com/spreadsheets/d/1swGwZOEqYlTEUCJLY-eeJM1911Kvaei5oySBIxdgtNo/edit?pli=1#gid=257618397"",""stock FAKTUR!B:F""),5,false)"),"JK")</f>
        <v>JK</v>
      </c>
      <c r="I458" s="53" t="str">
        <f>IFERROR(__xludf.DUMMYFUNCTION("vlookup($D458,IMPORTRANGE(""https://docs.google.com/spreadsheets/d/1swGwZOEqYlTEUCJLY-eeJM1911Kvaei5oySBIxdgtNo/edit?pli=1#gid=257618397"",""stock FAKTUR!B:G""),6,false)"),"200")</f>
        <v>200</v>
      </c>
      <c r="J458" s="120" t="str">
        <f t="shared" si="25"/>
        <v>ADA</v>
      </c>
      <c r="K458" s="142">
        <f>5/12</f>
        <v>0.4166666667</v>
      </c>
      <c r="L458" s="145" t="str">
        <f>IFERROR(__xludf.DUMMYFUNCTION("vlookup($D458,IMPORTRANGE(""https://docs.google.com/spreadsheets/d/1swGwZOEqYlTEUCJLY-eeJM1911Kvaei5oySBIxdgtNo/edit?pli=1#gid=257618397"",""stock FAKTUR!B:q""),16,false)"),"GRS")</f>
        <v>GRS</v>
      </c>
      <c r="M458" s="147">
        <f>9650*12</f>
        <v>115800</v>
      </c>
      <c r="N458" s="152">
        <v>0.1</v>
      </c>
      <c r="O458" s="147">
        <f t="shared" si="134"/>
        <v>43425</v>
      </c>
      <c r="P458" s="147" t="str">
        <f t="shared" si="3"/>
        <v>Rp115,800-0.416666666666667 GRS-10.00%</v>
      </c>
      <c r="Q458" s="149">
        <v>45419.0</v>
      </c>
      <c r="R458" s="150"/>
      <c r="S458" s="149">
        <v>45420.0</v>
      </c>
      <c r="T458" s="151"/>
      <c r="U458" s="151"/>
      <c r="V458" s="151"/>
      <c r="W458" s="151"/>
    </row>
    <row r="459">
      <c r="A459" s="142">
        <v>4721.0</v>
      </c>
      <c r="B459" s="143" t="str">
        <f t="shared" ref="B459:B464" si="135">IF(A459=A458,B458,"")</f>
        <v>H</v>
      </c>
      <c r="C459" s="143" t="str">
        <f t="shared" ref="C459:C464" si="136">IF(A459=A458,C458,"")</f>
        <v>WIJAYA KUSUMA-SLEMAN</v>
      </c>
      <c r="D459" s="145" t="s">
        <v>4387</v>
      </c>
      <c r="E459" s="145" t="str">
        <f>IFERROR(__xludf.DUMMYFUNCTION("vlookup(D459,IMPORTRANGE(""https://docs.google.com/spreadsheets/d/1swGwZOEqYlTEUCJLY-eeJM1911Kvaei5oySBIxdgtNo/edit?pli=1#gid=257618397"",""stock FAKTUR!B:C""),2,false)"),"BP KENKO HI-TECH 0.28MM HITAM")</f>
        <v>BP KENKO HI-TECH 0.28MM HITAM</v>
      </c>
      <c r="F459" s="53" t="str">
        <f>IFERROR(__xludf.DUMMYFUNCTION("vlookup($D459,IMPORTRANGE(""https://docs.google.com/spreadsheets/d/1swGwZOEqYlTEUCJLY-eeJM1911Kvaei5oySBIxdgtNo/edit?pli=1#gid=257618397"",""stock FAKTUR!B:d""),3,false)"),"")</f>
        <v/>
      </c>
      <c r="G459" s="53" t="str">
        <f>IFERROR(__xludf.DUMMYFUNCTION("vlookup($D459,IMPORTRANGE(""https://docs.google.com/spreadsheets/d/1swGwZOEqYlTEUCJLY-eeJM1911Kvaei5oySBIxdgtNo/edit?pli=1#gid=257618397"",""stock FAKTUR!B:e""),4,false)"),"HITAM")</f>
        <v>HITAM</v>
      </c>
      <c r="H459" s="53" t="str">
        <f>IFERROR(__xludf.DUMMYFUNCTION("vlookup($D459,IMPORTRANGE(""https://docs.google.com/spreadsheets/d/1swGwZOEqYlTEUCJLY-eeJM1911Kvaei5oySBIxdgtNo/edit?pli=1#gid=257618397"",""stock FAKTUR!B:F""),5,false)"),"KN")</f>
        <v>KN</v>
      </c>
      <c r="I459" s="53" t="str">
        <f>IFERROR(__xludf.DUMMYFUNCTION("vlookup($D459,IMPORTRANGE(""https://docs.google.com/spreadsheets/d/1swGwZOEqYlTEUCJLY-eeJM1911Kvaei5oySBIxdgtNo/edit?pli=1#gid=257618397"",""stock FAKTUR!B:G""),6,false)"),"GPT-018B")</f>
        <v>GPT-018B</v>
      </c>
      <c r="J459" s="120" t="str">
        <f t="shared" si="25"/>
        <v>ADA</v>
      </c>
      <c r="K459" s="142">
        <v>12.0</v>
      </c>
      <c r="L459" s="145" t="str">
        <f>IFERROR(__xludf.DUMMYFUNCTION("vlookup($D459,IMPORTRANGE(""https://docs.google.com/spreadsheets/d/1swGwZOEqYlTEUCJLY-eeJM1911Kvaei5oySBIxdgtNo/edit?pli=1#gid=257618397"",""stock FAKTUR!B:q""),16,false)"),"LSN")</f>
        <v>LSN</v>
      </c>
      <c r="M459" s="147">
        <v>39000.0</v>
      </c>
      <c r="N459" s="152">
        <v>0.1</v>
      </c>
      <c r="O459" s="147">
        <f t="shared" si="134"/>
        <v>421200</v>
      </c>
      <c r="P459" s="147" t="str">
        <f t="shared" si="3"/>
        <v>Rp39,000-12 LSN-10.00%</v>
      </c>
      <c r="Q459" s="149">
        <v>45419.0</v>
      </c>
      <c r="R459" s="150"/>
      <c r="S459" s="149">
        <v>45420.0</v>
      </c>
      <c r="T459" s="151"/>
      <c r="U459" s="151"/>
      <c r="V459" s="151"/>
      <c r="W459" s="151"/>
    </row>
    <row r="460">
      <c r="A460" s="142">
        <v>4721.0</v>
      </c>
      <c r="B460" s="143" t="str">
        <f t="shared" si="135"/>
        <v>H</v>
      </c>
      <c r="C460" s="143" t="str">
        <f t="shared" si="136"/>
        <v>WIJAYA KUSUMA-SLEMAN</v>
      </c>
      <c r="D460" s="145" t="s">
        <v>4648</v>
      </c>
      <c r="E460" s="145" t="str">
        <f>IFERROR(__xludf.DUMMYFUNCTION("vlookup(D460,IMPORTRANGE(""https://docs.google.com/spreadsheets/d/1swGwZOEqYlTEUCJLY-eeJM1911Kvaei5oySBIxdgtNo/edit?pli=1#gid=257618397"",""stock FAKTUR!B:C""),2,false)"),"CLIP TRIGONAL JK NO. 1")</f>
        <v>CLIP TRIGONAL JK NO. 1</v>
      </c>
      <c r="F460" s="53" t="str">
        <f>IFERROR(__xludf.DUMMYFUNCTION("vlookup($D460,IMPORTRANGE(""https://docs.google.com/spreadsheets/d/1swGwZOEqYlTEUCJLY-eeJM1911Kvaei5oySBIxdgtNo/edit?pli=1#gid=257618397"",""stock FAKTUR!B:d""),3,false)"),"")</f>
        <v/>
      </c>
      <c r="G460" s="53" t="str">
        <f>IFERROR(__xludf.DUMMYFUNCTION("vlookup($D460,IMPORTRANGE(""https://docs.google.com/spreadsheets/d/1swGwZOEqYlTEUCJLY-eeJM1911Kvaei5oySBIxdgtNo/edit?pli=1#gid=257618397"",""stock FAKTUR!B:e""),4,false)"),"")</f>
        <v/>
      </c>
      <c r="H460" s="53" t="str">
        <f>IFERROR(__xludf.DUMMYFUNCTION("vlookup($D460,IMPORTRANGE(""https://docs.google.com/spreadsheets/d/1swGwZOEqYlTEUCJLY-eeJM1911Kvaei5oySBIxdgtNo/edit?pli=1#gid=257618397"",""stock FAKTUR!B:F""),5,false)"),"JK")</f>
        <v>JK</v>
      </c>
      <c r="I460" s="53" t="str">
        <f>IFERROR(__xludf.DUMMYFUNCTION("vlookup($D460,IMPORTRANGE(""https://docs.google.com/spreadsheets/d/1swGwZOEqYlTEUCJLY-eeJM1911Kvaei5oySBIxdgtNo/edit?pli=1#gid=257618397"",""stock FAKTUR!B:G""),6,false)"),"01")</f>
        <v>01</v>
      </c>
      <c r="J460" s="120" t="str">
        <f t="shared" si="25"/>
        <v>ADA</v>
      </c>
      <c r="K460" s="142">
        <v>20.0</v>
      </c>
      <c r="L460" s="145" t="str">
        <f>IFERROR(__xludf.DUMMYFUNCTION("vlookup($D460,IMPORTRANGE(""https://docs.google.com/spreadsheets/d/1swGwZOEqYlTEUCJLY-eeJM1911Kvaei5oySBIxdgtNo/edit?pli=1#gid=257618397"",""stock FAKTUR!B:q""),16,false)"),"BOX")</f>
        <v>BOX</v>
      </c>
      <c r="M460" s="147">
        <v>18500.0</v>
      </c>
      <c r="N460" s="152">
        <v>0.1</v>
      </c>
      <c r="O460" s="147">
        <f t="shared" si="134"/>
        <v>333000</v>
      </c>
      <c r="P460" s="147" t="str">
        <f t="shared" si="3"/>
        <v>Rp18,500-20 BOX-10.00%</v>
      </c>
      <c r="Q460" s="149">
        <v>45419.0</v>
      </c>
      <c r="R460" s="150"/>
      <c r="S460" s="149">
        <v>45420.0</v>
      </c>
      <c r="T460" s="151"/>
      <c r="U460" s="151"/>
      <c r="V460" s="151"/>
      <c r="W460" s="151"/>
    </row>
    <row r="461">
      <c r="A461" s="142">
        <v>4721.0</v>
      </c>
      <c r="B461" s="143" t="str">
        <f t="shared" si="135"/>
        <v>H</v>
      </c>
      <c r="C461" s="143" t="str">
        <f t="shared" si="136"/>
        <v>WIJAYA KUSUMA-SLEMAN</v>
      </c>
      <c r="D461" s="145" t="s">
        <v>4444</v>
      </c>
      <c r="E461" s="145" t="str">
        <f>IFERROR(__xludf.DUMMYFUNCTION("vlookup(D461,IMPORTRANGE(""https://docs.google.com/spreadsheets/d/1swGwZOEqYlTEUCJLY-eeJM1911Kvaei5oySBIxdgtNo/edit?pli=1#gid=257618397"",""stock FAKTUR!B:C""),2,false)"),"CALCULATOR JK CC-45")</f>
        <v>CALCULATOR JK CC-45</v>
      </c>
      <c r="F461" s="53" t="str">
        <f>IFERROR(__xludf.DUMMYFUNCTION("vlookup($D461,IMPORTRANGE(""https://docs.google.com/spreadsheets/d/1swGwZOEqYlTEUCJLY-eeJM1911Kvaei5oySBIxdgtNo/edit?pli=1#gid=257618397"",""stock FAKTUR!B:d""),3,false)"),"")</f>
        <v/>
      </c>
      <c r="G461" s="53" t="str">
        <f>IFERROR(__xludf.DUMMYFUNCTION("vlookup($D461,IMPORTRANGE(""https://docs.google.com/spreadsheets/d/1swGwZOEqYlTEUCJLY-eeJM1911Kvaei5oySBIxdgtNo/edit?pli=1#gid=257618397"",""stock FAKTUR!B:e""),4,false)"),"")</f>
        <v/>
      </c>
      <c r="H461" s="53" t="str">
        <f>IFERROR(__xludf.DUMMYFUNCTION("vlookup($D461,IMPORTRANGE(""https://docs.google.com/spreadsheets/d/1swGwZOEqYlTEUCJLY-eeJM1911Kvaei5oySBIxdgtNo/edit?pli=1#gid=257618397"",""stock FAKTUR!B:F""),5,false)"),"JK")</f>
        <v>JK</v>
      </c>
      <c r="I461" s="53" t="str">
        <f>IFERROR(__xludf.DUMMYFUNCTION("vlookup($D461,IMPORTRANGE(""https://docs.google.com/spreadsheets/d/1swGwZOEqYlTEUCJLY-eeJM1911Kvaei5oySBIxdgtNo/edit?pli=1#gid=257618397"",""stock FAKTUR!B:G""),6,false)"),"CC-45")</f>
        <v>CC-45</v>
      </c>
      <c r="J461" s="120" t="str">
        <f t="shared" si="25"/>
        <v>ADA</v>
      </c>
      <c r="K461" s="142">
        <v>10.0</v>
      </c>
      <c r="L461" s="145" t="str">
        <f>IFERROR(__xludf.DUMMYFUNCTION("vlookup($D461,IMPORTRANGE(""https://docs.google.com/spreadsheets/d/1swGwZOEqYlTEUCJLY-eeJM1911Kvaei5oySBIxdgtNo/edit?pli=1#gid=257618397"",""stock FAKTUR!B:q""),16,false)"),"PCS")</f>
        <v>PCS</v>
      </c>
      <c r="M461" s="147">
        <v>44000.0</v>
      </c>
      <c r="N461" s="152">
        <v>0.1</v>
      </c>
      <c r="O461" s="147">
        <f t="shared" si="134"/>
        <v>396000</v>
      </c>
      <c r="P461" s="147" t="str">
        <f t="shared" si="3"/>
        <v>Rp44,000-10 PCS-10.00%</v>
      </c>
      <c r="Q461" s="149">
        <v>45419.0</v>
      </c>
      <c r="R461" s="150"/>
      <c r="S461" s="149">
        <v>45420.0</v>
      </c>
      <c r="T461" s="151"/>
      <c r="U461" s="151"/>
      <c r="V461" s="151"/>
      <c r="W461" s="151"/>
    </row>
    <row r="462">
      <c r="A462" s="142">
        <v>4721.0</v>
      </c>
      <c r="B462" s="143" t="str">
        <f t="shared" si="135"/>
        <v>H</v>
      </c>
      <c r="C462" s="143" t="str">
        <f t="shared" si="136"/>
        <v>WIJAYA KUSUMA-SLEMAN</v>
      </c>
      <c r="D462" s="21" t="s">
        <v>4480</v>
      </c>
      <c r="E462" s="145" t="str">
        <f>IFERROR(__xludf.DUMMYFUNCTION("vlookup(D462,IMPORTRANGE(""https://docs.google.com/spreadsheets/d/1swGwZOEqYlTEUCJLY-eeJM1911Kvaei5oySBIxdgtNo/edit?pli=1#gid=257618397"",""stock FAKTUR!B:C""),2,false)"),"CALCULATOR JK CC-35")</f>
        <v>CALCULATOR JK CC-35</v>
      </c>
      <c r="F462" s="53" t="str">
        <f>IFERROR(__xludf.DUMMYFUNCTION("vlookup($D462,IMPORTRANGE(""https://docs.google.com/spreadsheets/d/1swGwZOEqYlTEUCJLY-eeJM1911Kvaei5oySBIxdgtNo/edit?pli=1#gid=257618397"",""stock FAKTUR!B:d""),3,false)"),"")</f>
        <v/>
      </c>
      <c r="G462" s="53" t="str">
        <f>IFERROR(__xludf.DUMMYFUNCTION("vlookup($D462,IMPORTRANGE(""https://docs.google.com/spreadsheets/d/1swGwZOEqYlTEUCJLY-eeJM1911Kvaei5oySBIxdgtNo/edit?pli=1#gid=257618397"",""stock FAKTUR!B:e""),4,false)"),"")</f>
        <v/>
      </c>
      <c r="H462" s="53" t="str">
        <f>IFERROR(__xludf.DUMMYFUNCTION("vlookup($D462,IMPORTRANGE(""https://docs.google.com/spreadsheets/d/1swGwZOEqYlTEUCJLY-eeJM1911Kvaei5oySBIxdgtNo/edit?pli=1#gid=257618397"",""stock FAKTUR!B:F""),5,false)"),"JK")</f>
        <v>JK</v>
      </c>
      <c r="I462" s="53" t="str">
        <f>IFERROR(__xludf.DUMMYFUNCTION("vlookup($D462,IMPORTRANGE(""https://docs.google.com/spreadsheets/d/1swGwZOEqYlTEUCJLY-eeJM1911Kvaei5oySBIxdgtNo/edit?pli=1#gid=257618397"",""stock FAKTUR!B:G""),6,false)"),"CC-35")</f>
        <v>CC-35</v>
      </c>
      <c r="J462" s="120" t="str">
        <f t="shared" si="25"/>
        <v>ADA</v>
      </c>
      <c r="K462" s="142">
        <v>10.0</v>
      </c>
      <c r="L462" s="145" t="str">
        <f>IFERROR(__xludf.DUMMYFUNCTION("vlookup($D462,IMPORTRANGE(""https://docs.google.com/spreadsheets/d/1swGwZOEqYlTEUCJLY-eeJM1911Kvaei5oySBIxdgtNo/edit?pli=1#gid=257618397"",""stock FAKTUR!B:q""),16,false)"),"PCS")</f>
        <v>PCS</v>
      </c>
      <c r="M462" s="147">
        <v>58000.0</v>
      </c>
      <c r="N462" s="152">
        <v>0.1</v>
      </c>
      <c r="O462" s="147">
        <f t="shared" si="134"/>
        <v>522000</v>
      </c>
      <c r="P462" s="147" t="str">
        <f t="shared" si="3"/>
        <v>Rp58,000-10 PCS-10.00%</v>
      </c>
      <c r="Q462" s="149">
        <v>45419.0</v>
      </c>
      <c r="R462" s="150"/>
      <c r="S462" s="149">
        <v>45420.0</v>
      </c>
      <c r="T462" s="191" t="s">
        <v>4481</v>
      </c>
      <c r="U462" s="192" t="s">
        <v>4390</v>
      </c>
      <c r="V462" s="151"/>
      <c r="W462" s="159"/>
    </row>
    <row r="463">
      <c r="A463" s="142">
        <v>4721.0</v>
      </c>
      <c r="B463" s="143" t="str">
        <f t="shared" si="135"/>
        <v>H</v>
      </c>
      <c r="C463" s="143" t="str">
        <f t="shared" si="136"/>
        <v>WIJAYA KUSUMA-SLEMAN</v>
      </c>
      <c r="D463" s="190" t="s">
        <v>4649</v>
      </c>
      <c r="E463" s="145" t="str">
        <f>IFERROR(__xludf.DUMMYFUNCTION("vlookup(D463,IMPORTRANGE(""https://docs.google.com/spreadsheets/d/1swGwZOEqYlTEUCJLY-eeJM1911Kvaei5oySBIxdgtNo/edit?pli=1#gid=257618397"",""stock FAKTUR!B:C""),2,false)"),"CALCULATOR JK CC-41")</f>
        <v>CALCULATOR JK CC-41</v>
      </c>
      <c r="F463" s="53" t="str">
        <f>IFERROR(__xludf.DUMMYFUNCTION("vlookup($D463,IMPORTRANGE(""https://docs.google.com/spreadsheets/d/1swGwZOEqYlTEUCJLY-eeJM1911Kvaei5oySBIxdgtNo/edit?pli=1#gid=257618397"",""stock FAKTUR!B:d""),3,false)"),"")</f>
        <v/>
      </c>
      <c r="G463" s="53" t="str">
        <f>IFERROR(__xludf.DUMMYFUNCTION("vlookup($D463,IMPORTRANGE(""https://docs.google.com/spreadsheets/d/1swGwZOEqYlTEUCJLY-eeJM1911Kvaei5oySBIxdgtNo/edit?pli=1#gid=257618397"",""stock FAKTUR!B:e""),4,false)"),"")</f>
        <v/>
      </c>
      <c r="H463" s="53" t="str">
        <f>IFERROR(__xludf.DUMMYFUNCTION("vlookup($D463,IMPORTRANGE(""https://docs.google.com/spreadsheets/d/1swGwZOEqYlTEUCJLY-eeJM1911Kvaei5oySBIxdgtNo/edit?pli=1#gid=257618397"",""stock FAKTUR!B:F""),5,false)"),"JK")</f>
        <v>JK</v>
      </c>
      <c r="I463" s="53" t="str">
        <f>IFERROR(__xludf.DUMMYFUNCTION("vlookup($D463,IMPORTRANGE(""https://docs.google.com/spreadsheets/d/1swGwZOEqYlTEUCJLY-eeJM1911Kvaei5oySBIxdgtNo/edit?pli=1#gid=257618397"",""stock FAKTUR!B:G""),6,false)"),"CC-41")</f>
        <v>CC-41</v>
      </c>
      <c r="J463" s="120" t="str">
        <f t="shared" si="25"/>
        <v>ADA</v>
      </c>
      <c r="K463" s="142">
        <v>10.0</v>
      </c>
      <c r="L463" s="145" t="str">
        <f>IFERROR(__xludf.DUMMYFUNCTION("vlookup($D463,IMPORTRANGE(""https://docs.google.com/spreadsheets/d/1swGwZOEqYlTEUCJLY-eeJM1911Kvaei5oySBIxdgtNo/edit?pli=1#gid=257618397"",""stock FAKTUR!B:q""),16,false)"),"PCS")</f>
        <v>PCS</v>
      </c>
      <c r="M463" s="147">
        <v>74000.0</v>
      </c>
      <c r="N463" s="152">
        <v>0.1</v>
      </c>
      <c r="O463" s="147">
        <f t="shared" si="134"/>
        <v>666000</v>
      </c>
      <c r="P463" s="147" t="str">
        <f t="shared" si="3"/>
        <v>Rp74,000-10 PCS-10.00%</v>
      </c>
      <c r="Q463" s="149">
        <v>45419.0</v>
      </c>
      <c r="R463" s="150"/>
      <c r="S463" s="149">
        <v>45420.0</v>
      </c>
      <c r="T463" s="151"/>
      <c r="U463" s="151"/>
      <c r="V463" s="151"/>
      <c r="W463" s="151"/>
    </row>
    <row r="464">
      <c r="A464" s="142">
        <v>4721.0</v>
      </c>
      <c r="B464" s="143" t="str">
        <f t="shared" si="135"/>
        <v>H</v>
      </c>
      <c r="C464" s="143" t="str">
        <f t="shared" si="136"/>
        <v>WIJAYA KUSUMA-SLEMAN</v>
      </c>
      <c r="D464" s="145" t="s">
        <v>4210</v>
      </c>
      <c r="E464" s="145" t="str">
        <f>IFERROR(__xludf.DUMMYFUNCTION("vlookup(D464,IMPORTRANGE(""https://docs.google.com/spreadsheets/d/1swGwZOEqYlTEUCJLY-eeJM1911Kvaei5oySBIxdgtNo/edit?pli=1#gid=257618397"",""stock FAKTUR!B:C""),2,false)"),"CUTTER KENKO L-500")</f>
        <v>CUTTER KENKO L-500</v>
      </c>
      <c r="F464" s="53" t="str">
        <f>IFERROR(__xludf.DUMMYFUNCTION("vlookup($D464,IMPORTRANGE(""https://docs.google.com/spreadsheets/d/1swGwZOEqYlTEUCJLY-eeJM1911Kvaei5oySBIxdgtNo/edit?pli=1#gid=257618397"",""stock FAKTUR!B:d""),3,false)"),"18 MM")</f>
        <v>18 MM</v>
      </c>
      <c r="G464" s="53" t="str">
        <f>IFERROR(__xludf.DUMMYFUNCTION("vlookup($D464,IMPORTRANGE(""https://docs.google.com/spreadsheets/d/1swGwZOEqYlTEUCJLY-eeJM1911Kvaei5oySBIxdgtNo/edit?pli=1#gid=257618397"",""stock FAKTUR!B:e""),4,false)"),"")</f>
        <v/>
      </c>
      <c r="H464" s="53" t="str">
        <f>IFERROR(__xludf.DUMMYFUNCTION("vlookup($D464,IMPORTRANGE(""https://docs.google.com/spreadsheets/d/1swGwZOEqYlTEUCJLY-eeJM1911Kvaei5oySBIxdgtNo/edit?pli=1#gid=257618397"",""stock FAKTUR!B:F""),5,false)"),"KN")</f>
        <v>KN</v>
      </c>
      <c r="I464" s="53" t="str">
        <f>IFERROR(__xludf.DUMMYFUNCTION("vlookup($D464,IMPORTRANGE(""https://docs.google.com/spreadsheets/d/1swGwZOEqYlTEUCJLY-eeJM1911Kvaei5oySBIxdgtNo/edit?pli=1#gid=257618397"",""stock FAKTUR!B:G""),6,false)"),"CTR-007")</f>
        <v>CTR-007</v>
      </c>
      <c r="J464" s="120" t="str">
        <f t="shared" si="25"/>
        <v>ADA</v>
      </c>
      <c r="K464" s="142">
        <v>3.0</v>
      </c>
      <c r="L464" s="145" t="str">
        <f>IFERROR(__xludf.DUMMYFUNCTION("vlookup($D464,IMPORTRANGE(""https://docs.google.com/spreadsheets/d/1swGwZOEqYlTEUCJLY-eeJM1911Kvaei5oySBIxdgtNo/edit?pli=1#gid=257618397"",""stock FAKTUR!B:q""),16,false)"),"LSN")</f>
        <v>LSN</v>
      </c>
      <c r="M464" s="147">
        <v>147600.0</v>
      </c>
      <c r="N464" s="152">
        <v>0.1</v>
      </c>
      <c r="O464" s="147">
        <f t="shared" si="134"/>
        <v>398520</v>
      </c>
      <c r="P464" s="147" t="str">
        <f t="shared" si="3"/>
        <v>Rp147,600-3 LSN-10.00%</v>
      </c>
      <c r="Q464" s="149">
        <v>45419.0</v>
      </c>
      <c r="R464" s="150"/>
      <c r="S464" s="149">
        <v>45420.0</v>
      </c>
      <c r="T464" s="151"/>
      <c r="U464" s="151"/>
      <c r="V464" s="151"/>
      <c r="W464" s="151"/>
    </row>
    <row r="465">
      <c r="A465" s="142">
        <v>3117.0</v>
      </c>
      <c r="B465" s="143" t="s">
        <v>33</v>
      </c>
      <c r="C465" s="143" t="s">
        <v>4503</v>
      </c>
      <c r="D465" s="145" t="s">
        <v>4650</v>
      </c>
      <c r="E465" s="145" t="str">
        <f>IFERROR(__xludf.DUMMYFUNCTION("vlookup(D465,IMPORTRANGE(""https://docs.google.com/spreadsheets/d/1swGwZOEqYlTEUCJLY-eeJM1911Kvaei5oySBIxdgtNo/edit?pli=1#gid=257618397"",""stock FAKTUR!B:C""),2,false)"),"PUSH PIN JK PP 30")</f>
        <v>PUSH PIN JK PP 30</v>
      </c>
      <c r="F465" s="53" t="str">
        <f>IFERROR(__xludf.DUMMYFUNCTION("vlookup($D465,IMPORTRANGE(""https://docs.google.com/spreadsheets/d/1swGwZOEqYlTEUCJLY-eeJM1911Kvaei5oySBIxdgtNo/edit?pli=1#gid=257618397"",""stock FAKTUR!B:d""),3,false)"),"")</f>
        <v/>
      </c>
      <c r="G465" s="53" t="str">
        <f>IFERROR(__xludf.DUMMYFUNCTION("vlookup($D465,IMPORTRANGE(""https://docs.google.com/spreadsheets/d/1swGwZOEqYlTEUCJLY-eeJM1911Kvaei5oySBIxdgtNo/edit?pli=1#gid=257618397"",""stock FAKTUR!B:e""),4,false)"),"")</f>
        <v/>
      </c>
      <c r="H465" s="53" t="str">
        <f>IFERROR(__xludf.DUMMYFUNCTION("vlookup($D465,IMPORTRANGE(""https://docs.google.com/spreadsheets/d/1swGwZOEqYlTEUCJLY-eeJM1911Kvaei5oySBIxdgtNo/edit?pli=1#gid=257618397"",""stock FAKTUR!B:F""),5,false)"),"JK")</f>
        <v>JK</v>
      </c>
      <c r="I465" s="53" t="str">
        <f>IFERROR(__xludf.DUMMYFUNCTION("vlookup($D465,IMPORTRANGE(""https://docs.google.com/spreadsheets/d/1swGwZOEqYlTEUCJLY-eeJM1911Kvaei5oySBIxdgtNo/edit?pli=1#gid=257618397"",""stock FAKTUR!B:G""),6,false)"),"")</f>
        <v/>
      </c>
      <c r="J465" s="120" t="str">
        <f t="shared" si="25"/>
        <v>ADA</v>
      </c>
      <c r="K465" s="142">
        <v>48.0</v>
      </c>
      <c r="L465" s="145" t="str">
        <f>IFERROR(__xludf.DUMMYFUNCTION("vlookup($D465,IMPORTRANGE(""https://docs.google.com/spreadsheets/d/1swGwZOEqYlTEUCJLY-eeJM1911Kvaei5oySBIxdgtNo/edit?pli=1#gid=257618397"",""stock FAKTUR!B:q""),16,false)"),"LSN")</f>
        <v>LSN</v>
      </c>
      <c r="M465" s="147">
        <v>31200.0</v>
      </c>
      <c r="N465" s="152">
        <v>0.125</v>
      </c>
      <c r="O465" s="147">
        <f t="shared" si="134"/>
        <v>1310400</v>
      </c>
      <c r="P465" s="147" t="str">
        <f t="shared" si="3"/>
        <v>Rp31,200-48 LSN-12.50%</v>
      </c>
      <c r="Q465" s="149">
        <v>45419.0</v>
      </c>
      <c r="R465" s="150"/>
      <c r="S465" s="149">
        <v>45420.0</v>
      </c>
      <c r="T465" s="151"/>
      <c r="U465" s="151"/>
      <c r="V465" s="151"/>
      <c r="W465" s="151"/>
    </row>
    <row r="466">
      <c r="A466" s="142">
        <v>3117.0</v>
      </c>
      <c r="B466" s="143" t="str">
        <f t="shared" ref="B466:B472" si="137">IF(A466=A465,B465,"")</f>
        <v>H</v>
      </c>
      <c r="C466" s="143" t="str">
        <f t="shared" ref="C466:C472" si="138">IF(A466=A465,C465,"")</f>
        <v>MERPATI-MALANG</v>
      </c>
      <c r="D466" s="159" t="s">
        <v>4651</v>
      </c>
      <c r="E466" s="145" t="str">
        <f>IFERROR(__xludf.DUMMYFUNCTION("vlookup(D466,IMPORTRANGE(""https://docs.google.com/spreadsheets/d/1swGwZOEqYlTEUCJLY-eeJM1911Kvaei5oySBIxdgtNo/edit?pli=1#gid=257618397"",""stock FAKTUR!B:C""),2,false)"),"BINDER JK TSSR-M498 A5 SPIRIT")</f>
        <v>BINDER JK TSSR-M498 A5 SPIRIT</v>
      </c>
      <c r="F466" s="53" t="str">
        <f>IFERROR(__xludf.DUMMYFUNCTION("vlookup($D466,IMPORTRANGE(""https://docs.google.com/spreadsheets/d/1swGwZOEqYlTEUCJLY-eeJM1911Kvaei5oySBIxdgtNo/edit?pli=1#gid=257618397"",""stock FAKTUR!B:d""),3,false)"),"A5")</f>
        <v>A5</v>
      </c>
      <c r="G466" s="53" t="str">
        <f>IFERROR(__xludf.DUMMYFUNCTION("vlookup($D466,IMPORTRANGE(""https://docs.google.com/spreadsheets/d/1swGwZOEqYlTEUCJLY-eeJM1911Kvaei5oySBIxdgtNo/edit?pli=1#gid=257618397"",""stock FAKTUR!B:e""),4,false)"),"")</f>
        <v/>
      </c>
      <c r="H466" s="53" t="str">
        <f>IFERROR(__xludf.DUMMYFUNCTION("vlookup($D466,IMPORTRANGE(""https://docs.google.com/spreadsheets/d/1swGwZOEqYlTEUCJLY-eeJM1911Kvaei5oySBIxdgtNo/edit?pli=1#gid=257618397"",""stock FAKTUR!B:F""),5,false)"),"JK")</f>
        <v>JK</v>
      </c>
      <c r="I466" s="53" t="str">
        <f>IFERROR(__xludf.DUMMYFUNCTION("vlookup($D466,IMPORTRANGE(""https://docs.google.com/spreadsheets/d/1swGwZOEqYlTEUCJLY-eeJM1911Kvaei5oySBIxdgtNo/edit?pli=1#gid=257618397"",""stock FAKTUR!B:G""),6,false)"),"TSSR-M498")</f>
        <v>TSSR-M498</v>
      </c>
      <c r="J466" s="120" t="str">
        <f t="shared" si="25"/>
        <v>ADA</v>
      </c>
      <c r="K466" s="142">
        <v>72.0</v>
      </c>
      <c r="L466" s="145" t="str">
        <f>IFERROR(__xludf.DUMMYFUNCTION("vlookup($D466,IMPORTRANGE(""https://docs.google.com/spreadsheets/d/1swGwZOEqYlTEUCJLY-eeJM1911Kvaei5oySBIxdgtNo/edit?pli=1#gid=257618397"",""stock FAKTUR!B:q""),16,false)"),"PCS")</f>
        <v>PCS</v>
      </c>
      <c r="M466" s="147">
        <v>14900.0</v>
      </c>
      <c r="N466" s="152">
        <v>0.125</v>
      </c>
      <c r="O466" s="147">
        <f t="shared" si="134"/>
        <v>938700</v>
      </c>
      <c r="P466" s="147" t="str">
        <f t="shared" si="3"/>
        <v>Rp14,900-72 PCS-12.50%</v>
      </c>
      <c r="Q466" s="149">
        <v>45419.0</v>
      </c>
      <c r="R466" s="150"/>
      <c r="S466" s="149">
        <v>45420.0</v>
      </c>
      <c r="T466" s="151"/>
      <c r="U466" s="151"/>
      <c r="V466" s="151"/>
      <c r="W466" s="151"/>
    </row>
    <row r="467">
      <c r="A467" s="142">
        <v>3117.0</v>
      </c>
      <c r="B467" s="143" t="str">
        <f t="shared" si="137"/>
        <v>H</v>
      </c>
      <c r="C467" s="143" t="str">
        <f t="shared" si="138"/>
        <v>MERPATI-MALANG</v>
      </c>
      <c r="D467" s="145" t="s">
        <v>4652</v>
      </c>
      <c r="E467" s="145" t="str">
        <f>IFERROR(__xludf.DUMMYFUNCTION("vlookup(D467,IMPORTRANGE(""https://docs.google.com/spreadsheets/d/1swGwZOEqYlTEUCJLY-eeJM1911Kvaei5oySBIxdgtNo/edit?pli=1#gid=257618397"",""stock FAKTUR!B:C""),2,false)"),"BINDER JK TSTP-513 A5 TEMPORARY")</f>
        <v>BINDER JK TSTP-513 A5 TEMPORARY</v>
      </c>
      <c r="F467" s="53" t="str">
        <f>IFERROR(__xludf.DUMMYFUNCTION("vlookup($D467,IMPORTRANGE(""https://docs.google.com/spreadsheets/d/1swGwZOEqYlTEUCJLY-eeJM1911Kvaei5oySBIxdgtNo/edit?pli=1#gid=257618397"",""stock FAKTUR!B:d""),3,false)"),"A5")</f>
        <v>A5</v>
      </c>
      <c r="G467" s="53" t="str">
        <f>IFERROR(__xludf.DUMMYFUNCTION("vlookup($D467,IMPORTRANGE(""https://docs.google.com/spreadsheets/d/1swGwZOEqYlTEUCJLY-eeJM1911Kvaei5oySBIxdgtNo/edit?pli=1#gid=257618397"",""stock FAKTUR!B:e""),4,false)"),"")</f>
        <v/>
      </c>
      <c r="H467" s="53" t="str">
        <f>IFERROR(__xludf.DUMMYFUNCTION("vlookup($D467,IMPORTRANGE(""https://docs.google.com/spreadsheets/d/1swGwZOEqYlTEUCJLY-eeJM1911Kvaei5oySBIxdgtNo/edit?pli=1#gid=257618397"",""stock FAKTUR!B:F""),5,false)"),"JK")</f>
        <v>JK</v>
      </c>
      <c r="I467" s="53" t="str">
        <f>IFERROR(__xludf.DUMMYFUNCTION("vlookup($D467,IMPORTRANGE(""https://docs.google.com/spreadsheets/d/1swGwZOEqYlTEUCJLY-eeJM1911Kvaei5oySBIxdgtNo/edit?pli=1#gid=257618397"",""stock FAKTUR!B:G""),6,false)"),"TSTP-513")</f>
        <v>TSTP-513</v>
      </c>
      <c r="J467" s="120" t="str">
        <f t="shared" si="25"/>
        <v>ADA</v>
      </c>
      <c r="K467" s="142">
        <v>72.0</v>
      </c>
      <c r="L467" s="145" t="str">
        <f>IFERROR(__xludf.DUMMYFUNCTION("vlookup($D467,IMPORTRANGE(""https://docs.google.com/spreadsheets/d/1swGwZOEqYlTEUCJLY-eeJM1911Kvaei5oySBIxdgtNo/edit?pli=1#gid=257618397"",""stock FAKTUR!B:q""),16,false)"),"PCS")</f>
        <v>PCS</v>
      </c>
      <c r="M467" s="147">
        <v>14900.0</v>
      </c>
      <c r="N467" s="152">
        <v>0.125</v>
      </c>
      <c r="O467" s="147">
        <f t="shared" si="134"/>
        <v>938700</v>
      </c>
      <c r="P467" s="147" t="str">
        <f t="shared" si="3"/>
        <v>Rp14,900-72 PCS-12.50%</v>
      </c>
      <c r="Q467" s="149">
        <v>45419.0</v>
      </c>
      <c r="R467" s="150"/>
      <c r="S467" s="149">
        <v>45420.0</v>
      </c>
      <c r="T467" s="151"/>
      <c r="U467" s="151"/>
      <c r="V467" s="151"/>
      <c r="W467" s="151"/>
    </row>
    <row r="468">
      <c r="A468" s="160">
        <v>3117.0</v>
      </c>
      <c r="B468" s="161" t="str">
        <f t="shared" si="137"/>
        <v>H</v>
      </c>
      <c r="C468" s="161" t="str">
        <f t="shared" si="138"/>
        <v>MERPATI-MALANG</v>
      </c>
      <c r="D468" s="49" t="s">
        <v>4653</v>
      </c>
      <c r="E468" s="145" t="str">
        <f>IFERROR(__xludf.DUMMYFUNCTION("vlookup(D468,IMPORTRANGE(""https://docs.google.com/spreadsheets/d/1swGwZOEqYlTEUCJLY-eeJM1911Kvaei5oySBIxdgtNo/edit?pli=1#gid=257618397"",""stock FAKTUR!B:C""),2,false)"),"BINDER JK TSAC-M477 A5")</f>
        <v>BINDER JK TSAC-M477 A5</v>
      </c>
      <c r="F468" s="53" t="str">
        <f>IFERROR(__xludf.DUMMYFUNCTION("vlookup($D468,IMPORTRANGE(""https://docs.google.com/spreadsheets/d/1swGwZOEqYlTEUCJLY-eeJM1911Kvaei5oySBIxdgtNo/edit?pli=1#gid=257618397"",""stock FAKTUR!B:d""),3,false)"),"A5")</f>
        <v>A5</v>
      </c>
      <c r="G468" s="53" t="str">
        <f>IFERROR(__xludf.DUMMYFUNCTION("vlookup($D468,IMPORTRANGE(""https://docs.google.com/spreadsheets/d/1swGwZOEqYlTEUCJLY-eeJM1911Kvaei5oySBIxdgtNo/edit?pli=1#gid=257618397"",""stock FAKTUR!B:e""),4,false)"),"")</f>
        <v/>
      </c>
      <c r="H468" s="53" t="str">
        <f>IFERROR(__xludf.DUMMYFUNCTION("vlookup($D468,IMPORTRANGE(""https://docs.google.com/spreadsheets/d/1swGwZOEqYlTEUCJLY-eeJM1911Kvaei5oySBIxdgtNo/edit?pli=1#gid=257618397"",""stock FAKTUR!B:F""),5,false)"),"JK")</f>
        <v>JK</v>
      </c>
      <c r="I468" s="53" t="str">
        <f>IFERROR(__xludf.DUMMYFUNCTION("vlookup($D468,IMPORTRANGE(""https://docs.google.com/spreadsheets/d/1swGwZOEqYlTEUCJLY-eeJM1911Kvaei5oySBIxdgtNo/edit?pli=1#gid=257618397"",""stock FAKTUR!B:G""),6,false)"),"TSAC-M477")</f>
        <v>TSAC-M477</v>
      </c>
      <c r="J468" s="120" t="str">
        <f t="shared" si="25"/>
        <v>ADA</v>
      </c>
      <c r="K468" s="160">
        <v>72.0</v>
      </c>
      <c r="L468" s="145" t="str">
        <f>IFERROR(__xludf.DUMMYFUNCTION("vlookup($D468,IMPORTRANGE(""https://docs.google.com/spreadsheets/d/1swGwZOEqYlTEUCJLY-eeJM1911Kvaei5oySBIxdgtNo/edit?pli=1#gid=257618397"",""stock FAKTUR!B:q""),16,false)"),"PCS")</f>
        <v>PCS</v>
      </c>
      <c r="M468" s="164">
        <v>14900.0</v>
      </c>
      <c r="N468" s="165">
        <v>0.125</v>
      </c>
      <c r="O468" s="164">
        <f t="shared" si="134"/>
        <v>938700</v>
      </c>
      <c r="P468" s="164" t="str">
        <f t="shared" si="3"/>
        <v>Rp14,900-72 PCS-12.50%</v>
      </c>
      <c r="Q468" s="166">
        <v>45419.0</v>
      </c>
      <c r="R468" s="167"/>
      <c r="S468" s="166">
        <v>45420.0</v>
      </c>
      <c r="T468" s="162" t="s">
        <v>4654</v>
      </c>
      <c r="U468" s="173" t="s">
        <v>4390</v>
      </c>
      <c r="V468" s="162"/>
      <c r="W468" s="159"/>
    </row>
    <row r="469">
      <c r="A469" s="160">
        <v>3117.0</v>
      </c>
      <c r="B469" s="161" t="str">
        <f t="shared" si="137"/>
        <v>H</v>
      </c>
      <c r="C469" s="161" t="str">
        <f t="shared" si="138"/>
        <v>MERPATI-MALANG</v>
      </c>
      <c r="D469" s="49" t="s">
        <v>4655</v>
      </c>
      <c r="E469" s="145" t="str">
        <f>IFERROR(__xludf.DUMMYFUNCTION("vlookup(D469,IMPORTRANGE(""https://docs.google.com/spreadsheets/d/1swGwZOEqYlTEUCJLY-eeJM1911Kvaei5oySBIxdgtNo/edit?pli=1#gid=257618397"",""stock FAKTUR!B:C""),2,false)"),"BINDER JK TSCL-M474 A5")</f>
        <v>BINDER JK TSCL-M474 A5</v>
      </c>
      <c r="F469" s="53" t="str">
        <f>IFERROR(__xludf.DUMMYFUNCTION("vlookup($D469,IMPORTRANGE(""https://docs.google.com/spreadsheets/d/1swGwZOEqYlTEUCJLY-eeJM1911Kvaei5oySBIxdgtNo/edit?pli=1#gid=257618397"",""stock FAKTUR!B:d""),3,false)"),"A5")</f>
        <v>A5</v>
      </c>
      <c r="G469" s="53" t="str">
        <f>IFERROR(__xludf.DUMMYFUNCTION("vlookup($D469,IMPORTRANGE(""https://docs.google.com/spreadsheets/d/1swGwZOEqYlTEUCJLY-eeJM1911Kvaei5oySBIxdgtNo/edit?pli=1#gid=257618397"",""stock FAKTUR!B:e""),4,false)"),"")</f>
        <v/>
      </c>
      <c r="H469" s="53" t="str">
        <f>IFERROR(__xludf.DUMMYFUNCTION("vlookup($D469,IMPORTRANGE(""https://docs.google.com/spreadsheets/d/1swGwZOEqYlTEUCJLY-eeJM1911Kvaei5oySBIxdgtNo/edit?pli=1#gid=257618397"",""stock FAKTUR!B:F""),5,false)"),"JK")</f>
        <v>JK</v>
      </c>
      <c r="I469" s="53" t="str">
        <f>IFERROR(__xludf.DUMMYFUNCTION("vlookup($D469,IMPORTRANGE(""https://docs.google.com/spreadsheets/d/1swGwZOEqYlTEUCJLY-eeJM1911Kvaei5oySBIxdgtNo/edit?pli=1#gid=257618397"",""stock FAKTUR!B:G""),6,false)"),"TSAL-M474")</f>
        <v>TSAL-M474</v>
      </c>
      <c r="J469" s="120" t="str">
        <f t="shared" si="25"/>
        <v>ADA</v>
      </c>
      <c r="K469" s="160">
        <v>72.0</v>
      </c>
      <c r="L469" s="145" t="str">
        <f>IFERROR(__xludf.DUMMYFUNCTION("vlookup($D469,IMPORTRANGE(""https://docs.google.com/spreadsheets/d/1swGwZOEqYlTEUCJLY-eeJM1911Kvaei5oySBIxdgtNo/edit?pli=1#gid=257618397"",""stock FAKTUR!B:q""),16,false)"),"PCS")</f>
        <v>PCS</v>
      </c>
      <c r="M469" s="164">
        <v>14900.0</v>
      </c>
      <c r="N469" s="165">
        <v>0.125</v>
      </c>
      <c r="O469" s="164">
        <f t="shared" si="134"/>
        <v>938700</v>
      </c>
      <c r="P469" s="164" t="str">
        <f t="shared" si="3"/>
        <v>Rp14,900-72 PCS-12.50%</v>
      </c>
      <c r="Q469" s="166">
        <v>45419.0</v>
      </c>
      <c r="R469" s="167"/>
      <c r="S469" s="166">
        <v>45420.0</v>
      </c>
      <c r="T469" s="162" t="s">
        <v>4654</v>
      </c>
      <c r="U469" s="173" t="s">
        <v>4390</v>
      </c>
      <c r="V469" s="162"/>
      <c r="W469" s="159"/>
    </row>
    <row r="470">
      <c r="A470" s="142">
        <v>3117.0</v>
      </c>
      <c r="B470" s="143" t="str">
        <f t="shared" si="137"/>
        <v>H</v>
      </c>
      <c r="C470" s="143" t="str">
        <f t="shared" si="138"/>
        <v>MERPATI-MALANG</v>
      </c>
      <c r="D470" s="145" t="s">
        <v>4656</v>
      </c>
      <c r="E470" s="145" t="str">
        <f>IFERROR(__xludf.DUMMYFUNCTION("vlookup(D470,IMPORTRANGE(""https://docs.google.com/spreadsheets/d/1swGwZOEqYlTEUCJLY-eeJM1911Kvaei5oySBIxdgtNo/edit?pli=1#gid=257618397"",""stock FAKTUR!B:C""),2,false)"),"BINDER JK TSCL-M491 A5 COLLEGE")</f>
        <v>BINDER JK TSCL-M491 A5 COLLEGE</v>
      </c>
      <c r="F470" s="53" t="str">
        <f>IFERROR(__xludf.DUMMYFUNCTION("vlookup($D470,IMPORTRANGE(""https://docs.google.com/spreadsheets/d/1swGwZOEqYlTEUCJLY-eeJM1911Kvaei5oySBIxdgtNo/edit?pli=1#gid=257618397"",""stock FAKTUR!B:d""),3,false)"),"A5")</f>
        <v>A5</v>
      </c>
      <c r="G470" s="53" t="str">
        <f>IFERROR(__xludf.DUMMYFUNCTION("vlookup($D470,IMPORTRANGE(""https://docs.google.com/spreadsheets/d/1swGwZOEqYlTEUCJLY-eeJM1911Kvaei5oySBIxdgtNo/edit?pli=1#gid=257618397"",""stock FAKTUR!B:e""),4,false)"),"")</f>
        <v/>
      </c>
      <c r="H470" s="53" t="str">
        <f>IFERROR(__xludf.DUMMYFUNCTION("vlookup($D470,IMPORTRANGE(""https://docs.google.com/spreadsheets/d/1swGwZOEqYlTEUCJLY-eeJM1911Kvaei5oySBIxdgtNo/edit?pli=1#gid=257618397"",""stock FAKTUR!B:F""),5,false)"),"JK")</f>
        <v>JK</v>
      </c>
      <c r="I470" s="53" t="str">
        <f>IFERROR(__xludf.DUMMYFUNCTION("vlookup($D470,IMPORTRANGE(""https://docs.google.com/spreadsheets/d/1swGwZOEqYlTEUCJLY-eeJM1911Kvaei5oySBIxdgtNo/edit?pli=1#gid=257618397"",""stock FAKTUR!B:G""),6,false)"),"TSCL-M491")</f>
        <v>TSCL-M491</v>
      </c>
      <c r="J470" s="120" t="str">
        <f t="shared" si="25"/>
        <v>ADA</v>
      </c>
      <c r="K470" s="142">
        <v>72.0</v>
      </c>
      <c r="L470" s="145" t="str">
        <f>IFERROR(__xludf.DUMMYFUNCTION("vlookup($D470,IMPORTRANGE(""https://docs.google.com/spreadsheets/d/1swGwZOEqYlTEUCJLY-eeJM1911Kvaei5oySBIxdgtNo/edit?pli=1#gid=257618397"",""stock FAKTUR!B:q""),16,false)"),"PCS")</f>
        <v>PCS</v>
      </c>
      <c r="M470" s="147">
        <v>14900.0</v>
      </c>
      <c r="N470" s="152">
        <v>0.125</v>
      </c>
      <c r="O470" s="147">
        <f t="shared" si="134"/>
        <v>938700</v>
      </c>
      <c r="P470" s="147" t="str">
        <f t="shared" si="3"/>
        <v>Rp14,900-72 PCS-12.50%</v>
      </c>
      <c r="Q470" s="149">
        <v>45419.0</v>
      </c>
      <c r="R470" s="150"/>
      <c r="S470" s="149">
        <v>45420.0</v>
      </c>
      <c r="T470" s="151"/>
      <c r="U470" s="151"/>
      <c r="V470" s="151"/>
      <c r="W470" s="151"/>
    </row>
    <row r="471">
      <c r="A471" s="153">
        <v>3117.0</v>
      </c>
      <c r="B471" s="144" t="str">
        <f t="shared" si="137"/>
        <v>H</v>
      </c>
      <c r="C471" s="144" t="str">
        <f t="shared" si="138"/>
        <v>MERPATI-MALANG</v>
      </c>
      <c r="D471" s="145" t="s">
        <v>4657</v>
      </c>
      <c r="E471" s="145" t="str">
        <f>IFERROR(__xludf.DUMMYFUNCTION("vlookup(D471,IMPORTRANGE(""https://docs.google.com/spreadsheets/d/1swGwZOEqYlTEUCJLY-eeJM1911Kvaei5oySBIxdgtNo/edit?pli=1#gid=257618397"",""stock FAKTUR!B:C""),2,false)"),"LEM STICK JK GS-104 (ANIMAL KINGDOM)")</f>
        <v>LEM STICK JK GS-104 (ANIMAL KINGDOM)</v>
      </c>
      <c r="F471" s="53" t="str">
        <f>IFERROR(__xludf.DUMMYFUNCTION("vlookup($D471,IMPORTRANGE(""https://docs.google.com/spreadsheets/d/1swGwZOEqYlTEUCJLY-eeJM1911Kvaei5oySBIxdgtNo/edit?pli=1#gid=257618397"",""stock FAKTUR!B:d""),3,false)"),"")</f>
        <v/>
      </c>
      <c r="G471" s="53" t="str">
        <f>IFERROR(__xludf.DUMMYFUNCTION("vlookup($D471,IMPORTRANGE(""https://docs.google.com/spreadsheets/d/1swGwZOEqYlTEUCJLY-eeJM1911Kvaei5oySBIxdgtNo/edit?pli=1#gid=257618397"",""stock FAKTUR!B:e""),4,false)"),"")</f>
        <v/>
      </c>
      <c r="H471" s="53" t="str">
        <f>IFERROR(__xludf.DUMMYFUNCTION("vlookup($D471,IMPORTRANGE(""https://docs.google.com/spreadsheets/d/1swGwZOEqYlTEUCJLY-eeJM1911Kvaei5oySBIxdgtNo/edit?pli=1#gid=257618397"",""stock FAKTUR!B:F""),5,false)"),"JK")</f>
        <v>JK</v>
      </c>
      <c r="I471" s="53" t="str">
        <f>IFERROR(__xludf.DUMMYFUNCTION("vlookup($D471,IMPORTRANGE(""https://docs.google.com/spreadsheets/d/1swGwZOEqYlTEUCJLY-eeJM1911Kvaei5oySBIxdgtNo/edit?pli=1#gid=257618397"",""stock FAKTUR!B:G""),6,false)"),"GS-104")</f>
        <v>GS-104</v>
      </c>
      <c r="J471" s="120" t="str">
        <f t="shared" si="25"/>
        <v>ADA</v>
      </c>
      <c r="K471" s="153">
        <v>72.0</v>
      </c>
      <c r="L471" s="145" t="str">
        <f>IFERROR(__xludf.DUMMYFUNCTION("vlookup($D471,IMPORTRANGE(""https://docs.google.com/spreadsheets/d/1swGwZOEqYlTEUCJLY-eeJM1911Kvaei5oySBIxdgtNo/edit?pli=1#gid=257618397"",""stock FAKTUR!B:q""),16,false)"),"BOX")</f>
        <v>BOX</v>
      </c>
      <c r="M471" s="155">
        <f>24*2450</f>
        <v>58800</v>
      </c>
      <c r="N471" s="156">
        <v>0.125</v>
      </c>
      <c r="O471" s="155">
        <f t="shared" si="134"/>
        <v>3704400</v>
      </c>
      <c r="P471" s="155" t="str">
        <f t="shared" si="3"/>
        <v>Rp58,800-72 BOX-12.50%</v>
      </c>
      <c r="Q471" s="157">
        <v>45419.0</v>
      </c>
      <c r="R471" s="158"/>
      <c r="S471" s="157">
        <v>45420.0</v>
      </c>
      <c r="T471" s="145" t="s">
        <v>4581</v>
      </c>
      <c r="U471" s="145" t="s">
        <v>4658</v>
      </c>
      <c r="V471" s="145"/>
      <c r="W471" s="159"/>
    </row>
    <row r="472">
      <c r="A472" s="142">
        <v>3117.0</v>
      </c>
      <c r="B472" s="143" t="str">
        <f t="shared" si="137"/>
        <v>H</v>
      </c>
      <c r="C472" s="143" t="str">
        <f t="shared" si="138"/>
        <v>MERPATI-MALANG</v>
      </c>
      <c r="D472" s="145" t="s">
        <v>4659</v>
      </c>
      <c r="E472" s="145" t="str">
        <f>IFERROR(__xludf.DUMMYFUNCTION("vlookup(D472,IMPORTRANGE(""https://docs.google.com/spreadsheets/d/1swGwZOEqYlTEUCJLY-eeJM1911Kvaei5oySBIxdgtNo/edit?pli=1#gid=257618397"",""stock FAKTUR!B:C""),2,false)"),"STAPLER JK HD-10")</f>
        <v>STAPLER JK HD-10</v>
      </c>
      <c r="F472" s="53" t="str">
        <f>IFERROR(__xludf.DUMMYFUNCTION("vlookup($D472,IMPORTRANGE(""https://docs.google.com/spreadsheets/d/1swGwZOEqYlTEUCJLY-eeJM1911Kvaei5oySBIxdgtNo/edit?pli=1#gid=257618397"",""stock FAKTUR!B:d""),3,false)"),"")</f>
        <v/>
      </c>
      <c r="G472" s="53" t="str">
        <f>IFERROR(__xludf.DUMMYFUNCTION("vlookup($D472,IMPORTRANGE(""https://docs.google.com/spreadsheets/d/1swGwZOEqYlTEUCJLY-eeJM1911Kvaei5oySBIxdgtNo/edit?pli=1#gid=257618397"",""stock FAKTUR!B:e""),4,false)"),"")</f>
        <v/>
      </c>
      <c r="H472" s="53" t="str">
        <f>IFERROR(__xludf.DUMMYFUNCTION("vlookup($D472,IMPORTRANGE(""https://docs.google.com/spreadsheets/d/1swGwZOEqYlTEUCJLY-eeJM1911Kvaei5oySBIxdgtNo/edit?pli=1#gid=257618397"",""stock FAKTUR!B:F""),5,false)"),"JK")</f>
        <v>JK</v>
      </c>
      <c r="I472" s="53" t="str">
        <f>IFERROR(__xludf.DUMMYFUNCTION("vlookup($D472,IMPORTRANGE(""https://docs.google.com/spreadsheets/d/1swGwZOEqYlTEUCJLY-eeJM1911Kvaei5oySBIxdgtNo/edit?pli=1#gid=257618397"",""stock FAKTUR!B:G""),6,false)"),"HD-10")</f>
        <v>HD-10</v>
      </c>
      <c r="J472" s="120" t="str">
        <f t="shared" si="25"/>
        <v>ADA</v>
      </c>
      <c r="K472" s="142">
        <v>40.0</v>
      </c>
      <c r="L472" s="145" t="str">
        <f>IFERROR(__xludf.DUMMYFUNCTION("vlookup($D472,IMPORTRANGE(""https://docs.google.com/spreadsheets/d/1swGwZOEqYlTEUCJLY-eeJM1911Kvaei5oySBIxdgtNo/edit?pli=1#gid=257618397"",""stock FAKTUR!B:q""),16,false)"),"LSN")</f>
        <v>LSN</v>
      </c>
      <c r="M472" s="147">
        <v>85200.0</v>
      </c>
      <c r="N472" s="152">
        <v>0.125</v>
      </c>
      <c r="O472" s="147">
        <f t="shared" si="134"/>
        <v>2982000</v>
      </c>
      <c r="P472" s="147" t="str">
        <f t="shared" si="3"/>
        <v>Rp85,200-40 LSN-12.50%</v>
      </c>
      <c r="Q472" s="149">
        <v>45419.0</v>
      </c>
      <c r="R472" s="150"/>
      <c r="S472" s="149">
        <v>45420.0</v>
      </c>
      <c r="T472" s="151"/>
      <c r="U472" s="151"/>
      <c r="V472" s="151"/>
      <c r="W472" s="151"/>
    </row>
    <row r="473">
      <c r="A473" s="153">
        <v>2994.0</v>
      </c>
      <c r="B473" s="144" t="s">
        <v>33</v>
      </c>
      <c r="C473" s="144" t="s">
        <v>1452</v>
      </c>
      <c r="D473" s="145" t="s">
        <v>4488</v>
      </c>
      <c r="E473" s="145" t="str">
        <f>IFERROR(__xludf.DUMMYFUNCTION("vlookup(D473,IMPORTRANGE(""https://docs.google.com/spreadsheets/d/1swGwZOEqYlTEUCJLY-eeJM1911Kvaei5oySBIxdgtNo/edit?pli=1#gid=257618397"",""stock FAKTUR!B:C""),2,false)"),"LABEL HARGA KENKO 6001-2R (1 LINE)")</f>
        <v>LABEL HARGA KENKO 6001-2R (1 LINE)</v>
      </c>
      <c r="F473" s="53" t="str">
        <f>IFERROR(__xludf.DUMMYFUNCTION("vlookup($D473,IMPORTRANGE(""https://docs.google.com/spreadsheets/d/1swGwZOEqYlTEUCJLY-eeJM1911Kvaei5oySBIxdgtNo/edit?pli=1#gid=257618397"",""stock FAKTUR!B:d""),3,false)"),"")</f>
        <v/>
      </c>
      <c r="G473" s="53" t="str">
        <f>IFERROR(__xludf.DUMMYFUNCTION("vlookup($D473,IMPORTRANGE(""https://docs.google.com/spreadsheets/d/1swGwZOEqYlTEUCJLY-eeJM1911Kvaei5oySBIxdgtNo/edit?pli=1#gid=257618397"",""stock FAKTUR!B:e""),4,false)"),"")</f>
        <v/>
      </c>
      <c r="H473" s="53" t="str">
        <f>IFERROR(__xludf.DUMMYFUNCTION("vlookup($D473,IMPORTRANGE(""https://docs.google.com/spreadsheets/d/1swGwZOEqYlTEUCJLY-eeJM1911Kvaei5oySBIxdgtNo/edit?pli=1#gid=257618397"",""stock FAKTUR!B:F""),5,false)"),"KN")</f>
        <v>KN</v>
      </c>
      <c r="I473" s="53" t="str">
        <f>IFERROR(__xludf.DUMMYFUNCTION("vlookup($D473,IMPORTRANGE(""https://docs.google.com/spreadsheets/d/1swGwZOEqYlTEUCJLY-eeJM1911Kvaei5oySBIxdgtNo/edit?pli=1#gid=257618397"",""stock FAKTUR!B:G""),6,false)"),"PLB-001")</f>
        <v>PLB-001</v>
      </c>
      <c r="J473" s="120" t="str">
        <f t="shared" si="25"/>
        <v>ADA</v>
      </c>
      <c r="K473" s="153">
        <v>100.0</v>
      </c>
      <c r="L473" s="145" t="str">
        <f>IFERROR(__xludf.DUMMYFUNCTION("vlookup($D473,IMPORTRANGE(""https://docs.google.com/spreadsheets/d/1swGwZOEqYlTEUCJLY-eeJM1911Kvaei5oySBIxdgtNo/edit?pli=1#gid=257618397"",""stock FAKTUR!B:q""),16,false)"),"PAK")</f>
        <v>PAK</v>
      </c>
      <c r="M473" s="155">
        <v>21000.0</v>
      </c>
      <c r="N473" s="156">
        <v>0.14</v>
      </c>
      <c r="O473" s="155">
        <f t="shared" si="134"/>
        <v>1806000</v>
      </c>
      <c r="P473" s="155" t="str">
        <f t="shared" si="3"/>
        <v>Rp21,000-100 PAK-14.00%</v>
      </c>
      <c r="Q473" s="157">
        <v>45419.0</v>
      </c>
      <c r="R473" s="158"/>
      <c r="S473" s="157">
        <v>45420.0</v>
      </c>
      <c r="T473" s="145" t="s">
        <v>4489</v>
      </c>
      <c r="U473" s="145" t="s">
        <v>4390</v>
      </c>
      <c r="V473" s="145"/>
      <c r="W473" s="159"/>
    </row>
    <row r="474">
      <c r="A474" s="142">
        <v>2994.0</v>
      </c>
      <c r="B474" s="143" t="str">
        <f t="shared" ref="B474:B476" si="139">IF(A474=A473,B473,"")</f>
        <v>H</v>
      </c>
      <c r="C474" s="143" t="str">
        <f t="shared" ref="C474:C476" si="140">IF(A474=A473,C473,"")</f>
        <v>SUKSES-SALATIGA</v>
      </c>
      <c r="D474" s="145" t="s">
        <v>4442</v>
      </c>
      <c r="E474" s="145" t="str">
        <f>IFERROR(__xludf.DUMMYFUNCTION("vlookup(D474,IMPORTRANGE(""https://docs.google.com/spreadsheets/d/1swGwZOEqYlTEUCJLY-eeJM1911Kvaei5oySBIxdgtNo/edit?pli=1#gid=257618397"",""stock FAKTUR!B:C""),2,false)"),"CUTTER KENKO A-300")</f>
        <v>CUTTER KENKO A-300</v>
      </c>
      <c r="F474" s="53" t="str">
        <f>IFERROR(__xludf.DUMMYFUNCTION("vlookup($D474,IMPORTRANGE(""https://docs.google.com/spreadsheets/d/1swGwZOEqYlTEUCJLY-eeJM1911Kvaei5oySBIxdgtNo/edit?pli=1#gid=257618397"",""stock FAKTUR!B:d""),3,false)"),"9 MM")</f>
        <v>9 MM</v>
      </c>
      <c r="G474" s="53" t="str">
        <f>IFERROR(__xludf.DUMMYFUNCTION("vlookup($D474,IMPORTRANGE(""https://docs.google.com/spreadsheets/d/1swGwZOEqYlTEUCJLY-eeJM1911Kvaei5oySBIxdgtNo/edit?pli=1#gid=257618397"",""stock FAKTUR!B:e""),4,false)"),"")</f>
        <v/>
      </c>
      <c r="H474" s="53" t="str">
        <f>IFERROR(__xludf.DUMMYFUNCTION("vlookup($D474,IMPORTRANGE(""https://docs.google.com/spreadsheets/d/1swGwZOEqYlTEUCJLY-eeJM1911Kvaei5oySBIxdgtNo/edit?pli=1#gid=257618397"",""stock FAKTUR!B:F""),5,false)"),"KN")</f>
        <v>KN</v>
      </c>
      <c r="I474" s="53" t="str">
        <f>IFERROR(__xludf.DUMMYFUNCTION("vlookup($D474,IMPORTRANGE(""https://docs.google.com/spreadsheets/d/1swGwZOEqYlTEUCJLY-eeJM1911Kvaei5oySBIxdgtNo/edit?pli=1#gid=257618397"",""stock FAKTUR!B:G""),6,false)"),"CTR-004")</f>
        <v>CTR-004</v>
      </c>
      <c r="J474" s="120" t="str">
        <f t="shared" si="25"/>
        <v>ADA</v>
      </c>
      <c r="K474" s="142">
        <v>5.0</v>
      </c>
      <c r="L474" s="145" t="str">
        <f>IFERROR(__xludf.DUMMYFUNCTION("vlookup($D474,IMPORTRANGE(""https://docs.google.com/spreadsheets/d/1swGwZOEqYlTEUCJLY-eeJM1911Kvaei5oySBIxdgtNo/edit?pli=1#gid=257618397"",""stock FAKTUR!B:q""),16,false)"),"LSN")</f>
        <v>LSN</v>
      </c>
      <c r="M474" s="147">
        <v>57000.0</v>
      </c>
      <c r="N474" s="152">
        <v>0.14</v>
      </c>
      <c r="O474" s="147">
        <f t="shared" si="134"/>
        <v>245100</v>
      </c>
      <c r="P474" s="147" t="str">
        <f t="shared" si="3"/>
        <v>Rp57,000-5 LSN-14.00%</v>
      </c>
      <c r="Q474" s="149">
        <v>45419.0</v>
      </c>
      <c r="R474" s="150"/>
      <c r="S474" s="149">
        <v>45420.0</v>
      </c>
      <c r="T474" s="151"/>
      <c r="U474" s="151"/>
      <c r="V474" s="151"/>
      <c r="W474" s="151"/>
    </row>
    <row r="475">
      <c r="A475" s="153">
        <v>2994.0</v>
      </c>
      <c r="B475" s="144" t="str">
        <f t="shared" si="139"/>
        <v>H</v>
      </c>
      <c r="C475" s="144" t="str">
        <f t="shared" si="140"/>
        <v>SUKSES-SALATIGA</v>
      </c>
      <c r="D475" s="145" t="s">
        <v>4660</v>
      </c>
      <c r="E475" s="145" t="str">
        <f>IFERROR(__xludf.DUMMYFUNCTION("vlookup(D475,IMPORTRANGE(""https://docs.google.com/spreadsheets/d/1swGwZOEqYlTEUCJLY-eeJM1911Kvaei5oySBIxdgtNo/edit?pli=1#gid=257618397"",""stock FAKTUR!B:C""),2,false)"),"CALCULATOR JK CC-8 CO BIRU")</f>
        <v>CALCULATOR JK CC-8 CO BIRU</v>
      </c>
      <c r="F475" s="53" t="str">
        <f>IFERROR(__xludf.DUMMYFUNCTION("vlookup($D475,IMPORTRANGE(""https://docs.google.com/spreadsheets/d/1swGwZOEqYlTEUCJLY-eeJM1911Kvaei5oySBIxdgtNo/edit?pli=1#gid=257618397"",""stock FAKTUR!B:d""),3,false)"),"")</f>
        <v/>
      </c>
      <c r="G475" s="53" t="str">
        <f>IFERROR(__xludf.DUMMYFUNCTION("vlookup($D475,IMPORTRANGE(""https://docs.google.com/spreadsheets/d/1swGwZOEqYlTEUCJLY-eeJM1911Kvaei5oySBIxdgtNo/edit?pli=1#gid=257618397"",""stock FAKTUR!B:e""),4,false)"),"BIRU")</f>
        <v>BIRU</v>
      </c>
      <c r="H475" s="53" t="str">
        <f>IFERROR(__xludf.DUMMYFUNCTION("vlookup($D475,IMPORTRANGE(""https://docs.google.com/spreadsheets/d/1swGwZOEqYlTEUCJLY-eeJM1911Kvaei5oySBIxdgtNo/edit?pli=1#gid=257618397"",""stock FAKTUR!B:F""),5,false)"),"JK")</f>
        <v>JK</v>
      </c>
      <c r="I475" s="53" t="str">
        <f>IFERROR(__xludf.DUMMYFUNCTION("vlookup($D475,IMPORTRANGE(""https://docs.google.com/spreadsheets/d/1swGwZOEqYlTEUCJLY-eeJM1911Kvaei5oySBIxdgtNo/edit?pli=1#gid=257618397"",""stock FAKTUR!B:G""),6,false)"),"CC-8")</f>
        <v>CC-8</v>
      </c>
      <c r="J475" s="120" t="str">
        <f t="shared" si="25"/>
        <v>ADA</v>
      </c>
      <c r="K475" s="153">
        <v>40.0</v>
      </c>
      <c r="L475" s="145" t="str">
        <f>IFERROR(__xludf.DUMMYFUNCTION("vlookup($D475,IMPORTRANGE(""https://docs.google.com/spreadsheets/d/1swGwZOEqYlTEUCJLY-eeJM1911Kvaei5oySBIxdgtNo/edit?pli=1#gid=257618397"",""stock FAKTUR!B:q""),16,false)"),"PCS")</f>
        <v>PCS</v>
      </c>
      <c r="M475" s="155">
        <v>38000.0</v>
      </c>
      <c r="N475" s="156">
        <v>0.14</v>
      </c>
      <c r="O475" s="155">
        <f t="shared" si="134"/>
        <v>1307200</v>
      </c>
      <c r="P475" s="155" t="str">
        <f t="shared" si="3"/>
        <v>Rp38,000-40 PCS-14.00%</v>
      </c>
      <c r="Q475" s="157">
        <v>45419.0</v>
      </c>
      <c r="R475" s="158"/>
      <c r="S475" s="157">
        <v>45420.0</v>
      </c>
      <c r="T475" s="145" t="s">
        <v>4661</v>
      </c>
      <c r="U475" s="145" t="s">
        <v>4390</v>
      </c>
      <c r="V475" s="145"/>
      <c r="W475" s="159"/>
    </row>
    <row r="476">
      <c r="A476" s="142">
        <v>2994.0</v>
      </c>
      <c r="B476" s="143" t="str">
        <f t="shared" si="139"/>
        <v>H</v>
      </c>
      <c r="C476" s="143" t="str">
        <f t="shared" si="140"/>
        <v>SUKSES-SALATIGA</v>
      </c>
      <c r="D476" s="159" t="s">
        <v>4662</v>
      </c>
      <c r="E476" s="145" t="str">
        <f>IFERROR(__xludf.DUMMYFUNCTION("vlookup(D476,IMPORTRANGE(""https://docs.google.com/spreadsheets/d/1swGwZOEqYlTEUCJLY-eeJM1911Kvaei5oySBIxdgtNo/edit?pli=1#gid=257618397"",""stock FAKTUR!B:C""),2,false)"),"CALCULATOR JK CC-868")</f>
        <v>CALCULATOR JK CC-868</v>
      </c>
      <c r="F476" s="53" t="str">
        <f>IFERROR(__xludf.DUMMYFUNCTION("vlookup($D476,IMPORTRANGE(""https://docs.google.com/spreadsheets/d/1swGwZOEqYlTEUCJLY-eeJM1911Kvaei5oySBIxdgtNo/edit?pli=1#gid=257618397"",""stock FAKTUR!B:d""),3,false)"),"")</f>
        <v/>
      </c>
      <c r="G476" s="53" t="str">
        <f>IFERROR(__xludf.DUMMYFUNCTION("vlookup($D476,IMPORTRANGE(""https://docs.google.com/spreadsheets/d/1swGwZOEqYlTEUCJLY-eeJM1911Kvaei5oySBIxdgtNo/edit?pli=1#gid=257618397"",""stock FAKTUR!B:e""),4,false)"),"")</f>
        <v/>
      </c>
      <c r="H476" s="53" t="str">
        <f>IFERROR(__xludf.DUMMYFUNCTION("vlookup($D476,IMPORTRANGE(""https://docs.google.com/spreadsheets/d/1swGwZOEqYlTEUCJLY-eeJM1911Kvaei5oySBIxdgtNo/edit?pli=1#gid=257618397"",""stock FAKTUR!B:F""),5,false)"),"JK")</f>
        <v>JK</v>
      </c>
      <c r="I476" s="53" t="str">
        <f>IFERROR(__xludf.DUMMYFUNCTION("vlookup($D476,IMPORTRANGE(""https://docs.google.com/spreadsheets/d/1swGwZOEqYlTEUCJLY-eeJM1911Kvaei5oySBIxdgtNo/edit?pli=1#gid=257618397"",""stock FAKTUR!B:G""),6,false)"),"CC-868")</f>
        <v>CC-868</v>
      </c>
      <c r="J476" s="120" t="str">
        <f t="shared" si="25"/>
        <v>ADA</v>
      </c>
      <c r="K476" s="142">
        <v>20.0</v>
      </c>
      <c r="L476" s="145" t="str">
        <f>IFERROR(__xludf.DUMMYFUNCTION("vlookup($D476,IMPORTRANGE(""https://docs.google.com/spreadsheets/d/1swGwZOEqYlTEUCJLY-eeJM1911Kvaei5oySBIxdgtNo/edit?pli=1#gid=257618397"",""stock FAKTUR!B:q""),16,false)"),"PCS")</f>
        <v>PCS</v>
      </c>
      <c r="M476" s="147">
        <v>54000.0</v>
      </c>
      <c r="N476" s="152">
        <v>0.14</v>
      </c>
      <c r="O476" s="147">
        <f t="shared" si="134"/>
        <v>928800</v>
      </c>
      <c r="P476" s="147" t="str">
        <f t="shared" si="3"/>
        <v>Rp54,000-20 PCS-14.00%</v>
      </c>
      <c r="Q476" s="149">
        <v>45419.0</v>
      </c>
      <c r="R476" s="150"/>
      <c r="S476" s="149">
        <v>45420.0</v>
      </c>
      <c r="T476" s="151"/>
      <c r="U476" s="151"/>
      <c r="V476" s="151"/>
      <c r="W476" s="151"/>
    </row>
    <row r="477">
      <c r="A477" s="142">
        <v>2995.0</v>
      </c>
      <c r="B477" s="143" t="s">
        <v>33</v>
      </c>
      <c r="C477" s="143" t="s">
        <v>625</v>
      </c>
      <c r="D477" s="145" t="s">
        <v>4488</v>
      </c>
      <c r="E477" s="145" t="str">
        <f>IFERROR(__xludf.DUMMYFUNCTION("vlookup(D477,IMPORTRANGE(""https://docs.google.com/spreadsheets/d/1swGwZOEqYlTEUCJLY-eeJM1911Kvaei5oySBIxdgtNo/edit?pli=1#gid=257618397"",""stock FAKTUR!B:C""),2,false)"),"LABEL HARGA KENKO 6001-2R (1 LINE)")</f>
        <v>LABEL HARGA KENKO 6001-2R (1 LINE)</v>
      </c>
      <c r="F477" s="53" t="str">
        <f>IFERROR(__xludf.DUMMYFUNCTION("vlookup($D477,IMPORTRANGE(""https://docs.google.com/spreadsheets/d/1swGwZOEqYlTEUCJLY-eeJM1911Kvaei5oySBIxdgtNo/edit?pli=1#gid=257618397"",""stock FAKTUR!B:d""),3,false)"),"")</f>
        <v/>
      </c>
      <c r="G477" s="53" t="str">
        <f>IFERROR(__xludf.DUMMYFUNCTION("vlookup($D477,IMPORTRANGE(""https://docs.google.com/spreadsheets/d/1swGwZOEqYlTEUCJLY-eeJM1911Kvaei5oySBIxdgtNo/edit?pli=1#gid=257618397"",""stock FAKTUR!B:e""),4,false)"),"")</f>
        <v/>
      </c>
      <c r="H477" s="53" t="str">
        <f>IFERROR(__xludf.DUMMYFUNCTION("vlookup($D477,IMPORTRANGE(""https://docs.google.com/spreadsheets/d/1swGwZOEqYlTEUCJLY-eeJM1911Kvaei5oySBIxdgtNo/edit?pli=1#gid=257618397"",""stock FAKTUR!B:F""),5,false)"),"KN")</f>
        <v>KN</v>
      </c>
      <c r="I477" s="53" t="str">
        <f>IFERROR(__xludf.DUMMYFUNCTION("vlookup($D477,IMPORTRANGE(""https://docs.google.com/spreadsheets/d/1swGwZOEqYlTEUCJLY-eeJM1911Kvaei5oySBIxdgtNo/edit?pli=1#gid=257618397"",""stock FAKTUR!B:G""),6,false)"),"PLB-001")</f>
        <v>PLB-001</v>
      </c>
      <c r="J477" s="120" t="str">
        <f t="shared" si="25"/>
        <v>ADA</v>
      </c>
      <c r="K477" s="142">
        <v>100.0</v>
      </c>
      <c r="L477" s="145" t="str">
        <f>IFERROR(__xludf.DUMMYFUNCTION("vlookup($D477,IMPORTRANGE(""https://docs.google.com/spreadsheets/d/1swGwZOEqYlTEUCJLY-eeJM1911Kvaei5oySBIxdgtNo/edit?pli=1#gid=257618397"",""stock FAKTUR!B:q""),16,false)"),"PAK")</f>
        <v>PAK</v>
      </c>
      <c r="M477" s="147">
        <v>21000.0</v>
      </c>
      <c r="N477" s="152">
        <v>0.125</v>
      </c>
      <c r="O477" s="147">
        <f t="shared" si="134"/>
        <v>1837500</v>
      </c>
      <c r="P477" s="147" t="str">
        <f t="shared" si="3"/>
        <v>Rp21,000-100 PAK-12.50%</v>
      </c>
      <c r="Q477" s="149">
        <v>45419.0</v>
      </c>
      <c r="R477" s="150"/>
      <c r="S477" s="149">
        <v>45420.0</v>
      </c>
      <c r="T477" s="151"/>
      <c r="U477" s="151"/>
      <c r="V477" s="151"/>
      <c r="W477" s="151"/>
    </row>
    <row r="478">
      <c r="A478" s="142">
        <v>4723.0</v>
      </c>
      <c r="B478" s="143" t="s">
        <v>58</v>
      </c>
      <c r="C478" s="143" t="s">
        <v>4663</v>
      </c>
      <c r="D478" s="145" t="s">
        <v>4587</v>
      </c>
      <c r="E478" s="145" t="str">
        <f>IFERROR(__xludf.DUMMYFUNCTION("vlookup(D478,IMPORTRANGE(""https://docs.google.com/spreadsheets/d/1swGwZOEqYlTEUCJLY-eeJM1911Kvaei5oySBIxdgtNo/edit?pli=1#gid=257618397"",""stock FAKTUR!B:C""),2,false)"),"BP KENKO HI-TECH 0.28MM BIRU")</f>
        <v>BP KENKO HI-TECH 0.28MM BIRU</v>
      </c>
      <c r="F478" s="53" t="str">
        <f>IFERROR(__xludf.DUMMYFUNCTION("vlookup($D478,IMPORTRANGE(""https://docs.google.com/spreadsheets/d/1swGwZOEqYlTEUCJLY-eeJM1911Kvaei5oySBIxdgtNo/edit?pli=1#gid=257618397"",""stock FAKTUR!B:d""),3,false)"),"")</f>
        <v/>
      </c>
      <c r="G478" s="53" t="str">
        <f>IFERROR(__xludf.DUMMYFUNCTION("vlookup($D478,IMPORTRANGE(""https://docs.google.com/spreadsheets/d/1swGwZOEqYlTEUCJLY-eeJM1911Kvaei5oySBIxdgtNo/edit?pli=1#gid=257618397"",""stock FAKTUR!B:e""),4,false)"),"BIRU")</f>
        <v>BIRU</v>
      </c>
      <c r="H478" s="53" t="str">
        <f>IFERROR(__xludf.DUMMYFUNCTION("vlookup($D478,IMPORTRANGE(""https://docs.google.com/spreadsheets/d/1swGwZOEqYlTEUCJLY-eeJM1911Kvaei5oySBIxdgtNo/edit?pli=1#gid=257618397"",""stock FAKTUR!B:F""),5,false)"),"KN")</f>
        <v>KN</v>
      </c>
      <c r="I478" s="53" t="str">
        <f>IFERROR(__xludf.DUMMYFUNCTION("vlookup($D478,IMPORTRANGE(""https://docs.google.com/spreadsheets/d/1swGwZOEqYlTEUCJLY-eeJM1911Kvaei5oySBIxdgtNo/edit?pli=1#gid=257618397"",""stock FAKTUR!B:G""),6,false)"),"GPT-018BL")</f>
        <v>GPT-018BL</v>
      </c>
      <c r="J478" s="120" t="str">
        <f t="shared" si="25"/>
        <v>ADA</v>
      </c>
      <c r="K478" s="142">
        <v>36.0</v>
      </c>
      <c r="L478" s="145" t="str">
        <f>IFERROR(__xludf.DUMMYFUNCTION("vlookup($D478,IMPORTRANGE(""https://docs.google.com/spreadsheets/d/1swGwZOEqYlTEUCJLY-eeJM1911Kvaei5oySBIxdgtNo/edit?pli=1#gid=257618397"",""stock FAKTUR!B:q""),16,false)"),"LSN")</f>
        <v>LSN</v>
      </c>
      <c r="M478" s="147">
        <v>39000.0</v>
      </c>
      <c r="N478" s="152">
        <v>0.1</v>
      </c>
      <c r="O478" s="147">
        <f t="shared" si="134"/>
        <v>1263600</v>
      </c>
      <c r="P478" s="147" t="str">
        <f t="shared" si="3"/>
        <v>Rp39,000-36 LSN-10.00%</v>
      </c>
      <c r="Q478" s="149">
        <v>45419.0</v>
      </c>
      <c r="R478" s="150"/>
      <c r="S478" s="149">
        <v>45420.0</v>
      </c>
      <c r="T478" s="151"/>
      <c r="U478" s="151"/>
      <c r="V478" s="151"/>
      <c r="W478" s="151"/>
    </row>
    <row r="479">
      <c r="A479" s="142">
        <v>3119.0</v>
      </c>
      <c r="B479" s="143" t="s">
        <v>33</v>
      </c>
      <c r="C479" s="143" t="s">
        <v>2474</v>
      </c>
      <c r="D479" s="145" t="s">
        <v>4664</v>
      </c>
      <c r="E479" s="145" t="str">
        <f>IFERROR(__xludf.DUMMYFUNCTION("vlookup(D479,IMPORTRANGE(""https://docs.google.com/spreadsheets/d/1swGwZOEqYlTEUCJLY-eeJM1911Kvaei5oySBIxdgtNo/edit?pli=1#gid=257618397"",""stock FAKTUR!B:C""),2,false)"),"TIPEX JK CT-522")</f>
        <v>TIPEX JK CT-522</v>
      </c>
      <c r="F479" s="53" t="str">
        <f>IFERROR(__xludf.DUMMYFUNCTION("vlookup($D479,IMPORTRANGE(""https://docs.google.com/spreadsheets/d/1swGwZOEqYlTEUCJLY-eeJM1911Kvaei5oySBIxdgtNo/edit?pli=1#gid=257618397"",""stock FAKTUR!B:d""),3,false)"),"")</f>
        <v/>
      </c>
      <c r="G479" s="53" t="str">
        <f>IFERROR(__xludf.DUMMYFUNCTION("vlookup($D479,IMPORTRANGE(""https://docs.google.com/spreadsheets/d/1swGwZOEqYlTEUCJLY-eeJM1911Kvaei5oySBIxdgtNo/edit?pli=1#gid=257618397"",""stock FAKTUR!B:e""),4,false)"),"")</f>
        <v/>
      </c>
      <c r="H479" s="53" t="str">
        <f>IFERROR(__xludf.DUMMYFUNCTION("vlookup($D479,IMPORTRANGE(""https://docs.google.com/spreadsheets/d/1swGwZOEqYlTEUCJLY-eeJM1911Kvaei5oySBIxdgtNo/edit?pli=1#gid=257618397"",""stock FAKTUR!B:F""),5,false)"),"JK")</f>
        <v>JK</v>
      </c>
      <c r="I479" s="53" t="str">
        <f>IFERROR(__xludf.DUMMYFUNCTION("vlookup($D479,IMPORTRANGE(""https://docs.google.com/spreadsheets/d/1swGwZOEqYlTEUCJLY-eeJM1911Kvaei5oySBIxdgtNo/edit?pli=1#gid=257618397"",""stock FAKTUR!B:G""),6,false)"),"CT-522")</f>
        <v>CT-522</v>
      </c>
      <c r="J479" s="120" t="str">
        <f t="shared" si="25"/>
        <v>ADA</v>
      </c>
      <c r="K479" s="142">
        <f>1440/12</f>
        <v>120</v>
      </c>
      <c r="L479" s="145" t="str">
        <f>IFERROR(__xludf.DUMMYFUNCTION("vlookup($D479,IMPORTRANGE(""https://docs.google.com/spreadsheets/d/1swGwZOEqYlTEUCJLY-eeJM1911Kvaei5oySBIxdgtNo/edit?pli=1#gid=257618397"",""stock FAKTUR!B:q""),16,false)"),"LSN")</f>
        <v>LSN</v>
      </c>
      <c r="M479" s="147">
        <f>4300*12</f>
        <v>51600</v>
      </c>
      <c r="N479" s="152">
        <v>0.125</v>
      </c>
      <c r="O479" s="147">
        <f t="shared" si="134"/>
        <v>5418000</v>
      </c>
      <c r="P479" s="147" t="str">
        <f t="shared" si="3"/>
        <v>Rp51,600-120 LSN-12.50%</v>
      </c>
      <c r="Q479" s="149">
        <v>45419.0</v>
      </c>
      <c r="R479" s="150"/>
      <c r="S479" s="149">
        <v>45420.0</v>
      </c>
      <c r="T479" s="151"/>
      <c r="U479" s="151"/>
      <c r="V479" s="151"/>
      <c r="W479" s="151"/>
    </row>
    <row r="480">
      <c r="A480" s="142">
        <v>3119.0</v>
      </c>
      <c r="B480" s="143" t="str">
        <f t="shared" ref="B480:B482" si="141">IF(A480=A479,B479,"")</f>
        <v>H</v>
      </c>
      <c r="C480" s="143" t="str">
        <f t="shared" ref="C480:C482" si="142">IF(A480=A479,C479,"")</f>
        <v>LANCAR-MALANG</v>
      </c>
      <c r="D480" s="145" t="s">
        <v>4665</v>
      </c>
      <c r="E480" s="145" t="str">
        <f>IFERROR(__xludf.DUMMYFUNCTION("vlookup(D480,IMPORTRANGE(""https://docs.google.com/spreadsheets/d/1swGwZOEqYlTEUCJLY-eeJM1911Kvaei5oySBIxdgtNo/edit?pli=1#gid=257618397"",""stock FAKTUR!B:C""),2,false)"),"STIP JK 526-B40P")</f>
        <v>STIP JK 526-B40P</v>
      </c>
      <c r="F480" s="53" t="str">
        <f>IFERROR(__xludf.DUMMYFUNCTION("vlookup($D480,IMPORTRANGE(""https://docs.google.com/spreadsheets/d/1swGwZOEqYlTEUCJLY-eeJM1911Kvaei5oySBIxdgtNo/edit?pli=1#gid=257618397"",""stock FAKTUR!B:d""),3,false)"),"")</f>
        <v/>
      </c>
      <c r="G480" s="53" t="str">
        <f>IFERROR(__xludf.DUMMYFUNCTION("vlookup($D480,IMPORTRANGE(""https://docs.google.com/spreadsheets/d/1swGwZOEqYlTEUCJLY-eeJM1911Kvaei5oySBIxdgtNo/edit?pli=1#gid=257618397"",""stock FAKTUR!B:e""),4,false)"),"PUTIH")</f>
        <v>PUTIH</v>
      </c>
      <c r="H480" s="53" t="str">
        <f>IFERROR(__xludf.DUMMYFUNCTION("vlookup($D480,IMPORTRANGE(""https://docs.google.com/spreadsheets/d/1swGwZOEqYlTEUCJLY-eeJM1911Kvaei5oySBIxdgtNo/edit?pli=1#gid=257618397"",""stock FAKTUR!B:F""),5,false)"),"JK")</f>
        <v>JK</v>
      </c>
      <c r="I480" s="53" t="str">
        <f>IFERROR(__xludf.DUMMYFUNCTION("vlookup($D480,IMPORTRANGE(""https://docs.google.com/spreadsheets/d/1swGwZOEqYlTEUCJLY-eeJM1911Kvaei5oySBIxdgtNo/edit?pli=1#gid=257618397"",""stock FAKTUR!B:G""),6,false)"),"40 P")</f>
        <v>40 P</v>
      </c>
      <c r="J480" s="120" t="str">
        <f t="shared" si="25"/>
        <v>ADA</v>
      </c>
      <c r="K480" s="142">
        <v>200.0</v>
      </c>
      <c r="L480" s="145" t="str">
        <f>IFERROR(__xludf.DUMMYFUNCTION("vlookup($D480,IMPORTRANGE(""https://docs.google.com/spreadsheets/d/1swGwZOEqYlTEUCJLY-eeJM1911Kvaei5oySBIxdgtNo/edit?pli=1#gid=257618397"",""stock FAKTUR!B:q""),16,false)"),"BOX")</f>
        <v>BOX</v>
      </c>
      <c r="M480" s="147">
        <v>28300.0</v>
      </c>
      <c r="N480" s="152">
        <v>0.125</v>
      </c>
      <c r="O480" s="147">
        <f t="shared" si="134"/>
        <v>4952500</v>
      </c>
      <c r="P480" s="147" t="str">
        <f t="shared" si="3"/>
        <v>Rp28,300-200 BOX-12.50%</v>
      </c>
      <c r="Q480" s="149">
        <v>45419.0</v>
      </c>
      <c r="R480" s="150"/>
      <c r="S480" s="149">
        <v>45420.0</v>
      </c>
      <c r="T480" s="151"/>
      <c r="U480" s="151"/>
      <c r="V480" s="151"/>
      <c r="W480" s="151"/>
    </row>
    <row r="481">
      <c r="A481" s="142">
        <v>3119.0</v>
      </c>
      <c r="B481" s="143" t="str">
        <f t="shared" si="141"/>
        <v>H</v>
      </c>
      <c r="C481" s="143" t="str">
        <f t="shared" si="142"/>
        <v>LANCAR-MALANG</v>
      </c>
      <c r="D481" s="145" t="s">
        <v>4666</v>
      </c>
      <c r="E481" s="145" t="str">
        <f>IFERROR(__xludf.DUMMYFUNCTION("vlookup(D481,IMPORTRANGE(""https://docs.google.com/spreadsheets/d/1swGwZOEqYlTEUCJLY-eeJM1911Kvaei5oySBIxdgtNo/edit?pli=1#gid=257618397"",""stock FAKTUR!B:C""),2,false)"),"PUNCH JK 30XL")</f>
        <v>PUNCH JK 30XL</v>
      </c>
      <c r="F481" s="53" t="str">
        <f>IFERROR(__xludf.DUMMYFUNCTION("vlookup($D481,IMPORTRANGE(""https://docs.google.com/spreadsheets/d/1swGwZOEqYlTEUCJLY-eeJM1911Kvaei5oySBIxdgtNo/edit?pli=1#gid=257618397"",""stock FAKTUR!B:d""),3,false)"),"")</f>
        <v/>
      </c>
      <c r="G481" s="53" t="str">
        <f>IFERROR(__xludf.DUMMYFUNCTION("vlookup($D481,IMPORTRANGE(""https://docs.google.com/spreadsheets/d/1swGwZOEqYlTEUCJLY-eeJM1911Kvaei5oySBIxdgtNo/edit?pli=1#gid=257618397"",""stock FAKTUR!B:e""),4,false)"),"")</f>
        <v/>
      </c>
      <c r="H481" s="53" t="str">
        <f>IFERROR(__xludf.DUMMYFUNCTION("vlookup($D481,IMPORTRANGE(""https://docs.google.com/spreadsheets/d/1swGwZOEqYlTEUCJLY-eeJM1911Kvaei5oySBIxdgtNo/edit?pli=1#gid=257618397"",""stock FAKTUR!B:F""),5,false)"),"JK")</f>
        <v>JK</v>
      </c>
      <c r="I481" s="53" t="str">
        <f>IFERROR(__xludf.DUMMYFUNCTION("vlookup($D481,IMPORTRANGE(""https://docs.google.com/spreadsheets/d/1swGwZOEqYlTEUCJLY-eeJM1911Kvaei5oySBIxdgtNo/edit?pli=1#gid=257618397"",""stock FAKTUR!B:G""),6,false)"),"30XL")</f>
        <v>30XL</v>
      </c>
      <c r="J481" s="120" t="str">
        <f t="shared" si="25"/>
        <v>ADA</v>
      </c>
      <c r="K481" s="142">
        <f>120/12</f>
        <v>10</v>
      </c>
      <c r="L481" s="145" t="str">
        <f>IFERROR(__xludf.DUMMYFUNCTION("vlookup($D481,IMPORTRANGE(""https://docs.google.com/spreadsheets/d/1swGwZOEqYlTEUCJLY-eeJM1911Kvaei5oySBIxdgtNo/edit?pli=1#gid=257618397"",""stock FAKTUR!B:q""),16,false)"),"LSN")</f>
        <v>LSN</v>
      </c>
      <c r="M481" s="147">
        <f>12950*12</f>
        <v>155400</v>
      </c>
      <c r="N481" s="152">
        <v>0.125</v>
      </c>
      <c r="O481" s="147">
        <f t="shared" si="134"/>
        <v>1359750</v>
      </c>
      <c r="P481" s="147" t="str">
        <f t="shared" si="3"/>
        <v>Rp155,400-10 LSN-12.50%</v>
      </c>
      <c r="Q481" s="149">
        <v>45419.0</v>
      </c>
      <c r="R481" s="150"/>
      <c r="S481" s="149">
        <v>45420.0</v>
      </c>
      <c r="T481" s="151"/>
      <c r="U481" s="151"/>
      <c r="V481" s="151"/>
      <c r="W481" s="151"/>
    </row>
    <row r="482">
      <c r="A482" s="142">
        <v>3119.0</v>
      </c>
      <c r="B482" s="143" t="str">
        <f t="shared" si="141"/>
        <v>H</v>
      </c>
      <c r="C482" s="143" t="str">
        <f t="shared" si="142"/>
        <v>LANCAR-MALANG</v>
      </c>
      <c r="D482" s="145" t="s">
        <v>4667</v>
      </c>
      <c r="E482" s="145" t="str">
        <f>IFERROR(__xludf.DUMMYFUNCTION("vlookup(D482,IMPORTRANGE(""https://docs.google.com/spreadsheets/d/1swGwZOEqYlTEUCJLY-eeJM1911Kvaei5oySBIxdgtNo/edit?pli=1#gid=257618397"",""stock FAKTUR!B:C""),2,false)"),"CUTTER JK L-500+ISI")</f>
        <v>CUTTER JK L-500+ISI</v>
      </c>
      <c r="F482" s="53" t="str">
        <f>IFERROR(__xludf.DUMMYFUNCTION("vlookup($D482,IMPORTRANGE(""https://docs.google.com/spreadsheets/d/1swGwZOEqYlTEUCJLY-eeJM1911Kvaei5oySBIxdgtNo/edit?pli=1#gid=257618397"",""stock FAKTUR!B:d""),3,false)"),"")</f>
        <v/>
      </c>
      <c r="G482" s="53" t="str">
        <f>IFERROR(__xludf.DUMMYFUNCTION("vlookup($D482,IMPORTRANGE(""https://docs.google.com/spreadsheets/d/1swGwZOEqYlTEUCJLY-eeJM1911Kvaei5oySBIxdgtNo/edit?pli=1#gid=257618397"",""stock FAKTUR!B:e""),4,false)"),"")</f>
        <v/>
      </c>
      <c r="H482" s="53" t="str">
        <f>IFERROR(__xludf.DUMMYFUNCTION("vlookup($D482,IMPORTRANGE(""https://docs.google.com/spreadsheets/d/1swGwZOEqYlTEUCJLY-eeJM1911Kvaei5oySBIxdgtNo/edit?pli=1#gid=257618397"",""stock FAKTUR!B:F""),5,false)"),"JK")</f>
        <v>JK</v>
      </c>
      <c r="I482" s="53" t="str">
        <f>IFERROR(__xludf.DUMMYFUNCTION("vlookup($D482,IMPORTRANGE(""https://docs.google.com/spreadsheets/d/1swGwZOEqYlTEUCJLY-eeJM1911Kvaei5oySBIxdgtNo/edit?pli=1#gid=257618397"",""stock FAKTUR!B:G""),6,false)"),"L-500")</f>
        <v>L-500</v>
      </c>
      <c r="J482" s="120" t="str">
        <f t="shared" si="25"/>
        <v>ADA</v>
      </c>
      <c r="K482" s="142">
        <v>24.0</v>
      </c>
      <c r="L482" s="145" t="str">
        <f>IFERROR(__xludf.DUMMYFUNCTION("vlookup($D482,IMPORTRANGE(""https://docs.google.com/spreadsheets/d/1swGwZOEqYlTEUCJLY-eeJM1911Kvaei5oySBIxdgtNo/edit?pli=1#gid=257618397"",""stock FAKTUR!B:q""),16,false)"),"LSN")</f>
        <v>LSN</v>
      </c>
      <c r="M482" s="147">
        <v>168000.0</v>
      </c>
      <c r="N482" s="152">
        <v>0.125</v>
      </c>
      <c r="O482" s="147">
        <f t="shared" si="134"/>
        <v>3528000</v>
      </c>
      <c r="P482" s="147" t="str">
        <f t="shared" si="3"/>
        <v>Rp168,000-24 LSN-12.50%</v>
      </c>
      <c r="Q482" s="149">
        <v>45419.0</v>
      </c>
      <c r="R482" s="150"/>
      <c r="S482" s="149">
        <v>45420.0</v>
      </c>
      <c r="T482" s="151"/>
      <c r="U482" s="151"/>
      <c r="V482" s="151"/>
      <c r="W482" s="151"/>
    </row>
    <row r="483">
      <c r="A483" s="142">
        <v>3121.0</v>
      </c>
      <c r="B483" s="143" t="s">
        <v>33</v>
      </c>
      <c r="C483" s="143" t="s">
        <v>4668</v>
      </c>
      <c r="D483" s="151" t="s">
        <v>4669</v>
      </c>
      <c r="E483" s="145" t="str">
        <f>IFERROR(__xludf.DUMMYFUNCTION("vlookup(D483,IMPORTRANGE(""https://docs.google.com/spreadsheets/d/1swGwZOEqYlTEUCJLY-eeJM1911Kvaei5oySBIxdgtNo/edit?pli=1#gid=257618397"",""stock FAKTUR!B:C""),2,false)"),"DESK SET JK DS 0812")</f>
        <v>DESK SET JK DS 0812</v>
      </c>
      <c r="F483" s="53" t="str">
        <f>IFERROR(__xludf.DUMMYFUNCTION("vlookup($D483,IMPORTRANGE(""https://docs.google.com/spreadsheets/d/1swGwZOEqYlTEUCJLY-eeJM1911Kvaei5oySBIxdgtNo/edit?pli=1#gid=257618397"",""stock FAKTUR!B:d""),3,false)"),"")</f>
        <v/>
      </c>
      <c r="G483" s="53" t="str">
        <f>IFERROR(__xludf.DUMMYFUNCTION("vlookup($D483,IMPORTRANGE(""https://docs.google.com/spreadsheets/d/1swGwZOEqYlTEUCJLY-eeJM1911Kvaei5oySBIxdgtNo/edit?pli=1#gid=257618397"",""stock FAKTUR!B:e""),4,false)"),"")</f>
        <v/>
      </c>
      <c r="H483" s="53" t="str">
        <f>IFERROR(__xludf.DUMMYFUNCTION("vlookup($D483,IMPORTRANGE(""https://docs.google.com/spreadsheets/d/1swGwZOEqYlTEUCJLY-eeJM1911Kvaei5oySBIxdgtNo/edit?pli=1#gid=257618397"",""stock FAKTUR!B:F""),5,false)"),"JK")</f>
        <v>JK</v>
      </c>
      <c r="I483" s="53" t="str">
        <f>IFERROR(__xludf.DUMMYFUNCTION("vlookup($D483,IMPORTRANGE(""https://docs.google.com/spreadsheets/d/1swGwZOEqYlTEUCJLY-eeJM1911Kvaei5oySBIxdgtNo/edit?pli=1#gid=257618397"",""stock FAKTUR!B:G""),6,false)"),"DS-0812")</f>
        <v>DS-0812</v>
      </c>
      <c r="J483" s="120" t="str">
        <f t="shared" si="25"/>
        <v>ADA</v>
      </c>
      <c r="K483" s="142">
        <v>50.0</v>
      </c>
      <c r="L483" s="145" t="str">
        <f>IFERROR(__xludf.DUMMYFUNCTION("vlookup($D483,IMPORTRANGE(""https://docs.google.com/spreadsheets/d/1swGwZOEqYlTEUCJLY-eeJM1911Kvaei5oySBIxdgtNo/edit?pli=1#gid=257618397"",""stock FAKTUR!B:q""),16,false)"),"PCS")</f>
        <v>PCS</v>
      </c>
      <c r="M483" s="147">
        <v>20500.0</v>
      </c>
      <c r="N483" s="152">
        <v>0.125</v>
      </c>
      <c r="O483" s="147">
        <f t="shared" si="134"/>
        <v>896875</v>
      </c>
      <c r="P483" s="147" t="str">
        <f t="shared" si="3"/>
        <v>Rp20,500-50 PCS-12.50%</v>
      </c>
      <c r="Q483" s="149">
        <v>45419.0</v>
      </c>
      <c r="R483" s="150"/>
      <c r="S483" s="149">
        <v>45420.0</v>
      </c>
      <c r="T483" s="151"/>
      <c r="U483" s="151"/>
      <c r="V483" s="151"/>
      <c r="W483" s="151"/>
    </row>
    <row r="484">
      <c r="A484" s="142">
        <v>3121.0</v>
      </c>
      <c r="B484" s="143" t="str">
        <f t="shared" ref="B484:B485" si="143">IF(A484=A483,B483,"")</f>
        <v>H</v>
      </c>
      <c r="C484" s="143" t="str">
        <f t="shared" ref="C484:C485" si="144">IF(A484=A483,C483,"")</f>
        <v>107-MALANG</v>
      </c>
      <c r="D484" s="159" t="s">
        <v>4670</v>
      </c>
      <c r="E484" s="145" t="str">
        <f>IFERROR(__xludf.DUMMYFUNCTION("vlookup(D484,IMPORTRANGE(""https://docs.google.com/spreadsheets/d/1swGwZOEqYlTEUCJLY-eeJM1911Kvaei5oySBIxdgtNo/edit?pli=1#gid=257618397"",""stock FAKTUR!B:C""),2,false)"),"TAPE CUTTER JK TD-09N")</f>
        <v>TAPE CUTTER JK TD-09N</v>
      </c>
      <c r="F484" s="53" t="str">
        <f>IFERROR(__xludf.DUMMYFUNCTION("vlookup($D484,IMPORTRANGE(""https://docs.google.com/spreadsheets/d/1swGwZOEqYlTEUCJLY-eeJM1911Kvaei5oySBIxdgtNo/edit?pli=1#gid=257618397"",""stock FAKTUR!B:d""),3,false)"),"")</f>
        <v/>
      </c>
      <c r="G484" s="53" t="str">
        <f>IFERROR(__xludf.DUMMYFUNCTION("vlookup($D484,IMPORTRANGE(""https://docs.google.com/spreadsheets/d/1swGwZOEqYlTEUCJLY-eeJM1911Kvaei5oySBIxdgtNo/edit?pli=1#gid=257618397"",""stock FAKTUR!B:e""),4,false)"),"")</f>
        <v/>
      </c>
      <c r="H484" s="53" t="str">
        <f>IFERROR(__xludf.DUMMYFUNCTION("vlookup($D484,IMPORTRANGE(""https://docs.google.com/spreadsheets/d/1swGwZOEqYlTEUCJLY-eeJM1911Kvaei5oySBIxdgtNo/edit?pli=1#gid=257618397"",""stock FAKTUR!B:F""),5,false)"),"JK")</f>
        <v>JK</v>
      </c>
      <c r="I484" s="53" t="str">
        <f>IFERROR(__xludf.DUMMYFUNCTION("vlookup($D484,IMPORTRANGE(""https://docs.google.com/spreadsheets/d/1swGwZOEqYlTEUCJLY-eeJM1911Kvaei5oySBIxdgtNo/edit?pli=1#gid=257618397"",""stock FAKTUR!B:G""),6,false)"),"TD-09N")</f>
        <v>TD-09N</v>
      </c>
      <c r="J484" s="120" t="str">
        <f t="shared" si="25"/>
        <v>ADA</v>
      </c>
      <c r="K484" s="142">
        <v>24.0</v>
      </c>
      <c r="L484" s="145" t="str">
        <f>IFERROR(__xludf.DUMMYFUNCTION("vlookup($D484,IMPORTRANGE(""https://docs.google.com/spreadsheets/d/1swGwZOEqYlTEUCJLY-eeJM1911Kvaei5oySBIxdgtNo/edit?pli=1#gid=257618397"",""stock FAKTUR!B:q""),16,false)"),"PCS")</f>
        <v>PCS</v>
      </c>
      <c r="M484" s="147">
        <v>23400.0</v>
      </c>
      <c r="N484" s="152">
        <v>0.125</v>
      </c>
      <c r="O484" s="147">
        <f t="shared" si="134"/>
        <v>491400</v>
      </c>
      <c r="P484" s="147" t="str">
        <f t="shared" si="3"/>
        <v>Rp23,400-24 PCS-12.50%</v>
      </c>
      <c r="Q484" s="149">
        <v>45419.0</v>
      </c>
      <c r="R484" s="150"/>
      <c r="S484" s="149">
        <v>45420.0</v>
      </c>
      <c r="T484" s="151"/>
      <c r="U484" s="151"/>
      <c r="V484" s="151"/>
      <c r="W484" s="151"/>
    </row>
    <row r="485">
      <c r="A485" s="142">
        <v>3121.0</v>
      </c>
      <c r="B485" s="143" t="str">
        <f t="shared" si="143"/>
        <v>H</v>
      </c>
      <c r="C485" s="143" t="str">
        <f t="shared" si="144"/>
        <v>107-MALANG</v>
      </c>
      <c r="D485" s="145" t="s">
        <v>4467</v>
      </c>
      <c r="E485" s="145" t="str">
        <f>IFERROR(__xludf.DUMMYFUNCTION("vlookup(D485,IMPORTRANGE(""https://docs.google.com/spreadsheets/d/1swGwZOEqYlTEUCJLY-eeJM1911Kvaei5oySBIxdgtNo/edit?pli=1#gid=257618397"",""stock FAKTUR!B:C""),2,false)"),"TAPE CUTTER JK TD-103")</f>
        <v>TAPE CUTTER JK TD-103</v>
      </c>
      <c r="F485" s="53" t="str">
        <f>IFERROR(__xludf.DUMMYFUNCTION("vlookup($D485,IMPORTRANGE(""https://docs.google.com/spreadsheets/d/1swGwZOEqYlTEUCJLY-eeJM1911Kvaei5oySBIxdgtNo/edit?pli=1#gid=257618397"",""stock FAKTUR!B:d""),3,false)"),"")</f>
        <v/>
      </c>
      <c r="G485" s="53" t="str">
        <f>IFERROR(__xludf.DUMMYFUNCTION("vlookup($D485,IMPORTRANGE(""https://docs.google.com/spreadsheets/d/1swGwZOEqYlTEUCJLY-eeJM1911Kvaei5oySBIxdgtNo/edit?pli=1#gid=257618397"",""stock FAKTUR!B:e""),4,false)"),"")</f>
        <v/>
      </c>
      <c r="H485" s="53" t="str">
        <f>IFERROR(__xludf.DUMMYFUNCTION("vlookup($D485,IMPORTRANGE(""https://docs.google.com/spreadsheets/d/1swGwZOEqYlTEUCJLY-eeJM1911Kvaei5oySBIxdgtNo/edit?pli=1#gid=257618397"",""stock FAKTUR!B:F""),5,false)"),"JK")</f>
        <v>JK</v>
      </c>
      <c r="I485" s="53" t="str">
        <f>IFERROR(__xludf.DUMMYFUNCTION("vlookup($D485,IMPORTRANGE(""https://docs.google.com/spreadsheets/d/1swGwZOEqYlTEUCJLY-eeJM1911Kvaei5oySBIxdgtNo/edit?pli=1#gid=257618397"",""stock FAKTUR!B:G""),6,false)"),"TD-103")</f>
        <v>TD-103</v>
      </c>
      <c r="J485" s="120" t="str">
        <f t="shared" si="25"/>
        <v>ADA</v>
      </c>
      <c r="K485" s="142">
        <v>24.0</v>
      </c>
      <c r="L485" s="145" t="str">
        <f>IFERROR(__xludf.DUMMYFUNCTION("vlookup($D485,IMPORTRANGE(""https://docs.google.com/spreadsheets/d/1swGwZOEqYlTEUCJLY-eeJM1911Kvaei5oySBIxdgtNo/edit?pli=1#gid=257618397"",""stock FAKTUR!B:q""),16,false)"),"PCS")</f>
        <v>PCS</v>
      </c>
      <c r="M485" s="147">
        <v>19000.0</v>
      </c>
      <c r="N485" s="152">
        <v>0.125</v>
      </c>
      <c r="O485" s="147">
        <f t="shared" si="134"/>
        <v>399000</v>
      </c>
      <c r="P485" s="147" t="str">
        <f t="shared" si="3"/>
        <v>Rp19,000-24 PCS-12.50%</v>
      </c>
      <c r="Q485" s="149">
        <v>45419.0</v>
      </c>
      <c r="R485" s="150"/>
      <c r="S485" s="149">
        <v>45420.0</v>
      </c>
      <c r="T485" s="151"/>
      <c r="U485" s="151"/>
      <c r="V485" s="151"/>
      <c r="W485" s="151"/>
    </row>
    <row r="486">
      <c r="A486" s="142">
        <v>2993.0</v>
      </c>
      <c r="B486" s="143" t="s">
        <v>58</v>
      </c>
      <c r="C486" s="143" t="s">
        <v>1430</v>
      </c>
      <c r="D486" s="145" t="s">
        <v>4671</v>
      </c>
      <c r="E486" s="145" t="str">
        <f>IFERROR(__xludf.DUMMYFUNCTION("vlookup(D486,IMPORTRANGE(""https://docs.google.com/spreadsheets/d/1swGwZOEqYlTEUCJLY-eeJM1911Kvaei5oySBIxdgtNo/edit?pli=1#gid=257618397"",""stock FAKTUR!B:C""),2,false)"),"CALCULATOR JK CC-15A")</f>
        <v>CALCULATOR JK CC-15A</v>
      </c>
      <c r="F486" s="53" t="str">
        <f>IFERROR(__xludf.DUMMYFUNCTION("vlookup($D486,IMPORTRANGE(""https://docs.google.com/spreadsheets/d/1swGwZOEqYlTEUCJLY-eeJM1911Kvaei5oySBIxdgtNo/edit?pli=1#gid=257618397"",""stock FAKTUR!B:d""),3,false)"),"")</f>
        <v/>
      </c>
      <c r="G486" s="53" t="str">
        <f>IFERROR(__xludf.DUMMYFUNCTION("vlookup($D486,IMPORTRANGE(""https://docs.google.com/spreadsheets/d/1swGwZOEqYlTEUCJLY-eeJM1911Kvaei5oySBIxdgtNo/edit?pli=1#gid=257618397"",""stock FAKTUR!B:e""),4,false)"),"")</f>
        <v/>
      </c>
      <c r="H486" s="53" t="str">
        <f>IFERROR(__xludf.DUMMYFUNCTION("vlookup($D486,IMPORTRANGE(""https://docs.google.com/spreadsheets/d/1swGwZOEqYlTEUCJLY-eeJM1911Kvaei5oySBIxdgtNo/edit?pli=1#gid=257618397"",""stock FAKTUR!B:F""),5,false)"),"JK")</f>
        <v>JK</v>
      </c>
      <c r="I486" s="53" t="str">
        <f>IFERROR(__xludf.DUMMYFUNCTION("vlookup($D486,IMPORTRANGE(""https://docs.google.com/spreadsheets/d/1swGwZOEqYlTEUCJLY-eeJM1911Kvaei5oySBIxdgtNo/edit?pli=1#gid=257618397"",""stock FAKTUR!B:G""),6,false)"),"CC-15A")</f>
        <v>CC-15A</v>
      </c>
      <c r="J486" s="120" t="str">
        <f t="shared" si="25"/>
        <v>ADA</v>
      </c>
      <c r="K486" s="142">
        <v>120.0</v>
      </c>
      <c r="L486" s="145" t="str">
        <f>IFERROR(__xludf.DUMMYFUNCTION("vlookup($D486,IMPORTRANGE(""https://docs.google.com/spreadsheets/d/1swGwZOEqYlTEUCJLY-eeJM1911Kvaei5oySBIxdgtNo/edit?pli=1#gid=257618397"",""stock FAKTUR!B:q""),16,false)"),"PCS")</f>
        <v>PCS</v>
      </c>
      <c r="M486" s="147">
        <v>47000.0</v>
      </c>
      <c r="N486" s="152">
        <v>0.125</v>
      </c>
      <c r="O486" s="147">
        <f t="shared" si="134"/>
        <v>4935000</v>
      </c>
      <c r="P486" s="147" t="str">
        <f t="shared" si="3"/>
        <v>Rp47,000-120 PCS-12.50%</v>
      </c>
      <c r="Q486" s="149">
        <v>45419.0</v>
      </c>
      <c r="R486" s="150"/>
      <c r="S486" s="149">
        <v>45420.0</v>
      </c>
      <c r="T486" s="151"/>
      <c r="U486" s="151"/>
      <c r="V486" s="151"/>
      <c r="W486" s="151"/>
    </row>
    <row r="487">
      <c r="A487" s="142">
        <v>2993.0</v>
      </c>
      <c r="B487" s="143" t="str">
        <f t="shared" ref="B487:B494" si="145">IF(A487=A486,B486,"")</f>
        <v>G</v>
      </c>
      <c r="C487" s="143" t="str">
        <f t="shared" ref="C487:C494" si="146">IF(A487=A486,C486,"")</f>
        <v>REJO AGUNG-JOMBANG</v>
      </c>
      <c r="D487" s="145" t="s">
        <v>4672</v>
      </c>
      <c r="E487" s="145" t="str">
        <f>IFERROR(__xludf.DUMMYFUNCTION("vlookup(D487,IMPORTRANGE(""https://docs.google.com/spreadsheets/d/1swGwZOEqYlTEUCJLY-eeJM1911Kvaei5oySBIxdgtNo/edit?pli=1#gid=257618397"",""stock FAKTUR!B:C""),2,false)"),"CALCULATOR JK CC-12 CO BIRU")</f>
        <v>CALCULATOR JK CC-12 CO BIRU</v>
      </c>
      <c r="F487" s="53" t="str">
        <f>IFERROR(__xludf.DUMMYFUNCTION("vlookup($D487,IMPORTRANGE(""https://docs.google.com/spreadsheets/d/1swGwZOEqYlTEUCJLY-eeJM1911Kvaei5oySBIxdgtNo/edit?pli=1#gid=257618397"",""stock FAKTUR!B:d""),3,false)"),"")</f>
        <v/>
      </c>
      <c r="G487" s="53" t="str">
        <f>IFERROR(__xludf.DUMMYFUNCTION("vlookup($D487,IMPORTRANGE(""https://docs.google.com/spreadsheets/d/1swGwZOEqYlTEUCJLY-eeJM1911Kvaei5oySBIxdgtNo/edit?pli=1#gid=257618397"",""stock FAKTUR!B:e""),4,false)"),"BIRU")</f>
        <v>BIRU</v>
      </c>
      <c r="H487" s="53" t="str">
        <f>IFERROR(__xludf.DUMMYFUNCTION("vlookup($D487,IMPORTRANGE(""https://docs.google.com/spreadsheets/d/1swGwZOEqYlTEUCJLY-eeJM1911Kvaei5oySBIxdgtNo/edit?pli=1#gid=257618397"",""stock FAKTUR!B:F""),5,false)"),"JK")</f>
        <v>JK</v>
      </c>
      <c r="I487" s="53" t="str">
        <f>IFERROR(__xludf.DUMMYFUNCTION("vlookup($D487,IMPORTRANGE(""https://docs.google.com/spreadsheets/d/1swGwZOEqYlTEUCJLY-eeJM1911Kvaei5oySBIxdgtNo/edit?pli=1#gid=257618397"",""stock FAKTUR!B:G""),6,false)"),"CC-12")</f>
        <v>CC-12</v>
      </c>
      <c r="J487" s="120" t="str">
        <f t="shared" si="25"/>
        <v>ADA</v>
      </c>
      <c r="K487" s="142">
        <v>27.0</v>
      </c>
      <c r="L487" s="145" t="str">
        <f>IFERROR(__xludf.DUMMYFUNCTION("vlookup($D487,IMPORTRANGE(""https://docs.google.com/spreadsheets/d/1swGwZOEqYlTEUCJLY-eeJM1911Kvaei5oySBIxdgtNo/edit?pli=1#gid=257618397"",""stock FAKTUR!B:q""),16,false)"),"PCS")</f>
        <v>PCS</v>
      </c>
      <c r="M487" s="147">
        <v>56000.0</v>
      </c>
      <c r="N487" s="152">
        <v>0.125</v>
      </c>
      <c r="O487" s="147">
        <f t="shared" si="134"/>
        <v>1323000</v>
      </c>
      <c r="P487" s="147" t="str">
        <f t="shared" si="3"/>
        <v>Rp56,000-27 PCS-12.50%</v>
      </c>
      <c r="Q487" s="149">
        <v>45419.0</v>
      </c>
      <c r="R487" s="150"/>
      <c r="S487" s="149">
        <v>45420.0</v>
      </c>
      <c r="T487" s="151"/>
      <c r="U487" s="151"/>
      <c r="V487" s="151"/>
      <c r="W487" s="151"/>
    </row>
    <row r="488">
      <c r="A488" s="142">
        <v>2993.0</v>
      </c>
      <c r="B488" s="143" t="str">
        <f t="shared" si="145"/>
        <v>G</v>
      </c>
      <c r="C488" s="143" t="str">
        <f t="shared" si="146"/>
        <v>REJO AGUNG-JOMBANG</v>
      </c>
      <c r="D488" s="145" t="s">
        <v>4673</v>
      </c>
      <c r="E488" s="145" t="str">
        <f>IFERROR(__xludf.DUMMYFUNCTION("vlookup(D488,IMPORTRANGE(""https://docs.google.com/spreadsheets/d/1swGwZOEqYlTEUCJLY-eeJM1911Kvaei5oySBIxdgtNo/edit?pli=1#gid=257618397"",""stock FAKTUR!B:C""),2,false)"),"CALCULATOR JK CC-12 CO HIJAU")</f>
        <v>CALCULATOR JK CC-12 CO HIJAU</v>
      </c>
      <c r="F488" s="53" t="str">
        <f>IFERROR(__xludf.DUMMYFUNCTION("vlookup($D488,IMPORTRANGE(""https://docs.google.com/spreadsheets/d/1swGwZOEqYlTEUCJLY-eeJM1911Kvaei5oySBIxdgtNo/edit?pli=1#gid=257618397"",""stock FAKTUR!B:d""),3,false)"),"")</f>
        <v/>
      </c>
      <c r="G488" s="53" t="str">
        <f>IFERROR(__xludf.DUMMYFUNCTION("vlookup($D488,IMPORTRANGE(""https://docs.google.com/spreadsheets/d/1swGwZOEqYlTEUCJLY-eeJM1911Kvaei5oySBIxdgtNo/edit?pli=1#gid=257618397"",""stock FAKTUR!B:e""),4,false)"),"HIJAU")</f>
        <v>HIJAU</v>
      </c>
      <c r="H488" s="53" t="str">
        <f>IFERROR(__xludf.DUMMYFUNCTION("vlookup($D488,IMPORTRANGE(""https://docs.google.com/spreadsheets/d/1swGwZOEqYlTEUCJLY-eeJM1911Kvaei5oySBIxdgtNo/edit?pli=1#gid=257618397"",""stock FAKTUR!B:F""),5,false)"),"JK")</f>
        <v>JK</v>
      </c>
      <c r="I488" s="53" t="str">
        <f>IFERROR(__xludf.DUMMYFUNCTION("vlookup($D488,IMPORTRANGE(""https://docs.google.com/spreadsheets/d/1swGwZOEqYlTEUCJLY-eeJM1911Kvaei5oySBIxdgtNo/edit?pli=1#gid=257618397"",""stock FAKTUR!B:G""),6,false)"),"CC-12")</f>
        <v>CC-12</v>
      </c>
      <c r="J488" s="120" t="str">
        <f t="shared" si="25"/>
        <v>ADA</v>
      </c>
      <c r="K488" s="142">
        <v>27.0</v>
      </c>
      <c r="L488" s="145" t="str">
        <f>IFERROR(__xludf.DUMMYFUNCTION("vlookup($D488,IMPORTRANGE(""https://docs.google.com/spreadsheets/d/1swGwZOEqYlTEUCJLY-eeJM1911Kvaei5oySBIxdgtNo/edit?pli=1#gid=257618397"",""stock FAKTUR!B:q""),16,false)"),"PCS")</f>
        <v>PCS</v>
      </c>
      <c r="M488" s="147">
        <v>56000.0</v>
      </c>
      <c r="N488" s="152">
        <v>0.125</v>
      </c>
      <c r="O488" s="147">
        <f t="shared" si="134"/>
        <v>1323000</v>
      </c>
      <c r="P488" s="147" t="str">
        <f t="shared" si="3"/>
        <v>Rp56,000-27 PCS-12.50%</v>
      </c>
      <c r="Q488" s="149">
        <v>45419.0</v>
      </c>
      <c r="R488" s="150"/>
      <c r="S488" s="149">
        <v>45420.0</v>
      </c>
      <c r="T488" s="151"/>
      <c r="U488" s="151"/>
      <c r="V488" s="151"/>
      <c r="W488" s="151"/>
    </row>
    <row r="489">
      <c r="A489" s="142">
        <v>2993.0</v>
      </c>
      <c r="B489" s="143" t="str">
        <f t="shared" si="145"/>
        <v>G</v>
      </c>
      <c r="C489" s="143" t="str">
        <f t="shared" si="146"/>
        <v>REJO AGUNG-JOMBANG</v>
      </c>
      <c r="D489" s="145" t="s">
        <v>4674</v>
      </c>
      <c r="E489" s="145" t="str">
        <f>IFERROR(__xludf.DUMMYFUNCTION("vlookup(D489,IMPORTRANGE(""https://docs.google.com/spreadsheets/d/1swGwZOEqYlTEUCJLY-eeJM1911Kvaei5oySBIxdgtNo/edit?pli=1#gid=257618397"",""stock FAKTUR!B:C""),2,false)"),"CALCULATOR JK CC-12 CO ORANGE")</f>
        <v>CALCULATOR JK CC-12 CO ORANGE</v>
      </c>
      <c r="F489" s="53" t="str">
        <f>IFERROR(__xludf.DUMMYFUNCTION("vlookup($D489,IMPORTRANGE(""https://docs.google.com/spreadsheets/d/1swGwZOEqYlTEUCJLY-eeJM1911Kvaei5oySBIxdgtNo/edit?pli=1#gid=257618397"",""stock FAKTUR!B:d""),3,false)"),"")</f>
        <v/>
      </c>
      <c r="G489" s="53" t="str">
        <f>IFERROR(__xludf.DUMMYFUNCTION("vlookup($D489,IMPORTRANGE(""https://docs.google.com/spreadsheets/d/1swGwZOEqYlTEUCJLY-eeJM1911Kvaei5oySBIxdgtNo/edit?pli=1#gid=257618397"",""stock FAKTUR!B:e""),4,false)"),"ORANYE")</f>
        <v>ORANYE</v>
      </c>
      <c r="H489" s="53" t="str">
        <f>IFERROR(__xludf.DUMMYFUNCTION("vlookup($D489,IMPORTRANGE(""https://docs.google.com/spreadsheets/d/1swGwZOEqYlTEUCJLY-eeJM1911Kvaei5oySBIxdgtNo/edit?pli=1#gid=257618397"",""stock FAKTUR!B:F""),5,false)"),"JK")</f>
        <v>JK</v>
      </c>
      <c r="I489" s="53" t="str">
        <f>IFERROR(__xludf.DUMMYFUNCTION("vlookup($D489,IMPORTRANGE(""https://docs.google.com/spreadsheets/d/1swGwZOEqYlTEUCJLY-eeJM1911Kvaei5oySBIxdgtNo/edit?pli=1#gid=257618397"",""stock FAKTUR!B:G""),6,false)"),"CC-12")</f>
        <v>CC-12</v>
      </c>
      <c r="J489" s="120" t="str">
        <f t="shared" si="25"/>
        <v>ADA</v>
      </c>
      <c r="K489" s="142">
        <v>26.0</v>
      </c>
      <c r="L489" s="145" t="str">
        <f>IFERROR(__xludf.DUMMYFUNCTION("vlookup($D489,IMPORTRANGE(""https://docs.google.com/spreadsheets/d/1swGwZOEqYlTEUCJLY-eeJM1911Kvaei5oySBIxdgtNo/edit?pli=1#gid=257618397"",""stock FAKTUR!B:q""),16,false)"),"PCS")</f>
        <v>PCS</v>
      </c>
      <c r="M489" s="147">
        <v>56000.0</v>
      </c>
      <c r="N489" s="152">
        <v>0.125</v>
      </c>
      <c r="O489" s="147">
        <f t="shared" si="134"/>
        <v>1274000</v>
      </c>
      <c r="P489" s="147" t="str">
        <f t="shared" si="3"/>
        <v>Rp56,000-26 PCS-12.50%</v>
      </c>
      <c r="Q489" s="149">
        <v>45419.0</v>
      </c>
      <c r="R489" s="150"/>
      <c r="S489" s="149">
        <v>45420.0</v>
      </c>
      <c r="T489" s="151"/>
      <c r="U489" s="151"/>
      <c r="V489" s="151"/>
      <c r="W489" s="151"/>
    </row>
    <row r="490">
      <c r="A490" s="142">
        <v>2993.0</v>
      </c>
      <c r="B490" s="143" t="str">
        <f t="shared" si="145"/>
        <v>G</v>
      </c>
      <c r="C490" s="143" t="str">
        <f t="shared" si="146"/>
        <v>REJO AGUNG-JOMBANG</v>
      </c>
      <c r="D490" s="159" t="s">
        <v>4660</v>
      </c>
      <c r="E490" s="145" t="str">
        <f>IFERROR(__xludf.DUMMYFUNCTION("vlookup(D490,IMPORTRANGE(""https://docs.google.com/spreadsheets/d/1swGwZOEqYlTEUCJLY-eeJM1911Kvaei5oySBIxdgtNo/edit?pli=1#gid=257618397"",""stock FAKTUR!B:C""),2,false)"),"CALCULATOR JK CC-8 CO BIRU")</f>
        <v>CALCULATOR JK CC-8 CO BIRU</v>
      </c>
      <c r="F490" s="53" t="str">
        <f>IFERROR(__xludf.DUMMYFUNCTION("vlookup($D490,IMPORTRANGE(""https://docs.google.com/spreadsheets/d/1swGwZOEqYlTEUCJLY-eeJM1911Kvaei5oySBIxdgtNo/edit?pli=1#gid=257618397"",""stock FAKTUR!B:d""),3,false)"),"")</f>
        <v/>
      </c>
      <c r="G490" s="53" t="str">
        <f>IFERROR(__xludf.DUMMYFUNCTION("vlookup($D490,IMPORTRANGE(""https://docs.google.com/spreadsheets/d/1swGwZOEqYlTEUCJLY-eeJM1911Kvaei5oySBIxdgtNo/edit?pli=1#gid=257618397"",""stock FAKTUR!B:e""),4,false)"),"BIRU")</f>
        <v>BIRU</v>
      </c>
      <c r="H490" s="53" t="str">
        <f>IFERROR(__xludf.DUMMYFUNCTION("vlookup($D490,IMPORTRANGE(""https://docs.google.com/spreadsheets/d/1swGwZOEqYlTEUCJLY-eeJM1911Kvaei5oySBIxdgtNo/edit?pli=1#gid=257618397"",""stock FAKTUR!B:F""),5,false)"),"JK")</f>
        <v>JK</v>
      </c>
      <c r="I490" s="53" t="str">
        <f>IFERROR(__xludf.DUMMYFUNCTION("vlookup($D490,IMPORTRANGE(""https://docs.google.com/spreadsheets/d/1swGwZOEqYlTEUCJLY-eeJM1911Kvaei5oySBIxdgtNo/edit?pli=1#gid=257618397"",""stock FAKTUR!B:G""),6,false)"),"CC-8")</f>
        <v>CC-8</v>
      </c>
      <c r="J490" s="120" t="str">
        <f t="shared" si="25"/>
        <v>ADA</v>
      </c>
      <c r="K490" s="142">
        <v>40.0</v>
      </c>
      <c r="L490" s="145" t="str">
        <f>IFERROR(__xludf.DUMMYFUNCTION("vlookup($D490,IMPORTRANGE(""https://docs.google.com/spreadsheets/d/1swGwZOEqYlTEUCJLY-eeJM1911Kvaei5oySBIxdgtNo/edit?pli=1#gid=257618397"",""stock FAKTUR!B:q""),16,false)"),"PCS")</f>
        <v>PCS</v>
      </c>
      <c r="M490" s="147">
        <v>38000.0</v>
      </c>
      <c r="N490" s="152">
        <v>0.125</v>
      </c>
      <c r="O490" s="147">
        <f t="shared" si="134"/>
        <v>1330000</v>
      </c>
      <c r="P490" s="147" t="str">
        <f t="shared" si="3"/>
        <v>Rp38,000-40 PCS-12.50%</v>
      </c>
      <c r="Q490" s="149">
        <v>45419.0</v>
      </c>
      <c r="R490" s="150"/>
      <c r="S490" s="149">
        <v>45420.0</v>
      </c>
      <c r="T490" s="151"/>
      <c r="U490" s="151"/>
      <c r="V490" s="151"/>
      <c r="W490" s="151"/>
    </row>
    <row r="491">
      <c r="A491" s="142">
        <v>2993.0</v>
      </c>
      <c r="B491" s="143" t="str">
        <f t="shared" si="145"/>
        <v>G</v>
      </c>
      <c r="C491" s="143" t="str">
        <f t="shared" si="146"/>
        <v>REJO AGUNG-JOMBANG</v>
      </c>
      <c r="D491" s="159" t="s">
        <v>4675</v>
      </c>
      <c r="E491" s="145" t="str">
        <f>IFERROR(__xludf.DUMMYFUNCTION("vlookup(D491,IMPORTRANGE(""https://docs.google.com/spreadsheets/d/1swGwZOEqYlTEUCJLY-eeJM1911Kvaei5oySBIxdgtNo/edit?pli=1#gid=257618397"",""stock FAKTUR!B:C""),2,false)"),"CALCULATOR JK CC-8 CO HIJAU")</f>
        <v>CALCULATOR JK CC-8 CO HIJAU</v>
      </c>
      <c r="F491" s="53" t="str">
        <f>IFERROR(__xludf.DUMMYFUNCTION("vlookup($D491,IMPORTRANGE(""https://docs.google.com/spreadsheets/d/1swGwZOEqYlTEUCJLY-eeJM1911Kvaei5oySBIxdgtNo/edit?pli=1#gid=257618397"",""stock FAKTUR!B:d""),3,false)"),"")</f>
        <v/>
      </c>
      <c r="G491" s="53" t="str">
        <f>IFERROR(__xludf.DUMMYFUNCTION("vlookup($D491,IMPORTRANGE(""https://docs.google.com/spreadsheets/d/1swGwZOEqYlTEUCJLY-eeJM1911Kvaei5oySBIxdgtNo/edit?pli=1#gid=257618397"",""stock FAKTUR!B:e""),4,false)"),"HIJAU")</f>
        <v>HIJAU</v>
      </c>
      <c r="H491" s="53" t="str">
        <f>IFERROR(__xludf.DUMMYFUNCTION("vlookup($D491,IMPORTRANGE(""https://docs.google.com/spreadsheets/d/1swGwZOEqYlTEUCJLY-eeJM1911Kvaei5oySBIxdgtNo/edit?pli=1#gid=257618397"",""stock FAKTUR!B:F""),5,false)"),"JK")</f>
        <v>JK</v>
      </c>
      <c r="I491" s="53" t="str">
        <f>IFERROR(__xludf.DUMMYFUNCTION("vlookup($D491,IMPORTRANGE(""https://docs.google.com/spreadsheets/d/1swGwZOEqYlTEUCJLY-eeJM1911Kvaei5oySBIxdgtNo/edit?pli=1#gid=257618397"",""stock FAKTUR!B:G""),6,false)"),"CC-8")</f>
        <v>CC-8</v>
      </c>
      <c r="J491" s="120" t="str">
        <f t="shared" si="25"/>
        <v>ADA</v>
      </c>
      <c r="K491" s="142">
        <v>40.0</v>
      </c>
      <c r="L491" s="145" t="str">
        <f>IFERROR(__xludf.DUMMYFUNCTION("vlookup($D491,IMPORTRANGE(""https://docs.google.com/spreadsheets/d/1swGwZOEqYlTEUCJLY-eeJM1911Kvaei5oySBIxdgtNo/edit?pli=1#gid=257618397"",""stock FAKTUR!B:q""),16,false)"),"PCS")</f>
        <v>PCS</v>
      </c>
      <c r="M491" s="147">
        <v>38000.0</v>
      </c>
      <c r="N491" s="152">
        <v>0.125</v>
      </c>
      <c r="O491" s="147">
        <f t="shared" si="134"/>
        <v>1330000</v>
      </c>
      <c r="P491" s="147" t="str">
        <f t="shared" si="3"/>
        <v>Rp38,000-40 PCS-12.50%</v>
      </c>
      <c r="Q491" s="149">
        <v>45419.0</v>
      </c>
      <c r="R491" s="150"/>
      <c r="S491" s="149">
        <v>45420.0</v>
      </c>
      <c r="T491" s="151"/>
      <c r="U491" s="151"/>
      <c r="V491" s="151"/>
      <c r="W491" s="151"/>
    </row>
    <row r="492">
      <c r="A492" s="142">
        <v>2993.0</v>
      </c>
      <c r="B492" s="143" t="str">
        <f t="shared" si="145"/>
        <v>G</v>
      </c>
      <c r="C492" s="143" t="str">
        <f t="shared" si="146"/>
        <v>REJO AGUNG-JOMBANG</v>
      </c>
      <c r="D492" s="159" t="s">
        <v>4676</v>
      </c>
      <c r="E492" s="145" t="str">
        <f>IFERROR(__xludf.DUMMYFUNCTION("vlookup(D492,IMPORTRANGE(""https://docs.google.com/spreadsheets/d/1swGwZOEqYlTEUCJLY-eeJM1911Kvaei5oySBIxdgtNo/edit?pli=1#gid=257618397"",""stock FAKTUR!B:C""),2,false)"),"CALCULATOR JK CC-8 CO ORANGE")</f>
        <v>CALCULATOR JK CC-8 CO ORANGE</v>
      </c>
      <c r="F492" s="53" t="str">
        <f>IFERROR(__xludf.DUMMYFUNCTION("vlookup($D492,IMPORTRANGE(""https://docs.google.com/spreadsheets/d/1swGwZOEqYlTEUCJLY-eeJM1911Kvaei5oySBIxdgtNo/edit?pli=1#gid=257618397"",""stock FAKTUR!B:d""),3,false)"),"")</f>
        <v/>
      </c>
      <c r="G492" s="53" t="str">
        <f>IFERROR(__xludf.DUMMYFUNCTION("vlookup($D492,IMPORTRANGE(""https://docs.google.com/spreadsheets/d/1swGwZOEqYlTEUCJLY-eeJM1911Kvaei5oySBIxdgtNo/edit?pli=1#gid=257618397"",""stock FAKTUR!B:e""),4,false)"),"ORANYE")</f>
        <v>ORANYE</v>
      </c>
      <c r="H492" s="53" t="str">
        <f>IFERROR(__xludf.DUMMYFUNCTION("vlookup($D492,IMPORTRANGE(""https://docs.google.com/spreadsheets/d/1swGwZOEqYlTEUCJLY-eeJM1911Kvaei5oySBIxdgtNo/edit?pli=1#gid=257618397"",""stock FAKTUR!B:F""),5,false)"),"JK")</f>
        <v>JK</v>
      </c>
      <c r="I492" s="53" t="str">
        <f>IFERROR(__xludf.DUMMYFUNCTION("vlookup($D492,IMPORTRANGE(""https://docs.google.com/spreadsheets/d/1swGwZOEqYlTEUCJLY-eeJM1911Kvaei5oySBIxdgtNo/edit?pli=1#gid=257618397"",""stock FAKTUR!B:G""),6,false)"),"CC-8")</f>
        <v>CC-8</v>
      </c>
      <c r="J492" s="120" t="str">
        <f t="shared" si="25"/>
        <v>ADA</v>
      </c>
      <c r="K492" s="142">
        <v>40.0</v>
      </c>
      <c r="L492" s="145" t="str">
        <f>IFERROR(__xludf.DUMMYFUNCTION("vlookup($D492,IMPORTRANGE(""https://docs.google.com/spreadsheets/d/1swGwZOEqYlTEUCJLY-eeJM1911Kvaei5oySBIxdgtNo/edit?pli=1#gid=257618397"",""stock FAKTUR!B:q""),16,false)"),"PCS")</f>
        <v>PCS</v>
      </c>
      <c r="M492" s="147">
        <v>38000.0</v>
      </c>
      <c r="N492" s="152">
        <v>0.125</v>
      </c>
      <c r="O492" s="147">
        <f t="shared" si="134"/>
        <v>1330000</v>
      </c>
      <c r="P492" s="147" t="str">
        <f t="shared" si="3"/>
        <v>Rp38,000-40 PCS-12.50%</v>
      </c>
      <c r="Q492" s="149">
        <v>45419.0</v>
      </c>
      <c r="R492" s="150"/>
      <c r="S492" s="149">
        <v>45420.0</v>
      </c>
      <c r="T492" s="151"/>
      <c r="U492" s="151"/>
      <c r="V492" s="151"/>
      <c r="W492" s="151"/>
    </row>
    <row r="493">
      <c r="A493" s="142">
        <v>2993.0</v>
      </c>
      <c r="B493" s="143" t="str">
        <f t="shared" si="145"/>
        <v>G</v>
      </c>
      <c r="C493" s="143" t="str">
        <f t="shared" si="146"/>
        <v>REJO AGUNG-JOMBANG</v>
      </c>
      <c r="D493" s="190" t="s">
        <v>4649</v>
      </c>
      <c r="E493" s="145" t="str">
        <f>IFERROR(__xludf.DUMMYFUNCTION("vlookup(D493,IMPORTRANGE(""https://docs.google.com/spreadsheets/d/1swGwZOEqYlTEUCJLY-eeJM1911Kvaei5oySBIxdgtNo/edit?pli=1#gid=257618397"",""stock FAKTUR!B:C""),2,false)"),"CALCULATOR JK CC-41")</f>
        <v>CALCULATOR JK CC-41</v>
      </c>
      <c r="F493" s="53" t="str">
        <f>IFERROR(__xludf.DUMMYFUNCTION("vlookup($D493,IMPORTRANGE(""https://docs.google.com/spreadsheets/d/1swGwZOEqYlTEUCJLY-eeJM1911Kvaei5oySBIxdgtNo/edit?pli=1#gid=257618397"",""stock FAKTUR!B:d""),3,false)"),"")</f>
        <v/>
      </c>
      <c r="G493" s="53" t="str">
        <f>IFERROR(__xludf.DUMMYFUNCTION("vlookup($D493,IMPORTRANGE(""https://docs.google.com/spreadsheets/d/1swGwZOEqYlTEUCJLY-eeJM1911Kvaei5oySBIxdgtNo/edit?pli=1#gid=257618397"",""stock FAKTUR!B:e""),4,false)"),"")</f>
        <v/>
      </c>
      <c r="H493" s="53" t="str">
        <f>IFERROR(__xludf.DUMMYFUNCTION("vlookup($D493,IMPORTRANGE(""https://docs.google.com/spreadsheets/d/1swGwZOEqYlTEUCJLY-eeJM1911Kvaei5oySBIxdgtNo/edit?pli=1#gid=257618397"",""stock FAKTUR!B:F""),5,false)"),"JK")</f>
        <v>JK</v>
      </c>
      <c r="I493" s="53" t="str">
        <f>IFERROR(__xludf.DUMMYFUNCTION("vlookup($D493,IMPORTRANGE(""https://docs.google.com/spreadsheets/d/1swGwZOEqYlTEUCJLY-eeJM1911Kvaei5oySBIxdgtNo/edit?pli=1#gid=257618397"",""stock FAKTUR!B:G""),6,false)"),"CC-41")</f>
        <v>CC-41</v>
      </c>
      <c r="J493" s="120" t="str">
        <f t="shared" si="25"/>
        <v>ADA</v>
      </c>
      <c r="K493" s="142">
        <v>60.0</v>
      </c>
      <c r="L493" s="145" t="str">
        <f>IFERROR(__xludf.DUMMYFUNCTION("vlookup($D493,IMPORTRANGE(""https://docs.google.com/spreadsheets/d/1swGwZOEqYlTEUCJLY-eeJM1911Kvaei5oySBIxdgtNo/edit?pli=1#gid=257618397"",""stock FAKTUR!B:q""),16,false)"),"PCS")</f>
        <v>PCS</v>
      </c>
      <c r="M493" s="147">
        <v>74000.0</v>
      </c>
      <c r="N493" s="152">
        <v>0.125</v>
      </c>
      <c r="O493" s="147">
        <f t="shared" si="134"/>
        <v>3885000</v>
      </c>
      <c r="P493" s="147" t="str">
        <f t="shared" si="3"/>
        <v>Rp74,000-60 PCS-12.50%</v>
      </c>
      <c r="Q493" s="149">
        <v>45419.0</v>
      </c>
      <c r="R493" s="150"/>
      <c r="S493" s="149">
        <v>45420.0</v>
      </c>
      <c r="T493" s="151"/>
      <c r="U493" s="151"/>
      <c r="V493" s="151"/>
      <c r="W493" s="151"/>
    </row>
    <row r="494">
      <c r="A494" s="142">
        <v>2993.0</v>
      </c>
      <c r="B494" s="143" t="str">
        <f t="shared" si="145"/>
        <v>G</v>
      </c>
      <c r="C494" s="143" t="str">
        <f t="shared" si="146"/>
        <v>REJO AGUNG-JOMBANG</v>
      </c>
      <c r="D494" s="145" t="s">
        <v>4398</v>
      </c>
      <c r="E494" s="145" t="str">
        <f>IFERROR(__xludf.DUMMYFUNCTION("vlookup(D494,IMPORTRANGE(""https://docs.google.com/spreadsheets/d/1swGwZOEqYlTEUCJLY-eeJM1911Kvaei5oySBIxdgtNo/edit?pli=1#gid=257618397"",""stock FAKTUR!B:C""),2,false)"),"ISI CUTTER KENKO L-150 BESAR")</f>
        <v>ISI CUTTER KENKO L-150 BESAR</v>
      </c>
      <c r="F494" s="53" t="str">
        <f>IFERROR(__xludf.DUMMYFUNCTION("vlookup($D494,IMPORTRANGE(""https://docs.google.com/spreadsheets/d/1swGwZOEqYlTEUCJLY-eeJM1911Kvaei5oySBIxdgtNo/edit?pli=1#gid=257618397"",""stock FAKTUR!B:d""),3,false)"),"18 MM")</f>
        <v>18 MM</v>
      </c>
      <c r="G494" s="53" t="str">
        <f>IFERROR(__xludf.DUMMYFUNCTION("vlookup($D494,IMPORTRANGE(""https://docs.google.com/spreadsheets/d/1swGwZOEqYlTEUCJLY-eeJM1911Kvaei5oySBIxdgtNo/edit?pli=1#gid=257618397"",""stock FAKTUR!B:e""),4,false)"),"")</f>
        <v/>
      </c>
      <c r="H494" s="53" t="str">
        <f>IFERROR(__xludf.DUMMYFUNCTION("vlookup($D494,IMPORTRANGE(""https://docs.google.com/spreadsheets/d/1swGwZOEqYlTEUCJLY-eeJM1911Kvaei5oySBIxdgtNo/edit?pli=1#gid=257618397"",""stock FAKTUR!B:F""),5,false)"),"KN")</f>
        <v>KN</v>
      </c>
      <c r="I494" s="53" t="str">
        <f>IFERROR(__xludf.DUMMYFUNCTION("vlookup($D494,IMPORTRANGE(""https://docs.google.com/spreadsheets/d/1swGwZOEqYlTEUCJLY-eeJM1911Kvaei5oySBIxdgtNo/edit?pli=1#gid=257618397"",""stock FAKTUR!B:G""),6,false)"),"CTB-002")</f>
        <v>CTB-002</v>
      </c>
      <c r="J494" s="120" t="str">
        <f t="shared" si="25"/>
        <v>ADA</v>
      </c>
      <c r="K494" s="142">
        <v>300.0</v>
      </c>
      <c r="L494" s="145" t="str">
        <f>IFERROR(__xludf.DUMMYFUNCTION("vlookup($D494,IMPORTRANGE(""https://docs.google.com/spreadsheets/d/1swGwZOEqYlTEUCJLY-eeJM1911Kvaei5oySBIxdgtNo/edit?pli=1#gid=257618397"",""stock FAKTUR!B:q""),16,false)"),"LSN")</f>
        <v>LSN</v>
      </c>
      <c r="M494" s="147">
        <v>64800.0</v>
      </c>
      <c r="N494" s="152">
        <v>0.125</v>
      </c>
      <c r="O494" s="147">
        <f t="shared" si="134"/>
        <v>17010000</v>
      </c>
      <c r="P494" s="147" t="str">
        <f t="shared" si="3"/>
        <v>Rp64,800-300 LSN-12.50%</v>
      </c>
      <c r="Q494" s="149">
        <v>45419.0</v>
      </c>
      <c r="R494" s="150"/>
      <c r="S494" s="149">
        <v>45420.0</v>
      </c>
      <c r="T494" s="151"/>
      <c r="U494" s="151"/>
      <c r="V494" s="151"/>
      <c r="W494" s="151"/>
    </row>
    <row r="495">
      <c r="A495" s="142">
        <v>3118.0</v>
      </c>
      <c r="B495" s="143" t="s">
        <v>33</v>
      </c>
      <c r="C495" s="143" t="s">
        <v>4499</v>
      </c>
      <c r="D495" s="145" t="s">
        <v>4659</v>
      </c>
      <c r="E495" s="145" t="str">
        <f>IFERROR(__xludf.DUMMYFUNCTION("vlookup(D495,IMPORTRANGE(""https://docs.google.com/spreadsheets/d/1swGwZOEqYlTEUCJLY-eeJM1911Kvaei5oySBIxdgtNo/edit?pli=1#gid=257618397"",""stock FAKTUR!B:C""),2,false)"),"STAPLER JK HD-10")</f>
        <v>STAPLER JK HD-10</v>
      </c>
      <c r="F495" s="53" t="str">
        <f>IFERROR(__xludf.DUMMYFUNCTION("vlookup($D495,IMPORTRANGE(""https://docs.google.com/spreadsheets/d/1swGwZOEqYlTEUCJLY-eeJM1911Kvaei5oySBIxdgtNo/edit?pli=1#gid=257618397"",""stock FAKTUR!B:d""),3,false)"),"")</f>
        <v/>
      </c>
      <c r="G495" s="53" t="str">
        <f>IFERROR(__xludf.DUMMYFUNCTION("vlookup($D495,IMPORTRANGE(""https://docs.google.com/spreadsheets/d/1swGwZOEqYlTEUCJLY-eeJM1911Kvaei5oySBIxdgtNo/edit?pli=1#gid=257618397"",""stock FAKTUR!B:e""),4,false)"),"")</f>
        <v/>
      </c>
      <c r="H495" s="53" t="str">
        <f>IFERROR(__xludf.DUMMYFUNCTION("vlookup($D495,IMPORTRANGE(""https://docs.google.com/spreadsheets/d/1swGwZOEqYlTEUCJLY-eeJM1911Kvaei5oySBIxdgtNo/edit?pli=1#gid=257618397"",""stock FAKTUR!B:F""),5,false)"),"JK")</f>
        <v>JK</v>
      </c>
      <c r="I495" s="53" t="str">
        <f>IFERROR(__xludf.DUMMYFUNCTION("vlookup($D495,IMPORTRANGE(""https://docs.google.com/spreadsheets/d/1swGwZOEqYlTEUCJLY-eeJM1911Kvaei5oySBIxdgtNo/edit?pli=1#gid=257618397"",""stock FAKTUR!B:G""),6,false)"),"HD-10")</f>
        <v>HD-10</v>
      </c>
      <c r="J495" s="120" t="str">
        <f t="shared" si="25"/>
        <v>ADA</v>
      </c>
      <c r="K495" s="142">
        <v>20.0</v>
      </c>
      <c r="L495" s="145" t="str">
        <f>IFERROR(__xludf.DUMMYFUNCTION("vlookup($D495,IMPORTRANGE(""https://docs.google.com/spreadsheets/d/1swGwZOEqYlTEUCJLY-eeJM1911Kvaei5oySBIxdgtNo/edit?pli=1#gid=257618397"",""stock FAKTUR!B:q""),16,false)"),"LSN")</f>
        <v>LSN</v>
      </c>
      <c r="M495" s="147">
        <v>85200.0</v>
      </c>
      <c r="N495" s="152">
        <v>0.125</v>
      </c>
      <c r="O495" s="147">
        <f t="shared" si="134"/>
        <v>1491000</v>
      </c>
      <c r="P495" s="147" t="str">
        <f t="shared" si="3"/>
        <v>Rp85,200-20 LSN-12.50%</v>
      </c>
      <c r="Q495" s="149">
        <v>45419.0</v>
      </c>
      <c r="R495" s="150"/>
      <c r="S495" s="149">
        <v>45420.0</v>
      </c>
      <c r="T495" s="151"/>
      <c r="U495" s="151"/>
      <c r="V495" s="151"/>
      <c r="W495" s="151"/>
    </row>
    <row r="496">
      <c r="A496" s="142">
        <v>3118.0</v>
      </c>
      <c r="B496" s="143" t="str">
        <f t="shared" ref="B496:B500" si="147">IF(A496=A495,B495,"")</f>
        <v>H</v>
      </c>
      <c r="C496" s="143" t="str">
        <f t="shared" ref="C496:C500" si="148">IF(A496=A495,C495,"")</f>
        <v>SIANA(PECINAN)-MALANG</v>
      </c>
      <c r="D496" s="145" t="s">
        <v>4677</v>
      </c>
      <c r="E496" s="145" t="str">
        <f>IFERROR(__xludf.DUMMYFUNCTION("vlookup(D496,IMPORTRANGE(""https://docs.google.com/spreadsheets/d/1swGwZOEqYlTEUCJLY-eeJM1911Kvaei5oySBIxdgtNo/edit?pli=1#gid=257618397"",""stock FAKTUR!B:C""),2,false)"),"STAPLER JK HD 50 CL")</f>
        <v>STAPLER JK HD 50 CL</v>
      </c>
      <c r="F496" s="53" t="str">
        <f>IFERROR(__xludf.DUMMYFUNCTION("vlookup($D496,IMPORTRANGE(""https://docs.google.com/spreadsheets/d/1swGwZOEqYlTEUCJLY-eeJM1911Kvaei5oySBIxdgtNo/edit?pli=1#gid=257618397"",""stock FAKTUR!B:d""),3,false)"),"")</f>
        <v/>
      </c>
      <c r="G496" s="53" t="str">
        <f>IFERROR(__xludf.DUMMYFUNCTION("vlookup($D496,IMPORTRANGE(""https://docs.google.com/spreadsheets/d/1swGwZOEqYlTEUCJLY-eeJM1911Kvaei5oySBIxdgtNo/edit?pli=1#gid=257618397"",""stock FAKTUR!B:e""),4,false)"),"")</f>
        <v/>
      </c>
      <c r="H496" s="53" t="str">
        <f>IFERROR(__xludf.DUMMYFUNCTION("vlookup($D496,IMPORTRANGE(""https://docs.google.com/spreadsheets/d/1swGwZOEqYlTEUCJLY-eeJM1911Kvaei5oySBIxdgtNo/edit?pli=1#gid=257618397"",""stock FAKTUR!B:F""),5,false)"),"JK")</f>
        <v>JK</v>
      </c>
      <c r="I496" s="53" t="str">
        <f>IFERROR(__xludf.DUMMYFUNCTION("vlookup($D496,IMPORTRANGE(""https://docs.google.com/spreadsheets/d/1swGwZOEqYlTEUCJLY-eeJM1911Kvaei5oySBIxdgtNo/edit?pli=1#gid=257618397"",""stock FAKTUR!B:G""),6,false)"),"HD-50CL")</f>
        <v>HD-50CL</v>
      </c>
      <c r="J496" s="120" t="str">
        <f t="shared" si="25"/>
        <v>ADA</v>
      </c>
      <c r="K496" s="142">
        <f>120/12</f>
        <v>10</v>
      </c>
      <c r="L496" s="145" t="str">
        <f>IFERROR(__xludf.DUMMYFUNCTION("vlookup($D496,IMPORTRANGE(""https://docs.google.com/spreadsheets/d/1swGwZOEqYlTEUCJLY-eeJM1911Kvaei5oySBIxdgtNo/edit?pli=1#gid=257618397"",""stock FAKTUR!B:q""),16,false)"),"LSN")</f>
        <v>LSN</v>
      </c>
      <c r="M496" s="147">
        <f>18000*12</f>
        <v>216000</v>
      </c>
      <c r="N496" s="152">
        <v>0.125</v>
      </c>
      <c r="O496" s="147">
        <f t="shared" si="134"/>
        <v>1890000</v>
      </c>
      <c r="P496" s="147" t="str">
        <f t="shared" si="3"/>
        <v>Rp216,000-10 LSN-12.50%</v>
      </c>
      <c r="Q496" s="149">
        <v>45419.0</v>
      </c>
      <c r="R496" s="150"/>
      <c r="S496" s="149">
        <v>45420.0</v>
      </c>
      <c r="T496" s="151"/>
      <c r="U496" s="151"/>
      <c r="V496" s="151"/>
      <c r="W496" s="151"/>
    </row>
    <row r="497">
      <c r="A497" s="142">
        <v>3118.0</v>
      </c>
      <c r="B497" s="143" t="str">
        <f t="shared" si="147"/>
        <v>H</v>
      </c>
      <c r="C497" s="143" t="str">
        <f t="shared" si="148"/>
        <v>SIANA(PECINAN)-MALANG</v>
      </c>
      <c r="D497" s="145" t="s">
        <v>4432</v>
      </c>
      <c r="E497" s="145" t="str">
        <f>IFERROR(__xludf.DUMMYFUNCTION("vlookup(D497,IMPORTRANGE(""https://docs.google.com/spreadsheets/d/1swGwZOEqYlTEUCJLY-eeJM1911Kvaei5oySBIxdgtNo/edit?pli=1#gid=257618397"",""stock FAKTUR!B:C""),2,false)"),"PW JK CP-24PB PANJANG")</f>
        <v>PW JK CP-24PB PANJANG</v>
      </c>
      <c r="F497" s="53" t="str">
        <f>IFERROR(__xludf.DUMMYFUNCTION("vlookup($D497,IMPORTRANGE(""https://docs.google.com/spreadsheets/d/1swGwZOEqYlTEUCJLY-eeJM1911Kvaei5oySBIxdgtNo/edit?pli=1#gid=257618397"",""stock FAKTUR!B:d""),3,false)"),"")</f>
        <v/>
      </c>
      <c r="G497" s="53" t="str">
        <f>IFERROR(__xludf.DUMMYFUNCTION("vlookup($D497,IMPORTRANGE(""https://docs.google.com/spreadsheets/d/1swGwZOEqYlTEUCJLY-eeJM1911Kvaei5oySBIxdgtNo/edit?pli=1#gid=257618397"",""stock FAKTUR!B:e""),4,false)"),"24W")</f>
        <v>24W</v>
      </c>
      <c r="H497" s="53" t="str">
        <f>IFERROR(__xludf.DUMMYFUNCTION("vlookup($D497,IMPORTRANGE(""https://docs.google.com/spreadsheets/d/1swGwZOEqYlTEUCJLY-eeJM1911Kvaei5oySBIxdgtNo/edit?pli=1#gid=257618397"",""stock FAKTUR!B:F""),5,false)"),"JK")</f>
        <v>JK</v>
      </c>
      <c r="I497" s="53" t="str">
        <f>IFERROR(__xludf.DUMMYFUNCTION("vlookup($D497,IMPORTRANGE(""https://docs.google.com/spreadsheets/d/1swGwZOEqYlTEUCJLY-eeJM1911Kvaei5oySBIxdgtNo/edit?pli=1#gid=257618397"",""stock FAKTUR!B:G""),6,false)"),"CP-24PB")</f>
        <v>CP-24PB</v>
      </c>
      <c r="J497" s="120" t="str">
        <f t="shared" si="25"/>
        <v>ADA</v>
      </c>
      <c r="K497" s="142">
        <v>72.0</v>
      </c>
      <c r="L497" s="145" t="str">
        <f>IFERROR(__xludf.DUMMYFUNCTION("vlookup($D497,IMPORTRANGE(""https://docs.google.com/spreadsheets/d/1swGwZOEqYlTEUCJLY-eeJM1911Kvaei5oySBIxdgtNo/edit?pli=1#gid=257618397"",""stock FAKTUR!B:q""),16,false)"),"PCS")</f>
        <v>PCS</v>
      </c>
      <c r="M497" s="147">
        <v>20400.0</v>
      </c>
      <c r="N497" s="152">
        <v>0.125</v>
      </c>
      <c r="O497" s="147">
        <f t="shared" si="134"/>
        <v>1285200</v>
      </c>
      <c r="P497" s="147" t="str">
        <f t="shared" si="3"/>
        <v>Rp20,400-72 PCS-12.50%</v>
      </c>
      <c r="Q497" s="149">
        <v>45419.0</v>
      </c>
      <c r="R497" s="150"/>
      <c r="S497" s="149">
        <v>45420.0</v>
      </c>
      <c r="T497" s="151"/>
      <c r="U497" s="151"/>
      <c r="V497" s="151"/>
      <c r="W497" s="151"/>
    </row>
    <row r="498">
      <c r="A498" s="142">
        <v>3118.0</v>
      </c>
      <c r="B498" s="143" t="str">
        <f t="shared" si="147"/>
        <v>H</v>
      </c>
      <c r="C498" s="143" t="str">
        <f t="shared" si="148"/>
        <v>SIANA(PECINAN)-MALANG</v>
      </c>
      <c r="D498" s="151" t="s">
        <v>4506</v>
      </c>
      <c r="E498" s="145" t="str">
        <f>IFERROR(__xludf.DUMMYFUNCTION("vlookup(D498,IMPORTRANGE(""https://docs.google.com/spreadsheets/d/1swGwZOEqYlTEUCJLY-eeJM1911Kvaei5oySBIxdgtNo/edit?pli=1#gid=257618397"",""stock FAKTUR!B:C""),2,false)"),"LEM JK GL-R50")</f>
        <v>LEM JK GL-R50</v>
      </c>
      <c r="F498" s="53" t="str">
        <f>IFERROR(__xludf.DUMMYFUNCTION("vlookup($D498,IMPORTRANGE(""https://docs.google.com/spreadsheets/d/1swGwZOEqYlTEUCJLY-eeJM1911Kvaei5oySBIxdgtNo/edit?pli=1#gid=257618397"",""stock FAKTUR!B:d""),3,false)"),"")</f>
        <v/>
      </c>
      <c r="G498" s="53" t="str">
        <f>IFERROR(__xludf.DUMMYFUNCTION("vlookup($D498,IMPORTRANGE(""https://docs.google.com/spreadsheets/d/1swGwZOEqYlTEUCJLY-eeJM1911Kvaei5oySBIxdgtNo/edit?pli=1#gid=257618397"",""stock FAKTUR!B:e""),4,false)"),"")</f>
        <v/>
      </c>
      <c r="H498" s="53" t="str">
        <f>IFERROR(__xludf.DUMMYFUNCTION("vlookup($D498,IMPORTRANGE(""https://docs.google.com/spreadsheets/d/1swGwZOEqYlTEUCJLY-eeJM1911Kvaei5oySBIxdgtNo/edit?pli=1#gid=257618397"",""stock FAKTUR!B:F""),5,false)"),"JK")</f>
        <v>JK</v>
      </c>
      <c r="I498" s="53" t="str">
        <f>IFERROR(__xludf.DUMMYFUNCTION("vlookup($D498,IMPORTRANGE(""https://docs.google.com/spreadsheets/d/1swGwZOEqYlTEUCJLY-eeJM1911Kvaei5oySBIxdgtNo/edit?pli=1#gid=257618397"",""stock FAKTUR!B:G""),6,false)"),"GL-R50")</f>
        <v>GL-R50</v>
      </c>
      <c r="J498" s="120" t="str">
        <f t="shared" si="25"/>
        <v>ADA</v>
      </c>
      <c r="K498" s="142">
        <v>24.0</v>
      </c>
      <c r="L498" s="145" t="str">
        <f>IFERROR(__xludf.DUMMYFUNCTION("vlookup($D498,IMPORTRANGE(""https://docs.google.com/spreadsheets/d/1swGwZOEqYlTEUCJLY-eeJM1911Kvaei5oySBIxdgtNo/edit?pli=1#gid=257618397"",""stock FAKTUR!B:q""),16,false)"),"LSN")</f>
        <v>LSN</v>
      </c>
      <c r="M498" s="147">
        <f>12*2100</f>
        <v>25200</v>
      </c>
      <c r="N498" s="152">
        <v>0.125</v>
      </c>
      <c r="O498" s="147">
        <f t="shared" si="134"/>
        <v>529200</v>
      </c>
      <c r="P498" s="147" t="str">
        <f t="shared" si="3"/>
        <v>Rp25,200-24 LSN-12.50%</v>
      </c>
      <c r="Q498" s="149">
        <v>45419.0</v>
      </c>
      <c r="R498" s="150"/>
      <c r="S498" s="149">
        <v>45420.0</v>
      </c>
      <c r="T498" s="151"/>
      <c r="U498" s="151"/>
      <c r="V498" s="151"/>
      <c r="W498" s="151"/>
    </row>
    <row r="499">
      <c r="A499" s="142">
        <v>3118.0</v>
      </c>
      <c r="B499" s="143" t="str">
        <f t="shared" si="147"/>
        <v>H</v>
      </c>
      <c r="C499" s="143" t="str">
        <f t="shared" si="148"/>
        <v>SIANA(PECINAN)-MALANG</v>
      </c>
      <c r="D499" s="159" t="s">
        <v>4665</v>
      </c>
      <c r="E499" s="145" t="str">
        <f>IFERROR(__xludf.DUMMYFUNCTION("vlookup(D499,IMPORTRANGE(""https://docs.google.com/spreadsheets/d/1swGwZOEqYlTEUCJLY-eeJM1911Kvaei5oySBIxdgtNo/edit?pli=1#gid=257618397"",""stock FAKTUR!B:C""),2,false)"),"STIP JK 526-B40P")</f>
        <v>STIP JK 526-B40P</v>
      </c>
      <c r="F499" s="53" t="str">
        <f>IFERROR(__xludf.DUMMYFUNCTION("vlookup($D499,IMPORTRANGE(""https://docs.google.com/spreadsheets/d/1swGwZOEqYlTEUCJLY-eeJM1911Kvaei5oySBIxdgtNo/edit?pli=1#gid=257618397"",""stock FAKTUR!B:d""),3,false)"),"")</f>
        <v/>
      </c>
      <c r="G499" s="53" t="str">
        <f>IFERROR(__xludf.DUMMYFUNCTION("vlookup($D499,IMPORTRANGE(""https://docs.google.com/spreadsheets/d/1swGwZOEqYlTEUCJLY-eeJM1911Kvaei5oySBIxdgtNo/edit?pli=1#gid=257618397"",""stock FAKTUR!B:e""),4,false)"),"PUTIH")</f>
        <v>PUTIH</v>
      </c>
      <c r="H499" s="53" t="str">
        <f>IFERROR(__xludf.DUMMYFUNCTION("vlookup($D499,IMPORTRANGE(""https://docs.google.com/spreadsheets/d/1swGwZOEqYlTEUCJLY-eeJM1911Kvaei5oySBIxdgtNo/edit?pli=1#gid=257618397"",""stock FAKTUR!B:F""),5,false)"),"JK")</f>
        <v>JK</v>
      </c>
      <c r="I499" s="53" t="str">
        <f>IFERROR(__xludf.DUMMYFUNCTION("vlookup($D499,IMPORTRANGE(""https://docs.google.com/spreadsheets/d/1swGwZOEqYlTEUCJLY-eeJM1911Kvaei5oySBIxdgtNo/edit?pli=1#gid=257618397"",""stock FAKTUR!B:G""),6,false)"),"40 P")</f>
        <v>40 P</v>
      </c>
      <c r="J499" s="120" t="str">
        <f t="shared" si="25"/>
        <v>ADA</v>
      </c>
      <c r="K499" s="142">
        <v>50.0</v>
      </c>
      <c r="L499" s="145" t="str">
        <f>IFERROR(__xludf.DUMMYFUNCTION("vlookup($D499,IMPORTRANGE(""https://docs.google.com/spreadsheets/d/1swGwZOEqYlTEUCJLY-eeJM1911Kvaei5oySBIxdgtNo/edit?pli=1#gid=257618397"",""stock FAKTUR!B:q""),16,false)"),"BOX")</f>
        <v>BOX</v>
      </c>
      <c r="M499" s="147">
        <v>28300.0</v>
      </c>
      <c r="N499" s="152">
        <v>0.125</v>
      </c>
      <c r="O499" s="147">
        <f t="shared" si="134"/>
        <v>1238125</v>
      </c>
      <c r="P499" s="147" t="str">
        <f t="shared" si="3"/>
        <v>Rp28,300-50 BOX-12.50%</v>
      </c>
      <c r="Q499" s="149">
        <v>45419.0</v>
      </c>
      <c r="R499" s="150"/>
      <c r="S499" s="149">
        <v>45420.0</v>
      </c>
      <c r="T499" s="151"/>
      <c r="U499" s="151"/>
      <c r="V499" s="151"/>
      <c r="W499" s="151"/>
    </row>
    <row r="500">
      <c r="A500" s="142">
        <v>3118.0</v>
      </c>
      <c r="B500" s="143" t="str">
        <f t="shared" si="147"/>
        <v>H</v>
      </c>
      <c r="C500" s="143" t="str">
        <f t="shared" si="148"/>
        <v>SIANA(PECINAN)-MALANG</v>
      </c>
      <c r="D500" s="145" t="s">
        <v>4678</v>
      </c>
      <c r="E500" s="145" t="str">
        <f>IFERROR(__xludf.DUMMYFUNCTION("vlookup(D500,IMPORTRANGE(""https://docs.google.com/spreadsheets/d/1swGwZOEqYlTEUCJLY-eeJM1911Kvaei5oySBIxdgtNo/edit?pli=1#gid=257618397"",""stock FAKTUR!B:C""),2,false)"),"ISI PENSIL JK PL-16 (2.0)")</f>
        <v>ISI PENSIL JK PL-16 (2.0)</v>
      </c>
      <c r="F500" s="53" t="str">
        <f>IFERROR(__xludf.DUMMYFUNCTION("vlookup($D500,IMPORTRANGE(""https://docs.google.com/spreadsheets/d/1swGwZOEqYlTEUCJLY-eeJM1911Kvaei5oySBIxdgtNo/edit?pli=1#gid=257618397"",""stock FAKTUR!B:d""),3,false)"),"")</f>
        <v/>
      </c>
      <c r="G500" s="53" t="str">
        <f>IFERROR(__xludf.DUMMYFUNCTION("vlookup($D500,IMPORTRANGE(""https://docs.google.com/spreadsheets/d/1swGwZOEqYlTEUCJLY-eeJM1911Kvaei5oySBIxdgtNo/edit?pli=1#gid=257618397"",""stock FAKTUR!B:e""),4,false)"),"")</f>
        <v/>
      </c>
      <c r="H500" s="53" t="str">
        <f>IFERROR(__xludf.DUMMYFUNCTION("vlookup($D500,IMPORTRANGE(""https://docs.google.com/spreadsheets/d/1swGwZOEqYlTEUCJLY-eeJM1911Kvaei5oySBIxdgtNo/edit?pli=1#gid=257618397"",""stock FAKTUR!B:F""),5,false)"),"JK")</f>
        <v>JK</v>
      </c>
      <c r="I500" s="53" t="str">
        <f>IFERROR(__xludf.DUMMYFUNCTION("vlookup($D500,IMPORTRANGE(""https://docs.google.com/spreadsheets/d/1swGwZOEqYlTEUCJLY-eeJM1911Kvaei5oySBIxdgtNo/edit?pli=1#gid=257618397"",""stock FAKTUR!B:G""),6,false)"),"PL-16")</f>
        <v>PL-16</v>
      </c>
      <c r="J500" s="120" t="str">
        <f t="shared" si="25"/>
        <v>ADA</v>
      </c>
      <c r="K500" s="142">
        <v>12.0</v>
      </c>
      <c r="L500" s="145" t="str">
        <f>IFERROR(__xludf.DUMMYFUNCTION("vlookup($D500,IMPORTRANGE(""https://docs.google.com/spreadsheets/d/1swGwZOEqYlTEUCJLY-eeJM1911Kvaei5oySBIxdgtNo/edit?pli=1#gid=257618397"",""stock FAKTUR!B:q""),16,false)"),"GRS")</f>
        <v>GRS</v>
      </c>
      <c r="M500" s="147">
        <v>198000.0</v>
      </c>
      <c r="N500" s="152">
        <v>0.125</v>
      </c>
      <c r="O500" s="147">
        <f t="shared" si="134"/>
        <v>2079000</v>
      </c>
      <c r="P500" s="147" t="str">
        <f t="shared" si="3"/>
        <v>Rp198,000-12 GRS-12.50%</v>
      </c>
      <c r="Q500" s="149">
        <v>45419.0</v>
      </c>
      <c r="R500" s="150"/>
      <c r="S500" s="149">
        <v>45420.0</v>
      </c>
      <c r="T500" s="151"/>
      <c r="U500" s="151"/>
      <c r="V500" s="151"/>
      <c r="W500" s="151"/>
    </row>
    <row r="501">
      <c r="A501" s="142">
        <v>3122.0</v>
      </c>
      <c r="B501" s="143" t="s">
        <v>33</v>
      </c>
      <c r="C501" s="143" t="s">
        <v>2243</v>
      </c>
      <c r="D501" s="145" t="s">
        <v>4659</v>
      </c>
      <c r="E501" s="145" t="str">
        <f>IFERROR(__xludf.DUMMYFUNCTION("vlookup(D501,IMPORTRANGE(""https://docs.google.com/spreadsheets/d/1swGwZOEqYlTEUCJLY-eeJM1911Kvaei5oySBIxdgtNo/edit?pli=1#gid=257618397"",""stock FAKTUR!B:C""),2,false)"),"STAPLER JK HD-10")</f>
        <v>STAPLER JK HD-10</v>
      </c>
      <c r="F501" s="53" t="str">
        <f>IFERROR(__xludf.DUMMYFUNCTION("vlookup($D501,IMPORTRANGE(""https://docs.google.com/spreadsheets/d/1swGwZOEqYlTEUCJLY-eeJM1911Kvaei5oySBIxdgtNo/edit?pli=1#gid=257618397"",""stock FAKTUR!B:d""),3,false)"),"")</f>
        <v/>
      </c>
      <c r="G501" s="53" t="str">
        <f>IFERROR(__xludf.DUMMYFUNCTION("vlookup($D501,IMPORTRANGE(""https://docs.google.com/spreadsheets/d/1swGwZOEqYlTEUCJLY-eeJM1911Kvaei5oySBIxdgtNo/edit?pli=1#gid=257618397"",""stock FAKTUR!B:e""),4,false)"),"")</f>
        <v/>
      </c>
      <c r="H501" s="53" t="str">
        <f>IFERROR(__xludf.DUMMYFUNCTION("vlookup($D501,IMPORTRANGE(""https://docs.google.com/spreadsheets/d/1swGwZOEqYlTEUCJLY-eeJM1911Kvaei5oySBIxdgtNo/edit?pli=1#gid=257618397"",""stock FAKTUR!B:F""),5,false)"),"JK")</f>
        <v>JK</v>
      </c>
      <c r="I501" s="53" t="str">
        <f>IFERROR(__xludf.DUMMYFUNCTION("vlookup($D501,IMPORTRANGE(""https://docs.google.com/spreadsheets/d/1swGwZOEqYlTEUCJLY-eeJM1911Kvaei5oySBIxdgtNo/edit?pli=1#gid=257618397"",""stock FAKTUR!B:G""),6,false)"),"HD-10")</f>
        <v>HD-10</v>
      </c>
      <c r="J501" s="120" t="str">
        <f t="shared" si="25"/>
        <v>ADA</v>
      </c>
      <c r="K501" s="142">
        <v>100.0</v>
      </c>
      <c r="L501" s="145" t="str">
        <f>IFERROR(__xludf.DUMMYFUNCTION("vlookup($D501,IMPORTRANGE(""https://docs.google.com/spreadsheets/d/1swGwZOEqYlTEUCJLY-eeJM1911Kvaei5oySBIxdgtNo/edit?pli=1#gid=257618397"",""stock FAKTUR!B:q""),16,false)"),"LSN")</f>
        <v>LSN</v>
      </c>
      <c r="M501" s="147">
        <v>85200.0</v>
      </c>
      <c r="N501" s="152">
        <v>0.125</v>
      </c>
      <c r="O501" s="147">
        <f t="shared" si="134"/>
        <v>7455000</v>
      </c>
      <c r="P501" s="147" t="str">
        <f t="shared" si="3"/>
        <v>Rp85,200-100 LSN-12.50%</v>
      </c>
      <c r="Q501" s="149">
        <v>45419.0</v>
      </c>
      <c r="R501" s="150"/>
      <c r="S501" s="149">
        <v>45420.0</v>
      </c>
      <c r="T501" s="151"/>
      <c r="U501" s="151"/>
      <c r="V501" s="151"/>
      <c r="W501" s="151"/>
    </row>
    <row r="502">
      <c r="A502" s="142">
        <v>3122.0</v>
      </c>
      <c r="B502" s="143" t="str">
        <f t="shared" ref="B502:B505" si="149">IF(A502=A501,B501,"")</f>
        <v>H</v>
      </c>
      <c r="C502" s="143" t="str">
        <f t="shared" ref="C502:C505" si="150">IF(A502=A501,C501,"")</f>
        <v>MANGGALA SAKTI-MALANG</v>
      </c>
      <c r="D502" s="145" t="s">
        <v>4432</v>
      </c>
      <c r="E502" s="145" t="str">
        <f>IFERROR(__xludf.DUMMYFUNCTION("vlookup(D502,IMPORTRANGE(""https://docs.google.com/spreadsheets/d/1swGwZOEqYlTEUCJLY-eeJM1911Kvaei5oySBIxdgtNo/edit?pli=1#gid=257618397"",""stock FAKTUR!B:C""),2,false)"),"PW JK CP-24PB PANJANG")</f>
        <v>PW JK CP-24PB PANJANG</v>
      </c>
      <c r="F502" s="53" t="str">
        <f>IFERROR(__xludf.DUMMYFUNCTION("vlookup($D502,IMPORTRANGE(""https://docs.google.com/spreadsheets/d/1swGwZOEqYlTEUCJLY-eeJM1911Kvaei5oySBIxdgtNo/edit?pli=1#gid=257618397"",""stock FAKTUR!B:d""),3,false)"),"")</f>
        <v/>
      </c>
      <c r="G502" s="53" t="str">
        <f>IFERROR(__xludf.DUMMYFUNCTION("vlookup($D502,IMPORTRANGE(""https://docs.google.com/spreadsheets/d/1swGwZOEqYlTEUCJLY-eeJM1911Kvaei5oySBIxdgtNo/edit?pli=1#gid=257618397"",""stock FAKTUR!B:e""),4,false)"),"24W")</f>
        <v>24W</v>
      </c>
      <c r="H502" s="53" t="str">
        <f>IFERROR(__xludf.DUMMYFUNCTION("vlookup($D502,IMPORTRANGE(""https://docs.google.com/spreadsheets/d/1swGwZOEqYlTEUCJLY-eeJM1911Kvaei5oySBIxdgtNo/edit?pli=1#gid=257618397"",""stock FAKTUR!B:F""),5,false)"),"JK")</f>
        <v>JK</v>
      </c>
      <c r="I502" s="53" t="str">
        <f>IFERROR(__xludf.DUMMYFUNCTION("vlookup($D502,IMPORTRANGE(""https://docs.google.com/spreadsheets/d/1swGwZOEqYlTEUCJLY-eeJM1911Kvaei5oySBIxdgtNo/edit?pli=1#gid=257618397"",""stock FAKTUR!B:G""),6,false)"),"CP-24PB")</f>
        <v>CP-24PB</v>
      </c>
      <c r="J502" s="120" t="str">
        <f t="shared" si="25"/>
        <v>ADA</v>
      </c>
      <c r="K502" s="142">
        <v>144.0</v>
      </c>
      <c r="L502" s="145" t="str">
        <f>IFERROR(__xludf.DUMMYFUNCTION("vlookup($D502,IMPORTRANGE(""https://docs.google.com/spreadsheets/d/1swGwZOEqYlTEUCJLY-eeJM1911Kvaei5oySBIxdgtNo/edit?pli=1#gid=257618397"",""stock FAKTUR!B:q""),16,false)"),"PCS")</f>
        <v>PCS</v>
      </c>
      <c r="M502" s="147">
        <v>20400.0</v>
      </c>
      <c r="N502" s="152">
        <v>0.125</v>
      </c>
      <c r="O502" s="147">
        <f t="shared" si="134"/>
        <v>2570400</v>
      </c>
      <c r="P502" s="147" t="str">
        <f t="shared" si="3"/>
        <v>Rp20,400-144 PCS-12.50%</v>
      </c>
      <c r="Q502" s="149">
        <v>45419.0</v>
      </c>
      <c r="R502" s="150"/>
      <c r="S502" s="149">
        <v>45420.0</v>
      </c>
      <c r="T502" s="151"/>
      <c r="U502" s="151"/>
      <c r="V502" s="151"/>
      <c r="W502" s="151"/>
    </row>
    <row r="503">
      <c r="A503" s="142">
        <v>3122.0</v>
      </c>
      <c r="B503" s="143" t="str">
        <f t="shared" si="149"/>
        <v>H</v>
      </c>
      <c r="C503" s="143" t="str">
        <f t="shared" si="150"/>
        <v>MANGGALA SAKTI-MALANG</v>
      </c>
      <c r="D503" s="159" t="s">
        <v>4662</v>
      </c>
      <c r="E503" s="145" t="str">
        <f>IFERROR(__xludf.DUMMYFUNCTION("vlookup(D503,IMPORTRANGE(""https://docs.google.com/spreadsheets/d/1swGwZOEqYlTEUCJLY-eeJM1911Kvaei5oySBIxdgtNo/edit?pli=1#gid=257618397"",""stock FAKTUR!B:C""),2,false)"),"CALCULATOR JK CC-868")</f>
        <v>CALCULATOR JK CC-868</v>
      </c>
      <c r="F503" s="53" t="str">
        <f>IFERROR(__xludf.DUMMYFUNCTION("vlookup($D503,IMPORTRANGE(""https://docs.google.com/spreadsheets/d/1swGwZOEqYlTEUCJLY-eeJM1911Kvaei5oySBIxdgtNo/edit?pli=1#gid=257618397"",""stock FAKTUR!B:d""),3,false)"),"")</f>
        <v/>
      </c>
      <c r="G503" s="53" t="str">
        <f>IFERROR(__xludf.DUMMYFUNCTION("vlookup($D503,IMPORTRANGE(""https://docs.google.com/spreadsheets/d/1swGwZOEqYlTEUCJLY-eeJM1911Kvaei5oySBIxdgtNo/edit?pli=1#gid=257618397"",""stock FAKTUR!B:e""),4,false)"),"")</f>
        <v/>
      </c>
      <c r="H503" s="53" t="str">
        <f>IFERROR(__xludf.DUMMYFUNCTION("vlookup($D503,IMPORTRANGE(""https://docs.google.com/spreadsheets/d/1swGwZOEqYlTEUCJLY-eeJM1911Kvaei5oySBIxdgtNo/edit?pli=1#gid=257618397"",""stock FAKTUR!B:F""),5,false)"),"JK")</f>
        <v>JK</v>
      </c>
      <c r="I503" s="53" t="str">
        <f>IFERROR(__xludf.DUMMYFUNCTION("vlookup($D503,IMPORTRANGE(""https://docs.google.com/spreadsheets/d/1swGwZOEqYlTEUCJLY-eeJM1911Kvaei5oySBIxdgtNo/edit?pli=1#gid=257618397"",""stock FAKTUR!B:G""),6,false)"),"CC-868")</f>
        <v>CC-868</v>
      </c>
      <c r="J503" s="120" t="str">
        <f t="shared" si="25"/>
        <v>ADA</v>
      </c>
      <c r="K503" s="142">
        <v>60.0</v>
      </c>
      <c r="L503" s="145" t="str">
        <f>IFERROR(__xludf.DUMMYFUNCTION("vlookup($D503,IMPORTRANGE(""https://docs.google.com/spreadsheets/d/1swGwZOEqYlTEUCJLY-eeJM1911Kvaei5oySBIxdgtNo/edit?pli=1#gid=257618397"",""stock FAKTUR!B:q""),16,false)"),"PCS")</f>
        <v>PCS</v>
      </c>
      <c r="M503" s="147">
        <v>54000.0</v>
      </c>
      <c r="N503" s="152">
        <v>0.125</v>
      </c>
      <c r="O503" s="147">
        <f t="shared" si="134"/>
        <v>2835000</v>
      </c>
      <c r="P503" s="147" t="str">
        <f t="shared" si="3"/>
        <v>Rp54,000-60 PCS-12.50%</v>
      </c>
      <c r="Q503" s="149">
        <v>45419.0</v>
      </c>
      <c r="R503" s="150"/>
      <c r="S503" s="149">
        <v>45420.0</v>
      </c>
      <c r="T503" s="151"/>
      <c r="U503" s="151"/>
      <c r="V503" s="151"/>
      <c r="W503" s="151"/>
    </row>
    <row r="504">
      <c r="A504" s="142">
        <v>3122.0</v>
      </c>
      <c r="B504" s="143" t="str">
        <f t="shared" si="149"/>
        <v>H</v>
      </c>
      <c r="C504" s="143" t="str">
        <f t="shared" si="150"/>
        <v>MANGGALA SAKTI-MALANG</v>
      </c>
      <c r="D504" s="145" t="s">
        <v>4667</v>
      </c>
      <c r="E504" s="145" t="str">
        <f>IFERROR(__xludf.DUMMYFUNCTION("vlookup(D504,IMPORTRANGE(""https://docs.google.com/spreadsheets/d/1swGwZOEqYlTEUCJLY-eeJM1911Kvaei5oySBIxdgtNo/edit?pli=1#gid=257618397"",""stock FAKTUR!B:C""),2,false)"),"CUTTER JK L-500+ISI")</f>
        <v>CUTTER JK L-500+ISI</v>
      </c>
      <c r="F504" s="53" t="str">
        <f>IFERROR(__xludf.DUMMYFUNCTION("vlookup($D504,IMPORTRANGE(""https://docs.google.com/spreadsheets/d/1swGwZOEqYlTEUCJLY-eeJM1911Kvaei5oySBIxdgtNo/edit?pli=1#gid=257618397"",""stock FAKTUR!B:d""),3,false)"),"")</f>
        <v/>
      </c>
      <c r="G504" s="53" t="str">
        <f>IFERROR(__xludf.DUMMYFUNCTION("vlookup($D504,IMPORTRANGE(""https://docs.google.com/spreadsheets/d/1swGwZOEqYlTEUCJLY-eeJM1911Kvaei5oySBIxdgtNo/edit?pli=1#gid=257618397"",""stock FAKTUR!B:e""),4,false)"),"")</f>
        <v/>
      </c>
      <c r="H504" s="53" t="str">
        <f>IFERROR(__xludf.DUMMYFUNCTION("vlookup($D504,IMPORTRANGE(""https://docs.google.com/spreadsheets/d/1swGwZOEqYlTEUCJLY-eeJM1911Kvaei5oySBIxdgtNo/edit?pli=1#gid=257618397"",""stock FAKTUR!B:F""),5,false)"),"JK")</f>
        <v>JK</v>
      </c>
      <c r="I504" s="53" t="str">
        <f>IFERROR(__xludf.DUMMYFUNCTION("vlookup($D504,IMPORTRANGE(""https://docs.google.com/spreadsheets/d/1swGwZOEqYlTEUCJLY-eeJM1911Kvaei5oySBIxdgtNo/edit?pli=1#gid=257618397"",""stock FAKTUR!B:G""),6,false)"),"L-500")</f>
        <v>L-500</v>
      </c>
      <c r="J504" s="120" t="str">
        <f t="shared" si="25"/>
        <v>ADA</v>
      </c>
      <c r="K504" s="142">
        <v>48.0</v>
      </c>
      <c r="L504" s="145" t="str">
        <f>IFERROR(__xludf.DUMMYFUNCTION("vlookup($D504,IMPORTRANGE(""https://docs.google.com/spreadsheets/d/1swGwZOEqYlTEUCJLY-eeJM1911Kvaei5oySBIxdgtNo/edit?pli=1#gid=257618397"",""stock FAKTUR!B:q""),16,false)"),"LSN")</f>
        <v>LSN</v>
      </c>
      <c r="M504" s="147">
        <v>168000.0</v>
      </c>
      <c r="N504" s="152">
        <v>0.125</v>
      </c>
      <c r="O504" s="147">
        <f t="shared" si="134"/>
        <v>7056000</v>
      </c>
      <c r="P504" s="147" t="str">
        <f t="shared" si="3"/>
        <v>Rp168,000-48 LSN-12.50%</v>
      </c>
      <c r="Q504" s="149">
        <v>45419.0</v>
      </c>
      <c r="R504" s="150"/>
      <c r="S504" s="149">
        <v>45420.0</v>
      </c>
      <c r="T504" s="151"/>
      <c r="U504" s="151"/>
      <c r="V504" s="151"/>
      <c r="W504" s="151"/>
    </row>
    <row r="505">
      <c r="A505" s="142">
        <v>3122.0</v>
      </c>
      <c r="B505" s="143" t="str">
        <f t="shared" si="149"/>
        <v>H</v>
      </c>
      <c r="C505" s="143" t="str">
        <f t="shared" si="150"/>
        <v>MANGGALA SAKTI-MALANG</v>
      </c>
      <c r="D505" s="159" t="s">
        <v>4506</v>
      </c>
      <c r="E505" s="145" t="str">
        <f>IFERROR(__xludf.DUMMYFUNCTION("vlookup(D505,IMPORTRANGE(""https://docs.google.com/spreadsheets/d/1swGwZOEqYlTEUCJLY-eeJM1911Kvaei5oySBIxdgtNo/edit?pli=1#gid=257618397"",""stock FAKTUR!B:C""),2,false)"),"LEM JK GL-R50")</f>
        <v>LEM JK GL-R50</v>
      </c>
      <c r="F505" s="53" t="str">
        <f>IFERROR(__xludf.DUMMYFUNCTION("vlookup($D505,IMPORTRANGE(""https://docs.google.com/spreadsheets/d/1swGwZOEqYlTEUCJLY-eeJM1911Kvaei5oySBIxdgtNo/edit?pli=1#gid=257618397"",""stock FAKTUR!B:d""),3,false)"),"")</f>
        <v/>
      </c>
      <c r="G505" s="53" t="str">
        <f>IFERROR(__xludf.DUMMYFUNCTION("vlookup($D505,IMPORTRANGE(""https://docs.google.com/spreadsheets/d/1swGwZOEqYlTEUCJLY-eeJM1911Kvaei5oySBIxdgtNo/edit?pli=1#gid=257618397"",""stock FAKTUR!B:e""),4,false)"),"")</f>
        <v/>
      </c>
      <c r="H505" s="53" t="str">
        <f>IFERROR(__xludf.DUMMYFUNCTION("vlookup($D505,IMPORTRANGE(""https://docs.google.com/spreadsheets/d/1swGwZOEqYlTEUCJLY-eeJM1911Kvaei5oySBIxdgtNo/edit?pli=1#gid=257618397"",""stock FAKTUR!B:F""),5,false)"),"JK")</f>
        <v>JK</v>
      </c>
      <c r="I505" s="53" t="str">
        <f>IFERROR(__xludf.DUMMYFUNCTION("vlookup($D505,IMPORTRANGE(""https://docs.google.com/spreadsheets/d/1swGwZOEqYlTEUCJLY-eeJM1911Kvaei5oySBIxdgtNo/edit?pli=1#gid=257618397"",""stock FAKTUR!B:G""),6,false)"),"GL-R50")</f>
        <v>GL-R50</v>
      </c>
      <c r="J505" s="120" t="str">
        <f t="shared" si="25"/>
        <v>ADA</v>
      </c>
      <c r="K505" s="142">
        <v>48.0</v>
      </c>
      <c r="L505" s="145" t="str">
        <f>IFERROR(__xludf.DUMMYFUNCTION("vlookup($D505,IMPORTRANGE(""https://docs.google.com/spreadsheets/d/1swGwZOEqYlTEUCJLY-eeJM1911Kvaei5oySBIxdgtNo/edit?pli=1#gid=257618397"",""stock FAKTUR!B:q""),16,false)"),"LSN")</f>
        <v>LSN</v>
      </c>
      <c r="M505" s="147">
        <f>12*2100</f>
        <v>25200</v>
      </c>
      <c r="N505" s="152">
        <v>0.125</v>
      </c>
      <c r="O505" s="147">
        <f t="shared" si="134"/>
        <v>1058400</v>
      </c>
      <c r="P505" s="147" t="str">
        <f t="shared" si="3"/>
        <v>Rp25,200-48 LSN-12.50%</v>
      </c>
      <c r="Q505" s="149">
        <v>45419.0</v>
      </c>
      <c r="R505" s="150"/>
      <c r="S505" s="149">
        <v>45420.0</v>
      </c>
      <c r="T505" s="151"/>
      <c r="U505" s="151"/>
      <c r="V505" s="151"/>
      <c r="W505" s="151"/>
    </row>
    <row r="506">
      <c r="A506" s="142">
        <v>2930.0</v>
      </c>
      <c r="B506" s="143" t="s">
        <v>33</v>
      </c>
      <c r="C506" s="143" t="s">
        <v>2243</v>
      </c>
      <c r="D506" s="145" t="s">
        <v>4413</v>
      </c>
      <c r="E506" s="145" t="str">
        <f>IFERROR(__xludf.DUMMYFUNCTION("vlookup(D506,IMPORTRANGE(""https://docs.google.com/spreadsheets/d/1swGwZOEqYlTEUCJLY-eeJM1911Kvaei5oySBIxdgtNo/edit?pli=1#gid=257618397"",""stock FAKTUR!B:C""),2,false)"),"PENSIL GLASS JK PG-100 (HITAM)")</f>
        <v>PENSIL GLASS JK PG-100 (HITAM)</v>
      </c>
      <c r="F506" s="53" t="str">
        <f>IFERROR(__xludf.DUMMYFUNCTION("vlookup($D506,IMPORTRANGE(""https://docs.google.com/spreadsheets/d/1swGwZOEqYlTEUCJLY-eeJM1911Kvaei5oySBIxdgtNo/edit?pli=1#gid=257618397"",""stock FAKTUR!B:d""),3,false)"),"")</f>
        <v/>
      </c>
      <c r="G506" s="53" t="str">
        <f>IFERROR(__xludf.DUMMYFUNCTION("vlookup($D506,IMPORTRANGE(""https://docs.google.com/spreadsheets/d/1swGwZOEqYlTEUCJLY-eeJM1911Kvaei5oySBIxdgtNo/edit?pli=1#gid=257618397"",""stock FAKTUR!B:e""),4,false)"),"HITAM")</f>
        <v>HITAM</v>
      </c>
      <c r="H506" s="53" t="str">
        <f>IFERROR(__xludf.DUMMYFUNCTION("vlookup($D506,IMPORTRANGE(""https://docs.google.com/spreadsheets/d/1swGwZOEqYlTEUCJLY-eeJM1911Kvaei5oySBIxdgtNo/edit?pli=1#gid=257618397"",""stock FAKTUR!B:F""),5,false)"),"JK")</f>
        <v>JK</v>
      </c>
      <c r="I506" s="53" t="str">
        <f>IFERROR(__xludf.DUMMYFUNCTION("vlookup($D506,IMPORTRANGE(""https://docs.google.com/spreadsheets/d/1swGwZOEqYlTEUCJLY-eeJM1911Kvaei5oySBIxdgtNo/edit?pli=1#gid=257618397"",""stock FAKTUR!B:G""),6,false)"),"")</f>
        <v/>
      </c>
      <c r="J506" s="120" t="str">
        <f t="shared" si="25"/>
        <v>ADA</v>
      </c>
      <c r="K506" s="142">
        <f>65/12</f>
        <v>5.416666667</v>
      </c>
      <c r="L506" s="145" t="str">
        <f>IFERROR(__xludf.DUMMYFUNCTION("vlookup($D506,IMPORTRANGE(""https://docs.google.com/spreadsheets/d/1swGwZOEqYlTEUCJLY-eeJM1911Kvaei5oySBIxdgtNo/edit?pli=1#gid=257618397"",""stock FAKTUR!B:q""),16,false)"),"GRS")</f>
        <v>GRS</v>
      </c>
      <c r="M506" s="147">
        <f t="shared" ref="M506:M507" si="151">21300*12</f>
        <v>255600</v>
      </c>
      <c r="N506" s="152">
        <v>0.125</v>
      </c>
      <c r="O506" s="147">
        <f t="shared" si="134"/>
        <v>1211437.5</v>
      </c>
      <c r="P506" s="147" t="str">
        <f t="shared" si="3"/>
        <v>Rp255,600-5.41666666666667 GRS-12.50%</v>
      </c>
      <c r="Q506" s="149">
        <v>45419.0</v>
      </c>
      <c r="R506" s="150"/>
      <c r="S506" s="149">
        <v>45420.0</v>
      </c>
      <c r="T506" s="151"/>
      <c r="U506" s="151"/>
      <c r="V506" s="151"/>
      <c r="W506" s="151"/>
    </row>
    <row r="507">
      <c r="A507" s="142">
        <v>2930.0</v>
      </c>
      <c r="B507" s="143" t="str">
        <f>IF(A507=A506,B506,"")</f>
        <v>H</v>
      </c>
      <c r="C507" s="143" t="str">
        <f>IF(A507=A506,C506,"")</f>
        <v>MANGGALA SAKTI-MALANG</v>
      </c>
      <c r="D507" s="145" t="s">
        <v>4414</v>
      </c>
      <c r="E507" s="145" t="str">
        <f>IFERROR(__xludf.DUMMYFUNCTION("vlookup(D507,IMPORTRANGE(""https://docs.google.com/spreadsheets/d/1swGwZOEqYlTEUCJLY-eeJM1911Kvaei5oySBIxdgtNo/edit?pli=1#gid=257618397"",""stock FAKTUR!B:C""),2,false)"),"PENSIL GLASS JK PG-100 (PUTIH)")</f>
        <v>PENSIL GLASS JK PG-100 (PUTIH)</v>
      </c>
      <c r="F507" s="53" t="str">
        <f>IFERROR(__xludf.DUMMYFUNCTION("vlookup($D507,IMPORTRANGE(""https://docs.google.com/spreadsheets/d/1swGwZOEqYlTEUCJLY-eeJM1911Kvaei5oySBIxdgtNo/edit?pli=1#gid=257618397"",""stock FAKTUR!B:d""),3,false)"),"")</f>
        <v/>
      </c>
      <c r="G507" s="53" t="str">
        <f>IFERROR(__xludf.DUMMYFUNCTION("vlookup($D507,IMPORTRANGE(""https://docs.google.com/spreadsheets/d/1swGwZOEqYlTEUCJLY-eeJM1911Kvaei5oySBIxdgtNo/edit?pli=1#gid=257618397"",""stock FAKTUR!B:e""),4,false)"),"PUTIH")</f>
        <v>PUTIH</v>
      </c>
      <c r="H507" s="53" t="str">
        <f>IFERROR(__xludf.DUMMYFUNCTION("vlookup($D507,IMPORTRANGE(""https://docs.google.com/spreadsheets/d/1swGwZOEqYlTEUCJLY-eeJM1911Kvaei5oySBIxdgtNo/edit?pli=1#gid=257618397"",""stock FAKTUR!B:F""),5,false)"),"JK")</f>
        <v>JK</v>
      </c>
      <c r="I507" s="53" t="str">
        <f>IFERROR(__xludf.DUMMYFUNCTION("vlookup($D507,IMPORTRANGE(""https://docs.google.com/spreadsheets/d/1swGwZOEqYlTEUCJLY-eeJM1911Kvaei5oySBIxdgtNo/edit?pli=1#gid=257618397"",""stock FAKTUR!B:G""),6,false)"),"")</f>
        <v/>
      </c>
      <c r="J507" s="120" t="str">
        <f t="shared" si="25"/>
        <v>ADA</v>
      </c>
      <c r="K507" s="142">
        <f>90/12</f>
        <v>7.5</v>
      </c>
      <c r="L507" s="145" t="str">
        <f>IFERROR(__xludf.DUMMYFUNCTION("vlookup($D507,IMPORTRANGE(""https://docs.google.com/spreadsheets/d/1swGwZOEqYlTEUCJLY-eeJM1911Kvaei5oySBIxdgtNo/edit?pli=1#gid=257618397"",""stock FAKTUR!B:q""),16,false)"),"GRS")</f>
        <v>GRS</v>
      </c>
      <c r="M507" s="147">
        <f t="shared" si="151"/>
        <v>255600</v>
      </c>
      <c r="N507" s="152">
        <v>0.125</v>
      </c>
      <c r="O507" s="147">
        <f t="shared" si="134"/>
        <v>1677375</v>
      </c>
      <c r="P507" s="147" t="str">
        <f t="shared" si="3"/>
        <v>Rp255,600-7.5 GRS-12.50%</v>
      </c>
      <c r="Q507" s="149">
        <v>45419.0</v>
      </c>
      <c r="R507" s="150"/>
      <c r="S507" s="149">
        <v>45420.0</v>
      </c>
      <c r="T507" s="151"/>
      <c r="U507" s="151"/>
      <c r="V507" s="151"/>
      <c r="W507" s="151"/>
    </row>
    <row r="508">
      <c r="A508" s="142">
        <v>2999.0</v>
      </c>
      <c r="B508" s="143" t="s">
        <v>33</v>
      </c>
      <c r="C508" s="143" t="s">
        <v>4590</v>
      </c>
      <c r="D508" s="145" t="s">
        <v>4679</v>
      </c>
      <c r="E508" s="145" t="str">
        <f>IFERROR(__xludf.DUMMYFUNCTION("vlookup(D508,IMPORTRANGE(""https://docs.google.com/spreadsheets/d/1swGwZOEqYlTEUCJLY-eeJM1911Kvaei5oySBIxdgtNo/edit?pli=1#gid=257618397"",""stock FAKTUR!B:C""),2,false)"),"TIPEX KENKO CT-909")</f>
        <v>TIPEX KENKO CT-909</v>
      </c>
      <c r="F508" s="53" t="str">
        <f>IFERROR(__xludf.DUMMYFUNCTION("vlookup($D508,IMPORTRANGE(""https://docs.google.com/spreadsheets/d/1swGwZOEqYlTEUCJLY-eeJM1911Kvaei5oySBIxdgtNo/edit?pli=1#gid=257618397"",""stock FAKTUR!B:d""),3,false)"),"12 M X 5 MM")</f>
        <v>12 M X 5 MM</v>
      </c>
      <c r="G508" s="53" t="str">
        <f>IFERROR(__xludf.DUMMYFUNCTION("vlookup($D508,IMPORTRANGE(""https://docs.google.com/spreadsheets/d/1swGwZOEqYlTEUCJLY-eeJM1911Kvaei5oySBIxdgtNo/edit?pli=1#gid=257618397"",""stock FAKTUR!B:e""),4,false)"),"")</f>
        <v/>
      </c>
      <c r="H508" s="53" t="str">
        <f>IFERROR(__xludf.DUMMYFUNCTION("vlookup($D508,IMPORTRANGE(""https://docs.google.com/spreadsheets/d/1swGwZOEqYlTEUCJLY-eeJM1911Kvaei5oySBIxdgtNo/edit?pli=1#gid=257618397"",""stock FAKTUR!B:F""),5,false)"),"KN")</f>
        <v>KN</v>
      </c>
      <c r="I508" s="53" t="str">
        <f>IFERROR(__xludf.DUMMYFUNCTION("vlookup($D508,IMPORTRANGE(""https://docs.google.com/spreadsheets/d/1swGwZOEqYlTEUCJLY-eeJM1911Kvaei5oySBIxdgtNo/edit?pli=1#gid=257618397"",""stock FAKTUR!B:G""),6,false)"),"CTP-035")</f>
        <v>CTP-035</v>
      </c>
      <c r="J508" s="120" t="str">
        <f t="shared" si="25"/>
        <v>ADA</v>
      </c>
      <c r="K508" s="142">
        <v>48.0</v>
      </c>
      <c r="L508" s="145" t="str">
        <f>IFERROR(__xludf.DUMMYFUNCTION("vlookup($D508,IMPORTRANGE(""https://docs.google.com/spreadsheets/d/1swGwZOEqYlTEUCJLY-eeJM1911Kvaei5oySBIxdgtNo/edit?pli=1#gid=257618397"",""stock FAKTUR!B:q""),16,false)"),"LSN")</f>
        <v>LSN</v>
      </c>
      <c r="M508" s="147">
        <v>54000.0</v>
      </c>
      <c r="N508" s="152">
        <v>0.13</v>
      </c>
      <c r="O508" s="147">
        <f t="shared" si="134"/>
        <v>2255040</v>
      </c>
      <c r="P508" s="147" t="str">
        <f t="shared" si="3"/>
        <v>Rp54,000-48 LSN-13.00%</v>
      </c>
      <c r="Q508" s="149">
        <v>45419.0</v>
      </c>
      <c r="R508" s="150"/>
      <c r="S508" s="149">
        <v>45422.0</v>
      </c>
      <c r="T508" s="151"/>
      <c r="U508" s="151"/>
      <c r="V508" s="151"/>
      <c r="W508" s="151"/>
    </row>
    <row r="509">
      <c r="A509" s="142">
        <v>2999.0</v>
      </c>
      <c r="B509" s="143" t="str">
        <f t="shared" ref="B509:B510" si="152">IF(A509=A508,B508,"")</f>
        <v>H</v>
      </c>
      <c r="C509" s="143" t="str">
        <f t="shared" ref="C509:C510" si="153">IF(A509=A508,C508,"")</f>
        <v>SINKONG-PURWOREJO</v>
      </c>
      <c r="D509" s="188" t="s">
        <v>4478</v>
      </c>
      <c r="E509" s="145" t="str">
        <f>IFERROR(__xludf.DUMMYFUNCTION("vlookup(D509,IMPORTRANGE(""https://docs.google.com/spreadsheets/d/1swGwZOEqYlTEUCJLY-eeJM1911Kvaei5oySBIxdgtNo/edit?pli=1#gid=257618397"",""stock FAKTUR!B:C""),2,false)"),"OIL PASTEL TITI 36W TI-P-36 S")</f>
        <v>OIL PASTEL TITI 36W TI-P-36 S</v>
      </c>
      <c r="F509" s="53" t="str">
        <f>IFERROR(__xludf.DUMMYFUNCTION("vlookup($D509,IMPORTRANGE(""https://docs.google.com/spreadsheets/d/1swGwZOEqYlTEUCJLY-eeJM1911Kvaei5oySBIxdgtNo/edit?pli=1#gid=257618397"",""stock FAKTUR!B:d""),3,false)"),"")</f>
        <v/>
      </c>
      <c r="G509" s="53" t="str">
        <f>IFERROR(__xludf.DUMMYFUNCTION("vlookup($D509,IMPORTRANGE(""https://docs.google.com/spreadsheets/d/1swGwZOEqYlTEUCJLY-eeJM1911Kvaei5oySBIxdgtNo/edit?pli=1#gid=257618397"",""stock FAKTUR!B:e""),4,false)"),"36W")</f>
        <v>36W</v>
      </c>
      <c r="H509" s="53" t="str">
        <f>IFERROR(__xludf.DUMMYFUNCTION("vlookup($D509,IMPORTRANGE(""https://docs.google.com/spreadsheets/d/1swGwZOEqYlTEUCJLY-eeJM1911Kvaei5oySBIxdgtNo/edit?pli=1#gid=257618397"",""stock FAKTUR!B:F""),5,false)"),"TT")</f>
        <v>TT</v>
      </c>
      <c r="I509" s="53" t="str">
        <f>IFERROR(__xludf.DUMMYFUNCTION("vlookup($D509,IMPORTRANGE(""https://docs.google.com/spreadsheets/d/1swGwZOEqYlTEUCJLY-eeJM1911Kvaei5oySBIxdgtNo/edit?pli=1#gid=257618397"",""stock FAKTUR!B:G""),6,false)"),"")</f>
        <v/>
      </c>
      <c r="J509" s="120" t="str">
        <f t="shared" si="25"/>
        <v>ADA</v>
      </c>
      <c r="K509" s="142">
        <v>36.0</v>
      </c>
      <c r="L509" s="145" t="str">
        <f>IFERROR(__xludf.DUMMYFUNCTION("vlookup($D509,IMPORTRANGE(""https://docs.google.com/spreadsheets/d/1swGwZOEqYlTEUCJLY-eeJM1911Kvaei5oySBIxdgtNo/edit?pli=1#gid=257618397"",""stock FAKTUR!B:q""),16,false)"),"PCS")</f>
        <v>PCS</v>
      </c>
      <c r="M509" s="147">
        <v>47500.0</v>
      </c>
      <c r="N509" s="152">
        <v>0.13</v>
      </c>
      <c r="O509" s="147">
        <f t="shared" si="134"/>
        <v>1487700</v>
      </c>
      <c r="P509" s="147" t="str">
        <f t="shared" si="3"/>
        <v>Rp47,500-36 PCS-13.00%</v>
      </c>
      <c r="Q509" s="149">
        <v>45419.0</v>
      </c>
      <c r="R509" s="150"/>
      <c r="S509" s="149">
        <v>45422.0</v>
      </c>
      <c r="T509" s="151"/>
      <c r="U509" s="151"/>
      <c r="V509" s="151"/>
      <c r="W509" s="151"/>
    </row>
    <row r="510">
      <c r="A510" s="142">
        <v>2999.0</v>
      </c>
      <c r="B510" s="143" t="str">
        <f t="shared" si="152"/>
        <v>H</v>
      </c>
      <c r="C510" s="143" t="str">
        <f t="shared" si="153"/>
        <v>SINKONG-PURWOREJO</v>
      </c>
      <c r="D510" s="145" t="s">
        <v>4680</v>
      </c>
      <c r="E510" s="145" t="str">
        <f>IFERROR(__xludf.DUMMYFUNCTION("vlookup(D510,IMPORTRANGE(""https://docs.google.com/spreadsheets/d/1swGwZOEqYlTEUCJLY-eeJM1911Kvaei5oySBIxdgtNo/edit?pli=1#gid=257618397"",""stock FAKTUR!B:C""),2,false)"),"OIL PASTEL TITI 48W TI-P-48S")</f>
        <v>OIL PASTEL TITI 48W TI-P-48S</v>
      </c>
      <c r="F510" s="53" t="str">
        <f>IFERROR(__xludf.DUMMYFUNCTION("vlookup($D510,IMPORTRANGE(""https://docs.google.com/spreadsheets/d/1swGwZOEqYlTEUCJLY-eeJM1911Kvaei5oySBIxdgtNo/edit?pli=1#gid=257618397"",""stock FAKTUR!B:d""),3,false)"),"")</f>
        <v/>
      </c>
      <c r="G510" s="53" t="str">
        <f>IFERROR(__xludf.DUMMYFUNCTION("vlookup($D510,IMPORTRANGE(""https://docs.google.com/spreadsheets/d/1swGwZOEqYlTEUCJLY-eeJM1911Kvaei5oySBIxdgtNo/edit?pli=1#gid=257618397"",""stock FAKTUR!B:e""),4,false)"),"48W")</f>
        <v>48W</v>
      </c>
      <c r="H510" s="53" t="str">
        <f>IFERROR(__xludf.DUMMYFUNCTION("vlookup($D510,IMPORTRANGE(""https://docs.google.com/spreadsheets/d/1swGwZOEqYlTEUCJLY-eeJM1911Kvaei5oySBIxdgtNo/edit?pli=1#gid=257618397"",""stock FAKTUR!B:F""),5,false)"),"TT")</f>
        <v>TT</v>
      </c>
      <c r="I510" s="53" t="str">
        <f>IFERROR(__xludf.DUMMYFUNCTION("vlookup($D510,IMPORTRANGE(""https://docs.google.com/spreadsheets/d/1swGwZOEqYlTEUCJLY-eeJM1911Kvaei5oySBIxdgtNo/edit?pli=1#gid=257618397"",""stock FAKTUR!B:G""),6,false)"),"OPS-011")</f>
        <v>OPS-011</v>
      </c>
      <c r="J510" s="120" t="str">
        <f t="shared" si="25"/>
        <v>ADA</v>
      </c>
      <c r="K510" s="184">
        <v>4.0</v>
      </c>
      <c r="L510" s="145" t="str">
        <f>IFERROR(__xludf.DUMMYFUNCTION("vlookup($D510,IMPORTRANGE(""https://docs.google.com/spreadsheets/d/1swGwZOEqYlTEUCJLY-eeJM1911Kvaei5oySBIxdgtNo/edit?pli=1#gid=257618397"",""stock FAKTUR!B:q""),16,false)"),"BOX")</f>
        <v>BOX</v>
      </c>
      <c r="M510" s="147">
        <f>6*69000</f>
        <v>414000</v>
      </c>
      <c r="N510" s="152">
        <v>0.13</v>
      </c>
      <c r="O510" s="147">
        <f t="shared" si="134"/>
        <v>1440720</v>
      </c>
      <c r="P510" s="147" t="str">
        <f t="shared" si="3"/>
        <v>Rp414,000-4 BOX-13.00%</v>
      </c>
      <c r="Q510" s="149">
        <v>45419.0</v>
      </c>
      <c r="R510" s="150"/>
      <c r="S510" s="149">
        <v>45422.0</v>
      </c>
      <c r="T510" s="151"/>
      <c r="U510" s="151"/>
      <c r="V510" s="151"/>
      <c r="W510" s="151"/>
    </row>
    <row r="511">
      <c r="A511" s="142">
        <v>2998.0</v>
      </c>
      <c r="B511" s="143" t="s">
        <v>33</v>
      </c>
      <c r="C511" s="143" t="s">
        <v>34</v>
      </c>
      <c r="D511" s="145" t="s">
        <v>4392</v>
      </c>
      <c r="E511" s="145" t="str">
        <f>IFERROR(__xludf.DUMMYFUNCTION("vlookup(D511,IMPORTRANGE(""https://docs.google.com/spreadsheets/d/1swGwZOEqYlTEUCJLY-eeJM1911Kvaei5oySBIxdgtNo/edit?pli=1#gid=257618397"",""stock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511" s="53" t="str">
        <f>IFERROR(__xludf.DUMMYFUNCTION("vlookup($D511,IMPORTRANGE(""https://docs.google.com/spreadsheets/d/1swGwZOEqYlTEUCJLY-eeJM1911Kvaei5oySBIxdgtNo/edit?pli=1#gid=257618397"",""stock FAKTUR!B:d""),3,false)"),"")</f>
        <v/>
      </c>
      <c r="G511" s="53" t="str">
        <f>IFERROR(__xludf.DUMMYFUNCTION("vlookup($D511,IMPORTRANGE(""https://docs.google.com/spreadsheets/d/1swGwZOEqYlTEUCJLY-eeJM1911Kvaei5oySBIxdgtNo/edit?pli=1#gid=257618397"",""stock FAKTUR!B:e""),4,false)"),"18W")</f>
        <v>18W</v>
      </c>
      <c r="H511" s="53" t="str">
        <f>IFERROR(__xludf.DUMMYFUNCTION("vlookup($D511,IMPORTRANGE(""https://docs.google.com/spreadsheets/d/1swGwZOEqYlTEUCJLY-eeJM1911Kvaei5oySBIxdgtNo/edit?pli=1#gid=257618397"",""stock FAKTUR!B:F""),5,false)"),"JK")</f>
        <v>JK</v>
      </c>
      <c r="I511" s="53" t="str">
        <f>IFERROR(__xludf.DUMMYFUNCTION("vlookup($D511,IMPORTRANGE(""https://docs.google.com/spreadsheets/d/1swGwZOEqYlTEUCJLY-eeJM1911Kvaei5oySBIxdgtNo/edit?pli=1#gid=257618397"",""stock FAKTUR!B:G""),6,false)"),"OP-18S")</f>
        <v>OP-18S</v>
      </c>
      <c r="J511" s="120" t="str">
        <f t="shared" si="25"/>
        <v>ADA</v>
      </c>
      <c r="K511" s="142">
        <v>72.0</v>
      </c>
      <c r="L511" s="145" t="str">
        <f>IFERROR(__xludf.DUMMYFUNCTION("vlookup($D511,IMPORTRANGE(""https://docs.google.com/spreadsheets/d/1swGwZOEqYlTEUCJLY-eeJM1911Kvaei5oySBIxdgtNo/edit?pli=1#gid=257618397"",""stock FAKTUR!B:q""),16,false)"),"PCS")</f>
        <v>PCS</v>
      </c>
      <c r="M511" s="147">
        <v>23700.0</v>
      </c>
      <c r="N511" s="152">
        <v>0.13</v>
      </c>
      <c r="O511" s="147">
        <f t="shared" si="134"/>
        <v>1484568</v>
      </c>
      <c r="P511" s="147" t="str">
        <f t="shared" si="3"/>
        <v>Rp23,700-72 PCS-13.00%</v>
      </c>
      <c r="Q511" s="149">
        <v>45419.0</v>
      </c>
      <c r="R511" s="150"/>
      <c r="S511" s="149">
        <v>45422.0</v>
      </c>
      <c r="T511" s="151"/>
      <c r="U511" s="151"/>
      <c r="V511" s="151"/>
      <c r="W511" s="151"/>
    </row>
    <row r="512">
      <c r="A512" s="142">
        <v>2998.0</v>
      </c>
      <c r="B512" s="143" t="str">
        <f t="shared" ref="B512:B513" si="154">IF(A512=A511,B511,"")</f>
        <v>H</v>
      </c>
      <c r="C512" s="143" t="str">
        <f t="shared" ref="C512:C513" si="155">IF(A512=A511,C511,"")</f>
        <v>SISWA-KUTOARJO</v>
      </c>
      <c r="D512" s="145" t="s">
        <v>4429</v>
      </c>
      <c r="E512" s="145" t="str">
        <f>IFERROR(__xludf.DUMMYFUNCTION("vlookup(D512,IMPORTRANGE(""https://docs.google.com/spreadsheets/d/1swGwZOEqYlTEUCJLY-eeJM1911Kvaei5oySBIxdgtNo/edit?pli=1#gid=257618397"",""stock FAKTUR!B:C""),2,false)"),"TIPEX KENKO KE-01")</f>
        <v>TIPEX KENKO KE-01</v>
      </c>
      <c r="F512" s="53" t="str">
        <f>IFERROR(__xludf.DUMMYFUNCTION("vlookup($D512,IMPORTRANGE(""https://docs.google.com/spreadsheets/d/1swGwZOEqYlTEUCJLY-eeJM1911Kvaei5oySBIxdgtNo/edit?pli=1#gid=257618397"",""stock FAKTUR!B:d""),3,false)"),"")</f>
        <v/>
      </c>
      <c r="G512" s="53" t="str">
        <f>IFERROR(__xludf.DUMMYFUNCTION("vlookup($D512,IMPORTRANGE(""https://docs.google.com/spreadsheets/d/1swGwZOEqYlTEUCJLY-eeJM1911Kvaei5oySBIxdgtNo/edit?pli=1#gid=257618397"",""stock FAKTUR!B:e""),4,false)"),"")</f>
        <v/>
      </c>
      <c r="H512" s="53" t="str">
        <f>IFERROR(__xludf.DUMMYFUNCTION("vlookup($D512,IMPORTRANGE(""https://docs.google.com/spreadsheets/d/1swGwZOEqYlTEUCJLY-eeJM1911Kvaei5oySBIxdgtNo/edit?pli=1#gid=257618397"",""stock FAKTUR!B:F""),5,false)"),"KN")</f>
        <v>KN</v>
      </c>
      <c r="I512" s="53" t="str">
        <f>IFERROR(__xludf.DUMMYFUNCTION("vlookup($D512,IMPORTRANGE(""https://docs.google.com/spreadsheets/d/1swGwZOEqYlTEUCJLY-eeJM1911Kvaei5oySBIxdgtNo/edit?pli=1#gid=257618397"",""stock FAKTUR!B:G""),6,false)"),"CFL-001")</f>
        <v>CFL-001</v>
      </c>
      <c r="J512" s="120" t="str">
        <f t="shared" si="25"/>
        <v>ADA</v>
      </c>
      <c r="K512" s="142">
        <v>144.0</v>
      </c>
      <c r="L512" s="145" t="str">
        <f>IFERROR(__xludf.DUMMYFUNCTION("vlookup($D512,IMPORTRANGE(""https://docs.google.com/spreadsheets/d/1swGwZOEqYlTEUCJLY-eeJM1911Kvaei5oySBIxdgtNo/edit?pli=1#gid=257618397"",""stock FAKTUR!B:q""),16,false)"),"LSN")</f>
        <v>LSN</v>
      </c>
      <c r="M512" s="147">
        <v>56100.0</v>
      </c>
      <c r="N512" s="152">
        <v>0.13</v>
      </c>
      <c r="O512" s="147">
        <f t="shared" si="134"/>
        <v>7028208</v>
      </c>
      <c r="P512" s="147" t="str">
        <f t="shared" si="3"/>
        <v>Rp56,100-144 LSN-13.00%</v>
      </c>
      <c r="Q512" s="149">
        <v>45419.0</v>
      </c>
      <c r="R512" s="150"/>
      <c r="S512" s="149">
        <v>45422.0</v>
      </c>
      <c r="T512" s="151"/>
      <c r="U512" s="151"/>
      <c r="V512" s="151"/>
      <c r="W512" s="151"/>
    </row>
    <row r="513">
      <c r="A513" s="142">
        <v>2998.0</v>
      </c>
      <c r="B513" s="143" t="str">
        <f t="shared" si="154"/>
        <v>H</v>
      </c>
      <c r="C513" s="143" t="str">
        <f t="shared" si="155"/>
        <v>SISWA-KUTOARJO</v>
      </c>
      <c r="D513" s="145" t="s">
        <v>4443</v>
      </c>
      <c r="E513" s="145" t="str">
        <f>IFERROR(__xludf.DUMMYFUNCTION("vlookup(D513,IMPORTRANGE(""https://docs.google.com/spreadsheets/d/1swGwZOEqYlTEUCJLY-eeJM1911Kvaei5oySBIxdgtNo/edit?pli=1#gid=257618397"",""stock FAKTUR!B:C""),2,false)"),"CUTTER KENKO K-200")</f>
        <v>CUTTER KENKO K-200</v>
      </c>
      <c r="F513" s="53" t="str">
        <f>IFERROR(__xludf.DUMMYFUNCTION("vlookup($D513,IMPORTRANGE(""https://docs.google.com/spreadsheets/d/1swGwZOEqYlTEUCJLY-eeJM1911Kvaei5oySBIxdgtNo/edit?pli=1#gid=257618397"",""stock FAKTUR!B:d""),3,false)"),"9 MM")</f>
        <v>9 MM</v>
      </c>
      <c r="G513" s="53" t="str">
        <f>IFERROR(__xludf.DUMMYFUNCTION("vlookup($D513,IMPORTRANGE(""https://docs.google.com/spreadsheets/d/1swGwZOEqYlTEUCJLY-eeJM1911Kvaei5oySBIxdgtNo/edit?pli=1#gid=257618397"",""stock FAKTUR!B:e""),4,false)"),"")</f>
        <v/>
      </c>
      <c r="H513" s="53" t="str">
        <f>IFERROR(__xludf.DUMMYFUNCTION("vlookup($D513,IMPORTRANGE(""https://docs.google.com/spreadsheets/d/1swGwZOEqYlTEUCJLY-eeJM1911Kvaei5oySBIxdgtNo/edit?pli=1#gid=257618397"",""stock FAKTUR!B:F""),5,false)"),"KN")</f>
        <v>KN</v>
      </c>
      <c r="I513" s="53" t="str">
        <f>IFERROR(__xludf.DUMMYFUNCTION("vlookup($D513,IMPORTRANGE(""https://docs.google.com/spreadsheets/d/1swGwZOEqYlTEUCJLY-eeJM1911Kvaei5oySBIxdgtNo/edit?pli=1#gid=257618397"",""stock FAKTUR!B:G""),6,false)"),"CTR-003")</f>
        <v>CTR-003</v>
      </c>
      <c r="J513" s="120" t="str">
        <f t="shared" si="25"/>
        <v>ADA</v>
      </c>
      <c r="K513" s="142">
        <v>30.0</v>
      </c>
      <c r="L513" s="145" t="str">
        <f>IFERROR(__xludf.DUMMYFUNCTION("vlookup($D513,IMPORTRANGE(""https://docs.google.com/spreadsheets/d/1swGwZOEqYlTEUCJLY-eeJM1911Kvaei5oySBIxdgtNo/edit?pli=1#gid=257618397"",""stock FAKTUR!B:q""),16,false)"),"LSN")</f>
        <v>LSN</v>
      </c>
      <c r="M513" s="147">
        <v>52200.0</v>
      </c>
      <c r="N513" s="152">
        <v>0.13</v>
      </c>
      <c r="O513" s="147">
        <f t="shared" si="134"/>
        <v>1362420</v>
      </c>
      <c r="P513" s="147" t="str">
        <f t="shared" si="3"/>
        <v>Rp52,200-30 LSN-13.00%</v>
      </c>
      <c r="Q513" s="149">
        <v>45419.0</v>
      </c>
      <c r="R513" s="150"/>
      <c r="S513" s="149">
        <v>45422.0</v>
      </c>
      <c r="T513" s="151"/>
      <c r="U513" s="151"/>
      <c r="V513" s="151"/>
      <c r="W513" s="151"/>
    </row>
    <row r="514">
      <c r="A514" s="142">
        <v>2997.0</v>
      </c>
      <c r="B514" s="143" t="s">
        <v>33</v>
      </c>
      <c r="C514" s="143" t="s">
        <v>2434</v>
      </c>
      <c r="D514" s="193" t="s">
        <v>4681</v>
      </c>
      <c r="E514" s="145" t="str">
        <f>IFERROR(__xludf.DUMMYFUNCTION("vlookup(D514,IMPORTRANGE(""https://docs.google.com/spreadsheets/d/1swGwZOEqYlTEUCJLY-eeJM1911Kvaei5oySBIxdgtNo/edit?pli=1#gid=257618397"",""stock FAKTUR!B:C""),2,false)"),"BT KENKO BT-2920-BTK 02 BATIK")</f>
        <v>BT KENKO BT-2920-BTK 02 BATIK</v>
      </c>
      <c r="F514" s="53" t="str">
        <f>IFERROR(__xludf.DUMMYFUNCTION("vlookup($D514,IMPORTRANGE(""https://docs.google.com/spreadsheets/d/1swGwZOEqYlTEUCJLY-eeJM1911Kvaei5oySBIxdgtNo/edit?pli=1#gid=257618397"",""stock FAKTUR!B:d""),3,false)"),"")</f>
        <v/>
      </c>
      <c r="G514" s="53" t="str">
        <f>IFERROR(__xludf.DUMMYFUNCTION("vlookup($D514,IMPORTRANGE(""https://docs.google.com/spreadsheets/d/1swGwZOEqYlTEUCJLY-eeJM1911Kvaei5oySBIxdgtNo/edit?pli=1#gid=257618397"",""stock FAKTUR!B:e""),4,false)"),"BATIK")</f>
        <v>BATIK</v>
      </c>
      <c r="H514" s="53" t="str">
        <f>IFERROR(__xludf.DUMMYFUNCTION("vlookup($D514,IMPORTRANGE(""https://docs.google.com/spreadsheets/d/1swGwZOEqYlTEUCJLY-eeJM1911Kvaei5oySBIxdgtNo/edit?pli=1#gid=257618397"",""stock FAKTUR!B:F""),5,false)"),"KN")</f>
        <v>KN</v>
      </c>
      <c r="I514" s="53" t="str">
        <f>IFERROR(__xludf.DUMMYFUNCTION("vlookup($D514,IMPORTRANGE(""https://docs.google.com/spreadsheets/d/1swGwZOEqYlTEUCJLY-eeJM1911Kvaei5oySBIxdgtNo/edit?pli=1#gid=257618397"",""stock FAKTUR!B:G""),6,false)"),"2920")</f>
        <v>2920</v>
      </c>
      <c r="J514" s="120" t="str">
        <f t="shared" si="25"/>
        <v>ADA</v>
      </c>
      <c r="K514" s="142">
        <v>3.0</v>
      </c>
      <c r="L514" s="145" t="str">
        <f>IFERROR(__xludf.DUMMYFUNCTION("vlookup($D514,IMPORTRANGE(""https://docs.google.com/spreadsheets/d/1swGwZOEqYlTEUCJLY-eeJM1911Kvaei5oySBIxdgtNo/edit?pli=1#gid=257618397"",""stock FAKTUR!B:q""),16,false)"),"LSN")</f>
        <v>LSN</v>
      </c>
      <c r="M514" s="147">
        <v>153600.0</v>
      </c>
      <c r="N514" s="152">
        <v>0.1</v>
      </c>
      <c r="O514" s="147">
        <f t="shared" si="134"/>
        <v>414720</v>
      </c>
      <c r="P514" s="147" t="str">
        <f t="shared" si="3"/>
        <v>Rp153,600-3 LSN-10.00%</v>
      </c>
      <c r="Q514" s="149">
        <v>45419.0</v>
      </c>
      <c r="R514" s="150"/>
      <c r="S514" s="149">
        <v>45422.0</v>
      </c>
      <c r="T514" s="194" t="s">
        <v>4682</v>
      </c>
      <c r="U514" s="192" t="s">
        <v>4390</v>
      </c>
      <c r="V514" s="151"/>
      <c r="W514" s="159"/>
    </row>
    <row r="515">
      <c r="A515" s="142">
        <v>2997.0</v>
      </c>
      <c r="B515" s="143" t="str">
        <f t="shared" ref="B515:B517" si="156">IF(A515=A514,B514,"")</f>
        <v>H</v>
      </c>
      <c r="C515" s="143" t="str">
        <f t="shared" ref="C515:C517" si="157">IF(A515=A514,C514,"")</f>
        <v>KONDANG-TEMANGGUNG</v>
      </c>
      <c r="D515" s="193" t="s">
        <v>4683</v>
      </c>
      <c r="E515" s="145" t="str">
        <f>IFERROR(__xludf.DUMMYFUNCTION("vlookup(D515,IMPORTRANGE(""https://docs.google.com/spreadsheets/d/1swGwZOEqYlTEUCJLY-eeJM1911Kvaei5oySBIxdgtNo/edit?pli=1#gid=257618397"",""stock FAKTUR!B:C""),2,false)"),"BT KENKO BT-3224-BTK BATIK")</f>
        <v>BT KENKO BT-3224-BTK BATIK</v>
      </c>
      <c r="F515" s="53" t="str">
        <f>IFERROR(__xludf.DUMMYFUNCTION("vlookup($D515,IMPORTRANGE(""https://docs.google.com/spreadsheets/d/1swGwZOEqYlTEUCJLY-eeJM1911Kvaei5oySBIxdgtNo/edit?pli=1#gid=257618397"",""stock FAKTUR!B:d""),3,false)"),"")</f>
        <v/>
      </c>
      <c r="G515" s="53" t="str">
        <f>IFERROR(__xludf.DUMMYFUNCTION("vlookup($D515,IMPORTRANGE(""https://docs.google.com/spreadsheets/d/1swGwZOEqYlTEUCJLY-eeJM1911Kvaei5oySBIxdgtNo/edit?pli=1#gid=257618397"",""stock FAKTUR!B:e""),4,false)"),"BATIK")</f>
        <v>BATIK</v>
      </c>
      <c r="H515" s="53" t="str">
        <f>IFERROR(__xludf.DUMMYFUNCTION("vlookup($D515,IMPORTRANGE(""https://docs.google.com/spreadsheets/d/1swGwZOEqYlTEUCJLY-eeJM1911Kvaei5oySBIxdgtNo/edit?pli=1#gid=257618397"",""stock FAKTUR!B:F""),5,false)"),"KN")</f>
        <v>KN</v>
      </c>
      <c r="I515" s="53" t="str">
        <f>IFERROR(__xludf.DUMMYFUNCTION("vlookup($D515,IMPORTRANGE(""https://docs.google.com/spreadsheets/d/1swGwZOEqYlTEUCJLY-eeJM1911Kvaei5oySBIxdgtNo/edit?pli=1#gid=257618397"",""stock FAKTUR!B:G""),6,false)"),"3224")</f>
        <v>3224</v>
      </c>
      <c r="J515" s="120" t="str">
        <f t="shared" si="25"/>
        <v>ADA</v>
      </c>
      <c r="K515" s="142">
        <v>3.0</v>
      </c>
      <c r="L515" s="145" t="str">
        <f>IFERROR(__xludf.DUMMYFUNCTION("vlookup($D515,IMPORTRANGE(""https://docs.google.com/spreadsheets/d/1swGwZOEqYlTEUCJLY-eeJM1911Kvaei5oySBIxdgtNo/edit?pli=1#gid=257618397"",""stock FAKTUR!B:q""),16,false)"),"LSN")</f>
        <v>LSN</v>
      </c>
      <c r="M515" s="147">
        <v>195000.0</v>
      </c>
      <c r="N515" s="152">
        <v>0.1</v>
      </c>
      <c r="O515" s="147">
        <f t="shared" si="134"/>
        <v>526500</v>
      </c>
      <c r="P515" s="147" t="str">
        <f t="shared" si="3"/>
        <v>Rp195,000-3 LSN-10.00%</v>
      </c>
      <c r="Q515" s="149">
        <v>45419.0</v>
      </c>
      <c r="R515" s="150"/>
      <c r="S515" s="149">
        <v>45422.0</v>
      </c>
      <c r="T515" s="194" t="s">
        <v>4682</v>
      </c>
      <c r="U515" s="192" t="s">
        <v>4390</v>
      </c>
      <c r="V515" s="151"/>
      <c r="W515" s="159"/>
    </row>
    <row r="516">
      <c r="A516" s="142">
        <v>2997.0</v>
      </c>
      <c r="B516" s="143" t="str">
        <f t="shared" si="156"/>
        <v>H</v>
      </c>
      <c r="C516" s="143" t="str">
        <f t="shared" si="157"/>
        <v>KONDANG-TEMANGGUNG</v>
      </c>
      <c r="D516" s="145" t="s">
        <v>4433</v>
      </c>
      <c r="E516" s="145" t="str">
        <f>IFERROR(__xludf.DUMMYFUNCTION("vlookup(D516,IMPORTRANGE(""https://docs.google.com/spreadsheets/d/1swGwZOEqYlTEUCJLY-eeJM1911Kvaei5oySBIxdgtNo/edit?pli=1#gid=257618397"",""stock FAKTUR!B:C""),2,false)"),"PW JK CP-12PB PANJANG")</f>
        <v>PW JK CP-12PB PANJANG</v>
      </c>
      <c r="F516" s="53" t="str">
        <f>IFERROR(__xludf.DUMMYFUNCTION("vlookup($D516,IMPORTRANGE(""https://docs.google.com/spreadsheets/d/1swGwZOEqYlTEUCJLY-eeJM1911Kvaei5oySBIxdgtNo/edit?pli=1#gid=257618397"",""stock FAKTUR!B:d""),3,false)"),"")</f>
        <v/>
      </c>
      <c r="G516" s="53" t="str">
        <f>IFERROR(__xludf.DUMMYFUNCTION("vlookup($D516,IMPORTRANGE(""https://docs.google.com/spreadsheets/d/1swGwZOEqYlTEUCJLY-eeJM1911Kvaei5oySBIxdgtNo/edit?pli=1#gid=257618397"",""stock FAKTUR!B:e""),4,false)"),"12W")</f>
        <v>12W</v>
      </c>
      <c r="H516" s="53" t="str">
        <f>IFERROR(__xludf.DUMMYFUNCTION("vlookup($D516,IMPORTRANGE(""https://docs.google.com/spreadsheets/d/1swGwZOEqYlTEUCJLY-eeJM1911Kvaei5oySBIxdgtNo/edit?pli=1#gid=257618397"",""stock FAKTUR!B:F""),5,false)"),"JK")</f>
        <v>JK</v>
      </c>
      <c r="I516" s="53" t="str">
        <f>IFERROR(__xludf.DUMMYFUNCTION("vlookup($D516,IMPORTRANGE(""https://docs.google.com/spreadsheets/d/1swGwZOEqYlTEUCJLY-eeJM1911Kvaei5oySBIxdgtNo/edit?pli=1#gid=257618397"",""stock FAKTUR!B:G""),6,false)"),"CP-12PB")</f>
        <v>CP-12PB</v>
      </c>
      <c r="J516" s="120" t="str">
        <f t="shared" si="25"/>
        <v>ADA</v>
      </c>
      <c r="K516" s="142">
        <v>144.0</v>
      </c>
      <c r="L516" s="145" t="str">
        <f>IFERROR(__xludf.DUMMYFUNCTION("vlookup($D516,IMPORTRANGE(""https://docs.google.com/spreadsheets/d/1swGwZOEqYlTEUCJLY-eeJM1911Kvaei5oySBIxdgtNo/edit?pli=1#gid=257618397"",""stock FAKTUR!B:q""),16,false)"),"PCS")</f>
        <v>PCS</v>
      </c>
      <c r="M516" s="147">
        <v>10200.0</v>
      </c>
      <c r="N516" s="152">
        <v>0.125</v>
      </c>
      <c r="O516" s="147">
        <f t="shared" si="134"/>
        <v>1285200</v>
      </c>
      <c r="P516" s="147" t="str">
        <f t="shared" si="3"/>
        <v>Rp10,200-144 PCS-12.50%</v>
      </c>
      <c r="Q516" s="149">
        <v>45419.0</v>
      </c>
      <c r="R516" s="150"/>
      <c r="S516" s="149">
        <v>45422.0</v>
      </c>
      <c r="T516" s="151"/>
      <c r="U516" s="151"/>
      <c r="V516" s="151"/>
      <c r="W516" s="151"/>
    </row>
    <row r="517">
      <c r="A517" s="142">
        <v>2997.0</v>
      </c>
      <c r="B517" s="143" t="str">
        <f t="shared" si="156"/>
        <v>H</v>
      </c>
      <c r="C517" s="143" t="str">
        <f t="shared" si="157"/>
        <v>KONDANG-TEMANGGUNG</v>
      </c>
      <c r="D517" s="145" t="s">
        <v>4684</v>
      </c>
      <c r="E517" s="145" t="str">
        <f>IFERROR(__xludf.DUMMYFUNCTION("vlookup(D517,IMPORTRANGE(""https://docs.google.com/spreadsheets/d/1swGwZOEqYlTEUCJLY-eeJM1911Kvaei5oySBIxdgtNo/edit?pli=1#gid=257618397"",""stock FAKTUR!B:C""),2,false)"),"LOOSE LEAF JA B5 50")</f>
        <v>LOOSE LEAF JA B5 50</v>
      </c>
      <c r="F517" s="53" t="str">
        <f>IFERROR(__xludf.DUMMYFUNCTION("vlookup($D517,IMPORTRANGE(""https://docs.google.com/spreadsheets/d/1swGwZOEqYlTEUCJLY-eeJM1911Kvaei5oySBIxdgtNo/edit?pli=1#gid=257618397"",""stock FAKTUR!B:d""),3,false)"),"B5")</f>
        <v>B5</v>
      </c>
      <c r="G517" s="53" t="str">
        <f>IFERROR(__xludf.DUMMYFUNCTION("vlookup($D517,IMPORTRANGE(""https://docs.google.com/spreadsheets/d/1swGwZOEqYlTEUCJLY-eeJM1911Kvaei5oySBIxdgtNo/edit?pli=1#gid=257618397"",""stock FAKTUR!B:e""),4,false)"),"")</f>
        <v/>
      </c>
      <c r="H517" s="53" t="str">
        <f>IFERROR(__xludf.DUMMYFUNCTION("vlookup($D517,IMPORTRANGE(""https://docs.google.com/spreadsheets/d/1swGwZOEqYlTEUCJLY-eeJM1911Kvaei5oySBIxdgtNo/edit?pli=1#gid=257618397"",""stock FAKTUR!B:F""),5,false)"),"JA")</f>
        <v>JA</v>
      </c>
      <c r="I517" s="53" t="str">
        <f>IFERROR(__xludf.DUMMYFUNCTION("vlookup($D517,IMPORTRANGE(""https://docs.google.com/spreadsheets/d/1swGwZOEqYlTEUCJLY-eeJM1911Kvaei5oySBIxdgtNo/edit?pli=1#gid=257618397"",""stock FAKTUR!B:G""),6,false)"),"")</f>
        <v/>
      </c>
      <c r="J517" s="120" t="str">
        <f t="shared" si="25"/>
        <v>ADA</v>
      </c>
      <c r="K517" s="142">
        <v>160.0</v>
      </c>
      <c r="L517" s="145" t="str">
        <f>IFERROR(__xludf.DUMMYFUNCTION("vlookup($D517,IMPORTRANGE(""https://docs.google.com/spreadsheets/d/1swGwZOEqYlTEUCJLY-eeJM1911Kvaei5oySBIxdgtNo/edit?pli=1#gid=257618397"",""stock FAKTUR!B:q""),16,false)"),"PCS")</f>
        <v>PCS</v>
      </c>
      <c r="M517" s="147">
        <v>5700.0</v>
      </c>
      <c r="N517" s="152">
        <v>0.125</v>
      </c>
      <c r="O517" s="147">
        <f t="shared" si="134"/>
        <v>798000</v>
      </c>
      <c r="P517" s="147" t="str">
        <f t="shared" si="3"/>
        <v>Rp5,700-160 PCS-12.50%</v>
      </c>
      <c r="Q517" s="149">
        <v>45419.0</v>
      </c>
      <c r="R517" s="150"/>
      <c r="S517" s="149">
        <v>45422.0</v>
      </c>
      <c r="T517" s="151"/>
      <c r="U517" s="151"/>
      <c r="V517" s="151"/>
      <c r="W517" s="151"/>
    </row>
    <row r="518">
      <c r="A518" s="142">
        <v>2996.0</v>
      </c>
      <c r="B518" s="143" t="s">
        <v>33</v>
      </c>
      <c r="C518" s="143" t="s">
        <v>1768</v>
      </c>
      <c r="D518" s="145" t="s">
        <v>4402</v>
      </c>
      <c r="E518" s="145" t="str">
        <f>IFERROR(__xludf.DUMMYFUNCTION("vlookup(D518,IMPORTRANGE(""https://docs.google.com/spreadsheets/d/1swGwZOEqYlTEUCJLY-eeJM1911Kvaei5oySBIxdgtNo/edit?pli=1#gid=257618397"",""stock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518" s="53" t="str">
        <f>IFERROR(__xludf.DUMMYFUNCTION("vlookup($D518,IMPORTRANGE(""https://docs.google.com/spreadsheets/d/1swGwZOEqYlTEUCJLY-eeJM1911Kvaei5oySBIxdgtNo/edit?pli=1#gid=257618397"",""stock FAKTUR!B:d""),3,false)"),"")</f>
        <v/>
      </c>
      <c r="G518" s="53" t="str">
        <f>IFERROR(__xludf.DUMMYFUNCTION("vlookup($D518,IMPORTRANGE(""https://docs.google.com/spreadsheets/d/1swGwZOEqYlTEUCJLY-eeJM1911Kvaei5oySBIxdgtNo/edit?pli=1#gid=257618397"",""stock FAKTUR!B:e""),4,false)"),"55W")</f>
        <v>55W</v>
      </c>
      <c r="H518" s="53" t="str">
        <f>IFERROR(__xludf.DUMMYFUNCTION("vlookup($D518,IMPORTRANGE(""https://docs.google.com/spreadsheets/d/1swGwZOEqYlTEUCJLY-eeJM1911Kvaei5oySBIxdgtNo/edit?pli=1#gid=257618397"",""stock FAKTUR!B:F""),5,false)"),"JK")</f>
        <v>JK</v>
      </c>
      <c r="I518" s="53" t="str">
        <f>IFERROR(__xludf.DUMMYFUNCTION("vlookup($D518,IMPORTRANGE(""https://docs.google.com/spreadsheets/d/1swGwZOEqYlTEUCJLY-eeJM1911Kvaei5oySBIxdgtNo/edit?pli=1#gid=257618397"",""stock FAKTUR!B:G""),6,false)"),"")</f>
        <v/>
      </c>
      <c r="J518" s="120" t="str">
        <f t="shared" si="25"/>
        <v>ADA</v>
      </c>
      <c r="K518" s="142">
        <v>48.0</v>
      </c>
      <c r="L518" s="145" t="str">
        <f>IFERROR(__xludf.DUMMYFUNCTION("vlookup($D518,IMPORTRANGE(""https://docs.google.com/spreadsheets/d/1swGwZOEqYlTEUCJLY-eeJM1911Kvaei5oySBIxdgtNo/edit?pli=1#gid=257618397"",""stock FAKTUR!B:q""),16,false)"),"PCS")</f>
        <v>PCS</v>
      </c>
      <c r="M518" s="147">
        <v>68700.0</v>
      </c>
      <c r="N518" s="152">
        <v>0.125</v>
      </c>
      <c r="O518" s="147">
        <f t="shared" si="134"/>
        <v>2885400</v>
      </c>
      <c r="P518" s="147" t="str">
        <f t="shared" si="3"/>
        <v>Rp68,700-48 PCS-12.50%</v>
      </c>
      <c r="Q518" s="149">
        <v>45419.0</v>
      </c>
      <c r="R518" s="150"/>
      <c r="S518" s="149">
        <v>45422.0</v>
      </c>
      <c r="T518" s="151"/>
      <c r="U518" s="151"/>
      <c r="V518" s="151"/>
      <c r="W518" s="151"/>
    </row>
    <row r="519">
      <c r="A519" s="142">
        <v>2996.0</v>
      </c>
      <c r="B519" s="143" t="str">
        <f t="shared" ref="B519:B525" si="158">IF(A519=A518,B518,"")</f>
        <v>H</v>
      </c>
      <c r="C519" s="143" t="str">
        <f t="shared" ref="C519:C525" si="159">IF(A519=A518,C518,"")</f>
        <v>SISWA-MUNTILAN</v>
      </c>
      <c r="D519" s="145" t="s">
        <v>4392</v>
      </c>
      <c r="E519" s="145" t="str">
        <f>IFERROR(__xludf.DUMMYFUNCTION("vlookup(D519,IMPORTRANGE(""https://docs.google.com/spreadsheets/d/1swGwZOEqYlTEUCJLY-eeJM1911Kvaei5oySBIxdgtNo/edit?pli=1#gid=257618397"",""stock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519" s="53" t="str">
        <f>IFERROR(__xludf.DUMMYFUNCTION("vlookup($D519,IMPORTRANGE(""https://docs.google.com/spreadsheets/d/1swGwZOEqYlTEUCJLY-eeJM1911Kvaei5oySBIxdgtNo/edit?pli=1#gid=257618397"",""stock FAKTUR!B:d""),3,false)"),"")</f>
        <v/>
      </c>
      <c r="G519" s="53" t="str">
        <f>IFERROR(__xludf.DUMMYFUNCTION("vlookup($D519,IMPORTRANGE(""https://docs.google.com/spreadsheets/d/1swGwZOEqYlTEUCJLY-eeJM1911Kvaei5oySBIxdgtNo/edit?pli=1#gid=257618397"",""stock FAKTUR!B:e""),4,false)"),"18W")</f>
        <v>18W</v>
      </c>
      <c r="H519" s="53" t="str">
        <f>IFERROR(__xludf.DUMMYFUNCTION("vlookup($D519,IMPORTRANGE(""https://docs.google.com/spreadsheets/d/1swGwZOEqYlTEUCJLY-eeJM1911Kvaei5oySBIxdgtNo/edit?pli=1#gid=257618397"",""stock FAKTUR!B:F""),5,false)"),"JK")</f>
        <v>JK</v>
      </c>
      <c r="I519" s="53" t="str">
        <f>IFERROR(__xludf.DUMMYFUNCTION("vlookup($D519,IMPORTRANGE(""https://docs.google.com/spreadsheets/d/1swGwZOEqYlTEUCJLY-eeJM1911Kvaei5oySBIxdgtNo/edit?pli=1#gid=257618397"",""stock FAKTUR!B:G""),6,false)"),"OP-18S")</f>
        <v>OP-18S</v>
      </c>
      <c r="J519" s="120" t="str">
        <f t="shared" si="25"/>
        <v>ADA</v>
      </c>
      <c r="K519" s="142">
        <v>216.0</v>
      </c>
      <c r="L519" s="145" t="str">
        <f>IFERROR(__xludf.DUMMYFUNCTION("vlookup($D519,IMPORTRANGE(""https://docs.google.com/spreadsheets/d/1swGwZOEqYlTEUCJLY-eeJM1911Kvaei5oySBIxdgtNo/edit?pli=1#gid=257618397"",""stock FAKTUR!B:q""),16,false)"),"PCS")</f>
        <v>PCS</v>
      </c>
      <c r="M519" s="147">
        <v>23700.0</v>
      </c>
      <c r="N519" s="152">
        <v>0.125</v>
      </c>
      <c r="O519" s="147">
        <f t="shared" si="134"/>
        <v>4479300</v>
      </c>
      <c r="P519" s="147" t="str">
        <f t="shared" si="3"/>
        <v>Rp23,700-216 PCS-12.50%</v>
      </c>
      <c r="Q519" s="149">
        <v>45419.0</v>
      </c>
      <c r="R519" s="150"/>
      <c r="S519" s="149">
        <v>45422.0</v>
      </c>
      <c r="T519" s="151"/>
      <c r="U519" s="151"/>
      <c r="V519" s="151"/>
      <c r="W519" s="151"/>
    </row>
    <row r="520">
      <c r="A520" s="142">
        <v>2996.0</v>
      </c>
      <c r="B520" s="143" t="str">
        <f t="shared" si="158"/>
        <v>H</v>
      </c>
      <c r="C520" s="143" t="str">
        <f t="shared" si="159"/>
        <v>SISWA-MUNTILAN</v>
      </c>
      <c r="D520" s="145" t="s">
        <v>4505</v>
      </c>
      <c r="E520" s="145" t="str">
        <f>IFERROR(__xludf.DUMMYFUNCTION("vlookup(D520,IMPORTRANGE(""https://docs.google.com/spreadsheets/d/1swGwZOEqYlTEUCJLY-eeJM1911Kvaei5oySBIxdgtNo/edit?pli=1#gid=257618397"",""stock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520" s="53" t="str">
        <f>IFERROR(__xludf.DUMMYFUNCTION("vlookup($D520,IMPORTRANGE(""https://docs.google.com/spreadsheets/d/1swGwZOEqYlTEUCJLY-eeJM1911Kvaei5oySBIxdgtNo/edit?pli=1#gid=257618397"",""stock FAKTUR!B:d""),3,false)"),"")</f>
        <v/>
      </c>
      <c r="G520" s="53" t="str">
        <f>IFERROR(__xludf.DUMMYFUNCTION("vlookup($D520,IMPORTRANGE(""https://docs.google.com/spreadsheets/d/1swGwZOEqYlTEUCJLY-eeJM1911Kvaei5oySBIxdgtNo/edit?pli=1#gid=257618397"",""stock FAKTUR!B:e""),4,false)"),"24W")</f>
        <v>24W</v>
      </c>
      <c r="H520" s="53" t="str">
        <f>IFERROR(__xludf.DUMMYFUNCTION("vlookup($D520,IMPORTRANGE(""https://docs.google.com/spreadsheets/d/1swGwZOEqYlTEUCJLY-eeJM1911Kvaei5oySBIxdgtNo/edit?pli=1#gid=257618397"",""stock FAKTUR!B:F""),5,false)"),"JK")</f>
        <v>JK</v>
      </c>
      <c r="I520" s="53" t="str">
        <f>IFERROR(__xludf.DUMMYFUNCTION("vlookup($D520,IMPORTRANGE(""https://docs.google.com/spreadsheets/d/1swGwZOEqYlTEUCJLY-eeJM1911Kvaei5oySBIxdgtNo/edit?pli=1#gid=257618397"",""stock FAKTUR!B:G""),6,false)"),"OP-24S")</f>
        <v>OP-24S</v>
      </c>
      <c r="J520" s="120" t="str">
        <f t="shared" si="25"/>
        <v>ADA</v>
      </c>
      <c r="K520" s="142">
        <v>144.0</v>
      </c>
      <c r="L520" s="145" t="str">
        <f>IFERROR(__xludf.DUMMYFUNCTION("vlookup($D520,IMPORTRANGE(""https://docs.google.com/spreadsheets/d/1swGwZOEqYlTEUCJLY-eeJM1911Kvaei5oySBIxdgtNo/edit?pli=1#gid=257618397"",""stock FAKTUR!B:q""),16,false)"),"PCS")</f>
        <v>PCS</v>
      </c>
      <c r="M520" s="147">
        <v>30500.0</v>
      </c>
      <c r="N520" s="152">
        <v>0.125</v>
      </c>
      <c r="O520" s="147">
        <f t="shared" si="134"/>
        <v>3843000</v>
      </c>
      <c r="P520" s="147" t="str">
        <f t="shared" si="3"/>
        <v>Rp30,500-144 PCS-12.50%</v>
      </c>
      <c r="Q520" s="149">
        <v>45419.0</v>
      </c>
      <c r="R520" s="150"/>
      <c r="S520" s="149">
        <v>45422.0</v>
      </c>
      <c r="T520" s="151"/>
      <c r="U520" s="151"/>
      <c r="V520" s="151"/>
      <c r="W520" s="151"/>
    </row>
    <row r="521">
      <c r="A521" s="142">
        <v>2996.0</v>
      </c>
      <c r="B521" s="143" t="str">
        <f t="shared" si="158"/>
        <v>H</v>
      </c>
      <c r="C521" s="143" t="str">
        <f t="shared" si="159"/>
        <v>SISWA-MUNTILAN</v>
      </c>
      <c r="D521" s="145" t="s">
        <v>4579</v>
      </c>
      <c r="E521" s="145" t="str">
        <f>IFERROR(__xludf.DUMMYFUNCTION("vlookup(D521,IMPORTRANGE(""https://docs.google.com/spreadsheets/d/1swGwZOEqYlTEUCJLY-eeJM1911Kvaei5oySBIxdgtNo/edit?pli=1#gid=257618397"",""stock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521" s="53" t="str">
        <f>IFERROR(__xludf.DUMMYFUNCTION("vlookup($D521,IMPORTRANGE(""https://docs.google.com/spreadsheets/d/1swGwZOEqYlTEUCJLY-eeJM1911Kvaei5oySBIxdgtNo/edit?pli=1#gid=257618397"",""stock FAKTUR!B:d""),3,false)"),"")</f>
        <v/>
      </c>
      <c r="G521" s="53" t="str">
        <f>IFERROR(__xludf.DUMMYFUNCTION("vlookup($D521,IMPORTRANGE(""https://docs.google.com/spreadsheets/d/1swGwZOEqYlTEUCJLY-eeJM1911Kvaei5oySBIxdgtNo/edit?pli=1#gid=257618397"",""stock FAKTUR!B:e""),4,false)"),"48W")</f>
        <v>48W</v>
      </c>
      <c r="H521" s="53" t="str">
        <f>IFERROR(__xludf.DUMMYFUNCTION("vlookup($D521,IMPORTRANGE(""https://docs.google.com/spreadsheets/d/1swGwZOEqYlTEUCJLY-eeJM1911Kvaei5oySBIxdgtNo/edit?pli=1#gid=257618397"",""stock FAKTUR!B:F""),5,false)"),"JK")</f>
        <v>JK</v>
      </c>
      <c r="I521" s="53" t="str">
        <f>IFERROR(__xludf.DUMMYFUNCTION("vlookup($D521,IMPORTRANGE(""https://docs.google.com/spreadsheets/d/1swGwZOEqYlTEUCJLY-eeJM1911Kvaei5oySBIxdgtNo/edit?pli=1#gid=257618397"",""stock FAKTUR!B:G""),6,false)"),"OP-48S")</f>
        <v>OP-48S</v>
      </c>
      <c r="J521" s="120" t="str">
        <f t="shared" si="25"/>
        <v>ADA</v>
      </c>
      <c r="K521" s="142">
        <v>24.0</v>
      </c>
      <c r="L521" s="145" t="str">
        <f>IFERROR(__xludf.DUMMYFUNCTION("vlookup($D521,IMPORTRANGE(""https://docs.google.com/spreadsheets/d/1swGwZOEqYlTEUCJLY-eeJM1911Kvaei5oySBIxdgtNo/edit?pli=1#gid=257618397"",""stock FAKTUR!B:q""),16,false)"),"PCS")</f>
        <v>PCS</v>
      </c>
      <c r="M521" s="147">
        <v>60700.0</v>
      </c>
      <c r="N521" s="152">
        <v>0.125</v>
      </c>
      <c r="O521" s="147">
        <f t="shared" si="134"/>
        <v>1274700</v>
      </c>
      <c r="P521" s="147" t="str">
        <f t="shared" si="3"/>
        <v>Rp60,700-24 PCS-12.50%</v>
      </c>
      <c r="Q521" s="149">
        <v>45419.0</v>
      </c>
      <c r="R521" s="150"/>
      <c r="S521" s="149">
        <v>45422.0</v>
      </c>
      <c r="T521" s="151"/>
      <c r="U521" s="151"/>
      <c r="V521" s="151"/>
      <c r="W521" s="151"/>
    </row>
    <row r="522">
      <c r="A522" s="142">
        <v>2996.0</v>
      </c>
      <c r="B522" s="143" t="str">
        <f t="shared" si="158"/>
        <v>H</v>
      </c>
      <c r="C522" s="143" t="str">
        <f t="shared" si="159"/>
        <v>SISWA-MUNTILAN</v>
      </c>
      <c r="D522" s="145" t="s">
        <v>4467</v>
      </c>
      <c r="E522" s="145" t="str">
        <f>IFERROR(__xludf.DUMMYFUNCTION("vlookup(D522,IMPORTRANGE(""https://docs.google.com/spreadsheets/d/1swGwZOEqYlTEUCJLY-eeJM1911Kvaei5oySBIxdgtNo/edit?pli=1#gid=257618397"",""stock FAKTUR!B:C""),2,false)"),"TAPE CUTTER JK TD-103")</f>
        <v>TAPE CUTTER JK TD-103</v>
      </c>
      <c r="F522" s="53" t="str">
        <f>IFERROR(__xludf.DUMMYFUNCTION("vlookup($D522,IMPORTRANGE(""https://docs.google.com/spreadsheets/d/1swGwZOEqYlTEUCJLY-eeJM1911Kvaei5oySBIxdgtNo/edit?pli=1#gid=257618397"",""stock FAKTUR!B:d""),3,false)"),"")</f>
        <v/>
      </c>
      <c r="G522" s="53" t="str">
        <f>IFERROR(__xludf.DUMMYFUNCTION("vlookup($D522,IMPORTRANGE(""https://docs.google.com/spreadsheets/d/1swGwZOEqYlTEUCJLY-eeJM1911Kvaei5oySBIxdgtNo/edit?pli=1#gid=257618397"",""stock FAKTUR!B:e""),4,false)"),"")</f>
        <v/>
      </c>
      <c r="H522" s="53" t="str">
        <f>IFERROR(__xludf.DUMMYFUNCTION("vlookup($D522,IMPORTRANGE(""https://docs.google.com/spreadsheets/d/1swGwZOEqYlTEUCJLY-eeJM1911Kvaei5oySBIxdgtNo/edit?pli=1#gid=257618397"",""stock FAKTUR!B:F""),5,false)"),"JK")</f>
        <v>JK</v>
      </c>
      <c r="I522" s="53" t="str">
        <f>IFERROR(__xludf.DUMMYFUNCTION("vlookup($D522,IMPORTRANGE(""https://docs.google.com/spreadsheets/d/1swGwZOEqYlTEUCJLY-eeJM1911Kvaei5oySBIxdgtNo/edit?pli=1#gid=257618397"",""stock FAKTUR!B:G""),6,false)"),"TD-103")</f>
        <v>TD-103</v>
      </c>
      <c r="J522" s="120" t="str">
        <f t="shared" si="25"/>
        <v>ADA</v>
      </c>
      <c r="K522" s="142">
        <v>6.0</v>
      </c>
      <c r="L522" s="145" t="str">
        <f>IFERROR(__xludf.DUMMYFUNCTION("vlookup($D522,IMPORTRANGE(""https://docs.google.com/spreadsheets/d/1swGwZOEqYlTEUCJLY-eeJM1911Kvaei5oySBIxdgtNo/edit?pli=1#gid=257618397"",""stock FAKTUR!B:q""),16,false)"),"PCS")</f>
        <v>PCS</v>
      </c>
      <c r="M522" s="147">
        <v>19000.0</v>
      </c>
      <c r="N522" s="152">
        <v>0.125</v>
      </c>
      <c r="O522" s="147">
        <f t="shared" si="134"/>
        <v>99750</v>
      </c>
      <c r="P522" s="147" t="str">
        <f t="shared" si="3"/>
        <v>Rp19,000-6 PCS-12.50%</v>
      </c>
      <c r="Q522" s="149">
        <v>45419.0</v>
      </c>
      <c r="R522" s="150"/>
      <c r="S522" s="149">
        <v>45422.0</v>
      </c>
      <c r="T522" s="151"/>
      <c r="U522" s="151"/>
      <c r="V522" s="151"/>
      <c r="W522" s="151"/>
    </row>
    <row r="523">
      <c r="A523" s="142">
        <v>2996.0</v>
      </c>
      <c r="B523" s="143" t="str">
        <f t="shared" si="158"/>
        <v>H</v>
      </c>
      <c r="C523" s="143" t="str">
        <f t="shared" si="159"/>
        <v>SISWA-MUNTILAN</v>
      </c>
      <c r="D523" s="193" t="s">
        <v>4683</v>
      </c>
      <c r="E523" s="145" t="str">
        <f>IFERROR(__xludf.DUMMYFUNCTION("vlookup(D523,IMPORTRANGE(""https://docs.google.com/spreadsheets/d/1swGwZOEqYlTEUCJLY-eeJM1911Kvaei5oySBIxdgtNo/edit?pli=1#gid=257618397"",""stock FAKTUR!B:C""),2,false)"),"BT KENKO BT-3224-BTK BATIK")</f>
        <v>BT KENKO BT-3224-BTK BATIK</v>
      </c>
      <c r="F523" s="53" t="str">
        <f>IFERROR(__xludf.DUMMYFUNCTION("vlookup($D523,IMPORTRANGE(""https://docs.google.com/spreadsheets/d/1swGwZOEqYlTEUCJLY-eeJM1911Kvaei5oySBIxdgtNo/edit?pli=1#gid=257618397"",""stock FAKTUR!B:d""),3,false)"),"")</f>
        <v/>
      </c>
      <c r="G523" s="53" t="str">
        <f>IFERROR(__xludf.DUMMYFUNCTION("vlookup($D523,IMPORTRANGE(""https://docs.google.com/spreadsheets/d/1swGwZOEqYlTEUCJLY-eeJM1911Kvaei5oySBIxdgtNo/edit?pli=1#gid=257618397"",""stock FAKTUR!B:e""),4,false)"),"BATIK")</f>
        <v>BATIK</v>
      </c>
      <c r="H523" s="53" t="str">
        <f>IFERROR(__xludf.DUMMYFUNCTION("vlookup($D523,IMPORTRANGE(""https://docs.google.com/spreadsheets/d/1swGwZOEqYlTEUCJLY-eeJM1911Kvaei5oySBIxdgtNo/edit?pli=1#gid=257618397"",""stock FAKTUR!B:F""),5,false)"),"KN")</f>
        <v>KN</v>
      </c>
      <c r="I523" s="53" t="str">
        <f>IFERROR(__xludf.DUMMYFUNCTION("vlookup($D523,IMPORTRANGE(""https://docs.google.com/spreadsheets/d/1swGwZOEqYlTEUCJLY-eeJM1911Kvaei5oySBIxdgtNo/edit?pli=1#gid=257618397"",""stock FAKTUR!B:G""),6,false)"),"3224")</f>
        <v>3224</v>
      </c>
      <c r="J523" s="120" t="str">
        <f t="shared" si="25"/>
        <v>ADA</v>
      </c>
      <c r="K523" s="142">
        <v>1.0</v>
      </c>
      <c r="L523" s="145" t="str">
        <f>IFERROR(__xludf.DUMMYFUNCTION("vlookup($D523,IMPORTRANGE(""https://docs.google.com/spreadsheets/d/1swGwZOEqYlTEUCJLY-eeJM1911Kvaei5oySBIxdgtNo/edit?pli=1#gid=257618397"",""stock FAKTUR!B:q""),16,false)"),"LSN")</f>
        <v>LSN</v>
      </c>
      <c r="M523" s="147">
        <v>195000.0</v>
      </c>
      <c r="N523" s="152">
        <v>0.125</v>
      </c>
      <c r="O523" s="147">
        <f t="shared" si="134"/>
        <v>170625</v>
      </c>
      <c r="P523" s="147" t="str">
        <f t="shared" si="3"/>
        <v>Rp195,000-1 LSN-12.50%</v>
      </c>
      <c r="Q523" s="149">
        <v>45419.0</v>
      </c>
      <c r="R523" s="150"/>
      <c r="S523" s="149">
        <v>45422.0</v>
      </c>
      <c r="T523" s="194" t="s">
        <v>4682</v>
      </c>
      <c r="U523" s="192" t="s">
        <v>4390</v>
      </c>
      <c r="V523" s="151"/>
      <c r="W523" s="159"/>
    </row>
    <row r="524">
      <c r="A524" s="142">
        <v>2996.0</v>
      </c>
      <c r="B524" s="143" t="str">
        <f t="shared" si="158"/>
        <v>H</v>
      </c>
      <c r="C524" s="143" t="str">
        <f t="shared" si="159"/>
        <v>SISWA-MUNTILAN</v>
      </c>
      <c r="D524" s="145" t="s">
        <v>4685</v>
      </c>
      <c r="E524" s="145" t="str">
        <f>IFERROR(__xludf.DUMMYFUNCTION("vlookup(D524,IMPORTRANGE(""https://docs.google.com/spreadsheets/d/1swGwZOEqYlTEUCJLY-eeJM1911Kvaei5oySBIxdgtNo/edit?pli=1#gid=257618397"",""stock FAKTUR!B:C""),2,false)"),"PAPER FASTENER JK PF-50 PUTIH")</f>
        <v>PAPER FASTENER JK PF-50 PUTIH</v>
      </c>
      <c r="F524" s="53" t="str">
        <f>IFERROR(__xludf.DUMMYFUNCTION("vlookup($D524,IMPORTRANGE(""https://docs.google.com/spreadsheets/d/1swGwZOEqYlTEUCJLY-eeJM1911Kvaei5oySBIxdgtNo/edit?pli=1#gid=257618397"",""stock FAKTUR!B:d""),3,false)"),"")</f>
        <v/>
      </c>
      <c r="G524" s="53" t="str">
        <f>IFERROR(__xludf.DUMMYFUNCTION("vlookup($D524,IMPORTRANGE(""https://docs.google.com/spreadsheets/d/1swGwZOEqYlTEUCJLY-eeJM1911Kvaei5oySBIxdgtNo/edit?pli=1#gid=257618397"",""stock FAKTUR!B:e""),4,false)"),"PUTIH")</f>
        <v>PUTIH</v>
      </c>
      <c r="H524" s="53" t="str">
        <f>IFERROR(__xludf.DUMMYFUNCTION("vlookup($D524,IMPORTRANGE(""https://docs.google.com/spreadsheets/d/1swGwZOEqYlTEUCJLY-eeJM1911Kvaei5oySBIxdgtNo/edit?pli=1#gid=257618397"",""stock FAKTUR!B:F""),5,false)"),"JK")</f>
        <v>JK</v>
      </c>
      <c r="I524" s="53" t="str">
        <f>IFERROR(__xludf.DUMMYFUNCTION("vlookup($D524,IMPORTRANGE(""https://docs.google.com/spreadsheets/d/1swGwZOEqYlTEUCJLY-eeJM1911Kvaei5oySBIxdgtNo/edit?pli=1#gid=257618397"",""stock FAKTUR!B:G""),6,false)"),"PF-50")</f>
        <v>PF-50</v>
      </c>
      <c r="J524" s="120" t="str">
        <f t="shared" si="25"/>
        <v>ADA</v>
      </c>
      <c r="K524" s="142">
        <v>50.0</v>
      </c>
      <c r="L524" s="145" t="str">
        <f>IFERROR(__xludf.DUMMYFUNCTION("vlookup($D524,IMPORTRANGE(""https://docs.google.com/spreadsheets/d/1swGwZOEqYlTEUCJLY-eeJM1911Kvaei5oySBIxdgtNo/edit?pli=1#gid=257618397"",""stock FAKTUR!B:q""),16,false)"),"PAK")</f>
        <v>PAK</v>
      </c>
      <c r="M524" s="147">
        <v>7600.0</v>
      </c>
      <c r="N524" s="152">
        <v>0.125</v>
      </c>
      <c r="O524" s="147">
        <f t="shared" si="134"/>
        <v>332500</v>
      </c>
      <c r="P524" s="147" t="str">
        <f t="shared" si="3"/>
        <v>Rp7,600-50 PAK-12.50%</v>
      </c>
      <c r="Q524" s="149">
        <v>45419.0</v>
      </c>
      <c r="R524" s="150"/>
      <c r="S524" s="149">
        <v>45422.0</v>
      </c>
      <c r="T524" s="151"/>
      <c r="U524" s="151"/>
      <c r="V524" s="151"/>
      <c r="W524" s="151"/>
    </row>
    <row r="525">
      <c r="A525" s="142">
        <v>2996.0</v>
      </c>
      <c r="B525" s="143" t="str">
        <f t="shared" si="158"/>
        <v>H</v>
      </c>
      <c r="C525" s="143" t="str">
        <f t="shared" si="159"/>
        <v>SISWA-MUNTILAN</v>
      </c>
      <c r="D525" s="145" t="s">
        <v>4458</v>
      </c>
      <c r="E525" s="145" t="str">
        <f>IFERROR(__xludf.DUMMYFUNCTION("vlookup(D525,IMPORTRANGE(""https://docs.google.com/spreadsheets/d/1swGwZOEqYlTEUCJLY-eeJM1911Kvaei5oySBIxdgtNo/edit?pli=1#gid=257618397"",""stock FAKTUR!B:C""),2,false)"),"ISI CUTTER KENKO A-100 KECIL")</f>
        <v>ISI CUTTER KENKO A-100 KECIL</v>
      </c>
      <c r="F525" s="53" t="str">
        <f>IFERROR(__xludf.DUMMYFUNCTION("vlookup($D525,IMPORTRANGE(""https://docs.google.com/spreadsheets/d/1swGwZOEqYlTEUCJLY-eeJM1911Kvaei5oySBIxdgtNo/edit?pli=1#gid=257618397"",""stock FAKTUR!B:d""),3,false)"),"9 MM")</f>
        <v>9 MM</v>
      </c>
      <c r="G525" s="53" t="str">
        <f>IFERROR(__xludf.DUMMYFUNCTION("vlookup($D525,IMPORTRANGE(""https://docs.google.com/spreadsheets/d/1swGwZOEqYlTEUCJLY-eeJM1911Kvaei5oySBIxdgtNo/edit?pli=1#gid=257618397"",""stock FAKTUR!B:e""),4,false)"),"")</f>
        <v/>
      </c>
      <c r="H525" s="53" t="str">
        <f>IFERROR(__xludf.DUMMYFUNCTION("vlookup($D525,IMPORTRANGE(""https://docs.google.com/spreadsheets/d/1swGwZOEqYlTEUCJLY-eeJM1911Kvaei5oySBIxdgtNo/edit?pli=1#gid=257618397"",""stock FAKTUR!B:F""),5,false)"),"KN")</f>
        <v>KN</v>
      </c>
      <c r="I525" s="53" t="str">
        <f>IFERROR(__xludf.DUMMYFUNCTION("vlookup($D525,IMPORTRANGE(""https://docs.google.com/spreadsheets/d/1swGwZOEqYlTEUCJLY-eeJM1911Kvaei5oySBIxdgtNo/edit?pli=1#gid=257618397"",""stock FAKTUR!B:G""),6,false)"),"CTB-001")</f>
        <v>CTB-001</v>
      </c>
      <c r="J525" s="120" t="str">
        <f t="shared" si="25"/>
        <v>ADA</v>
      </c>
      <c r="K525" s="142">
        <v>120.0</v>
      </c>
      <c r="L525" s="145" t="str">
        <f>IFERROR(__xludf.DUMMYFUNCTION("vlookup($D525,IMPORTRANGE(""https://docs.google.com/spreadsheets/d/1swGwZOEqYlTEUCJLY-eeJM1911Kvaei5oySBIxdgtNo/edit?pli=1#gid=257618397"",""stock FAKTUR!B:q""),16,false)"),"LSN")</f>
        <v>LSN</v>
      </c>
      <c r="M525" s="147">
        <v>32400.0</v>
      </c>
      <c r="N525" s="152">
        <v>0.125</v>
      </c>
      <c r="O525" s="147">
        <f t="shared" si="134"/>
        <v>3402000</v>
      </c>
      <c r="P525" s="147" t="str">
        <f t="shared" si="3"/>
        <v>Rp32,400-120 LSN-12.50%</v>
      </c>
      <c r="Q525" s="149">
        <v>45419.0</v>
      </c>
      <c r="R525" s="150"/>
      <c r="S525" s="149">
        <v>45422.0</v>
      </c>
      <c r="T525" s="151"/>
      <c r="U525" s="151"/>
      <c r="V525" s="151"/>
      <c r="W525" s="151"/>
    </row>
    <row r="526">
      <c r="A526" s="142">
        <v>3120.0</v>
      </c>
      <c r="B526" s="143" t="s">
        <v>33</v>
      </c>
      <c r="C526" s="143" t="s">
        <v>2355</v>
      </c>
      <c r="D526" s="145" t="s">
        <v>4665</v>
      </c>
      <c r="E526" s="145" t="str">
        <f>IFERROR(__xludf.DUMMYFUNCTION("vlookup(D526,IMPORTRANGE(""https://docs.google.com/spreadsheets/d/1swGwZOEqYlTEUCJLY-eeJM1911Kvaei5oySBIxdgtNo/edit?pli=1#gid=257618397"",""stock FAKTUR!B:C""),2,false)"),"STIP JK 526-B40P")</f>
        <v>STIP JK 526-B40P</v>
      </c>
      <c r="F526" s="53" t="str">
        <f>IFERROR(__xludf.DUMMYFUNCTION("vlookup($D526,IMPORTRANGE(""https://docs.google.com/spreadsheets/d/1swGwZOEqYlTEUCJLY-eeJM1911Kvaei5oySBIxdgtNo/edit?pli=1#gid=257618397"",""stock FAKTUR!B:d""),3,false)"),"")</f>
        <v/>
      </c>
      <c r="G526" s="53" t="str">
        <f>IFERROR(__xludf.DUMMYFUNCTION("vlookup($D526,IMPORTRANGE(""https://docs.google.com/spreadsheets/d/1swGwZOEqYlTEUCJLY-eeJM1911Kvaei5oySBIxdgtNo/edit?pli=1#gid=257618397"",""stock FAKTUR!B:e""),4,false)"),"PUTIH")</f>
        <v>PUTIH</v>
      </c>
      <c r="H526" s="53" t="str">
        <f>IFERROR(__xludf.DUMMYFUNCTION("vlookup($D526,IMPORTRANGE(""https://docs.google.com/spreadsheets/d/1swGwZOEqYlTEUCJLY-eeJM1911Kvaei5oySBIxdgtNo/edit?pli=1#gid=257618397"",""stock FAKTUR!B:F""),5,false)"),"JK")</f>
        <v>JK</v>
      </c>
      <c r="I526" s="53" t="str">
        <f>IFERROR(__xludf.DUMMYFUNCTION("vlookup($D526,IMPORTRANGE(""https://docs.google.com/spreadsheets/d/1swGwZOEqYlTEUCJLY-eeJM1911Kvaei5oySBIxdgtNo/edit?pli=1#gid=257618397"",""stock FAKTUR!B:G""),6,false)"),"40 P")</f>
        <v>40 P</v>
      </c>
      <c r="J526" s="120" t="str">
        <f t="shared" si="25"/>
        <v>ADA</v>
      </c>
      <c r="K526" s="142">
        <v>50.0</v>
      </c>
      <c r="L526" s="145" t="str">
        <f>IFERROR(__xludf.DUMMYFUNCTION("vlookup($D526,IMPORTRANGE(""https://docs.google.com/spreadsheets/d/1swGwZOEqYlTEUCJLY-eeJM1911Kvaei5oySBIxdgtNo/edit?pli=1#gid=257618397"",""stock FAKTUR!B:q""),16,false)"),"BOX")</f>
        <v>BOX</v>
      </c>
      <c r="M526" s="147">
        <v>28300.0</v>
      </c>
      <c r="N526" s="152">
        <v>0.125</v>
      </c>
      <c r="O526" s="147">
        <f t="shared" si="134"/>
        <v>1238125</v>
      </c>
      <c r="P526" s="147" t="str">
        <f t="shared" si="3"/>
        <v>Rp28,300-50 BOX-12.50%</v>
      </c>
      <c r="Q526" s="149">
        <v>45419.0</v>
      </c>
      <c r="R526" s="150"/>
      <c r="S526" s="149">
        <v>45422.0</v>
      </c>
      <c r="T526" s="151"/>
      <c r="U526" s="151"/>
      <c r="V526" s="151"/>
      <c r="W526" s="151"/>
    </row>
    <row r="527">
      <c r="A527" s="142">
        <v>3120.0</v>
      </c>
      <c r="B527" s="143" t="str">
        <f t="shared" ref="B527:B539" si="160">IF(A527=A526,B526,"")</f>
        <v>H</v>
      </c>
      <c r="C527" s="143" t="str">
        <f t="shared" ref="C527:C539" si="161">IF(A527=A526,C526,"")</f>
        <v>ANEKA-MALANG</v>
      </c>
      <c r="D527" s="145" t="s">
        <v>4594</v>
      </c>
      <c r="E527" s="145" t="str">
        <f>IFERROR(__xludf.DUMMYFUNCTION("vlookup(D527,IMPORTRANGE(""https://docs.google.com/spreadsheets/d/1swGwZOEqYlTEUCJLY-eeJM1911Kvaei5oySBIxdgtNo/edit?pli=1#gid=257618397"",""stock FAKTUR!B:C""),2,false)"),"STIP JK 526-B40BL")</f>
        <v>STIP JK 526-B40BL</v>
      </c>
      <c r="F527" s="53" t="str">
        <f>IFERROR(__xludf.DUMMYFUNCTION("vlookup($D527,IMPORTRANGE(""https://docs.google.com/spreadsheets/d/1swGwZOEqYlTEUCJLY-eeJM1911Kvaei5oySBIxdgtNo/edit?pli=1#gid=257618397"",""stock FAKTUR!B:d""),3,false)"),"")</f>
        <v/>
      </c>
      <c r="G527" s="53" t="str">
        <f>IFERROR(__xludf.DUMMYFUNCTION("vlookup($D527,IMPORTRANGE(""https://docs.google.com/spreadsheets/d/1swGwZOEqYlTEUCJLY-eeJM1911Kvaei5oySBIxdgtNo/edit?pli=1#gid=257618397"",""stock FAKTUR!B:e""),4,false)"),"HITAM")</f>
        <v>HITAM</v>
      </c>
      <c r="H527" s="53" t="str">
        <f>IFERROR(__xludf.DUMMYFUNCTION("vlookup($D527,IMPORTRANGE(""https://docs.google.com/spreadsheets/d/1swGwZOEqYlTEUCJLY-eeJM1911Kvaei5oySBIxdgtNo/edit?pli=1#gid=257618397"",""stock FAKTUR!B:F""),5,false)"),"JK")</f>
        <v>JK</v>
      </c>
      <c r="I527" s="53" t="str">
        <f>IFERROR(__xludf.DUMMYFUNCTION("vlookup($D527,IMPORTRANGE(""https://docs.google.com/spreadsheets/d/1swGwZOEqYlTEUCJLY-eeJM1911Kvaei5oySBIxdgtNo/edit?pli=1#gid=257618397"",""stock FAKTUR!B:G""),6,false)"),"40 BL")</f>
        <v>40 BL</v>
      </c>
      <c r="J527" s="120" t="str">
        <f t="shared" si="25"/>
        <v>ADA</v>
      </c>
      <c r="K527" s="142">
        <v>50.0</v>
      </c>
      <c r="L527" s="145" t="str">
        <f>IFERROR(__xludf.DUMMYFUNCTION("vlookup($D527,IMPORTRANGE(""https://docs.google.com/spreadsheets/d/1swGwZOEqYlTEUCJLY-eeJM1911Kvaei5oySBIxdgtNo/edit?pli=1#gid=257618397"",""stock FAKTUR!B:q""),16,false)"),"BOX")</f>
        <v>BOX</v>
      </c>
      <c r="M527" s="147">
        <v>28300.0</v>
      </c>
      <c r="N527" s="152">
        <v>0.125</v>
      </c>
      <c r="O527" s="147">
        <f t="shared" si="134"/>
        <v>1238125</v>
      </c>
      <c r="P527" s="147" t="str">
        <f t="shared" si="3"/>
        <v>Rp28,300-50 BOX-12.50%</v>
      </c>
      <c r="Q527" s="149">
        <v>45419.0</v>
      </c>
      <c r="R527" s="150"/>
      <c r="S527" s="149">
        <v>45422.0</v>
      </c>
      <c r="T527" s="151"/>
      <c r="U527" s="151"/>
      <c r="V527" s="151"/>
      <c r="W527" s="151"/>
    </row>
    <row r="528">
      <c r="A528" s="142">
        <v>3120.0</v>
      </c>
      <c r="B528" s="143" t="str">
        <f t="shared" si="160"/>
        <v>H</v>
      </c>
      <c r="C528" s="143" t="str">
        <f t="shared" si="161"/>
        <v>ANEKA-MALANG</v>
      </c>
      <c r="D528" s="23" t="s">
        <v>4686</v>
      </c>
      <c r="E528" s="145" t="str">
        <f>IFERROR(__xludf.DUMMYFUNCTION("vlookup(D528,IMPORTRANGE(""https://docs.google.com/spreadsheets/d/1swGwZOEqYlTEUCJLY-eeJM1911Kvaei5oySBIxdgtNo/edit?pli=1#gid=257618397"",""stock FAKTUR!B:C""),2,false)"),"BP JK 254 MORA HITAM ")</f>
        <v>BP JK 254 MORA HITAM </v>
      </c>
      <c r="F528" s="53" t="str">
        <f>IFERROR(__xludf.DUMMYFUNCTION("vlookup($D528,IMPORTRANGE(""https://docs.google.com/spreadsheets/d/1swGwZOEqYlTEUCJLY-eeJM1911Kvaei5oySBIxdgtNo/edit?pli=1#gid=257618397"",""stock FAKTUR!B:d""),3,false)"),"")</f>
        <v/>
      </c>
      <c r="G528" s="53" t="str">
        <f>IFERROR(__xludf.DUMMYFUNCTION("vlookup($D528,IMPORTRANGE(""https://docs.google.com/spreadsheets/d/1swGwZOEqYlTEUCJLY-eeJM1911Kvaei5oySBIxdgtNo/edit?pli=1#gid=257618397"",""stock FAKTUR!B:e""),4,false)"),"")</f>
        <v/>
      </c>
      <c r="H528" s="53" t="str">
        <f>IFERROR(__xludf.DUMMYFUNCTION("vlookup($D528,IMPORTRANGE(""https://docs.google.com/spreadsheets/d/1swGwZOEqYlTEUCJLY-eeJM1911Kvaei5oySBIxdgtNo/edit?pli=1#gid=257618397"",""stock FAKTUR!B:F""),5,false)"),"JK")</f>
        <v>JK</v>
      </c>
      <c r="I528" s="53" t="str">
        <f>IFERROR(__xludf.DUMMYFUNCTION("vlookup($D528,IMPORTRANGE(""https://docs.google.com/spreadsheets/d/1swGwZOEqYlTEUCJLY-eeJM1911Kvaei5oySBIxdgtNo/edit?pli=1#gid=257618397"",""stock FAKTUR!B:G""),6,false)"),"254")</f>
        <v>254</v>
      </c>
      <c r="J528" s="120" t="str">
        <f t="shared" si="25"/>
        <v>ADA</v>
      </c>
      <c r="K528" s="142">
        <v>144.0</v>
      </c>
      <c r="L528" s="145" t="str">
        <f>IFERROR(__xludf.DUMMYFUNCTION("vlookup($D528,IMPORTRANGE(""https://docs.google.com/spreadsheets/d/1swGwZOEqYlTEUCJLY-eeJM1911Kvaei5oySBIxdgtNo/edit?pli=1#gid=257618397"",""stock FAKTUR!B:q""),16,false)"),"LSN")</f>
        <v>LSN</v>
      </c>
      <c r="M528" s="147">
        <v>6900.0</v>
      </c>
      <c r="N528" s="152">
        <v>0.125</v>
      </c>
      <c r="O528" s="147">
        <f t="shared" si="134"/>
        <v>869400</v>
      </c>
      <c r="P528" s="147" t="str">
        <f t="shared" si="3"/>
        <v>Rp6,900-144 LSN-12.50%</v>
      </c>
      <c r="Q528" s="149">
        <v>45419.0</v>
      </c>
      <c r="R528" s="150"/>
      <c r="S528" s="149">
        <v>45422.0</v>
      </c>
      <c r="T528" s="194" t="s">
        <v>4682</v>
      </c>
      <c r="U528" s="192" t="s">
        <v>4390</v>
      </c>
      <c r="V528" s="151"/>
      <c r="W528" s="159"/>
    </row>
    <row r="529">
      <c r="A529" s="142">
        <v>3120.0</v>
      </c>
      <c r="B529" s="143" t="str">
        <f t="shared" si="160"/>
        <v>H</v>
      </c>
      <c r="C529" s="143" t="str">
        <f t="shared" si="161"/>
        <v>ANEKA-MALANG</v>
      </c>
      <c r="D529" s="145" t="s">
        <v>4687</v>
      </c>
      <c r="E529" s="145" t="str">
        <f>IFERROR(__xludf.DUMMYFUNCTION("vlookup(D529,IMPORTRANGE(""https://docs.google.com/spreadsheets/d/1swGwZOEqYlTEUCJLY-eeJM1911Kvaei5oySBIxdgtNo/edit?pli=1#gid=257618397"",""stock FAKTUR!B:C""),2,false)"),"BP JK GP-265 BIRU")</f>
        <v>BP JK GP-265 BIRU</v>
      </c>
      <c r="F529" s="53" t="str">
        <f>IFERROR(__xludf.DUMMYFUNCTION("vlookup($D529,IMPORTRANGE(""https://docs.google.com/spreadsheets/d/1swGwZOEqYlTEUCJLY-eeJM1911Kvaei5oySBIxdgtNo/edit?pli=1#gid=257618397"",""stock FAKTUR!B:d""),3,false)"),"")</f>
        <v/>
      </c>
      <c r="G529" s="53" t="str">
        <f>IFERROR(__xludf.DUMMYFUNCTION("vlookup($D529,IMPORTRANGE(""https://docs.google.com/spreadsheets/d/1swGwZOEqYlTEUCJLY-eeJM1911Kvaei5oySBIxdgtNo/edit?pli=1#gid=257618397"",""stock FAKTUR!B:e""),4,false)"),"BIRU")</f>
        <v>BIRU</v>
      </c>
      <c r="H529" s="53" t="str">
        <f>IFERROR(__xludf.DUMMYFUNCTION("vlookup($D529,IMPORTRANGE(""https://docs.google.com/spreadsheets/d/1swGwZOEqYlTEUCJLY-eeJM1911Kvaei5oySBIxdgtNo/edit?pli=1#gid=257618397"",""stock FAKTUR!B:F""),5,false)"),"JK")</f>
        <v>JK</v>
      </c>
      <c r="I529" s="53" t="str">
        <f>IFERROR(__xludf.DUMMYFUNCTION("vlookup($D529,IMPORTRANGE(""https://docs.google.com/spreadsheets/d/1swGwZOEqYlTEUCJLY-eeJM1911Kvaei5oySBIxdgtNo/edit?pli=1#gid=257618397"",""stock FAKTUR!B:G""),6,false)"),"GP-265")</f>
        <v>GP-265</v>
      </c>
      <c r="J529" s="120" t="str">
        <f t="shared" si="25"/>
        <v>ADA</v>
      </c>
      <c r="K529" s="142">
        <v>144.0</v>
      </c>
      <c r="L529" s="145" t="str">
        <f>IFERROR(__xludf.DUMMYFUNCTION("vlookup($D529,IMPORTRANGE(""https://docs.google.com/spreadsheets/d/1swGwZOEqYlTEUCJLY-eeJM1911Kvaei5oySBIxdgtNo/edit?pli=1#gid=257618397"",""stock FAKTUR!B:q""),16,false)"),"LSN")</f>
        <v>LSN</v>
      </c>
      <c r="M529" s="147">
        <v>26400.0</v>
      </c>
      <c r="N529" s="152">
        <v>0.125</v>
      </c>
      <c r="O529" s="147">
        <f t="shared" si="134"/>
        <v>3326400</v>
      </c>
      <c r="P529" s="147" t="str">
        <f t="shared" si="3"/>
        <v>Rp26,400-144 LSN-12.50%</v>
      </c>
      <c r="Q529" s="149">
        <v>45419.0</v>
      </c>
      <c r="R529" s="150"/>
      <c r="S529" s="149">
        <v>45422.0</v>
      </c>
      <c r="T529" s="151"/>
      <c r="U529" s="151"/>
      <c r="V529" s="151"/>
      <c r="W529" s="151"/>
    </row>
    <row r="530">
      <c r="A530" s="142">
        <v>3120.0</v>
      </c>
      <c r="B530" s="143" t="str">
        <f t="shared" si="160"/>
        <v>H</v>
      </c>
      <c r="C530" s="143" t="str">
        <f t="shared" si="161"/>
        <v>ANEKA-MALANG</v>
      </c>
      <c r="D530" s="145" t="s">
        <v>4666</v>
      </c>
      <c r="E530" s="145" t="str">
        <f>IFERROR(__xludf.DUMMYFUNCTION("vlookup(D530,IMPORTRANGE(""https://docs.google.com/spreadsheets/d/1swGwZOEqYlTEUCJLY-eeJM1911Kvaei5oySBIxdgtNo/edit?pli=1#gid=257618397"",""stock FAKTUR!B:C""),2,false)"),"PUNCH JK 30XL")</f>
        <v>PUNCH JK 30XL</v>
      </c>
      <c r="F530" s="53" t="str">
        <f>IFERROR(__xludf.DUMMYFUNCTION("vlookup($D530,IMPORTRANGE(""https://docs.google.com/spreadsheets/d/1swGwZOEqYlTEUCJLY-eeJM1911Kvaei5oySBIxdgtNo/edit?pli=1#gid=257618397"",""stock FAKTUR!B:d""),3,false)"),"")</f>
        <v/>
      </c>
      <c r="G530" s="53" t="str">
        <f>IFERROR(__xludf.DUMMYFUNCTION("vlookup($D530,IMPORTRANGE(""https://docs.google.com/spreadsheets/d/1swGwZOEqYlTEUCJLY-eeJM1911Kvaei5oySBIxdgtNo/edit?pli=1#gid=257618397"",""stock FAKTUR!B:e""),4,false)"),"")</f>
        <v/>
      </c>
      <c r="H530" s="53" t="str">
        <f>IFERROR(__xludf.DUMMYFUNCTION("vlookup($D530,IMPORTRANGE(""https://docs.google.com/spreadsheets/d/1swGwZOEqYlTEUCJLY-eeJM1911Kvaei5oySBIxdgtNo/edit?pli=1#gid=257618397"",""stock FAKTUR!B:F""),5,false)"),"JK")</f>
        <v>JK</v>
      </c>
      <c r="I530" s="53" t="str">
        <f>IFERROR(__xludf.DUMMYFUNCTION("vlookup($D530,IMPORTRANGE(""https://docs.google.com/spreadsheets/d/1swGwZOEqYlTEUCJLY-eeJM1911Kvaei5oySBIxdgtNo/edit?pli=1#gid=257618397"",""stock FAKTUR!B:G""),6,false)"),"30XL")</f>
        <v>30XL</v>
      </c>
      <c r="J530" s="120" t="str">
        <f t="shared" si="25"/>
        <v>ADA</v>
      </c>
      <c r="K530" s="142">
        <f>120/12</f>
        <v>10</v>
      </c>
      <c r="L530" s="145" t="str">
        <f>IFERROR(__xludf.DUMMYFUNCTION("vlookup($D530,IMPORTRANGE(""https://docs.google.com/spreadsheets/d/1swGwZOEqYlTEUCJLY-eeJM1911Kvaei5oySBIxdgtNo/edit?pli=1#gid=257618397"",""stock FAKTUR!B:q""),16,false)"),"LSN")</f>
        <v>LSN</v>
      </c>
      <c r="M530" s="147">
        <f>12950*12</f>
        <v>155400</v>
      </c>
      <c r="N530" s="152">
        <v>0.125</v>
      </c>
      <c r="O530" s="147">
        <f t="shared" si="134"/>
        <v>1359750</v>
      </c>
      <c r="P530" s="147" t="str">
        <f t="shared" si="3"/>
        <v>Rp155,400-10 LSN-12.50%</v>
      </c>
      <c r="Q530" s="149">
        <v>45419.0</v>
      </c>
      <c r="R530" s="150"/>
      <c r="S530" s="149">
        <v>45422.0</v>
      </c>
      <c r="T530" s="151"/>
      <c r="U530" s="151"/>
      <c r="V530" s="151"/>
      <c r="W530" s="151"/>
    </row>
    <row r="531">
      <c r="A531" s="142">
        <v>3120.0</v>
      </c>
      <c r="B531" s="143" t="str">
        <f t="shared" si="160"/>
        <v>H</v>
      </c>
      <c r="C531" s="143" t="str">
        <f t="shared" si="161"/>
        <v>ANEKA-MALANG</v>
      </c>
      <c r="D531" s="145" t="s">
        <v>4467</v>
      </c>
      <c r="E531" s="145" t="str">
        <f>IFERROR(__xludf.DUMMYFUNCTION("vlookup(D531,IMPORTRANGE(""https://docs.google.com/spreadsheets/d/1swGwZOEqYlTEUCJLY-eeJM1911Kvaei5oySBIxdgtNo/edit?pli=1#gid=257618397"",""stock FAKTUR!B:C""),2,false)"),"TAPE CUTTER JK TD-103")</f>
        <v>TAPE CUTTER JK TD-103</v>
      </c>
      <c r="F531" s="53" t="str">
        <f>IFERROR(__xludf.DUMMYFUNCTION("vlookup($D531,IMPORTRANGE(""https://docs.google.com/spreadsheets/d/1swGwZOEqYlTEUCJLY-eeJM1911Kvaei5oySBIxdgtNo/edit?pli=1#gid=257618397"",""stock FAKTUR!B:d""),3,false)"),"")</f>
        <v/>
      </c>
      <c r="G531" s="53" t="str">
        <f>IFERROR(__xludf.DUMMYFUNCTION("vlookup($D531,IMPORTRANGE(""https://docs.google.com/spreadsheets/d/1swGwZOEqYlTEUCJLY-eeJM1911Kvaei5oySBIxdgtNo/edit?pli=1#gid=257618397"",""stock FAKTUR!B:e""),4,false)"),"")</f>
        <v/>
      </c>
      <c r="H531" s="53" t="str">
        <f>IFERROR(__xludf.DUMMYFUNCTION("vlookup($D531,IMPORTRANGE(""https://docs.google.com/spreadsheets/d/1swGwZOEqYlTEUCJLY-eeJM1911Kvaei5oySBIxdgtNo/edit?pli=1#gid=257618397"",""stock FAKTUR!B:F""),5,false)"),"JK")</f>
        <v>JK</v>
      </c>
      <c r="I531" s="53" t="str">
        <f>IFERROR(__xludf.DUMMYFUNCTION("vlookup($D531,IMPORTRANGE(""https://docs.google.com/spreadsheets/d/1swGwZOEqYlTEUCJLY-eeJM1911Kvaei5oySBIxdgtNo/edit?pli=1#gid=257618397"",""stock FAKTUR!B:G""),6,false)"),"TD-103")</f>
        <v>TD-103</v>
      </c>
      <c r="J531" s="120" t="str">
        <f t="shared" si="25"/>
        <v>ADA</v>
      </c>
      <c r="K531" s="142">
        <v>24.0</v>
      </c>
      <c r="L531" s="145" t="str">
        <f>IFERROR(__xludf.DUMMYFUNCTION("vlookup($D531,IMPORTRANGE(""https://docs.google.com/spreadsheets/d/1swGwZOEqYlTEUCJLY-eeJM1911Kvaei5oySBIxdgtNo/edit?pli=1#gid=257618397"",""stock FAKTUR!B:q""),16,false)"),"PCS")</f>
        <v>PCS</v>
      </c>
      <c r="M531" s="147">
        <v>19000.0</v>
      </c>
      <c r="N531" s="152">
        <v>0.125</v>
      </c>
      <c r="O531" s="147">
        <f t="shared" si="134"/>
        <v>399000</v>
      </c>
      <c r="P531" s="147" t="str">
        <f t="shared" si="3"/>
        <v>Rp19,000-24 PCS-12.50%</v>
      </c>
      <c r="Q531" s="149">
        <v>45419.0</v>
      </c>
      <c r="R531" s="150"/>
      <c r="S531" s="149">
        <v>45422.0</v>
      </c>
      <c r="T531" s="151"/>
      <c r="U531" s="151"/>
      <c r="V531" s="151"/>
      <c r="W531" s="151"/>
    </row>
    <row r="532">
      <c r="A532" s="142">
        <v>3120.0</v>
      </c>
      <c r="B532" s="143" t="str">
        <f t="shared" si="160"/>
        <v>H</v>
      </c>
      <c r="C532" s="143" t="str">
        <f t="shared" si="161"/>
        <v>ANEKA-MALANG</v>
      </c>
      <c r="D532" s="145" t="s">
        <v>4468</v>
      </c>
      <c r="E532" s="145" t="str">
        <f>IFERROR(__xludf.DUMMYFUNCTION("vlookup(D532,IMPORTRANGE(""https://docs.google.com/spreadsheets/d/1swGwZOEqYlTEUCJLY-eeJM1911Kvaei5oySBIxdgtNo/edit?pli=1#gid=257618397"",""stock FAKTUR!B:C""),2,false)"),"TAPE CUTTER JK TD-102")</f>
        <v>TAPE CUTTER JK TD-102</v>
      </c>
      <c r="F532" s="53" t="str">
        <f>IFERROR(__xludf.DUMMYFUNCTION("vlookup($D532,IMPORTRANGE(""https://docs.google.com/spreadsheets/d/1swGwZOEqYlTEUCJLY-eeJM1911Kvaei5oySBIxdgtNo/edit?pli=1#gid=257618397"",""stock FAKTUR!B:d""),3,false)"),"")</f>
        <v/>
      </c>
      <c r="G532" s="53" t="str">
        <f>IFERROR(__xludf.DUMMYFUNCTION("vlookup($D532,IMPORTRANGE(""https://docs.google.com/spreadsheets/d/1swGwZOEqYlTEUCJLY-eeJM1911Kvaei5oySBIxdgtNo/edit?pli=1#gid=257618397"",""stock FAKTUR!B:e""),4,false)"),"")</f>
        <v/>
      </c>
      <c r="H532" s="53" t="str">
        <f>IFERROR(__xludf.DUMMYFUNCTION("vlookup($D532,IMPORTRANGE(""https://docs.google.com/spreadsheets/d/1swGwZOEqYlTEUCJLY-eeJM1911Kvaei5oySBIxdgtNo/edit?pli=1#gid=257618397"",""stock FAKTUR!B:F""),5,false)"),"JK")</f>
        <v>JK</v>
      </c>
      <c r="I532" s="53" t="str">
        <f>IFERROR(__xludf.DUMMYFUNCTION("vlookup($D532,IMPORTRANGE(""https://docs.google.com/spreadsheets/d/1swGwZOEqYlTEUCJLY-eeJM1911Kvaei5oySBIxdgtNo/edit?pli=1#gid=257618397"",""stock FAKTUR!B:G""),6,false)"),"TD-102")</f>
        <v>TD-102</v>
      </c>
      <c r="J532" s="120" t="str">
        <f t="shared" si="25"/>
        <v>ADA</v>
      </c>
      <c r="K532" s="142">
        <v>24.0</v>
      </c>
      <c r="L532" s="145" t="str">
        <f>IFERROR(__xludf.DUMMYFUNCTION("vlookup($D532,IMPORTRANGE(""https://docs.google.com/spreadsheets/d/1swGwZOEqYlTEUCJLY-eeJM1911Kvaei5oySBIxdgtNo/edit?pli=1#gid=257618397"",""stock FAKTUR!B:q""),16,false)"),"PCS")</f>
        <v>PCS</v>
      </c>
      <c r="M532" s="147">
        <v>11600.0</v>
      </c>
      <c r="N532" s="152">
        <v>0.125</v>
      </c>
      <c r="O532" s="147">
        <f t="shared" si="134"/>
        <v>243600</v>
      </c>
      <c r="P532" s="147" t="str">
        <f t="shared" si="3"/>
        <v>Rp11,600-24 PCS-12.50%</v>
      </c>
      <c r="Q532" s="149">
        <v>45419.0</v>
      </c>
      <c r="R532" s="150"/>
      <c r="S532" s="149">
        <v>45422.0</v>
      </c>
      <c r="T532" s="151"/>
      <c r="U532" s="151"/>
      <c r="V532" s="151"/>
      <c r="W532" s="151"/>
    </row>
    <row r="533">
      <c r="A533" s="142">
        <v>3120.0</v>
      </c>
      <c r="B533" s="143" t="str">
        <f t="shared" si="160"/>
        <v>H</v>
      </c>
      <c r="C533" s="143" t="str">
        <f t="shared" si="161"/>
        <v>ANEKA-MALANG</v>
      </c>
      <c r="D533" s="23" t="s">
        <v>4688</v>
      </c>
      <c r="E533" s="145" t="str">
        <f>IFERROR(__xludf.DUMMYFUNCTION("vlookup(D533,IMPORTRANGE(""https://docs.google.com/spreadsheets/d/1swGwZOEqYlTEUCJLY-eeJM1911Kvaei5oySBIxdgtNo/edit?pli=1#gid=257618397"",""stock FAKTUR!B:C""),2,false)"),"NOTEBOOK JK NB-680 HIJAU PASTEL")</f>
        <v>NOTEBOOK JK NB-680 HIJAU PASTEL</v>
      </c>
      <c r="F533" s="53" t="str">
        <f>IFERROR(__xludf.DUMMYFUNCTION("vlookup($D533,IMPORTRANGE(""https://docs.google.com/spreadsheets/d/1swGwZOEqYlTEUCJLY-eeJM1911Kvaei5oySBIxdgtNo/edit?pli=1#gid=257618397"",""stock FAKTUR!B:d""),3,false)"),"")</f>
        <v/>
      </c>
      <c r="G533" s="53" t="str">
        <f>IFERROR(__xludf.DUMMYFUNCTION("vlookup($D533,IMPORTRANGE(""https://docs.google.com/spreadsheets/d/1swGwZOEqYlTEUCJLY-eeJM1911Kvaei5oySBIxdgtNo/edit?pli=1#gid=257618397"",""stock FAKTUR!B:e""),4,false)"),"HIJAU")</f>
        <v>HIJAU</v>
      </c>
      <c r="H533" s="53" t="str">
        <f>IFERROR(__xludf.DUMMYFUNCTION("vlookup($D533,IMPORTRANGE(""https://docs.google.com/spreadsheets/d/1swGwZOEqYlTEUCJLY-eeJM1911Kvaei5oySBIxdgtNo/edit?pli=1#gid=257618397"",""stock FAKTUR!B:F""),5,false)"),"JK")</f>
        <v>JK</v>
      </c>
      <c r="I533" s="53" t="str">
        <f>IFERROR(__xludf.DUMMYFUNCTION("vlookup($D533,IMPORTRANGE(""https://docs.google.com/spreadsheets/d/1swGwZOEqYlTEUCJLY-eeJM1911Kvaei5oySBIxdgtNo/edit?pli=1#gid=257618397"",""stock FAKTUR!B:G""),6,false)"),"NB-680")</f>
        <v>NB-680</v>
      </c>
      <c r="J533" s="120" t="str">
        <f t="shared" si="25"/>
        <v>ADA</v>
      </c>
      <c r="K533" s="142">
        <f t="shared" ref="K533:K536" si="162">48/4</f>
        <v>12</v>
      </c>
      <c r="L533" s="145" t="str">
        <f>IFERROR(__xludf.DUMMYFUNCTION("vlookup($D533,IMPORTRANGE(""https://docs.google.com/spreadsheets/d/1swGwZOEqYlTEUCJLY-eeJM1911Kvaei5oySBIxdgtNo/edit?pli=1#gid=257618397"",""stock FAKTUR!B:q""),16,false)"),"PCS")</f>
        <v>PCS</v>
      </c>
      <c r="M533" s="147">
        <v>9500.0</v>
      </c>
      <c r="N533" s="152">
        <v>0.125</v>
      </c>
      <c r="O533" s="147">
        <f t="shared" si="134"/>
        <v>99750</v>
      </c>
      <c r="P533" s="147" t="str">
        <f t="shared" si="3"/>
        <v>Rp9,500-12 PCS-12.50%</v>
      </c>
      <c r="Q533" s="149">
        <v>45419.0</v>
      </c>
      <c r="R533" s="150"/>
      <c r="S533" s="149">
        <v>45422.0</v>
      </c>
      <c r="T533" s="191" t="s">
        <v>4654</v>
      </c>
      <c r="U533" s="192" t="s">
        <v>4390</v>
      </c>
      <c r="V533" s="151"/>
      <c r="W533" s="159"/>
    </row>
    <row r="534">
      <c r="A534" s="142">
        <v>3120.0</v>
      </c>
      <c r="B534" s="143" t="str">
        <f t="shared" si="160"/>
        <v>H</v>
      </c>
      <c r="C534" s="143" t="str">
        <f t="shared" si="161"/>
        <v>ANEKA-MALANG</v>
      </c>
      <c r="D534" s="23" t="s">
        <v>4689</v>
      </c>
      <c r="E534" s="145" t="str">
        <f>IFERROR(__xludf.DUMMYFUNCTION("vlookup(D534,IMPORTRANGE(""https://docs.google.com/spreadsheets/d/1swGwZOEqYlTEUCJLY-eeJM1911Kvaei5oySBIxdgtNo/edit?pli=1#gid=257618397"",""stock FAKTUR!B:C""),2,false)"),"NOTEBOOK JK NB-680 ORANGE PASTEL")</f>
        <v>NOTEBOOK JK NB-680 ORANGE PASTEL</v>
      </c>
      <c r="F534" s="53" t="str">
        <f>IFERROR(__xludf.DUMMYFUNCTION("vlookup($D534,IMPORTRANGE(""https://docs.google.com/spreadsheets/d/1swGwZOEqYlTEUCJLY-eeJM1911Kvaei5oySBIxdgtNo/edit?pli=1#gid=257618397"",""stock FAKTUR!B:d""),3,false)"),"")</f>
        <v/>
      </c>
      <c r="G534" s="53" t="str">
        <f>IFERROR(__xludf.DUMMYFUNCTION("vlookup($D534,IMPORTRANGE(""https://docs.google.com/spreadsheets/d/1swGwZOEqYlTEUCJLY-eeJM1911Kvaei5oySBIxdgtNo/edit?pli=1#gid=257618397"",""stock FAKTUR!B:e""),4,false)"),"ORANYE")</f>
        <v>ORANYE</v>
      </c>
      <c r="H534" s="53" t="str">
        <f>IFERROR(__xludf.DUMMYFUNCTION("vlookup($D534,IMPORTRANGE(""https://docs.google.com/spreadsheets/d/1swGwZOEqYlTEUCJLY-eeJM1911Kvaei5oySBIxdgtNo/edit?pli=1#gid=257618397"",""stock FAKTUR!B:F""),5,false)"),"JK")</f>
        <v>JK</v>
      </c>
      <c r="I534" s="53" t="str">
        <f>IFERROR(__xludf.DUMMYFUNCTION("vlookup($D534,IMPORTRANGE(""https://docs.google.com/spreadsheets/d/1swGwZOEqYlTEUCJLY-eeJM1911Kvaei5oySBIxdgtNo/edit?pli=1#gid=257618397"",""stock FAKTUR!B:G""),6,false)"),"NB-680")</f>
        <v>NB-680</v>
      </c>
      <c r="J534" s="120" t="str">
        <f t="shared" si="25"/>
        <v>ADA</v>
      </c>
      <c r="K534" s="142">
        <f t="shared" si="162"/>
        <v>12</v>
      </c>
      <c r="L534" s="145" t="str">
        <f>IFERROR(__xludf.DUMMYFUNCTION("vlookup($D534,IMPORTRANGE(""https://docs.google.com/spreadsheets/d/1swGwZOEqYlTEUCJLY-eeJM1911Kvaei5oySBIxdgtNo/edit?pli=1#gid=257618397"",""stock FAKTUR!B:q""),16,false)"),"PCS")</f>
        <v>PCS</v>
      </c>
      <c r="M534" s="147">
        <v>9500.0</v>
      </c>
      <c r="N534" s="152">
        <v>0.125</v>
      </c>
      <c r="O534" s="147">
        <f t="shared" si="134"/>
        <v>99750</v>
      </c>
      <c r="P534" s="147" t="str">
        <f t="shared" si="3"/>
        <v>Rp9,500-12 PCS-12.50%</v>
      </c>
      <c r="Q534" s="149">
        <v>45419.0</v>
      </c>
      <c r="R534" s="150"/>
      <c r="S534" s="149">
        <v>45422.0</v>
      </c>
      <c r="T534" s="191" t="s">
        <v>4654</v>
      </c>
      <c r="U534" s="192" t="s">
        <v>4390</v>
      </c>
      <c r="V534" s="151"/>
      <c r="W534" s="159"/>
    </row>
    <row r="535">
      <c r="A535" s="142">
        <v>3120.0</v>
      </c>
      <c r="B535" s="143" t="str">
        <f t="shared" si="160"/>
        <v>H</v>
      </c>
      <c r="C535" s="143" t="str">
        <f t="shared" si="161"/>
        <v>ANEKA-MALANG</v>
      </c>
      <c r="D535" s="193" t="s">
        <v>4690</v>
      </c>
      <c r="E535" s="145" t="str">
        <f>IFERROR(__xludf.DUMMYFUNCTION("vlookup(D535,IMPORTRANGE(""https://docs.google.com/spreadsheets/d/1swGwZOEqYlTEUCJLY-eeJM1911Kvaei5oySBIxdgtNo/edit?pli=1#gid=257618397"",""stock FAKTUR!B:C""),2,false)"),"NOTEBOOK JK NB-680 UNGU PASTEL")</f>
        <v>NOTEBOOK JK NB-680 UNGU PASTEL</v>
      </c>
      <c r="F535" s="53" t="str">
        <f>IFERROR(__xludf.DUMMYFUNCTION("vlookup($D535,IMPORTRANGE(""https://docs.google.com/spreadsheets/d/1swGwZOEqYlTEUCJLY-eeJM1911Kvaei5oySBIxdgtNo/edit?pli=1#gid=257618397"",""stock FAKTUR!B:d""),3,false)"),"")</f>
        <v/>
      </c>
      <c r="G535" s="53" t="str">
        <f>IFERROR(__xludf.DUMMYFUNCTION("vlookup($D535,IMPORTRANGE(""https://docs.google.com/spreadsheets/d/1swGwZOEqYlTEUCJLY-eeJM1911Kvaei5oySBIxdgtNo/edit?pli=1#gid=257618397"",""stock FAKTUR!B:e""),4,false)"),"UNGU")</f>
        <v>UNGU</v>
      </c>
      <c r="H535" s="53" t="str">
        <f>IFERROR(__xludf.DUMMYFUNCTION("vlookup($D535,IMPORTRANGE(""https://docs.google.com/spreadsheets/d/1swGwZOEqYlTEUCJLY-eeJM1911Kvaei5oySBIxdgtNo/edit?pli=1#gid=257618397"",""stock FAKTUR!B:F""),5,false)"),"JK")</f>
        <v>JK</v>
      </c>
      <c r="I535" s="53" t="str">
        <f>IFERROR(__xludf.DUMMYFUNCTION("vlookup($D535,IMPORTRANGE(""https://docs.google.com/spreadsheets/d/1swGwZOEqYlTEUCJLY-eeJM1911Kvaei5oySBIxdgtNo/edit?pli=1#gid=257618397"",""stock FAKTUR!B:G""),6,false)"),"NB-680")</f>
        <v>NB-680</v>
      </c>
      <c r="J535" s="120" t="str">
        <f t="shared" si="25"/>
        <v>ADA</v>
      </c>
      <c r="K535" s="142">
        <f t="shared" si="162"/>
        <v>12</v>
      </c>
      <c r="L535" s="145" t="str">
        <f>IFERROR(__xludf.DUMMYFUNCTION("vlookup($D535,IMPORTRANGE(""https://docs.google.com/spreadsheets/d/1swGwZOEqYlTEUCJLY-eeJM1911Kvaei5oySBIxdgtNo/edit?pli=1#gid=257618397"",""stock FAKTUR!B:q""),16,false)"),"PCS")</f>
        <v>PCS</v>
      </c>
      <c r="M535" s="147">
        <v>9500.0</v>
      </c>
      <c r="N535" s="152">
        <v>0.125</v>
      </c>
      <c r="O535" s="147">
        <f t="shared" si="134"/>
        <v>99750</v>
      </c>
      <c r="P535" s="147" t="str">
        <f t="shared" si="3"/>
        <v>Rp9,500-12 PCS-12.50%</v>
      </c>
      <c r="Q535" s="149">
        <v>45419.0</v>
      </c>
      <c r="R535" s="150"/>
      <c r="S535" s="149">
        <v>45422.0</v>
      </c>
      <c r="T535" s="191" t="s">
        <v>4654</v>
      </c>
      <c r="U535" s="192" t="s">
        <v>4390</v>
      </c>
      <c r="V535" s="151"/>
      <c r="W535" s="159"/>
    </row>
    <row r="536">
      <c r="A536" s="142">
        <v>3120.0</v>
      </c>
      <c r="B536" s="143" t="str">
        <f t="shared" si="160"/>
        <v>H</v>
      </c>
      <c r="C536" s="143" t="str">
        <f t="shared" si="161"/>
        <v>ANEKA-MALANG</v>
      </c>
      <c r="D536" s="23" t="s">
        <v>4691</v>
      </c>
      <c r="E536" s="145" t="str">
        <f>IFERROR(__xludf.DUMMYFUNCTION("vlookup(D536,IMPORTRANGE(""https://docs.google.com/spreadsheets/d/1swGwZOEqYlTEUCJLY-eeJM1911Kvaei5oySBIxdgtNo/edit?pli=1#gid=257618397"",""stock FAKTUR!B:C""),2,false)"),"NOTEBOOK JK NB-680 KUNING PASTEL")</f>
        <v>NOTEBOOK JK NB-680 KUNING PASTEL</v>
      </c>
      <c r="F536" s="53" t="str">
        <f>IFERROR(__xludf.DUMMYFUNCTION("vlookup($D536,IMPORTRANGE(""https://docs.google.com/spreadsheets/d/1swGwZOEqYlTEUCJLY-eeJM1911Kvaei5oySBIxdgtNo/edit?pli=1#gid=257618397"",""stock FAKTUR!B:d""),3,false)"),"")</f>
        <v/>
      </c>
      <c r="G536" s="53" t="str">
        <f>IFERROR(__xludf.DUMMYFUNCTION("vlookup($D536,IMPORTRANGE(""https://docs.google.com/spreadsheets/d/1swGwZOEqYlTEUCJLY-eeJM1911Kvaei5oySBIxdgtNo/edit?pli=1#gid=257618397"",""stock FAKTUR!B:e""),4,false)"),"KUNING")</f>
        <v>KUNING</v>
      </c>
      <c r="H536" s="53" t="str">
        <f>IFERROR(__xludf.DUMMYFUNCTION("vlookup($D536,IMPORTRANGE(""https://docs.google.com/spreadsheets/d/1swGwZOEqYlTEUCJLY-eeJM1911Kvaei5oySBIxdgtNo/edit?pli=1#gid=257618397"",""stock FAKTUR!B:F""),5,false)"),"JK")</f>
        <v>JK</v>
      </c>
      <c r="I536" s="53" t="str">
        <f>IFERROR(__xludf.DUMMYFUNCTION("vlookup($D536,IMPORTRANGE(""https://docs.google.com/spreadsheets/d/1swGwZOEqYlTEUCJLY-eeJM1911Kvaei5oySBIxdgtNo/edit?pli=1#gid=257618397"",""stock FAKTUR!B:G""),6,false)"),"NB-680")</f>
        <v>NB-680</v>
      </c>
      <c r="J536" s="120" t="str">
        <f t="shared" si="25"/>
        <v>ADA</v>
      </c>
      <c r="K536" s="142">
        <f t="shared" si="162"/>
        <v>12</v>
      </c>
      <c r="L536" s="145" t="str">
        <f>IFERROR(__xludf.DUMMYFUNCTION("vlookup($D536,IMPORTRANGE(""https://docs.google.com/spreadsheets/d/1swGwZOEqYlTEUCJLY-eeJM1911Kvaei5oySBIxdgtNo/edit?pli=1#gid=257618397"",""stock FAKTUR!B:q""),16,false)"),"PCS")</f>
        <v>PCS</v>
      </c>
      <c r="M536" s="147">
        <v>9500.0</v>
      </c>
      <c r="N536" s="152">
        <v>0.125</v>
      </c>
      <c r="O536" s="147">
        <f t="shared" si="134"/>
        <v>99750</v>
      </c>
      <c r="P536" s="147" t="str">
        <f t="shared" si="3"/>
        <v>Rp9,500-12 PCS-12.50%</v>
      </c>
      <c r="Q536" s="149">
        <v>45419.0</v>
      </c>
      <c r="R536" s="150"/>
      <c r="S536" s="149">
        <v>45422.0</v>
      </c>
      <c r="T536" s="191" t="s">
        <v>4654</v>
      </c>
      <c r="U536" s="192" t="s">
        <v>4390</v>
      </c>
      <c r="V536" s="151"/>
      <c r="W536" s="159"/>
    </row>
    <row r="537">
      <c r="A537" s="142">
        <v>3120.0</v>
      </c>
      <c r="B537" s="143" t="str">
        <f t="shared" si="160"/>
        <v>H</v>
      </c>
      <c r="C537" s="143" t="str">
        <f t="shared" si="161"/>
        <v>ANEKA-MALANG</v>
      </c>
      <c r="D537" s="145" t="s">
        <v>4458</v>
      </c>
      <c r="E537" s="145" t="str">
        <f>IFERROR(__xludf.DUMMYFUNCTION("vlookup(D537,IMPORTRANGE(""https://docs.google.com/spreadsheets/d/1swGwZOEqYlTEUCJLY-eeJM1911Kvaei5oySBIxdgtNo/edit?pli=1#gid=257618397"",""stock FAKTUR!B:C""),2,false)"),"ISI CUTTER KENKO A-100 KECIL")</f>
        <v>ISI CUTTER KENKO A-100 KECIL</v>
      </c>
      <c r="F537" s="53" t="str">
        <f>IFERROR(__xludf.DUMMYFUNCTION("vlookup($D537,IMPORTRANGE(""https://docs.google.com/spreadsheets/d/1swGwZOEqYlTEUCJLY-eeJM1911Kvaei5oySBIxdgtNo/edit?pli=1#gid=257618397"",""stock FAKTUR!B:d""),3,false)"),"9 MM")</f>
        <v>9 MM</v>
      </c>
      <c r="G537" s="53" t="str">
        <f>IFERROR(__xludf.DUMMYFUNCTION("vlookup($D537,IMPORTRANGE(""https://docs.google.com/spreadsheets/d/1swGwZOEqYlTEUCJLY-eeJM1911Kvaei5oySBIxdgtNo/edit?pli=1#gid=257618397"",""stock FAKTUR!B:e""),4,false)"),"")</f>
        <v/>
      </c>
      <c r="H537" s="53" t="str">
        <f>IFERROR(__xludf.DUMMYFUNCTION("vlookup($D537,IMPORTRANGE(""https://docs.google.com/spreadsheets/d/1swGwZOEqYlTEUCJLY-eeJM1911Kvaei5oySBIxdgtNo/edit?pli=1#gid=257618397"",""stock FAKTUR!B:F""),5,false)"),"KN")</f>
        <v>KN</v>
      </c>
      <c r="I537" s="53" t="str">
        <f>IFERROR(__xludf.DUMMYFUNCTION("vlookup($D537,IMPORTRANGE(""https://docs.google.com/spreadsheets/d/1swGwZOEqYlTEUCJLY-eeJM1911Kvaei5oySBIxdgtNo/edit?pli=1#gid=257618397"",""stock FAKTUR!B:G""),6,false)"),"CTB-001")</f>
        <v>CTB-001</v>
      </c>
      <c r="J537" s="120" t="str">
        <f t="shared" si="25"/>
        <v>ADA</v>
      </c>
      <c r="K537" s="142">
        <v>120.0</v>
      </c>
      <c r="L537" s="145" t="str">
        <f>IFERROR(__xludf.DUMMYFUNCTION("vlookup($D537,IMPORTRANGE(""https://docs.google.com/spreadsheets/d/1swGwZOEqYlTEUCJLY-eeJM1911Kvaei5oySBIxdgtNo/edit?pli=1#gid=257618397"",""stock FAKTUR!B:q""),16,false)"),"LSN")</f>
        <v>LSN</v>
      </c>
      <c r="M537" s="147">
        <v>32400.0</v>
      </c>
      <c r="N537" s="152">
        <v>0.125</v>
      </c>
      <c r="O537" s="147">
        <f t="shared" si="134"/>
        <v>3402000</v>
      </c>
      <c r="P537" s="147" t="str">
        <f t="shared" si="3"/>
        <v>Rp32,400-120 LSN-12.50%</v>
      </c>
      <c r="Q537" s="149">
        <v>45419.0</v>
      </c>
      <c r="R537" s="150"/>
      <c r="S537" s="149">
        <v>45422.0</v>
      </c>
      <c r="T537" s="151"/>
      <c r="U537" s="151"/>
      <c r="V537" s="151"/>
      <c r="W537" s="151"/>
    </row>
    <row r="538">
      <c r="A538" s="142">
        <v>3120.0</v>
      </c>
      <c r="B538" s="143" t="str">
        <f t="shared" si="160"/>
        <v>H</v>
      </c>
      <c r="C538" s="143" t="str">
        <f t="shared" si="161"/>
        <v>ANEKA-MALANG</v>
      </c>
      <c r="D538" s="145" t="s">
        <v>4692</v>
      </c>
      <c r="E538" s="145" t="str">
        <f>IFERROR(__xludf.DUMMYFUNCTION("vlookup(D538,IMPORTRANGE(""https://docs.google.com/spreadsheets/d/1swGwZOEqYlTEUCJLY-eeJM1911Kvaei5oySBIxdgtNo/edit?pli=1#gid=257618397"",""stock FAKTUR!B:C""),2,false)"),"TIPEX KENKO KE-108")</f>
        <v>TIPEX KENKO KE-108</v>
      </c>
      <c r="F538" s="53" t="str">
        <f>IFERROR(__xludf.DUMMYFUNCTION("vlookup($D538,IMPORTRANGE(""https://docs.google.com/spreadsheets/d/1swGwZOEqYlTEUCJLY-eeJM1911Kvaei5oySBIxdgtNo/edit?pli=1#gid=257618397"",""stock FAKTUR!B:d""),3,false)"),"")</f>
        <v/>
      </c>
      <c r="G538" s="53" t="str">
        <f>IFERROR(__xludf.DUMMYFUNCTION("vlookup($D538,IMPORTRANGE(""https://docs.google.com/spreadsheets/d/1swGwZOEqYlTEUCJLY-eeJM1911Kvaei5oySBIxdgtNo/edit?pli=1#gid=257618397"",""stock FAKTUR!B:e""),4,false)"),"")</f>
        <v/>
      </c>
      <c r="H538" s="53" t="str">
        <f>IFERROR(__xludf.DUMMYFUNCTION("vlookup($D538,IMPORTRANGE(""https://docs.google.com/spreadsheets/d/1swGwZOEqYlTEUCJLY-eeJM1911Kvaei5oySBIxdgtNo/edit?pli=1#gid=257618397"",""stock FAKTUR!B:F""),5,false)"),"KN")</f>
        <v>KN</v>
      </c>
      <c r="I538" s="53" t="str">
        <f>IFERROR(__xludf.DUMMYFUNCTION("vlookup($D538,IMPORTRANGE(""https://docs.google.com/spreadsheets/d/1swGwZOEqYlTEUCJLY-eeJM1911Kvaei5oySBIxdgtNo/edit?pli=1#gid=257618397"",""stock FAKTUR!B:G""),6,false)"),"CFL-003")</f>
        <v>CFL-003</v>
      </c>
      <c r="J538" s="120" t="str">
        <f t="shared" si="25"/>
        <v>ADA</v>
      </c>
      <c r="K538" s="142">
        <v>36.0</v>
      </c>
      <c r="L538" s="145" t="str">
        <f>IFERROR(__xludf.DUMMYFUNCTION("vlookup($D538,IMPORTRANGE(""https://docs.google.com/spreadsheets/d/1swGwZOEqYlTEUCJLY-eeJM1911Kvaei5oySBIxdgtNo/edit?pli=1#gid=257618397"",""stock FAKTUR!B:q""),16,false)"),"LSN")</f>
        <v>LSN</v>
      </c>
      <c r="M538" s="147">
        <v>48900.0</v>
      </c>
      <c r="N538" s="152">
        <v>0.125</v>
      </c>
      <c r="O538" s="147">
        <f t="shared" si="134"/>
        <v>1540350</v>
      </c>
      <c r="P538" s="147" t="str">
        <f t="shared" si="3"/>
        <v>Rp48,900-36 LSN-12.50%</v>
      </c>
      <c r="Q538" s="149">
        <v>45419.0</v>
      </c>
      <c r="R538" s="150"/>
      <c r="S538" s="149">
        <v>45422.0</v>
      </c>
      <c r="T538" s="151"/>
      <c r="U538" s="151"/>
      <c r="V538" s="151"/>
      <c r="W538" s="151"/>
    </row>
    <row r="539">
      <c r="A539" s="142">
        <v>3120.0</v>
      </c>
      <c r="B539" s="143" t="str">
        <f t="shared" si="160"/>
        <v>H</v>
      </c>
      <c r="C539" s="143" t="str">
        <f t="shared" si="161"/>
        <v>ANEKA-MALANG</v>
      </c>
      <c r="D539" s="145" t="s">
        <v>4505</v>
      </c>
      <c r="E539" s="145" t="str">
        <f>IFERROR(__xludf.DUMMYFUNCTION("vlookup(D539,IMPORTRANGE(""https://docs.google.com/spreadsheets/d/1swGwZOEqYlTEUCJLY-eeJM1911Kvaei5oySBIxdgtNo/edit?pli=1#gid=257618397"",""stock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539" s="53" t="str">
        <f>IFERROR(__xludf.DUMMYFUNCTION("vlookup($D539,IMPORTRANGE(""https://docs.google.com/spreadsheets/d/1swGwZOEqYlTEUCJLY-eeJM1911Kvaei5oySBIxdgtNo/edit?pli=1#gid=257618397"",""stock FAKTUR!B:d""),3,false)"),"")</f>
        <v/>
      </c>
      <c r="G539" s="53" t="str">
        <f>IFERROR(__xludf.DUMMYFUNCTION("vlookup($D539,IMPORTRANGE(""https://docs.google.com/spreadsheets/d/1swGwZOEqYlTEUCJLY-eeJM1911Kvaei5oySBIxdgtNo/edit?pli=1#gid=257618397"",""stock FAKTUR!B:e""),4,false)"),"24W")</f>
        <v>24W</v>
      </c>
      <c r="H539" s="53" t="str">
        <f>IFERROR(__xludf.DUMMYFUNCTION("vlookup($D539,IMPORTRANGE(""https://docs.google.com/spreadsheets/d/1swGwZOEqYlTEUCJLY-eeJM1911Kvaei5oySBIxdgtNo/edit?pli=1#gid=257618397"",""stock FAKTUR!B:F""),5,false)"),"JK")</f>
        <v>JK</v>
      </c>
      <c r="I539" s="53" t="str">
        <f>IFERROR(__xludf.DUMMYFUNCTION("vlookup($D539,IMPORTRANGE(""https://docs.google.com/spreadsheets/d/1swGwZOEqYlTEUCJLY-eeJM1911Kvaei5oySBIxdgtNo/edit?pli=1#gid=257618397"",""stock FAKTUR!B:G""),6,false)"),"OP-24S")</f>
        <v>OP-24S</v>
      </c>
      <c r="J539" s="120" t="str">
        <f t="shared" si="25"/>
        <v>ADA</v>
      </c>
      <c r="K539" s="142">
        <v>144.0</v>
      </c>
      <c r="L539" s="145" t="str">
        <f>IFERROR(__xludf.DUMMYFUNCTION("vlookup($D539,IMPORTRANGE(""https://docs.google.com/spreadsheets/d/1swGwZOEqYlTEUCJLY-eeJM1911Kvaei5oySBIxdgtNo/edit?pli=1#gid=257618397"",""stock FAKTUR!B:q""),16,false)"),"PCS")</f>
        <v>PCS</v>
      </c>
      <c r="M539" s="147">
        <v>30500.0</v>
      </c>
      <c r="N539" s="152">
        <v>0.125</v>
      </c>
      <c r="O539" s="147">
        <f t="shared" si="134"/>
        <v>3843000</v>
      </c>
      <c r="P539" s="147" t="str">
        <f t="shared" si="3"/>
        <v>Rp30,500-144 PCS-12.50%</v>
      </c>
      <c r="Q539" s="149">
        <v>45419.0</v>
      </c>
      <c r="R539" s="150"/>
      <c r="S539" s="149">
        <v>45422.0</v>
      </c>
      <c r="T539" s="151"/>
      <c r="U539" s="151"/>
      <c r="V539" s="151"/>
      <c r="W539" s="151"/>
    </row>
    <row r="540">
      <c r="A540" s="142">
        <v>4724.0</v>
      </c>
      <c r="B540" s="143" t="s">
        <v>33</v>
      </c>
      <c r="C540" s="143" t="s">
        <v>2968</v>
      </c>
      <c r="D540" s="23" t="s">
        <v>4573</v>
      </c>
      <c r="E540" s="145" t="str">
        <f>IFERROR(__xludf.DUMMYFUNCTION("vlookup(D540,IMPORTRANGE(""https://docs.google.com/spreadsheets/d/1swGwZOEqYlTEUCJLY-eeJM1911Kvaei5oySBIxdgtNo/edit?pli=1#gid=257618397"",""stock FAKTUR!B:C""),2,false)"),"PENSIL KENKO 2B-6120 DOODLE")</f>
        <v>PENSIL KENKO 2B-6120 DOODLE</v>
      </c>
      <c r="F540" s="53" t="str">
        <f>IFERROR(__xludf.DUMMYFUNCTION("vlookup($D540,IMPORTRANGE(""https://docs.google.com/spreadsheets/d/1swGwZOEqYlTEUCJLY-eeJM1911Kvaei5oySBIxdgtNo/edit?pli=1#gid=257618397"",""stock FAKTUR!B:d""),3,false)"),"")</f>
        <v/>
      </c>
      <c r="G540" s="53" t="str">
        <f>IFERROR(__xludf.DUMMYFUNCTION("vlookup($D540,IMPORTRANGE(""https://docs.google.com/spreadsheets/d/1swGwZOEqYlTEUCJLY-eeJM1911Kvaei5oySBIxdgtNo/edit?pli=1#gid=257618397"",""stock FAKTUR!B:e""),4,false)"),"")</f>
        <v/>
      </c>
      <c r="H540" s="53" t="str">
        <f>IFERROR(__xludf.DUMMYFUNCTION("vlookup($D540,IMPORTRANGE(""https://docs.google.com/spreadsheets/d/1swGwZOEqYlTEUCJLY-eeJM1911Kvaei5oySBIxdgtNo/edit?pli=1#gid=257618397"",""stock FAKTUR!B:F""),5,false)"),"KN")</f>
        <v>KN</v>
      </c>
      <c r="I540" s="53" t="str">
        <f>IFERROR(__xludf.DUMMYFUNCTION("vlookup($D540,IMPORTRANGE(""https://docs.google.com/spreadsheets/d/1swGwZOEqYlTEUCJLY-eeJM1911Kvaei5oySBIxdgtNo/edit?pli=1#gid=257618397"",""stock FAKTUR!B:G""),6,false)"),"6120")</f>
        <v>6120</v>
      </c>
      <c r="J540" s="120" t="str">
        <f t="shared" si="25"/>
        <v>ADA</v>
      </c>
      <c r="K540" s="142">
        <v>1.0</v>
      </c>
      <c r="L540" s="145" t="str">
        <f>IFERROR(__xludf.DUMMYFUNCTION("vlookup($D540,IMPORTRANGE(""https://docs.google.com/spreadsheets/d/1swGwZOEqYlTEUCJLY-eeJM1911Kvaei5oySBIxdgtNo/edit?pli=1#gid=257618397"",""stock FAKTUR!B:q""),16,false)"),"GRS")</f>
        <v>GRS</v>
      </c>
      <c r="M540" s="147">
        <v>105600.0</v>
      </c>
      <c r="N540" s="152">
        <v>0.1</v>
      </c>
      <c r="O540" s="147">
        <f t="shared" si="134"/>
        <v>95040</v>
      </c>
      <c r="P540" s="147" t="str">
        <f t="shared" si="3"/>
        <v>Rp105,600-1 GRS-10.00%</v>
      </c>
      <c r="Q540" s="149">
        <v>45419.0</v>
      </c>
      <c r="R540" s="150"/>
      <c r="S540" s="149">
        <v>45422.0</v>
      </c>
      <c r="T540" s="194" t="s">
        <v>4661</v>
      </c>
      <c r="U540" s="192" t="s">
        <v>4390</v>
      </c>
      <c r="V540" s="151"/>
      <c r="W540" s="159"/>
    </row>
    <row r="541">
      <c r="A541" s="142">
        <v>4724.0</v>
      </c>
      <c r="B541" s="143" t="str">
        <f t="shared" ref="B541:B543" si="163">IF(A541=A540,B540,"")</f>
        <v>H</v>
      </c>
      <c r="C541" s="143" t="str">
        <f t="shared" ref="C541:C543" si="164">IF(A541=A540,C540,"")</f>
        <v>LESTARI ADHI-MUNTILAN</v>
      </c>
      <c r="D541" s="193" t="s">
        <v>4576</v>
      </c>
      <c r="E541" s="145" t="str">
        <f>IFERROR(__xludf.DUMMYFUNCTION("vlookup(D541,IMPORTRANGE(""https://docs.google.com/spreadsheets/d/1swGwZOEqYlTEUCJLY-eeJM1911Kvaei5oySBIxdgtNo/edit?pli=1#gid=257618397"",""stock FAKTUR!B:C""),2,false)"),"PENSIL KENKO 2B-0192")</f>
        <v>PENSIL KENKO 2B-0192</v>
      </c>
      <c r="F541" s="53" t="str">
        <f>IFERROR(__xludf.DUMMYFUNCTION("vlookup($D541,IMPORTRANGE(""https://docs.google.com/spreadsheets/d/1swGwZOEqYlTEUCJLY-eeJM1911Kvaei5oySBIxdgtNo/edit?pli=1#gid=257618397"",""stock FAKTUR!B:d""),3,false)"),"")</f>
        <v/>
      </c>
      <c r="G541" s="53" t="str">
        <f>IFERROR(__xludf.DUMMYFUNCTION("vlookup($D541,IMPORTRANGE(""https://docs.google.com/spreadsheets/d/1swGwZOEqYlTEUCJLY-eeJM1911Kvaei5oySBIxdgtNo/edit?pli=1#gid=257618397"",""stock FAKTUR!B:e""),4,false)"),"")</f>
        <v/>
      </c>
      <c r="H541" s="53" t="str">
        <f>IFERROR(__xludf.DUMMYFUNCTION("vlookup($D541,IMPORTRANGE(""https://docs.google.com/spreadsheets/d/1swGwZOEqYlTEUCJLY-eeJM1911Kvaei5oySBIxdgtNo/edit?pli=1#gid=257618397"",""stock FAKTUR!B:F""),5,false)"),"KN")</f>
        <v>KN</v>
      </c>
      <c r="I541" s="53" t="str">
        <f>IFERROR(__xludf.DUMMYFUNCTION("vlookup($D541,IMPORTRANGE(""https://docs.google.com/spreadsheets/d/1swGwZOEqYlTEUCJLY-eeJM1911Kvaei5oySBIxdgtNo/edit?pli=1#gid=257618397"",""stock FAKTUR!B:G""),6,false)"),"0192")</f>
        <v>0192</v>
      </c>
      <c r="J541" s="120" t="str">
        <f t="shared" si="25"/>
        <v>ADA</v>
      </c>
      <c r="K541" s="142">
        <v>1.0</v>
      </c>
      <c r="L541" s="145" t="str">
        <f>IFERROR(__xludf.DUMMYFUNCTION("vlookup($D541,IMPORTRANGE(""https://docs.google.com/spreadsheets/d/1swGwZOEqYlTEUCJLY-eeJM1911Kvaei5oySBIxdgtNo/edit?pli=1#gid=257618397"",""stock FAKTUR!B:q""),16,false)"),"GRS")</f>
        <v>GRS</v>
      </c>
      <c r="M541" s="147">
        <v>122400.0</v>
      </c>
      <c r="N541" s="152">
        <v>0.1</v>
      </c>
      <c r="O541" s="147">
        <f t="shared" si="134"/>
        <v>110160</v>
      </c>
      <c r="P541" s="147" t="str">
        <f t="shared" si="3"/>
        <v>Rp122,400-1 GRS-10.00%</v>
      </c>
      <c r="Q541" s="149">
        <v>45419.0</v>
      </c>
      <c r="R541" s="150"/>
      <c r="S541" s="149">
        <v>45422.0</v>
      </c>
      <c r="T541" s="194" t="s">
        <v>4508</v>
      </c>
      <c r="U541" s="192" t="s">
        <v>4390</v>
      </c>
      <c r="V541" s="151"/>
      <c r="W541" s="159"/>
    </row>
    <row r="542">
      <c r="A542" s="142">
        <v>4724.0</v>
      </c>
      <c r="B542" s="143" t="str">
        <f t="shared" si="163"/>
        <v>H</v>
      </c>
      <c r="C542" s="143" t="str">
        <f t="shared" si="164"/>
        <v>LESTARI ADHI-MUNTILAN</v>
      </c>
      <c r="D542" s="145" t="s">
        <v>4414</v>
      </c>
      <c r="E542" s="145" t="str">
        <f>IFERROR(__xludf.DUMMYFUNCTION("vlookup(D542,IMPORTRANGE(""https://docs.google.com/spreadsheets/d/1swGwZOEqYlTEUCJLY-eeJM1911Kvaei5oySBIxdgtNo/edit?pli=1#gid=257618397"",""stock FAKTUR!B:C""),2,false)"),"PENSIL GLASS JK PG-100 (PUTIH)")</f>
        <v>PENSIL GLASS JK PG-100 (PUTIH)</v>
      </c>
      <c r="F542" s="53" t="str">
        <f>IFERROR(__xludf.DUMMYFUNCTION("vlookup($D542,IMPORTRANGE(""https://docs.google.com/spreadsheets/d/1swGwZOEqYlTEUCJLY-eeJM1911Kvaei5oySBIxdgtNo/edit?pli=1#gid=257618397"",""stock FAKTUR!B:d""),3,false)"),"")</f>
        <v/>
      </c>
      <c r="G542" s="53" t="str">
        <f>IFERROR(__xludf.DUMMYFUNCTION("vlookup($D542,IMPORTRANGE(""https://docs.google.com/spreadsheets/d/1swGwZOEqYlTEUCJLY-eeJM1911Kvaei5oySBIxdgtNo/edit?pli=1#gid=257618397"",""stock FAKTUR!B:e""),4,false)"),"PUTIH")</f>
        <v>PUTIH</v>
      </c>
      <c r="H542" s="53" t="str">
        <f>IFERROR(__xludf.DUMMYFUNCTION("vlookup($D542,IMPORTRANGE(""https://docs.google.com/spreadsheets/d/1swGwZOEqYlTEUCJLY-eeJM1911Kvaei5oySBIxdgtNo/edit?pli=1#gid=257618397"",""stock FAKTUR!B:F""),5,false)"),"JK")</f>
        <v>JK</v>
      </c>
      <c r="I542" s="53" t="str">
        <f>IFERROR(__xludf.DUMMYFUNCTION("vlookup($D542,IMPORTRANGE(""https://docs.google.com/spreadsheets/d/1swGwZOEqYlTEUCJLY-eeJM1911Kvaei5oySBIxdgtNo/edit?pli=1#gid=257618397"",""stock FAKTUR!B:G""),6,false)"),"")</f>
        <v/>
      </c>
      <c r="J542" s="120" t="str">
        <f t="shared" si="25"/>
        <v>ADA</v>
      </c>
      <c r="K542" s="195">
        <f>1/12</f>
        <v>0.08333333333</v>
      </c>
      <c r="L542" s="145" t="str">
        <f>IFERROR(__xludf.DUMMYFUNCTION("vlookup($D542,IMPORTRANGE(""https://docs.google.com/spreadsheets/d/1swGwZOEqYlTEUCJLY-eeJM1911Kvaei5oySBIxdgtNo/edit?pli=1#gid=257618397"",""stock FAKTUR!B:q""),16,false)"),"GRS")</f>
        <v>GRS</v>
      </c>
      <c r="M542" s="147">
        <f>12*21300</f>
        <v>255600</v>
      </c>
      <c r="N542" s="152">
        <v>0.1</v>
      </c>
      <c r="O542" s="147">
        <f t="shared" si="134"/>
        <v>19170</v>
      </c>
      <c r="P542" s="147" t="str">
        <f t="shared" si="3"/>
        <v>Rp255,600-0.0833333333333333 GRS-10.00%</v>
      </c>
      <c r="Q542" s="149">
        <v>45419.0</v>
      </c>
      <c r="R542" s="150"/>
      <c r="S542" s="149">
        <v>45422.0</v>
      </c>
      <c r="T542" s="151"/>
      <c r="U542" s="151"/>
      <c r="V542" s="151"/>
      <c r="W542" s="151"/>
    </row>
    <row r="543">
      <c r="A543" s="142">
        <v>4724.0</v>
      </c>
      <c r="B543" s="143" t="str">
        <f t="shared" si="163"/>
        <v>H</v>
      </c>
      <c r="C543" s="143" t="str">
        <f t="shared" si="164"/>
        <v>LESTARI ADHI-MUNTILAN</v>
      </c>
      <c r="D543" s="145" t="s">
        <v>4393</v>
      </c>
      <c r="E543" s="145" t="str">
        <f>IFERROR(__xludf.DUMMYFUNCTION("vlookup(D543,IMPORTRANGE(""https://docs.google.com/spreadsheets/d/1swGwZOEqYlTEUCJLY-eeJM1911Kvaei5oySBIxdgtNo/edit?pli=1#gid=257618397"",""stock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543" s="53" t="str">
        <f>IFERROR(__xludf.DUMMYFUNCTION("vlookup($D543,IMPORTRANGE(""https://docs.google.com/spreadsheets/d/1swGwZOEqYlTEUCJLY-eeJM1911Kvaei5oySBIxdgtNo/edit?pli=1#gid=257618397"",""stock FAKTUR!B:d""),3,false)"),"")</f>
        <v/>
      </c>
      <c r="G543" s="53" t="str">
        <f>IFERROR(__xludf.DUMMYFUNCTION("vlookup($D543,IMPORTRANGE(""https://docs.google.com/spreadsheets/d/1swGwZOEqYlTEUCJLY-eeJM1911Kvaei5oySBIxdgtNo/edit?pli=1#gid=257618397"",""stock FAKTUR!B:e""),4,false)"),"36W")</f>
        <v>36W</v>
      </c>
      <c r="H543" s="53" t="str">
        <f>IFERROR(__xludf.DUMMYFUNCTION("vlookup($D543,IMPORTRANGE(""https://docs.google.com/spreadsheets/d/1swGwZOEqYlTEUCJLY-eeJM1911Kvaei5oySBIxdgtNo/edit?pli=1#gid=257618397"",""stock FAKTUR!B:F""),5,false)"),"JK")</f>
        <v>JK</v>
      </c>
      <c r="I543" s="53" t="str">
        <f>IFERROR(__xludf.DUMMYFUNCTION("vlookup($D543,IMPORTRANGE(""https://docs.google.com/spreadsheets/d/1swGwZOEqYlTEUCJLY-eeJM1911Kvaei5oySBIxdgtNo/edit?pli=1#gid=257618397"",""stock FAKTUR!B:G""),6,false)"),"OP-36S")</f>
        <v>OP-36S</v>
      </c>
      <c r="J543" s="120" t="str">
        <f t="shared" si="25"/>
        <v>ADA</v>
      </c>
      <c r="K543" s="142">
        <v>36.0</v>
      </c>
      <c r="L543" s="145" t="str">
        <f>IFERROR(__xludf.DUMMYFUNCTION("vlookup($D543,IMPORTRANGE(""https://docs.google.com/spreadsheets/d/1swGwZOEqYlTEUCJLY-eeJM1911Kvaei5oySBIxdgtNo/edit?pli=1#gid=257618397"",""stock FAKTUR!B:q""),16,false)"),"PCS")</f>
        <v>PCS</v>
      </c>
      <c r="M543" s="147">
        <v>42700.0</v>
      </c>
      <c r="N543" s="152">
        <v>0.1</v>
      </c>
      <c r="O543" s="147">
        <f t="shared" si="134"/>
        <v>1383480</v>
      </c>
      <c r="P543" s="147" t="str">
        <f t="shared" si="3"/>
        <v>Rp42,700-36 PCS-10.00%</v>
      </c>
      <c r="Q543" s="149">
        <v>45419.0</v>
      </c>
      <c r="R543" s="150"/>
      <c r="S543" s="149">
        <v>45422.0</v>
      </c>
      <c r="T543" s="151"/>
      <c r="U543" s="151"/>
      <c r="V543" s="151"/>
      <c r="W543" s="151"/>
    </row>
    <row r="544">
      <c r="A544" s="142">
        <v>4801.0</v>
      </c>
      <c r="B544" s="143" t="s">
        <v>33</v>
      </c>
      <c r="C544" s="143" t="s">
        <v>2418</v>
      </c>
      <c r="D544" s="145" t="s">
        <v>4693</v>
      </c>
      <c r="E544" s="145" t="str">
        <f>IFERROR(__xludf.DUMMYFUNCTION("vlookup(D544,IMPORTRANGE(""https://docs.google.com/spreadsheets/d/1swGwZOEqYlTEUCJLY-eeJM1911Kvaei5oySBIxdgtNo/edit?pli=1#gid=257618397"",""stock FAKTUR!B:C""),2,false)"),"BP GEL TF-1190 0.3MM HIGHTECH (H)")</f>
        <v>BP GEL TF-1190 0.3MM HIGHTECH (H)</v>
      </c>
      <c r="F544" s="53" t="str">
        <f>IFERROR(__xludf.DUMMYFUNCTION("vlookup($D544,IMPORTRANGE(""https://docs.google.com/spreadsheets/d/1swGwZOEqYlTEUCJLY-eeJM1911Kvaei5oySBIxdgtNo/edit?pli=1#gid=257618397"",""stock FAKTUR!B:d""),3,false)"),"")</f>
        <v/>
      </c>
      <c r="G544" s="53" t="str">
        <f>IFERROR(__xludf.DUMMYFUNCTION("vlookup($D544,IMPORTRANGE(""https://docs.google.com/spreadsheets/d/1swGwZOEqYlTEUCJLY-eeJM1911Kvaei5oySBIxdgtNo/edit?pli=1#gid=257618397"",""stock FAKTUR!B:e""),4,false)"),"HITAM")</f>
        <v>HITAM</v>
      </c>
      <c r="H544" s="53" t="str">
        <f>IFERROR(__xludf.DUMMYFUNCTION("vlookup($D544,IMPORTRANGE(""https://docs.google.com/spreadsheets/d/1swGwZOEqYlTEUCJLY-eeJM1911Kvaei5oySBIxdgtNo/edit?pli=1#gid=257618397"",""stock FAKTUR!B:F""),5,false)"),"TF")</f>
        <v>TF</v>
      </c>
      <c r="I544" s="53" t="str">
        <f>IFERROR(__xludf.DUMMYFUNCTION("vlookup($D544,IMPORTRANGE(""https://docs.google.com/spreadsheets/d/1swGwZOEqYlTEUCJLY-eeJM1911Kvaei5oySBIxdgtNo/edit?pli=1#gid=257618397"",""stock FAKTUR!B:G""),6,false)"),"TF-1190")</f>
        <v>TF-1190</v>
      </c>
      <c r="J544" s="120" t="str">
        <f t="shared" si="25"/>
        <v>ADA</v>
      </c>
      <c r="K544" s="142">
        <v>9.0</v>
      </c>
      <c r="L544" s="145" t="str">
        <f>IFERROR(__xludf.DUMMYFUNCTION("vlookup($D544,IMPORTRANGE(""https://docs.google.com/spreadsheets/d/1swGwZOEqYlTEUCJLY-eeJM1911Kvaei5oySBIxdgtNo/edit?pli=1#gid=257618397"",""stock FAKTUR!B:q""),16,false)"),"LSN")</f>
        <v>LSN</v>
      </c>
      <c r="M544" s="147">
        <v>30000.0</v>
      </c>
      <c r="N544" s="148"/>
      <c r="O544" s="147">
        <f t="shared" si="134"/>
        <v>270000</v>
      </c>
      <c r="P544" s="147" t="str">
        <f t="shared" si="3"/>
        <v>Rp30,000-9 LSN-0.00%</v>
      </c>
      <c r="Q544" s="149">
        <v>45419.0</v>
      </c>
      <c r="R544" s="149">
        <v>45418.0</v>
      </c>
      <c r="S544" s="149">
        <v>45422.0</v>
      </c>
      <c r="T544" s="151"/>
      <c r="U544" s="151"/>
      <c r="V544" s="151"/>
      <c r="W544" s="151"/>
    </row>
    <row r="545">
      <c r="A545" s="142">
        <v>4801.0</v>
      </c>
      <c r="B545" s="143" t="str">
        <f t="shared" ref="B545:B559" si="165">IF(A545=A544,B544,"")</f>
        <v>H</v>
      </c>
      <c r="C545" s="143" t="str">
        <f t="shared" ref="C545:C559" si="166">IF(A545=A544,C544,"")</f>
        <v>PANTES-BANTUL</v>
      </c>
      <c r="D545" s="190" t="s">
        <v>4694</v>
      </c>
      <c r="E545" s="145" t="str">
        <f>IFERROR(__xludf.DUMMYFUNCTION("vlookup(D545,IMPORTRANGE(""https://docs.google.com/spreadsheets/d/1swGwZOEqYlTEUCJLY-eeJM1911Kvaei5oySBIxdgtNo/edit?pli=1#gid=257618397"",""stock FAKTUR!B:C""),2,false)"),"BENSIA SF-9939 A DADU (1 box=32 pcs)")</f>
        <v>BENSIA SF-9939 A DADU (1 box=32 pcs)</v>
      </c>
      <c r="F545" s="53" t="str">
        <f>IFERROR(__xludf.DUMMYFUNCTION("vlookup($D545,IMPORTRANGE(""https://docs.google.com/spreadsheets/d/1swGwZOEqYlTEUCJLY-eeJM1911Kvaei5oySBIxdgtNo/edit?pli=1#gid=257618397"",""stock FAKTUR!B:d""),3,false)"),"")</f>
        <v/>
      </c>
      <c r="G545" s="53" t="str">
        <f>IFERROR(__xludf.DUMMYFUNCTION("vlookup($D545,IMPORTRANGE(""https://docs.google.com/spreadsheets/d/1swGwZOEqYlTEUCJLY-eeJM1911Kvaei5oySBIxdgtNo/edit?pli=1#gid=257618397"",""stock FAKTUR!B:e""),4,false)"),"DADU")</f>
        <v>DADU</v>
      </c>
      <c r="H545" s="53" t="str">
        <f>IFERROR(__xludf.DUMMYFUNCTION("vlookup($D545,IMPORTRANGE(""https://docs.google.com/spreadsheets/d/1swGwZOEqYlTEUCJLY-eeJM1911Kvaei5oySBIxdgtNo/edit?pli=1#gid=257618397"",""stock FAKTUR!B:F""),5,false)"),"NB")</f>
        <v>NB</v>
      </c>
      <c r="I545" s="53" t="str">
        <f>IFERROR(__xludf.DUMMYFUNCTION("vlookup($D545,IMPORTRANGE(""https://docs.google.com/spreadsheets/d/1swGwZOEqYlTEUCJLY-eeJM1911Kvaei5oySBIxdgtNo/edit?pli=1#gid=257618397"",""stock FAKTUR!B:G""),6,false)"),"SF-9939")</f>
        <v>SF-9939</v>
      </c>
      <c r="J545" s="120" t="str">
        <f t="shared" si="25"/>
        <v>ADA</v>
      </c>
      <c r="K545" s="142">
        <v>1.0</v>
      </c>
      <c r="L545" s="145" t="str">
        <f>IFERROR(__xludf.DUMMYFUNCTION("vlookup($D545,IMPORTRANGE(""https://docs.google.com/spreadsheets/d/1swGwZOEqYlTEUCJLY-eeJM1911Kvaei5oySBIxdgtNo/edit?pli=1#gid=257618397"",""stock FAKTUR!B:q""),16,false)"),"BOX")</f>
        <v>BOX</v>
      </c>
      <c r="M545" s="147">
        <v>61000.0</v>
      </c>
      <c r="N545" s="148"/>
      <c r="O545" s="147">
        <f t="shared" si="134"/>
        <v>61000</v>
      </c>
      <c r="P545" s="147" t="str">
        <f t="shared" si="3"/>
        <v>Rp61,000-1 BOX-0.00%</v>
      </c>
      <c r="Q545" s="149">
        <v>45419.0</v>
      </c>
      <c r="R545" s="149">
        <v>45418.0</v>
      </c>
      <c r="S545" s="149">
        <v>45422.0</v>
      </c>
      <c r="T545" s="151"/>
      <c r="U545" s="151"/>
      <c r="V545" s="151"/>
      <c r="W545" s="151"/>
    </row>
    <row r="546">
      <c r="A546" s="142">
        <v>4801.0</v>
      </c>
      <c r="B546" s="143" t="str">
        <f t="shared" si="165"/>
        <v>H</v>
      </c>
      <c r="C546" s="143" t="str">
        <f t="shared" si="166"/>
        <v>PANTES-BANTUL</v>
      </c>
      <c r="D546" s="145" t="s">
        <v>4695</v>
      </c>
      <c r="E546" s="145" t="str">
        <f>IFERROR(__xludf.DUMMYFUNCTION("vlookup(D546,IMPORTRANGE(""https://docs.google.com/spreadsheets/d/1swGwZOEqYlTEUCJLY-eeJM1911Kvaei5oySBIxdgtNo/edit?pli=1#gid=257618397"",""stock FAKTUR!B:C""),2,false)"),"GARISAN SET ZO-239")</f>
        <v>GARISAN SET ZO-239</v>
      </c>
      <c r="F546" s="53" t="str">
        <f>IFERROR(__xludf.DUMMYFUNCTION("vlookup($D546,IMPORTRANGE(""https://docs.google.com/spreadsheets/d/1swGwZOEqYlTEUCJLY-eeJM1911Kvaei5oySBIxdgtNo/edit?pli=1#gid=257618397"",""stock FAKTUR!B:d""),3,false)"),"")</f>
        <v/>
      </c>
      <c r="G546" s="53" t="str">
        <f>IFERROR(__xludf.DUMMYFUNCTION("vlookup($D546,IMPORTRANGE(""https://docs.google.com/spreadsheets/d/1swGwZOEqYlTEUCJLY-eeJM1911Kvaei5oySBIxdgtNo/edit?pli=1#gid=257618397"",""stock FAKTUR!B:e""),4,false)"),"")</f>
        <v/>
      </c>
      <c r="H546" s="53" t="str">
        <f>IFERROR(__xludf.DUMMYFUNCTION("vlookup($D546,IMPORTRANGE(""https://docs.google.com/spreadsheets/d/1swGwZOEqYlTEUCJLY-eeJM1911Kvaei5oySBIxdgtNo/edit?pli=1#gid=257618397"",""stock FAKTUR!B:F""),5,false)"),"NB")</f>
        <v>NB</v>
      </c>
      <c r="I546" s="53" t="str">
        <f>IFERROR(__xludf.DUMMYFUNCTION("vlookup($D546,IMPORTRANGE(""https://docs.google.com/spreadsheets/d/1swGwZOEqYlTEUCJLY-eeJM1911Kvaei5oySBIxdgtNo/edit?pli=1#gid=257618397"",""stock FAKTUR!B:G""),6,false)"),"ZO-239")</f>
        <v>ZO-239</v>
      </c>
      <c r="J546" s="120" t="str">
        <f t="shared" si="25"/>
        <v>ADA</v>
      </c>
      <c r="K546" s="142">
        <v>40.0</v>
      </c>
      <c r="L546" s="145" t="str">
        <f>IFERROR(__xludf.DUMMYFUNCTION("vlookup($D546,IMPORTRANGE(""https://docs.google.com/spreadsheets/d/1swGwZOEqYlTEUCJLY-eeJM1911Kvaei5oySBIxdgtNo/edit?pli=1#gid=257618397"",""stock FAKTUR!B:q""),16,false)"),"SET")</f>
        <v>SET</v>
      </c>
      <c r="M546" s="147">
        <f>70000/40</f>
        <v>1750</v>
      </c>
      <c r="N546" s="148"/>
      <c r="O546" s="147">
        <f t="shared" si="134"/>
        <v>70000</v>
      </c>
      <c r="P546" s="147" t="str">
        <f t="shared" si="3"/>
        <v>Rp1,750-40 SET-0.00%</v>
      </c>
      <c r="Q546" s="149">
        <v>45419.0</v>
      </c>
      <c r="R546" s="149">
        <v>45418.0</v>
      </c>
      <c r="S546" s="149">
        <v>45422.0</v>
      </c>
      <c r="T546" s="151"/>
      <c r="U546" s="151"/>
      <c r="V546" s="151"/>
      <c r="W546" s="151"/>
    </row>
    <row r="547">
      <c r="A547" s="142">
        <v>4801.0</v>
      </c>
      <c r="B547" s="143" t="str">
        <f t="shared" si="165"/>
        <v>H</v>
      </c>
      <c r="C547" s="143" t="str">
        <f t="shared" si="166"/>
        <v>PANTES-BANTUL</v>
      </c>
      <c r="D547" s="145" t="s">
        <v>4547</v>
      </c>
      <c r="E547" s="145" t="str">
        <f>IFERROR(__xludf.DUMMYFUNCTION("vlookup(D547,IMPORTRANGE(""https://docs.google.com/spreadsheets/d/1swGwZOEqYlTEUCJLY-eeJM1911Kvaei5oySBIxdgtNo/edit?pli=1#gid=257618397"",""stock FAKTUR!B:C""),2,false)"),"KERTAS LIPAT ORIGAMI 14 X 14 ALFA")</f>
        <v>KERTAS LIPAT ORIGAMI 14 X 14 ALFA</v>
      </c>
      <c r="F547" s="53" t="str">
        <f>IFERROR(__xludf.DUMMYFUNCTION("vlookup($D547,IMPORTRANGE(""https://docs.google.com/spreadsheets/d/1swGwZOEqYlTEUCJLY-eeJM1911Kvaei5oySBIxdgtNo/edit?pli=1#gid=257618397"",""stock FAKTUR!B:d""),3,false)"),"")</f>
        <v/>
      </c>
      <c r="G547" s="53" t="str">
        <f>IFERROR(__xludf.DUMMYFUNCTION("vlookup($D547,IMPORTRANGE(""https://docs.google.com/spreadsheets/d/1swGwZOEqYlTEUCJLY-eeJM1911Kvaei5oySBIxdgtNo/edit?pli=1#gid=257618397"",""stock FAKTUR!B:e""),4,false)"),"")</f>
        <v/>
      </c>
      <c r="H547" s="53" t="str">
        <f>IFERROR(__xludf.DUMMYFUNCTION("vlookup($D547,IMPORTRANGE(""https://docs.google.com/spreadsheets/d/1swGwZOEqYlTEUCJLY-eeJM1911Kvaei5oySBIxdgtNo/edit?pli=1#gid=257618397"",""stock FAKTUR!B:F""),5,false)"),"AL")</f>
        <v>AL</v>
      </c>
      <c r="I547" s="53" t="str">
        <f>IFERROR(__xludf.DUMMYFUNCTION("vlookup($D547,IMPORTRANGE(""https://docs.google.com/spreadsheets/d/1swGwZOEqYlTEUCJLY-eeJM1911Kvaei5oySBIxdgtNo/edit?pli=1#gid=257618397"",""stock FAKTUR!B:G""),6,false)"),"")</f>
        <v/>
      </c>
      <c r="J547" s="120" t="str">
        <f t="shared" si="25"/>
        <v>ADA</v>
      </c>
      <c r="K547" s="142">
        <v>50.0</v>
      </c>
      <c r="L547" s="145" t="str">
        <f>IFERROR(__xludf.DUMMYFUNCTION("vlookup($D547,IMPORTRANGE(""https://docs.google.com/spreadsheets/d/1swGwZOEqYlTEUCJLY-eeJM1911Kvaei5oySBIxdgtNo/edit?pli=1#gid=257618397"",""stock FAKTUR!B:q""),16,false)"),"PCS")</f>
        <v>PCS</v>
      </c>
      <c r="M547" s="147">
        <v>3500.0</v>
      </c>
      <c r="N547" s="148"/>
      <c r="O547" s="147">
        <f t="shared" si="134"/>
        <v>175000</v>
      </c>
      <c r="P547" s="147" t="str">
        <f t="shared" si="3"/>
        <v>Rp3,500-50 PCS-0.00%</v>
      </c>
      <c r="Q547" s="149">
        <v>45419.0</v>
      </c>
      <c r="R547" s="149">
        <v>45416.0</v>
      </c>
      <c r="S547" s="149">
        <v>45422.0</v>
      </c>
      <c r="T547" s="151"/>
      <c r="U547" s="151"/>
      <c r="V547" s="151"/>
      <c r="W547" s="151"/>
    </row>
    <row r="548">
      <c r="A548" s="142">
        <v>4801.0</v>
      </c>
      <c r="B548" s="143" t="str">
        <f t="shared" si="165"/>
        <v>H</v>
      </c>
      <c r="C548" s="143" t="str">
        <f t="shared" si="166"/>
        <v>PANTES-BANTUL</v>
      </c>
      <c r="D548" s="145" t="s">
        <v>4548</v>
      </c>
      <c r="E548" s="145" t="str">
        <f>IFERROR(__xludf.DUMMYFUNCTION("vlookup(D548,IMPORTRANGE(""https://docs.google.com/spreadsheets/d/1swGwZOEqYlTEUCJLY-eeJM1911Kvaei5oySBIxdgtNo/edit?pli=1#gid=257618397"",""stock FAKTUR!B:C""),2,false)"),"KERTAS LIPAT ORIGAMI 16 X 16 ALFA")</f>
        <v>KERTAS LIPAT ORIGAMI 16 X 16 ALFA</v>
      </c>
      <c r="F548" s="53" t="str">
        <f>IFERROR(__xludf.DUMMYFUNCTION("vlookup($D548,IMPORTRANGE(""https://docs.google.com/spreadsheets/d/1swGwZOEqYlTEUCJLY-eeJM1911Kvaei5oySBIxdgtNo/edit?pli=1#gid=257618397"",""stock FAKTUR!B:d""),3,false)"),"")</f>
        <v/>
      </c>
      <c r="G548" s="53" t="str">
        <f>IFERROR(__xludf.DUMMYFUNCTION("vlookup($D548,IMPORTRANGE(""https://docs.google.com/spreadsheets/d/1swGwZOEqYlTEUCJLY-eeJM1911Kvaei5oySBIxdgtNo/edit?pli=1#gid=257618397"",""stock FAKTUR!B:e""),4,false)"),"")</f>
        <v/>
      </c>
      <c r="H548" s="53" t="str">
        <f>IFERROR(__xludf.DUMMYFUNCTION("vlookup($D548,IMPORTRANGE(""https://docs.google.com/spreadsheets/d/1swGwZOEqYlTEUCJLY-eeJM1911Kvaei5oySBIxdgtNo/edit?pli=1#gid=257618397"",""stock FAKTUR!B:F""),5,false)"),"AL")</f>
        <v>AL</v>
      </c>
      <c r="I548" s="53" t="str">
        <f>IFERROR(__xludf.DUMMYFUNCTION("vlookup($D548,IMPORTRANGE(""https://docs.google.com/spreadsheets/d/1swGwZOEqYlTEUCJLY-eeJM1911Kvaei5oySBIxdgtNo/edit?pli=1#gid=257618397"",""stock FAKTUR!B:G""),6,false)"),"")</f>
        <v/>
      </c>
      <c r="J548" s="120" t="str">
        <f t="shared" si="25"/>
        <v>ADA</v>
      </c>
      <c r="K548" s="142">
        <v>50.0</v>
      </c>
      <c r="L548" s="145" t="str">
        <f>IFERROR(__xludf.DUMMYFUNCTION("vlookup($D548,IMPORTRANGE(""https://docs.google.com/spreadsheets/d/1swGwZOEqYlTEUCJLY-eeJM1911Kvaei5oySBIxdgtNo/edit?pli=1#gid=257618397"",""stock FAKTUR!B:q""),16,false)"),"PCS")</f>
        <v>PCS</v>
      </c>
      <c r="M548" s="147">
        <v>4250.0</v>
      </c>
      <c r="N548" s="148"/>
      <c r="O548" s="147">
        <f t="shared" si="134"/>
        <v>212500</v>
      </c>
      <c r="P548" s="147" t="str">
        <f t="shared" si="3"/>
        <v>Rp4,250-50 PCS-0.00%</v>
      </c>
      <c r="Q548" s="149">
        <v>45419.0</v>
      </c>
      <c r="R548" s="149">
        <v>45416.0</v>
      </c>
      <c r="S548" s="149">
        <v>45422.0</v>
      </c>
      <c r="T548" s="151"/>
      <c r="U548" s="151"/>
      <c r="V548" s="151"/>
      <c r="W548" s="151"/>
    </row>
    <row r="549">
      <c r="A549" s="142">
        <v>4801.0</v>
      </c>
      <c r="B549" s="143" t="str">
        <f t="shared" si="165"/>
        <v>H</v>
      </c>
      <c r="C549" s="143" t="str">
        <f t="shared" si="166"/>
        <v>PANTES-BANTUL</v>
      </c>
      <c r="D549" s="159" t="s">
        <v>4696</v>
      </c>
      <c r="E549" s="145" t="str">
        <f>IFERROR(__xludf.DUMMYFUNCTION("vlookup(D549,IMPORTRANGE(""https://docs.google.com/spreadsheets/d/1swGwZOEqYlTEUCJLY-eeJM1911Kvaei5oySBIxdgtNo/edit?pli=1#gid=257618397"",""stock FAKTUR!B:C""),2,false)"),"MAP KANCING YJ2201-1935/1937")</f>
        <v>MAP KANCING YJ2201-1935/1937</v>
      </c>
      <c r="F549" s="53" t="str">
        <f>IFERROR(__xludf.DUMMYFUNCTION("vlookup($D549,IMPORTRANGE(""https://docs.google.com/spreadsheets/d/1swGwZOEqYlTEUCJLY-eeJM1911Kvaei5oySBIxdgtNo/edit?pli=1#gid=257618397"",""stock FAKTUR!B:d""),3,false)"),"")</f>
        <v/>
      </c>
      <c r="G549" s="53" t="str">
        <f>IFERROR(__xludf.DUMMYFUNCTION("vlookup($D549,IMPORTRANGE(""https://docs.google.com/spreadsheets/d/1swGwZOEqYlTEUCJLY-eeJM1911Kvaei5oySBIxdgtNo/edit?pli=1#gid=257618397"",""stock FAKTUR!B:e""),4,false)"),"")</f>
        <v/>
      </c>
      <c r="H549" s="53" t="str">
        <f>IFERROR(__xludf.DUMMYFUNCTION("vlookup($D549,IMPORTRANGE(""https://docs.google.com/spreadsheets/d/1swGwZOEqYlTEUCJLY-eeJM1911Kvaei5oySBIxdgtNo/edit?pli=1#gid=257618397"",""stock FAKTUR!B:F""),5,false)"),"NB")</f>
        <v>NB</v>
      </c>
      <c r="I549" s="53" t="str">
        <f>IFERROR(__xludf.DUMMYFUNCTION("vlookup($D549,IMPORTRANGE(""https://docs.google.com/spreadsheets/d/1swGwZOEqYlTEUCJLY-eeJM1911Kvaei5oySBIxdgtNo/edit?pli=1#gid=257618397"",""stock FAKTUR!B:G""),6,false)"),"YJ2201")</f>
        <v>YJ2201</v>
      </c>
      <c r="J549" s="120" t="str">
        <f t="shared" si="25"/>
        <v>ADA</v>
      </c>
      <c r="K549" s="142">
        <v>3.0</v>
      </c>
      <c r="L549" s="145" t="str">
        <f>IFERROR(__xludf.DUMMYFUNCTION("vlookup($D549,IMPORTRANGE(""https://docs.google.com/spreadsheets/d/1swGwZOEqYlTEUCJLY-eeJM1911Kvaei5oySBIxdgtNo/edit?pli=1#gid=257618397"",""stock FAKTUR!B:q""),16,false)"),"LSN")</f>
        <v>LSN</v>
      </c>
      <c r="M549" s="147">
        <v>52500.0</v>
      </c>
      <c r="N549" s="148"/>
      <c r="O549" s="147">
        <f t="shared" si="134"/>
        <v>157500</v>
      </c>
      <c r="P549" s="147" t="str">
        <f t="shared" si="3"/>
        <v>Rp52,500-3 LSN-0.00%</v>
      </c>
      <c r="Q549" s="149">
        <v>45419.0</v>
      </c>
      <c r="R549" s="149">
        <v>45416.0</v>
      </c>
      <c r="S549" s="149">
        <v>45422.0</v>
      </c>
      <c r="T549" s="151"/>
      <c r="U549" s="151"/>
      <c r="V549" s="151"/>
      <c r="W549" s="151"/>
    </row>
    <row r="550">
      <c r="A550" s="142">
        <v>4801.0</v>
      </c>
      <c r="B550" s="143" t="str">
        <f t="shared" si="165"/>
        <v>H</v>
      </c>
      <c r="C550" s="143" t="str">
        <f t="shared" si="166"/>
        <v>PANTES-BANTUL</v>
      </c>
      <c r="D550" s="145" t="s">
        <v>4405</v>
      </c>
      <c r="E550" s="145" t="str">
        <f>IFERROR(__xludf.DUMMYFUNCTION("vlookup(D550,IMPORTRANGE(""https://docs.google.com/spreadsheets/d/1swGwZOEqYlTEUCJLY-eeJM1911Kvaei5oySBIxdgtNo/edit?pli=1#gid=257618397"",""stock FAKTUR!B:C""),2,false)"),"BK KAS KWARTO")</f>
        <v>BK KAS KWARTO</v>
      </c>
      <c r="F550" s="53" t="str">
        <f>IFERROR(__xludf.DUMMYFUNCTION("vlookup($D550,IMPORTRANGE(""https://docs.google.com/spreadsheets/d/1swGwZOEqYlTEUCJLY-eeJM1911Kvaei5oySBIxdgtNo/edit?pli=1#gid=257618397"",""stock FAKTUR!B:d""),3,false)"),"A4")</f>
        <v>A4</v>
      </c>
      <c r="G550" s="53" t="str">
        <f>IFERROR(__xludf.DUMMYFUNCTION("vlookup($D550,IMPORTRANGE(""https://docs.google.com/spreadsheets/d/1swGwZOEqYlTEUCJLY-eeJM1911Kvaei5oySBIxdgtNo/edit?pli=1#gid=257618397"",""stock FAKTUR!B:e""),4,false)"),"")</f>
        <v/>
      </c>
      <c r="H550" s="53" t="str">
        <f>IFERROR(__xludf.DUMMYFUNCTION("vlookup($D550,IMPORTRANGE(""https://docs.google.com/spreadsheets/d/1swGwZOEqYlTEUCJLY-eeJM1911Kvaei5oySBIxdgtNo/edit?pli=1#gid=257618397"",""stock FAKTUR!B:F""),5,false)"),"NB")</f>
        <v>NB</v>
      </c>
      <c r="I550" s="53" t="str">
        <f>IFERROR(__xludf.DUMMYFUNCTION("vlookup($D550,IMPORTRANGE(""https://docs.google.com/spreadsheets/d/1swGwZOEqYlTEUCJLY-eeJM1911Kvaei5oySBIxdgtNo/edit?pli=1#gid=257618397"",""stock FAKTUR!B:G""),6,false)"),"")</f>
        <v/>
      </c>
      <c r="J550" s="120" t="str">
        <f t="shared" si="25"/>
        <v>ADA</v>
      </c>
      <c r="K550" s="142">
        <v>25.0</v>
      </c>
      <c r="L550" s="145" t="str">
        <f>IFERROR(__xludf.DUMMYFUNCTION("vlookup($D550,IMPORTRANGE(""https://docs.google.com/spreadsheets/d/1swGwZOEqYlTEUCJLY-eeJM1911Kvaei5oySBIxdgtNo/edit?pli=1#gid=257618397"",""stock FAKTUR!B:q""),16,false)"),"PCS")</f>
        <v>PCS</v>
      </c>
      <c r="M550" s="147">
        <v>10000.0</v>
      </c>
      <c r="N550" s="148"/>
      <c r="O550" s="147">
        <f t="shared" si="134"/>
        <v>250000</v>
      </c>
      <c r="P550" s="147" t="str">
        <f t="shared" si="3"/>
        <v>Rp10,000-25 PCS-0.00%</v>
      </c>
      <c r="Q550" s="149">
        <v>45419.0</v>
      </c>
      <c r="R550" s="149">
        <v>45416.0</v>
      </c>
      <c r="S550" s="149">
        <v>45422.0</v>
      </c>
      <c r="T550" s="151"/>
      <c r="U550" s="151"/>
      <c r="V550" s="151"/>
      <c r="W550" s="151"/>
    </row>
    <row r="551">
      <c r="A551" s="142">
        <v>4801.0</v>
      </c>
      <c r="B551" s="143" t="str">
        <f t="shared" si="165"/>
        <v>H</v>
      </c>
      <c r="C551" s="143" t="str">
        <f t="shared" si="166"/>
        <v>PANTES-BANTUL</v>
      </c>
      <c r="D551" s="145" t="s">
        <v>4406</v>
      </c>
      <c r="E551" s="145" t="str">
        <f>IFERROR(__xludf.DUMMYFUNCTION("vlookup(D551,IMPORTRANGE(""https://docs.google.com/spreadsheets/d/1swGwZOEqYlTEUCJLY-eeJM1911Kvaei5oySBIxdgtNo/edit?pli=1#gid=257618397"",""stock FAKTUR!B:C""),2,false)"),"BK KAS FOLIO")</f>
        <v>BK KAS FOLIO</v>
      </c>
      <c r="F551" s="53" t="str">
        <f>IFERROR(__xludf.DUMMYFUNCTION("vlookup($D551,IMPORTRANGE(""https://docs.google.com/spreadsheets/d/1swGwZOEqYlTEUCJLY-eeJM1911Kvaei5oySBIxdgtNo/edit?pli=1#gid=257618397"",""stock FAKTUR!B:d""),3,false)"),"F4")</f>
        <v>F4</v>
      </c>
      <c r="G551" s="53" t="str">
        <f>IFERROR(__xludf.DUMMYFUNCTION("vlookup($D551,IMPORTRANGE(""https://docs.google.com/spreadsheets/d/1swGwZOEqYlTEUCJLY-eeJM1911Kvaei5oySBIxdgtNo/edit?pli=1#gid=257618397"",""stock FAKTUR!B:e""),4,false)"),"")</f>
        <v/>
      </c>
      <c r="H551" s="53" t="str">
        <f>IFERROR(__xludf.DUMMYFUNCTION("vlookup($D551,IMPORTRANGE(""https://docs.google.com/spreadsheets/d/1swGwZOEqYlTEUCJLY-eeJM1911Kvaei5oySBIxdgtNo/edit?pli=1#gid=257618397"",""stock FAKTUR!B:F""),5,false)"),"NB")</f>
        <v>NB</v>
      </c>
      <c r="I551" s="53" t="str">
        <f>IFERROR(__xludf.DUMMYFUNCTION("vlookup($D551,IMPORTRANGE(""https://docs.google.com/spreadsheets/d/1swGwZOEqYlTEUCJLY-eeJM1911Kvaei5oySBIxdgtNo/edit?pli=1#gid=257618397"",""stock FAKTUR!B:G""),6,false)"),"")</f>
        <v/>
      </c>
      <c r="J551" s="120" t="str">
        <f t="shared" si="25"/>
        <v>ADA</v>
      </c>
      <c r="K551" s="142">
        <v>10.0</v>
      </c>
      <c r="L551" s="145" t="str">
        <f>IFERROR(__xludf.DUMMYFUNCTION("vlookup($D551,IMPORTRANGE(""https://docs.google.com/spreadsheets/d/1swGwZOEqYlTEUCJLY-eeJM1911Kvaei5oySBIxdgtNo/edit?pli=1#gid=257618397"",""stock FAKTUR!B:q""),16,false)"),"PCS")</f>
        <v>PCS</v>
      </c>
      <c r="M551" s="147">
        <v>19000.0</v>
      </c>
      <c r="N551" s="148"/>
      <c r="O551" s="147">
        <f t="shared" si="134"/>
        <v>190000</v>
      </c>
      <c r="P551" s="147" t="str">
        <f t="shared" si="3"/>
        <v>Rp19,000-10 PCS-0.00%</v>
      </c>
      <c r="Q551" s="149">
        <v>45419.0</v>
      </c>
      <c r="R551" s="149">
        <v>45416.0</v>
      </c>
      <c r="S551" s="149">
        <v>45422.0</v>
      </c>
      <c r="T551" s="151"/>
      <c r="U551" s="151"/>
      <c r="V551" s="151"/>
      <c r="W551" s="151"/>
    </row>
    <row r="552">
      <c r="A552" s="142">
        <v>4801.0</v>
      </c>
      <c r="B552" s="143" t="str">
        <f t="shared" si="165"/>
        <v>H</v>
      </c>
      <c r="C552" s="143" t="str">
        <f t="shared" si="166"/>
        <v>PANTES-BANTUL</v>
      </c>
      <c r="D552" s="145" t="s">
        <v>4382</v>
      </c>
      <c r="E552" s="145" t="str">
        <f>IFERROR(__xludf.DUMMYFUNCTION("vlookup(D552,IMPORTRANGE(""https://docs.google.com/spreadsheets/d/1swGwZOEqYlTEUCJLY-eeJM1911Kvaei5oySBIxdgtNo/edit?pli=1#gid=257618397"",""stock FAKTUR!B:C""),2,false)"),"PENSIL 2B ZHONG HUA 6925 OVAL")</f>
        <v>PENSIL 2B ZHONG HUA 6925 OVAL</v>
      </c>
      <c r="F552" s="53" t="str">
        <f>IFERROR(__xludf.DUMMYFUNCTION("vlookup($D552,IMPORTRANGE(""https://docs.google.com/spreadsheets/d/1swGwZOEqYlTEUCJLY-eeJM1911Kvaei5oySBIxdgtNo/edit?pli=1#gid=257618397"",""stock FAKTUR!B:d""),3,false)"),"")</f>
        <v/>
      </c>
      <c r="G552" s="53" t="str">
        <f>IFERROR(__xludf.DUMMYFUNCTION("vlookup($D552,IMPORTRANGE(""https://docs.google.com/spreadsheets/d/1swGwZOEqYlTEUCJLY-eeJM1911Kvaei5oySBIxdgtNo/edit?pli=1#gid=257618397"",""stock FAKTUR!B:e""),4,false)"),"")</f>
        <v/>
      </c>
      <c r="H552" s="53" t="str">
        <f>IFERROR(__xludf.DUMMYFUNCTION("vlookup($D552,IMPORTRANGE(""https://docs.google.com/spreadsheets/d/1swGwZOEqYlTEUCJLY-eeJM1911Kvaei5oySBIxdgtNo/edit?pli=1#gid=257618397"",""stock FAKTUR!B:F""),5,false)"),"ZH")</f>
        <v>ZH</v>
      </c>
      <c r="I552" s="53" t="str">
        <f>IFERROR(__xludf.DUMMYFUNCTION("vlookup($D552,IMPORTRANGE(""https://docs.google.com/spreadsheets/d/1swGwZOEqYlTEUCJLY-eeJM1911Kvaei5oySBIxdgtNo/edit?pli=1#gid=257618397"",""stock FAKTUR!B:G""),6,false)"),"6925")</f>
        <v>6925</v>
      </c>
      <c r="J552" s="120" t="str">
        <f t="shared" si="25"/>
        <v>ADA</v>
      </c>
      <c r="K552" s="142">
        <v>4.0</v>
      </c>
      <c r="L552" s="145" t="str">
        <f>IFERROR(__xludf.DUMMYFUNCTION("vlookup($D552,IMPORTRANGE(""https://docs.google.com/spreadsheets/d/1swGwZOEqYlTEUCJLY-eeJM1911Kvaei5oySBIxdgtNo/edit?pli=1#gid=257618397"",""stock FAKTUR!B:q""),16,false)"),"BOX")</f>
        <v>BOX</v>
      </c>
      <c r="M552" s="147">
        <v>85000.0</v>
      </c>
      <c r="N552" s="148"/>
      <c r="O552" s="147">
        <f t="shared" si="134"/>
        <v>340000</v>
      </c>
      <c r="P552" s="147" t="str">
        <f t="shared" si="3"/>
        <v>Rp85,000-4 BOX-0.00%</v>
      </c>
      <c r="Q552" s="149">
        <v>45419.0</v>
      </c>
      <c r="R552" s="149">
        <v>45418.0</v>
      </c>
      <c r="S552" s="149">
        <v>45422.0</v>
      </c>
      <c r="T552" s="151"/>
      <c r="U552" s="151"/>
      <c r="V552" s="151"/>
      <c r="W552" s="151"/>
    </row>
    <row r="553">
      <c r="A553" s="142">
        <v>4801.0</v>
      </c>
      <c r="B553" s="143" t="str">
        <f t="shared" si="165"/>
        <v>H</v>
      </c>
      <c r="C553" s="143" t="str">
        <f t="shared" si="166"/>
        <v>PANTES-BANTUL</v>
      </c>
      <c r="D553" s="145" t="s">
        <v>4618</v>
      </c>
      <c r="E553" s="145" t="str">
        <f>IFERROR(__xludf.DUMMYFUNCTION("vlookup(D553,IMPORTRANGE(""https://docs.google.com/spreadsheets/d/1swGwZOEqYlTEUCJLY-eeJM1911Kvaei5oySBIxdgtNo/edit?pli=1#gid=257618397"",""stock FAKTUR!B:C""),2,false)"),"MIKA LAMINATING VANCO LF-100 FOLIO")</f>
        <v>MIKA LAMINATING VANCO LF-100 FOLIO</v>
      </c>
      <c r="F553" s="53" t="str">
        <f>IFERROR(__xludf.DUMMYFUNCTION("vlookup($D553,IMPORTRANGE(""https://docs.google.com/spreadsheets/d/1swGwZOEqYlTEUCJLY-eeJM1911Kvaei5oySBIxdgtNo/edit?pli=1#gid=257618397"",""stock FAKTUR!B:d""),3,false)"),"")</f>
        <v/>
      </c>
      <c r="G553" s="53" t="str">
        <f>IFERROR(__xludf.DUMMYFUNCTION("vlookup($D553,IMPORTRANGE(""https://docs.google.com/spreadsheets/d/1swGwZOEqYlTEUCJLY-eeJM1911Kvaei5oySBIxdgtNo/edit?pli=1#gid=257618397"",""stock FAKTUR!B:e""),4,false)"),"")</f>
        <v/>
      </c>
      <c r="H553" s="53" t="str">
        <f>IFERROR(__xludf.DUMMYFUNCTION("vlookup($D553,IMPORTRANGE(""https://docs.google.com/spreadsheets/d/1swGwZOEqYlTEUCJLY-eeJM1911Kvaei5oySBIxdgtNo/edit?pli=1#gid=257618397"",""stock FAKTUR!B:F""),5,false)"),"VN")</f>
        <v>VN</v>
      </c>
      <c r="I553" s="53" t="str">
        <f>IFERROR(__xludf.DUMMYFUNCTION("vlookup($D553,IMPORTRANGE(""https://docs.google.com/spreadsheets/d/1swGwZOEqYlTEUCJLY-eeJM1911Kvaei5oySBIxdgtNo/edit?pli=1#gid=257618397"",""stock FAKTUR!B:G""),6,false)"),"LF-100")</f>
        <v>LF-100</v>
      </c>
      <c r="J553" s="120" t="str">
        <f t="shared" si="25"/>
        <v>ADA</v>
      </c>
      <c r="K553" s="142">
        <v>5.0</v>
      </c>
      <c r="L553" s="145" t="str">
        <f>IFERROR(__xludf.DUMMYFUNCTION("vlookup($D553,IMPORTRANGE(""https://docs.google.com/spreadsheets/d/1swGwZOEqYlTEUCJLY-eeJM1911Kvaei5oySBIxdgtNo/edit?pli=1#gid=257618397"",""stock FAKTUR!B:q""),16,false)"),"PAK")</f>
        <v>PAK</v>
      </c>
      <c r="M553" s="147">
        <v>80000.0</v>
      </c>
      <c r="N553" s="148"/>
      <c r="O553" s="147">
        <f t="shared" si="134"/>
        <v>400000</v>
      </c>
      <c r="P553" s="147" t="str">
        <f t="shared" si="3"/>
        <v>Rp80,000-5 PAK-0.00%</v>
      </c>
      <c r="Q553" s="149">
        <v>45419.0</v>
      </c>
      <c r="R553" s="149">
        <v>45418.0</v>
      </c>
      <c r="S553" s="149">
        <v>45422.0</v>
      </c>
      <c r="T553" s="151"/>
      <c r="U553" s="151"/>
      <c r="V553" s="151"/>
      <c r="W553" s="151"/>
    </row>
    <row r="554">
      <c r="A554" s="142">
        <v>4801.0</v>
      </c>
      <c r="B554" s="143" t="str">
        <f t="shared" si="165"/>
        <v>H</v>
      </c>
      <c r="C554" s="143" t="str">
        <f t="shared" si="166"/>
        <v>PANTES-BANTUL</v>
      </c>
      <c r="D554" s="145" t="s">
        <v>4697</v>
      </c>
      <c r="E554" s="145" t="str">
        <f>IFERROR(__xludf.DUMMYFUNCTION("vlookup(D554,IMPORTRANGE(""https://docs.google.com/spreadsheets/d/1swGwZOEqYlTEUCJLY-eeJM1911Kvaei5oySBIxdgtNo/edit?pli=1#gid=257618397"",""stock FAKTUR!B:C""),2,false)"),"BP KENKO PU 2 HT")</f>
        <v>BP KENKO PU 2 HT</v>
      </c>
      <c r="F554" s="53" t="str">
        <f>IFERROR(__xludf.DUMMYFUNCTION("vlookup($D554,IMPORTRANGE(""https://docs.google.com/spreadsheets/d/1swGwZOEqYlTEUCJLY-eeJM1911Kvaei5oySBIxdgtNo/edit?pli=1#gid=257618397"",""stock FAKTUR!B:d""),3,false)"),"")</f>
        <v/>
      </c>
      <c r="G554" s="53" t="str">
        <f>IFERROR(__xludf.DUMMYFUNCTION("vlookup($D554,IMPORTRANGE(""https://docs.google.com/spreadsheets/d/1swGwZOEqYlTEUCJLY-eeJM1911Kvaei5oySBIxdgtNo/edit?pli=1#gid=257618397"",""stock FAKTUR!B:e""),4,false)"),"")</f>
        <v/>
      </c>
      <c r="H554" s="53" t="str">
        <f>IFERROR(__xludf.DUMMYFUNCTION("vlookup($D554,IMPORTRANGE(""https://docs.google.com/spreadsheets/d/1swGwZOEqYlTEUCJLY-eeJM1911Kvaei5oySBIxdgtNo/edit?pli=1#gid=257618397"",""stock FAKTUR!B:F""),5,false)"),"KN")</f>
        <v>KN</v>
      </c>
      <c r="I554" s="53" t="str">
        <f>IFERROR(__xludf.DUMMYFUNCTION("vlookup($D554,IMPORTRANGE(""https://docs.google.com/spreadsheets/d/1swGwZOEqYlTEUCJLY-eeJM1911Kvaei5oySBIxdgtNo/edit?pli=1#gid=257618397"",""stock FAKTUR!B:G""),6,false)"),"")</f>
        <v/>
      </c>
      <c r="J554" s="120" t="str">
        <f t="shared" si="25"/>
        <v>ADA</v>
      </c>
      <c r="K554" s="142">
        <v>36.0</v>
      </c>
      <c r="L554" s="145" t="str">
        <f>IFERROR(__xludf.DUMMYFUNCTION("vlookup($D554,IMPORTRANGE(""https://docs.google.com/spreadsheets/d/1swGwZOEqYlTEUCJLY-eeJM1911Kvaei5oySBIxdgtNo/edit?pli=1#gid=257618397"",""stock FAKTUR!B:q""),16,false)"),"LSN")</f>
        <v>LSN</v>
      </c>
      <c r="M554" s="147">
        <v>6000.0</v>
      </c>
      <c r="N554" s="152">
        <v>0.05</v>
      </c>
      <c r="O554" s="147">
        <f t="shared" si="134"/>
        <v>205200</v>
      </c>
      <c r="P554" s="147" t="str">
        <f t="shared" si="3"/>
        <v>Rp6,000-36 LSN-5.00%</v>
      </c>
      <c r="Q554" s="149">
        <v>45419.0</v>
      </c>
      <c r="R554" s="149">
        <v>45418.0</v>
      </c>
      <c r="S554" s="149">
        <v>45422.0</v>
      </c>
      <c r="T554" s="151"/>
      <c r="U554" s="151"/>
      <c r="V554" s="151"/>
      <c r="W554" s="151"/>
    </row>
    <row r="555">
      <c r="A555" s="142">
        <v>4801.0</v>
      </c>
      <c r="B555" s="143" t="str">
        <f t="shared" si="165"/>
        <v>H</v>
      </c>
      <c r="C555" s="143" t="str">
        <f t="shared" si="166"/>
        <v>PANTES-BANTUL</v>
      </c>
      <c r="D555" s="145" t="s">
        <v>4698</v>
      </c>
      <c r="E555" s="145" t="str">
        <f>IFERROR(__xludf.DUMMYFUNCTION("vlookup(D555,IMPORTRANGE(""https://docs.google.com/spreadsheets/d/1swGwZOEqYlTEUCJLY-eeJM1911Kvaei5oySBIxdgtNo/edit?pli=1#gid=257618397"",""stock FAKTUR!B:C""),2,false)"),"BP KENKO PU 3 HT")</f>
        <v>BP KENKO PU 3 HT</v>
      </c>
      <c r="F555" s="53" t="str">
        <f>IFERROR(__xludf.DUMMYFUNCTION("vlookup($D555,IMPORTRANGE(""https://docs.google.com/spreadsheets/d/1swGwZOEqYlTEUCJLY-eeJM1911Kvaei5oySBIxdgtNo/edit?pli=1#gid=257618397"",""stock FAKTUR!B:d""),3,false)"),"")</f>
        <v/>
      </c>
      <c r="G555" s="53" t="str">
        <f>IFERROR(__xludf.DUMMYFUNCTION("vlookup($D555,IMPORTRANGE(""https://docs.google.com/spreadsheets/d/1swGwZOEqYlTEUCJLY-eeJM1911Kvaei5oySBIxdgtNo/edit?pli=1#gid=257618397"",""stock FAKTUR!B:e""),4,false)"),"")</f>
        <v/>
      </c>
      <c r="H555" s="53" t="str">
        <f>IFERROR(__xludf.DUMMYFUNCTION("vlookup($D555,IMPORTRANGE(""https://docs.google.com/spreadsheets/d/1swGwZOEqYlTEUCJLY-eeJM1911Kvaei5oySBIxdgtNo/edit?pli=1#gid=257618397"",""stock FAKTUR!B:F""),5,false)"),"KN")</f>
        <v>KN</v>
      </c>
      <c r="I555" s="53" t="str">
        <f>IFERROR(__xludf.DUMMYFUNCTION("vlookup($D555,IMPORTRANGE(""https://docs.google.com/spreadsheets/d/1swGwZOEqYlTEUCJLY-eeJM1911Kvaei5oySBIxdgtNo/edit?pli=1#gid=257618397"",""stock FAKTUR!B:G""),6,false)"),"")</f>
        <v/>
      </c>
      <c r="J555" s="120" t="str">
        <f t="shared" si="25"/>
        <v>ADA</v>
      </c>
      <c r="K555" s="142">
        <v>5.0</v>
      </c>
      <c r="L555" s="145" t="str">
        <f>IFERROR(__xludf.DUMMYFUNCTION("vlookup($D555,IMPORTRANGE(""https://docs.google.com/spreadsheets/d/1swGwZOEqYlTEUCJLY-eeJM1911Kvaei5oySBIxdgtNo/edit?pli=1#gid=257618397"",""stock FAKTUR!B:q""),16,false)"),"LSN")</f>
        <v>LSN</v>
      </c>
      <c r="M555" s="147">
        <v>6000.0</v>
      </c>
      <c r="N555" s="152">
        <v>0.05</v>
      </c>
      <c r="O555" s="147">
        <f t="shared" si="134"/>
        <v>28500</v>
      </c>
      <c r="P555" s="147" t="str">
        <f t="shared" si="3"/>
        <v>Rp6,000-5 LSN-5.00%</v>
      </c>
      <c r="Q555" s="149">
        <v>45419.0</v>
      </c>
      <c r="R555" s="149">
        <v>45418.0</v>
      </c>
      <c r="S555" s="149">
        <v>45422.0</v>
      </c>
      <c r="T555" s="151"/>
      <c r="U555" s="151"/>
      <c r="V555" s="151"/>
      <c r="W555" s="151"/>
    </row>
    <row r="556">
      <c r="A556" s="142">
        <v>4801.0</v>
      </c>
      <c r="B556" s="143" t="str">
        <f t="shared" si="165"/>
        <v>H</v>
      </c>
      <c r="C556" s="143" t="str">
        <f t="shared" si="166"/>
        <v>PANTES-BANTUL</v>
      </c>
      <c r="D556" s="145" t="s">
        <v>4699</v>
      </c>
      <c r="E556" s="145" t="str">
        <f>IFERROR(__xludf.DUMMYFUNCTION("vlookup(D556,IMPORTRANGE(""https://docs.google.com/spreadsheets/d/1swGwZOEqYlTEUCJLY-eeJM1911Kvaei5oySBIxdgtNo/edit?pli=1#gid=257618397"",""stock FAKTUR!B:C""),2,false)"),"BP KENKO PU 4 HT")</f>
        <v>BP KENKO PU 4 HT</v>
      </c>
      <c r="F556" s="53" t="str">
        <f>IFERROR(__xludf.DUMMYFUNCTION("vlookup($D556,IMPORTRANGE(""https://docs.google.com/spreadsheets/d/1swGwZOEqYlTEUCJLY-eeJM1911Kvaei5oySBIxdgtNo/edit?pli=1#gid=257618397"",""stock FAKTUR!B:d""),3,false)"),"")</f>
        <v/>
      </c>
      <c r="G556" s="53" t="str">
        <f>IFERROR(__xludf.DUMMYFUNCTION("vlookup($D556,IMPORTRANGE(""https://docs.google.com/spreadsheets/d/1swGwZOEqYlTEUCJLY-eeJM1911Kvaei5oySBIxdgtNo/edit?pli=1#gid=257618397"",""stock FAKTUR!B:e""),4,false)"),"")</f>
        <v/>
      </c>
      <c r="H556" s="53" t="str">
        <f>IFERROR(__xludf.DUMMYFUNCTION("vlookup($D556,IMPORTRANGE(""https://docs.google.com/spreadsheets/d/1swGwZOEqYlTEUCJLY-eeJM1911Kvaei5oySBIxdgtNo/edit?pli=1#gid=257618397"",""stock FAKTUR!B:F""),5,false)"),"KN")</f>
        <v>KN</v>
      </c>
      <c r="I556" s="53" t="str">
        <f>IFERROR(__xludf.DUMMYFUNCTION("vlookup($D556,IMPORTRANGE(""https://docs.google.com/spreadsheets/d/1swGwZOEqYlTEUCJLY-eeJM1911Kvaei5oySBIxdgtNo/edit?pli=1#gid=257618397"",""stock FAKTUR!B:G""),6,false)"),"")</f>
        <v/>
      </c>
      <c r="J556" s="120" t="str">
        <f t="shared" si="25"/>
        <v>ADA</v>
      </c>
      <c r="K556" s="142">
        <v>36.0</v>
      </c>
      <c r="L556" s="145" t="str">
        <f>IFERROR(__xludf.DUMMYFUNCTION("vlookup($D556,IMPORTRANGE(""https://docs.google.com/spreadsheets/d/1swGwZOEqYlTEUCJLY-eeJM1911Kvaei5oySBIxdgtNo/edit?pli=1#gid=257618397"",""stock FAKTUR!B:q""),16,false)"),"LSN")</f>
        <v>LSN</v>
      </c>
      <c r="M556" s="147">
        <v>6000.0</v>
      </c>
      <c r="N556" s="152">
        <v>0.05</v>
      </c>
      <c r="O556" s="147">
        <f t="shared" si="134"/>
        <v>205200</v>
      </c>
      <c r="P556" s="147" t="str">
        <f t="shared" si="3"/>
        <v>Rp6,000-36 LSN-5.00%</v>
      </c>
      <c r="Q556" s="149">
        <v>45419.0</v>
      </c>
      <c r="R556" s="149">
        <v>45418.0</v>
      </c>
      <c r="S556" s="149">
        <v>45422.0</v>
      </c>
      <c r="T556" s="151"/>
      <c r="U556" s="151"/>
      <c r="V556" s="151"/>
      <c r="W556" s="151"/>
    </row>
    <row r="557">
      <c r="A557" s="142">
        <v>4801.0</v>
      </c>
      <c r="B557" s="143" t="str">
        <f t="shared" si="165"/>
        <v>H</v>
      </c>
      <c r="C557" s="143" t="str">
        <f t="shared" si="166"/>
        <v>PANTES-BANTUL</v>
      </c>
      <c r="D557" s="145" t="s">
        <v>4510</v>
      </c>
      <c r="E557" s="145" t="str">
        <f>IFERROR(__xludf.DUMMYFUNCTION("vlookup(D557,IMPORTRANGE(""https://docs.google.com/spreadsheets/d/1swGwZOEqYlTEUCJLY-eeJM1911Kvaei5oySBIxdgtNo/edit?pli=1#gid=257618397"",""stock FAKTUR!B:C""),2,false)"),"BP JK BP-349-12 VOKUS TRANS HITAM")</f>
        <v>BP JK BP-349-12 VOKUS TRANS HITAM</v>
      </c>
      <c r="F557" s="53" t="str">
        <f>IFERROR(__xludf.DUMMYFUNCTION("vlookup($D557,IMPORTRANGE(""https://docs.google.com/spreadsheets/d/1swGwZOEqYlTEUCJLY-eeJM1911Kvaei5oySBIxdgtNo/edit?pli=1#gid=257618397"",""stock FAKTUR!B:d""),3,false)"),"")</f>
        <v/>
      </c>
      <c r="G557" s="53" t="str">
        <f>IFERROR(__xludf.DUMMYFUNCTION("vlookup($D557,IMPORTRANGE(""https://docs.google.com/spreadsheets/d/1swGwZOEqYlTEUCJLY-eeJM1911Kvaei5oySBIxdgtNo/edit?pli=1#gid=257618397"",""stock FAKTUR!B:e""),4,false)"),"")</f>
        <v/>
      </c>
      <c r="H557" s="53" t="str">
        <f>IFERROR(__xludf.DUMMYFUNCTION("vlookup($D557,IMPORTRANGE(""https://docs.google.com/spreadsheets/d/1swGwZOEqYlTEUCJLY-eeJM1911Kvaei5oySBIxdgtNo/edit?pli=1#gid=257618397"",""stock FAKTUR!B:F""),5,false)"),"JK")</f>
        <v>JK</v>
      </c>
      <c r="I557" s="53" t="str">
        <f>IFERROR(__xludf.DUMMYFUNCTION("vlookup($D557,IMPORTRANGE(""https://docs.google.com/spreadsheets/d/1swGwZOEqYlTEUCJLY-eeJM1911Kvaei5oySBIxdgtNo/edit?pli=1#gid=257618397"",""stock FAKTUR!B:G""),6,false)"),"349-12")</f>
        <v>349-12</v>
      </c>
      <c r="J557" s="120" t="str">
        <f t="shared" si="25"/>
        <v>ADA</v>
      </c>
      <c r="K557" s="142">
        <v>36.0</v>
      </c>
      <c r="L557" s="145" t="str">
        <f>IFERROR(__xludf.DUMMYFUNCTION("vlookup($D557,IMPORTRANGE(""https://docs.google.com/spreadsheets/d/1swGwZOEqYlTEUCJLY-eeJM1911Kvaei5oySBIxdgtNo/edit?pli=1#gid=257618397"",""stock FAKTUR!B:q""),16,false)"),"LSN")</f>
        <v>LSN</v>
      </c>
      <c r="M557" s="147">
        <v>13200.0</v>
      </c>
      <c r="N557" s="152">
        <v>0.05</v>
      </c>
      <c r="O557" s="147">
        <f t="shared" si="134"/>
        <v>451440</v>
      </c>
      <c r="P557" s="147" t="str">
        <f t="shared" si="3"/>
        <v>Rp13,200-36 LSN-5.00%</v>
      </c>
      <c r="Q557" s="149">
        <v>45419.0</v>
      </c>
      <c r="R557" s="149">
        <v>45418.0</v>
      </c>
      <c r="S557" s="149">
        <v>45422.0</v>
      </c>
      <c r="T557" s="151"/>
      <c r="U557" s="151"/>
      <c r="V557" s="151"/>
      <c r="W557" s="151"/>
    </row>
    <row r="558">
      <c r="A558" s="142">
        <v>4801.0</v>
      </c>
      <c r="B558" s="143" t="str">
        <f t="shared" si="165"/>
        <v>H</v>
      </c>
      <c r="C558" s="143" t="str">
        <f t="shared" si="166"/>
        <v>PANTES-BANTUL</v>
      </c>
      <c r="D558" s="145" t="s">
        <v>4560</v>
      </c>
      <c r="E558" s="145" t="str">
        <f>IFERROR(__xludf.DUMMYFUNCTION("vlookup(D558,IMPORTRANGE(""https://docs.google.com/spreadsheets/d/1swGwZOEqYlTEUCJLY-eeJM1911Kvaei5oySBIxdgtNo/edit?pli=1#gid=257618397"",""stock FAKTUR!B:C""),2,false)"),"BP JK BP-338 VOCUS HITAM")</f>
        <v>BP JK BP-338 VOCUS HITAM</v>
      </c>
      <c r="F558" s="53" t="str">
        <f>IFERROR(__xludf.DUMMYFUNCTION("vlookup($D558,IMPORTRANGE(""https://docs.google.com/spreadsheets/d/1swGwZOEqYlTEUCJLY-eeJM1911Kvaei5oySBIxdgtNo/edit?pli=1#gid=257618397"",""stock FAKTUR!B:d""),3,false)"),"")</f>
        <v/>
      </c>
      <c r="G558" s="53" t="str">
        <f>IFERROR(__xludf.DUMMYFUNCTION("vlookup($D558,IMPORTRANGE(""https://docs.google.com/spreadsheets/d/1swGwZOEqYlTEUCJLY-eeJM1911Kvaei5oySBIxdgtNo/edit?pli=1#gid=257618397"",""stock FAKTUR!B:e""),4,false)"),"")</f>
        <v/>
      </c>
      <c r="H558" s="53" t="str">
        <f>IFERROR(__xludf.DUMMYFUNCTION("vlookup($D558,IMPORTRANGE(""https://docs.google.com/spreadsheets/d/1swGwZOEqYlTEUCJLY-eeJM1911Kvaei5oySBIxdgtNo/edit?pli=1#gid=257618397"",""stock FAKTUR!B:F""),5,false)"),"JK")</f>
        <v>JK</v>
      </c>
      <c r="I558" s="53" t="str">
        <f>IFERROR(__xludf.DUMMYFUNCTION("vlookup($D558,IMPORTRANGE(""https://docs.google.com/spreadsheets/d/1swGwZOEqYlTEUCJLY-eeJM1911Kvaei5oySBIxdgtNo/edit?pli=1#gid=257618397"",""stock FAKTUR!B:G""),6,false)"),"BP-338")</f>
        <v>BP-338</v>
      </c>
      <c r="J558" s="120" t="str">
        <f t="shared" si="25"/>
        <v>ADA</v>
      </c>
      <c r="K558" s="142">
        <v>36.0</v>
      </c>
      <c r="L558" s="145" t="str">
        <f>IFERROR(__xludf.DUMMYFUNCTION("vlookup($D558,IMPORTRANGE(""https://docs.google.com/spreadsheets/d/1swGwZOEqYlTEUCJLY-eeJM1911Kvaei5oySBIxdgtNo/edit?pli=1#gid=257618397"",""stock FAKTUR!B:q""),16,false)"),"LSN")</f>
        <v>LSN</v>
      </c>
      <c r="M558" s="147">
        <v>12600.0</v>
      </c>
      <c r="N558" s="152">
        <v>0.05</v>
      </c>
      <c r="O558" s="147">
        <f t="shared" si="134"/>
        <v>430920</v>
      </c>
      <c r="P558" s="147" t="str">
        <f t="shared" si="3"/>
        <v>Rp12,600-36 LSN-5.00%</v>
      </c>
      <c r="Q558" s="149">
        <v>45419.0</v>
      </c>
      <c r="R558" s="149">
        <v>45418.0</v>
      </c>
      <c r="S558" s="149">
        <v>45422.0</v>
      </c>
      <c r="T558" s="151"/>
      <c r="U558" s="151"/>
      <c r="V558" s="151"/>
      <c r="W558" s="151"/>
    </row>
    <row r="559">
      <c r="A559" s="142">
        <v>4801.0</v>
      </c>
      <c r="B559" s="143" t="str">
        <f t="shared" si="165"/>
        <v>H</v>
      </c>
      <c r="C559" s="143" t="str">
        <f t="shared" si="166"/>
        <v>PANTES-BANTUL</v>
      </c>
      <c r="D559" s="145" t="s">
        <v>4700</v>
      </c>
      <c r="E559" s="145" t="str">
        <f>IFERROR(__xludf.DUMMYFUNCTION("vlookup(D559,IMPORTRANGE(""https://docs.google.com/spreadsheets/d/1swGwZOEqYlTEUCJLY-eeJM1911Kvaei5oySBIxdgtNo/edit?pli=1#gid=257618397"",""stock FAKTUR!B:C""),2,false)"),"BP JK 249")</f>
        <v>BP JK 249</v>
      </c>
      <c r="F559" s="53" t="str">
        <f>IFERROR(__xludf.DUMMYFUNCTION("vlookup($D559,IMPORTRANGE(""https://docs.google.com/spreadsheets/d/1swGwZOEqYlTEUCJLY-eeJM1911Kvaei5oySBIxdgtNo/edit?pli=1#gid=257618397"",""stock FAKTUR!B:d""),3,false)"),"")</f>
        <v/>
      </c>
      <c r="G559" s="53" t="str">
        <f>IFERROR(__xludf.DUMMYFUNCTION("vlookup($D559,IMPORTRANGE(""https://docs.google.com/spreadsheets/d/1swGwZOEqYlTEUCJLY-eeJM1911Kvaei5oySBIxdgtNo/edit?pli=1#gid=257618397"",""stock FAKTUR!B:e""),4,false)"),"")</f>
        <v/>
      </c>
      <c r="H559" s="53" t="str">
        <f>IFERROR(__xludf.DUMMYFUNCTION("vlookup($D559,IMPORTRANGE(""https://docs.google.com/spreadsheets/d/1swGwZOEqYlTEUCJLY-eeJM1911Kvaei5oySBIxdgtNo/edit?pli=1#gid=257618397"",""stock FAKTUR!B:F""),5,false)"),"JK")</f>
        <v>JK</v>
      </c>
      <c r="I559" s="53" t="str">
        <f>IFERROR(__xludf.DUMMYFUNCTION("vlookup($D559,IMPORTRANGE(""https://docs.google.com/spreadsheets/d/1swGwZOEqYlTEUCJLY-eeJM1911Kvaei5oySBIxdgtNo/edit?pli=1#gid=257618397"",""stock FAKTUR!B:G""),6,false)"),"249")</f>
        <v>249</v>
      </c>
      <c r="J559" s="120" t="str">
        <f t="shared" si="25"/>
        <v>ADA</v>
      </c>
      <c r="K559" s="142">
        <v>12.0</v>
      </c>
      <c r="L559" s="145" t="str">
        <f>IFERROR(__xludf.DUMMYFUNCTION("vlookup($D559,IMPORTRANGE(""https://docs.google.com/spreadsheets/d/1swGwZOEqYlTEUCJLY-eeJM1911Kvaei5oySBIxdgtNo/edit?pli=1#gid=257618397"",""stock FAKTUR!B:q""),16,false)"),"LSN")</f>
        <v>LSN</v>
      </c>
      <c r="M559" s="147">
        <v>6900.0</v>
      </c>
      <c r="N559" s="152">
        <v>0.05</v>
      </c>
      <c r="O559" s="147">
        <f t="shared" si="134"/>
        <v>78660</v>
      </c>
      <c r="P559" s="147" t="str">
        <f t="shared" si="3"/>
        <v>Rp6,900-12 LSN-5.00%</v>
      </c>
      <c r="Q559" s="149">
        <v>45419.0</v>
      </c>
      <c r="R559" s="149">
        <v>45418.0</v>
      </c>
      <c r="S559" s="149">
        <v>45422.0</v>
      </c>
      <c r="T559" s="151"/>
      <c r="U559" s="151"/>
      <c r="V559" s="151"/>
      <c r="W559" s="151"/>
    </row>
    <row r="560">
      <c r="A560" s="142">
        <v>4802.0</v>
      </c>
      <c r="B560" s="143" t="s">
        <v>33</v>
      </c>
      <c r="C560" s="143" t="s">
        <v>2418</v>
      </c>
      <c r="D560" s="145" t="s">
        <v>4630</v>
      </c>
      <c r="E560" s="145" t="str">
        <f>IFERROR(__xludf.DUMMYFUNCTION("vlookup(D560,IMPORTRANGE(""https://docs.google.com/spreadsheets/d/1swGwZOEqYlTEUCJLY-eeJM1911Kvaei5oySBIxdgtNo/edit?pli=1#gid=257618397"",""stock FAKTUR!B:C""),2,false)"),"BP JK GP-330 HITAM")</f>
        <v>BP JK GP-330 HITAM</v>
      </c>
      <c r="F560" s="53" t="str">
        <f>IFERROR(__xludf.DUMMYFUNCTION("vlookup($D560,IMPORTRANGE(""https://docs.google.com/spreadsheets/d/1swGwZOEqYlTEUCJLY-eeJM1911Kvaei5oySBIxdgtNo/edit?pli=1#gid=257618397"",""stock FAKTUR!B:d""),3,false)"),"")</f>
        <v/>
      </c>
      <c r="G560" s="53" t="str">
        <f>IFERROR(__xludf.DUMMYFUNCTION("vlookup($D560,IMPORTRANGE(""https://docs.google.com/spreadsheets/d/1swGwZOEqYlTEUCJLY-eeJM1911Kvaei5oySBIxdgtNo/edit?pli=1#gid=257618397"",""stock FAKTUR!B:e""),4,false)"),"HITAM")</f>
        <v>HITAM</v>
      </c>
      <c r="H560" s="53" t="str">
        <f>IFERROR(__xludf.DUMMYFUNCTION("vlookup($D560,IMPORTRANGE(""https://docs.google.com/spreadsheets/d/1swGwZOEqYlTEUCJLY-eeJM1911Kvaei5oySBIxdgtNo/edit?pli=1#gid=257618397"",""stock FAKTUR!B:F""),5,false)"),"JK")</f>
        <v>JK</v>
      </c>
      <c r="I560" s="53" t="str">
        <f>IFERROR(__xludf.DUMMYFUNCTION("vlookup($D560,IMPORTRANGE(""https://docs.google.com/spreadsheets/d/1swGwZOEqYlTEUCJLY-eeJM1911Kvaei5oySBIxdgtNo/edit?pli=1#gid=257618397"",""stock FAKTUR!B:G""),6,false)"),"GP-330")</f>
        <v>GP-330</v>
      </c>
      <c r="J560" s="120" t="str">
        <f t="shared" si="25"/>
        <v>ADA</v>
      </c>
      <c r="K560" s="142">
        <v>12.0</v>
      </c>
      <c r="L560" s="145" t="str">
        <f>IFERROR(__xludf.DUMMYFUNCTION("vlookup($D560,IMPORTRANGE(""https://docs.google.com/spreadsheets/d/1swGwZOEqYlTEUCJLY-eeJM1911Kvaei5oySBIxdgtNo/edit?pli=1#gid=257618397"",""stock FAKTUR!B:q""),16,false)"),"LSN")</f>
        <v>LSN</v>
      </c>
      <c r="M560" s="147">
        <v>14100.0</v>
      </c>
      <c r="N560" s="152">
        <v>0.05</v>
      </c>
      <c r="O560" s="147">
        <f t="shared" si="134"/>
        <v>160740</v>
      </c>
      <c r="P560" s="147" t="str">
        <f t="shared" si="3"/>
        <v>Rp14,100-12 LSN-5.00%</v>
      </c>
      <c r="Q560" s="149">
        <v>45419.0</v>
      </c>
      <c r="R560" s="149">
        <v>45418.0</v>
      </c>
      <c r="S560" s="149">
        <v>45422.0</v>
      </c>
      <c r="T560" s="151"/>
      <c r="U560" s="151"/>
      <c r="V560" s="151"/>
      <c r="W560" s="151"/>
    </row>
    <row r="561">
      <c r="A561" s="142">
        <v>4802.0</v>
      </c>
      <c r="B561" s="143" t="str">
        <f t="shared" ref="B561:B571" si="167">IF(A561=A560,B560,"")</f>
        <v>H</v>
      </c>
      <c r="C561" s="143" t="str">
        <f t="shared" ref="C561:C571" si="168">IF(A561=A560,C560,"")</f>
        <v>PANTES-BANTUL</v>
      </c>
      <c r="D561" s="23" t="s">
        <v>4573</v>
      </c>
      <c r="E561" s="145" t="str">
        <f>IFERROR(__xludf.DUMMYFUNCTION("vlookup(D561,IMPORTRANGE(""https://docs.google.com/spreadsheets/d/1swGwZOEqYlTEUCJLY-eeJM1911Kvaei5oySBIxdgtNo/edit?pli=1#gid=257618397"",""stock FAKTUR!B:C""),2,false)"),"PENSIL KENKO 2B-6120 DOODLE")</f>
        <v>PENSIL KENKO 2B-6120 DOODLE</v>
      </c>
      <c r="F561" s="53" t="str">
        <f>IFERROR(__xludf.DUMMYFUNCTION("vlookup($D561,IMPORTRANGE(""https://docs.google.com/spreadsheets/d/1swGwZOEqYlTEUCJLY-eeJM1911Kvaei5oySBIxdgtNo/edit?pli=1#gid=257618397"",""stock FAKTUR!B:d""),3,false)"),"")</f>
        <v/>
      </c>
      <c r="G561" s="53" t="str">
        <f>IFERROR(__xludf.DUMMYFUNCTION("vlookup($D561,IMPORTRANGE(""https://docs.google.com/spreadsheets/d/1swGwZOEqYlTEUCJLY-eeJM1911Kvaei5oySBIxdgtNo/edit?pli=1#gid=257618397"",""stock FAKTUR!B:e""),4,false)"),"")</f>
        <v/>
      </c>
      <c r="H561" s="53" t="str">
        <f>IFERROR(__xludf.DUMMYFUNCTION("vlookup($D561,IMPORTRANGE(""https://docs.google.com/spreadsheets/d/1swGwZOEqYlTEUCJLY-eeJM1911Kvaei5oySBIxdgtNo/edit?pli=1#gid=257618397"",""stock FAKTUR!B:F""),5,false)"),"KN")</f>
        <v>KN</v>
      </c>
      <c r="I561" s="53" t="str">
        <f>IFERROR(__xludf.DUMMYFUNCTION("vlookup($D561,IMPORTRANGE(""https://docs.google.com/spreadsheets/d/1swGwZOEqYlTEUCJLY-eeJM1911Kvaei5oySBIxdgtNo/edit?pli=1#gid=257618397"",""stock FAKTUR!B:G""),6,false)"),"6120")</f>
        <v>6120</v>
      </c>
      <c r="J561" s="120" t="str">
        <f t="shared" si="25"/>
        <v>ADA</v>
      </c>
      <c r="K561" s="142">
        <v>1.0</v>
      </c>
      <c r="L561" s="145" t="str">
        <f>IFERROR(__xludf.DUMMYFUNCTION("vlookup($D561,IMPORTRANGE(""https://docs.google.com/spreadsheets/d/1swGwZOEqYlTEUCJLY-eeJM1911Kvaei5oySBIxdgtNo/edit?pli=1#gid=257618397"",""stock FAKTUR!B:q""),16,false)"),"GRS")</f>
        <v>GRS</v>
      </c>
      <c r="M561" s="147">
        <v>105600.0</v>
      </c>
      <c r="N561" s="152">
        <v>0.05</v>
      </c>
      <c r="O561" s="147">
        <f t="shared" si="134"/>
        <v>100320</v>
      </c>
      <c r="P561" s="147" t="str">
        <f t="shared" si="3"/>
        <v>Rp105,600-1 GRS-5.00%</v>
      </c>
      <c r="Q561" s="149">
        <v>45419.0</v>
      </c>
      <c r="R561" s="149">
        <v>45418.0</v>
      </c>
      <c r="S561" s="149">
        <v>45422.0</v>
      </c>
      <c r="T561" s="194" t="s">
        <v>4661</v>
      </c>
      <c r="U561" s="192" t="s">
        <v>4390</v>
      </c>
      <c r="V561" s="151"/>
      <c r="W561" s="159"/>
    </row>
    <row r="562">
      <c r="A562" s="142">
        <v>4802.0</v>
      </c>
      <c r="B562" s="143" t="str">
        <f t="shared" si="167"/>
        <v>H</v>
      </c>
      <c r="C562" s="143" t="str">
        <f t="shared" si="168"/>
        <v>PANTES-BANTUL</v>
      </c>
      <c r="D562" s="193" t="s">
        <v>4576</v>
      </c>
      <c r="E562" s="145" t="str">
        <f>IFERROR(__xludf.DUMMYFUNCTION("vlookup(D562,IMPORTRANGE(""https://docs.google.com/spreadsheets/d/1swGwZOEqYlTEUCJLY-eeJM1911Kvaei5oySBIxdgtNo/edit?pli=1#gid=257618397"",""stock FAKTUR!B:C""),2,false)"),"PENSIL KENKO 2B-0192")</f>
        <v>PENSIL KENKO 2B-0192</v>
      </c>
      <c r="F562" s="53" t="str">
        <f>IFERROR(__xludf.DUMMYFUNCTION("vlookup($D562,IMPORTRANGE(""https://docs.google.com/spreadsheets/d/1swGwZOEqYlTEUCJLY-eeJM1911Kvaei5oySBIxdgtNo/edit?pli=1#gid=257618397"",""stock FAKTUR!B:d""),3,false)"),"")</f>
        <v/>
      </c>
      <c r="G562" s="53" t="str">
        <f>IFERROR(__xludf.DUMMYFUNCTION("vlookup($D562,IMPORTRANGE(""https://docs.google.com/spreadsheets/d/1swGwZOEqYlTEUCJLY-eeJM1911Kvaei5oySBIxdgtNo/edit?pli=1#gid=257618397"",""stock FAKTUR!B:e""),4,false)"),"")</f>
        <v/>
      </c>
      <c r="H562" s="53" t="str">
        <f>IFERROR(__xludf.DUMMYFUNCTION("vlookup($D562,IMPORTRANGE(""https://docs.google.com/spreadsheets/d/1swGwZOEqYlTEUCJLY-eeJM1911Kvaei5oySBIxdgtNo/edit?pli=1#gid=257618397"",""stock FAKTUR!B:F""),5,false)"),"KN")</f>
        <v>KN</v>
      </c>
      <c r="I562" s="53" t="str">
        <f>IFERROR(__xludf.DUMMYFUNCTION("vlookup($D562,IMPORTRANGE(""https://docs.google.com/spreadsheets/d/1swGwZOEqYlTEUCJLY-eeJM1911Kvaei5oySBIxdgtNo/edit?pli=1#gid=257618397"",""stock FAKTUR!B:G""),6,false)"),"0192")</f>
        <v>0192</v>
      </c>
      <c r="J562" s="120" t="str">
        <f t="shared" si="25"/>
        <v>ADA</v>
      </c>
      <c r="K562" s="142">
        <v>1.0</v>
      </c>
      <c r="L562" s="145" t="str">
        <f>IFERROR(__xludf.DUMMYFUNCTION("vlookup($D562,IMPORTRANGE(""https://docs.google.com/spreadsheets/d/1swGwZOEqYlTEUCJLY-eeJM1911Kvaei5oySBIxdgtNo/edit?pli=1#gid=257618397"",""stock FAKTUR!B:q""),16,false)"),"GRS")</f>
        <v>GRS</v>
      </c>
      <c r="M562" s="147">
        <v>122400.0</v>
      </c>
      <c r="N562" s="152">
        <v>0.05</v>
      </c>
      <c r="O562" s="147">
        <f t="shared" si="134"/>
        <v>116280</v>
      </c>
      <c r="P562" s="147" t="str">
        <f t="shared" si="3"/>
        <v>Rp122,400-1 GRS-5.00%</v>
      </c>
      <c r="Q562" s="149">
        <v>45419.0</v>
      </c>
      <c r="R562" s="149">
        <v>45418.0</v>
      </c>
      <c r="S562" s="149">
        <v>45422.0</v>
      </c>
      <c r="T562" s="194" t="s">
        <v>4661</v>
      </c>
      <c r="U562" s="192" t="s">
        <v>4390</v>
      </c>
      <c r="V562" s="151"/>
      <c r="W562" s="159"/>
    </row>
    <row r="563">
      <c r="A563" s="142">
        <v>4802.0</v>
      </c>
      <c r="B563" s="143" t="str">
        <f t="shared" si="167"/>
        <v>H</v>
      </c>
      <c r="C563" s="143" t="str">
        <f t="shared" si="168"/>
        <v>PANTES-BANTUL</v>
      </c>
      <c r="D563" s="145" t="s">
        <v>4701</v>
      </c>
      <c r="E563" s="145" t="str">
        <f>IFERROR(__xludf.DUMMYFUNCTION("vlookup(D563,IMPORTRANGE(""https://docs.google.com/spreadsheets/d/1swGwZOEqYlTEUCJLY-eeJM1911Kvaei5oySBIxdgtNo/edit?pli=1#gid=257618397"",""stock FAKTUR!B:C""),2,false)"),"LEM SUPER KENKO SG-03 A")</f>
        <v>LEM SUPER KENKO SG-03 A</v>
      </c>
      <c r="F563" s="53" t="str">
        <f>IFERROR(__xludf.DUMMYFUNCTION("vlookup($D563,IMPORTRANGE(""https://docs.google.com/spreadsheets/d/1swGwZOEqYlTEUCJLY-eeJM1911Kvaei5oySBIxdgtNo/edit?pli=1#gid=257618397"",""stock FAKTUR!B:d""),3,false)"),"")</f>
        <v/>
      </c>
      <c r="G563" s="53" t="str">
        <f>IFERROR(__xludf.DUMMYFUNCTION("vlookup($D563,IMPORTRANGE(""https://docs.google.com/spreadsheets/d/1swGwZOEqYlTEUCJLY-eeJM1911Kvaei5oySBIxdgtNo/edit?pli=1#gid=257618397"",""stock FAKTUR!B:e""),4,false)"),"")</f>
        <v/>
      </c>
      <c r="H563" s="53" t="str">
        <f>IFERROR(__xludf.DUMMYFUNCTION("vlookup($D563,IMPORTRANGE(""https://docs.google.com/spreadsheets/d/1swGwZOEqYlTEUCJLY-eeJM1911Kvaei5oySBIxdgtNo/edit?pli=1#gid=257618397"",""stock FAKTUR!B:F""),5,false)"),"KN")</f>
        <v>KN</v>
      </c>
      <c r="I563" s="53" t="str">
        <f>IFERROR(__xludf.DUMMYFUNCTION("vlookup($D563,IMPORTRANGE(""https://docs.google.com/spreadsheets/d/1swGwZOEqYlTEUCJLY-eeJM1911Kvaei5oySBIxdgtNo/edit?pli=1#gid=257618397"",""stock FAKTUR!B:G""),6,false)"),"SG-03 A")</f>
        <v>SG-03 A</v>
      </c>
      <c r="J563" s="120" t="str">
        <f t="shared" si="25"/>
        <v>ADA</v>
      </c>
      <c r="K563" s="142">
        <v>2.0</v>
      </c>
      <c r="L563" s="145" t="str">
        <f>IFERROR(__xludf.DUMMYFUNCTION("vlookup($D563,IMPORTRANGE(""https://docs.google.com/spreadsheets/d/1swGwZOEqYlTEUCJLY-eeJM1911Kvaei5oySBIxdgtNo/edit?pli=1#gid=257618397"",""stock FAKTUR!B:q""),16,false)"),"LSN")</f>
        <v>LSN</v>
      </c>
      <c r="M563" s="147">
        <v>21600.0</v>
      </c>
      <c r="N563" s="152">
        <v>0.05</v>
      </c>
      <c r="O563" s="147">
        <f t="shared" si="134"/>
        <v>41040</v>
      </c>
      <c r="P563" s="147" t="str">
        <f t="shared" si="3"/>
        <v>Rp21,600-2 LSN-5.00%</v>
      </c>
      <c r="Q563" s="149">
        <v>45419.0</v>
      </c>
      <c r="R563" s="149">
        <v>45418.0</v>
      </c>
      <c r="S563" s="149">
        <v>45422.0</v>
      </c>
      <c r="T563" s="151"/>
      <c r="U563" s="151"/>
      <c r="V563" s="151"/>
      <c r="W563" s="151"/>
    </row>
    <row r="564">
      <c r="A564" s="142">
        <v>4802.0</v>
      </c>
      <c r="B564" s="143" t="str">
        <f t="shared" si="167"/>
        <v>H</v>
      </c>
      <c r="C564" s="143" t="str">
        <f t="shared" si="168"/>
        <v>PANTES-BANTUL</v>
      </c>
      <c r="D564" s="145" t="s">
        <v>4702</v>
      </c>
      <c r="E564" s="145" t="str">
        <f>IFERROR(__xludf.DUMMYFUNCTION("vlookup(D564,IMPORTRANGE(""https://docs.google.com/spreadsheets/d/1swGwZOEqYlTEUCJLY-eeJM1911Kvaei5oySBIxdgtNo/edit?pli=1#gid=257618397"",""stock FAKTUR!B:C""),2,false)"),"BINDER CLIP JK 107")</f>
        <v>BINDER CLIP JK 107</v>
      </c>
      <c r="F564" s="53" t="str">
        <f>IFERROR(__xludf.DUMMYFUNCTION("vlookup($D564,IMPORTRANGE(""https://docs.google.com/spreadsheets/d/1swGwZOEqYlTEUCJLY-eeJM1911Kvaei5oySBIxdgtNo/edit?pli=1#gid=257618397"",""stock FAKTUR!B:d""),3,false)"),"")</f>
        <v/>
      </c>
      <c r="G564" s="53" t="str">
        <f>IFERROR(__xludf.DUMMYFUNCTION("vlookup($D564,IMPORTRANGE(""https://docs.google.com/spreadsheets/d/1swGwZOEqYlTEUCJLY-eeJM1911Kvaei5oySBIxdgtNo/edit?pli=1#gid=257618397"",""stock FAKTUR!B:e""),4,false)"),"")</f>
        <v/>
      </c>
      <c r="H564" s="53" t="str">
        <f>IFERROR(__xludf.DUMMYFUNCTION("vlookup($D564,IMPORTRANGE(""https://docs.google.com/spreadsheets/d/1swGwZOEqYlTEUCJLY-eeJM1911Kvaei5oySBIxdgtNo/edit?pli=1#gid=257618397"",""stock FAKTUR!B:F""),5,false)"),"JK")</f>
        <v>JK</v>
      </c>
      <c r="I564" s="53" t="str">
        <f>IFERROR(__xludf.DUMMYFUNCTION("vlookup($D564,IMPORTRANGE(""https://docs.google.com/spreadsheets/d/1swGwZOEqYlTEUCJLY-eeJM1911Kvaei5oySBIxdgtNo/edit?pli=1#gid=257618397"",""stock FAKTUR!B:G""),6,false)"),"107")</f>
        <v>107</v>
      </c>
      <c r="J564" s="120" t="str">
        <f t="shared" si="25"/>
        <v>ADA</v>
      </c>
      <c r="K564" s="142">
        <v>2.0</v>
      </c>
      <c r="L564" s="145" t="str">
        <f>IFERROR(__xludf.DUMMYFUNCTION("vlookup($D564,IMPORTRANGE(""https://docs.google.com/spreadsheets/d/1swGwZOEqYlTEUCJLY-eeJM1911Kvaei5oySBIxdgtNo/edit?pli=1#gid=257618397"",""stock FAKTUR!B:q""),16,false)"),"GRS")</f>
        <v>GRS</v>
      </c>
      <c r="M564" s="147">
        <v>12000.0</v>
      </c>
      <c r="N564" s="152">
        <v>0.05</v>
      </c>
      <c r="O564" s="147">
        <f t="shared" si="134"/>
        <v>22800</v>
      </c>
      <c r="P564" s="147" t="str">
        <f t="shared" si="3"/>
        <v>Rp12,000-2 GRS-5.00%</v>
      </c>
      <c r="Q564" s="149">
        <v>45419.0</v>
      </c>
      <c r="R564" s="149">
        <v>45418.0</v>
      </c>
      <c r="S564" s="149">
        <v>45422.0</v>
      </c>
      <c r="T564" s="151"/>
      <c r="U564" s="151"/>
      <c r="V564" s="151"/>
      <c r="W564" s="151"/>
    </row>
    <row r="565">
      <c r="A565" s="142">
        <v>4802.0</v>
      </c>
      <c r="B565" s="143" t="str">
        <f t="shared" si="167"/>
        <v>H</v>
      </c>
      <c r="C565" s="143" t="str">
        <f t="shared" si="168"/>
        <v>PANTES-BANTUL</v>
      </c>
      <c r="D565" s="159" t="s">
        <v>4703</v>
      </c>
      <c r="E565" s="145" t="str">
        <f>IFERROR(__xludf.DUMMYFUNCTION("vlookup(D565,IMPORTRANGE(""https://docs.google.com/spreadsheets/d/1swGwZOEqYlTEUCJLY-eeJM1911Kvaei5oySBIxdgtNo/edit?pli=1#gid=257618397"",""stock FAKTUR!B:C""),2,false)"),"ASAHAN KENKO SP-71 S KECIL")</f>
        <v>ASAHAN KENKO SP-71 S KECIL</v>
      </c>
      <c r="F565" s="53" t="str">
        <f>IFERROR(__xludf.DUMMYFUNCTION("vlookup($D565,IMPORTRANGE(""https://docs.google.com/spreadsheets/d/1swGwZOEqYlTEUCJLY-eeJM1911Kvaei5oySBIxdgtNo/edit?pli=1#gid=257618397"",""stock FAKTUR!B:d""),3,false)"),"K")</f>
        <v>K</v>
      </c>
      <c r="G565" s="53" t="str">
        <f>IFERROR(__xludf.DUMMYFUNCTION("vlookup($D565,IMPORTRANGE(""https://docs.google.com/spreadsheets/d/1swGwZOEqYlTEUCJLY-eeJM1911Kvaei5oySBIxdgtNo/edit?pli=1#gid=257618397"",""stock FAKTUR!B:e""),4,false)"),"")</f>
        <v/>
      </c>
      <c r="H565" s="53" t="str">
        <f>IFERROR(__xludf.DUMMYFUNCTION("vlookup($D565,IMPORTRANGE(""https://docs.google.com/spreadsheets/d/1swGwZOEqYlTEUCJLY-eeJM1911Kvaei5oySBIxdgtNo/edit?pli=1#gid=257618397"",""stock FAKTUR!B:F""),5,false)"),"KN")</f>
        <v>KN</v>
      </c>
      <c r="I565" s="53" t="str">
        <f>IFERROR(__xludf.DUMMYFUNCTION("vlookup($D565,IMPORTRANGE(""https://docs.google.com/spreadsheets/d/1swGwZOEqYlTEUCJLY-eeJM1911Kvaei5oySBIxdgtNo/edit?pli=1#gid=257618397"",""stock FAKTUR!B:G""),6,false)"),"")</f>
        <v/>
      </c>
      <c r="J565" s="120" t="str">
        <f t="shared" si="25"/>
        <v>ADA</v>
      </c>
      <c r="K565" s="142">
        <v>1.0</v>
      </c>
      <c r="L565" s="145" t="str">
        <f>IFERROR(__xludf.DUMMYFUNCTION("vlookup($D565,IMPORTRANGE(""https://docs.google.com/spreadsheets/d/1swGwZOEqYlTEUCJLY-eeJM1911Kvaei5oySBIxdgtNo/edit?pli=1#gid=257618397"",""stock FAKTUR!B:q""),16,false)"),"BOX")</f>
        <v>BOX</v>
      </c>
      <c r="M565" s="147">
        <v>15900.0</v>
      </c>
      <c r="N565" s="152">
        <v>0.05</v>
      </c>
      <c r="O565" s="147">
        <f t="shared" si="134"/>
        <v>15105</v>
      </c>
      <c r="P565" s="147" t="str">
        <f t="shared" si="3"/>
        <v>Rp15,900-1 BOX-5.00%</v>
      </c>
      <c r="Q565" s="149">
        <v>45419.0</v>
      </c>
      <c r="R565" s="149">
        <v>45418.0</v>
      </c>
      <c r="S565" s="149">
        <v>45422.0</v>
      </c>
      <c r="T565" s="151"/>
      <c r="U565" s="151"/>
      <c r="V565" s="151"/>
      <c r="W565" s="151"/>
    </row>
    <row r="566">
      <c r="A566" s="142">
        <v>4802.0</v>
      </c>
      <c r="B566" s="143" t="str">
        <f t="shared" si="167"/>
        <v>H</v>
      </c>
      <c r="C566" s="143" t="str">
        <f t="shared" si="168"/>
        <v>PANTES-BANTUL</v>
      </c>
      <c r="D566" s="145" t="s">
        <v>4413</v>
      </c>
      <c r="E566" s="145" t="str">
        <f>IFERROR(__xludf.DUMMYFUNCTION("vlookup(D566,IMPORTRANGE(""https://docs.google.com/spreadsheets/d/1swGwZOEqYlTEUCJLY-eeJM1911Kvaei5oySBIxdgtNo/edit?pli=1#gid=257618397"",""stock FAKTUR!B:C""),2,false)"),"PENSIL GLASS JK PG-100 (HITAM)")</f>
        <v>PENSIL GLASS JK PG-100 (HITAM)</v>
      </c>
      <c r="F566" s="53" t="str">
        <f>IFERROR(__xludf.DUMMYFUNCTION("vlookup($D566,IMPORTRANGE(""https://docs.google.com/spreadsheets/d/1swGwZOEqYlTEUCJLY-eeJM1911Kvaei5oySBIxdgtNo/edit?pli=1#gid=257618397"",""stock FAKTUR!B:d""),3,false)"),"")</f>
        <v/>
      </c>
      <c r="G566" s="53" t="str">
        <f>IFERROR(__xludf.DUMMYFUNCTION("vlookup($D566,IMPORTRANGE(""https://docs.google.com/spreadsheets/d/1swGwZOEqYlTEUCJLY-eeJM1911Kvaei5oySBIxdgtNo/edit?pli=1#gid=257618397"",""stock FAKTUR!B:e""),4,false)"),"HITAM")</f>
        <v>HITAM</v>
      </c>
      <c r="H566" s="53" t="str">
        <f>IFERROR(__xludf.DUMMYFUNCTION("vlookup($D566,IMPORTRANGE(""https://docs.google.com/spreadsheets/d/1swGwZOEqYlTEUCJLY-eeJM1911Kvaei5oySBIxdgtNo/edit?pli=1#gid=257618397"",""stock FAKTUR!B:F""),5,false)"),"JK")</f>
        <v>JK</v>
      </c>
      <c r="I566" s="53" t="str">
        <f>IFERROR(__xludf.DUMMYFUNCTION("vlookup($D566,IMPORTRANGE(""https://docs.google.com/spreadsheets/d/1swGwZOEqYlTEUCJLY-eeJM1911Kvaei5oySBIxdgtNo/edit?pli=1#gid=257618397"",""stock FAKTUR!B:G""),6,false)"),"")</f>
        <v/>
      </c>
      <c r="J566" s="120" t="str">
        <f t="shared" si="25"/>
        <v>ADA</v>
      </c>
      <c r="K566" s="142">
        <f>4/12</f>
        <v>0.3333333333</v>
      </c>
      <c r="L566" s="145" t="str">
        <f>IFERROR(__xludf.DUMMYFUNCTION("vlookup($D566,IMPORTRANGE(""https://docs.google.com/spreadsheets/d/1swGwZOEqYlTEUCJLY-eeJM1911Kvaei5oySBIxdgtNo/edit?pli=1#gid=257618397"",""stock FAKTUR!B:q""),16,false)"),"GRS")</f>
        <v>GRS</v>
      </c>
      <c r="M566" s="147">
        <f t="shared" ref="M566:M567" si="169">21300*12</f>
        <v>255600</v>
      </c>
      <c r="N566" s="152">
        <v>0.05</v>
      </c>
      <c r="O566" s="147">
        <f t="shared" si="134"/>
        <v>80940</v>
      </c>
      <c r="P566" s="147" t="str">
        <f t="shared" si="3"/>
        <v>Rp255,600-0.333333333333333 GRS-5.00%</v>
      </c>
      <c r="Q566" s="149">
        <v>45419.0</v>
      </c>
      <c r="R566" s="149">
        <v>45418.0</v>
      </c>
      <c r="S566" s="149">
        <v>45422.0</v>
      </c>
      <c r="T566" s="151"/>
      <c r="U566" s="151"/>
      <c r="V566" s="151"/>
      <c r="W566" s="151"/>
    </row>
    <row r="567">
      <c r="A567" s="142">
        <v>4802.0</v>
      </c>
      <c r="B567" s="143" t="str">
        <f t="shared" si="167"/>
        <v>H</v>
      </c>
      <c r="C567" s="143" t="str">
        <f t="shared" si="168"/>
        <v>PANTES-BANTUL</v>
      </c>
      <c r="D567" s="145" t="s">
        <v>4414</v>
      </c>
      <c r="E567" s="145" t="str">
        <f>IFERROR(__xludf.DUMMYFUNCTION("vlookup(D567,IMPORTRANGE(""https://docs.google.com/spreadsheets/d/1swGwZOEqYlTEUCJLY-eeJM1911Kvaei5oySBIxdgtNo/edit?pli=1#gid=257618397"",""stock FAKTUR!B:C""),2,false)"),"PENSIL GLASS JK PG-100 (PUTIH)")</f>
        <v>PENSIL GLASS JK PG-100 (PUTIH)</v>
      </c>
      <c r="F567" s="53" t="str">
        <f>IFERROR(__xludf.DUMMYFUNCTION("vlookup($D567,IMPORTRANGE(""https://docs.google.com/spreadsheets/d/1swGwZOEqYlTEUCJLY-eeJM1911Kvaei5oySBIxdgtNo/edit?pli=1#gid=257618397"",""stock FAKTUR!B:d""),3,false)"),"")</f>
        <v/>
      </c>
      <c r="G567" s="53" t="str">
        <f>IFERROR(__xludf.DUMMYFUNCTION("vlookup($D567,IMPORTRANGE(""https://docs.google.com/spreadsheets/d/1swGwZOEqYlTEUCJLY-eeJM1911Kvaei5oySBIxdgtNo/edit?pli=1#gid=257618397"",""stock FAKTUR!B:e""),4,false)"),"PUTIH")</f>
        <v>PUTIH</v>
      </c>
      <c r="H567" s="53" t="str">
        <f>IFERROR(__xludf.DUMMYFUNCTION("vlookup($D567,IMPORTRANGE(""https://docs.google.com/spreadsheets/d/1swGwZOEqYlTEUCJLY-eeJM1911Kvaei5oySBIxdgtNo/edit?pli=1#gid=257618397"",""stock FAKTUR!B:F""),5,false)"),"JK")</f>
        <v>JK</v>
      </c>
      <c r="I567" s="53" t="str">
        <f>IFERROR(__xludf.DUMMYFUNCTION("vlookup($D567,IMPORTRANGE(""https://docs.google.com/spreadsheets/d/1swGwZOEqYlTEUCJLY-eeJM1911Kvaei5oySBIxdgtNo/edit?pli=1#gid=257618397"",""stock FAKTUR!B:G""),6,false)"),"")</f>
        <v/>
      </c>
      <c r="J567" s="120" t="str">
        <f t="shared" si="25"/>
        <v>ADA</v>
      </c>
      <c r="K567" s="142">
        <f>2/12</f>
        <v>0.1666666667</v>
      </c>
      <c r="L567" s="145" t="str">
        <f>IFERROR(__xludf.DUMMYFUNCTION("vlookup($D567,IMPORTRANGE(""https://docs.google.com/spreadsheets/d/1swGwZOEqYlTEUCJLY-eeJM1911Kvaei5oySBIxdgtNo/edit?pli=1#gid=257618397"",""stock FAKTUR!B:q""),16,false)"),"GRS")</f>
        <v>GRS</v>
      </c>
      <c r="M567" s="147">
        <f t="shared" si="169"/>
        <v>255600</v>
      </c>
      <c r="N567" s="152">
        <v>0.05</v>
      </c>
      <c r="O567" s="147">
        <f t="shared" si="134"/>
        <v>40470</v>
      </c>
      <c r="P567" s="147" t="str">
        <f t="shared" si="3"/>
        <v>Rp255,600-0.166666666666667 GRS-5.00%</v>
      </c>
      <c r="Q567" s="149">
        <v>45419.0</v>
      </c>
      <c r="R567" s="149">
        <v>45418.0</v>
      </c>
      <c r="S567" s="149">
        <v>45422.0</v>
      </c>
      <c r="T567" s="151"/>
      <c r="U567" s="151"/>
      <c r="V567" s="151"/>
      <c r="W567" s="151"/>
    </row>
    <row r="568">
      <c r="A568" s="142">
        <v>4802.0</v>
      </c>
      <c r="B568" s="143" t="str">
        <f t="shared" si="167"/>
        <v>H</v>
      </c>
      <c r="C568" s="143" t="str">
        <f t="shared" si="168"/>
        <v>PANTES-BANTUL</v>
      </c>
      <c r="D568" s="145" t="s">
        <v>4704</v>
      </c>
      <c r="E568" s="145" t="str">
        <f>IFERROR(__xludf.DUMMYFUNCTION("vlookup(D568,IMPORTRANGE(""https://docs.google.com/spreadsheets/d/1swGwZOEqYlTEUCJLY-eeJM1911Kvaei5oySBIxdgtNo/edit?pli=1#gid=257618397"",""stock FAKTUR!B:C""),2,false)"),"PUNCH KENKO 30")</f>
        <v>PUNCH KENKO 30</v>
      </c>
      <c r="F568" s="53" t="str">
        <f>IFERROR(__xludf.DUMMYFUNCTION("vlookup($D568,IMPORTRANGE(""https://docs.google.com/spreadsheets/d/1swGwZOEqYlTEUCJLY-eeJM1911Kvaei5oySBIxdgtNo/edit?pli=1#gid=257618397"",""stock FAKTUR!B:d""),3,false)"),"")</f>
        <v/>
      </c>
      <c r="G568" s="53" t="str">
        <f>IFERROR(__xludf.DUMMYFUNCTION("vlookup($D568,IMPORTRANGE(""https://docs.google.com/spreadsheets/d/1swGwZOEqYlTEUCJLY-eeJM1911Kvaei5oySBIxdgtNo/edit?pli=1#gid=257618397"",""stock FAKTUR!B:e""),4,false)"),"")</f>
        <v/>
      </c>
      <c r="H568" s="53" t="str">
        <f>IFERROR(__xludf.DUMMYFUNCTION("vlookup($D568,IMPORTRANGE(""https://docs.google.com/spreadsheets/d/1swGwZOEqYlTEUCJLY-eeJM1911Kvaei5oySBIxdgtNo/edit?pli=1#gid=257618397"",""stock FAKTUR!B:F""),5,false)"),"KN")</f>
        <v>KN</v>
      </c>
      <c r="I568" s="53" t="str">
        <f>IFERROR(__xludf.DUMMYFUNCTION("vlookup($D568,IMPORTRANGE(""https://docs.google.com/spreadsheets/d/1swGwZOEqYlTEUCJLY-eeJM1911Kvaei5oySBIxdgtNo/edit?pli=1#gid=257618397"",""stock FAKTUR!B:G""),6,false)"),"PNC-002")</f>
        <v>PNC-002</v>
      </c>
      <c r="J568" s="120" t="str">
        <f t="shared" si="25"/>
        <v>ADA</v>
      </c>
      <c r="K568" s="142">
        <f t="shared" ref="K568:K569" si="170">12/12</f>
        <v>1</v>
      </c>
      <c r="L568" s="145" t="str">
        <f>IFERROR(__xludf.DUMMYFUNCTION("vlookup($D568,IMPORTRANGE(""https://docs.google.com/spreadsheets/d/1swGwZOEqYlTEUCJLY-eeJM1911Kvaei5oySBIxdgtNo/edit?pli=1#gid=257618397"",""stock FAKTUR!B:q""),16,false)"),"LSN")</f>
        <v>LSN</v>
      </c>
      <c r="M568" s="147">
        <f>13000*12</f>
        <v>156000</v>
      </c>
      <c r="N568" s="152">
        <v>0.05</v>
      </c>
      <c r="O568" s="147">
        <f t="shared" si="134"/>
        <v>148200</v>
      </c>
      <c r="P568" s="147" t="str">
        <f t="shared" si="3"/>
        <v>Rp156,000-1 LSN-5.00%</v>
      </c>
      <c r="Q568" s="149">
        <v>45419.0</v>
      </c>
      <c r="R568" s="149">
        <v>45418.0</v>
      </c>
      <c r="S568" s="149">
        <v>45422.0</v>
      </c>
      <c r="T568" s="151"/>
      <c r="U568" s="151"/>
      <c r="V568" s="151"/>
      <c r="W568" s="151"/>
    </row>
    <row r="569">
      <c r="A569" s="142">
        <v>4802.0</v>
      </c>
      <c r="B569" s="143" t="str">
        <f t="shared" si="167"/>
        <v>H</v>
      </c>
      <c r="C569" s="143" t="str">
        <f t="shared" si="168"/>
        <v>PANTES-BANTUL</v>
      </c>
      <c r="D569" s="145" t="s">
        <v>4621</v>
      </c>
      <c r="E569" s="145" t="str">
        <f>IFERROR(__xludf.DUMMYFUNCTION("vlookup(D569,IMPORTRANGE(""https://docs.google.com/spreadsheets/d/1swGwZOEqYlTEUCJLY-eeJM1911Kvaei5oySBIxdgtNo/edit?pli=1#gid=257618397"",""stock FAKTUR!B:C""),2,false)"),"PUNCH KENKO 30XL")</f>
        <v>PUNCH KENKO 30XL</v>
      </c>
      <c r="F569" s="53" t="str">
        <f>IFERROR(__xludf.DUMMYFUNCTION("vlookup($D569,IMPORTRANGE(""https://docs.google.com/spreadsheets/d/1swGwZOEqYlTEUCJLY-eeJM1911Kvaei5oySBIxdgtNo/edit?pli=1#gid=257618397"",""stock FAKTUR!B:d""),3,false)"),"")</f>
        <v/>
      </c>
      <c r="G569" s="53" t="str">
        <f>IFERROR(__xludf.DUMMYFUNCTION("vlookup($D569,IMPORTRANGE(""https://docs.google.com/spreadsheets/d/1swGwZOEqYlTEUCJLY-eeJM1911Kvaei5oySBIxdgtNo/edit?pli=1#gid=257618397"",""stock FAKTUR!B:e""),4,false)"),"")</f>
        <v/>
      </c>
      <c r="H569" s="53" t="str">
        <f>IFERROR(__xludf.DUMMYFUNCTION("vlookup($D569,IMPORTRANGE(""https://docs.google.com/spreadsheets/d/1swGwZOEqYlTEUCJLY-eeJM1911Kvaei5oySBIxdgtNo/edit?pli=1#gid=257618397"",""stock FAKTUR!B:F""),5,false)"),"KN")</f>
        <v>KN</v>
      </c>
      <c r="I569" s="53" t="str">
        <f>IFERROR(__xludf.DUMMYFUNCTION("vlookup($D569,IMPORTRANGE(""https://docs.google.com/spreadsheets/d/1swGwZOEqYlTEUCJLY-eeJM1911Kvaei5oySBIxdgtNo/edit?pli=1#gid=257618397"",""stock FAKTUR!B:G""),6,false)"),"PNC-006")</f>
        <v>PNC-006</v>
      </c>
      <c r="J569" s="120" t="str">
        <f t="shared" si="25"/>
        <v>ADA</v>
      </c>
      <c r="K569" s="142">
        <f t="shared" si="170"/>
        <v>1</v>
      </c>
      <c r="L569" s="145" t="str">
        <f>IFERROR(__xludf.DUMMYFUNCTION("vlookup($D569,IMPORTRANGE(""https://docs.google.com/spreadsheets/d/1swGwZOEqYlTEUCJLY-eeJM1911Kvaei5oySBIxdgtNo/edit?pli=1#gid=257618397"",""stock FAKTUR!B:q""),16,false)"),"LSN")</f>
        <v>LSN</v>
      </c>
      <c r="M569" s="147">
        <f>15000*12</f>
        <v>180000</v>
      </c>
      <c r="N569" s="152">
        <v>0.05</v>
      </c>
      <c r="O569" s="147">
        <f t="shared" si="134"/>
        <v>171000</v>
      </c>
      <c r="P569" s="147" t="str">
        <f t="shared" si="3"/>
        <v>Rp180,000-1 LSN-5.00%</v>
      </c>
      <c r="Q569" s="149">
        <v>45419.0</v>
      </c>
      <c r="R569" s="149">
        <v>45418.0</v>
      </c>
      <c r="S569" s="149">
        <v>45422.0</v>
      </c>
      <c r="T569" s="151"/>
      <c r="U569" s="151"/>
      <c r="V569" s="151"/>
      <c r="W569" s="151"/>
    </row>
    <row r="570">
      <c r="A570" s="142">
        <v>4802.0</v>
      </c>
      <c r="B570" s="143" t="str">
        <f t="shared" si="167"/>
        <v>H</v>
      </c>
      <c r="C570" s="143" t="str">
        <f t="shared" si="168"/>
        <v>PANTES-BANTUL</v>
      </c>
      <c r="D570" s="145" t="s">
        <v>4514</v>
      </c>
      <c r="E570" s="145" t="str">
        <f>IFERROR(__xludf.DUMMYFUNCTION("vlookup(D570,IMPORTRANGE(""https://docs.google.com/spreadsheets/d/1swGwZOEqYlTEUCJLY-eeJM1911Kvaei5oySBIxdgtNo/edit?pli=1#gid=257618397"",""stock FAKTUR!B:C""),2,false)"),"TAPE DISPENSER KENKO TD-323")</f>
        <v>TAPE DISPENSER KENKO TD-323</v>
      </c>
      <c r="F570" s="53" t="str">
        <f>IFERROR(__xludf.DUMMYFUNCTION("vlookup($D570,IMPORTRANGE(""https://docs.google.com/spreadsheets/d/1swGwZOEqYlTEUCJLY-eeJM1911Kvaei5oySBIxdgtNo/edit?pli=1#gid=257618397"",""stock FAKTUR!B:d""),3,false)"),"")</f>
        <v/>
      </c>
      <c r="G570" s="53" t="str">
        <f>IFERROR(__xludf.DUMMYFUNCTION("vlookup($D570,IMPORTRANGE(""https://docs.google.com/spreadsheets/d/1swGwZOEqYlTEUCJLY-eeJM1911Kvaei5oySBIxdgtNo/edit?pli=1#gid=257618397"",""stock FAKTUR!B:e""),4,false)"),"")</f>
        <v/>
      </c>
      <c r="H570" s="53" t="str">
        <f>IFERROR(__xludf.DUMMYFUNCTION("vlookup($D570,IMPORTRANGE(""https://docs.google.com/spreadsheets/d/1swGwZOEqYlTEUCJLY-eeJM1911Kvaei5oySBIxdgtNo/edit?pli=1#gid=257618397"",""stock FAKTUR!B:F""),5,false)"),"KN")</f>
        <v>KN</v>
      </c>
      <c r="I570" s="53" t="str">
        <f>IFERROR(__xludf.DUMMYFUNCTION("vlookup($D570,IMPORTRANGE(""https://docs.google.com/spreadsheets/d/1swGwZOEqYlTEUCJLY-eeJM1911Kvaei5oySBIxdgtNo/edit?pli=1#gid=257618397"",""stock FAKTUR!B:G""),6,false)"),"TPD-006")</f>
        <v>TPD-006</v>
      </c>
      <c r="J570" s="120" t="str">
        <f t="shared" si="25"/>
        <v>ADA</v>
      </c>
      <c r="K570" s="142">
        <v>12.0</v>
      </c>
      <c r="L570" s="145" t="str">
        <f>IFERROR(__xludf.DUMMYFUNCTION("vlookup($D570,IMPORTRANGE(""https://docs.google.com/spreadsheets/d/1swGwZOEqYlTEUCJLY-eeJM1911Kvaei5oySBIxdgtNo/edit?pli=1#gid=257618397"",""stock FAKTUR!B:q""),16,false)"),"PCS")</f>
        <v>PCS</v>
      </c>
      <c r="M570" s="147">
        <v>19250.0</v>
      </c>
      <c r="N570" s="152">
        <v>0.05</v>
      </c>
      <c r="O570" s="147">
        <f t="shared" si="134"/>
        <v>219450</v>
      </c>
      <c r="P570" s="147" t="str">
        <f t="shared" si="3"/>
        <v>Rp19,250-12 PCS-5.00%</v>
      </c>
      <c r="Q570" s="149">
        <v>45419.0</v>
      </c>
      <c r="R570" s="149">
        <v>45418.0</v>
      </c>
      <c r="S570" s="149">
        <v>45422.0</v>
      </c>
      <c r="T570" s="151"/>
      <c r="U570" s="151"/>
      <c r="V570" s="151"/>
      <c r="W570" s="151"/>
    </row>
    <row r="571">
      <c r="A571" s="142">
        <v>4802.0</v>
      </c>
      <c r="B571" s="143" t="str">
        <f t="shared" si="167"/>
        <v>H</v>
      </c>
      <c r="C571" s="143" t="str">
        <f t="shared" si="168"/>
        <v>PANTES-BANTUL</v>
      </c>
      <c r="D571" s="145" t="s">
        <v>4210</v>
      </c>
      <c r="E571" s="145" t="str">
        <f>IFERROR(__xludf.DUMMYFUNCTION("vlookup(D571,IMPORTRANGE(""https://docs.google.com/spreadsheets/d/1swGwZOEqYlTEUCJLY-eeJM1911Kvaei5oySBIxdgtNo/edit?pli=1#gid=257618397"",""stock FAKTUR!B:C""),2,false)"),"CUTTER KENKO L-500")</f>
        <v>CUTTER KENKO L-500</v>
      </c>
      <c r="F571" s="53" t="str">
        <f>IFERROR(__xludf.DUMMYFUNCTION("vlookup($D571,IMPORTRANGE(""https://docs.google.com/spreadsheets/d/1swGwZOEqYlTEUCJLY-eeJM1911Kvaei5oySBIxdgtNo/edit?pli=1#gid=257618397"",""stock FAKTUR!B:d""),3,false)"),"18 MM")</f>
        <v>18 MM</v>
      </c>
      <c r="G571" s="53" t="str">
        <f>IFERROR(__xludf.DUMMYFUNCTION("vlookup($D571,IMPORTRANGE(""https://docs.google.com/spreadsheets/d/1swGwZOEqYlTEUCJLY-eeJM1911Kvaei5oySBIxdgtNo/edit?pli=1#gid=257618397"",""stock FAKTUR!B:e""),4,false)"),"")</f>
        <v/>
      </c>
      <c r="H571" s="53" t="str">
        <f>IFERROR(__xludf.DUMMYFUNCTION("vlookup($D571,IMPORTRANGE(""https://docs.google.com/spreadsheets/d/1swGwZOEqYlTEUCJLY-eeJM1911Kvaei5oySBIxdgtNo/edit?pli=1#gid=257618397"",""stock FAKTUR!B:F""),5,false)"),"KN")</f>
        <v>KN</v>
      </c>
      <c r="I571" s="53" t="str">
        <f>IFERROR(__xludf.DUMMYFUNCTION("vlookup($D571,IMPORTRANGE(""https://docs.google.com/spreadsheets/d/1swGwZOEqYlTEUCJLY-eeJM1911Kvaei5oySBIxdgtNo/edit?pli=1#gid=257618397"",""stock FAKTUR!B:G""),6,false)"),"CTR-007")</f>
        <v>CTR-007</v>
      </c>
      <c r="J571" s="120" t="str">
        <f t="shared" si="25"/>
        <v>ADA</v>
      </c>
      <c r="K571" s="142">
        <v>3.0</v>
      </c>
      <c r="L571" s="145" t="str">
        <f>IFERROR(__xludf.DUMMYFUNCTION("vlookup($D571,IMPORTRANGE(""https://docs.google.com/spreadsheets/d/1swGwZOEqYlTEUCJLY-eeJM1911Kvaei5oySBIxdgtNo/edit?pli=1#gid=257618397"",""stock FAKTUR!B:q""),16,false)"),"LSN")</f>
        <v>LSN</v>
      </c>
      <c r="M571" s="147">
        <v>147600.0</v>
      </c>
      <c r="N571" s="152">
        <v>0.05</v>
      </c>
      <c r="O571" s="147">
        <f t="shared" si="134"/>
        <v>420660</v>
      </c>
      <c r="P571" s="147" t="str">
        <f t="shared" si="3"/>
        <v>Rp147,600-3 LSN-5.00%</v>
      </c>
      <c r="Q571" s="149">
        <v>45419.0</v>
      </c>
      <c r="R571" s="149">
        <v>45418.0</v>
      </c>
      <c r="S571" s="149">
        <v>45422.0</v>
      </c>
      <c r="T571" s="151"/>
      <c r="U571" s="151"/>
      <c r="V571" s="151"/>
      <c r="W571" s="151"/>
    </row>
    <row r="572">
      <c r="A572" s="142">
        <v>236.0</v>
      </c>
      <c r="B572" s="143"/>
      <c r="C572" s="143" t="s">
        <v>4518</v>
      </c>
      <c r="D572" s="145" t="s">
        <v>4407</v>
      </c>
      <c r="E572" s="145" t="str">
        <f>IFERROR(__xludf.DUMMYFUNCTION("vlookup(D572,IMPORTRANGE(""https://docs.google.com/spreadsheets/d/1swGwZOEqYlTEUCJLY-eeJM1911Kvaei5oySBIxdgtNo/edit?pli=1#gid=257618397"",""stock FAKTUR!B:C""),2,false)"),"KARTU STOCK KWARTO HIJAU")</f>
        <v>KARTU STOCK KWARTO HIJAU</v>
      </c>
      <c r="F572" s="53" t="str">
        <f>IFERROR(__xludf.DUMMYFUNCTION("vlookup($D572,IMPORTRANGE(""https://docs.google.com/spreadsheets/d/1swGwZOEqYlTEUCJLY-eeJM1911Kvaei5oySBIxdgtNo/edit?pli=1#gid=257618397"",""stock FAKTUR!B:d""),3,false)"),"A4")</f>
        <v>A4</v>
      </c>
      <c r="G572" s="53" t="str">
        <f>IFERROR(__xludf.DUMMYFUNCTION("vlookup($D572,IMPORTRANGE(""https://docs.google.com/spreadsheets/d/1swGwZOEqYlTEUCJLY-eeJM1911Kvaei5oySBIxdgtNo/edit?pli=1#gid=257618397"",""stock FAKTUR!B:e""),4,false)"),"HIJAU")</f>
        <v>HIJAU</v>
      </c>
      <c r="H572" s="53" t="str">
        <f>IFERROR(__xludf.DUMMYFUNCTION("vlookup($D572,IMPORTRANGE(""https://docs.google.com/spreadsheets/d/1swGwZOEqYlTEUCJLY-eeJM1911Kvaei5oySBIxdgtNo/edit?pli=1#gid=257618397"",""stock FAKTUR!B:F""),5,false)"),"NB")</f>
        <v>NB</v>
      </c>
      <c r="I572" s="53" t="str">
        <f>IFERROR(__xludf.DUMMYFUNCTION("vlookup($D572,IMPORTRANGE(""https://docs.google.com/spreadsheets/d/1swGwZOEqYlTEUCJLY-eeJM1911Kvaei5oySBIxdgtNo/edit?pli=1#gid=257618397"",""stock FAKTUR!B:G""),6,false)"),"")</f>
        <v/>
      </c>
      <c r="J572" s="120" t="str">
        <f t="shared" si="25"/>
        <v>ADA</v>
      </c>
      <c r="K572" s="142">
        <v>1.0</v>
      </c>
      <c r="L572" s="145" t="str">
        <f>IFERROR(__xludf.DUMMYFUNCTION("vlookup($D572,IMPORTRANGE(""https://docs.google.com/spreadsheets/d/1swGwZOEqYlTEUCJLY-eeJM1911Kvaei5oySBIxdgtNo/edit?pli=1#gid=257618397"",""stock FAKTUR!B:q""),16,false)"),"PAK")</f>
        <v>PAK</v>
      </c>
      <c r="M572" s="147">
        <v>18500.0</v>
      </c>
      <c r="N572" s="148"/>
      <c r="O572" s="147">
        <f t="shared" si="134"/>
        <v>18500</v>
      </c>
      <c r="P572" s="147" t="str">
        <f t="shared" si="3"/>
        <v>Rp18,500-1 PAK-0.00%</v>
      </c>
      <c r="Q572" s="149">
        <v>45419.0</v>
      </c>
      <c r="R572" s="150"/>
      <c r="S572" s="149">
        <v>45422.0</v>
      </c>
      <c r="T572" s="151"/>
      <c r="U572" s="151"/>
      <c r="V572" s="151"/>
      <c r="W572" s="151"/>
    </row>
    <row r="573">
      <c r="A573" s="142">
        <v>236.0</v>
      </c>
      <c r="B573" s="143" t="str">
        <f t="shared" ref="B573:B577" si="171">IF(A573=A572,B572,"")</f>
        <v/>
      </c>
      <c r="C573" s="143" t="str">
        <f t="shared" ref="C573:C577" si="172">IF(A573=A572,C572,"")</f>
        <v>SBM</v>
      </c>
      <c r="D573" s="145" t="s">
        <v>4642</v>
      </c>
      <c r="E573" s="145" t="str">
        <f>IFERROR(__xludf.DUMMYFUNCTION("vlookup(D573,IMPORTRANGE(""https://docs.google.com/spreadsheets/d/1swGwZOEqYlTEUCJLY-eeJM1911Kvaei5oySBIxdgtNo/edit?pli=1#gid=257618397"",""stock FAKTUR!B:C""),2,false)"),"TIPEX KENKO CT-902 CL")</f>
        <v>TIPEX KENKO CT-902 CL</v>
      </c>
      <c r="F573" s="53" t="str">
        <f>IFERROR(__xludf.DUMMYFUNCTION("vlookup($D573,IMPORTRANGE(""https://docs.google.com/spreadsheets/d/1swGwZOEqYlTEUCJLY-eeJM1911Kvaei5oySBIxdgtNo/edit?pli=1#gid=257618397"",""stock FAKTUR!B:d""),3,false)"),"")</f>
        <v/>
      </c>
      <c r="G573" s="53" t="str">
        <f>IFERROR(__xludf.DUMMYFUNCTION("vlookup($D573,IMPORTRANGE(""https://docs.google.com/spreadsheets/d/1swGwZOEqYlTEUCJLY-eeJM1911Kvaei5oySBIxdgtNo/edit?pli=1#gid=257618397"",""stock FAKTUR!B:e""),4,false)"),"")</f>
        <v/>
      </c>
      <c r="H573" s="53" t="str">
        <f>IFERROR(__xludf.DUMMYFUNCTION("vlookup($D573,IMPORTRANGE(""https://docs.google.com/spreadsheets/d/1swGwZOEqYlTEUCJLY-eeJM1911Kvaei5oySBIxdgtNo/edit?pli=1#gid=257618397"",""stock FAKTUR!B:F""),5,false)"),"KN")</f>
        <v>KN</v>
      </c>
      <c r="I573" s="53" t="str">
        <f>IFERROR(__xludf.DUMMYFUNCTION("vlookup($D573,IMPORTRANGE(""https://docs.google.com/spreadsheets/d/1swGwZOEqYlTEUCJLY-eeJM1911Kvaei5oySBIxdgtNo/edit?pli=1#gid=257618397"",""stock FAKTUR!B:G""),6,false)"),"CT-902")</f>
        <v>CT-902</v>
      </c>
      <c r="J573" s="120" t="str">
        <f t="shared" si="25"/>
        <v>ADA</v>
      </c>
      <c r="K573" s="142">
        <v>1.0</v>
      </c>
      <c r="L573" s="145" t="str">
        <f>IFERROR(__xludf.DUMMYFUNCTION("vlookup($D573,IMPORTRANGE(""https://docs.google.com/spreadsheets/d/1swGwZOEqYlTEUCJLY-eeJM1911Kvaei5oySBIxdgtNo/edit?pli=1#gid=257618397"",""stock FAKTUR!B:q""),16,false)"),"LSN")</f>
        <v>LSN</v>
      </c>
      <c r="M573" s="147">
        <v>54000.0</v>
      </c>
      <c r="N573" s="152">
        <v>0.15</v>
      </c>
      <c r="O573" s="147">
        <f t="shared" si="134"/>
        <v>45900</v>
      </c>
      <c r="P573" s="147" t="str">
        <f t="shared" si="3"/>
        <v>Rp54,000-1 LSN-15.00%</v>
      </c>
      <c r="Q573" s="149">
        <v>45419.0</v>
      </c>
      <c r="R573" s="150"/>
      <c r="S573" s="149">
        <v>45422.0</v>
      </c>
      <c r="T573" s="151"/>
      <c r="U573" s="151"/>
      <c r="V573" s="151"/>
      <c r="W573" s="151"/>
    </row>
    <row r="574">
      <c r="A574" s="142">
        <v>236.0</v>
      </c>
      <c r="B574" s="143" t="str">
        <f t="shared" si="171"/>
        <v/>
      </c>
      <c r="C574" s="143" t="str">
        <f t="shared" si="172"/>
        <v>SBM</v>
      </c>
      <c r="D574" s="145" t="s">
        <v>4415</v>
      </c>
      <c r="E574" s="145" t="str">
        <f>IFERROR(__xludf.DUMMYFUNCTION("vlookup(D574,IMPORTRANGE(""https://docs.google.com/spreadsheets/d/1swGwZOEqYlTEUCJLY-eeJM1911Kvaei5oySBIxdgtNo/edit?pli=1#gid=257618397"",""stock FAKTUR!B:C""),2,false)"),"BP KENKO K-1 HITAM")</f>
        <v>BP KENKO K-1 HITAM</v>
      </c>
      <c r="F574" s="53" t="str">
        <f>IFERROR(__xludf.DUMMYFUNCTION("vlookup($D574,IMPORTRANGE(""https://docs.google.com/spreadsheets/d/1swGwZOEqYlTEUCJLY-eeJM1911Kvaei5oySBIxdgtNo/edit?pli=1#gid=257618397"",""stock FAKTUR!B:d""),3,false)"),"")</f>
        <v/>
      </c>
      <c r="G574" s="53" t="str">
        <f>IFERROR(__xludf.DUMMYFUNCTION("vlookup($D574,IMPORTRANGE(""https://docs.google.com/spreadsheets/d/1swGwZOEqYlTEUCJLY-eeJM1911Kvaei5oySBIxdgtNo/edit?pli=1#gid=257618397"",""stock FAKTUR!B:e""),4,false)"),"HITAM")</f>
        <v>HITAM</v>
      </c>
      <c r="H574" s="53" t="str">
        <f>IFERROR(__xludf.DUMMYFUNCTION("vlookup($D574,IMPORTRANGE(""https://docs.google.com/spreadsheets/d/1swGwZOEqYlTEUCJLY-eeJM1911Kvaei5oySBIxdgtNo/edit?pli=1#gid=257618397"",""stock FAKTUR!B:F""),5,false)"),"KN")</f>
        <v>KN</v>
      </c>
      <c r="I574" s="53" t="str">
        <f>IFERROR(__xludf.DUMMYFUNCTION("vlookup($D574,IMPORTRANGE(""https://docs.google.com/spreadsheets/d/1swGwZOEqYlTEUCJLY-eeJM1911Kvaei5oySBIxdgtNo/edit?pli=1#gid=257618397"",""stock FAKTUR!B:G""),6,false)"),"GPR-003B")</f>
        <v>GPR-003B</v>
      </c>
      <c r="J574" s="120" t="str">
        <f t="shared" si="25"/>
        <v>ADA</v>
      </c>
      <c r="K574" s="142">
        <v>1.0</v>
      </c>
      <c r="L574" s="145" t="str">
        <f>IFERROR(__xludf.DUMMYFUNCTION("vlookup($D574,IMPORTRANGE(""https://docs.google.com/spreadsheets/d/1swGwZOEqYlTEUCJLY-eeJM1911Kvaei5oySBIxdgtNo/edit?pli=1#gid=257618397"",""stock FAKTUR!B:q""),16,false)"),"LSN")</f>
        <v>LSN</v>
      </c>
      <c r="M574" s="147">
        <v>39600.0</v>
      </c>
      <c r="N574" s="152">
        <v>0.15</v>
      </c>
      <c r="O574" s="147">
        <f t="shared" si="134"/>
        <v>33660</v>
      </c>
      <c r="P574" s="147" t="str">
        <f t="shared" si="3"/>
        <v>Rp39,600-1 LSN-15.00%</v>
      </c>
      <c r="Q574" s="149">
        <v>45419.0</v>
      </c>
      <c r="R574" s="150"/>
      <c r="S574" s="149">
        <v>45422.0</v>
      </c>
      <c r="T574" s="151"/>
      <c r="U574" s="151"/>
      <c r="V574" s="151"/>
      <c r="W574" s="151"/>
    </row>
    <row r="575">
      <c r="A575" s="142">
        <v>236.0</v>
      </c>
      <c r="B575" s="143" t="str">
        <f t="shared" si="171"/>
        <v/>
      </c>
      <c r="C575" s="143" t="str">
        <f t="shared" si="172"/>
        <v>SBM</v>
      </c>
      <c r="D575" s="145" t="s">
        <v>4586</v>
      </c>
      <c r="E575" s="145" t="str">
        <f>IFERROR(__xludf.DUMMYFUNCTION("vlookup(D575,IMPORTRANGE(""https://docs.google.com/spreadsheets/d/1swGwZOEqYlTEUCJLY-eeJM1911Kvaei5oySBIxdgtNo/edit?pli=1#gid=257618397"",""stock FAKTUR!B:C""),2,false)"),"GUNTING KENKO SC 838 N")</f>
        <v>GUNTING KENKO SC 838 N</v>
      </c>
      <c r="F575" s="53" t="str">
        <f>IFERROR(__xludf.DUMMYFUNCTION("vlookup($D575,IMPORTRANGE(""https://docs.google.com/spreadsheets/d/1swGwZOEqYlTEUCJLY-eeJM1911Kvaei5oySBIxdgtNo/edit?pli=1#gid=257618397"",""stock FAKTUR!B:d""),3,false)"),"")</f>
        <v/>
      </c>
      <c r="G575" s="53" t="str">
        <f>IFERROR(__xludf.DUMMYFUNCTION("vlookup($D575,IMPORTRANGE(""https://docs.google.com/spreadsheets/d/1swGwZOEqYlTEUCJLY-eeJM1911Kvaei5oySBIxdgtNo/edit?pli=1#gid=257618397"",""stock FAKTUR!B:e""),4,false)"),"")</f>
        <v/>
      </c>
      <c r="H575" s="53" t="str">
        <f>IFERROR(__xludf.DUMMYFUNCTION("vlookup($D575,IMPORTRANGE(""https://docs.google.com/spreadsheets/d/1swGwZOEqYlTEUCJLY-eeJM1911Kvaei5oySBIxdgtNo/edit?pli=1#gid=257618397"",""stock FAKTUR!B:F""),5,false)"),"KN")</f>
        <v>KN</v>
      </c>
      <c r="I575" s="53" t="str">
        <f>IFERROR(__xludf.DUMMYFUNCTION("vlookup($D575,IMPORTRANGE(""https://docs.google.com/spreadsheets/d/1swGwZOEqYlTEUCJLY-eeJM1911Kvaei5oySBIxdgtNo/edit?pli=1#gid=257618397"",""stock FAKTUR!B:G""),6,false)"),"SCS-002GO")</f>
        <v>SCS-002GO</v>
      </c>
      <c r="J575" s="120" t="str">
        <f t="shared" si="25"/>
        <v>ADA</v>
      </c>
      <c r="K575" s="142">
        <v>1.0</v>
      </c>
      <c r="L575" s="145" t="str">
        <f>IFERROR(__xludf.DUMMYFUNCTION("vlookup($D575,IMPORTRANGE(""https://docs.google.com/spreadsheets/d/1swGwZOEqYlTEUCJLY-eeJM1911Kvaei5oySBIxdgtNo/edit?pli=1#gid=257618397"",""stock FAKTUR!B:q""),16,false)"),"LSN")</f>
        <v>LSN</v>
      </c>
      <c r="M575" s="147">
        <v>79800.0</v>
      </c>
      <c r="N575" s="152">
        <v>0.15</v>
      </c>
      <c r="O575" s="147">
        <f t="shared" si="134"/>
        <v>67830</v>
      </c>
      <c r="P575" s="147" t="str">
        <f t="shared" si="3"/>
        <v>Rp79,800-1 LSN-15.00%</v>
      </c>
      <c r="Q575" s="149">
        <v>45419.0</v>
      </c>
      <c r="R575" s="150"/>
      <c r="S575" s="149">
        <v>45422.0</v>
      </c>
      <c r="T575" s="151"/>
      <c r="U575" s="151"/>
      <c r="V575" s="151"/>
      <c r="W575" s="151"/>
    </row>
    <row r="576">
      <c r="A576" s="142">
        <v>236.0</v>
      </c>
      <c r="B576" s="143" t="str">
        <f t="shared" si="171"/>
        <v/>
      </c>
      <c r="C576" s="143" t="str">
        <f t="shared" si="172"/>
        <v>SBM</v>
      </c>
      <c r="D576" s="159" t="s">
        <v>4703</v>
      </c>
      <c r="E576" s="145" t="str">
        <f>IFERROR(__xludf.DUMMYFUNCTION("vlookup(D576,IMPORTRANGE(""https://docs.google.com/spreadsheets/d/1swGwZOEqYlTEUCJLY-eeJM1911Kvaei5oySBIxdgtNo/edit?pli=1#gid=257618397"",""stock FAKTUR!B:C""),2,false)"),"ASAHAN KENKO SP-71 S KECIL")</f>
        <v>ASAHAN KENKO SP-71 S KECIL</v>
      </c>
      <c r="F576" s="53" t="str">
        <f>IFERROR(__xludf.DUMMYFUNCTION("vlookup($D576,IMPORTRANGE(""https://docs.google.com/spreadsheets/d/1swGwZOEqYlTEUCJLY-eeJM1911Kvaei5oySBIxdgtNo/edit?pli=1#gid=257618397"",""stock FAKTUR!B:d""),3,false)"),"K")</f>
        <v>K</v>
      </c>
      <c r="G576" s="53" t="str">
        <f>IFERROR(__xludf.DUMMYFUNCTION("vlookup($D576,IMPORTRANGE(""https://docs.google.com/spreadsheets/d/1swGwZOEqYlTEUCJLY-eeJM1911Kvaei5oySBIxdgtNo/edit?pli=1#gid=257618397"",""stock FAKTUR!B:e""),4,false)"),"")</f>
        <v/>
      </c>
      <c r="H576" s="53" t="str">
        <f>IFERROR(__xludf.DUMMYFUNCTION("vlookup($D576,IMPORTRANGE(""https://docs.google.com/spreadsheets/d/1swGwZOEqYlTEUCJLY-eeJM1911Kvaei5oySBIxdgtNo/edit?pli=1#gid=257618397"",""stock FAKTUR!B:F""),5,false)"),"KN")</f>
        <v>KN</v>
      </c>
      <c r="I576" s="53" t="str">
        <f>IFERROR(__xludf.DUMMYFUNCTION("vlookup($D576,IMPORTRANGE(""https://docs.google.com/spreadsheets/d/1swGwZOEqYlTEUCJLY-eeJM1911Kvaei5oySBIxdgtNo/edit?pli=1#gid=257618397"",""stock FAKTUR!B:G""),6,false)"),"")</f>
        <v/>
      </c>
      <c r="J576" s="120" t="str">
        <f t="shared" si="25"/>
        <v>ADA</v>
      </c>
      <c r="K576" s="142">
        <v>1.0</v>
      </c>
      <c r="L576" s="145" t="str">
        <f>IFERROR(__xludf.DUMMYFUNCTION("vlookup($D576,IMPORTRANGE(""https://docs.google.com/spreadsheets/d/1swGwZOEqYlTEUCJLY-eeJM1911Kvaei5oySBIxdgtNo/edit?pli=1#gid=257618397"",""stock FAKTUR!B:q""),16,false)"),"BOX")</f>
        <v>BOX</v>
      </c>
      <c r="M576" s="147">
        <v>15900.0</v>
      </c>
      <c r="N576" s="152">
        <v>0.15</v>
      </c>
      <c r="O576" s="147">
        <f t="shared" si="134"/>
        <v>13515</v>
      </c>
      <c r="P576" s="147" t="str">
        <f t="shared" si="3"/>
        <v>Rp15,900-1 BOX-15.00%</v>
      </c>
      <c r="Q576" s="149">
        <v>45419.0</v>
      </c>
      <c r="R576" s="150"/>
      <c r="S576" s="149">
        <v>45422.0</v>
      </c>
      <c r="T576" s="151"/>
      <c r="U576" s="151"/>
      <c r="V576" s="151"/>
      <c r="W576" s="151"/>
    </row>
    <row r="577">
      <c r="A577" s="142">
        <v>236.0</v>
      </c>
      <c r="B577" s="143" t="str">
        <f t="shared" si="171"/>
        <v/>
      </c>
      <c r="C577" s="143" t="str">
        <f t="shared" si="172"/>
        <v>SBM</v>
      </c>
      <c r="D577" s="145" t="s">
        <v>4705</v>
      </c>
      <c r="E577" s="145" t="str">
        <f>IFERROR(__xludf.DUMMYFUNCTION("vlookup(D577,IMPORTRANGE(""https://docs.google.com/spreadsheets/d/1swGwZOEqYlTEUCJLY-eeJM1911Kvaei5oySBIxdgtNo/edit?pli=1#gid=257618397"",""stock FAKTUR!B:C""),2,false)"),"STABILLO JK HL-2 HIJAU")</f>
        <v>STABILLO JK HL-2 HIJAU</v>
      </c>
      <c r="F577" s="53" t="str">
        <f>IFERROR(__xludf.DUMMYFUNCTION("vlookup($D577,IMPORTRANGE(""https://docs.google.com/spreadsheets/d/1swGwZOEqYlTEUCJLY-eeJM1911Kvaei5oySBIxdgtNo/edit?pli=1#gid=257618397"",""stock FAKTUR!B:d""),3,false)"),"")</f>
        <v/>
      </c>
      <c r="G577" s="53" t="str">
        <f>IFERROR(__xludf.DUMMYFUNCTION("vlookup($D577,IMPORTRANGE(""https://docs.google.com/spreadsheets/d/1swGwZOEqYlTEUCJLY-eeJM1911Kvaei5oySBIxdgtNo/edit?pli=1#gid=257618397"",""stock FAKTUR!B:e""),4,false)"),"HIJAU")</f>
        <v>HIJAU</v>
      </c>
      <c r="H577" s="53" t="str">
        <f>IFERROR(__xludf.DUMMYFUNCTION("vlookup($D577,IMPORTRANGE(""https://docs.google.com/spreadsheets/d/1swGwZOEqYlTEUCJLY-eeJM1911Kvaei5oySBIxdgtNo/edit?pli=1#gid=257618397"",""stock FAKTUR!B:F""),5,false)"),"JK")</f>
        <v>JK</v>
      </c>
      <c r="I577" s="53" t="str">
        <f>IFERROR(__xludf.DUMMYFUNCTION("vlookup($D577,IMPORTRANGE(""https://docs.google.com/spreadsheets/d/1swGwZOEqYlTEUCJLY-eeJM1911Kvaei5oySBIxdgtNo/edit?pli=1#gid=257618397"",""stock FAKTUR!B:G""),6,false)"),"HL-2")</f>
        <v>HL-2</v>
      </c>
      <c r="J577" s="120" t="str">
        <f t="shared" si="25"/>
        <v>ADA</v>
      </c>
      <c r="K577" s="142">
        <v>10.0</v>
      </c>
      <c r="L577" s="145" t="str">
        <f>IFERROR(__xludf.DUMMYFUNCTION("vlookup($D577,IMPORTRANGE(""https://docs.google.com/spreadsheets/d/1swGwZOEqYlTEUCJLY-eeJM1911Kvaei5oySBIxdgtNo/edit?pli=1#gid=257618397"",""stock FAKTUR!B:q""),16,false)"),"PCS")</f>
        <v>PCS</v>
      </c>
      <c r="M577" s="147">
        <f>37000/10</f>
        <v>3700</v>
      </c>
      <c r="N577" s="152">
        <v>0.125</v>
      </c>
      <c r="O577" s="147">
        <f>(K577*M577)-((M577*K577)*N577)-1618</f>
        <v>30757</v>
      </c>
      <c r="P577" s="147" t="str">
        <f t="shared" si="3"/>
        <v>Rp3,700-10 PCS-12.50%</v>
      </c>
      <c r="Q577" s="149">
        <v>45419.0</v>
      </c>
      <c r="R577" s="150"/>
      <c r="S577" s="149">
        <v>45422.0</v>
      </c>
      <c r="T577" s="151"/>
      <c r="U577" s="151"/>
      <c r="V577" s="151"/>
      <c r="W577" s="151"/>
    </row>
    <row r="578">
      <c r="A578" s="142">
        <v>4730.0</v>
      </c>
      <c r="B578" s="143" t="s">
        <v>65</v>
      </c>
      <c r="C578" s="143" t="s">
        <v>2469</v>
      </c>
      <c r="D578" s="145" t="s">
        <v>4618</v>
      </c>
      <c r="E578" s="145" t="str">
        <f>IFERROR(__xludf.DUMMYFUNCTION("vlookup(D578,IMPORTRANGE(""https://docs.google.com/spreadsheets/d/1swGwZOEqYlTEUCJLY-eeJM1911Kvaei5oySBIxdgtNo/edit?pli=1#gid=257618397"",""stock FAKTUR!B:C""),2,false)"),"MIKA LAMINATING VANCO LF-100 FOLIO")</f>
        <v>MIKA LAMINATING VANCO LF-100 FOLIO</v>
      </c>
      <c r="F578" s="53" t="str">
        <f>IFERROR(__xludf.DUMMYFUNCTION("vlookup($D578,IMPORTRANGE(""https://docs.google.com/spreadsheets/d/1swGwZOEqYlTEUCJLY-eeJM1911Kvaei5oySBIxdgtNo/edit?pli=1#gid=257618397"",""stock FAKTUR!B:d""),3,false)"),"")</f>
        <v/>
      </c>
      <c r="G578" s="53" t="str">
        <f>IFERROR(__xludf.DUMMYFUNCTION("vlookup($D578,IMPORTRANGE(""https://docs.google.com/spreadsheets/d/1swGwZOEqYlTEUCJLY-eeJM1911Kvaei5oySBIxdgtNo/edit?pli=1#gid=257618397"",""stock FAKTUR!B:e""),4,false)"),"")</f>
        <v/>
      </c>
      <c r="H578" s="53" t="str">
        <f>IFERROR(__xludf.DUMMYFUNCTION("vlookup($D578,IMPORTRANGE(""https://docs.google.com/spreadsheets/d/1swGwZOEqYlTEUCJLY-eeJM1911Kvaei5oySBIxdgtNo/edit?pli=1#gid=257618397"",""stock FAKTUR!B:F""),5,false)"),"VN")</f>
        <v>VN</v>
      </c>
      <c r="I578" s="53" t="str">
        <f>IFERROR(__xludf.DUMMYFUNCTION("vlookup($D578,IMPORTRANGE(""https://docs.google.com/spreadsheets/d/1swGwZOEqYlTEUCJLY-eeJM1911Kvaei5oySBIxdgtNo/edit?pli=1#gid=257618397"",""stock FAKTUR!B:G""),6,false)"),"LF-100")</f>
        <v>LF-100</v>
      </c>
      <c r="J578" s="120" t="str">
        <f t="shared" si="25"/>
        <v>ADA</v>
      </c>
      <c r="K578" s="142">
        <v>10.0</v>
      </c>
      <c r="L578" s="145" t="str">
        <f>IFERROR(__xludf.DUMMYFUNCTION("vlookup($D578,IMPORTRANGE(""https://docs.google.com/spreadsheets/d/1swGwZOEqYlTEUCJLY-eeJM1911Kvaei5oySBIxdgtNo/edit?pli=1#gid=257618397"",""stock FAKTUR!B:q""),16,false)"),"PAK")</f>
        <v>PAK</v>
      </c>
      <c r="M578" s="147">
        <v>67500.0</v>
      </c>
      <c r="N578" s="148"/>
      <c r="O578" s="147">
        <f t="shared" ref="O578:O789" si="173">(K578*M578)-((M578*K578)*N578)</f>
        <v>675000</v>
      </c>
      <c r="P578" s="147" t="str">
        <f t="shared" si="3"/>
        <v>Rp67,500-10 PAK-0.00%</v>
      </c>
      <c r="Q578" s="149">
        <v>45419.0</v>
      </c>
      <c r="R578" s="150"/>
      <c r="S578" s="149">
        <v>45422.0</v>
      </c>
      <c r="T578" s="151"/>
      <c r="U578" s="151"/>
      <c r="V578" s="151"/>
      <c r="W578" s="151"/>
    </row>
    <row r="579">
      <c r="A579" s="142">
        <v>4730.0</v>
      </c>
      <c r="B579" s="143" t="str">
        <f>IF(A579=A578,B578,"")</f>
        <v>A</v>
      </c>
      <c r="C579" s="143" t="str">
        <f>IF(A579=A578,C578,"")</f>
        <v>BRUK MENCENG-PURBALINGGA</v>
      </c>
      <c r="D579" s="151" t="s">
        <v>4534</v>
      </c>
      <c r="E579" s="145" t="str">
        <f>IFERROR(__xludf.DUMMYFUNCTION("vlookup(D579,IMPORTRANGE(""https://docs.google.com/spreadsheets/d/1swGwZOEqYlTEUCJLY-eeJM1911Kvaei5oySBIxdgtNo/edit?pli=1#gid=257618397"",""stock FAKTUR!B:C""),2,false)"),"BP DEBOZZ DB G 05")</f>
        <v>BP DEBOZZ DB G 05</v>
      </c>
      <c r="F579" s="53" t="str">
        <f>IFERROR(__xludf.DUMMYFUNCTION("vlookup($D579,IMPORTRANGE(""https://docs.google.com/spreadsheets/d/1swGwZOEqYlTEUCJLY-eeJM1911Kvaei5oySBIxdgtNo/edit?pli=1#gid=257618397"",""stock FAKTUR!B:d""),3,false)"),"")</f>
        <v/>
      </c>
      <c r="G579" s="53" t="str">
        <f>IFERROR(__xludf.DUMMYFUNCTION("vlookup($D579,IMPORTRANGE(""https://docs.google.com/spreadsheets/d/1swGwZOEqYlTEUCJLY-eeJM1911Kvaei5oySBIxdgtNo/edit?pli=1#gid=257618397"",""stock FAKTUR!B:e""),4,false)"),"")</f>
        <v/>
      </c>
      <c r="H579" s="53" t="str">
        <f>IFERROR(__xludf.DUMMYFUNCTION("vlookup($D579,IMPORTRANGE(""https://docs.google.com/spreadsheets/d/1swGwZOEqYlTEUCJLY-eeJM1911Kvaei5oySBIxdgtNo/edit?pli=1#gid=257618397"",""stock FAKTUR!B:F""),5,false)"),"DB")</f>
        <v>DB</v>
      </c>
      <c r="I579" s="53" t="str">
        <f>IFERROR(__xludf.DUMMYFUNCTION("vlookup($D579,IMPORTRANGE(""https://docs.google.com/spreadsheets/d/1swGwZOEqYlTEUCJLY-eeJM1911Kvaei5oySBIxdgtNo/edit?pli=1#gid=257618397"",""stock FAKTUR!B:G""),6,false)"),"G-05")</f>
        <v>G-05</v>
      </c>
      <c r="J579" s="120" t="str">
        <f t="shared" si="25"/>
        <v>ADA</v>
      </c>
      <c r="K579" s="142">
        <v>19.0</v>
      </c>
      <c r="L579" s="145" t="str">
        <f>IFERROR(__xludf.DUMMYFUNCTION("vlookup($D579,IMPORTRANGE(""https://docs.google.com/spreadsheets/d/1swGwZOEqYlTEUCJLY-eeJM1911Kvaei5oySBIxdgtNo/edit?pli=1#gid=257618397"",""stock FAKTUR!B:q""),16,false)"),"LSN")</f>
        <v>LSN</v>
      </c>
      <c r="M579" s="147">
        <v>28000.0</v>
      </c>
      <c r="N579" s="148"/>
      <c r="O579" s="147">
        <f t="shared" si="173"/>
        <v>532000</v>
      </c>
      <c r="P579" s="147" t="str">
        <f t="shared" si="3"/>
        <v>Rp28,000-19 LSN-0.00%</v>
      </c>
      <c r="Q579" s="149">
        <v>45419.0</v>
      </c>
      <c r="R579" s="150"/>
      <c r="S579" s="149">
        <v>45422.0</v>
      </c>
      <c r="T579" s="151"/>
      <c r="U579" s="151"/>
      <c r="V579" s="151"/>
      <c r="W579" s="151"/>
    </row>
    <row r="580">
      <c r="A580" s="142">
        <v>4728.0</v>
      </c>
      <c r="B580" s="143" t="s">
        <v>33</v>
      </c>
      <c r="C580" s="143" t="s">
        <v>1768</v>
      </c>
      <c r="D580" s="145" t="s">
        <v>35</v>
      </c>
      <c r="E580" s="145" t="str">
        <f>IFERROR(__xludf.DUMMYFUNCTION("vlookup(D580,IMPORTRANGE(""https://docs.google.com/spreadsheets/d/1swGwZOEqYlTEUCJLY-eeJM1911Kvaei5oySBIxdgtNo/edit?pli=1#gid=257618397"",""stock FAKTUR!B:C""),2,false)"),"BP TZ 501 HITAM")</f>
        <v>BP TZ 501 HITAM</v>
      </c>
      <c r="F580" s="53" t="str">
        <f>IFERROR(__xludf.DUMMYFUNCTION("vlookup($D580,IMPORTRANGE(""https://docs.google.com/spreadsheets/d/1swGwZOEqYlTEUCJLY-eeJM1911Kvaei5oySBIxdgtNo/edit?pli=1#gid=257618397"",""stock FAKTUR!B:d""),3,false)"),"")</f>
        <v/>
      </c>
      <c r="G580" s="53" t="str">
        <f>IFERROR(__xludf.DUMMYFUNCTION("vlookup($D580,IMPORTRANGE(""https://docs.google.com/spreadsheets/d/1swGwZOEqYlTEUCJLY-eeJM1911Kvaei5oySBIxdgtNo/edit?pli=1#gid=257618397"",""stock FAKTUR!B:e""),4,false)"),"")</f>
        <v/>
      </c>
      <c r="H580" s="53" t="str">
        <f>IFERROR(__xludf.DUMMYFUNCTION("vlookup($D580,IMPORTRANGE(""https://docs.google.com/spreadsheets/d/1swGwZOEqYlTEUCJLY-eeJM1911Kvaei5oySBIxdgtNo/edit?pli=1#gid=257618397"",""stock FAKTUR!B:F""),5,false)"),"TZ")</f>
        <v>TZ</v>
      </c>
      <c r="I580" s="53" t="str">
        <f>IFERROR(__xludf.DUMMYFUNCTION("vlookup($D580,IMPORTRANGE(""https://docs.google.com/spreadsheets/d/1swGwZOEqYlTEUCJLY-eeJM1911Kvaei5oySBIxdgtNo/edit?pli=1#gid=257618397"",""stock FAKTUR!B:G""),6,false)"),"")</f>
        <v/>
      </c>
      <c r="J580" s="120" t="str">
        <f t="shared" si="25"/>
        <v>ADA</v>
      </c>
      <c r="K580" s="142">
        <v>6.0</v>
      </c>
      <c r="L580" s="145" t="str">
        <f>IFERROR(__xludf.DUMMYFUNCTION("vlookup($D580,IMPORTRANGE(""https://docs.google.com/spreadsheets/d/1swGwZOEqYlTEUCJLY-eeJM1911Kvaei5oySBIxdgtNo/edit?pli=1#gid=257618397"",""stock FAKTUR!B:q""),16,false)"),"LSN")</f>
        <v>LSN</v>
      </c>
      <c r="M580" s="147">
        <v>24000.0</v>
      </c>
      <c r="N580" s="148"/>
      <c r="O580" s="147">
        <f t="shared" si="173"/>
        <v>144000</v>
      </c>
      <c r="P580" s="147" t="str">
        <f t="shared" si="3"/>
        <v>Rp24,000-6 LSN-0.00%</v>
      </c>
      <c r="Q580" s="149">
        <v>45419.0</v>
      </c>
      <c r="R580" s="150"/>
      <c r="S580" s="149">
        <v>45422.0</v>
      </c>
      <c r="T580" s="151"/>
      <c r="U580" s="151"/>
      <c r="V580" s="151"/>
      <c r="W580" s="151"/>
    </row>
    <row r="581">
      <c r="A581" s="142">
        <v>4728.0</v>
      </c>
      <c r="B581" s="143" t="str">
        <f t="shared" ref="B581:B595" si="174">IF(A581=A580,B580,"")</f>
        <v>H</v>
      </c>
      <c r="C581" s="143" t="str">
        <f t="shared" ref="C581:C595" si="175">IF(A581=A580,C580,"")</f>
        <v>SISWA-MUNTILAN</v>
      </c>
      <c r="D581" s="151" t="s">
        <v>4534</v>
      </c>
      <c r="E581" s="145" t="str">
        <f>IFERROR(__xludf.DUMMYFUNCTION("vlookup(D581,IMPORTRANGE(""https://docs.google.com/spreadsheets/d/1swGwZOEqYlTEUCJLY-eeJM1911Kvaei5oySBIxdgtNo/edit?pli=1#gid=257618397"",""stock FAKTUR!B:C""),2,false)"),"BP DEBOZZ DB G 05")</f>
        <v>BP DEBOZZ DB G 05</v>
      </c>
      <c r="F581" s="53" t="str">
        <f>IFERROR(__xludf.DUMMYFUNCTION("vlookup($D581,IMPORTRANGE(""https://docs.google.com/spreadsheets/d/1swGwZOEqYlTEUCJLY-eeJM1911Kvaei5oySBIxdgtNo/edit?pli=1#gid=257618397"",""stock FAKTUR!B:d""),3,false)"),"")</f>
        <v/>
      </c>
      <c r="G581" s="53" t="str">
        <f>IFERROR(__xludf.DUMMYFUNCTION("vlookup($D581,IMPORTRANGE(""https://docs.google.com/spreadsheets/d/1swGwZOEqYlTEUCJLY-eeJM1911Kvaei5oySBIxdgtNo/edit?pli=1#gid=257618397"",""stock FAKTUR!B:e""),4,false)"),"")</f>
        <v/>
      </c>
      <c r="H581" s="53" t="str">
        <f>IFERROR(__xludf.DUMMYFUNCTION("vlookup($D581,IMPORTRANGE(""https://docs.google.com/spreadsheets/d/1swGwZOEqYlTEUCJLY-eeJM1911Kvaei5oySBIxdgtNo/edit?pli=1#gid=257618397"",""stock FAKTUR!B:F""),5,false)"),"DB")</f>
        <v>DB</v>
      </c>
      <c r="I581" s="53" t="str">
        <f>IFERROR(__xludf.DUMMYFUNCTION("vlookup($D581,IMPORTRANGE(""https://docs.google.com/spreadsheets/d/1swGwZOEqYlTEUCJLY-eeJM1911Kvaei5oySBIxdgtNo/edit?pli=1#gid=257618397"",""stock FAKTUR!B:G""),6,false)"),"G-05")</f>
        <v>G-05</v>
      </c>
      <c r="J581" s="120" t="str">
        <f t="shared" si="25"/>
        <v>ADA</v>
      </c>
      <c r="K581" s="142">
        <v>6.0</v>
      </c>
      <c r="L581" s="145" t="str">
        <f>IFERROR(__xludf.DUMMYFUNCTION("vlookup($D581,IMPORTRANGE(""https://docs.google.com/spreadsheets/d/1swGwZOEqYlTEUCJLY-eeJM1911Kvaei5oySBIxdgtNo/edit?pli=1#gid=257618397"",""stock FAKTUR!B:q""),16,false)"),"LSN")</f>
        <v>LSN</v>
      </c>
      <c r="M581" s="147">
        <v>27500.0</v>
      </c>
      <c r="N581" s="148"/>
      <c r="O581" s="147">
        <f t="shared" si="173"/>
        <v>165000</v>
      </c>
      <c r="P581" s="147" t="str">
        <f t="shared" si="3"/>
        <v>Rp27,500-6 LSN-0.00%</v>
      </c>
      <c r="Q581" s="149">
        <v>45419.0</v>
      </c>
      <c r="R581" s="150"/>
      <c r="S581" s="149">
        <v>45422.0</v>
      </c>
      <c r="T581" s="151"/>
      <c r="U581" s="151"/>
      <c r="V581" s="151"/>
      <c r="W581" s="151"/>
    </row>
    <row r="582">
      <c r="A582" s="142">
        <v>4728.0</v>
      </c>
      <c r="B582" s="143" t="str">
        <f t="shared" si="174"/>
        <v>H</v>
      </c>
      <c r="C582" s="143" t="str">
        <f t="shared" si="175"/>
        <v>SISWA-MUNTILAN</v>
      </c>
      <c r="D582" s="145" t="s">
        <v>4415</v>
      </c>
      <c r="E582" s="145" t="str">
        <f>IFERROR(__xludf.DUMMYFUNCTION("vlookup(D582,IMPORTRANGE(""https://docs.google.com/spreadsheets/d/1swGwZOEqYlTEUCJLY-eeJM1911Kvaei5oySBIxdgtNo/edit?pli=1#gid=257618397"",""stock FAKTUR!B:C""),2,false)"),"BP KENKO K-1 HITAM")</f>
        <v>BP KENKO K-1 HITAM</v>
      </c>
      <c r="F582" s="53" t="str">
        <f>IFERROR(__xludf.DUMMYFUNCTION("vlookup($D582,IMPORTRANGE(""https://docs.google.com/spreadsheets/d/1swGwZOEqYlTEUCJLY-eeJM1911Kvaei5oySBIxdgtNo/edit?pli=1#gid=257618397"",""stock FAKTUR!B:d""),3,false)"),"")</f>
        <v/>
      </c>
      <c r="G582" s="53" t="str">
        <f>IFERROR(__xludf.DUMMYFUNCTION("vlookup($D582,IMPORTRANGE(""https://docs.google.com/spreadsheets/d/1swGwZOEqYlTEUCJLY-eeJM1911Kvaei5oySBIxdgtNo/edit?pli=1#gid=257618397"",""stock FAKTUR!B:e""),4,false)"),"HITAM")</f>
        <v>HITAM</v>
      </c>
      <c r="H582" s="53" t="str">
        <f>IFERROR(__xludf.DUMMYFUNCTION("vlookup($D582,IMPORTRANGE(""https://docs.google.com/spreadsheets/d/1swGwZOEqYlTEUCJLY-eeJM1911Kvaei5oySBIxdgtNo/edit?pli=1#gid=257618397"",""stock FAKTUR!B:F""),5,false)"),"KN")</f>
        <v>KN</v>
      </c>
      <c r="I582" s="53" t="str">
        <f>IFERROR(__xludf.DUMMYFUNCTION("vlookup($D582,IMPORTRANGE(""https://docs.google.com/spreadsheets/d/1swGwZOEqYlTEUCJLY-eeJM1911Kvaei5oySBIxdgtNo/edit?pli=1#gid=257618397"",""stock FAKTUR!B:G""),6,false)"),"GPR-003B")</f>
        <v>GPR-003B</v>
      </c>
      <c r="J582" s="120" t="str">
        <f t="shared" si="25"/>
        <v>ADA</v>
      </c>
      <c r="K582" s="142">
        <v>6.0</v>
      </c>
      <c r="L582" s="145" t="str">
        <f>IFERROR(__xludf.DUMMYFUNCTION("vlookup($D582,IMPORTRANGE(""https://docs.google.com/spreadsheets/d/1swGwZOEqYlTEUCJLY-eeJM1911Kvaei5oySBIxdgtNo/edit?pli=1#gid=257618397"",""stock FAKTUR!B:q""),16,false)"),"LSN")</f>
        <v>LSN</v>
      </c>
      <c r="M582" s="147">
        <v>39600.0</v>
      </c>
      <c r="N582" s="152">
        <v>0.125</v>
      </c>
      <c r="O582" s="147">
        <f t="shared" si="173"/>
        <v>207900</v>
      </c>
      <c r="P582" s="147" t="str">
        <f t="shared" si="3"/>
        <v>Rp39,600-6 LSN-12.50%</v>
      </c>
      <c r="Q582" s="149">
        <v>45419.0</v>
      </c>
      <c r="R582" s="150"/>
      <c r="S582" s="149">
        <v>45422.0</v>
      </c>
      <c r="T582" s="151"/>
      <c r="U582" s="151"/>
      <c r="V582" s="151"/>
      <c r="W582" s="151"/>
    </row>
    <row r="583">
      <c r="A583" s="142">
        <v>4728.0</v>
      </c>
      <c r="B583" s="143" t="str">
        <f t="shared" si="174"/>
        <v>H</v>
      </c>
      <c r="C583" s="143" t="str">
        <f t="shared" si="175"/>
        <v>SISWA-MUNTILAN</v>
      </c>
      <c r="D583" s="145" t="s">
        <v>4510</v>
      </c>
      <c r="E583" s="145" t="str">
        <f>IFERROR(__xludf.DUMMYFUNCTION("vlookup(D583,IMPORTRANGE(""https://docs.google.com/spreadsheets/d/1swGwZOEqYlTEUCJLY-eeJM1911Kvaei5oySBIxdgtNo/edit?pli=1#gid=257618397"",""stock FAKTUR!B:C""),2,false)"),"BP JK BP-349-12 VOKUS TRANS HITAM")</f>
        <v>BP JK BP-349-12 VOKUS TRANS HITAM</v>
      </c>
      <c r="F583" s="53" t="str">
        <f>IFERROR(__xludf.DUMMYFUNCTION("vlookup($D583,IMPORTRANGE(""https://docs.google.com/spreadsheets/d/1swGwZOEqYlTEUCJLY-eeJM1911Kvaei5oySBIxdgtNo/edit?pli=1#gid=257618397"",""stock FAKTUR!B:d""),3,false)"),"")</f>
        <v/>
      </c>
      <c r="G583" s="53" t="str">
        <f>IFERROR(__xludf.DUMMYFUNCTION("vlookup($D583,IMPORTRANGE(""https://docs.google.com/spreadsheets/d/1swGwZOEqYlTEUCJLY-eeJM1911Kvaei5oySBIxdgtNo/edit?pli=1#gid=257618397"",""stock FAKTUR!B:e""),4,false)"),"")</f>
        <v/>
      </c>
      <c r="H583" s="53" t="str">
        <f>IFERROR(__xludf.DUMMYFUNCTION("vlookup($D583,IMPORTRANGE(""https://docs.google.com/spreadsheets/d/1swGwZOEqYlTEUCJLY-eeJM1911Kvaei5oySBIxdgtNo/edit?pli=1#gid=257618397"",""stock FAKTUR!B:F""),5,false)"),"JK")</f>
        <v>JK</v>
      </c>
      <c r="I583" s="53" t="str">
        <f>IFERROR(__xludf.DUMMYFUNCTION("vlookup($D583,IMPORTRANGE(""https://docs.google.com/spreadsheets/d/1swGwZOEqYlTEUCJLY-eeJM1911Kvaei5oySBIxdgtNo/edit?pli=1#gid=257618397"",""stock FAKTUR!B:G""),6,false)"),"349-12")</f>
        <v>349-12</v>
      </c>
      <c r="J583" s="120" t="str">
        <f t="shared" si="25"/>
        <v>ADA</v>
      </c>
      <c r="K583" s="142">
        <v>24.0</v>
      </c>
      <c r="L583" s="145" t="str">
        <f>IFERROR(__xludf.DUMMYFUNCTION("vlookup($D583,IMPORTRANGE(""https://docs.google.com/spreadsheets/d/1swGwZOEqYlTEUCJLY-eeJM1911Kvaei5oySBIxdgtNo/edit?pli=1#gid=257618397"",""stock FAKTUR!B:q""),16,false)"),"LSN")</f>
        <v>LSN</v>
      </c>
      <c r="M583" s="147">
        <v>13200.0</v>
      </c>
      <c r="N583" s="152">
        <v>0.125</v>
      </c>
      <c r="O583" s="147">
        <f t="shared" si="173"/>
        <v>277200</v>
      </c>
      <c r="P583" s="147" t="str">
        <f t="shared" si="3"/>
        <v>Rp13,200-24 LSN-12.50%</v>
      </c>
      <c r="Q583" s="149">
        <v>45419.0</v>
      </c>
      <c r="R583" s="150"/>
      <c r="S583" s="149">
        <v>45422.0</v>
      </c>
      <c r="T583" s="151"/>
      <c r="U583" s="151"/>
      <c r="V583" s="151"/>
      <c r="W583" s="151"/>
    </row>
    <row r="584">
      <c r="A584" s="142">
        <v>4728.0</v>
      </c>
      <c r="B584" s="143" t="str">
        <f t="shared" si="174"/>
        <v>H</v>
      </c>
      <c r="C584" s="143" t="str">
        <f t="shared" si="175"/>
        <v>SISWA-MUNTILAN</v>
      </c>
      <c r="D584" s="145" t="s">
        <v>4560</v>
      </c>
      <c r="E584" s="145" t="str">
        <f>IFERROR(__xludf.DUMMYFUNCTION("vlookup(D584,IMPORTRANGE(""https://docs.google.com/spreadsheets/d/1swGwZOEqYlTEUCJLY-eeJM1911Kvaei5oySBIxdgtNo/edit?pli=1#gid=257618397"",""stock FAKTUR!B:C""),2,false)"),"BP JK BP-338 VOCUS HITAM")</f>
        <v>BP JK BP-338 VOCUS HITAM</v>
      </c>
      <c r="F584" s="53" t="str">
        <f>IFERROR(__xludf.DUMMYFUNCTION("vlookup($D584,IMPORTRANGE(""https://docs.google.com/spreadsheets/d/1swGwZOEqYlTEUCJLY-eeJM1911Kvaei5oySBIxdgtNo/edit?pli=1#gid=257618397"",""stock FAKTUR!B:d""),3,false)"),"")</f>
        <v/>
      </c>
      <c r="G584" s="53" t="str">
        <f>IFERROR(__xludf.DUMMYFUNCTION("vlookup($D584,IMPORTRANGE(""https://docs.google.com/spreadsheets/d/1swGwZOEqYlTEUCJLY-eeJM1911Kvaei5oySBIxdgtNo/edit?pli=1#gid=257618397"",""stock FAKTUR!B:e""),4,false)"),"")</f>
        <v/>
      </c>
      <c r="H584" s="53" t="str">
        <f>IFERROR(__xludf.DUMMYFUNCTION("vlookup($D584,IMPORTRANGE(""https://docs.google.com/spreadsheets/d/1swGwZOEqYlTEUCJLY-eeJM1911Kvaei5oySBIxdgtNo/edit?pli=1#gid=257618397"",""stock FAKTUR!B:F""),5,false)"),"JK")</f>
        <v>JK</v>
      </c>
      <c r="I584" s="53" t="str">
        <f>IFERROR(__xludf.DUMMYFUNCTION("vlookup($D584,IMPORTRANGE(""https://docs.google.com/spreadsheets/d/1swGwZOEqYlTEUCJLY-eeJM1911Kvaei5oySBIxdgtNo/edit?pli=1#gid=257618397"",""stock FAKTUR!B:G""),6,false)"),"BP-338")</f>
        <v>BP-338</v>
      </c>
      <c r="J584" s="120" t="str">
        <f t="shared" si="25"/>
        <v>ADA</v>
      </c>
      <c r="K584" s="142">
        <v>24.0</v>
      </c>
      <c r="L584" s="145" t="str">
        <f>IFERROR(__xludf.DUMMYFUNCTION("vlookup($D584,IMPORTRANGE(""https://docs.google.com/spreadsheets/d/1swGwZOEqYlTEUCJLY-eeJM1911Kvaei5oySBIxdgtNo/edit?pli=1#gid=257618397"",""stock FAKTUR!B:q""),16,false)"),"LSN")</f>
        <v>LSN</v>
      </c>
      <c r="M584" s="147">
        <v>12600.0</v>
      </c>
      <c r="N584" s="152">
        <v>0.125</v>
      </c>
      <c r="O584" s="147">
        <f t="shared" si="173"/>
        <v>264600</v>
      </c>
      <c r="P584" s="147" t="str">
        <f t="shared" si="3"/>
        <v>Rp12,600-24 LSN-12.50%</v>
      </c>
      <c r="Q584" s="149">
        <v>45419.0</v>
      </c>
      <c r="R584" s="150"/>
      <c r="S584" s="149">
        <v>45422.0</v>
      </c>
      <c r="T584" s="151"/>
      <c r="U584" s="151"/>
      <c r="V584" s="151"/>
      <c r="W584" s="151"/>
    </row>
    <row r="585">
      <c r="A585" s="142">
        <v>4728.0</v>
      </c>
      <c r="B585" s="143" t="str">
        <f t="shared" si="174"/>
        <v>H</v>
      </c>
      <c r="C585" s="143" t="str">
        <f t="shared" si="175"/>
        <v>SISWA-MUNTILAN</v>
      </c>
      <c r="D585" s="180" t="s">
        <v>4583</v>
      </c>
      <c r="E585" s="145" t="str">
        <f>IFERROR(__xludf.DUMMYFUNCTION("vlookup(D585,IMPORTRANGE(""https://docs.google.com/spreadsheets/d/1swGwZOEqYlTEUCJLY-eeJM1911Kvaei5oySBIxdgtNo/edit?pli=1#gid=257618397"",""stock FAKTUR!B:C""),2,false)"),"PW KALENG (TIN CASE) KENKO CP-12")</f>
        <v>PW KALENG (TIN CASE) KENKO CP-12</v>
      </c>
      <c r="F585" s="53" t="str">
        <f>IFERROR(__xludf.DUMMYFUNCTION("vlookup($D585,IMPORTRANGE(""https://docs.google.com/spreadsheets/d/1swGwZOEqYlTEUCJLY-eeJM1911Kvaei5oySBIxdgtNo/edit?pli=1#gid=257618397"",""stock FAKTUR!B:d""),3,false)"),"")</f>
        <v/>
      </c>
      <c r="G585" s="53" t="str">
        <f>IFERROR(__xludf.DUMMYFUNCTION("vlookup($D585,IMPORTRANGE(""https://docs.google.com/spreadsheets/d/1swGwZOEqYlTEUCJLY-eeJM1911Kvaei5oySBIxdgtNo/edit?pli=1#gid=257618397"",""stock FAKTUR!B:e""),4,false)"),"12W")</f>
        <v>12W</v>
      </c>
      <c r="H585" s="53" t="str">
        <f>IFERROR(__xludf.DUMMYFUNCTION("vlookup($D585,IMPORTRANGE(""https://docs.google.com/spreadsheets/d/1swGwZOEqYlTEUCJLY-eeJM1911Kvaei5oySBIxdgtNo/edit?pli=1#gid=257618397"",""stock FAKTUR!B:F""),5,false)"),"KN")</f>
        <v>KN</v>
      </c>
      <c r="I585" s="53" t="str">
        <f>IFERROR(__xludf.DUMMYFUNCTION("vlookup($D585,IMPORTRANGE(""https://docs.google.com/spreadsheets/d/1swGwZOEqYlTEUCJLY-eeJM1911Kvaei5oySBIxdgtNo/edit?pli=1#gid=257618397"",""stock FAKTUR!B:G""),6,false)"),"CP-12")</f>
        <v>CP-12</v>
      </c>
      <c r="J585" s="120" t="str">
        <f t="shared" si="25"/>
        <v>ADA</v>
      </c>
      <c r="K585" s="142">
        <v>2.0</v>
      </c>
      <c r="L585" s="145" t="str">
        <f>IFERROR(__xludf.DUMMYFUNCTION("vlookup($D585,IMPORTRANGE(""https://docs.google.com/spreadsheets/d/1swGwZOEqYlTEUCJLY-eeJM1911Kvaei5oySBIxdgtNo/edit?pli=1#gid=257618397"",""stock FAKTUR!B:q""),16,false)"),"LSN")</f>
        <v>LSN</v>
      </c>
      <c r="M585" s="147">
        <v>204000.0</v>
      </c>
      <c r="N585" s="152">
        <v>0.125</v>
      </c>
      <c r="O585" s="147">
        <f t="shared" si="173"/>
        <v>357000</v>
      </c>
      <c r="P585" s="147" t="str">
        <f t="shared" si="3"/>
        <v>Rp204,000-2 LSN-12.50%</v>
      </c>
      <c r="Q585" s="149">
        <v>45419.0</v>
      </c>
      <c r="R585" s="150"/>
      <c r="S585" s="149">
        <v>45422.0</v>
      </c>
      <c r="T585" s="194" t="s">
        <v>4661</v>
      </c>
      <c r="U585" s="192" t="s">
        <v>4390</v>
      </c>
      <c r="V585" s="151"/>
      <c r="W585" s="159"/>
    </row>
    <row r="586">
      <c r="A586" s="142">
        <v>4728.0</v>
      </c>
      <c r="B586" s="143" t="str">
        <f t="shared" si="174"/>
        <v>H</v>
      </c>
      <c r="C586" s="143" t="str">
        <f t="shared" si="175"/>
        <v>SISWA-MUNTILAN</v>
      </c>
      <c r="D586" s="145" t="s">
        <v>4400</v>
      </c>
      <c r="E586" s="145" t="str">
        <f>IFERROR(__xludf.DUMMYFUNCTION("vlookup(D586,IMPORTRANGE(""https://docs.google.com/spreadsheets/d/1swGwZOEqYlTEUCJLY-eeJM1911Kvaei5oySBIxdgtNo/edit?pli=1#gid=257618397"",""stock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586" s="53" t="str">
        <f>IFERROR(__xludf.DUMMYFUNCTION("vlookup($D586,IMPORTRANGE(""https://docs.google.com/spreadsheets/d/1swGwZOEqYlTEUCJLY-eeJM1911Kvaei5oySBIxdgtNo/edit?pli=1#gid=257618397"",""stock FAKTUR!B:d""),3,false)"),"")</f>
        <v/>
      </c>
      <c r="G586" s="53" t="str">
        <f>IFERROR(__xludf.DUMMYFUNCTION("vlookup($D586,IMPORTRANGE(""https://docs.google.com/spreadsheets/d/1swGwZOEqYlTEUCJLY-eeJM1911Kvaei5oySBIxdgtNo/edit?pli=1#gid=257618397"",""stock FAKTUR!B:e""),4,false)"),"12W")</f>
        <v>12W</v>
      </c>
      <c r="H586" s="53" t="str">
        <f>IFERROR(__xludf.DUMMYFUNCTION("vlookup($D586,IMPORTRANGE(""https://docs.google.com/spreadsheets/d/1swGwZOEqYlTEUCJLY-eeJM1911Kvaei5oySBIxdgtNo/edit?pli=1#gid=257618397"",""stock FAKTUR!B:F""),5,false)"),"KN")</f>
        <v>KN</v>
      </c>
      <c r="I586" s="53" t="str">
        <f>IFERROR(__xludf.DUMMYFUNCTION("vlookup($D586,IMPORTRANGE(""https://docs.google.com/spreadsheets/d/1swGwZOEqYlTEUCJLY-eeJM1911Kvaei5oySBIxdgtNo/edit?pli=1#gid=257618397"",""stock FAKTUR!B:G""),6,false)"),"CP-12")</f>
        <v>CP-12</v>
      </c>
      <c r="J586" s="120" t="str">
        <f t="shared" si="25"/>
        <v>ADA</v>
      </c>
      <c r="K586" s="142">
        <v>6.0</v>
      </c>
      <c r="L586" s="145" t="str">
        <f>IFERROR(__xludf.DUMMYFUNCTION("vlookup($D586,IMPORTRANGE(""https://docs.google.com/spreadsheets/d/1swGwZOEqYlTEUCJLY-eeJM1911Kvaei5oySBIxdgtNo/edit?pli=1#gid=257618397"",""stock FAKTUR!B:q""),16,false)"),"LSN")</f>
        <v>LSN</v>
      </c>
      <c r="M586" s="147">
        <v>79200.0</v>
      </c>
      <c r="N586" s="152">
        <v>0.125</v>
      </c>
      <c r="O586" s="147">
        <f t="shared" si="173"/>
        <v>415800</v>
      </c>
      <c r="P586" s="147" t="str">
        <f t="shared" si="3"/>
        <v>Rp79,200-6 LSN-12.50%</v>
      </c>
      <c r="Q586" s="149">
        <v>45419.0</v>
      </c>
      <c r="R586" s="150"/>
      <c r="S586" s="149">
        <v>45422.0</v>
      </c>
      <c r="T586" s="151"/>
      <c r="U586" s="151"/>
      <c r="V586" s="151"/>
      <c r="W586" s="151"/>
    </row>
    <row r="587">
      <c r="A587" s="142">
        <v>4728.0</v>
      </c>
      <c r="B587" s="143" t="str">
        <f t="shared" si="174"/>
        <v>H</v>
      </c>
      <c r="C587" s="143" t="str">
        <f t="shared" si="175"/>
        <v>SISWA-MUNTILAN</v>
      </c>
      <c r="D587" s="145" t="s">
        <v>4706</v>
      </c>
      <c r="E587" s="145" t="str">
        <f>IFERROR(__xludf.DUMMYFUNCTION("vlookup(D587,IMPORTRANGE(""https://docs.google.com/spreadsheets/d/1swGwZOEqYlTEUCJLY-eeJM1911Kvaei5oySBIxdgtNo/edit?pli=1#gid=257618397"",""stock FAKTUR!B:C""),2,false)"),"PW KENKO BICOLOR 12W CP-12 FBC CLASSIC 12/24")</f>
        <v>PW KENKO BICOLOR 12W CP-12 FBC CLASSIC 12/24</v>
      </c>
      <c r="F587" s="53" t="str">
        <f>IFERROR(__xludf.DUMMYFUNCTION("vlookup($D587,IMPORTRANGE(""https://docs.google.com/spreadsheets/d/1swGwZOEqYlTEUCJLY-eeJM1911Kvaei5oySBIxdgtNo/edit?pli=1#gid=257618397"",""stock FAKTUR!B:d""),3,false)"),"")</f>
        <v/>
      </c>
      <c r="G587" s="53" t="str">
        <f>IFERROR(__xludf.DUMMYFUNCTION("vlookup($D587,IMPORTRANGE(""https://docs.google.com/spreadsheets/d/1swGwZOEqYlTEUCJLY-eeJM1911Kvaei5oySBIxdgtNo/edit?pli=1#gid=257618397"",""stock FAKTUR!B:e""),4,false)"),"")</f>
        <v/>
      </c>
      <c r="H587" s="53" t="str">
        <f>IFERROR(__xludf.DUMMYFUNCTION("vlookup($D587,IMPORTRANGE(""https://docs.google.com/spreadsheets/d/1swGwZOEqYlTEUCJLY-eeJM1911Kvaei5oySBIxdgtNo/edit?pli=1#gid=257618397"",""stock FAKTUR!B:F""),5,false)"),"KN")</f>
        <v>KN</v>
      </c>
      <c r="I587" s="53" t="str">
        <f>IFERROR(__xludf.DUMMYFUNCTION("vlookup($D587,IMPORTRANGE(""https://docs.google.com/spreadsheets/d/1swGwZOEqYlTEUCJLY-eeJM1911Kvaei5oySBIxdgtNo/edit?pli=1#gid=257618397"",""stock FAKTUR!B:G""),6,false)"),"")</f>
        <v/>
      </c>
      <c r="J587" s="120" t="str">
        <f t="shared" si="25"/>
        <v>ADA</v>
      </c>
      <c r="K587" s="142">
        <v>1.0</v>
      </c>
      <c r="L587" s="145" t="str">
        <f>IFERROR(__xludf.DUMMYFUNCTION("vlookup($D587,IMPORTRANGE(""https://docs.google.com/spreadsheets/d/1swGwZOEqYlTEUCJLY-eeJM1911Kvaei5oySBIxdgtNo/edit?pli=1#gid=257618397"",""stock FAKTUR!B:q""),16,false)"),"LSN")</f>
        <v>LSN</v>
      </c>
      <c r="M587" s="147">
        <v>148800.0</v>
      </c>
      <c r="N587" s="152">
        <v>0.125</v>
      </c>
      <c r="O587" s="147">
        <f t="shared" si="173"/>
        <v>130200</v>
      </c>
      <c r="P587" s="147" t="str">
        <f t="shared" si="3"/>
        <v>Rp148,800-1 LSN-12.50%</v>
      </c>
      <c r="Q587" s="149">
        <v>45419.0</v>
      </c>
      <c r="R587" s="150"/>
      <c r="S587" s="149">
        <v>45422.0</v>
      </c>
      <c r="T587" s="151"/>
      <c r="U587" s="151"/>
      <c r="V587" s="151"/>
      <c r="W587" s="151"/>
    </row>
    <row r="588">
      <c r="A588" s="142">
        <v>4728.0</v>
      </c>
      <c r="B588" s="143" t="str">
        <f t="shared" si="174"/>
        <v>H</v>
      </c>
      <c r="C588" s="143" t="str">
        <f t="shared" si="175"/>
        <v>SISWA-MUNTILAN</v>
      </c>
      <c r="D588" s="23" t="s">
        <v>4573</v>
      </c>
      <c r="E588" s="145" t="str">
        <f>IFERROR(__xludf.DUMMYFUNCTION("vlookup(D588,IMPORTRANGE(""https://docs.google.com/spreadsheets/d/1swGwZOEqYlTEUCJLY-eeJM1911Kvaei5oySBIxdgtNo/edit?pli=1#gid=257618397"",""stock FAKTUR!B:C""),2,false)"),"PENSIL KENKO 2B-6120 DOODLE")</f>
        <v>PENSIL KENKO 2B-6120 DOODLE</v>
      </c>
      <c r="F588" s="53" t="str">
        <f>IFERROR(__xludf.DUMMYFUNCTION("vlookup($D588,IMPORTRANGE(""https://docs.google.com/spreadsheets/d/1swGwZOEqYlTEUCJLY-eeJM1911Kvaei5oySBIxdgtNo/edit?pli=1#gid=257618397"",""stock FAKTUR!B:d""),3,false)"),"")</f>
        <v/>
      </c>
      <c r="G588" s="53" t="str">
        <f>IFERROR(__xludf.DUMMYFUNCTION("vlookup($D588,IMPORTRANGE(""https://docs.google.com/spreadsheets/d/1swGwZOEqYlTEUCJLY-eeJM1911Kvaei5oySBIxdgtNo/edit?pli=1#gid=257618397"",""stock FAKTUR!B:e""),4,false)"),"")</f>
        <v/>
      </c>
      <c r="H588" s="53" t="str">
        <f>IFERROR(__xludf.DUMMYFUNCTION("vlookup($D588,IMPORTRANGE(""https://docs.google.com/spreadsheets/d/1swGwZOEqYlTEUCJLY-eeJM1911Kvaei5oySBIxdgtNo/edit?pli=1#gid=257618397"",""stock FAKTUR!B:F""),5,false)"),"KN")</f>
        <v>KN</v>
      </c>
      <c r="I588" s="53" t="str">
        <f>IFERROR(__xludf.DUMMYFUNCTION("vlookup($D588,IMPORTRANGE(""https://docs.google.com/spreadsheets/d/1swGwZOEqYlTEUCJLY-eeJM1911Kvaei5oySBIxdgtNo/edit?pli=1#gid=257618397"",""stock FAKTUR!B:G""),6,false)"),"6120")</f>
        <v>6120</v>
      </c>
      <c r="J588" s="120" t="str">
        <f t="shared" si="25"/>
        <v>ADA</v>
      </c>
      <c r="K588" s="142">
        <f>1/3</f>
        <v>0.3333333333</v>
      </c>
      <c r="L588" s="145" t="str">
        <f>IFERROR(__xludf.DUMMYFUNCTION("vlookup($D588,IMPORTRANGE(""https://docs.google.com/spreadsheets/d/1swGwZOEqYlTEUCJLY-eeJM1911Kvaei5oySBIxdgtNo/edit?pli=1#gid=257618397"",""stock FAKTUR!B:q""),16,false)"),"GRS")</f>
        <v>GRS</v>
      </c>
      <c r="M588" s="147">
        <f>12*8800</f>
        <v>105600</v>
      </c>
      <c r="N588" s="152">
        <v>0.125</v>
      </c>
      <c r="O588" s="147">
        <f t="shared" si="173"/>
        <v>30800</v>
      </c>
      <c r="P588" s="147" t="str">
        <f t="shared" si="3"/>
        <v>Rp105,600-0.333333333333333 GRS-12.50%</v>
      </c>
      <c r="Q588" s="149">
        <v>45419.0</v>
      </c>
      <c r="R588" s="150"/>
      <c r="S588" s="149">
        <v>45422.0</v>
      </c>
      <c r="T588" s="194" t="s">
        <v>4661</v>
      </c>
      <c r="U588" s="192" t="s">
        <v>4390</v>
      </c>
      <c r="V588" s="151"/>
      <c r="W588" s="159"/>
    </row>
    <row r="589">
      <c r="A589" s="142">
        <v>4728.0</v>
      </c>
      <c r="B589" s="143" t="str">
        <f t="shared" si="174"/>
        <v>H</v>
      </c>
      <c r="C589" s="143" t="str">
        <f t="shared" si="175"/>
        <v>SISWA-MUNTILAN</v>
      </c>
      <c r="D589" s="145" t="s">
        <v>4575</v>
      </c>
      <c r="E589" s="145" t="str">
        <f>IFERROR(__xludf.DUMMYFUNCTION("vlookup(D589,IMPORTRANGE(""https://docs.google.com/spreadsheets/d/1swGwZOEqYlTEUCJLY-eeJM1911Kvaei5oySBIxdgtNo/edit?pli=1#gid=257618397"",""stock FAKTUR!B:C""),2,false)"),"PENSIL KENKO 2B-0810 FLUORESCENT")</f>
        <v>PENSIL KENKO 2B-0810 FLUORESCENT</v>
      </c>
      <c r="F589" s="53" t="str">
        <f>IFERROR(__xludf.DUMMYFUNCTION("vlookup($D589,IMPORTRANGE(""https://docs.google.com/spreadsheets/d/1swGwZOEqYlTEUCJLY-eeJM1911Kvaei5oySBIxdgtNo/edit?pli=1#gid=257618397"",""stock FAKTUR!B:d""),3,false)"),"")</f>
        <v/>
      </c>
      <c r="G589" s="53" t="str">
        <f>IFERROR(__xludf.DUMMYFUNCTION("vlookup($D589,IMPORTRANGE(""https://docs.google.com/spreadsheets/d/1swGwZOEqYlTEUCJLY-eeJM1911Kvaei5oySBIxdgtNo/edit?pli=1#gid=257618397"",""stock FAKTUR!B:e""),4,false)"),"")</f>
        <v/>
      </c>
      <c r="H589" s="53" t="str">
        <f>IFERROR(__xludf.DUMMYFUNCTION("vlookup($D589,IMPORTRANGE(""https://docs.google.com/spreadsheets/d/1swGwZOEqYlTEUCJLY-eeJM1911Kvaei5oySBIxdgtNo/edit?pli=1#gid=257618397"",""stock FAKTUR!B:F""),5,false)"),"KN")</f>
        <v>KN</v>
      </c>
      <c r="I589" s="53" t="str">
        <f>IFERROR(__xludf.DUMMYFUNCTION("vlookup($D589,IMPORTRANGE(""https://docs.google.com/spreadsheets/d/1swGwZOEqYlTEUCJLY-eeJM1911Kvaei5oySBIxdgtNo/edit?pli=1#gid=257618397"",""stock FAKTUR!B:G""),6,false)"),"")</f>
        <v/>
      </c>
      <c r="J589" s="120" t="str">
        <f t="shared" si="25"/>
        <v>ADA</v>
      </c>
      <c r="K589" s="142">
        <v>1.0</v>
      </c>
      <c r="L589" s="145" t="str">
        <f>IFERROR(__xludf.DUMMYFUNCTION("vlookup($D589,IMPORTRANGE(""https://docs.google.com/spreadsheets/d/1swGwZOEqYlTEUCJLY-eeJM1911Kvaei5oySBIxdgtNo/edit?pli=1#gid=257618397"",""stock FAKTUR!B:q""),16,false)"),"GRS")</f>
        <v>GRS</v>
      </c>
      <c r="M589" s="147">
        <v>115200.0</v>
      </c>
      <c r="N589" s="152">
        <v>0.125</v>
      </c>
      <c r="O589" s="147">
        <f t="shared" si="173"/>
        <v>100800</v>
      </c>
      <c r="P589" s="147" t="str">
        <f t="shared" si="3"/>
        <v>Rp115,200-1 GRS-12.50%</v>
      </c>
      <c r="Q589" s="149">
        <v>45419.0</v>
      </c>
      <c r="R589" s="150"/>
      <c r="S589" s="149">
        <v>45422.0</v>
      </c>
      <c r="T589" s="151"/>
      <c r="U589" s="151"/>
      <c r="V589" s="151"/>
      <c r="W589" s="151"/>
    </row>
    <row r="590">
      <c r="A590" s="142">
        <v>4728.0</v>
      </c>
      <c r="B590" s="143" t="str">
        <f t="shared" si="174"/>
        <v>H</v>
      </c>
      <c r="C590" s="143" t="str">
        <f t="shared" si="175"/>
        <v>SISWA-MUNTILAN</v>
      </c>
      <c r="D590" s="193" t="s">
        <v>4576</v>
      </c>
      <c r="E590" s="145" t="str">
        <f>IFERROR(__xludf.DUMMYFUNCTION("vlookup(D590,IMPORTRANGE(""https://docs.google.com/spreadsheets/d/1swGwZOEqYlTEUCJLY-eeJM1911Kvaei5oySBIxdgtNo/edit?pli=1#gid=257618397"",""stock FAKTUR!B:C""),2,false)"),"PENSIL KENKO 2B-0192")</f>
        <v>PENSIL KENKO 2B-0192</v>
      </c>
      <c r="F590" s="53" t="str">
        <f>IFERROR(__xludf.DUMMYFUNCTION("vlookup($D590,IMPORTRANGE(""https://docs.google.com/spreadsheets/d/1swGwZOEqYlTEUCJLY-eeJM1911Kvaei5oySBIxdgtNo/edit?pli=1#gid=257618397"",""stock FAKTUR!B:d""),3,false)"),"")</f>
        <v/>
      </c>
      <c r="G590" s="53" t="str">
        <f>IFERROR(__xludf.DUMMYFUNCTION("vlookup($D590,IMPORTRANGE(""https://docs.google.com/spreadsheets/d/1swGwZOEqYlTEUCJLY-eeJM1911Kvaei5oySBIxdgtNo/edit?pli=1#gid=257618397"",""stock FAKTUR!B:e""),4,false)"),"")</f>
        <v/>
      </c>
      <c r="H590" s="53" t="str">
        <f>IFERROR(__xludf.DUMMYFUNCTION("vlookup($D590,IMPORTRANGE(""https://docs.google.com/spreadsheets/d/1swGwZOEqYlTEUCJLY-eeJM1911Kvaei5oySBIxdgtNo/edit?pli=1#gid=257618397"",""stock FAKTUR!B:F""),5,false)"),"KN")</f>
        <v>KN</v>
      </c>
      <c r="I590" s="53" t="str">
        <f>IFERROR(__xludf.DUMMYFUNCTION("vlookup($D590,IMPORTRANGE(""https://docs.google.com/spreadsheets/d/1swGwZOEqYlTEUCJLY-eeJM1911Kvaei5oySBIxdgtNo/edit?pli=1#gid=257618397"",""stock FAKTUR!B:G""),6,false)"),"0192")</f>
        <v>0192</v>
      </c>
      <c r="J590" s="120" t="str">
        <f t="shared" si="25"/>
        <v>ADA</v>
      </c>
      <c r="K590" s="142">
        <v>1.0</v>
      </c>
      <c r="L590" s="145" t="str">
        <f>IFERROR(__xludf.DUMMYFUNCTION("vlookup($D590,IMPORTRANGE(""https://docs.google.com/spreadsheets/d/1swGwZOEqYlTEUCJLY-eeJM1911Kvaei5oySBIxdgtNo/edit?pli=1#gid=257618397"",""stock FAKTUR!B:q""),16,false)"),"GRS")</f>
        <v>GRS</v>
      </c>
      <c r="M590" s="147">
        <v>122400.0</v>
      </c>
      <c r="N590" s="152">
        <v>0.125</v>
      </c>
      <c r="O590" s="147">
        <f t="shared" si="173"/>
        <v>107100</v>
      </c>
      <c r="P590" s="147" t="str">
        <f t="shared" si="3"/>
        <v>Rp122,400-1 GRS-12.50%</v>
      </c>
      <c r="Q590" s="149">
        <v>45419.0</v>
      </c>
      <c r="R590" s="150"/>
      <c r="S590" s="149">
        <v>45422.0</v>
      </c>
      <c r="T590" s="194" t="s">
        <v>4508</v>
      </c>
      <c r="U590" s="192" t="s">
        <v>4390</v>
      </c>
      <c r="V590" s="151"/>
      <c r="W590" s="159"/>
    </row>
    <row r="591">
      <c r="A591" s="142">
        <v>4728.0</v>
      </c>
      <c r="B591" s="143" t="str">
        <f t="shared" si="174"/>
        <v>H</v>
      </c>
      <c r="C591" s="143" t="str">
        <f t="shared" si="175"/>
        <v>SISWA-MUNTILAN</v>
      </c>
      <c r="D591" s="145" t="s">
        <v>4574</v>
      </c>
      <c r="E591" s="145" t="str">
        <f>IFERROR(__xludf.DUMMYFUNCTION("vlookup(D591,IMPORTRANGE(""https://docs.google.com/spreadsheets/d/1swGwZOEqYlTEUCJLY-eeJM1911Kvaei5oySBIxdgtNo/edit?pli=1#gid=257618397"",""stock FAKTUR!B:C""),2,false)"),"PENSIL KENKO 6363")</f>
        <v>PENSIL KENKO 6363</v>
      </c>
      <c r="F591" s="53" t="str">
        <f>IFERROR(__xludf.DUMMYFUNCTION("vlookup($D591,IMPORTRANGE(""https://docs.google.com/spreadsheets/d/1swGwZOEqYlTEUCJLY-eeJM1911Kvaei5oySBIxdgtNo/edit?pli=1#gid=257618397"",""stock FAKTUR!B:d""),3,false)"),"")</f>
        <v/>
      </c>
      <c r="G591" s="53" t="str">
        <f>IFERROR(__xludf.DUMMYFUNCTION("vlookup($D591,IMPORTRANGE(""https://docs.google.com/spreadsheets/d/1swGwZOEqYlTEUCJLY-eeJM1911Kvaei5oySBIxdgtNo/edit?pli=1#gid=257618397"",""stock FAKTUR!B:e""),4,false)"),"")</f>
        <v/>
      </c>
      <c r="H591" s="53" t="str">
        <f>IFERROR(__xludf.DUMMYFUNCTION("vlookup($D591,IMPORTRANGE(""https://docs.google.com/spreadsheets/d/1swGwZOEqYlTEUCJLY-eeJM1911Kvaei5oySBIxdgtNo/edit?pli=1#gid=257618397"",""stock FAKTUR!B:F""),5,false)"),"KN")</f>
        <v>KN</v>
      </c>
      <c r="I591" s="53" t="str">
        <f>IFERROR(__xludf.DUMMYFUNCTION("vlookup($D591,IMPORTRANGE(""https://docs.google.com/spreadsheets/d/1swGwZOEqYlTEUCJLY-eeJM1911Kvaei5oySBIxdgtNo/edit?pli=1#gid=257618397"",""stock FAKTUR!B:G""),6,false)"),"6363")</f>
        <v>6363</v>
      </c>
      <c r="J591" s="120" t="str">
        <f t="shared" si="25"/>
        <v>ADA</v>
      </c>
      <c r="K591" s="142">
        <v>1.0</v>
      </c>
      <c r="L591" s="145" t="str">
        <f>IFERROR(__xludf.DUMMYFUNCTION("vlookup($D591,IMPORTRANGE(""https://docs.google.com/spreadsheets/d/1swGwZOEqYlTEUCJLY-eeJM1911Kvaei5oySBIxdgtNo/edit?pli=1#gid=257618397"",""stock FAKTUR!B:q""),16,false)"),"GRS")</f>
        <v>GRS</v>
      </c>
      <c r="M591" s="147">
        <v>112800.0</v>
      </c>
      <c r="N591" s="152">
        <v>0.125</v>
      </c>
      <c r="O591" s="147">
        <f t="shared" si="173"/>
        <v>98700</v>
      </c>
      <c r="P591" s="147" t="str">
        <f t="shared" si="3"/>
        <v>Rp112,800-1 GRS-12.50%</v>
      </c>
      <c r="Q591" s="149">
        <v>45419.0</v>
      </c>
      <c r="R591" s="150"/>
      <c r="S591" s="149">
        <v>45422.0</v>
      </c>
      <c r="T591" s="151"/>
      <c r="U591" s="151"/>
      <c r="V591" s="151"/>
      <c r="W591" s="151"/>
    </row>
    <row r="592">
      <c r="A592" s="142">
        <v>4728.0</v>
      </c>
      <c r="B592" s="143" t="str">
        <f t="shared" si="174"/>
        <v>H</v>
      </c>
      <c r="C592" s="143" t="str">
        <f t="shared" si="175"/>
        <v>SISWA-MUNTILAN</v>
      </c>
      <c r="D592" s="145" t="s">
        <v>4572</v>
      </c>
      <c r="E592" s="145" t="str">
        <f>IFERROR(__xludf.DUMMYFUNCTION("vlookup(D592,IMPORTRANGE(""https://docs.google.com/spreadsheets/d/1swGwZOEqYlTEUCJLY-eeJM1911Kvaei5oySBIxdgtNo/edit?pli=1#gid=257618397"",""stock FAKTUR!B:C""),2,false)"),"PENSIL KENKO 2B-6393 FLUORESCENT")</f>
        <v>PENSIL KENKO 2B-6393 FLUORESCENT</v>
      </c>
      <c r="F592" s="53" t="str">
        <f>IFERROR(__xludf.DUMMYFUNCTION("vlookup($D592,IMPORTRANGE(""https://docs.google.com/spreadsheets/d/1swGwZOEqYlTEUCJLY-eeJM1911Kvaei5oySBIxdgtNo/edit?pli=1#gid=257618397"",""stock FAKTUR!B:d""),3,false)"),"")</f>
        <v/>
      </c>
      <c r="G592" s="53" t="str">
        <f>IFERROR(__xludf.DUMMYFUNCTION("vlookup($D592,IMPORTRANGE(""https://docs.google.com/spreadsheets/d/1swGwZOEqYlTEUCJLY-eeJM1911Kvaei5oySBIxdgtNo/edit?pli=1#gid=257618397"",""stock FAKTUR!B:e""),4,false)"),"")</f>
        <v/>
      </c>
      <c r="H592" s="53" t="str">
        <f>IFERROR(__xludf.DUMMYFUNCTION("vlookup($D592,IMPORTRANGE(""https://docs.google.com/spreadsheets/d/1swGwZOEqYlTEUCJLY-eeJM1911Kvaei5oySBIxdgtNo/edit?pli=1#gid=257618397"",""stock FAKTUR!B:F""),5,false)"),"KN")</f>
        <v>KN</v>
      </c>
      <c r="I592" s="53" t="str">
        <f>IFERROR(__xludf.DUMMYFUNCTION("vlookup($D592,IMPORTRANGE(""https://docs.google.com/spreadsheets/d/1swGwZOEqYlTEUCJLY-eeJM1911Kvaei5oySBIxdgtNo/edit?pli=1#gid=257618397"",""stock FAKTUR!B:G""),6,false)"),"")</f>
        <v/>
      </c>
      <c r="J592" s="120" t="str">
        <f t="shared" si="25"/>
        <v>ADA</v>
      </c>
      <c r="K592" s="142">
        <v>1.0</v>
      </c>
      <c r="L592" s="145" t="str">
        <f>IFERROR(__xludf.DUMMYFUNCTION("vlookup($D592,IMPORTRANGE(""https://docs.google.com/spreadsheets/d/1swGwZOEqYlTEUCJLY-eeJM1911Kvaei5oySBIxdgtNo/edit?pli=1#gid=257618397"",""stock FAKTUR!B:q""),16,false)"),"GRS")</f>
        <v>GRS</v>
      </c>
      <c r="M592" s="147">
        <v>120000.0</v>
      </c>
      <c r="N592" s="152">
        <v>0.125</v>
      </c>
      <c r="O592" s="147">
        <f t="shared" si="173"/>
        <v>105000</v>
      </c>
      <c r="P592" s="147" t="str">
        <f t="shared" si="3"/>
        <v>Rp120,000-1 GRS-12.50%</v>
      </c>
      <c r="Q592" s="149">
        <v>45419.0</v>
      </c>
      <c r="R592" s="150"/>
      <c r="S592" s="149">
        <v>45422.0</v>
      </c>
      <c r="T592" s="151"/>
      <c r="U592" s="151"/>
      <c r="V592" s="151"/>
      <c r="W592" s="151"/>
    </row>
    <row r="593">
      <c r="A593" s="142">
        <v>4728.0</v>
      </c>
      <c r="B593" s="143" t="str">
        <f t="shared" si="174"/>
        <v>H</v>
      </c>
      <c r="C593" s="143" t="str">
        <f t="shared" si="175"/>
        <v>SISWA-MUNTILAN</v>
      </c>
      <c r="D593" s="145" t="s">
        <v>4501</v>
      </c>
      <c r="E593" s="145" t="str">
        <f>IFERROR(__xludf.DUMMYFUNCTION("vlookup(D593,IMPORTRANGE(""https://docs.google.com/spreadsheets/d/1swGwZOEqYlTEUCJLY-eeJM1911Kvaei5oySBIxdgtNo/edit?pli=1#gid=257618397"",""stock FAKTUR!B:C""),2,false)"),"PENSIL JK P-88 2B")</f>
        <v>PENSIL JK P-88 2B</v>
      </c>
      <c r="F593" s="53" t="str">
        <f>IFERROR(__xludf.DUMMYFUNCTION("vlookup($D593,IMPORTRANGE(""https://docs.google.com/spreadsheets/d/1swGwZOEqYlTEUCJLY-eeJM1911Kvaei5oySBIxdgtNo/edit?pli=1#gid=257618397"",""stock FAKTUR!B:d""),3,false)"),"")</f>
        <v/>
      </c>
      <c r="G593" s="53" t="str">
        <f>IFERROR(__xludf.DUMMYFUNCTION("vlookup($D593,IMPORTRANGE(""https://docs.google.com/spreadsheets/d/1swGwZOEqYlTEUCJLY-eeJM1911Kvaei5oySBIxdgtNo/edit?pli=1#gid=257618397"",""stock FAKTUR!B:e""),4,false)"),"")</f>
        <v/>
      </c>
      <c r="H593" s="53" t="str">
        <f>IFERROR(__xludf.DUMMYFUNCTION("vlookup($D593,IMPORTRANGE(""https://docs.google.com/spreadsheets/d/1swGwZOEqYlTEUCJLY-eeJM1911Kvaei5oySBIxdgtNo/edit?pli=1#gid=257618397"",""stock FAKTUR!B:F""),5,false)"),"JK")</f>
        <v>JK</v>
      </c>
      <c r="I593" s="53" t="str">
        <f>IFERROR(__xludf.DUMMYFUNCTION("vlookup($D593,IMPORTRANGE(""https://docs.google.com/spreadsheets/d/1swGwZOEqYlTEUCJLY-eeJM1911Kvaei5oySBIxdgtNo/edit?pli=1#gid=257618397"",""stock FAKTUR!B:G""),6,false)"),"P-88")</f>
        <v>P-88</v>
      </c>
      <c r="J593" s="120" t="str">
        <f t="shared" si="25"/>
        <v>ADA</v>
      </c>
      <c r="K593" s="142">
        <v>1.0</v>
      </c>
      <c r="L593" s="145" t="str">
        <f>IFERROR(__xludf.DUMMYFUNCTION("vlookup($D593,IMPORTRANGE(""https://docs.google.com/spreadsheets/d/1swGwZOEqYlTEUCJLY-eeJM1911Kvaei5oySBIxdgtNo/edit?pli=1#gid=257618397"",""stock FAKTUR!B:q""),16,false)"),"GRS")</f>
        <v>GRS</v>
      </c>
      <c r="M593" s="147">
        <v>104400.0</v>
      </c>
      <c r="N593" s="152">
        <v>0.125</v>
      </c>
      <c r="O593" s="147">
        <f t="shared" si="173"/>
        <v>91350</v>
      </c>
      <c r="P593" s="147" t="str">
        <f t="shared" si="3"/>
        <v>Rp104,400-1 GRS-12.50%</v>
      </c>
      <c r="Q593" s="149">
        <v>45419.0</v>
      </c>
      <c r="R593" s="150"/>
      <c r="S593" s="149">
        <v>45422.0</v>
      </c>
      <c r="T593" s="151"/>
      <c r="U593" s="151"/>
      <c r="V593" s="151"/>
      <c r="W593" s="151"/>
    </row>
    <row r="594">
      <c r="A594" s="142">
        <v>4728.0</v>
      </c>
      <c r="B594" s="143" t="str">
        <f t="shared" si="174"/>
        <v>H</v>
      </c>
      <c r="C594" s="143" t="str">
        <f t="shared" si="175"/>
        <v>SISWA-MUNTILAN</v>
      </c>
      <c r="D594" s="145" t="s">
        <v>4416</v>
      </c>
      <c r="E594" s="145" t="str">
        <f>IFERROR(__xludf.DUMMYFUNCTION("vlookup(D594,IMPORTRANGE(""https://docs.google.com/spreadsheets/d/1swGwZOEqYlTEUCJLY-eeJM1911Kvaei5oySBIxdgtNo/edit?pli=1#gid=257618397"",""stock FAKTUR!B:C""),2,false)"),"BP KENKO KE-303 T-GEL HITAM")</f>
        <v>BP KENKO KE-303 T-GEL HITAM</v>
      </c>
      <c r="F594" s="53" t="str">
        <f>IFERROR(__xludf.DUMMYFUNCTION("vlookup($D594,IMPORTRANGE(""https://docs.google.com/spreadsheets/d/1swGwZOEqYlTEUCJLY-eeJM1911Kvaei5oySBIxdgtNo/edit?pli=1#gid=257618397"",""stock FAKTUR!B:d""),3,false)"),"")</f>
        <v/>
      </c>
      <c r="G594" s="53" t="str">
        <f>IFERROR(__xludf.DUMMYFUNCTION("vlookup($D594,IMPORTRANGE(""https://docs.google.com/spreadsheets/d/1swGwZOEqYlTEUCJLY-eeJM1911Kvaei5oySBIxdgtNo/edit?pli=1#gid=257618397"",""stock FAKTUR!B:e""),4,false)"),"")</f>
        <v/>
      </c>
      <c r="H594" s="53" t="str">
        <f>IFERROR(__xludf.DUMMYFUNCTION("vlookup($D594,IMPORTRANGE(""https://docs.google.com/spreadsheets/d/1swGwZOEqYlTEUCJLY-eeJM1911Kvaei5oySBIxdgtNo/edit?pli=1#gid=257618397"",""stock FAKTUR!B:F""),5,false)"),"KN")</f>
        <v>KN</v>
      </c>
      <c r="I594" s="53" t="str">
        <f>IFERROR(__xludf.DUMMYFUNCTION("vlookup($D594,IMPORTRANGE(""https://docs.google.com/spreadsheets/d/1swGwZOEqYlTEUCJLY-eeJM1911Kvaei5oySBIxdgtNo/edit?pli=1#gid=257618397"",""stock FAKTUR!B:G""),6,false)"),"KE-303")</f>
        <v>KE-303</v>
      </c>
      <c r="J594" s="120" t="str">
        <f t="shared" si="25"/>
        <v>ADA</v>
      </c>
      <c r="K594" s="142">
        <v>12.0</v>
      </c>
      <c r="L594" s="145" t="str">
        <f>IFERROR(__xludf.DUMMYFUNCTION("vlookup($D594,IMPORTRANGE(""https://docs.google.com/spreadsheets/d/1swGwZOEqYlTEUCJLY-eeJM1911Kvaei5oySBIxdgtNo/edit?pli=1#gid=257618397"",""stock FAKTUR!B:q""),16,false)"),"LSN")</f>
        <v>LSN</v>
      </c>
      <c r="M594" s="147">
        <v>21600.0</v>
      </c>
      <c r="N594" s="152">
        <v>0.125</v>
      </c>
      <c r="O594" s="147">
        <f t="shared" si="173"/>
        <v>226800</v>
      </c>
      <c r="P594" s="147" t="str">
        <f t="shared" si="3"/>
        <v>Rp21,600-12 LSN-12.50%</v>
      </c>
      <c r="Q594" s="149">
        <v>45419.0</v>
      </c>
      <c r="R594" s="150"/>
      <c r="S594" s="149">
        <v>45422.0</v>
      </c>
      <c r="T594" s="151"/>
      <c r="U594" s="151"/>
      <c r="V594" s="151"/>
      <c r="W594" s="151"/>
    </row>
    <row r="595">
      <c r="A595" s="142">
        <v>4728.0</v>
      </c>
      <c r="B595" s="143" t="str">
        <f t="shared" si="174"/>
        <v>H</v>
      </c>
      <c r="C595" s="143" t="str">
        <f t="shared" si="175"/>
        <v>SISWA-MUNTILAN</v>
      </c>
      <c r="D595" s="145" t="s">
        <v>4593</v>
      </c>
      <c r="E595" s="145" t="str">
        <f>IFERROR(__xludf.DUMMYFUNCTION("vlookup(D595,IMPORTRANGE(""https://docs.google.com/spreadsheets/d/1swGwZOEqYlTEUCJLY-eeJM1911Kvaei5oySBIxdgtNo/edit?pli=1#gid=257618397"",""stock FAKTUR!B:C""),2,false)"),"ISI PENSIL KENKO PL-05 2B HI-POLYMER")</f>
        <v>ISI PENSIL KENKO PL-05 2B HI-POLYMER</v>
      </c>
      <c r="F595" s="53" t="str">
        <f>IFERROR(__xludf.DUMMYFUNCTION("vlookup($D595,IMPORTRANGE(""https://docs.google.com/spreadsheets/d/1swGwZOEqYlTEUCJLY-eeJM1911Kvaei5oySBIxdgtNo/edit?pli=1#gid=257618397"",""stock FAKTUR!B:d""),3,false)"),"")</f>
        <v/>
      </c>
      <c r="G595" s="53" t="str">
        <f>IFERROR(__xludf.DUMMYFUNCTION("vlookup($D595,IMPORTRANGE(""https://docs.google.com/spreadsheets/d/1swGwZOEqYlTEUCJLY-eeJM1911Kvaei5oySBIxdgtNo/edit?pli=1#gid=257618397"",""stock FAKTUR!B:e""),4,false)"),"")</f>
        <v/>
      </c>
      <c r="H595" s="53" t="str">
        <f>IFERROR(__xludf.DUMMYFUNCTION("vlookup($D595,IMPORTRANGE(""https://docs.google.com/spreadsheets/d/1swGwZOEqYlTEUCJLY-eeJM1911Kvaei5oySBIxdgtNo/edit?pli=1#gid=257618397"",""stock FAKTUR!B:F""),5,false)"),"KN")</f>
        <v>KN</v>
      </c>
      <c r="I595" s="53" t="str">
        <f>IFERROR(__xludf.DUMMYFUNCTION("vlookup($D595,IMPORTRANGE(""https://docs.google.com/spreadsheets/d/1swGwZOEqYlTEUCJLY-eeJM1911Kvaei5oySBIxdgtNo/edit?pli=1#gid=257618397"",""stock FAKTUR!B:G""),6,false)"),"")</f>
        <v/>
      </c>
      <c r="J595" s="120" t="str">
        <f t="shared" si="25"/>
        <v>ADA</v>
      </c>
      <c r="K595" s="142">
        <f>2*12</f>
        <v>24</v>
      </c>
      <c r="L595" s="145" t="str">
        <f>IFERROR(__xludf.DUMMYFUNCTION("vlookup($D595,IMPORTRANGE(""https://docs.google.com/spreadsheets/d/1swGwZOEqYlTEUCJLY-eeJM1911Kvaei5oySBIxdgtNo/edit?pli=1#gid=257618397"",""stock FAKTUR!B:q""),16,false)"),"LSN")</f>
        <v>LSN</v>
      </c>
      <c r="M595" s="147">
        <f>180000/12</f>
        <v>15000</v>
      </c>
      <c r="N595" s="152">
        <v>0.125</v>
      </c>
      <c r="O595" s="147">
        <f t="shared" si="173"/>
        <v>315000</v>
      </c>
      <c r="P595" s="147" t="str">
        <f t="shared" si="3"/>
        <v>Rp15,000-24 LSN-12.50%</v>
      </c>
      <c r="Q595" s="149">
        <v>45419.0</v>
      </c>
      <c r="R595" s="150"/>
      <c r="S595" s="149">
        <v>45422.0</v>
      </c>
      <c r="T595" s="151"/>
      <c r="U595" s="151"/>
      <c r="V595" s="151"/>
      <c r="W595" s="151"/>
    </row>
    <row r="596">
      <c r="A596" s="142">
        <v>4729.0</v>
      </c>
      <c r="B596" s="143" t="s">
        <v>33</v>
      </c>
      <c r="C596" s="143" t="s">
        <v>1768</v>
      </c>
      <c r="D596" s="159" t="s">
        <v>4703</v>
      </c>
      <c r="E596" s="145" t="str">
        <f>IFERROR(__xludf.DUMMYFUNCTION("vlookup(D596,IMPORTRANGE(""https://docs.google.com/spreadsheets/d/1swGwZOEqYlTEUCJLY-eeJM1911Kvaei5oySBIxdgtNo/edit?pli=1#gid=257618397"",""stock FAKTUR!B:C""),2,false)"),"ASAHAN KENKO SP-71 S KECIL")</f>
        <v>ASAHAN KENKO SP-71 S KECIL</v>
      </c>
      <c r="F596" s="53" t="str">
        <f>IFERROR(__xludf.DUMMYFUNCTION("vlookup($D596,IMPORTRANGE(""https://docs.google.com/spreadsheets/d/1swGwZOEqYlTEUCJLY-eeJM1911Kvaei5oySBIxdgtNo/edit?pli=1#gid=257618397"",""stock FAKTUR!B:d""),3,false)"),"K")</f>
        <v>K</v>
      </c>
      <c r="G596" s="53" t="str">
        <f>IFERROR(__xludf.DUMMYFUNCTION("vlookup($D596,IMPORTRANGE(""https://docs.google.com/spreadsheets/d/1swGwZOEqYlTEUCJLY-eeJM1911Kvaei5oySBIxdgtNo/edit?pli=1#gid=257618397"",""stock FAKTUR!B:e""),4,false)"),"")</f>
        <v/>
      </c>
      <c r="H596" s="53" t="str">
        <f>IFERROR(__xludf.DUMMYFUNCTION("vlookup($D596,IMPORTRANGE(""https://docs.google.com/spreadsheets/d/1swGwZOEqYlTEUCJLY-eeJM1911Kvaei5oySBIxdgtNo/edit?pli=1#gid=257618397"",""stock FAKTUR!B:F""),5,false)"),"KN")</f>
        <v>KN</v>
      </c>
      <c r="I596" s="53" t="str">
        <f>IFERROR(__xludf.DUMMYFUNCTION("vlookup($D596,IMPORTRANGE(""https://docs.google.com/spreadsheets/d/1swGwZOEqYlTEUCJLY-eeJM1911Kvaei5oySBIxdgtNo/edit?pli=1#gid=257618397"",""stock FAKTUR!B:G""),6,false)"),"")</f>
        <v/>
      </c>
      <c r="J596" s="120" t="str">
        <f t="shared" si="25"/>
        <v>ADA</v>
      </c>
      <c r="K596" s="142">
        <v>5.0</v>
      </c>
      <c r="L596" s="145" t="str">
        <f>IFERROR(__xludf.DUMMYFUNCTION("vlookup($D596,IMPORTRANGE(""https://docs.google.com/spreadsheets/d/1swGwZOEqYlTEUCJLY-eeJM1911Kvaei5oySBIxdgtNo/edit?pli=1#gid=257618397"",""stock FAKTUR!B:q""),16,false)"),"BOX")</f>
        <v>BOX</v>
      </c>
      <c r="M596" s="147">
        <v>15900.0</v>
      </c>
      <c r="N596" s="152">
        <v>0.125</v>
      </c>
      <c r="O596" s="147">
        <f t="shared" si="173"/>
        <v>69562.5</v>
      </c>
      <c r="P596" s="147" t="str">
        <f t="shared" si="3"/>
        <v>Rp15,900-5 BOX-12.50%</v>
      </c>
      <c r="Q596" s="149">
        <v>45419.0</v>
      </c>
      <c r="R596" s="150"/>
      <c r="S596" s="149">
        <v>45422.0</v>
      </c>
      <c r="T596" s="151"/>
      <c r="U596" s="151"/>
      <c r="V596" s="151"/>
      <c r="W596" s="151"/>
    </row>
    <row r="597">
      <c r="A597" s="142">
        <v>4729.0</v>
      </c>
      <c r="B597" s="143" t="str">
        <f t="shared" ref="B597:B600" si="176">IF(A597=A596,B596,"")</f>
        <v>H</v>
      </c>
      <c r="C597" s="143" t="str">
        <f t="shared" ref="C597:C600" si="177">IF(A597=A596,C596,"")</f>
        <v>SISWA-MUNTILAN</v>
      </c>
      <c r="D597" s="145" t="s">
        <v>4429</v>
      </c>
      <c r="E597" s="145" t="str">
        <f>IFERROR(__xludf.DUMMYFUNCTION("vlookup(D597,IMPORTRANGE(""https://docs.google.com/spreadsheets/d/1swGwZOEqYlTEUCJLY-eeJM1911Kvaei5oySBIxdgtNo/edit?pli=1#gid=257618397"",""stock FAKTUR!B:C""),2,false)"),"TIPEX KENKO KE-01")</f>
        <v>TIPEX KENKO KE-01</v>
      </c>
      <c r="F597" s="53" t="str">
        <f>IFERROR(__xludf.DUMMYFUNCTION("vlookup($D597,IMPORTRANGE(""https://docs.google.com/spreadsheets/d/1swGwZOEqYlTEUCJLY-eeJM1911Kvaei5oySBIxdgtNo/edit?pli=1#gid=257618397"",""stock FAKTUR!B:d""),3,false)"),"")</f>
        <v/>
      </c>
      <c r="G597" s="53" t="str">
        <f>IFERROR(__xludf.DUMMYFUNCTION("vlookup($D597,IMPORTRANGE(""https://docs.google.com/spreadsheets/d/1swGwZOEqYlTEUCJLY-eeJM1911Kvaei5oySBIxdgtNo/edit?pli=1#gid=257618397"",""stock FAKTUR!B:e""),4,false)"),"")</f>
        <v/>
      </c>
      <c r="H597" s="53" t="str">
        <f>IFERROR(__xludf.DUMMYFUNCTION("vlookup($D597,IMPORTRANGE(""https://docs.google.com/spreadsheets/d/1swGwZOEqYlTEUCJLY-eeJM1911Kvaei5oySBIxdgtNo/edit?pli=1#gid=257618397"",""stock FAKTUR!B:F""),5,false)"),"KN")</f>
        <v>KN</v>
      </c>
      <c r="I597" s="53" t="str">
        <f>IFERROR(__xludf.DUMMYFUNCTION("vlookup($D597,IMPORTRANGE(""https://docs.google.com/spreadsheets/d/1swGwZOEqYlTEUCJLY-eeJM1911Kvaei5oySBIxdgtNo/edit?pli=1#gid=257618397"",""stock FAKTUR!B:G""),6,false)"),"CFL-001")</f>
        <v>CFL-001</v>
      </c>
      <c r="J597" s="120" t="str">
        <f t="shared" si="25"/>
        <v>ADA</v>
      </c>
      <c r="K597" s="142">
        <v>36.0</v>
      </c>
      <c r="L597" s="145" t="str">
        <f>IFERROR(__xludf.DUMMYFUNCTION("vlookup($D597,IMPORTRANGE(""https://docs.google.com/spreadsheets/d/1swGwZOEqYlTEUCJLY-eeJM1911Kvaei5oySBIxdgtNo/edit?pli=1#gid=257618397"",""stock FAKTUR!B:q""),16,false)"),"LSN")</f>
        <v>LSN</v>
      </c>
      <c r="M597" s="147">
        <v>56100.0</v>
      </c>
      <c r="N597" s="152">
        <v>0.125</v>
      </c>
      <c r="O597" s="147">
        <f t="shared" si="173"/>
        <v>1767150</v>
      </c>
      <c r="P597" s="147" t="str">
        <f t="shared" si="3"/>
        <v>Rp56,100-36 LSN-12.50%</v>
      </c>
      <c r="Q597" s="149">
        <v>45419.0</v>
      </c>
      <c r="R597" s="150"/>
      <c r="S597" s="149">
        <v>45422.0</v>
      </c>
      <c r="T597" s="151"/>
      <c r="U597" s="151"/>
      <c r="V597" s="151"/>
      <c r="W597" s="151"/>
    </row>
    <row r="598">
      <c r="A598" s="142">
        <v>4729.0</v>
      </c>
      <c r="B598" s="143" t="str">
        <f t="shared" si="176"/>
        <v>H</v>
      </c>
      <c r="C598" s="143" t="str">
        <f t="shared" si="177"/>
        <v>SISWA-MUNTILAN</v>
      </c>
      <c r="D598" s="145" t="s">
        <v>4707</v>
      </c>
      <c r="E598" s="145" t="str">
        <f>IFERROR(__xludf.DUMMYFUNCTION("vlookup(D598,IMPORTRANGE(""https://docs.google.com/spreadsheets/d/1swGwZOEqYlTEUCJLY-eeJM1911Kvaei5oySBIxdgtNo/edit?pli=1#gid=257618397"",""stock FAKTUR!B:C""),2,false)"),"BINDER CLIP KENKO NO. 107")</f>
        <v>BINDER CLIP KENKO NO. 107</v>
      </c>
      <c r="F598" s="53" t="str">
        <f>IFERROR(__xludf.DUMMYFUNCTION("vlookup($D598,IMPORTRANGE(""https://docs.google.com/spreadsheets/d/1swGwZOEqYlTEUCJLY-eeJM1911Kvaei5oySBIxdgtNo/edit?pli=1#gid=257618397"",""stock FAKTUR!B:d""),3,false)"),"")</f>
        <v/>
      </c>
      <c r="G598" s="53" t="str">
        <f>IFERROR(__xludf.DUMMYFUNCTION("vlookup($D598,IMPORTRANGE(""https://docs.google.com/spreadsheets/d/1swGwZOEqYlTEUCJLY-eeJM1911Kvaei5oySBIxdgtNo/edit?pli=1#gid=257618397"",""stock FAKTUR!B:e""),4,false)"),"")</f>
        <v/>
      </c>
      <c r="H598" s="53" t="str">
        <f>IFERROR(__xludf.DUMMYFUNCTION("vlookup($D598,IMPORTRANGE(""https://docs.google.com/spreadsheets/d/1swGwZOEqYlTEUCJLY-eeJM1911Kvaei5oySBIxdgtNo/edit?pli=1#gid=257618397"",""stock FAKTUR!B:F""),5,false)"),"KN")</f>
        <v>KN</v>
      </c>
      <c r="I598" s="53" t="str">
        <f>IFERROR(__xludf.DUMMYFUNCTION("vlookup($D598,IMPORTRANGE(""https://docs.google.com/spreadsheets/d/1swGwZOEqYlTEUCJLY-eeJM1911Kvaei5oySBIxdgtNo/edit?pli=1#gid=257618397"",""stock FAKTUR!B:G""),6,false)"),"BCL-002QH")</f>
        <v>BCL-002QH</v>
      </c>
      <c r="J598" s="120" t="str">
        <f t="shared" si="25"/>
        <v>ADA</v>
      </c>
      <c r="K598" s="142">
        <v>2.0</v>
      </c>
      <c r="L598" s="145" t="str">
        <f>IFERROR(__xludf.DUMMYFUNCTION("vlookup($D598,IMPORTRANGE(""https://docs.google.com/spreadsheets/d/1swGwZOEqYlTEUCJLY-eeJM1911Kvaei5oySBIxdgtNo/edit?pli=1#gid=257618397"",""stock FAKTUR!B:q""),16,false)"),"BOX")</f>
        <v>BOX</v>
      </c>
      <c r="M598" s="147">
        <v>31800.0</v>
      </c>
      <c r="N598" s="152">
        <v>0.125</v>
      </c>
      <c r="O598" s="147">
        <f t="shared" si="173"/>
        <v>55650</v>
      </c>
      <c r="P598" s="147" t="str">
        <f t="shared" si="3"/>
        <v>Rp31,800-2 BOX-12.50%</v>
      </c>
      <c r="Q598" s="149">
        <v>45419.0</v>
      </c>
      <c r="R598" s="150"/>
      <c r="S598" s="149">
        <v>45422.0</v>
      </c>
      <c r="T598" s="151"/>
      <c r="U598" s="151"/>
      <c r="V598" s="151"/>
      <c r="W598" s="151"/>
    </row>
    <row r="599">
      <c r="A599" s="142">
        <v>4729.0</v>
      </c>
      <c r="B599" s="143" t="str">
        <f t="shared" si="176"/>
        <v>H</v>
      </c>
      <c r="C599" s="143" t="str">
        <f t="shared" si="177"/>
        <v>SISWA-MUNTILAN</v>
      </c>
      <c r="D599" s="145" t="s">
        <v>4708</v>
      </c>
      <c r="E599" s="145" t="str">
        <f>IFERROR(__xludf.DUMMYFUNCTION("vlookup(D599,IMPORTRANGE(""https://docs.google.com/spreadsheets/d/1swGwZOEqYlTEUCJLY-eeJM1911Kvaei5oySBIxdgtNo/edit?pli=1#gid=257618397"",""stock FAKTUR!B:C""),2,false)"),"BINDER CLIP KENKO NO. 155")</f>
        <v>BINDER CLIP KENKO NO. 155</v>
      </c>
      <c r="F599" s="53" t="str">
        <f>IFERROR(__xludf.DUMMYFUNCTION("vlookup($D599,IMPORTRANGE(""https://docs.google.com/spreadsheets/d/1swGwZOEqYlTEUCJLY-eeJM1911Kvaei5oySBIxdgtNo/edit?pli=1#gid=257618397"",""stock FAKTUR!B:d""),3,false)"),"")</f>
        <v/>
      </c>
      <c r="G599" s="53" t="str">
        <f>IFERROR(__xludf.DUMMYFUNCTION("vlookup($D599,IMPORTRANGE(""https://docs.google.com/spreadsheets/d/1swGwZOEqYlTEUCJLY-eeJM1911Kvaei5oySBIxdgtNo/edit?pli=1#gid=257618397"",""stock FAKTUR!B:e""),4,false)"),"")</f>
        <v/>
      </c>
      <c r="H599" s="53" t="str">
        <f>IFERROR(__xludf.DUMMYFUNCTION("vlookup($D599,IMPORTRANGE(""https://docs.google.com/spreadsheets/d/1swGwZOEqYlTEUCJLY-eeJM1911Kvaei5oySBIxdgtNo/edit?pli=1#gid=257618397"",""stock FAKTUR!B:F""),5,false)"),"KN")</f>
        <v>KN</v>
      </c>
      <c r="I599" s="53" t="str">
        <f>IFERROR(__xludf.DUMMYFUNCTION("vlookup($D599,IMPORTRANGE(""https://docs.google.com/spreadsheets/d/1swGwZOEqYlTEUCJLY-eeJM1911Kvaei5oySBIxdgtNo/edit?pli=1#gid=257618397"",""stock FAKTUR!B:G""),6,false)"),"BCL-004QH")</f>
        <v>BCL-004QH</v>
      </c>
      <c r="J599" s="120" t="str">
        <f t="shared" si="25"/>
        <v>ADA</v>
      </c>
      <c r="K599" s="142">
        <v>5.0</v>
      </c>
      <c r="L599" s="145" t="str">
        <f>IFERROR(__xludf.DUMMYFUNCTION("vlookup($D599,IMPORTRANGE(""https://docs.google.com/spreadsheets/d/1swGwZOEqYlTEUCJLY-eeJM1911Kvaei5oySBIxdgtNo/edit?pli=1#gid=257618397"",""stock FAKTUR!B:q""),16,false)"),"BOX")</f>
        <v>BOX</v>
      </c>
      <c r="M599" s="147">
        <v>69000.0</v>
      </c>
      <c r="N599" s="152">
        <v>0.125</v>
      </c>
      <c r="O599" s="147">
        <f t="shared" si="173"/>
        <v>301875</v>
      </c>
      <c r="P599" s="147" t="str">
        <f t="shared" si="3"/>
        <v>Rp69,000-5 BOX-12.50%</v>
      </c>
      <c r="Q599" s="149">
        <v>45419.0</v>
      </c>
      <c r="R599" s="150"/>
      <c r="S599" s="149">
        <v>45422.0</v>
      </c>
      <c r="T599" s="151"/>
      <c r="U599" s="151"/>
      <c r="V599" s="151"/>
      <c r="W599" s="151"/>
    </row>
    <row r="600">
      <c r="A600" s="142">
        <v>4729.0</v>
      </c>
      <c r="B600" s="143" t="str">
        <f t="shared" si="176"/>
        <v>H</v>
      </c>
      <c r="C600" s="143" t="str">
        <f t="shared" si="177"/>
        <v>SISWA-MUNTILAN</v>
      </c>
      <c r="D600" s="171" t="s">
        <v>4495</v>
      </c>
      <c r="E600" s="145" t="str">
        <f>IFERROR(__xludf.DUMMYFUNCTION("vlookup(D600,IMPORTRANGE(""https://docs.google.com/spreadsheets/d/1swGwZOEqYlTEUCJLY-eeJM1911Kvaei5oySBIxdgtNo/edit?pli=1#gid=257618397"",""stock FAKTUR!B:C""),2,false)"),"MAP DOC BAG+HANDLE 2544 JARING B6")</f>
        <v>MAP DOC BAG+HANDLE 2544 JARING B6</v>
      </c>
      <c r="F600" s="53" t="str">
        <f>IFERROR(__xludf.DUMMYFUNCTION("vlookup($D600,IMPORTRANGE(""https://docs.google.com/spreadsheets/d/1swGwZOEqYlTEUCJLY-eeJM1911Kvaei5oySBIxdgtNo/edit?pli=1#gid=257618397"",""stock FAKTUR!B:d""),3,false)"),"B6")</f>
        <v>B6</v>
      </c>
      <c r="G600" s="53" t="str">
        <f>IFERROR(__xludf.DUMMYFUNCTION("vlookup($D600,IMPORTRANGE(""https://docs.google.com/spreadsheets/d/1swGwZOEqYlTEUCJLY-eeJM1911Kvaei5oySBIxdgtNo/edit?pli=1#gid=257618397"",""stock FAKTUR!B:e""),4,false)"),"")</f>
        <v/>
      </c>
      <c r="H600" s="53" t="str">
        <f>IFERROR(__xludf.DUMMYFUNCTION("vlookup($D600,IMPORTRANGE(""https://docs.google.com/spreadsheets/d/1swGwZOEqYlTEUCJLY-eeJM1911Kvaei5oySBIxdgtNo/edit?pli=1#gid=257618397"",""stock FAKTUR!B:F""),5,false)"),"CR")</f>
        <v>CR</v>
      </c>
      <c r="I600" s="53" t="str">
        <f>IFERROR(__xludf.DUMMYFUNCTION("vlookup($D600,IMPORTRANGE(""https://docs.google.com/spreadsheets/d/1swGwZOEqYlTEUCJLY-eeJM1911Kvaei5oySBIxdgtNo/edit?pli=1#gid=257618397"",""stock FAKTUR!B:G""),6,false)"),"2544")</f>
        <v>2544</v>
      </c>
      <c r="J600" s="120" t="str">
        <f t="shared" si="25"/>
        <v>ADA</v>
      </c>
      <c r="K600" s="142">
        <v>1.0</v>
      </c>
      <c r="L600" s="145" t="str">
        <f>IFERROR(__xludf.DUMMYFUNCTION("vlookup($D600,IMPORTRANGE(""https://docs.google.com/spreadsheets/d/1swGwZOEqYlTEUCJLY-eeJM1911Kvaei5oySBIxdgtNo/edit?pli=1#gid=257618397"",""stock FAKTUR!B:q""),16,false)"),"LSN")</f>
        <v>LSN</v>
      </c>
      <c r="M600" s="147">
        <v>85000.0</v>
      </c>
      <c r="N600" s="148"/>
      <c r="O600" s="147">
        <f t="shared" si="173"/>
        <v>85000</v>
      </c>
      <c r="P600" s="147" t="str">
        <f t="shared" si="3"/>
        <v>Rp85,000-1 LSN-0.00%</v>
      </c>
      <c r="Q600" s="149">
        <v>45419.0</v>
      </c>
      <c r="R600" s="150"/>
      <c r="S600" s="149">
        <v>45422.0</v>
      </c>
      <c r="T600" s="151"/>
      <c r="U600" s="151"/>
      <c r="V600" s="151"/>
      <c r="W600" s="151"/>
    </row>
    <row r="601">
      <c r="A601" s="142">
        <v>4726.0</v>
      </c>
      <c r="B601" s="143" t="s">
        <v>33</v>
      </c>
      <c r="C601" s="143" t="s">
        <v>3242</v>
      </c>
      <c r="D601" s="23" t="s">
        <v>4709</v>
      </c>
      <c r="E601" s="145" t="str">
        <f>IFERROR(__xludf.DUMMYFUNCTION("vlookup(D601,IMPORTRANGE(""https://docs.google.com/spreadsheets/d/1swGwZOEqYlTEUCJLY-eeJM1911Kvaei5oySBIxdgtNo/edit?pli=1#gid=257618397"",""stock FAKTUR!B:C""),2,false)"),"SAMPUL KWARTO FANCY ALFA")</f>
        <v>SAMPUL KWARTO FANCY ALFA</v>
      </c>
      <c r="F601" s="53" t="str">
        <f>IFERROR(__xludf.DUMMYFUNCTION("vlookup($D601,IMPORTRANGE(""https://docs.google.com/spreadsheets/d/1swGwZOEqYlTEUCJLY-eeJM1911Kvaei5oySBIxdgtNo/edit?pli=1#gid=257618397"",""stock FAKTUR!B:d""),3,false)"),"")</f>
        <v/>
      </c>
      <c r="G601" s="53" t="str">
        <f>IFERROR(__xludf.DUMMYFUNCTION("vlookup($D601,IMPORTRANGE(""https://docs.google.com/spreadsheets/d/1swGwZOEqYlTEUCJLY-eeJM1911Kvaei5oySBIxdgtNo/edit?pli=1#gid=257618397"",""stock FAKTUR!B:e""),4,false)"),"")</f>
        <v/>
      </c>
      <c r="H601" s="53" t="str">
        <f>IFERROR(__xludf.DUMMYFUNCTION("vlookup($D601,IMPORTRANGE(""https://docs.google.com/spreadsheets/d/1swGwZOEqYlTEUCJLY-eeJM1911Kvaei5oySBIxdgtNo/edit?pli=1#gid=257618397"",""stock FAKTUR!B:F""),5,false)"),"NB")</f>
        <v>NB</v>
      </c>
      <c r="I601" s="53" t="str">
        <f>IFERROR(__xludf.DUMMYFUNCTION("vlookup($D601,IMPORTRANGE(""https://docs.google.com/spreadsheets/d/1swGwZOEqYlTEUCJLY-eeJM1911Kvaei5oySBIxdgtNo/edit?pli=1#gid=257618397"",""stock FAKTUR!B:G""),6,false)"),"")</f>
        <v/>
      </c>
      <c r="J601" s="120" t="str">
        <f t="shared" si="25"/>
        <v>ADA</v>
      </c>
      <c r="K601" s="142">
        <v>1200.0</v>
      </c>
      <c r="L601" s="145" t="str">
        <f>IFERROR(__xludf.DUMMYFUNCTION("vlookup($D601,IMPORTRANGE(""https://docs.google.com/spreadsheets/d/1swGwZOEqYlTEUCJLY-eeJM1911Kvaei5oySBIxdgtNo/edit?pli=1#gid=257618397"",""stock FAKTUR!B:q""),16,false)"),"PCS")</f>
        <v>PCS</v>
      </c>
      <c r="M601" s="147">
        <v>6250.0</v>
      </c>
      <c r="N601" s="148"/>
      <c r="O601" s="147">
        <f t="shared" si="173"/>
        <v>7500000</v>
      </c>
      <c r="P601" s="147" t="str">
        <f t="shared" si="3"/>
        <v>Rp6,250-1200 PCS-0.00%</v>
      </c>
      <c r="Q601" s="149">
        <v>45420.0</v>
      </c>
      <c r="R601" s="150"/>
      <c r="S601" s="149">
        <v>45422.0</v>
      </c>
      <c r="T601" s="194" t="s">
        <v>4682</v>
      </c>
      <c r="U601" s="192" t="s">
        <v>4390</v>
      </c>
      <c r="V601" s="151"/>
      <c r="W601" s="159"/>
    </row>
    <row r="602">
      <c r="A602" s="142">
        <v>4726.0</v>
      </c>
      <c r="B602" s="143" t="str">
        <f t="shared" ref="B602:B603" si="178">IF(A602=A601,B601,"")</f>
        <v>H</v>
      </c>
      <c r="C602" s="143" t="str">
        <f t="shared" ref="C602:C603" si="179">IF(A602=A601,C601,"")</f>
        <v>BASA-PEMALANG</v>
      </c>
      <c r="D602" s="145" t="s">
        <v>4646</v>
      </c>
      <c r="E602" s="145" t="str">
        <f>IFERROR(__xludf.DUMMYFUNCTION("vlookup(D602,IMPORTRANGE(""https://docs.google.com/spreadsheets/d/1swGwZOEqYlTEUCJLY-eeJM1911Kvaei5oySBIxdgtNo/edit?pli=1#gid=257618397"",""stock FAKTUR!B:C""),2,false)"),"SAMPUL KWARTO BATIK ALFA")</f>
        <v>SAMPUL KWARTO BATIK ALFA</v>
      </c>
      <c r="F602" s="53" t="str">
        <f>IFERROR(__xludf.DUMMYFUNCTION("vlookup($D602,IMPORTRANGE(""https://docs.google.com/spreadsheets/d/1swGwZOEqYlTEUCJLY-eeJM1911Kvaei5oySBIxdgtNo/edit?pli=1#gid=257618397"",""stock FAKTUR!B:d""),3,false)"),"")</f>
        <v/>
      </c>
      <c r="G602" s="53" t="str">
        <f>IFERROR(__xludf.DUMMYFUNCTION("vlookup($D602,IMPORTRANGE(""https://docs.google.com/spreadsheets/d/1swGwZOEqYlTEUCJLY-eeJM1911Kvaei5oySBIxdgtNo/edit?pli=1#gid=257618397"",""stock FAKTUR!B:e""),4,false)"),"")</f>
        <v/>
      </c>
      <c r="H602" s="53" t="str">
        <f>IFERROR(__xludf.DUMMYFUNCTION("vlookup($D602,IMPORTRANGE(""https://docs.google.com/spreadsheets/d/1swGwZOEqYlTEUCJLY-eeJM1911Kvaei5oySBIxdgtNo/edit?pli=1#gid=257618397"",""stock FAKTUR!B:F""),5,false)"),"NB")</f>
        <v>NB</v>
      </c>
      <c r="I602" s="53" t="str">
        <f>IFERROR(__xludf.DUMMYFUNCTION("vlookup($D602,IMPORTRANGE(""https://docs.google.com/spreadsheets/d/1swGwZOEqYlTEUCJLY-eeJM1911Kvaei5oySBIxdgtNo/edit?pli=1#gid=257618397"",""stock FAKTUR!B:G""),6,false)"),"")</f>
        <v/>
      </c>
      <c r="J602" s="120" t="str">
        <f t="shared" si="25"/>
        <v>ADA</v>
      </c>
      <c r="K602" s="142">
        <v>960.0</v>
      </c>
      <c r="L602" s="145" t="str">
        <f>IFERROR(__xludf.DUMMYFUNCTION("vlookup($D602,IMPORTRANGE(""https://docs.google.com/spreadsheets/d/1swGwZOEqYlTEUCJLY-eeJM1911Kvaei5oySBIxdgtNo/edit?pli=1#gid=257618397"",""stock FAKTUR!B:q""),16,false)"),"PCS")</f>
        <v>PCS</v>
      </c>
      <c r="M602" s="147">
        <v>6250.0</v>
      </c>
      <c r="N602" s="148"/>
      <c r="O602" s="147">
        <f t="shared" si="173"/>
        <v>6000000</v>
      </c>
      <c r="P602" s="147" t="str">
        <f t="shared" si="3"/>
        <v>Rp6,250-960 PCS-0.00%</v>
      </c>
      <c r="Q602" s="149">
        <v>45420.0</v>
      </c>
      <c r="R602" s="150"/>
      <c r="S602" s="149">
        <v>45422.0</v>
      </c>
      <c r="T602" s="151"/>
      <c r="U602" s="151"/>
      <c r="V602" s="151"/>
      <c r="W602" s="151"/>
    </row>
    <row r="603">
      <c r="A603" s="142">
        <v>4726.0</v>
      </c>
      <c r="B603" s="143" t="str">
        <f t="shared" si="178"/>
        <v>H</v>
      </c>
      <c r="C603" s="143" t="str">
        <f t="shared" si="179"/>
        <v>BASA-PEMALANG</v>
      </c>
      <c r="D603" s="145" t="s">
        <v>4710</v>
      </c>
      <c r="E603" s="145" t="str">
        <f>IFERROR(__xludf.DUMMYFUNCTION("vlookup(D603,IMPORTRANGE(""https://docs.google.com/spreadsheets/d/1swGwZOEqYlTEUCJLY-eeJM1911Kvaei5oySBIxdgtNo/edit?pli=1#gid=257618397"",""stock FAKTUR!B:C""),2,false)"),"SAMPUL BOXY BATIK")</f>
        <v>SAMPUL BOXY BATIK</v>
      </c>
      <c r="F603" s="53" t="str">
        <f>IFERROR(__xludf.DUMMYFUNCTION("vlookup($D603,IMPORTRANGE(""https://docs.google.com/spreadsheets/d/1swGwZOEqYlTEUCJLY-eeJM1911Kvaei5oySBIxdgtNo/edit?pli=1#gid=257618397"",""stock FAKTUR!B:d""),3,false)"),"")</f>
        <v/>
      </c>
      <c r="G603" s="53" t="str">
        <f>IFERROR(__xludf.DUMMYFUNCTION("vlookup($D603,IMPORTRANGE(""https://docs.google.com/spreadsheets/d/1swGwZOEqYlTEUCJLY-eeJM1911Kvaei5oySBIxdgtNo/edit?pli=1#gid=257618397"",""stock FAKTUR!B:e""),4,false)"),"")</f>
        <v/>
      </c>
      <c r="H603" s="53" t="str">
        <f>IFERROR(__xludf.DUMMYFUNCTION("vlookup($D603,IMPORTRANGE(""https://docs.google.com/spreadsheets/d/1swGwZOEqYlTEUCJLY-eeJM1911Kvaei5oySBIxdgtNo/edit?pli=1#gid=257618397"",""stock FAKTUR!B:F""),5,false)"),"NB")</f>
        <v>NB</v>
      </c>
      <c r="I603" s="53" t="str">
        <f>IFERROR(__xludf.DUMMYFUNCTION("vlookup($D603,IMPORTRANGE(""https://docs.google.com/spreadsheets/d/1swGwZOEqYlTEUCJLY-eeJM1911Kvaei5oySBIxdgtNo/edit?pli=1#gid=257618397"",""stock FAKTUR!B:G""),6,false)"),"")</f>
        <v/>
      </c>
      <c r="J603" s="120" t="str">
        <f t="shared" si="25"/>
        <v>ADA</v>
      </c>
      <c r="K603" s="142">
        <v>400.0</v>
      </c>
      <c r="L603" s="145" t="str">
        <f>IFERROR(__xludf.DUMMYFUNCTION("vlookup($D603,IMPORTRANGE(""https://docs.google.com/spreadsheets/d/1swGwZOEqYlTEUCJLY-eeJM1911Kvaei5oySBIxdgtNo/edit?pli=1#gid=257618397"",""stock FAKTUR!B:q""),16,false)"),"PCS")</f>
        <v>PCS</v>
      </c>
      <c r="M603" s="147">
        <v>7750.0</v>
      </c>
      <c r="N603" s="148"/>
      <c r="O603" s="147">
        <f t="shared" si="173"/>
        <v>3100000</v>
      </c>
      <c r="P603" s="147" t="str">
        <f t="shared" si="3"/>
        <v>Rp7,750-400 PCS-0.00%</v>
      </c>
      <c r="Q603" s="149">
        <v>45420.0</v>
      </c>
      <c r="R603" s="150"/>
      <c r="S603" s="149">
        <v>45422.0</v>
      </c>
      <c r="T603" s="151"/>
      <c r="U603" s="151"/>
      <c r="V603" s="151"/>
      <c r="W603" s="151"/>
    </row>
    <row r="604">
      <c r="A604" s="142">
        <v>4853.0</v>
      </c>
      <c r="B604" s="143" t="s">
        <v>33</v>
      </c>
      <c r="C604" s="143" t="s">
        <v>4640</v>
      </c>
      <c r="D604" s="145" t="s">
        <v>4579</v>
      </c>
      <c r="E604" s="145" t="str">
        <f>IFERROR(__xludf.DUMMYFUNCTION("vlookup(D604,IMPORTRANGE(""https://docs.google.com/spreadsheets/d/1swGwZOEqYlTEUCJLY-eeJM1911Kvaei5oySBIxdgtNo/edit?pli=1#gid=257618397"",""stock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604" s="53" t="str">
        <f>IFERROR(__xludf.DUMMYFUNCTION("vlookup($D604,IMPORTRANGE(""https://docs.google.com/spreadsheets/d/1swGwZOEqYlTEUCJLY-eeJM1911Kvaei5oySBIxdgtNo/edit?pli=1#gid=257618397"",""stock FAKTUR!B:d""),3,false)"),"")</f>
        <v/>
      </c>
      <c r="G604" s="53" t="str">
        <f>IFERROR(__xludf.DUMMYFUNCTION("vlookup($D604,IMPORTRANGE(""https://docs.google.com/spreadsheets/d/1swGwZOEqYlTEUCJLY-eeJM1911Kvaei5oySBIxdgtNo/edit?pli=1#gid=257618397"",""stock FAKTUR!B:e""),4,false)"),"48W")</f>
        <v>48W</v>
      </c>
      <c r="H604" s="53" t="str">
        <f>IFERROR(__xludf.DUMMYFUNCTION("vlookup($D604,IMPORTRANGE(""https://docs.google.com/spreadsheets/d/1swGwZOEqYlTEUCJLY-eeJM1911Kvaei5oySBIxdgtNo/edit?pli=1#gid=257618397"",""stock FAKTUR!B:F""),5,false)"),"JK")</f>
        <v>JK</v>
      </c>
      <c r="I604" s="53" t="str">
        <f>IFERROR(__xludf.DUMMYFUNCTION("vlookup($D604,IMPORTRANGE(""https://docs.google.com/spreadsheets/d/1swGwZOEqYlTEUCJLY-eeJM1911Kvaei5oySBIxdgtNo/edit?pli=1#gid=257618397"",""stock FAKTUR!B:G""),6,false)"),"OP-48S")</f>
        <v>OP-48S</v>
      </c>
      <c r="J604" s="120" t="str">
        <f t="shared" si="25"/>
        <v>ADA</v>
      </c>
      <c r="K604" s="142">
        <v>12.0</v>
      </c>
      <c r="L604" s="145" t="str">
        <f>IFERROR(__xludf.DUMMYFUNCTION("vlookup($D604,IMPORTRANGE(""https://docs.google.com/spreadsheets/d/1swGwZOEqYlTEUCJLY-eeJM1911Kvaei5oySBIxdgtNo/edit?pli=1#gid=257618397"",""stock FAKTUR!B:q""),16,false)"),"PCS")</f>
        <v>PCS</v>
      </c>
      <c r="M604" s="147">
        <v>60700.0</v>
      </c>
      <c r="N604" s="152">
        <v>0.1</v>
      </c>
      <c r="O604" s="147">
        <f t="shared" si="173"/>
        <v>655560</v>
      </c>
      <c r="P604" s="147" t="str">
        <f t="shared" si="3"/>
        <v>Rp60,700-12 PCS-10.00%</v>
      </c>
      <c r="Q604" s="149">
        <v>45420.0</v>
      </c>
      <c r="R604" s="150"/>
      <c r="S604" s="149">
        <v>45422.0</v>
      </c>
      <c r="T604" s="151"/>
      <c r="U604" s="151"/>
      <c r="V604" s="151"/>
      <c r="W604" s="151"/>
    </row>
    <row r="605">
      <c r="A605" s="142">
        <v>4853.0</v>
      </c>
      <c r="B605" s="143" t="str">
        <f t="shared" ref="B605:B606" si="180">IF(A605=A604,B604,"")</f>
        <v>H</v>
      </c>
      <c r="C605" s="143" t="str">
        <f t="shared" ref="C605:C606" si="181">IF(A605=A604,C604,"")</f>
        <v>MUDAJAYA-PURWOREJO</v>
      </c>
      <c r="D605" s="145" t="s">
        <v>4599</v>
      </c>
      <c r="E605" s="145" t="str">
        <f>IFERROR(__xludf.DUMMYFUNCTION("vlookup(D605,IMPORTRANGE(""https://docs.google.com/spreadsheets/d/1swGwZOEqYlTEUCJLY-eeJM1911Kvaei5oySBIxdgtNo/edit?pli=1#gid=257618397"",""stock FAKTUR!B:C""),2,false)"),"OIL PASTEL TITI 12W TI-P-12S")</f>
        <v>OIL PASTEL TITI 12W TI-P-12S</v>
      </c>
      <c r="F605" s="53" t="str">
        <f>IFERROR(__xludf.DUMMYFUNCTION("vlookup($D605,IMPORTRANGE(""https://docs.google.com/spreadsheets/d/1swGwZOEqYlTEUCJLY-eeJM1911Kvaei5oySBIxdgtNo/edit?pli=1#gid=257618397"",""stock FAKTUR!B:d""),3,false)"),"")</f>
        <v/>
      </c>
      <c r="G605" s="53" t="str">
        <f>IFERROR(__xludf.DUMMYFUNCTION("vlookup($D605,IMPORTRANGE(""https://docs.google.com/spreadsheets/d/1swGwZOEqYlTEUCJLY-eeJM1911Kvaei5oySBIxdgtNo/edit?pli=1#gid=257618397"",""stock FAKTUR!B:e""),4,false)"),"12W")</f>
        <v>12W</v>
      </c>
      <c r="H605" s="53" t="str">
        <f>IFERROR(__xludf.DUMMYFUNCTION("vlookup($D605,IMPORTRANGE(""https://docs.google.com/spreadsheets/d/1swGwZOEqYlTEUCJLY-eeJM1911Kvaei5oySBIxdgtNo/edit?pli=1#gid=257618397"",""stock FAKTUR!B:F""),5,false)"),"TT")</f>
        <v>TT</v>
      </c>
      <c r="I605" s="53" t="str">
        <f>IFERROR(__xludf.DUMMYFUNCTION("vlookup($D605,IMPORTRANGE(""https://docs.google.com/spreadsheets/d/1swGwZOEqYlTEUCJLY-eeJM1911Kvaei5oySBIxdgtNo/edit?pli=1#gid=257618397"",""stock FAKTUR!B:G""),6,false)"),"OPS-007")</f>
        <v>OPS-007</v>
      </c>
      <c r="J605" s="120" t="str">
        <f t="shared" si="25"/>
        <v>ADA</v>
      </c>
      <c r="K605" s="142">
        <v>36.0</v>
      </c>
      <c r="L605" s="145" t="str">
        <f>IFERROR(__xludf.DUMMYFUNCTION("vlookup($D605,IMPORTRANGE(""https://docs.google.com/spreadsheets/d/1swGwZOEqYlTEUCJLY-eeJM1911Kvaei5oySBIxdgtNo/edit?pli=1#gid=257618397"",""stock FAKTUR!B:q""),16,false)"),"PCS")</f>
        <v>PCS</v>
      </c>
      <c r="M605" s="147">
        <v>14500.0</v>
      </c>
      <c r="N605" s="152">
        <v>0.1</v>
      </c>
      <c r="O605" s="147">
        <f t="shared" si="173"/>
        <v>469800</v>
      </c>
      <c r="P605" s="147" t="str">
        <f t="shared" si="3"/>
        <v>Rp14,500-36 PCS-10.00%</v>
      </c>
      <c r="Q605" s="149">
        <v>45420.0</v>
      </c>
      <c r="R605" s="150"/>
      <c r="S605" s="149">
        <v>45422.0</v>
      </c>
      <c r="T605" s="151"/>
      <c r="U605" s="151"/>
      <c r="V605" s="151"/>
      <c r="W605" s="151"/>
    </row>
    <row r="606">
      <c r="A606" s="142">
        <v>4853.0</v>
      </c>
      <c r="B606" s="143" t="str">
        <f t="shared" si="180"/>
        <v>H</v>
      </c>
      <c r="C606" s="143" t="str">
        <f t="shared" si="181"/>
        <v>MUDAJAYA-PURWOREJO</v>
      </c>
      <c r="D606" s="145" t="s">
        <v>4402</v>
      </c>
      <c r="E606" s="145" t="str">
        <f>IFERROR(__xludf.DUMMYFUNCTION("vlookup(D606,IMPORTRANGE(""https://docs.google.com/spreadsheets/d/1swGwZOEqYlTEUCJLY-eeJM1911Kvaei5oySBIxdgtNo/edit?pli=1#gid=257618397"",""stock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606" s="53" t="str">
        <f>IFERROR(__xludf.DUMMYFUNCTION("vlookup($D606,IMPORTRANGE(""https://docs.google.com/spreadsheets/d/1swGwZOEqYlTEUCJLY-eeJM1911Kvaei5oySBIxdgtNo/edit?pli=1#gid=257618397"",""stock FAKTUR!B:d""),3,false)"),"")</f>
        <v/>
      </c>
      <c r="G606" s="53" t="str">
        <f>IFERROR(__xludf.DUMMYFUNCTION("vlookup($D606,IMPORTRANGE(""https://docs.google.com/spreadsheets/d/1swGwZOEqYlTEUCJLY-eeJM1911Kvaei5oySBIxdgtNo/edit?pli=1#gid=257618397"",""stock FAKTUR!B:e""),4,false)"),"55W")</f>
        <v>55W</v>
      </c>
      <c r="H606" s="53" t="str">
        <f>IFERROR(__xludf.DUMMYFUNCTION("vlookup($D606,IMPORTRANGE(""https://docs.google.com/spreadsheets/d/1swGwZOEqYlTEUCJLY-eeJM1911Kvaei5oySBIxdgtNo/edit?pli=1#gid=257618397"",""stock FAKTUR!B:F""),5,false)"),"JK")</f>
        <v>JK</v>
      </c>
      <c r="I606" s="53" t="str">
        <f>IFERROR(__xludf.DUMMYFUNCTION("vlookup($D606,IMPORTRANGE(""https://docs.google.com/spreadsheets/d/1swGwZOEqYlTEUCJLY-eeJM1911Kvaei5oySBIxdgtNo/edit?pli=1#gid=257618397"",""stock FAKTUR!B:G""),6,false)"),"")</f>
        <v/>
      </c>
      <c r="J606" s="120" t="str">
        <f t="shared" si="25"/>
        <v>ADA</v>
      </c>
      <c r="K606" s="142">
        <v>24.0</v>
      </c>
      <c r="L606" s="145" t="str">
        <f>IFERROR(__xludf.DUMMYFUNCTION("vlookup($D606,IMPORTRANGE(""https://docs.google.com/spreadsheets/d/1swGwZOEqYlTEUCJLY-eeJM1911Kvaei5oySBIxdgtNo/edit?pli=1#gid=257618397"",""stock FAKTUR!B:q""),16,false)"),"PCS")</f>
        <v>PCS</v>
      </c>
      <c r="M606" s="147">
        <v>68700.0</v>
      </c>
      <c r="N606" s="152">
        <v>0.1</v>
      </c>
      <c r="O606" s="147">
        <f t="shared" si="173"/>
        <v>1483920</v>
      </c>
      <c r="P606" s="147" t="str">
        <f t="shared" si="3"/>
        <v>Rp68,700-24 PCS-10.00%</v>
      </c>
      <c r="Q606" s="149">
        <v>45420.0</v>
      </c>
      <c r="R606" s="150"/>
      <c r="S606" s="149">
        <v>45422.0</v>
      </c>
      <c r="T606" s="151"/>
      <c r="U606" s="151"/>
      <c r="V606" s="151"/>
      <c r="W606" s="151"/>
    </row>
    <row r="607">
      <c r="A607" s="142">
        <v>4854.0</v>
      </c>
      <c r="B607" s="143" t="s">
        <v>33</v>
      </c>
      <c r="C607" s="143" t="s">
        <v>4526</v>
      </c>
      <c r="D607" s="145" t="s">
        <v>4392</v>
      </c>
      <c r="E607" s="145" t="str">
        <f>IFERROR(__xludf.DUMMYFUNCTION("vlookup(D607,IMPORTRANGE(""https://docs.google.com/spreadsheets/d/1swGwZOEqYlTEUCJLY-eeJM1911Kvaei5oySBIxdgtNo/edit?pli=1#gid=257618397"",""stock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607" s="53" t="str">
        <f>IFERROR(__xludf.DUMMYFUNCTION("vlookup($D607,IMPORTRANGE(""https://docs.google.com/spreadsheets/d/1swGwZOEqYlTEUCJLY-eeJM1911Kvaei5oySBIxdgtNo/edit?pli=1#gid=257618397"",""stock FAKTUR!B:d""),3,false)"),"")</f>
        <v/>
      </c>
      <c r="G607" s="53" t="str">
        <f>IFERROR(__xludf.DUMMYFUNCTION("vlookup($D607,IMPORTRANGE(""https://docs.google.com/spreadsheets/d/1swGwZOEqYlTEUCJLY-eeJM1911Kvaei5oySBIxdgtNo/edit?pli=1#gid=257618397"",""stock FAKTUR!B:e""),4,false)"),"18W")</f>
        <v>18W</v>
      </c>
      <c r="H607" s="53" t="str">
        <f>IFERROR(__xludf.DUMMYFUNCTION("vlookup($D607,IMPORTRANGE(""https://docs.google.com/spreadsheets/d/1swGwZOEqYlTEUCJLY-eeJM1911Kvaei5oySBIxdgtNo/edit?pli=1#gid=257618397"",""stock FAKTUR!B:F""),5,false)"),"JK")</f>
        <v>JK</v>
      </c>
      <c r="I607" s="53" t="str">
        <f>IFERROR(__xludf.DUMMYFUNCTION("vlookup($D607,IMPORTRANGE(""https://docs.google.com/spreadsheets/d/1swGwZOEqYlTEUCJLY-eeJM1911Kvaei5oySBIxdgtNo/edit?pli=1#gid=257618397"",""stock FAKTUR!B:G""),6,false)"),"OP-18S")</f>
        <v>OP-18S</v>
      </c>
      <c r="J607" s="120" t="str">
        <f t="shared" si="25"/>
        <v>ADA</v>
      </c>
      <c r="K607" s="142">
        <v>144.0</v>
      </c>
      <c r="L607" s="145" t="str">
        <f>IFERROR(__xludf.DUMMYFUNCTION("vlookup($D607,IMPORTRANGE(""https://docs.google.com/spreadsheets/d/1swGwZOEqYlTEUCJLY-eeJM1911Kvaei5oySBIxdgtNo/edit?pli=1#gid=257618397"",""stock FAKTUR!B:q""),16,false)"),"PCS")</f>
        <v>PCS</v>
      </c>
      <c r="M607" s="147">
        <v>23700.0</v>
      </c>
      <c r="N607" s="152">
        <v>0.125</v>
      </c>
      <c r="O607" s="147">
        <f t="shared" si="173"/>
        <v>2986200</v>
      </c>
      <c r="P607" s="147" t="str">
        <f t="shared" si="3"/>
        <v>Rp23,700-144 PCS-12.50%</v>
      </c>
      <c r="Q607" s="149">
        <v>45420.0</v>
      </c>
      <c r="R607" s="150"/>
      <c r="S607" s="149">
        <v>45422.0</v>
      </c>
      <c r="T607" s="151"/>
      <c r="U607" s="151"/>
      <c r="V607" s="151"/>
      <c r="W607" s="151"/>
    </row>
    <row r="608">
      <c r="A608" s="142">
        <v>4854.0</v>
      </c>
      <c r="B608" s="143" t="str">
        <f>IF(A608=A607,B607,"")</f>
        <v>H</v>
      </c>
      <c r="C608" s="143" t="str">
        <f>IF(A608=A607,C607,"")</f>
        <v>AYP-SOLO</v>
      </c>
      <c r="D608" s="145" t="s">
        <v>4579</v>
      </c>
      <c r="E608" s="145" t="str">
        <f>IFERROR(__xludf.DUMMYFUNCTION("vlookup(D608,IMPORTRANGE(""https://docs.google.com/spreadsheets/d/1swGwZOEqYlTEUCJLY-eeJM1911Kvaei5oySBIxdgtNo/edit?pli=1#gid=257618397"",""stock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608" s="53" t="str">
        <f>IFERROR(__xludf.DUMMYFUNCTION("vlookup($D608,IMPORTRANGE(""https://docs.google.com/spreadsheets/d/1swGwZOEqYlTEUCJLY-eeJM1911Kvaei5oySBIxdgtNo/edit?pli=1#gid=257618397"",""stock FAKTUR!B:d""),3,false)"),"")</f>
        <v/>
      </c>
      <c r="G608" s="53" t="str">
        <f>IFERROR(__xludf.DUMMYFUNCTION("vlookup($D608,IMPORTRANGE(""https://docs.google.com/spreadsheets/d/1swGwZOEqYlTEUCJLY-eeJM1911Kvaei5oySBIxdgtNo/edit?pli=1#gid=257618397"",""stock FAKTUR!B:e""),4,false)"),"48W")</f>
        <v>48W</v>
      </c>
      <c r="H608" s="53" t="str">
        <f>IFERROR(__xludf.DUMMYFUNCTION("vlookup($D608,IMPORTRANGE(""https://docs.google.com/spreadsheets/d/1swGwZOEqYlTEUCJLY-eeJM1911Kvaei5oySBIxdgtNo/edit?pli=1#gid=257618397"",""stock FAKTUR!B:F""),5,false)"),"JK")</f>
        <v>JK</v>
      </c>
      <c r="I608" s="53" t="str">
        <f>IFERROR(__xludf.DUMMYFUNCTION("vlookup($D608,IMPORTRANGE(""https://docs.google.com/spreadsheets/d/1swGwZOEqYlTEUCJLY-eeJM1911Kvaei5oySBIxdgtNo/edit?pli=1#gid=257618397"",""stock FAKTUR!B:G""),6,false)"),"OP-48S")</f>
        <v>OP-48S</v>
      </c>
      <c r="J608" s="120" t="str">
        <f t="shared" si="25"/>
        <v>ADA</v>
      </c>
      <c r="K608" s="142">
        <v>24.0</v>
      </c>
      <c r="L608" s="145" t="str">
        <f>IFERROR(__xludf.DUMMYFUNCTION("vlookup($D608,IMPORTRANGE(""https://docs.google.com/spreadsheets/d/1swGwZOEqYlTEUCJLY-eeJM1911Kvaei5oySBIxdgtNo/edit?pli=1#gid=257618397"",""stock FAKTUR!B:q""),16,false)"),"PCS")</f>
        <v>PCS</v>
      </c>
      <c r="M608" s="147">
        <v>60700.0</v>
      </c>
      <c r="N608" s="152">
        <v>0.125</v>
      </c>
      <c r="O608" s="147">
        <f t="shared" si="173"/>
        <v>1274700</v>
      </c>
      <c r="P608" s="147" t="str">
        <f t="shared" si="3"/>
        <v>Rp60,700-24 PCS-12.50%</v>
      </c>
      <c r="Q608" s="149">
        <v>45420.0</v>
      </c>
      <c r="R608" s="150"/>
      <c r="S608" s="149">
        <v>45422.0</v>
      </c>
      <c r="T608" s="151"/>
      <c r="U608" s="151"/>
      <c r="V608" s="151"/>
      <c r="W608" s="151"/>
    </row>
    <row r="609">
      <c r="A609" s="142">
        <v>4855.0</v>
      </c>
      <c r="B609" s="143" t="s">
        <v>58</v>
      </c>
      <c r="C609" s="143" t="s">
        <v>2395</v>
      </c>
      <c r="D609" s="145" t="s">
        <v>4210</v>
      </c>
      <c r="E609" s="145" t="str">
        <f>IFERROR(__xludf.DUMMYFUNCTION("vlookup(D609,IMPORTRANGE(""https://docs.google.com/spreadsheets/d/1swGwZOEqYlTEUCJLY-eeJM1911Kvaei5oySBIxdgtNo/edit?pli=1#gid=257618397"",""stock FAKTUR!B:C""),2,false)"),"CUTTER KENKO L-500")</f>
        <v>CUTTER KENKO L-500</v>
      </c>
      <c r="F609" s="53" t="str">
        <f>IFERROR(__xludf.DUMMYFUNCTION("vlookup($D609,IMPORTRANGE(""https://docs.google.com/spreadsheets/d/1swGwZOEqYlTEUCJLY-eeJM1911Kvaei5oySBIxdgtNo/edit?pli=1#gid=257618397"",""stock FAKTUR!B:d""),3,false)"),"18 MM")</f>
        <v>18 MM</v>
      </c>
      <c r="G609" s="53" t="str">
        <f>IFERROR(__xludf.DUMMYFUNCTION("vlookup($D609,IMPORTRANGE(""https://docs.google.com/spreadsheets/d/1swGwZOEqYlTEUCJLY-eeJM1911Kvaei5oySBIxdgtNo/edit?pli=1#gid=257618397"",""stock FAKTUR!B:e""),4,false)"),"")</f>
        <v/>
      </c>
      <c r="H609" s="53" t="str">
        <f>IFERROR(__xludf.DUMMYFUNCTION("vlookup($D609,IMPORTRANGE(""https://docs.google.com/spreadsheets/d/1swGwZOEqYlTEUCJLY-eeJM1911Kvaei5oySBIxdgtNo/edit?pli=1#gid=257618397"",""stock FAKTUR!B:F""),5,false)"),"KN")</f>
        <v>KN</v>
      </c>
      <c r="I609" s="53" t="str">
        <f>IFERROR(__xludf.DUMMYFUNCTION("vlookup($D609,IMPORTRANGE(""https://docs.google.com/spreadsheets/d/1swGwZOEqYlTEUCJLY-eeJM1911Kvaei5oySBIxdgtNo/edit?pli=1#gid=257618397"",""stock FAKTUR!B:G""),6,false)"),"CTR-007")</f>
        <v>CTR-007</v>
      </c>
      <c r="J609" s="120" t="str">
        <f t="shared" si="25"/>
        <v>ADA</v>
      </c>
      <c r="K609" s="142">
        <v>20.0</v>
      </c>
      <c r="L609" s="145" t="str">
        <f>IFERROR(__xludf.DUMMYFUNCTION("vlookup($D609,IMPORTRANGE(""https://docs.google.com/spreadsheets/d/1swGwZOEqYlTEUCJLY-eeJM1911Kvaei5oySBIxdgtNo/edit?pli=1#gid=257618397"",""stock FAKTUR!B:q""),16,false)"),"LSN")</f>
        <v>LSN</v>
      </c>
      <c r="M609" s="147">
        <v>147600.0</v>
      </c>
      <c r="N609" s="152">
        <v>0.125</v>
      </c>
      <c r="O609" s="147">
        <f t="shared" si="173"/>
        <v>2583000</v>
      </c>
      <c r="P609" s="147" t="str">
        <f t="shared" si="3"/>
        <v>Rp147,600-20 LSN-12.50%</v>
      </c>
      <c r="Q609" s="149">
        <v>45420.0</v>
      </c>
      <c r="R609" s="150"/>
      <c r="S609" s="149">
        <v>45422.0</v>
      </c>
      <c r="T609" s="151"/>
      <c r="U609" s="151"/>
      <c r="V609" s="151"/>
      <c r="W609" s="151"/>
    </row>
    <row r="610">
      <c r="A610" s="142">
        <v>3000.0</v>
      </c>
      <c r="B610" s="143" t="s">
        <v>58</v>
      </c>
      <c r="C610" s="143" t="s">
        <v>1430</v>
      </c>
      <c r="D610" s="145" t="s">
        <v>4429</v>
      </c>
      <c r="E610" s="145" t="str">
        <f>IFERROR(__xludf.DUMMYFUNCTION("vlookup(D610,IMPORTRANGE(""https://docs.google.com/spreadsheets/d/1swGwZOEqYlTEUCJLY-eeJM1911Kvaei5oySBIxdgtNo/edit?pli=1#gid=257618397"",""stock FAKTUR!B:C""),2,false)"),"TIPEX KENKO KE-01")</f>
        <v>TIPEX KENKO KE-01</v>
      </c>
      <c r="F610" s="53" t="str">
        <f>IFERROR(__xludf.DUMMYFUNCTION("vlookup($D610,IMPORTRANGE(""https://docs.google.com/spreadsheets/d/1swGwZOEqYlTEUCJLY-eeJM1911Kvaei5oySBIxdgtNo/edit?pli=1#gid=257618397"",""stock FAKTUR!B:d""),3,false)"),"")</f>
        <v/>
      </c>
      <c r="G610" s="53" t="str">
        <f>IFERROR(__xludf.DUMMYFUNCTION("vlookup($D610,IMPORTRANGE(""https://docs.google.com/spreadsheets/d/1swGwZOEqYlTEUCJLY-eeJM1911Kvaei5oySBIxdgtNo/edit?pli=1#gid=257618397"",""stock FAKTUR!B:e""),4,false)"),"")</f>
        <v/>
      </c>
      <c r="H610" s="53" t="str">
        <f>IFERROR(__xludf.DUMMYFUNCTION("vlookup($D610,IMPORTRANGE(""https://docs.google.com/spreadsheets/d/1swGwZOEqYlTEUCJLY-eeJM1911Kvaei5oySBIxdgtNo/edit?pli=1#gid=257618397"",""stock FAKTUR!B:F""),5,false)"),"KN")</f>
        <v>KN</v>
      </c>
      <c r="I610" s="53" t="str">
        <f>IFERROR(__xludf.DUMMYFUNCTION("vlookup($D610,IMPORTRANGE(""https://docs.google.com/spreadsheets/d/1swGwZOEqYlTEUCJLY-eeJM1911Kvaei5oySBIxdgtNo/edit?pli=1#gid=257618397"",""stock FAKTUR!B:G""),6,false)"),"CFL-001")</f>
        <v>CFL-001</v>
      </c>
      <c r="J610" s="120" t="str">
        <f t="shared" si="25"/>
        <v>ADA</v>
      </c>
      <c r="K610" s="142">
        <v>180.0</v>
      </c>
      <c r="L610" s="145" t="str">
        <f>IFERROR(__xludf.DUMMYFUNCTION("vlookup($D610,IMPORTRANGE(""https://docs.google.com/spreadsheets/d/1swGwZOEqYlTEUCJLY-eeJM1911Kvaei5oySBIxdgtNo/edit?pli=1#gid=257618397"",""stock FAKTUR!B:q""),16,false)"),"LSN")</f>
        <v>LSN</v>
      </c>
      <c r="M610" s="147">
        <v>56100.0</v>
      </c>
      <c r="N610" s="152">
        <v>0.125</v>
      </c>
      <c r="O610" s="147">
        <f t="shared" si="173"/>
        <v>8835750</v>
      </c>
      <c r="P610" s="147" t="str">
        <f t="shared" si="3"/>
        <v>Rp56,100-180 LSN-12.50%</v>
      </c>
      <c r="Q610" s="149">
        <v>45420.0</v>
      </c>
      <c r="R610" s="150"/>
      <c r="S610" s="149">
        <v>45422.0</v>
      </c>
      <c r="T610" s="151"/>
      <c r="U610" s="151"/>
      <c r="V610" s="151"/>
      <c r="W610" s="151"/>
    </row>
    <row r="611">
      <c r="A611" s="142">
        <v>3000.0</v>
      </c>
      <c r="B611" s="143" t="str">
        <f>IF(A611=A610,B610,"")</f>
        <v>G</v>
      </c>
      <c r="C611" s="143" t="str">
        <f>IF(A611=A610,C610,"")</f>
        <v>REJO AGUNG-JOMBANG</v>
      </c>
      <c r="D611" s="145" t="s">
        <v>4692</v>
      </c>
      <c r="E611" s="145" t="str">
        <f>IFERROR(__xludf.DUMMYFUNCTION("vlookup(D611,IMPORTRANGE(""https://docs.google.com/spreadsheets/d/1swGwZOEqYlTEUCJLY-eeJM1911Kvaei5oySBIxdgtNo/edit?pli=1#gid=257618397"",""stock FAKTUR!B:C""),2,false)"),"TIPEX KENKO KE-108")</f>
        <v>TIPEX KENKO KE-108</v>
      </c>
      <c r="F611" s="53" t="str">
        <f>IFERROR(__xludf.DUMMYFUNCTION("vlookup($D611,IMPORTRANGE(""https://docs.google.com/spreadsheets/d/1swGwZOEqYlTEUCJLY-eeJM1911Kvaei5oySBIxdgtNo/edit?pli=1#gid=257618397"",""stock FAKTUR!B:d""),3,false)"),"")</f>
        <v/>
      </c>
      <c r="G611" s="53" t="str">
        <f>IFERROR(__xludf.DUMMYFUNCTION("vlookup($D611,IMPORTRANGE(""https://docs.google.com/spreadsheets/d/1swGwZOEqYlTEUCJLY-eeJM1911Kvaei5oySBIxdgtNo/edit?pli=1#gid=257618397"",""stock FAKTUR!B:e""),4,false)"),"")</f>
        <v/>
      </c>
      <c r="H611" s="53" t="str">
        <f>IFERROR(__xludf.DUMMYFUNCTION("vlookup($D611,IMPORTRANGE(""https://docs.google.com/spreadsheets/d/1swGwZOEqYlTEUCJLY-eeJM1911Kvaei5oySBIxdgtNo/edit?pli=1#gid=257618397"",""stock FAKTUR!B:F""),5,false)"),"KN")</f>
        <v>KN</v>
      </c>
      <c r="I611" s="53" t="str">
        <f>IFERROR(__xludf.DUMMYFUNCTION("vlookup($D611,IMPORTRANGE(""https://docs.google.com/spreadsheets/d/1swGwZOEqYlTEUCJLY-eeJM1911Kvaei5oySBIxdgtNo/edit?pli=1#gid=257618397"",""stock FAKTUR!B:G""),6,false)"),"CFL-003")</f>
        <v>CFL-003</v>
      </c>
      <c r="J611" s="120" t="str">
        <f t="shared" si="25"/>
        <v>ADA</v>
      </c>
      <c r="K611" s="142">
        <v>108.0</v>
      </c>
      <c r="L611" s="145" t="str">
        <f>IFERROR(__xludf.DUMMYFUNCTION("vlookup($D611,IMPORTRANGE(""https://docs.google.com/spreadsheets/d/1swGwZOEqYlTEUCJLY-eeJM1911Kvaei5oySBIxdgtNo/edit?pli=1#gid=257618397"",""stock FAKTUR!B:q""),16,false)"),"LSN")</f>
        <v>LSN</v>
      </c>
      <c r="M611" s="147">
        <v>48900.0</v>
      </c>
      <c r="N611" s="152">
        <v>0.125</v>
      </c>
      <c r="O611" s="147">
        <f t="shared" si="173"/>
        <v>4621050</v>
      </c>
      <c r="P611" s="147" t="str">
        <f t="shared" si="3"/>
        <v>Rp48,900-108 LSN-12.50%</v>
      </c>
      <c r="Q611" s="149">
        <v>45420.0</v>
      </c>
      <c r="R611" s="150"/>
      <c r="S611" s="149">
        <v>45422.0</v>
      </c>
      <c r="T611" s="151"/>
      <c r="U611" s="151"/>
      <c r="V611" s="151"/>
      <c r="W611" s="151"/>
    </row>
    <row r="612">
      <c r="A612" s="142">
        <v>4852.0</v>
      </c>
      <c r="B612" s="143" t="s">
        <v>58</v>
      </c>
      <c r="C612" s="143" t="s">
        <v>3688</v>
      </c>
      <c r="D612" s="145" t="s">
        <v>4692</v>
      </c>
      <c r="E612" s="145" t="str">
        <f>IFERROR(__xludf.DUMMYFUNCTION("vlookup(D612,IMPORTRANGE(""https://docs.google.com/spreadsheets/d/1swGwZOEqYlTEUCJLY-eeJM1911Kvaei5oySBIxdgtNo/edit?pli=1#gid=257618397"",""stock FAKTUR!B:C""),2,false)"),"TIPEX KENKO KE-108")</f>
        <v>TIPEX KENKO KE-108</v>
      </c>
      <c r="F612" s="53" t="str">
        <f>IFERROR(__xludf.DUMMYFUNCTION("vlookup($D612,IMPORTRANGE(""https://docs.google.com/spreadsheets/d/1swGwZOEqYlTEUCJLY-eeJM1911Kvaei5oySBIxdgtNo/edit?pli=1#gid=257618397"",""stock FAKTUR!B:d""),3,false)"),"")</f>
        <v/>
      </c>
      <c r="G612" s="53" t="str">
        <f>IFERROR(__xludf.DUMMYFUNCTION("vlookup($D612,IMPORTRANGE(""https://docs.google.com/spreadsheets/d/1swGwZOEqYlTEUCJLY-eeJM1911Kvaei5oySBIxdgtNo/edit?pli=1#gid=257618397"",""stock FAKTUR!B:e""),4,false)"),"")</f>
        <v/>
      </c>
      <c r="H612" s="53" t="str">
        <f>IFERROR(__xludf.DUMMYFUNCTION("vlookup($D612,IMPORTRANGE(""https://docs.google.com/spreadsheets/d/1swGwZOEqYlTEUCJLY-eeJM1911Kvaei5oySBIxdgtNo/edit?pli=1#gid=257618397"",""stock FAKTUR!B:F""),5,false)"),"KN")</f>
        <v>KN</v>
      </c>
      <c r="I612" s="53" t="str">
        <f>IFERROR(__xludf.DUMMYFUNCTION("vlookup($D612,IMPORTRANGE(""https://docs.google.com/spreadsheets/d/1swGwZOEqYlTEUCJLY-eeJM1911Kvaei5oySBIxdgtNo/edit?pli=1#gid=257618397"",""stock FAKTUR!B:G""),6,false)"),"CFL-003")</f>
        <v>CFL-003</v>
      </c>
      <c r="J612" s="120" t="str">
        <f t="shared" si="25"/>
        <v>ADA</v>
      </c>
      <c r="K612" s="142">
        <v>288.0</v>
      </c>
      <c r="L612" s="145" t="str">
        <f>IFERROR(__xludf.DUMMYFUNCTION("vlookup($D612,IMPORTRANGE(""https://docs.google.com/spreadsheets/d/1swGwZOEqYlTEUCJLY-eeJM1911Kvaei5oySBIxdgtNo/edit?pli=1#gid=257618397"",""stock FAKTUR!B:q""),16,false)"),"LSN")</f>
        <v>LSN</v>
      </c>
      <c r="M612" s="147">
        <v>48900.0</v>
      </c>
      <c r="N612" s="152">
        <v>0.125</v>
      </c>
      <c r="O612" s="147">
        <f t="shared" si="173"/>
        <v>12322800</v>
      </c>
      <c r="P612" s="147" t="str">
        <f t="shared" si="3"/>
        <v>Rp48,900-288 LSN-12.50%</v>
      </c>
      <c r="Q612" s="149">
        <v>45420.0</v>
      </c>
      <c r="R612" s="150"/>
      <c r="S612" s="149">
        <v>45422.0</v>
      </c>
      <c r="T612" s="151"/>
      <c r="U612" s="151"/>
      <c r="V612" s="151"/>
      <c r="W612" s="151"/>
    </row>
    <row r="613">
      <c r="A613" s="142">
        <v>4851.0</v>
      </c>
      <c r="B613" s="143" t="s">
        <v>58</v>
      </c>
      <c r="C613" s="143" t="s">
        <v>2578</v>
      </c>
      <c r="D613" s="145" t="s">
        <v>4210</v>
      </c>
      <c r="E613" s="145" t="str">
        <f>IFERROR(__xludf.DUMMYFUNCTION("vlookup(D613,IMPORTRANGE(""https://docs.google.com/spreadsheets/d/1swGwZOEqYlTEUCJLY-eeJM1911Kvaei5oySBIxdgtNo/edit?pli=1#gid=257618397"",""stock FAKTUR!B:C""),2,false)"),"CUTTER KENKO L-500")</f>
        <v>CUTTER KENKO L-500</v>
      </c>
      <c r="F613" s="53" t="str">
        <f>IFERROR(__xludf.DUMMYFUNCTION("vlookup($D613,IMPORTRANGE(""https://docs.google.com/spreadsheets/d/1swGwZOEqYlTEUCJLY-eeJM1911Kvaei5oySBIxdgtNo/edit?pli=1#gid=257618397"",""stock FAKTUR!B:d""),3,false)"),"18 MM")</f>
        <v>18 MM</v>
      </c>
      <c r="G613" s="53" t="str">
        <f>IFERROR(__xludf.DUMMYFUNCTION("vlookup($D613,IMPORTRANGE(""https://docs.google.com/spreadsheets/d/1swGwZOEqYlTEUCJLY-eeJM1911Kvaei5oySBIxdgtNo/edit?pli=1#gid=257618397"",""stock FAKTUR!B:e""),4,false)"),"")</f>
        <v/>
      </c>
      <c r="H613" s="53" t="str">
        <f>IFERROR(__xludf.DUMMYFUNCTION("vlookup($D613,IMPORTRANGE(""https://docs.google.com/spreadsheets/d/1swGwZOEqYlTEUCJLY-eeJM1911Kvaei5oySBIxdgtNo/edit?pli=1#gid=257618397"",""stock FAKTUR!B:F""),5,false)"),"KN")</f>
        <v>KN</v>
      </c>
      <c r="I613" s="53" t="str">
        <f>IFERROR(__xludf.DUMMYFUNCTION("vlookup($D613,IMPORTRANGE(""https://docs.google.com/spreadsheets/d/1swGwZOEqYlTEUCJLY-eeJM1911Kvaei5oySBIxdgtNo/edit?pli=1#gid=257618397"",""stock FAKTUR!B:G""),6,false)"),"CTR-007")</f>
        <v>CTR-007</v>
      </c>
      <c r="J613" s="120" t="str">
        <f t="shared" si="25"/>
        <v>ADA</v>
      </c>
      <c r="K613" s="142">
        <v>20.0</v>
      </c>
      <c r="L613" s="145" t="str">
        <f>IFERROR(__xludf.DUMMYFUNCTION("vlookup($D613,IMPORTRANGE(""https://docs.google.com/spreadsheets/d/1swGwZOEqYlTEUCJLY-eeJM1911Kvaei5oySBIxdgtNo/edit?pli=1#gid=257618397"",""stock FAKTUR!B:q""),16,false)"),"LSN")</f>
        <v>LSN</v>
      </c>
      <c r="M613" s="147">
        <v>147600.0</v>
      </c>
      <c r="N613" s="152">
        <v>0.125</v>
      </c>
      <c r="O613" s="147">
        <f t="shared" si="173"/>
        <v>2583000</v>
      </c>
      <c r="P613" s="147" t="str">
        <f t="shared" si="3"/>
        <v>Rp147,600-20 LSN-12.50%</v>
      </c>
      <c r="Q613" s="149">
        <v>45420.0</v>
      </c>
      <c r="R613" s="150"/>
      <c r="S613" s="149">
        <v>45422.0</v>
      </c>
      <c r="T613" s="151"/>
      <c r="U613" s="151"/>
      <c r="V613" s="151"/>
      <c r="W613" s="151"/>
    </row>
    <row r="614">
      <c r="A614" s="142">
        <v>4851.0</v>
      </c>
      <c r="B614" s="143" t="str">
        <f>IF(A614=A613,B613,"")</f>
        <v>G</v>
      </c>
      <c r="C614" s="143" t="str">
        <f>IF(A614=A613,C613,"")</f>
        <v>AR-KUDUS</v>
      </c>
      <c r="D614" s="145" t="s">
        <v>4429</v>
      </c>
      <c r="E614" s="145" t="str">
        <f>IFERROR(__xludf.DUMMYFUNCTION("vlookup(D614,IMPORTRANGE(""https://docs.google.com/spreadsheets/d/1swGwZOEqYlTEUCJLY-eeJM1911Kvaei5oySBIxdgtNo/edit?pli=1#gid=257618397"",""stock FAKTUR!B:C""),2,false)"),"TIPEX KENKO KE-01")</f>
        <v>TIPEX KENKO KE-01</v>
      </c>
      <c r="F614" s="53" t="str">
        <f>IFERROR(__xludf.DUMMYFUNCTION("vlookup($D614,IMPORTRANGE(""https://docs.google.com/spreadsheets/d/1swGwZOEqYlTEUCJLY-eeJM1911Kvaei5oySBIxdgtNo/edit?pli=1#gid=257618397"",""stock FAKTUR!B:d""),3,false)"),"")</f>
        <v/>
      </c>
      <c r="G614" s="53" t="str">
        <f>IFERROR(__xludf.DUMMYFUNCTION("vlookup($D614,IMPORTRANGE(""https://docs.google.com/spreadsheets/d/1swGwZOEqYlTEUCJLY-eeJM1911Kvaei5oySBIxdgtNo/edit?pli=1#gid=257618397"",""stock FAKTUR!B:e""),4,false)"),"")</f>
        <v/>
      </c>
      <c r="H614" s="53" t="str">
        <f>IFERROR(__xludf.DUMMYFUNCTION("vlookup($D614,IMPORTRANGE(""https://docs.google.com/spreadsheets/d/1swGwZOEqYlTEUCJLY-eeJM1911Kvaei5oySBIxdgtNo/edit?pli=1#gid=257618397"",""stock FAKTUR!B:F""),5,false)"),"KN")</f>
        <v>KN</v>
      </c>
      <c r="I614" s="53" t="str">
        <f>IFERROR(__xludf.DUMMYFUNCTION("vlookup($D614,IMPORTRANGE(""https://docs.google.com/spreadsheets/d/1swGwZOEqYlTEUCJLY-eeJM1911Kvaei5oySBIxdgtNo/edit?pli=1#gid=257618397"",""stock FAKTUR!B:G""),6,false)"),"CFL-001")</f>
        <v>CFL-001</v>
      </c>
      <c r="J614" s="120" t="str">
        <f t="shared" si="25"/>
        <v>ADA</v>
      </c>
      <c r="K614" s="142">
        <v>72.0</v>
      </c>
      <c r="L614" s="145" t="str">
        <f>IFERROR(__xludf.DUMMYFUNCTION("vlookup($D614,IMPORTRANGE(""https://docs.google.com/spreadsheets/d/1swGwZOEqYlTEUCJLY-eeJM1911Kvaei5oySBIxdgtNo/edit?pli=1#gid=257618397"",""stock FAKTUR!B:q""),16,false)"),"LSN")</f>
        <v>LSN</v>
      </c>
      <c r="M614" s="147">
        <v>54300.0</v>
      </c>
      <c r="N614" s="152">
        <v>0.125</v>
      </c>
      <c r="O614" s="147">
        <f t="shared" si="173"/>
        <v>3420900</v>
      </c>
      <c r="P614" s="147" t="str">
        <f t="shared" si="3"/>
        <v>Rp54,300-72 LSN-12.50%</v>
      </c>
      <c r="Q614" s="149">
        <v>45420.0</v>
      </c>
      <c r="R614" s="150"/>
      <c r="S614" s="149">
        <v>45422.0</v>
      </c>
      <c r="T614" s="151"/>
      <c r="U614" s="151"/>
      <c r="V614" s="151"/>
      <c r="W614" s="151"/>
    </row>
    <row r="615">
      <c r="A615" s="142">
        <v>4725.0</v>
      </c>
      <c r="B615" s="143" t="s">
        <v>65</v>
      </c>
      <c r="C615" s="143" t="s">
        <v>2601</v>
      </c>
      <c r="D615" s="145" t="s">
        <v>4386</v>
      </c>
      <c r="E615" s="145" t="str">
        <f>IFERROR(__xludf.DUMMYFUNCTION("vlookup(D615,IMPORTRANGE(""https://docs.google.com/spreadsheets/d/1swGwZOEqYlTEUCJLY-eeJM1911Kvaei5oySBIxdgtNo/edit?pli=1#gid=257618397"",""stock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615" s="53" t="str">
        <f>IFERROR(__xludf.DUMMYFUNCTION("vlookup($D615,IMPORTRANGE(""https://docs.google.com/spreadsheets/d/1swGwZOEqYlTEUCJLY-eeJM1911Kvaei5oySBIxdgtNo/edit?pli=1#gid=257618397"",""stock FAKTUR!B:d""),3,false)"),"")</f>
        <v/>
      </c>
      <c r="G615" s="53" t="str">
        <f>IFERROR(__xludf.DUMMYFUNCTION("vlookup($D615,IMPORTRANGE(""https://docs.google.com/spreadsheets/d/1swGwZOEqYlTEUCJLY-eeJM1911Kvaei5oySBIxdgtNo/edit?pli=1#gid=257618397"",""stock FAKTUR!B:e""),4,false)"),"12W")</f>
        <v>12W</v>
      </c>
      <c r="H615" s="53" t="str">
        <f>IFERROR(__xludf.DUMMYFUNCTION("vlookup($D615,IMPORTRANGE(""https://docs.google.com/spreadsheets/d/1swGwZOEqYlTEUCJLY-eeJM1911Kvaei5oySBIxdgtNo/edit?pli=1#gid=257618397"",""stock FAKTUR!B:F""),5,false)"),"JK")</f>
        <v>JK</v>
      </c>
      <c r="I615" s="53" t="str">
        <f>IFERROR(__xludf.DUMMYFUNCTION("vlookup($D615,IMPORTRANGE(""https://docs.google.com/spreadsheets/d/1swGwZOEqYlTEUCJLY-eeJM1911Kvaei5oySBIxdgtNo/edit?pli=1#gid=257618397"",""stock FAKTUR!B:G""),6,false)"),"OP-12S")</f>
        <v>OP-12S</v>
      </c>
      <c r="J615" s="120" t="str">
        <f t="shared" si="25"/>
        <v>ADA</v>
      </c>
      <c r="K615" s="142">
        <v>144.0</v>
      </c>
      <c r="L615" s="145" t="str">
        <f>IFERROR(__xludf.DUMMYFUNCTION("vlookup($D615,IMPORTRANGE(""https://docs.google.com/spreadsheets/d/1swGwZOEqYlTEUCJLY-eeJM1911Kvaei5oySBIxdgtNo/edit?pli=1#gid=257618397"",""stock FAKTUR!B:q""),16,false)"),"PCS")</f>
        <v>PCS</v>
      </c>
      <c r="M615" s="147">
        <v>12300.0</v>
      </c>
      <c r="N615" s="152">
        <v>0.125</v>
      </c>
      <c r="O615" s="147">
        <f t="shared" si="173"/>
        <v>1549800</v>
      </c>
      <c r="P615" s="147" t="str">
        <f t="shared" si="3"/>
        <v>Rp12,300-144 PCS-12.50%</v>
      </c>
      <c r="Q615" s="149">
        <v>45420.0</v>
      </c>
      <c r="R615" s="150"/>
      <c r="S615" s="149">
        <v>45422.0</v>
      </c>
      <c r="T615" s="151"/>
      <c r="U615" s="151"/>
      <c r="V615" s="151"/>
      <c r="W615" s="151"/>
    </row>
    <row r="616">
      <c r="A616" s="142">
        <v>4725.0</v>
      </c>
      <c r="B616" s="143" t="str">
        <f t="shared" ref="B616:B618" si="182">IF(A616=A615,B615,"")</f>
        <v>A</v>
      </c>
      <c r="C616" s="143" t="str">
        <f>IF(A616=A615,C615,"")</f>
        <v>GARUDA-PURBALINGGA</v>
      </c>
      <c r="D616" s="145" t="s">
        <v>4392</v>
      </c>
      <c r="E616" s="145" t="str">
        <f>IFERROR(__xludf.DUMMYFUNCTION("vlookup(D616,IMPORTRANGE(""https://docs.google.com/spreadsheets/d/1swGwZOEqYlTEUCJLY-eeJM1911Kvaei5oySBIxdgtNo/edit?pli=1#gid=257618397"",""stock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616" s="53" t="str">
        <f>IFERROR(__xludf.DUMMYFUNCTION("vlookup($D616,IMPORTRANGE(""https://docs.google.com/spreadsheets/d/1swGwZOEqYlTEUCJLY-eeJM1911Kvaei5oySBIxdgtNo/edit?pli=1#gid=257618397"",""stock FAKTUR!B:d""),3,false)"),"")</f>
        <v/>
      </c>
      <c r="G616" s="53" t="str">
        <f>IFERROR(__xludf.DUMMYFUNCTION("vlookup($D616,IMPORTRANGE(""https://docs.google.com/spreadsheets/d/1swGwZOEqYlTEUCJLY-eeJM1911Kvaei5oySBIxdgtNo/edit?pli=1#gid=257618397"",""stock FAKTUR!B:e""),4,false)"),"18W")</f>
        <v>18W</v>
      </c>
      <c r="H616" s="53" t="str">
        <f>IFERROR(__xludf.DUMMYFUNCTION("vlookup($D616,IMPORTRANGE(""https://docs.google.com/spreadsheets/d/1swGwZOEqYlTEUCJLY-eeJM1911Kvaei5oySBIxdgtNo/edit?pli=1#gid=257618397"",""stock FAKTUR!B:F""),5,false)"),"JK")</f>
        <v>JK</v>
      </c>
      <c r="I616" s="53" t="str">
        <f>IFERROR(__xludf.DUMMYFUNCTION("vlookup($D616,IMPORTRANGE(""https://docs.google.com/spreadsheets/d/1swGwZOEqYlTEUCJLY-eeJM1911Kvaei5oySBIxdgtNo/edit?pli=1#gid=257618397"",""stock FAKTUR!B:G""),6,false)"),"OP-18S")</f>
        <v>OP-18S</v>
      </c>
      <c r="J616" s="120" t="str">
        <f t="shared" si="25"/>
        <v>ADA</v>
      </c>
      <c r="K616" s="142">
        <v>72.0</v>
      </c>
      <c r="L616" s="145" t="str">
        <f>IFERROR(__xludf.DUMMYFUNCTION("vlookup($D616,IMPORTRANGE(""https://docs.google.com/spreadsheets/d/1swGwZOEqYlTEUCJLY-eeJM1911Kvaei5oySBIxdgtNo/edit?pli=1#gid=257618397"",""stock FAKTUR!B:q""),16,false)"),"PCS")</f>
        <v>PCS</v>
      </c>
      <c r="M616" s="147">
        <v>23700.0</v>
      </c>
      <c r="N616" s="152">
        <v>0.125</v>
      </c>
      <c r="O616" s="147">
        <f t="shared" si="173"/>
        <v>1493100</v>
      </c>
      <c r="P616" s="147" t="str">
        <f t="shared" si="3"/>
        <v>Rp23,700-72 PCS-12.50%</v>
      </c>
      <c r="Q616" s="149">
        <v>45420.0</v>
      </c>
      <c r="R616" s="150"/>
      <c r="S616" s="149">
        <v>45422.0</v>
      </c>
      <c r="T616" s="151"/>
      <c r="U616" s="151"/>
      <c r="V616" s="151"/>
      <c r="W616" s="151"/>
    </row>
    <row r="617">
      <c r="A617" s="142">
        <v>237.0</v>
      </c>
      <c r="B617" s="143" t="str">
        <f t="shared" si="182"/>
        <v/>
      </c>
      <c r="C617" s="143" t="s">
        <v>4518</v>
      </c>
      <c r="D617" s="145" t="s">
        <v>4711</v>
      </c>
      <c r="E617" s="145" t="str">
        <f>IFERROR(__xludf.DUMMYFUNCTION("vlookup(D617,IMPORTRANGE(""https://docs.google.com/spreadsheets/d/1swGwZOEqYlTEUCJLY-eeJM1911Kvaei5oySBIxdgtNo/edit?pli=1#gid=257618397"",""stock FAKTUR!B:C""),2,false)"),"TIPEX KENKO KE-826M")</f>
        <v>TIPEX KENKO KE-826M</v>
      </c>
      <c r="F617" s="53" t="str">
        <f>IFERROR(__xludf.DUMMYFUNCTION("vlookup($D617,IMPORTRANGE(""https://docs.google.com/spreadsheets/d/1swGwZOEqYlTEUCJLY-eeJM1911Kvaei5oySBIxdgtNo/edit?pli=1#gid=257618397"",""stock FAKTUR!B:d""),3,false)"),"")</f>
        <v/>
      </c>
      <c r="G617" s="53" t="str">
        <f>IFERROR(__xludf.DUMMYFUNCTION("vlookup($D617,IMPORTRANGE(""https://docs.google.com/spreadsheets/d/1swGwZOEqYlTEUCJLY-eeJM1911Kvaei5oySBIxdgtNo/edit?pli=1#gid=257618397"",""stock FAKTUR!B:e""),4,false)"),"")</f>
        <v/>
      </c>
      <c r="H617" s="53" t="str">
        <f>IFERROR(__xludf.DUMMYFUNCTION("vlookup($D617,IMPORTRANGE(""https://docs.google.com/spreadsheets/d/1swGwZOEqYlTEUCJLY-eeJM1911Kvaei5oySBIxdgtNo/edit?pli=1#gid=257618397"",""stock FAKTUR!B:F""),5,false)"),"KN")</f>
        <v>KN</v>
      </c>
      <c r="I617" s="53" t="str">
        <f>IFERROR(__xludf.DUMMYFUNCTION("vlookup($D617,IMPORTRANGE(""https://docs.google.com/spreadsheets/d/1swGwZOEqYlTEUCJLY-eeJM1911Kvaei5oySBIxdgtNo/edit?pli=1#gid=257618397"",""stock FAKTUR!B:G""),6,false)"),"KE-826M")</f>
        <v>KE-826M</v>
      </c>
      <c r="J617" s="120" t="str">
        <f t="shared" si="25"/>
        <v>ADA</v>
      </c>
      <c r="K617" s="142">
        <v>1.0</v>
      </c>
      <c r="L617" s="145" t="str">
        <f>IFERROR(__xludf.DUMMYFUNCTION("vlookup($D617,IMPORTRANGE(""https://docs.google.com/spreadsheets/d/1swGwZOEqYlTEUCJLY-eeJM1911Kvaei5oySBIxdgtNo/edit?pli=1#gid=257618397"",""stock FAKTUR!B:q""),16,false)"),"LSN")</f>
        <v>LSN</v>
      </c>
      <c r="M617" s="147">
        <v>62100.0</v>
      </c>
      <c r="N617" s="152">
        <v>0.15</v>
      </c>
      <c r="O617" s="147">
        <f t="shared" si="173"/>
        <v>52785</v>
      </c>
      <c r="P617" s="147" t="str">
        <f t="shared" si="3"/>
        <v>Rp62,100-1 LSN-15.00%</v>
      </c>
      <c r="Q617" s="149">
        <v>45420.0</v>
      </c>
      <c r="R617" s="150"/>
      <c r="S617" s="149">
        <v>45423.0</v>
      </c>
      <c r="T617" s="151"/>
      <c r="U617" s="151"/>
      <c r="V617" s="151"/>
      <c r="W617" s="151"/>
    </row>
    <row r="618">
      <c r="A618" s="142">
        <v>237.0</v>
      </c>
      <c r="B618" s="143" t="str">
        <f t="shared" si="182"/>
        <v/>
      </c>
      <c r="C618" s="143" t="s">
        <v>4518</v>
      </c>
      <c r="D618" s="145" t="s">
        <v>4429</v>
      </c>
      <c r="E618" s="145" t="str">
        <f>IFERROR(__xludf.DUMMYFUNCTION("vlookup(D618,IMPORTRANGE(""https://docs.google.com/spreadsheets/d/1swGwZOEqYlTEUCJLY-eeJM1911Kvaei5oySBIxdgtNo/edit?pli=1#gid=257618397"",""stock FAKTUR!B:C""),2,false)"),"TIPEX KENKO KE-01")</f>
        <v>TIPEX KENKO KE-01</v>
      </c>
      <c r="F618" s="53" t="str">
        <f>IFERROR(__xludf.DUMMYFUNCTION("vlookup($D618,IMPORTRANGE(""https://docs.google.com/spreadsheets/d/1swGwZOEqYlTEUCJLY-eeJM1911Kvaei5oySBIxdgtNo/edit?pli=1#gid=257618397"",""stock FAKTUR!B:d""),3,false)"),"")</f>
        <v/>
      </c>
      <c r="G618" s="53" t="str">
        <f>IFERROR(__xludf.DUMMYFUNCTION("vlookup($D618,IMPORTRANGE(""https://docs.google.com/spreadsheets/d/1swGwZOEqYlTEUCJLY-eeJM1911Kvaei5oySBIxdgtNo/edit?pli=1#gid=257618397"",""stock FAKTUR!B:e""),4,false)"),"")</f>
        <v/>
      </c>
      <c r="H618" s="53" t="str">
        <f>IFERROR(__xludf.DUMMYFUNCTION("vlookup($D618,IMPORTRANGE(""https://docs.google.com/spreadsheets/d/1swGwZOEqYlTEUCJLY-eeJM1911Kvaei5oySBIxdgtNo/edit?pli=1#gid=257618397"",""stock FAKTUR!B:F""),5,false)"),"KN")</f>
        <v>KN</v>
      </c>
      <c r="I618" s="53" t="str">
        <f>IFERROR(__xludf.DUMMYFUNCTION("vlookup($D618,IMPORTRANGE(""https://docs.google.com/spreadsheets/d/1swGwZOEqYlTEUCJLY-eeJM1911Kvaei5oySBIxdgtNo/edit?pli=1#gid=257618397"",""stock FAKTUR!B:G""),6,false)"),"CFL-001")</f>
        <v>CFL-001</v>
      </c>
      <c r="J618" s="120" t="str">
        <f t="shared" si="25"/>
        <v>ADA</v>
      </c>
      <c r="K618" s="142">
        <v>6.0</v>
      </c>
      <c r="L618" s="145" t="str">
        <f>IFERROR(__xludf.DUMMYFUNCTION("vlookup($D618,IMPORTRANGE(""https://docs.google.com/spreadsheets/d/1swGwZOEqYlTEUCJLY-eeJM1911Kvaei5oySBIxdgtNo/edit?pli=1#gid=257618397"",""stock FAKTUR!B:q""),16,false)"),"LSN")</f>
        <v>LSN</v>
      </c>
      <c r="M618" s="147">
        <v>56100.0</v>
      </c>
      <c r="N618" s="152">
        <v>0.15</v>
      </c>
      <c r="O618" s="147">
        <f t="shared" si="173"/>
        <v>286110</v>
      </c>
      <c r="P618" s="147" t="str">
        <f t="shared" si="3"/>
        <v>Rp56,100-6 LSN-15.00%</v>
      </c>
      <c r="Q618" s="149">
        <v>45420.0</v>
      </c>
      <c r="R618" s="150"/>
      <c r="S618" s="149">
        <v>45423.0</v>
      </c>
      <c r="T618" s="151"/>
      <c r="U618" s="151"/>
      <c r="V618" s="151"/>
      <c r="W618" s="151"/>
    </row>
    <row r="619">
      <c r="A619" s="142">
        <v>4727.0</v>
      </c>
      <c r="B619" s="143" t="s">
        <v>33</v>
      </c>
      <c r="C619" s="143" t="s">
        <v>2476</v>
      </c>
      <c r="D619" s="145" t="s">
        <v>4415</v>
      </c>
      <c r="E619" s="145" t="str">
        <f>IFERROR(__xludf.DUMMYFUNCTION("vlookup(D619,IMPORTRANGE(""https://docs.google.com/spreadsheets/d/1swGwZOEqYlTEUCJLY-eeJM1911Kvaei5oySBIxdgtNo/edit?pli=1#gid=257618397"",""stock FAKTUR!B:C""),2,false)"),"BP KENKO K-1 HITAM")</f>
        <v>BP KENKO K-1 HITAM</v>
      </c>
      <c r="F619" s="53" t="str">
        <f>IFERROR(__xludf.DUMMYFUNCTION("vlookup($D619,IMPORTRANGE(""https://docs.google.com/spreadsheets/d/1swGwZOEqYlTEUCJLY-eeJM1911Kvaei5oySBIxdgtNo/edit?pli=1#gid=257618397"",""stock FAKTUR!B:d""),3,false)"),"")</f>
        <v/>
      </c>
      <c r="G619" s="53" t="str">
        <f>IFERROR(__xludf.DUMMYFUNCTION("vlookup($D619,IMPORTRANGE(""https://docs.google.com/spreadsheets/d/1swGwZOEqYlTEUCJLY-eeJM1911Kvaei5oySBIxdgtNo/edit?pli=1#gid=257618397"",""stock FAKTUR!B:e""),4,false)"),"HITAM")</f>
        <v>HITAM</v>
      </c>
      <c r="H619" s="53" t="str">
        <f>IFERROR(__xludf.DUMMYFUNCTION("vlookup($D619,IMPORTRANGE(""https://docs.google.com/spreadsheets/d/1swGwZOEqYlTEUCJLY-eeJM1911Kvaei5oySBIxdgtNo/edit?pli=1#gid=257618397"",""stock FAKTUR!B:F""),5,false)"),"KN")</f>
        <v>KN</v>
      </c>
      <c r="I619" s="53" t="str">
        <f>IFERROR(__xludf.DUMMYFUNCTION("vlookup($D619,IMPORTRANGE(""https://docs.google.com/spreadsheets/d/1swGwZOEqYlTEUCJLY-eeJM1911Kvaei5oySBIxdgtNo/edit?pli=1#gid=257618397"",""stock FAKTUR!B:G""),6,false)"),"GPR-003B")</f>
        <v>GPR-003B</v>
      </c>
      <c r="J619" s="120" t="str">
        <f t="shared" si="25"/>
        <v>ADA</v>
      </c>
      <c r="K619" s="142">
        <v>288.0</v>
      </c>
      <c r="L619" s="145" t="str">
        <f>IFERROR(__xludf.DUMMYFUNCTION("vlookup($D619,IMPORTRANGE(""https://docs.google.com/spreadsheets/d/1swGwZOEqYlTEUCJLY-eeJM1911Kvaei5oySBIxdgtNo/edit?pli=1#gid=257618397"",""stock FAKTUR!B:q""),16,false)"),"LSN")</f>
        <v>LSN</v>
      </c>
      <c r="M619" s="147">
        <v>39600.0</v>
      </c>
      <c r="N619" s="152">
        <v>0.15</v>
      </c>
      <c r="O619" s="147">
        <f t="shared" si="173"/>
        <v>9694080</v>
      </c>
      <c r="P619" s="147" t="str">
        <f t="shared" si="3"/>
        <v>Rp39,600-288 LSN-15.00%</v>
      </c>
      <c r="Q619" s="149">
        <v>45420.0</v>
      </c>
      <c r="R619" s="150"/>
      <c r="S619" s="149">
        <v>45423.0</v>
      </c>
      <c r="T619" s="151"/>
      <c r="U619" s="151"/>
      <c r="V619" s="151"/>
      <c r="W619" s="151"/>
    </row>
    <row r="620">
      <c r="A620" s="142">
        <v>4727.0</v>
      </c>
      <c r="B620" s="143" t="str">
        <f t="shared" ref="B620:B622" si="183">IF(A620=A619,B619,"")</f>
        <v>H</v>
      </c>
      <c r="C620" s="143" t="str">
        <f t="shared" ref="C620:C622" si="184">IF(A620=A619,C619,"")</f>
        <v>PERDANA-BREBES</v>
      </c>
      <c r="D620" s="145" t="s">
        <v>4400</v>
      </c>
      <c r="E620" s="145" t="str">
        <f>IFERROR(__xludf.DUMMYFUNCTION("vlookup(D620,IMPORTRANGE(""https://docs.google.com/spreadsheets/d/1swGwZOEqYlTEUCJLY-eeJM1911Kvaei5oySBIxdgtNo/edit?pli=1#gid=257618397"",""stock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620" s="53" t="str">
        <f>IFERROR(__xludf.DUMMYFUNCTION("vlookup($D620,IMPORTRANGE(""https://docs.google.com/spreadsheets/d/1swGwZOEqYlTEUCJLY-eeJM1911Kvaei5oySBIxdgtNo/edit?pli=1#gid=257618397"",""stock FAKTUR!B:d""),3,false)"),"")</f>
        <v/>
      </c>
      <c r="G620" s="53" t="str">
        <f>IFERROR(__xludf.DUMMYFUNCTION("vlookup($D620,IMPORTRANGE(""https://docs.google.com/spreadsheets/d/1swGwZOEqYlTEUCJLY-eeJM1911Kvaei5oySBIxdgtNo/edit?pli=1#gid=257618397"",""stock FAKTUR!B:e""),4,false)"),"12W")</f>
        <v>12W</v>
      </c>
      <c r="H620" s="53" t="str">
        <f>IFERROR(__xludf.DUMMYFUNCTION("vlookup($D620,IMPORTRANGE(""https://docs.google.com/spreadsheets/d/1swGwZOEqYlTEUCJLY-eeJM1911Kvaei5oySBIxdgtNo/edit?pli=1#gid=257618397"",""stock FAKTUR!B:F""),5,false)"),"KN")</f>
        <v>KN</v>
      </c>
      <c r="I620" s="53" t="str">
        <f>IFERROR(__xludf.DUMMYFUNCTION("vlookup($D620,IMPORTRANGE(""https://docs.google.com/spreadsheets/d/1swGwZOEqYlTEUCJLY-eeJM1911Kvaei5oySBIxdgtNo/edit?pli=1#gid=257618397"",""stock FAKTUR!B:G""),6,false)"),"CP-12")</f>
        <v>CP-12</v>
      </c>
      <c r="J620" s="120" t="str">
        <f t="shared" si="25"/>
        <v>ADA</v>
      </c>
      <c r="K620" s="142">
        <v>48.0</v>
      </c>
      <c r="L620" s="145" t="str">
        <f>IFERROR(__xludf.DUMMYFUNCTION("vlookup($D620,IMPORTRANGE(""https://docs.google.com/spreadsheets/d/1swGwZOEqYlTEUCJLY-eeJM1911Kvaei5oySBIxdgtNo/edit?pli=1#gid=257618397"",""stock FAKTUR!B:q""),16,false)"),"LSN")</f>
        <v>LSN</v>
      </c>
      <c r="M620" s="147">
        <v>79200.0</v>
      </c>
      <c r="N620" s="152">
        <v>0.15</v>
      </c>
      <c r="O620" s="147">
        <f t="shared" si="173"/>
        <v>3231360</v>
      </c>
      <c r="P620" s="147" t="str">
        <f t="shared" si="3"/>
        <v>Rp79,200-48 LSN-15.00%</v>
      </c>
      <c r="Q620" s="149">
        <v>45420.0</v>
      </c>
      <c r="R620" s="150"/>
      <c r="S620" s="149">
        <v>45423.0</v>
      </c>
      <c r="T620" s="151"/>
      <c r="U620" s="151"/>
      <c r="V620" s="151"/>
      <c r="W620" s="151"/>
    </row>
    <row r="621">
      <c r="A621" s="142">
        <v>4727.0</v>
      </c>
      <c r="B621" s="143" t="str">
        <f t="shared" si="183"/>
        <v>H</v>
      </c>
      <c r="C621" s="143" t="str">
        <f t="shared" si="184"/>
        <v>PERDANA-BREBES</v>
      </c>
      <c r="D621" s="145" t="s">
        <v>4396</v>
      </c>
      <c r="E621" s="145" t="str">
        <f>IFERROR(__xludf.DUMMYFUNCTION("vlookup(D621,IMPORTRANGE(""https://docs.google.com/spreadsheets/d/1swGwZOEqYlTEUCJLY-eeJM1911Kvaei5oySBIxdgtNo/edit?pli=1#gid=257618397"",""stock FAKTUR!B:C""),2,false)"),"STAPLER KENKO HD-10")</f>
        <v>STAPLER KENKO HD-10</v>
      </c>
      <c r="F621" s="53" t="str">
        <f>IFERROR(__xludf.DUMMYFUNCTION("vlookup($D621,IMPORTRANGE(""https://docs.google.com/spreadsheets/d/1swGwZOEqYlTEUCJLY-eeJM1911Kvaei5oySBIxdgtNo/edit?pli=1#gid=257618397"",""stock FAKTUR!B:d""),3,false)"),"")</f>
        <v/>
      </c>
      <c r="G621" s="53" t="str">
        <f>IFERROR(__xludf.DUMMYFUNCTION("vlookup($D621,IMPORTRANGE(""https://docs.google.com/spreadsheets/d/1swGwZOEqYlTEUCJLY-eeJM1911Kvaei5oySBIxdgtNo/edit?pli=1#gid=257618397"",""stock FAKTUR!B:e""),4,false)"),"")</f>
        <v/>
      </c>
      <c r="H621" s="53" t="str">
        <f>IFERROR(__xludf.DUMMYFUNCTION("vlookup($D621,IMPORTRANGE(""https://docs.google.com/spreadsheets/d/1swGwZOEqYlTEUCJLY-eeJM1911Kvaei5oySBIxdgtNo/edit?pli=1#gid=257618397"",""stock FAKTUR!B:F""),5,false)"),"KN")</f>
        <v>KN</v>
      </c>
      <c r="I621" s="53" t="str">
        <f>IFERROR(__xludf.DUMMYFUNCTION("vlookup($D621,IMPORTRANGE(""https://docs.google.com/spreadsheets/d/1swGwZOEqYlTEUCJLY-eeJM1911Kvaei5oySBIxdgtNo/edit?pli=1#gid=257618397"",""stock FAKTUR!B:G""),6,false)"),"HD-10")</f>
        <v>HD-10</v>
      </c>
      <c r="J621" s="120" t="str">
        <f t="shared" si="25"/>
        <v>ADA</v>
      </c>
      <c r="K621" s="142">
        <v>100.0</v>
      </c>
      <c r="L621" s="145" t="str">
        <f>IFERROR(__xludf.DUMMYFUNCTION("vlookup($D621,IMPORTRANGE(""https://docs.google.com/spreadsheets/d/1swGwZOEqYlTEUCJLY-eeJM1911Kvaei5oySBIxdgtNo/edit?pli=1#gid=257618397"",""stock FAKTUR!B:q""),16,false)"),"LSN")</f>
        <v>LSN</v>
      </c>
      <c r="M621" s="147">
        <v>93000.0</v>
      </c>
      <c r="N621" s="152">
        <v>0.15</v>
      </c>
      <c r="O621" s="147">
        <f t="shared" si="173"/>
        <v>7905000</v>
      </c>
      <c r="P621" s="147" t="str">
        <f t="shared" si="3"/>
        <v>Rp93,000-100 LSN-15.00%</v>
      </c>
      <c r="Q621" s="149">
        <v>45420.0</v>
      </c>
      <c r="R621" s="150"/>
      <c r="S621" s="149">
        <v>45423.0</v>
      </c>
      <c r="T621" s="151"/>
      <c r="U621" s="151"/>
      <c r="V621" s="151"/>
      <c r="W621" s="151"/>
    </row>
    <row r="622">
      <c r="A622" s="142">
        <v>4727.0</v>
      </c>
      <c r="B622" s="143" t="str">
        <f t="shared" si="183"/>
        <v>H</v>
      </c>
      <c r="C622" s="143" t="str">
        <f t="shared" si="184"/>
        <v>PERDANA-BREBES</v>
      </c>
      <c r="D622" s="145" t="s">
        <v>4429</v>
      </c>
      <c r="E622" s="145" t="str">
        <f>IFERROR(__xludf.DUMMYFUNCTION("vlookup(D622,IMPORTRANGE(""https://docs.google.com/spreadsheets/d/1swGwZOEqYlTEUCJLY-eeJM1911Kvaei5oySBIxdgtNo/edit?pli=1#gid=257618397"",""stock FAKTUR!B:C""),2,false)"),"TIPEX KENKO KE-01")</f>
        <v>TIPEX KENKO KE-01</v>
      </c>
      <c r="F622" s="53" t="str">
        <f>IFERROR(__xludf.DUMMYFUNCTION("vlookup($D622,IMPORTRANGE(""https://docs.google.com/spreadsheets/d/1swGwZOEqYlTEUCJLY-eeJM1911Kvaei5oySBIxdgtNo/edit?pli=1#gid=257618397"",""stock FAKTUR!B:d""),3,false)"),"")</f>
        <v/>
      </c>
      <c r="G622" s="53" t="str">
        <f>IFERROR(__xludf.DUMMYFUNCTION("vlookup($D622,IMPORTRANGE(""https://docs.google.com/spreadsheets/d/1swGwZOEqYlTEUCJLY-eeJM1911Kvaei5oySBIxdgtNo/edit?pli=1#gid=257618397"",""stock FAKTUR!B:e""),4,false)"),"")</f>
        <v/>
      </c>
      <c r="H622" s="53" t="str">
        <f>IFERROR(__xludf.DUMMYFUNCTION("vlookup($D622,IMPORTRANGE(""https://docs.google.com/spreadsheets/d/1swGwZOEqYlTEUCJLY-eeJM1911Kvaei5oySBIxdgtNo/edit?pli=1#gid=257618397"",""stock FAKTUR!B:F""),5,false)"),"KN")</f>
        <v>KN</v>
      </c>
      <c r="I622" s="53" t="str">
        <f>IFERROR(__xludf.DUMMYFUNCTION("vlookup($D622,IMPORTRANGE(""https://docs.google.com/spreadsheets/d/1swGwZOEqYlTEUCJLY-eeJM1911Kvaei5oySBIxdgtNo/edit?pli=1#gid=257618397"",""stock FAKTUR!B:G""),6,false)"),"CFL-001")</f>
        <v>CFL-001</v>
      </c>
      <c r="J622" s="120" t="str">
        <f t="shared" si="25"/>
        <v>ADA</v>
      </c>
      <c r="K622" s="142">
        <v>216.0</v>
      </c>
      <c r="L622" s="145" t="str">
        <f>IFERROR(__xludf.DUMMYFUNCTION("vlookup($D622,IMPORTRANGE(""https://docs.google.com/spreadsheets/d/1swGwZOEqYlTEUCJLY-eeJM1911Kvaei5oySBIxdgtNo/edit?pli=1#gid=257618397"",""stock FAKTUR!B:q""),16,false)"),"LSN")</f>
        <v>LSN</v>
      </c>
      <c r="M622" s="147">
        <v>56100.0</v>
      </c>
      <c r="N622" s="152">
        <v>0.15</v>
      </c>
      <c r="O622" s="147">
        <f t="shared" si="173"/>
        <v>10299960</v>
      </c>
      <c r="P622" s="147" t="str">
        <f t="shared" si="3"/>
        <v>Rp56,100-216 LSN-15.00%</v>
      </c>
      <c r="Q622" s="149">
        <v>45420.0</v>
      </c>
      <c r="R622" s="150"/>
      <c r="S622" s="149">
        <v>45423.0</v>
      </c>
      <c r="T622" s="151"/>
      <c r="U622" s="151"/>
      <c r="V622" s="151"/>
      <c r="W622" s="151"/>
    </row>
    <row r="623">
      <c r="A623" s="142">
        <v>4731.0</v>
      </c>
      <c r="B623" s="143" t="s">
        <v>33</v>
      </c>
      <c r="C623" s="143" t="s">
        <v>3283</v>
      </c>
      <c r="D623" s="151" t="s">
        <v>4511</v>
      </c>
      <c r="E623" s="145" t="str">
        <f>IFERROR(__xludf.DUMMYFUNCTION("vlookup(D623,IMPORTRANGE(""https://docs.google.com/spreadsheets/d/1swGwZOEqYlTEUCJLY-eeJM1911Kvaei5oySBIxdgtNo/edit?pli=1#gid=257618397"",""stock FAKTUR!B:C""),2,false)"),"TIPEX KENKO CT-634DT")</f>
        <v>TIPEX KENKO CT-634DT</v>
      </c>
      <c r="F623" s="53" t="str">
        <f>IFERROR(__xludf.DUMMYFUNCTION("vlookup($D623,IMPORTRANGE(""https://docs.google.com/spreadsheets/d/1swGwZOEqYlTEUCJLY-eeJM1911Kvaei5oySBIxdgtNo/edit?pli=1#gid=257618397"",""stock FAKTUR!B:d""),3,false)"),"")</f>
        <v/>
      </c>
      <c r="G623" s="53" t="str">
        <f>IFERROR(__xludf.DUMMYFUNCTION("vlookup($D623,IMPORTRANGE(""https://docs.google.com/spreadsheets/d/1swGwZOEqYlTEUCJLY-eeJM1911Kvaei5oySBIxdgtNo/edit?pli=1#gid=257618397"",""stock FAKTUR!B:e""),4,false)"),"")</f>
        <v/>
      </c>
      <c r="H623" s="53" t="str">
        <f>IFERROR(__xludf.DUMMYFUNCTION("vlookup($D623,IMPORTRANGE(""https://docs.google.com/spreadsheets/d/1swGwZOEqYlTEUCJLY-eeJM1911Kvaei5oySBIxdgtNo/edit?pli=1#gid=257618397"",""stock FAKTUR!B:F""),5,false)"),"KN")</f>
        <v>KN</v>
      </c>
      <c r="I623" s="53" t="str">
        <f>IFERROR(__xludf.DUMMYFUNCTION("vlookup($D623,IMPORTRANGE(""https://docs.google.com/spreadsheets/d/1swGwZOEqYlTEUCJLY-eeJM1911Kvaei5oySBIxdgtNo/edit?pli=1#gid=257618397"",""stock FAKTUR!B:G""),6,false)"),"CT-634DT")</f>
        <v>CT-634DT</v>
      </c>
      <c r="J623" s="120" t="str">
        <f t="shared" si="25"/>
        <v>ADA</v>
      </c>
      <c r="K623" s="142">
        <v>3.0</v>
      </c>
      <c r="L623" s="145" t="str">
        <f>IFERROR(__xludf.DUMMYFUNCTION("vlookup($D623,IMPORTRANGE(""https://docs.google.com/spreadsheets/d/1swGwZOEqYlTEUCJLY-eeJM1911Kvaei5oySBIxdgtNo/edit?pli=1#gid=257618397"",""stock FAKTUR!B:q""),16,false)"),"LSN")</f>
        <v>LSN</v>
      </c>
      <c r="M623" s="147">
        <v>49200.0</v>
      </c>
      <c r="N623" s="152">
        <v>0.125</v>
      </c>
      <c r="O623" s="147">
        <f t="shared" si="173"/>
        <v>129150</v>
      </c>
      <c r="P623" s="147" t="str">
        <f t="shared" si="3"/>
        <v>Rp49,200-3 LSN-12.50%</v>
      </c>
      <c r="Q623" s="149">
        <v>45420.0</v>
      </c>
      <c r="R623" s="150"/>
      <c r="S623" s="149">
        <v>45423.0</v>
      </c>
      <c r="T623" s="151"/>
      <c r="U623" s="151"/>
      <c r="V623" s="151"/>
      <c r="W623" s="151"/>
    </row>
    <row r="624">
      <c r="A624" s="142">
        <v>4731.0</v>
      </c>
      <c r="B624" s="143" t="str">
        <f t="shared" ref="B624:B630" si="185">IF(A624=A623,B623,"")</f>
        <v>H</v>
      </c>
      <c r="C624" s="143" t="str">
        <f t="shared" ref="C624:C630" si="186">IF(A624=A623,C623,"")</f>
        <v>TELADAN-TEGAL</v>
      </c>
      <c r="D624" s="190" t="s">
        <v>4643</v>
      </c>
      <c r="E624" s="145" t="str">
        <f>IFERROR(__xludf.DUMMYFUNCTION("vlookup(D624,IMPORTRANGE(""https://docs.google.com/spreadsheets/d/1swGwZOEqYlTEUCJLY-eeJM1911Kvaei5oySBIxdgtNo/edit?pli=1#gid=257618397"",""stock FAKTUR!B:C""),2,false)"),"TIPEX KENKO CT-903")</f>
        <v>TIPEX KENKO CT-903</v>
      </c>
      <c r="F624" s="53" t="str">
        <f>IFERROR(__xludf.DUMMYFUNCTION("vlookup($D624,IMPORTRANGE(""https://docs.google.com/spreadsheets/d/1swGwZOEqYlTEUCJLY-eeJM1911Kvaei5oySBIxdgtNo/edit?pli=1#gid=257618397"",""stock FAKTUR!B:d""),3,false)"),"")</f>
        <v/>
      </c>
      <c r="G624" s="53" t="str">
        <f>IFERROR(__xludf.DUMMYFUNCTION("vlookup($D624,IMPORTRANGE(""https://docs.google.com/spreadsheets/d/1swGwZOEqYlTEUCJLY-eeJM1911Kvaei5oySBIxdgtNo/edit?pli=1#gid=257618397"",""stock FAKTUR!B:e""),4,false)"),"")</f>
        <v/>
      </c>
      <c r="H624" s="53" t="str">
        <f>IFERROR(__xludf.DUMMYFUNCTION("vlookup($D624,IMPORTRANGE(""https://docs.google.com/spreadsheets/d/1swGwZOEqYlTEUCJLY-eeJM1911Kvaei5oySBIxdgtNo/edit?pli=1#gid=257618397"",""stock FAKTUR!B:F""),5,false)"),"KN")</f>
        <v>KN</v>
      </c>
      <c r="I624" s="53" t="str">
        <f>IFERROR(__xludf.DUMMYFUNCTION("vlookup($D624,IMPORTRANGE(""https://docs.google.com/spreadsheets/d/1swGwZOEqYlTEUCJLY-eeJM1911Kvaei5oySBIxdgtNo/edit?pli=1#gid=257618397"",""stock FAKTUR!B:G""),6,false)"),"CT-903")</f>
        <v>CT-903</v>
      </c>
      <c r="J624" s="120" t="str">
        <f t="shared" si="25"/>
        <v>ADA</v>
      </c>
      <c r="K624" s="142">
        <v>3.0</v>
      </c>
      <c r="L624" s="145" t="str">
        <f>IFERROR(__xludf.DUMMYFUNCTION("vlookup($D624,IMPORTRANGE(""https://docs.google.com/spreadsheets/d/1swGwZOEqYlTEUCJLY-eeJM1911Kvaei5oySBIxdgtNo/edit?pli=1#gid=257618397"",""stock FAKTUR!B:q""),16,false)"),"LSN")</f>
        <v>LSN</v>
      </c>
      <c r="M624" s="147">
        <v>63000.0</v>
      </c>
      <c r="N624" s="152">
        <v>0.125</v>
      </c>
      <c r="O624" s="147">
        <f t="shared" si="173"/>
        <v>165375</v>
      </c>
      <c r="P624" s="147" t="str">
        <f t="shared" si="3"/>
        <v>Rp63,000-3 LSN-12.50%</v>
      </c>
      <c r="Q624" s="149">
        <v>45420.0</v>
      </c>
      <c r="R624" s="150"/>
      <c r="S624" s="149">
        <v>45423.0</v>
      </c>
      <c r="T624" s="151"/>
      <c r="U624" s="151"/>
      <c r="V624" s="151"/>
      <c r="W624" s="151"/>
    </row>
    <row r="625">
      <c r="A625" s="142">
        <v>4731.0</v>
      </c>
      <c r="B625" s="143" t="str">
        <f t="shared" si="185"/>
        <v>H</v>
      </c>
      <c r="C625" s="143" t="str">
        <f t="shared" si="186"/>
        <v>TELADAN-TEGAL</v>
      </c>
      <c r="D625" s="145" t="s">
        <v>4557</v>
      </c>
      <c r="E625" s="145" t="str">
        <f>IFERROR(__xludf.DUMMYFUNCTION("vlookup(D625,IMPORTRANGE(""https://docs.google.com/spreadsheets/d/1swGwZOEqYlTEUCJLY-eeJM1911Kvaei5oySBIxdgtNo/edit?pli=1#gid=257618397"",""stock FAKTUR!B:C""),2,false)"),"TIPEX KENKO CT-902")</f>
        <v>TIPEX KENKO CT-902</v>
      </c>
      <c r="F625" s="53" t="str">
        <f>IFERROR(__xludf.DUMMYFUNCTION("vlookup($D625,IMPORTRANGE(""https://docs.google.com/spreadsheets/d/1swGwZOEqYlTEUCJLY-eeJM1911Kvaei5oySBIxdgtNo/edit?pli=1#gid=257618397"",""stock FAKTUR!B:d""),3,false)"),"")</f>
        <v/>
      </c>
      <c r="G625" s="53" t="str">
        <f>IFERROR(__xludf.DUMMYFUNCTION("vlookup($D625,IMPORTRANGE(""https://docs.google.com/spreadsheets/d/1swGwZOEqYlTEUCJLY-eeJM1911Kvaei5oySBIxdgtNo/edit?pli=1#gid=257618397"",""stock FAKTUR!B:e""),4,false)"),"")</f>
        <v/>
      </c>
      <c r="H625" s="53" t="str">
        <f>IFERROR(__xludf.DUMMYFUNCTION("vlookup($D625,IMPORTRANGE(""https://docs.google.com/spreadsheets/d/1swGwZOEqYlTEUCJLY-eeJM1911Kvaei5oySBIxdgtNo/edit?pli=1#gid=257618397"",""stock FAKTUR!B:F""),5,false)"),"KN")</f>
        <v>KN</v>
      </c>
      <c r="I625" s="53" t="str">
        <f>IFERROR(__xludf.DUMMYFUNCTION("vlookup($D625,IMPORTRANGE(""https://docs.google.com/spreadsheets/d/1swGwZOEqYlTEUCJLY-eeJM1911Kvaei5oySBIxdgtNo/edit?pli=1#gid=257618397"",""stock FAKTUR!B:G""),6,false)"),"CT-902")</f>
        <v>CT-902</v>
      </c>
      <c r="J625" s="120" t="str">
        <f t="shared" si="25"/>
        <v>ADA</v>
      </c>
      <c r="K625" s="142">
        <v>3.0</v>
      </c>
      <c r="L625" s="145" t="str">
        <f>IFERROR(__xludf.DUMMYFUNCTION("vlookup($D625,IMPORTRANGE(""https://docs.google.com/spreadsheets/d/1swGwZOEqYlTEUCJLY-eeJM1911Kvaei5oySBIxdgtNo/edit?pli=1#gid=257618397"",""stock FAKTUR!B:q""),16,false)"),"LSN")</f>
        <v>LSN</v>
      </c>
      <c r="M625" s="147">
        <v>54000.0</v>
      </c>
      <c r="N625" s="152">
        <v>0.125</v>
      </c>
      <c r="O625" s="147">
        <f t="shared" si="173"/>
        <v>141750</v>
      </c>
      <c r="P625" s="147" t="str">
        <f t="shared" si="3"/>
        <v>Rp54,000-3 LSN-12.50%</v>
      </c>
      <c r="Q625" s="149">
        <v>45420.0</v>
      </c>
      <c r="R625" s="150"/>
      <c r="S625" s="149">
        <v>45423.0</v>
      </c>
      <c r="T625" s="151"/>
      <c r="U625" s="151"/>
      <c r="V625" s="151"/>
      <c r="W625" s="151"/>
    </row>
    <row r="626">
      <c r="A626" s="142">
        <v>4731.0</v>
      </c>
      <c r="B626" s="143" t="str">
        <f t="shared" si="185"/>
        <v>H</v>
      </c>
      <c r="C626" s="143" t="str">
        <f t="shared" si="186"/>
        <v>TELADAN-TEGAL</v>
      </c>
      <c r="D626" s="145" t="s">
        <v>4712</v>
      </c>
      <c r="E626" s="145" t="str">
        <f>IFERROR(__xludf.DUMMYFUNCTION("vlookup(D626,IMPORTRANGE(""https://docs.google.com/spreadsheets/d/1swGwZOEqYlTEUCJLY-eeJM1911Kvaei5oySBIxdgtNo/edit?pli=1#gid=257618397"",""stock FAKTUR!B:C""),2,false)"),"TIPEX KENKO CT-919")</f>
        <v>TIPEX KENKO CT-919</v>
      </c>
      <c r="F626" s="53" t="str">
        <f>IFERROR(__xludf.DUMMYFUNCTION("vlookup($D626,IMPORTRANGE(""https://docs.google.com/spreadsheets/d/1swGwZOEqYlTEUCJLY-eeJM1911Kvaei5oySBIxdgtNo/edit?pli=1#gid=257618397"",""stock FAKTUR!B:d""),3,false)"),"")</f>
        <v/>
      </c>
      <c r="G626" s="53" t="str">
        <f>IFERROR(__xludf.DUMMYFUNCTION("vlookup($D626,IMPORTRANGE(""https://docs.google.com/spreadsheets/d/1swGwZOEqYlTEUCJLY-eeJM1911Kvaei5oySBIxdgtNo/edit?pli=1#gid=257618397"",""stock FAKTUR!B:e""),4,false)"),"")</f>
        <v/>
      </c>
      <c r="H626" s="53" t="str">
        <f>IFERROR(__xludf.DUMMYFUNCTION("vlookup($D626,IMPORTRANGE(""https://docs.google.com/spreadsheets/d/1swGwZOEqYlTEUCJLY-eeJM1911Kvaei5oySBIxdgtNo/edit?pli=1#gid=257618397"",""stock FAKTUR!B:F""),5,false)"),"KN")</f>
        <v>KN</v>
      </c>
      <c r="I626" s="53" t="str">
        <f>IFERROR(__xludf.DUMMYFUNCTION("vlookup($D626,IMPORTRANGE(""https://docs.google.com/spreadsheets/d/1swGwZOEqYlTEUCJLY-eeJM1911Kvaei5oySBIxdgtNo/edit?pli=1#gid=257618397"",""stock FAKTUR!B:G""),6,false)"),"CT-919")</f>
        <v>CT-919</v>
      </c>
      <c r="J626" s="120" t="str">
        <f t="shared" si="25"/>
        <v>ADA</v>
      </c>
      <c r="K626" s="142">
        <v>3.0</v>
      </c>
      <c r="L626" s="145" t="str">
        <f>IFERROR(__xludf.DUMMYFUNCTION("vlookup($D626,IMPORTRANGE(""https://docs.google.com/spreadsheets/d/1swGwZOEqYlTEUCJLY-eeJM1911Kvaei5oySBIxdgtNo/edit?pli=1#gid=257618397"",""stock FAKTUR!B:q""),16,false)"),"LSN")</f>
        <v>LSN</v>
      </c>
      <c r="M626" s="147">
        <v>55800.0</v>
      </c>
      <c r="N626" s="152">
        <v>0.125</v>
      </c>
      <c r="O626" s="147">
        <f t="shared" si="173"/>
        <v>146475</v>
      </c>
      <c r="P626" s="147" t="str">
        <f t="shared" si="3"/>
        <v>Rp55,800-3 LSN-12.50%</v>
      </c>
      <c r="Q626" s="149">
        <v>45420.0</v>
      </c>
      <c r="R626" s="150"/>
      <c r="S626" s="149">
        <v>45423.0</v>
      </c>
      <c r="T626" s="151"/>
      <c r="U626" s="151"/>
      <c r="V626" s="151"/>
      <c r="W626" s="151"/>
    </row>
    <row r="627">
      <c r="A627" s="142">
        <v>4731.0</v>
      </c>
      <c r="B627" s="143" t="str">
        <f t="shared" si="185"/>
        <v>H</v>
      </c>
      <c r="C627" s="143" t="str">
        <f t="shared" si="186"/>
        <v>TELADAN-TEGAL</v>
      </c>
      <c r="D627" s="145" t="s">
        <v>4713</v>
      </c>
      <c r="E627" s="145" t="str">
        <f>IFERROR(__xludf.DUMMYFUNCTION("vlookup(D627,IMPORTRANGE(""https://docs.google.com/spreadsheets/d/1swGwZOEqYlTEUCJLY-eeJM1911Kvaei5oySBIxdgtNo/edit?pli=1#gid=257618397"",""stock FAKTUR!B:C""),2,false)"),"TIPEX KENKO CT-906")</f>
        <v>TIPEX KENKO CT-906</v>
      </c>
      <c r="F627" s="53" t="str">
        <f>IFERROR(__xludf.DUMMYFUNCTION("vlookup($D627,IMPORTRANGE(""https://docs.google.com/spreadsheets/d/1swGwZOEqYlTEUCJLY-eeJM1911Kvaei5oySBIxdgtNo/edit?pli=1#gid=257618397"",""stock FAKTUR!B:d""),3,false)"),"")</f>
        <v/>
      </c>
      <c r="G627" s="53" t="str">
        <f>IFERROR(__xludf.DUMMYFUNCTION("vlookup($D627,IMPORTRANGE(""https://docs.google.com/spreadsheets/d/1swGwZOEqYlTEUCJLY-eeJM1911Kvaei5oySBIxdgtNo/edit?pli=1#gid=257618397"",""stock FAKTUR!B:e""),4,false)"),"")</f>
        <v/>
      </c>
      <c r="H627" s="53" t="str">
        <f>IFERROR(__xludf.DUMMYFUNCTION("vlookup($D627,IMPORTRANGE(""https://docs.google.com/spreadsheets/d/1swGwZOEqYlTEUCJLY-eeJM1911Kvaei5oySBIxdgtNo/edit?pli=1#gid=257618397"",""stock FAKTUR!B:F""),5,false)"),"KN")</f>
        <v>KN</v>
      </c>
      <c r="I627" s="53" t="str">
        <f>IFERROR(__xludf.DUMMYFUNCTION("vlookup($D627,IMPORTRANGE(""https://docs.google.com/spreadsheets/d/1swGwZOEqYlTEUCJLY-eeJM1911Kvaei5oySBIxdgtNo/edit?pli=1#gid=257618397"",""stock FAKTUR!B:G""),6,false)"),"CT-906")</f>
        <v>CT-906</v>
      </c>
      <c r="J627" s="120" t="str">
        <f t="shared" si="25"/>
        <v>ADA</v>
      </c>
      <c r="K627" s="142">
        <v>3.0</v>
      </c>
      <c r="L627" s="145" t="str">
        <f>IFERROR(__xludf.DUMMYFUNCTION("vlookup($D627,IMPORTRANGE(""https://docs.google.com/spreadsheets/d/1swGwZOEqYlTEUCJLY-eeJM1911Kvaei5oySBIxdgtNo/edit?pli=1#gid=257618397"",""stock FAKTUR!B:q""),16,false)"),"LSN")</f>
        <v>LSN</v>
      </c>
      <c r="M627" s="147">
        <v>62400.0</v>
      </c>
      <c r="N627" s="152">
        <v>0.125</v>
      </c>
      <c r="O627" s="147">
        <f t="shared" si="173"/>
        <v>163800</v>
      </c>
      <c r="P627" s="147" t="str">
        <f t="shared" si="3"/>
        <v>Rp62,400-3 LSN-12.50%</v>
      </c>
      <c r="Q627" s="149">
        <v>45420.0</v>
      </c>
      <c r="R627" s="150"/>
      <c r="S627" s="149">
        <v>45423.0</v>
      </c>
      <c r="T627" s="151"/>
      <c r="U627" s="151"/>
      <c r="V627" s="151"/>
      <c r="W627" s="151"/>
    </row>
    <row r="628">
      <c r="A628" s="142">
        <v>4731.0</v>
      </c>
      <c r="B628" s="143" t="str">
        <f t="shared" si="185"/>
        <v>H</v>
      </c>
      <c r="C628" s="143" t="str">
        <f t="shared" si="186"/>
        <v>TELADAN-TEGAL</v>
      </c>
      <c r="D628" s="193" t="s">
        <v>4475</v>
      </c>
      <c r="E628" s="145" t="str">
        <f>IFERROR(__xludf.DUMMYFUNCTION("vlookup(D628,IMPORTRANGE(""https://docs.google.com/spreadsheets/d/1swGwZOEqYlTEUCJLY-eeJM1911Kvaei5oySBIxdgtNo/edit?pli=1#gid=257618397"",""stock FAKTUR!B:C""),2,false)"),"CALCULATOR JK CC-8 A")</f>
        <v>CALCULATOR JK CC-8 A</v>
      </c>
      <c r="F628" s="53" t="str">
        <f>IFERROR(__xludf.DUMMYFUNCTION("vlookup($D628,IMPORTRANGE(""https://docs.google.com/spreadsheets/d/1swGwZOEqYlTEUCJLY-eeJM1911Kvaei5oySBIxdgtNo/edit?pli=1#gid=257618397"",""stock FAKTUR!B:d""),3,false)"),"")</f>
        <v/>
      </c>
      <c r="G628" s="53" t="str">
        <f>IFERROR(__xludf.DUMMYFUNCTION("vlookup($D628,IMPORTRANGE(""https://docs.google.com/spreadsheets/d/1swGwZOEqYlTEUCJLY-eeJM1911Kvaei5oySBIxdgtNo/edit?pli=1#gid=257618397"",""stock FAKTUR!B:e""),4,false)"),"")</f>
        <v/>
      </c>
      <c r="H628" s="53" t="str">
        <f>IFERROR(__xludf.DUMMYFUNCTION("vlookup($D628,IMPORTRANGE(""https://docs.google.com/spreadsheets/d/1swGwZOEqYlTEUCJLY-eeJM1911Kvaei5oySBIxdgtNo/edit?pli=1#gid=257618397"",""stock FAKTUR!B:F""),5,false)"),"JK")</f>
        <v>JK</v>
      </c>
      <c r="I628" s="53" t="str">
        <f>IFERROR(__xludf.DUMMYFUNCTION("vlookup($D628,IMPORTRANGE(""https://docs.google.com/spreadsheets/d/1swGwZOEqYlTEUCJLY-eeJM1911Kvaei5oySBIxdgtNo/edit?pli=1#gid=257618397"",""stock FAKTUR!B:G""),6,false)"),"CC-8A")</f>
        <v>CC-8A</v>
      </c>
      <c r="J628" s="120" t="str">
        <f t="shared" si="25"/>
        <v>ADA</v>
      </c>
      <c r="K628" s="142">
        <v>20.0</v>
      </c>
      <c r="L628" s="145" t="str">
        <f>IFERROR(__xludf.DUMMYFUNCTION("vlookup($D628,IMPORTRANGE(""https://docs.google.com/spreadsheets/d/1swGwZOEqYlTEUCJLY-eeJM1911Kvaei5oySBIxdgtNo/edit?pli=1#gid=257618397"",""stock FAKTUR!B:q""),16,false)"),"PCS")</f>
        <v>PCS</v>
      </c>
      <c r="M628" s="147">
        <v>38000.0</v>
      </c>
      <c r="N628" s="152">
        <v>0.125</v>
      </c>
      <c r="O628" s="147">
        <f t="shared" si="173"/>
        <v>665000</v>
      </c>
      <c r="P628" s="147" t="str">
        <f t="shared" si="3"/>
        <v>Rp38,000-20 PCS-12.50%</v>
      </c>
      <c r="Q628" s="149">
        <v>45420.0</v>
      </c>
      <c r="R628" s="150"/>
      <c r="S628" s="149">
        <v>45423.0</v>
      </c>
      <c r="T628" s="194" t="s">
        <v>4661</v>
      </c>
      <c r="U628" s="192" t="s">
        <v>4390</v>
      </c>
      <c r="V628" s="151"/>
      <c r="W628" s="159"/>
    </row>
    <row r="629">
      <c r="A629" s="142">
        <v>4731.0</v>
      </c>
      <c r="B629" s="143" t="str">
        <f t="shared" si="185"/>
        <v>H</v>
      </c>
      <c r="C629" s="143" t="str">
        <f t="shared" si="186"/>
        <v>TELADAN-TEGAL</v>
      </c>
      <c r="D629" s="190" t="s">
        <v>4649</v>
      </c>
      <c r="E629" s="145" t="str">
        <f>IFERROR(__xludf.DUMMYFUNCTION("vlookup(D629,IMPORTRANGE(""https://docs.google.com/spreadsheets/d/1swGwZOEqYlTEUCJLY-eeJM1911Kvaei5oySBIxdgtNo/edit?pli=1#gid=257618397"",""stock FAKTUR!B:C""),2,false)"),"CALCULATOR JK CC-41")</f>
        <v>CALCULATOR JK CC-41</v>
      </c>
      <c r="F629" s="53" t="str">
        <f>IFERROR(__xludf.DUMMYFUNCTION("vlookup($D629,IMPORTRANGE(""https://docs.google.com/spreadsheets/d/1swGwZOEqYlTEUCJLY-eeJM1911Kvaei5oySBIxdgtNo/edit?pli=1#gid=257618397"",""stock FAKTUR!B:d""),3,false)"),"")</f>
        <v/>
      </c>
      <c r="G629" s="53" t="str">
        <f>IFERROR(__xludf.DUMMYFUNCTION("vlookup($D629,IMPORTRANGE(""https://docs.google.com/spreadsheets/d/1swGwZOEqYlTEUCJLY-eeJM1911Kvaei5oySBIxdgtNo/edit?pli=1#gid=257618397"",""stock FAKTUR!B:e""),4,false)"),"")</f>
        <v/>
      </c>
      <c r="H629" s="53" t="str">
        <f>IFERROR(__xludf.DUMMYFUNCTION("vlookup($D629,IMPORTRANGE(""https://docs.google.com/spreadsheets/d/1swGwZOEqYlTEUCJLY-eeJM1911Kvaei5oySBIxdgtNo/edit?pli=1#gid=257618397"",""stock FAKTUR!B:F""),5,false)"),"JK")</f>
        <v>JK</v>
      </c>
      <c r="I629" s="53" t="str">
        <f>IFERROR(__xludf.DUMMYFUNCTION("vlookup($D629,IMPORTRANGE(""https://docs.google.com/spreadsheets/d/1swGwZOEqYlTEUCJLY-eeJM1911Kvaei5oySBIxdgtNo/edit?pli=1#gid=257618397"",""stock FAKTUR!B:G""),6,false)"),"CC-41")</f>
        <v>CC-41</v>
      </c>
      <c r="J629" s="120" t="str">
        <f t="shared" si="25"/>
        <v>ADA</v>
      </c>
      <c r="K629" s="142">
        <v>9.0</v>
      </c>
      <c r="L629" s="145" t="str">
        <f>IFERROR(__xludf.DUMMYFUNCTION("vlookup($D629,IMPORTRANGE(""https://docs.google.com/spreadsheets/d/1swGwZOEqYlTEUCJLY-eeJM1911Kvaei5oySBIxdgtNo/edit?pli=1#gid=257618397"",""stock FAKTUR!B:q""),16,false)"),"PCS")</f>
        <v>PCS</v>
      </c>
      <c r="M629" s="147">
        <v>74000.0</v>
      </c>
      <c r="N629" s="152">
        <v>0.125</v>
      </c>
      <c r="O629" s="147">
        <f t="shared" si="173"/>
        <v>582750</v>
      </c>
      <c r="P629" s="147" t="str">
        <f t="shared" si="3"/>
        <v>Rp74,000-9 PCS-12.50%</v>
      </c>
      <c r="Q629" s="149">
        <v>45420.0</v>
      </c>
      <c r="R629" s="150"/>
      <c r="S629" s="149">
        <v>45423.0</v>
      </c>
      <c r="T629" s="151"/>
      <c r="U629" s="151"/>
      <c r="V629" s="151"/>
      <c r="W629" s="151"/>
    </row>
    <row r="630">
      <c r="A630" s="142">
        <v>4731.0</v>
      </c>
      <c r="B630" s="143" t="str">
        <f t="shared" si="185"/>
        <v>H</v>
      </c>
      <c r="C630" s="143" t="str">
        <f t="shared" si="186"/>
        <v>TELADAN-TEGAL</v>
      </c>
      <c r="D630" s="145" t="s">
        <v>4714</v>
      </c>
      <c r="E630" s="145" t="str">
        <f>IFERROR(__xludf.DUMMYFUNCTION("vlookup(D630,IMPORTRANGE(""https://docs.google.com/spreadsheets/d/1swGwZOEqYlTEUCJLY-eeJM1911Kvaei5oySBIxdgtNo/edit?pli=1#gid=257618397"",""stock FAKTUR!B:C""),2,false)"),"CALCULATOR JK CC-47 CO")</f>
        <v>CALCULATOR JK CC-47 CO</v>
      </c>
      <c r="F630" s="53" t="str">
        <f>IFERROR(__xludf.DUMMYFUNCTION("vlookup($D630,IMPORTRANGE(""https://docs.google.com/spreadsheets/d/1swGwZOEqYlTEUCJLY-eeJM1911Kvaei5oySBIxdgtNo/edit?pli=1#gid=257618397"",""stock FAKTUR!B:d""),3,false)"),"")</f>
        <v/>
      </c>
      <c r="G630" s="53" t="str">
        <f>IFERROR(__xludf.DUMMYFUNCTION("vlookup($D630,IMPORTRANGE(""https://docs.google.com/spreadsheets/d/1swGwZOEqYlTEUCJLY-eeJM1911Kvaei5oySBIxdgtNo/edit?pli=1#gid=257618397"",""stock FAKTUR!B:e""),4,false)"),"")</f>
        <v/>
      </c>
      <c r="H630" s="53" t="str">
        <f>IFERROR(__xludf.DUMMYFUNCTION("vlookup($D630,IMPORTRANGE(""https://docs.google.com/spreadsheets/d/1swGwZOEqYlTEUCJLY-eeJM1911Kvaei5oySBIxdgtNo/edit?pli=1#gid=257618397"",""stock FAKTUR!B:F""),5,false)"),"JK")</f>
        <v>JK</v>
      </c>
      <c r="I630" s="53" t="str">
        <f>IFERROR(__xludf.DUMMYFUNCTION("vlookup($D630,IMPORTRANGE(""https://docs.google.com/spreadsheets/d/1swGwZOEqYlTEUCJLY-eeJM1911Kvaei5oySBIxdgtNo/edit?pli=1#gid=257618397"",""stock FAKTUR!B:G""),6,false)"),"")</f>
        <v/>
      </c>
      <c r="J630" s="120" t="str">
        <f t="shared" si="25"/>
        <v>ADA</v>
      </c>
      <c r="K630" s="142">
        <v>20.0</v>
      </c>
      <c r="L630" s="145" t="str">
        <f>IFERROR(__xludf.DUMMYFUNCTION("vlookup($D630,IMPORTRANGE(""https://docs.google.com/spreadsheets/d/1swGwZOEqYlTEUCJLY-eeJM1911Kvaei5oySBIxdgtNo/edit?pli=1#gid=257618397"",""stock FAKTUR!B:q""),16,false)"),"PCS")</f>
        <v>PCS</v>
      </c>
      <c r="M630" s="147">
        <v>32500.0</v>
      </c>
      <c r="N630" s="152">
        <v>0.125</v>
      </c>
      <c r="O630" s="147">
        <f t="shared" si="173"/>
        <v>568750</v>
      </c>
      <c r="P630" s="147" t="str">
        <f t="shared" si="3"/>
        <v>Rp32,500-20 PCS-12.50%</v>
      </c>
      <c r="Q630" s="149">
        <v>45420.0</v>
      </c>
      <c r="R630" s="150"/>
      <c r="S630" s="149">
        <v>45423.0</v>
      </c>
      <c r="T630" s="151"/>
      <c r="U630" s="151"/>
      <c r="V630" s="151"/>
      <c r="W630" s="151"/>
    </row>
    <row r="631">
      <c r="A631" s="142">
        <v>4804.0</v>
      </c>
      <c r="B631" s="143" t="s">
        <v>33</v>
      </c>
      <c r="C631" s="196" t="s">
        <v>3052</v>
      </c>
      <c r="D631" s="21" t="s">
        <v>4715</v>
      </c>
      <c r="E631" s="145" t="str">
        <f>IFERROR(__xludf.DUMMYFUNCTION("vlookup(D631,IMPORTRANGE(""https://docs.google.com/spreadsheets/d/1swGwZOEqYlTEUCJLY-eeJM1911Kvaei5oySBIxdgtNo/edit?pli=1#gid=257618397"",""stock FAKTUR!B:C""),2,false)"),"PC MAGNIT FY-6823")</f>
        <v>PC MAGNIT FY-6823</v>
      </c>
      <c r="F631" s="53" t="str">
        <f>IFERROR(__xludf.DUMMYFUNCTION("vlookup($D631,IMPORTRANGE(""https://docs.google.com/spreadsheets/d/1swGwZOEqYlTEUCJLY-eeJM1911Kvaei5oySBIxdgtNo/edit?pli=1#gid=257618397"",""stock FAKTUR!B:d""),3,false)"),"")</f>
        <v/>
      </c>
      <c r="G631" s="53" t="str">
        <f>IFERROR(__xludf.DUMMYFUNCTION("vlookup($D631,IMPORTRANGE(""https://docs.google.com/spreadsheets/d/1swGwZOEqYlTEUCJLY-eeJM1911Kvaei5oySBIxdgtNo/edit?pli=1#gid=257618397"",""stock FAKTUR!B:e""),4,false)"),"")</f>
        <v/>
      </c>
      <c r="H631" s="53" t="str">
        <f>IFERROR(__xludf.DUMMYFUNCTION("vlookup($D631,IMPORTRANGE(""https://docs.google.com/spreadsheets/d/1swGwZOEqYlTEUCJLY-eeJM1911Kvaei5oySBIxdgtNo/edit?pli=1#gid=257618397"",""stock FAKTUR!B:F""),5,false)"),"NB")</f>
        <v>NB</v>
      </c>
      <c r="I631" s="53" t="str">
        <f>IFERROR(__xludf.DUMMYFUNCTION("vlookup($D631,IMPORTRANGE(""https://docs.google.com/spreadsheets/d/1swGwZOEqYlTEUCJLY-eeJM1911Kvaei5oySBIxdgtNo/edit?pli=1#gid=257618397"",""stock FAKTUR!B:G""),6,false)"),"FY-6823")</f>
        <v>FY-6823</v>
      </c>
      <c r="J631" s="120" t="str">
        <f t="shared" si="25"/>
        <v>ADA</v>
      </c>
      <c r="K631" s="142">
        <f t="shared" ref="K631:K638" si="187">1*12</f>
        <v>12</v>
      </c>
      <c r="L631" s="145" t="str">
        <f>IFERROR(__xludf.DUMMYFUNCTION("vlookup($D631,IMPORTRANGE(""https://docs.google.com/spreadsheets/d/1swGwZOEqYlTEUCJLY-eeJM1911Kvaei5oySBIxdgtNo/edit?pli=1#gid=257618397"",""stock FAKTUR!B:q""),16,false)"),"PCS")</f>
        <v>PCS</v>
      </c>
      <c r="M631" s="147">
        <f>200000/12</f>
        <v>16666.66667</v>
      </c>
      <c r="N631" s="148"/>
      <c r="O631" s="147">
        <f t="shared" si="173"/>
        <v>200000</v>
      </c>
      <c r="P631" s="147" t="str">
        <f t="shared" si="3"/>
        <v>Rp16,667-12 PCS-0.00%</v>
      </c>
      <c r="Q631" s="149">
        <v>45420.0</v>
      </c>
      <c r="R631" s="150"/>
      <c r="S631" s="149">
        <v>45423.0</v>
      </c>
      <c r="T631" s="194" t="s">
        <v>4661</v>
      </c>
      <c r="U631" s="192" t="s">
        <v>4716</v>
      </c>
      <c r="V631" s="151"/>
      <c r="W631" s="159"/>
    </row>
    <row r="632">
      <c r="A632" s="142">
        <v>4804.0</v>
      </c>
      <c r="B632" s="143" t="str">
        <f t="shared" ref="B632:B639" si="188">IF(A632=A631,B631,"")</f>
        <v>H</v>
      </c>
      <c r="C632" s="143" t="str">
        <f t="shared" ref="C632:C639" si="189">IF(A632=A631,C631,"")</f>
        <v>CV SINAR CAHAYA NIRMALA-BREBES</v>
      </c>
      <c r="D632" s="145" t="s">
        <v>4412</v>
      </c>
      <c r="E632" s="145" t="str">
        <f>IFERROR(__xludf.DUMMYFUNCTION("vlookup(D632,IMPORTRANGE(""https://docs.google.com/spreadsheets/d/1swGwZOEqYlTEUCJLY-eeJM1911Kvaei5oySBIxdgtNo/edit?pli=1#gid=257618397"",""stock FAKTUR!B:C""),2,false)"),"PC MAGNIT C-2755-1 (22X7.5)")</f>
        <v>PC MAGNIT C-2755-1 (22X7.5)</v>
      </c>
      <c r="F632" s="53" t="str">
        <f>IFERROR(__xludf.DUMMYFUNCTION("vlookup($D632,IMPORTRANGE(""https://docs.google.com/spreadsheets/d/1swGwZOEqYlTEUCJLY-eeJM1911Kvaei5oySBIxdgtNo/edit?pli=1#gid=257618397"",""stock FAKTUR!B:d""),3,false)"),"")</f>
        <v/>
      </c>
      <c r="G632" s="53" t="str">
        <f>IFERROR(__xludf.DUMMYFUNCTION("vlookup($D632,IMPORTRANGE(""https://docs.google.com/spreadsheets/d/1swGwZOEqYlTEUCJLY-eeJM1911Kvaei5oySBIxdgtNo/edit?pli=1#gid=257618397"",""stock FAKTUR!B:e""),4,false)"),"")</f>
        <v/>
      </c>
      <c r="H632" s="53" t="str">
        <f>IFERROR(__xludf.DUMMYFUNCTION("vlookup($D632,IMPORTRANGE(""https://docs.google.com/spreadsheets/d/1swGwZOEqYlTEUCJLY-eeJM1911Kvaei5oySBIxdgtNo/edit?pli=1#gid=257618397"",""stock FAKTUR!B:F""),5,false)"),"NB")</f>
        <v>NB</v>
      </c>
      <c r="I632" s="53" t="str">
        <f>IFERROR(__xludf.DUMMYFUNCTION("vlookup($D632,IMPORTRANGE(""https://docs.google.com/spreadsheets/d/1swGwZOEqYlTEUCJLY-eeJM1911Kvaei5oySBIxdgtNo/edit?pli=1#gid=257618397"",""stock FAKTUR!B:G""),6,false)"),"")</f>
        <v/>
      </c>
      <c r="J632" s="120" t="str">
        <f t="shared" si="25"/>
        <v>ADA</v>
      </c>
      <c r="K632" s="142">
        <f t="shared" si="187"/>
        <v>12</v>
      </c>
      <c r="L632" s="145" t="str">
        <f>IFERROR(__xludf.DUMMYFUNCTION("vlookup($D632,IMPORTRANGE(""https://docs.google.com/spreadsheets/d/1swGwZOEqYlTEUCJLY-eeJM1911Kvaei5oySBIxdgtNo/edit?pli=1#gid=257618397"",""stock FAKTUR!B:q""),16,false)"),"PCS")</f>
        <v>PCS</v>
      </c>
      <c r="M632" s="147">
        <f t="shared" ref="M632:M634" si="190">175000/12</f>
        <v>14583.33333</v>
      </c>
      <c r="N632" s="148"/>
      <c r="O632" s="147">
        <f t="shared" si="173"/>
        <v>175000</v>
      </c>
      <c r="P632" s="147" t="str">
        <f t="shared" si="3"/>
        <v>Rp14,583-12 PCS-0.00%</v>
      </c>
      <c r="Q632" s="149">
        <v>45420.0</v>
      </c>
      <c r="R632" s="150"/>
      <c r="S632" s="149">
        <v>45423.0</v>
      </c>
      <c r="T632" s="151"/>
      <c r="U632" s="151"/>
      <c r="V632" s="151"/>
      <c r="W632" s="151"/>
    </row>
    <row r="633">
      <c r="A633" s="142">
        <v>4804.0</v>
      </c>
      <c r="B633" s="143" t="str">
        <f t="shared" si="188"/>
        <v>H</v>
      </c>
      <c r="C633" s="143" t="str">
        <f t="shared" si="189"/>
        <v>CV SINAR CAHAYA NIRMALA-BREBES</v>
      </c>
      <c r="D633" s="145" t="s">
        <v>4524</v>
      </c>
      <c r="E633" s="145" t="str">
        <f>IFERROR(__xludf.DUMMYFUNCTION("vlookup(D633,IMPORTRANGE(""https://docs.google.com/spreadsheets/d/1swGwZOEqYlTEUCJLY-eeJM1911Kvaei5oySBIxdgtNo/edit?pli=1#gid=257618397"",""stock FAKTUR!B:C""),2,false)"),"PC MAGNIT FY-6822 (22X7.5)")</f>
        <v>PC MAGNIT FY-6822 (22X7.5)</v>
      </c>
      <c r="F633" s="53" t="str">
        <f>IFERROR(__xludf.DUMMYFUNCTION("vlookup($D633,IMPORTRANGE(""https://docs.google.com/spreadsheets/d/1swGwZOEqYlTEUCJLY-eeJM1911Kvaei5oySBIxdgtNo/edit?pli=1#gid=257618397"",""stock FAKTUR!B:d""),3,false)"),"")</f>
        <v/>
      </c>
      <c r="G633" s="53" t="str">
        <f>IFERROR(__xludf.DUMMYFUNCTION("vlookup($D633,IMPORTRANGE(""https://docs.google.com/spreadsheets/d/1swGwZOEqYlTEUCJLY-eeJM1911Kvaei5oySBIxdgtNo/edit?pli=1#gid=257618397"",""stock FAKTUR!B:e""),4,false)"),"")</f>
        <v/>
      </c>
      <c r="H633" s="53" t="str">
        <f>IFERROR(__xludf.DUMMYFUNCTION("vlookup($D633,IMPORTRANGE(""https://docs.google.com/spreadsheets/d/1swGwZOEqYlTEUCJLY-eeJM1911Kvaei5oySBIxdgtNo/edit?pli=1#gid=257618397"",""stock FAKTUR!B:F""),5,false)"),"NB")</f>
        <v>NB</v>
      </c>
      <c r="I633" s="53" t="str">
        <f>IFERROR(__xludf.DUMMYFUNCTION("vlookup($D633,IMPORTRANGE(""https://docs.google.com/spreadsheets/d/1swGwZOEqYlTEUCJLY-eeJM1911Kvaei5oySBIxdgtNo/edit?pli=1#gid=257618397"",""stock FAKTUR!B:G""),6,false)"),"")</f>
        <v/>
      </c>
      <c r="J633" s="120" t="str">
        <f t="shared" si="25"/>
        <v>ADA</v>
      </c>
      <c r="K633" s="142">
        <f t="shared" si="187"/>
        <v>12</v>
      </c>
      <c r="L633" s="145" t="str">
        <f>IFERROR(__xludf.DUMMYFUNCTION("vlookup($D633,IMPORTRANGE(""https://docs.google.com/spreadsheets/d/1swGwZOEqYlTEUCJLY-eeJM1911Kvaei5oySBIxdgtNo/edit?pli=1#gid=257618397"",""stock FAKTUR!B:q""),16,false)"),"PCS")</f>
        <v>PCS</v>
      </c>
      <c r="M633" s="147">
        <f t="shared" si="190"/>
        <v>14583.33333</v>
      </c>
      <c r="N633" s="148"/>
      <c r="O633" s="147">
        <f t="shared" si="173"/>
        <v>175000</v>
      </c>
      <c r="P633" s="147" t="str">
        <f t="shared" si="3"/>
        <v>Rp14,583-12 PCS-0.00%</v>
      </c>
      <c r="Q633" s="149">
        <v>45420.0</v>
      </c>
      <c r="R633" s="150"/>
      <c r="S633" s="149">
        <v>45423.0</v>
      </c>
      <c r="T633" s="151"/>
      <c r="U633" s="151"/>
      <c r="V633" s="151"/>
      <c r="W633" s="151"/>
    </row>
    <row r="634">
      <c r="A634" s="142">
        <v>4804.0</v>
      </c>
      <c r="B634" s="143" t="str">
        <f t="shared" si="188"/>
        <v>H</v>
      </c>
      <c r="C634" s="143" t="str">
        <f t="shared" si="189"/>
        <v>CV SINAR CAHAYA NIRMALA-BREBES</v>
      </c>
      <c r="D634" s="145" t="s">
        <v>4717</v>
      </c>
      <c r="E634" s="145" t="str">
        <f>IFERROR(__xludf.DUMMYFUNCTION("vlookup(D634,IMPORTRANGE(""https://docs.google.com/spreadsheets/d/1swGwZOEqYlTEUCJLY-eeJM1911Kvaei5oySBIxdgtNo/edit?pli=1#gid=257618397"",""stock FAKTUR!B:C""),2,false)"),"PC MAGNIT JH-220 A (22X8.5)")</f>
        <v>PC MAGNIT JH-220 A (22X8.5)</v>
      </c>
      <c r="F634" s="53" t="str">
        <f>IFERROR(__xludf.DUMMYFUNCTION("vlookup($D634,IMPORTRANGE(""https://docs.google.com/spreadsheets/d/1swGwZOEqYlTEUCJLY-eeJM1911Kvaei5oySBIxdgtNo/edit?pli=1#gid=257618397"",""stock FAKTUR!B:d""),3,false)"),"")</f>
        <v/>
      </c>
      <c r="G634" s="53" t="str">
        <f>IFERROR(__xludf.DUMMYFUNCTION("vlookup($D634,IMPORTRANGE(""https://docs.google.com/spreadsheets/d/1swGwZOEqYlTEUCJLY-eeJM1911Kvaei5oySBIxdgtNo/edit?pli=1#gid=257618397"",""stock FAKTUR!B:e""),4,false)"),"")</f>
        <v/>
      </c>
      <c r="H634" s="53" t="str">
        <f>IFERROR(__xludf.DUMMYFUNCTION("vlookup($D634,IMPORTRANGE(""https://docs.google.com/spreadsheets/d/1swGwZOEqYlTEUCJLY-eeJM1911Kvaei5oySBIxdgtNo/edit?pli=1#gid=257618397"",""stock FAKTUR!B:F""),5,false)"),"NB")</f>
        <v>NB</v>
      </c>
      <c r="I634" s="53" t="str">
        <f>IFERROR(__xludf.DUMMYFUNCTION("vlookup($D634,IMPORTRANGE(""https://docs.google.com/spreadsheets/d/1swGwZOEqYlTEUCJLY-eeJM1911Kvaei5oySBIxdgtNo/edit?pli=1#gid=257618397"",""stock FAKTUR!B:G""),6,false)"),"")</f>
        <v/>
      </c>
      <c r="J634" s="120" t="str">
        <f t="shared" si="25"/>
        <v>ADA</v>
      </c>
      <c r="K634" s="142">
        <f t="shared" si="187"/>
        <v>12</v>
      </c>
      <c r="L634" s="145" t="str">
        <f>IFERROR(__xludf.DUMMYFUNCTION("vlookup($D634,IMPORTRANGE(""https://docs.google.com/spreadsheets/d/1swGwZOEqYlTEUCJLY-eeJM1911Kvaei5oySBIxdgtNo/edit?pli=1#gid=257618397"",""stock FAKTUR!B:q""),16,false)"),"PCS")</f>
        <v>PCS</v>
      </c>
      <c r="M634" s="147">
        <f t="shared" si="190"/>
        <v>14583.33333</v>
      </c>
      <c r="N634" s="148"/>
      <c r="O634" s="147">
        <f t="shared" si="173"/>
        <v>175000</v>
      </c>
      <c r="P634" s="147" t="str">
        <f t="shared" si="3"/>
        <v>Rp14,583-12 PCS-0.00%</v>
      </c>
      <c r="Q634" s="149">
        <v>45420.0</v>
      </c>
      <c r="R634" s="150"/>
      <c r="S634" s="149">
        <v>45423.0</v>
      </c>
      <c r="T634" s="151"/>
      <c r="U634" s="151"/>
      <c r="V634" s="151"/>
      <c r="W634" s="151"/>
    </row>
    <row r="635">
      <c r="A635" s="142">
        <v>4804.0</v>
      </c>
      <c r="B635" s="143" t="str">
        <f t="shared" si="188"/>
        <v>H</v>
      </c>
      <c r="C635" s="143" t="str">
        <f t="shared" si="189"/>
        <v>CV SINAR CAHAYA NIRMALA-BREBES</v>
      </c>
      <c r="D635" s="145" t="s">
        <v>4446</v>
      </c>
      <c r="E635" s="145" t="str">
        <f>IFERROR(__xludf.DUMMYFUNCTION("vlookup(D635,IMPORTRANGE(""https://docs.google.com/spreadsheets/d/1swGwZOEqYlTEUCJLY-eeJM1911Kvaei5oySBIxdgtNo/edit?pli=1#gid=257618397"",""stock FAKTUR!B:C""),2,false)"),"PC KLG/ STUDY SET K-597 MOBIL 20.5X7")</f>
        <v>PC KLG/ STUDY SET K-597 MOBIL 20.5X7</v>
      </c>
      <c r="F635" s="53" t="str">
        <f>IFERROR(__xludf.DUMMYFUNCTION("vlookup($D635,IMPORTRANGE(""https://docs.google.com/spreadsheets/d/1swGwZOEqYlTEUCJLY-eeJM1911Kvaei5oySBIxdgtNo/edit?pli=1#gid=257618397"",""stock FAKTUR!B:d""),3,false)"),"")</f>
        <v/>
      </c>
      <c r="G635" s="53" t="str">
        <f>IFERROR(__xludf.DUMMYFUNCTION("vlookup($D635,IMPORTRANGE(""https://docs.google.com/spreadsheets/d/1swGwZOEqYlTEUCJLY-eeJM1911Kvaei5oySBIxdgtNo/edit?pli=1#gid=257618397"",""stock FAKTUR!B:e""),4,false)"),"")</f>
        <v/>
      </c>
      <c r="H635" s="53" t="str">
        <f>IFERROR(__xludf.DUMMYFUNCTION("vlookup($D635,IMPORTRANGE(""https://docs.google.com/spreadsheets/d/1swGwZOEqYlTEUCJLY-eeJM1911Kvaei5oySBIxdgtNo/edit?pli=1#gid=257618397"",""stock FAKTUR!B:F""),5,false)"),"NB")</f>
        <v>NB</v>
      </c>
      <c r="I635" s="53" t="str">
        <f>IFERROR(__xludf.DUMMYFUNCTION("vlookup($D635,IMPORTRANGE(""https://docs.google.com/spreadsheets/d/1swGwZOEqYlTEUCJLY-eeJM1911Kvaei5oySBIxdgtNo/edit?pli=1#gid=257618397"",""stock FAKTUR!B:G""),6,false)"),"")</f>
        <v/>
      </c>
      <c r="J635" s="120" t="str">
        <f t="shared" si="25"/>
        <v>ADA</v>
      </c>
      <c r="K635" s="142">
        <f t="shared" si="187"/>
        <v>12</v>
      </c>
      <c r="L635" s="145" t="str">
        <f>IFERROR(__xludf.DUMMYFUNCTION("vlookup($D635,IMPORTRANGE(""https://docs.google.com/spreadsheets/d/1swGwZOEqYlTEUCJLY-eeJM1911Kvaei5oySBIxdgtNo/edit?pli=1#gid=257618397"",""stock FAKTUR!B:q""),16,false)"),"PCS")</f>
        <v>PCS</v>
      </c>
      <c r="M635" s="147">
        <f>150000/12</f>
        <v>12500</v>
      </c>
      <c r="N635" s="148"/>
      <c r="O635" s="147">
        <f t="shared" si="173"/>
        <v>150000</v>
      </c>
      <c r="P635" s="147" t="str">
        <f t="shared" si="3"/>
        <v>Rp12,500-12 PCS-0.00%</v>
      </c>
      <c r="Q635" s="149">
        <v>45420.0</v>
      </c>
      <c r="R635" s="150"/>
      <c r="S635" s="149">
        <v>45423.0</v>
      </c>
      <c r="T635" s="151"/>
      <c r="U635" s="151"/>
      <c r="V635" s="151"/>
      <c r="W635" s="151"/>
    </row>
    <row r="636">
      <c r="A636" s="142">
        <v>4804.0</v>
      </c>
      <c r="B636" s="143" t="str">
        <f t="shared" si="188"/>
        <v>H</v>
      </c>
      <c r="C636" s="143" t="str">
        <f t="shared" si="189"/>
        <v>CV SINAR CAHAYA NIRMALA-BREBES</v>
      </c>
      <c r="D636" s="145" t="s">
        <v>4718</v>
      </c>
      <c r="E636" s="145" t="str">
        <f>IFERROR(__xludf.DUMMYFUNCTION("vlookup(D636,IMPORTRANGE(""https://docs.google.com/spreadsheets/d/1swGwZOEqYlTEUCJLY-eeJM1911Kvaei5oySBIxdgtNo/edit?pli=1#gid=257618397"",""stock FAKTUR!B:C""),2,false)"),"PC MAGNIT FC 1760 TIMBUL (FAKTUR)")</f>
        <v>PC MAGNIT FC 1760 TIMBUL (FAKTUR)</v>
      </c>
      <c r="F636" s="53" t="str">
        <f>IFERROR(__xludf.DUMMYFUNCTION("vlookup($D636,IMPORTRANGE(""https://docs.google.com/spreadsheets/d/1swGwZOEqYlTEUCJLY-eeJM1911Kvaei5oySBIxdgtNo/edit?pli=1#gid=257618397"",""stock FAKTUR!B:d""),3,false)"),"")</f>
        <v/>
      </c>
      <c r="G636" s="53" t="str">
        <f>IFERROR(__xludf.DUMMYFUNCTION("vlookup($D636,IMPORTRANGE(""https://docs.google.com/spreadsheets/d/1swGwZOEqYlTEUCJLY-eeJM1911Kvaei5oySBIxdgtNo/edit?pli=1#gid=257618397"",""stock FAKTUR!B:e""),4,false)"),"")</f>
        <v/>
      </c>
      <c r="H636" s="53" t="str">
        <f>IFERROR(__xludf.DUMMYFUNCTION("vlookup($D636,IMPORTRANGE(""https://docs.google.com/spreadsheets/d/1swGwZOEqYlTEUCJLY-eeJM1911Kvaei5oySBIxdgtNo/edit?pli=1#gid=257618397"",""stock FAKTUR!B:F""),5,false)"),"NB")</f>
        <v>NB</v>
      </c>
      <c r="I636" s="53" t="str">
        <f>IFERROR(__xludf.DUMMYFUNCTION("vlookup($D636,IMPORTRANGE(""https://docs.google.com/spreadsheets/d/1swGwZOEqYlTEUCJLY-eeJM1911Kvaei5oySBIxdgtNo/edit?pli=1#gid=257618397"",""stock FAKTUR!B:G""),6,false)"),"")</f>
        <v/>
      </c>
      <c r="J636" s="120" t="str">
        <f t="shared" si="25"/>
        <v>ADA</v>
      </c>
      <c r="K636" s="142">
        <f t="shared" si="187"/>
        <v>12</v>
      </c>
      <c r="L636" s="145" t="str">
        <f>IFERROR(__xludf.DUMMYFUNCTION("vlookup($D636,IMPORTRANGE(""https://docs.google.com/spreadsheets/d/1swGwZOEqYlTEUCJLY-eeJM1911Kvaei5oySBIxdgtNo/edit?pli=1#gid=257618397"",""stock FAKTUR!B:q""),16,false)"),"PCS")</f>
        <v>PCS</v>
      </c>
      <c r="M636" s="147">
        <f t="shared" ref="M636:M637" si="191">175000/12</f>
        <v>14583.33333</v>
      </c>
      <c r="N636" s="148"/>
      <c r="O636" s="147">
        <f t="shared" si="173"/>
        <v>175000</v>
      </c>
      <c r="P636" s="147" t="str">
        <f t="shared" si="3"/>
        <v>Rp14,583-12 PCS-0.00%</v>
      </c>
      <c r="Q636" s="149">
        <v>45420.0</v>
      </c>
      <c r="R636" s="150"/>
      <c r="S636" s="149">
        <v>45423.0</v>
      </c>
      <c r="T636" s="151"/>
      <c r="U636" s="151"/>
      <c r="V636" s="151"/>
      <c r="W636" s="151"/>
    </row>
    <row r="637">
      <c r="A637" s="142">
        <v>4804.0</v>
      </c>
      <c r="B637" s="143" t="str">
        <f t="shared" si="188"/>
        <v>H</v>
      </c>
      <c r="C637" s="143" t="str">
        <f t="shared" si="189"/>
        <v>CV SINAR CAHAYA NIRMALA-BREBES</v>
      </c>
      <c r="D637" s="145" t="s">
        <v>4384</v>
      </c>
      <c r="E637" s="145" t="str">
        <f>IFERROR(__xludf.DUMMYFUNCTION("vlookup(D637,IMPORTRANGE(""https://docs.google.com/spreadsheets/d/1swGwZOEqYlTEUCJLY-eeJM1911Kvaei5oySBIxdgtNo/edit?pli=1#gid=257618397"",""stock FAKTUR!B:C""),2,false)"),"PC MAGNIT FC-1757 (22X7.5)")</f>
        <v>PC MAGNIT FC-1757 (22X7.5)</v>
      </c>
      <c r="F637" s="53" t="str">
        <f>IFERROR(__xludf.DUMMYFUNCTION("vlookup($D637,IMPORTRANGE(""https://docs.google.com/spreadsheets/d/1swGwZOEqYlTEUCJLY-eeJM1911Kvaei5oySBIxdgtNo/edit?pli=1#gid=257618397"",""stock FAKTUR!B:d""),3,false)"),"")</f>
        <v/>
      </c>
      <c r="G637" s="53" t="str">
        <f>IFERROR(__xludf.DUMMYFUNCTION("vlookup($D637,IMPORTRANGE(""https://docs.google.com/spreadsheets/d/1swGwZOEqYlTEUCJLY-eeJM1911Kvaei5oySBIxdgtNo/edit?pli=1#gid=257618397"",""stock FAKTUR!B:e""),4,false)"),"")</f>
        <v/>
      </c>
      <c r="H637" s="53" t="str">
        <f>IFERROR(__xludf.DUMMYFUNCTION("vlookup($D637,IMPORTRANGE(""https://docs.google.com/spreadsheets/d/1swGwZOEqYlTEUCJLY-eeJM1911Kvaei5oySBIxdgtNo/edit?pli=1#gid=257618397"",""stock FAKTUR!B:F""),5,false)"),"NB")</f>
        <v>NB</v>
      </c>
      <c r="I637" s="53" t="str">
        <f>IFERROR(__xludf.DUMMYFUNCTION("vlookup($D637,IMPORTRANGE(""https://docs.google.com/spreadsheets/d/1swGwZOEqYlTEUCJLY-eeJM1911Kvaei5oySBIxdgtNo/edit?pli=1#gid=257618397"",""stock FAKTUR!B:G""),6,false)"),"")</f>
        <v/>
      </c>
      <c r="J637" s="120" t="str">
        <f t="shared" si="25"/>
        <v>ADA</v>
      </c>
      <c r="K637" s="142">
        <f t="shared" si="187"/>
        <v>12</v>
      </c>
      <c r="L637" s="145" t="str">
        <f>IFERROR(__xludf.DUMMYFUNCTION("vlookup($D637,IMPORTRANGE(""https://docs.google.com/spreadsheets/d/1swGwZOEqYlTEUCJLY-eeJM1911Kvaei5oySBIxdgtNo/edit?pli=1#gid=257618397"",""stock FAKTUR!B:q""),16,false)"),"PCS")</f>
        <v>PCS</v>
      </c>
      <c r="M637" s="147">
        <f t="shared" si="191"/>
        <v>14583.33333</v>
      </c>
      <c r="N637" s="148"/>
      <c r="O637" s="147">
        <f t="shared" si="173"/>
        <v>175000</v>
      </c>
      <c r="P637" s="147" t="str">
        <f t="shared" si="3"/>
        <v>Rp14,583-12 PCS-0.00%</v>
      </c>
      <c r="Q637" s="149">
        <v>45420.0</v>
      </c>
      <c r="R637" s="150"/>
      <c r="S637" s="149">
        <v>45423.0</v>
      </c>
      <c r="T637" s="151"/>
      <c r="U637" s="151"/>
      <c r="V637" s="151"/>
      <c r="W637" s="151"/>
    </row>
    <row r="638">
      <c r="A638" s="142">
        <v>4804.0</v>
      </c>
      <c r="B638" s="143" t="str">
        <f t="shared" si="188"/>
        <v>H</v>
      </c>
      <c r="C638" s="143" t="str">
        <f t="shared" si="189"/>
        <v>CV SINAR CAHAYA NIRMALA-BREBES</v>
      </c>
      <c r="D638" s="145" t="s">
        <v>4566</v>
      </c>
      <c r="E638" s="145" t="str">
        <f>IFERROR(__xludf.DUMMYFUNCTION("vlookup(D638,IMPORTRANGE(""https://docs.google.com/spreadsheets/d/1swGwZOEqYlTEUCJLY-eeJM1911Kvaei5oySBIxdgtNo/edit?pli=1#gid=257618397"",""stock FAKTUR!B:C""),2,false)"),"PC MAGNIT FC-5223 3D (23X8.5)")</f>
        <v>PC MAGNIT FC-5223 3D (23X8.5)</v>
      </c>
      <c r="F638" s="53" t="str">
        <f>IFERROR(__xludf.DUMMYFUNCTION("vlookup($D638,IMPORTRANGE(""https://docs.google.com/spreadsheets/d/1swGwZOEqYlTEUCJLY-eeJM1911Kvaei5oySBIxdgtNo/edit?pli=1#gid=257618397"",""stock FAKTUR!B:d""),3,false)"),"")</f>
        <v/>
      </c>
      <c r="G638" s="53" t="str">
        <f>IFERROR(__xludf.DUMMYFUNCTION("vlookup($D638,IMPORTRANGE(""https://docs.google.com/spreadsheets/d/1swGwZOEqYlTEUCJLY-eeJM1911Kvaei5oySBIxdgtNo/edit?pli=1#gid=257618397"",""stock FAKTUR!B:e""),4,false)"),"")</f>
        <v/>
      </c>
      <c r="H638" s="53" t="str">
        <f>IFERROR(__xludf.DUMMYFUNCTION("vlookup($D638,IMPORTRANGE(""https://docs.google.com/spreadsheets/d/1swGwZOEqYlTEUCJLY-eeJM1911Kvaei5oySBIxdgtNo/edit?pli=1#gid=257618397"",""stock FAKTUR!B:F""),5,false)"),"NB")</f>
        <v>NB</v>
      </c>
      <c r="I638" s="53" t="str">
        <f>IFERROR(__xludf.DUMMYFUNCTION("vlookup($D638,IMPORTRANGE(""https://docs.google.com/spreadsheets/d/1swGwZOEqYlTEUCJLY-eeJM1911Kvaei5oySBIxdgtNo/edit?pli=1#gid=257618397"",""stock FAKTUR!B:G""),6,false)"),"")</f>
        <v/>
      </c>
      <c r="J638" s="120" t="str">
        <f t="shared" si="25"/>
        <v>ADA</v>
      </c>
      <c r="K638" s="142">
        <f t="shared" si="187"/>
        <v>12</v>
      </c>
      <c r="L638" s="145" t="str">
        <f>IFERROR(__xludf.DUMMYFUNCTION("vlookup($D638,IMPORTRANGE(""https://docs.google.com/spreadsheets/d/1swGwZOEqYlTEUCJLY-eeJM1911Kvaei5oySBIxdgtNo/edit?pli=1#gid=257618397"",""stock FAKTUR!B:q""),16,false)"),"PCS")</f>
        <v>PCS</v>
      </c>
      <c r="M638" s="147">
        <f>200000/12</f>
        <v>16666.66667</v>
      </c>
      <c r="N638" s="148"/>
      <c r="O638" s="147">
        <f t="shared" si="173"/>
        <v>200000</v>
      </c>
      <c r="P638" s="147" t="str">
        <f t="shared" si="3"/>
        <v>Rp16,667-12 PCS-0.00%</v>
      </c>
      <c r="Q638" s="149">
        <v>45420.0</v>
      </c>
      <c r="R638" s="150"/>
      <c r="S638" s="149">
        <v>45423.0</v>
      </c>
      <c r="T638" s="151"/>
      <c r="U638" s="151"/>
      <c r="V638" s="151"/>
      <c r="W638" s="151"/>
    </row>
    <row r="639">
      <c r="A639" s="142">
        <v>4804.0</v>
      </c>
      <c r="B639" s="143" t="str">
        <f t="shared" si="188"/>
        <v>H</v>
      </c>
      <c r="C639" s="143" t="str">
        <f t="shared" si="189"/>
        <v>CV SINAR CAHAYA NIRMALA-BREBES</v>
      </c>
      <c r="D639" s="145" t="s">
        <v>4719</v>
      </c>
      <c r="E639" s="145" t="str">
        <f>IFERROR(__xludf.DUMMYFUNCTION("vlookup(D639,IMPORTRANGE(""https://docs.google.com/spreadsheets/d/1swGwZOEqYlTEUCJLY-eeJM1911Kvaei5oySBIxdgtNo/edit?pli=1#gid=257618397"",""stock FAKTUR!B:C""),2,false)"),"PC KENKO 0719 FANCY")</f>
        <v>PC KENKO 0719 FANCY</v>
      </c>
      <c r="F639" s="53" t="str">
        <f>IFERROR(__xludf.DUMMYFUNCTION("vlookup($D639,IMPORTRANGE(""https://docs.google.com/spreadsheets/d/1swGwZOEqYlTEUCJLY-eeJM1911Kvaei5oySBIxdgtNo/edit?pli=1#gid=257618397"",""stock FAKTUR!B:d""),3,false)"),"")</f>
        <v/>
      </c>
      <c r="G639" s="53" t="str">
        <f>IFERROR(__xludf.DUMMYFUNCTION("vlookup($D639,IMPORTRANGE(""https://docs.google.com/spreadsheets/d/1swGwZOEqYlTEUCJLY-eeJM1911Kvaei5oySBIxdgtNo/edit?pli=1#gid=257618397"",""stock FAKTUR!B:e""),4,false)"),"")</f>
        <v/>
      </c>
      <c r="H639" s="53" t="str">
        <f>IFERROR(__xludf.DUMMYFUNCTION("vlookup($D639,IMPORTRANGE(""https://docs.google.com/spreadsheets/d/1swGwZOEqYlTEUCJLY-eeJM1911Kvaei5oySBIxdgtNo/edit?pli=1#gid=257618397"",""stock FAKTUR!B:F""),5,false)"),"KN")</f>
        <v>KN</v>
      </c>
      <c r="I639" s="53" t="str">
        <f>IFERROR(__xludf.DUMMYFUNCTION("vlookup($D639,IMPORTRANGE(""https://docs.google.com/spreadsheets/d/1swGwZOEqYlTEUCJLY-eeJM1911Kvaei5oySBIxdgtNo/edit?pli=1#gid=257618397"",""stock FAKTUR!B:G""),6,false)"),"")</f>
        <v/>
      </c>
      <c r="J639" s="120" t="str">
        <f t="shared" si="25"/>
        <v>ADA</v>
      </c>
      <c r="K639" s="142">
        <v>2.0</v>
      </c>
      <c r="L639" s="145" t="str">
        <f>IFERROR(__xludf.DUMMYFUNCTION("vlookup($D639,IMPORTRANGE(""https://docs.google.com/spreadsheets/d/1swGwZOEqYlTEUCJLY-eeJM1911Kvaei5oySBIxdgtNo/edit?pli=1#gid=257618397"",""stock FAKTUR!B:q""),16,false)"),"LSN")</f>
        <v>LSN</v>
      </c>
      <c r="M639" s="147">
        <v>62400.0</v>
      </c>
      <c r="N639" s="152">
        <v>0.1</v>
      </c>
      <c r="O639" s="147">
        <f t="shared" si="173"/>
        <v>112320</v>
      </c>
      <c r="P639" s="147" t="str">
        <f t="shared" si="3"/>
        <v>Rp62,400-2 LSN-10.00%</v>
      </c>
      <c r="Q639" s="149">
        <v>45420.0</v>
      </c>
      <c r="R639" s="150"/>
      <c r="S639" s="149">
        <v>45423.0</v>
      </c>
      <c r="T639" s="151"/>
      <c r="U639" s="151"/>
      <c r="V639" s="151"/>
      <c r="W639" s="151"/>
    </row>
    <row r="640">
      <c r="A640" s="142">
        <v>134.0</v>
      </c>
      <c r="B640" s="143"/>
      <c r="C640" s="143"/>
      <c r="D640" s="145" t="s">
        <v>4720</v>
      </c>
      <c r="E640" s="145" t="str">
        <f>IFERROR(__xludf.DUMMYFUNCTION("vlookup(D640,IMPORTRANGE(""https://docs.google.com/spreadsheets/d/1swGwZOEqYlTEUCJLY-eeJM1911Kvaei5oySBIxdgtNo/edit?pli=1#gid=257618397"",""stock FAKTUR!B:C""),2,false)"),"PLAKBAN KENKO COKLAT")</f>
        <v>PLAKBAN KENKO COKLAT</v>
      </c>
      <c r="F640" s="53" t="str">
        <f>IFERROR(__xludf.DUMMYFUNCTION("vlookup($D640,IMPORTRANGE(""https://docs.google.com/spreadsheets/d/1swGwZOEqYlTEUCJLY-eeJM1911Kvaei5oySBIxdgtNo/edit?pli=1#gid=257618397"",""stock FAKTUR!B:d""),3,false)"),"")</f>
        <v/>
      </c>
      <c r="G640" s="53" t="str">
        <f>IFERROR(__xludf.DUMMYFUNCTION("vlookup($D640,IMPORTRANGE(""https://docs.google.com/spreadsheets/d/1swGwZOEqYlTEUCJLY-eeJM1911Kvaei5oySBIxdgtNo/edit?pli=1#gid=257618397"",""stock FAKTUR!B:e""),4,false)"),"COKLAT")</f>
        <v>COKLAT</v>
      </c>
      <c r="H640" s="53" t="str">
        <f>IFERROR(__xludf.DUMMYFUNCTION("vlookup($D640,IMPORTRANGE(""https://docs.google.com/spreadsheets/d/1swGwZOEqYlTEUCJLY-eeJM1911Kvaei5oySBIxdgtNo/edit?pli=1#gid=257618397"",""stock FAKTUR!B:F""),5,false)"),"KN")</f>
        <v>KN</v>
      </c>
      <c r="I640" s="53" t="str">
        <f>IFERROR(__xludf.DUMMYFUNCTION("vlookup($D640,IMPORTRANGE(""https://docs.google.com/spreadsheets/d/1swGwZOEqYlTEUCJLY-eeJM1911Kvaei5oySBIxdgtNo/edit?pli=1#gid=257618397"",""stock FAKTUR!B:G""),6,false)"),"")</f>
        <v/>
      </c>
      <c r="J640" s="120" t="str">
        <f t="shared" si="25"/>
        <v>ADA</v>
      </c>
      <c r="K640" s="142">
        <v>24.0</v>
      </c>
      <c r="L640" s="145" t="str">
        <f>IFERROR(__xludf.DUMMYFUNCTION("vlookup($D640,IMPORTRANGE(""https://docs.google.com/spreadsheets/d/1swGwZOEqYlTEUCJLY-eeJM1911Kvaei5oySBIxdgtNo/edit?pli=1#gid=257618397"",""stock FAKTUR!B:q""),16,false)"),"PCS")</f>
        <v>PCS</v>
      </c>
      <c r="M640" s="197"/>
      <c r="N640" s="148"/>
      <c r="O640" s="147">
        <f t="shared" si="173"/>
        <v>0</v>
      </c>
      <c r="P640" s="147" t="str">
        <f t="shared" si="3"/>
        <v>Rp0-24 PCS-0.00%</v>
      </c>
      <c r="Q640" s="149">
        <v>45420.0</v>
      </c>
      <c r="R640" s="150"/>
      <c r="S640" s="149">
        <v>45425.0</v>
      </c>
      <c r="T640" s="151"/>
      <c r="U640" s="151"/>
      <c r="V640" s="151"/>
      <c r="W640" s="151"/>
    </row>
    <row r="641">
      <c r="A641" s="142">
        <v>134.0</v>
      </c>
      <c r="B641" s="143" t="str">
        <f t="shared" ref="B641:B642" si="192">IF(A641=A640,B640,"")</f>
        <v/>
      </c>
      <c r="C641" s="143" t="str">
        <f t="shared" ref="C641:C642" si="193">IF(A641=A640,C640,"")</f>
        <v/>
      </c>
      <c r="D641" s="145" t="s">
        <v>4721</v>
      </c>
      <c r="E641" s="145" t="str">
        <f>IFERROR(__xludf.DUMMYFUNCTION("vlookup(D641,IMPORTRANGE(""https://docs.google.com/spreadsheets/d/1swGwZOEqYlTEUCJLY-eeJM1911Kvaei5oySBIxdgtNo/edit?pli=1#gid=257618397"",""stock FAKTUR!B:C""),2,false)"),"PLAKBAN KENKO BENING 48MM PLST MERAH")</f>
        <v>PLAKBAN KENKO BENING 48MM PLST MERAH</v>
      </c>
      <c r="F641" s="53" t="str">
        <f>IFERROR(__xludf.DUMMYFUNCTION("vlookup($D641,IMPORTRANGE(""https://docs.google.com/spreadsheets/d/1swGwZOEqYlTEUCJLY-eeJM1911Kvaei5oySBIxdgtNo/edit?pli=1#gid=257618397"",""stock FAKTUR!B:d""),3,false)"),"")</f>
        <v/>
      </c>
      <c r="G641" s="53" t="str">
        <f>IFERROR(__xludf.DUMMYFUNCTION("vlookup($D641,IMPORTRANGE(""https://docs.google.com/spreadsheets/d/1swGwZOEqYlTEUCJLY-eeJM1911Kvaei5oySBIxdgtNo/edit?pli=1#gid=257618397"",""stock FAKTUR!B:e""),4,false)"),"BENING")</f>
        <v>BENING</v>
      </c>
      <c r="H641" s="53" t="str">
        <f>IFERROR(__xludf.DUMMYFUNCTION("vlookup($D641,IMPORTRANGE(""https://docs.google.com/spreadsheets/d/1swGwZOEqYlTEUCJLY-eeJM1911Kvaei5oySBIxdgtNo/edit?pli=1#gid=257618397"",""stock FAKTUR!B:F""),5,false)"),"KN")</f>
        <v>KN</v>
      </c>
      <c r="I641" s="53" t="str">
        <f>IFERROR(__xludf.DUMMYFUNCTION("vlookup($D641,IMPORTRANGE(""https://docs.google.com/spreadsheets/d/1swGwZOEqYlTEUCJLY-eeJM1911Kvaei5oySBIxdgtNo/edit?pli=1#gid=257618397"",""stock FAKTUR!B:G""),6,false)"),"")</f>
        <v/>
      </c>
      <c r="J641" s="120" t="str">
        <f t="shared" si="25"/>
        <v>ADA</v>
      </c>
      <c r="K641" s="142">
        <v>24.0</v>
      </c>
      <c r="L641" s="145" t="str">
        <f>IFERROR(__xludf.DUMMYFUNCTION("vlookup($D641,IMPORTRANGE(""https://docs.google.com/spreadsheets/d/1swGwZOEqYlTEUCJLY-eeJM1911Kvaei5oySBIxdgtNo/edit?pli=1#gid=257618397"",""stock FAKTUR!B:q""),16,false)"),"PCS")</f>
        <v>PCS</v>
      </c>
      <c r="M641" s="197"/>
      <c r="N641" s="148"/>
      <c r="O641" s="147">
        <f t="shared" si="173"/>
        <v>0</v>
      </c>
      <c r="P641" s="147" t="str">
        <f t="shared" si="3"/>
        <v>Rp0-24 PCS-0.00%</v>
      </c>
      <c r="Q641" s="149">
        <v>45420.0</v>
      </c>
      <c r="R641" s="150"/>
      <c r="S641" s="149">
        <v>45425.0</v>
      </c>
      <c r="T641" s="151"/>
      <c r="U641" s="151"/>
      <c r="V641" s="151"/>
      <c r="W641" s="151"/>
    </row>
    <row r="642">
      <c r="A642" s="142">
        <v>135.0</v>
      </c>
      <c r="B642" s="143" t="str">
        <f t="shared" si="192"/>
        <v/>
      </c>
      <c r="C642" s="143" t="str">
        <f t="shared" si="193"/>
        <v/>
      </c>
      <c r="D642" s="159"/>
      <c r="E642" s="145" t="s">
        <v>4722</v>
      </c>
      <c r="F642" s="53" t="str">
        <f>IFERROR(__xludf.DUMMYFUNCTION("vlookup($D642,IMPORTRANGE(""https://docs.google.com/spreadsheets/d/1swGwZOEqYlTEUCJLY-eeJM1911Kvaei5oySBIxdgtNo/edit?pli=1#gid=257618397"",""stock FAKTUR!B:d""),3,false)"),"#N/A")</f>
        <v>#N/A</v>
      </c>
      <c r="G642" s="53" t="str">
        <f>IFERROR(__xludf.DUMMYFUNCTION("vlookup($D642,IMPORTRANGE(""https://docs.google.com/spreadsheets/d/1swGwZOEqYlTEUCJLY-eeJM1911Kvaei5oySBIxdgtNo/edit?pli=1#gid=257618397"",""stock FAKTUR!B:e""),4,false)"),"#N/A")</f>
        <v>#N/A</v>
      </c>
      <c r="H642" s="53" t="str">
        <f>IFERROR(__xludf.DUMMYFUNCTION("vlookup($D642,IMPORTRANGE(""https://docs.google.com/spreadsheets/d/1swGwZOEqYlTEUCJLY-eeJM1911Kvaei5oySBIxdgtNo/edit?pli=1#gid=257618397"",""stock FAKTUR!B:F""),5,false)"),"#N/A")</f>
        <v>#N/A</v>
      </c>
      <c r="I642" s="53" t="str">
        <f>IFERROR(__xludf.DUMMYFUNCTION("vlookup($D642,IMPORTRANGE(""https://docs.google.com/spreadsheets/d/1swGwZOEqYlTEUCJLY-eeJM1911Kvaei5oySBIxdgtNo/edit?pli=1#gid=257618397"",""stock FAKTUR!B:G""),6,false)"),"#N/A")</f>
        <v>#N/A</v>
      </c>
      <c r="J642" s="120" t="str">
        <f t="shared" si="25"/>
        <v>TIDAK ADA</v>
      </c>
      <c r="K642" s="142">
        <v>1.0</v>
      </c>
      <c r="L642" s="145" t="s">
        <v>69</v>
      </c>
      <c r="M642" s="197"/>
      <c r="N642" s="148"/>
      <c r="O642" s="147">
        <f t="shared" si="173"/>
        <v>0</v>
      </c>
      <c r="P642" s="147" t="str">
        <f t="shared" si="3"/>
        <v>Rp0-1 PCS-0.00%</v>
      </c>
      <c r="Q642" s="149">
        <v>45420.0</v>
      </c>
      <c r="R642" s="150"/>
      <c r="S642" s="149">
        <v>45425.0</v>
      </c>
      <c r="T642" s="151" t="s">
        <v>4723</v>
      </c>
      <c r="U642" s="192" t="s">
        <v>4390</v>
      </c>
      <c r="V642" s="151"/>
      <c r="W642" s="159"/>
    </row>
    <row r="643">
      <c r="A643" s="142">
        <v>4732.0</v>
      </c>
      <c r="B643" s="143" t="s">
        <v>33</v>
      </c>
      <c r="C643" s="143" t="s">
        <v>2595</v>
      </c>
      <c r="D643" s="193" t="s">
        <v>4724</v>
      </c>
      <c r="E643" s="145" t="str">
        <f>IFERROR(__xludf.DUMMYFUNCTION("vlookup(D643,IMPORTRANGE(""https://docs.google.com/spreadsheets/d/1swGwZOEqYlTEUCJLY-eeJM1911Kvaei5oySBIxdgtNo/edit?pli=1#gid=257618397"",""stock FAKTUR!B:C""),2,false)"),"BP JK 224")</f>
        <v>BP JK 224</v>
      </c>
      <c r="F643" s="53" t="str">
        <f>IFERROR(__xludf.DUMMYFUNCTION("vlookup($D643,IMPORTRANGE(""https://docs.google.com/spreadsheets/d/1swGwZOEqYlTEUCJLY-eeJM1911Kvaei5oySBIxdgtNo/edit?pli=1#gid=257618397"",""stock FAKTUR!B:d""),3,false)"),"")</f>
        <v/>
      </c>
      <c r="G643" s="53" t="str">
        <f>IFERROR(__xludf.DUMMYFUNCTION("vlookup($D643,IMPORTRANGE(""https://docs.google.com/spreadsheets/d/1swGwZOEqYlTEUCJLY-eeJM1911Kvaei5oySBIxdgtNo/edit?pli=1#gid=257618397"",""stock FAKTUR!B:e""),4,false)"),"")</f>
        <v/>
      </c>
      <c r="H643" s="53" t="str">
        <f>IFERROR(__xludf.DUMMYFUNCTION("vlookup($D643,IMPORTRANGE(""https://docs.google.com/spreadsheets/d/1swGwZOEqYlTEUCJLY-eeJM1911Kvaei5oySBIxdgtNo/edit?pli=1#gid=257618397"",""stock FAKTUR!B:F""),5,false)"),"JK")</f>
        <v>JK</v>
      </c>
      <c r="I643" s="53" t="str">
        <f>IFERROR(__xludf.DUMMYFUNCTION("vlookup($D643,IMPORTRANGE(""https://docs.google.com/spreadsheets/d/1swGwZOEqYlTEUCJLY-eeJM1911Kvaei5oySBIxdgtNo/edit?pli=1#gid=257618397"",""stock FAKTUR!B:G""),6,false)"),"224")</f>
        <v>224</v>
      </c>
      <c r="J643" s="120" t="str">
        <f t="shared" si="25"/>
        <v>ADA</v>
      </c>
      <c r="K643" s="142">
        <v>12.0</v>
      </c>
      <c r="L643" s="145" t="s">
        <v>62</v>
      </c>
      <c r="M643" s="147">
        <v>22200.0</v>
      </c>
      <c r="N643" s="152">
        <v>0.1</v>
      </c>
      <c r="O643" s="147">
        <f t="shared" si="173"/>
        <v>239760</v>
      </c>
      <c r="P643" s="147" t="str">
        <f t="shared" si="3"/>
        <v>Rp22,200-12 LSN-10.00%</v>
      </c>
      <c r="Q643" s="149">
        <v>45420.0</v>
      </c>
      <c r="R643" s="150"/>
      <c r="S643" s="149">
        <v>45425.0</v>
      </c>
      <c r="T643" s="194" t="s">
        <v>4661</v>
      </c>
      <c r="U643" s="192" t="s">
        <v>4390</v>
      </c>
      <c r="V643" s="151"/>
      <c r="W643" s="159"/>
    </row>
    <row r="644">
      <c r="A644" s="142">
        <v>4732.0</v>
      </c>
      <c r="B644" s="143" t="str">
        <f>IF(A644=A643,B643,"")</f>
        <v>H</v>
      </c>
      <c r="C644" s="143" t="str">
        <f>IF(A644=A643,C643,"")</f>
        <v>MAKMUR-TEGAL</v>
      </c>
      <c r="D644" s="145" t="s">
        <v>4725</v>
      </c>
      <c r="E644" s="145" t="str">
        <f>IFERROR(__xludf.DUMMYFUNCTION("vlookup(D644,IMPORTRANGE(""https://docs.google.com/spreadsheets/d/1swGwZOEqYlTEUCJLY-eeJM1911Kvaei5oySBIxdgtNo/edit?pli=1#gid=257618397"",""stock FAKTUR!B:C""),2,false)"),"BP JK BP-241 HITAM")</f>
        <v>BP JK BP-241 HITAM</v>
      </c>
      <c r="F644" s="53" t="str">
        <f>IFERROR(__xludf.DUMMYFUNCTION("vlookup($D644,IMPORTRANGE(""https://docs.google.com/spreadsheets/d/1swGwZOEqYlTEUCJLY-eeJM1911Kvaei5oySBIxdgtNo/edit?pli=1#gid=257618397"",""stock FAKTUR!B:d""),3,false)"),"")</f>
        <v/>
      </c>
      <c r="G644" s="53" t="str">
        <f>IFERROR(__xludf.DUMMYFUNCTION("vlookup($D644,IMPORTRANGE(""https://docs.google.com/spreadsheets/d/1swGwZOEqYlTEUCJLY-eeJM1911Kvaei5oySBIxdgtNo/edit?pli=1#gid=257618397"",""stock FAKTUR!B:e""),4,false)"),"HITAM")</f>
        <v>HITAM</v>
      </c>
      <c r="H644" s="53" t="str">
        <f>IFERROR(__xludf.DUMMYFUNCTION("vlookup($D644,IMPORTRANGE(""https://docs.google.com/spreadsheets/d/1swGwZOEqYlTEUCJLY-eeJM1911Kvaei5oySBIxdgtNo/edit?pli=1#gid=257618397"",""stock FAKTUR!B:F""),5,false)"),"JK")</f>
        <v>JK</v>
      </c>
      <c r="I644" s="53" t="str">
        <f>IFERROR(__xludf.DUMMYFUNCTION("vlookup($D644,IMPORTRANGE(""https://docs.google.com/spreadsheets/d/1swGwZOEqYlTEUCJLY-eeJM1911Kvaei5oySBIxdgtNo/edit?pli=1#gid=257618397"",""stock FAKTUR!B:G""),6,false)"),"BP-241")</f>
        <v>BP-241</v>
      </c>
      <c r="J644" s="120" t="str">
        <f t="shared" si="25"/>
        <v>ADA</v>
      </c>
      <c r="K644" s="142">
        <v>12.0</v>
      </c>
      <c r="L644" s="145" t="str">
        <f>IFERROR(__xludf.DUMMYFUNCTION("vlookup($D644,IMPORTRANGE(""https://docs.google.com/spreadsheets/d/1swGwZOEqYlTEUCJLY-eeJM1911Kvaei5oySBIxdgtNo/edit?pli=1#gid=257618397"",""stock FAKTUR!B:q""),16,false)"),"LSN")</f>
        <v>LSN</v>
      </c>
      <c r="M644" s="147">
        <v>21000.0</v>
      </c>
      <c r="N644" s="152">
        <v>0.1</v>
      </c>
      <c r="O644" s="147">
        <f t="shared" si="173"/>
        <v>226800</v>
      </c>
      <c r="P644" s="147" t="str">
        <f t="shared" si="3"/>
        <v>Rp21,000-12 LSN-10.00%</v>
      </c>
      <c r="Q644" s="149">
        <v>45420.0</v>
      </c>
      <c r="R644" s="150"/>
      <c r="S644" s="149">
        <v>45425.0</v>
      </c>
      <c r="T644" s="151"/>
      <c r="U644" s="151"/>
      <c r="V644" s="151"/>
      <c r="W644" s="151"/>
    </row>
    <row r="645">
      <c r="A645" s="142">
        <v>4861.0</v>
      </c>
      <c r="B645" s="143" t="s">
        <v>33</v>
      </c>
      <c r="C645" s="143" t="s">
        <v>1768</v>
      </c>
      <c r="D645" s="145" t="s">
        <v>4578</v>
      </c>
      <c r="E645" s="145" t="str">
        <f>IFERROR(__xludf.DUMMYFUNCTION("vlookup(D645,IMPORTRANGE(""https://docs.google.com/spreadsheets/d/1swGwZOEqYlTEUCJLY-eeJM1911Kvaei5oySBIxdgtNo/edit?pli=1#gid=257618397"",""stock FAKTUR!B:C""),2,false)"),"OIL PASTEL JK OP-72S PP CASE SEA WORLD")</f>
        <v>OIL PASTEL JK OP-72S PP CASE SEA WORLD</v>
      </c>
      <c r="F645" s="53" t="str">
        <f>IFERROR(__xludf.DUMMYFUNCTION("vlookup($D645,IMPORTRANGE(""https://docs.google.com/spreadsheets/d/1swGwZOEqYlTEUCJLY-eeJM1911Kvaei5oySBIxdgtNo/edit?pli=1#gid=257618397"",""stock FAKTUR!B:d""),3,false)"),"")</f>
        <v/>
      </c>
      <c r="G645" s="53" t="str">
        <f>IFERROR(__xludf.DUMMYFUNCTION("vlookup($D645,IMPORTRANGE(""https://docs.google.com/spreadsheets/d/1swGwZOEqYlTEUCJLY-eeJM1911Kvaei5oySBIxdgtNo/edit?pli=1#gid=257618397"",""stock FAKTUR!B:e""),4,false)"),"72W")</f>
        <v>72W</v>
      </c>
      <c r="H645" s="53" t="str">
        <f>IFERROR(__xludf.DUMMYFUNCTION("vlookup($D645,IMPORTRANGE(""https://docs.google.com/spreadsheets/d/1swGwZOEqYlTEUCJLY-eeJM1911Kvaei5oySBIxdgtNo/edit?pli=1#gid=257618397"",""stock FAKTUR!B:F""),5,false)"),"JK")</f>
        <v>JK</v>
      </c>
      <c r="I645" s="53" t="str">
        <f>IFERROR(__xludf.DUMMYFUNCTION("vlookup($D645,IMPORTRANGE(""https://docs.google.com/spreadsheets/d/1swGwZOEqYlTEUCJLY-eeJM1911Kvaei5oySBIxdgtNo/edit?pli=1#gid=257618397"",""stock FAKTUR!B:G""),6,false)"),"OP-72S")</f>
        <v>OP-72S</v>
      </c>
      <c r="J645" s="120" t="str">
        <f t="shared" si="25"/>
        <v>ADA</v>
      </c>
      <c r="K645" s="142">
        <v>24.0</v>
      </c>
      <c r="L645" s="145" t="str">
        <f>IFERROR(__xludf.DUMMYFUNCTION("vlookup($D645,IMPORTRANGE(""https://docs.google.com/spreadsheets/d/1swGwZOEqYlTEUCJLY-eeJM1911Kvaei5oySBIxdgtNo/edit?pli=1#gid=257618397"",""stock FAKTUR!B:q""),16,false)"),"PCS")</f>
        <v>PCS</v>
      </c>
      <c r="M645" s="147">
        <v>98400.0</v>
      </c>
      <c r="N645" s="152">
        <v>0.125</v>
      </c>
      <c r="O645" s="147">
        <f t="shared" si="173"/>
        <v>2066400</v>
      </c>
      <c r="P645" s="147" t="str">
        <f t="shared" si="3"/>
        <v>Rp98,400-24 PCS-12.50%</v>
      </c>
      <c r="Q645" s="149">
        <v>45422.0</v>
      </c>
      <c r="R645" s="150"/>
      <c r="S645" s="149">
        <v>45425.0</v>
      </c>
      <c r="T645" s="151"/>
      <c r="U645" s="151"/>
      <c r="V645" s="151"/>
      <c r="W645" s="151"/>
    </row>
    <row r="646">
      <c r="A646" s="142">
        <v>4861.0</v>
      </c>
      <c r="B646" s="143" t="str">
        <f>IF(A646=A645,B645,"")</f>
        <v>H</v>
      </c>
      <c r="C646" s="143" t="str">
        <f>IF(A646=A645,C645,"")</f>
        <v>SISWA-MUNTILAN</v>
      </c>
      <c r="D646" s="145" t="s">
        <v>4639</v>
      </c>
      <c r="E646" s="145" t="str">
        <f>IFERROR(__xludf.DUMMYFUNCTION("vlookup(D646,IMPORTRANGE(""https://docs.google.com/spreadsheets/d/1swGwZOEqYlTEUCJLY-eeJM1911Kvaei5oySBIxdgtNo/edit?pli=1#gid=257618397"",""stock FAKTUR!B:C""),2,false)"),"CLIP TRIGONAL KENKO NO. 1")</f>
        <v>CLIP TRIGONAL KENKO NO. 1</v>
      </c>
      <c r="F646" s="53" t="str">
        <f>IFERROR(__xludf.DUMMYFUNCTION("vlookup($D646,IMPORTRANGE(""https://docs.google.com/spreadsheets/d/1swGwZOEqYlTEUCJLY-eeJM1911Kvaei5oySBIxdgtNo/edit?pli=1#gid=257618397"",""stock FAKTUR!B:d""),3,false)"),"")</f>
        <v/>
      </c>
      <c r="G646" s="53" t="str">
        <f>IFERROR(__xludf.DUMMYFUNCTION("vlookup($D646,IMPORTRANGE(""https://docs.google.com/spreadsheets/d/1swGwZOEqYlTEUCJLY-eeJM1911Kvaei5oySBIxdgtNo/edit?pli=1#gid=257618397"",""stock FAKTUR!B:e""),4,false)"),"")</f>
        <v/>
      </c>
      <c r="H646" s="53" t="str">
        <f>IFERROR(__xludf.DUMMYFUNCTION("vlookup($D646,IMPORTRANGE(""https://docs.google.com/spreadsheets/d/1swGwZOEqYlTEUCJLY-eeJM1911Kvaei5oySBIxdgtNo/edit?pli=1#gid=257618397"",""stock FAKTUR!B:F""),5,false)"),"KN")</f>
        <v>KN</v>
      </c>
      <c r="I646" s="53" t="str">
        <f>IFERROR(__xludf.DUMMYFUNCTION("vlookup($D646,IMPORTRANGE(""https://docs.google.com/spreadsheets/d/1swGwZOEqYlTEUCJLY-eeJM1911Kvaei5oySBIxdgtNo/edit?pli=1#gid=257618397"",""stock FAKTUR!B:G""),6,false)"),"CLP-001")</f>
        <v>CLP-001</v>
      </c>
      <c r="J646" s="120" t="str">
        <f t="shared" si="25"/>
        <v>ADA</v>
      </c>
      <c r="K646" s="142">
        <v>50.0</v>
      </c>
      <c r="L646" s="145" t="str">
        <f>IFERROR(__xludf.DUMMYFUNCTION("vlookup($D646,IMPORTRANGE(""https://docs.google.com/spreadsheets/d/1swGwZOEqYlTEUCJLY-eeJM1911Kvaei5oySBIxdgtNo/edit?pli=1#gid=257618397"",""stock FAKTUR!B:q""),16,false)"),"BOX")</f>
        <v>BOX</v>
      </c>
      <c r="M646" s="147">
        <v>17000.0</v>
      </c>
      <c r="N646" s="152">
        <v>0.125</v>
      </c>
      <c r="O646" s="147">
        <f t="shared" si="173"/>
        <v>743750</v>
      </c>
      <c r="P646" s="147" t="str">
        <f t="shared" si="3"/>
        <v>Rp17,000-50 BOX-12.50%</v>
      </c>
      <c r="Q646" s="149">
        <v>45422.0</v>
      </c>
      <c r="R646" s="150"/>
      <c r="S646" s="149">
        <v>45425.0</v>
      </c>
      <c r="T646" s="151"/>
      <c r="U646" s="151"/>
      <c r="V646" s="151"/>
      <c r="W646" s="151"/>
    </row>
    <row r="647">
      <c r="A647" s="142">
        <v>4862.0</v>
      </c>
      <c r="B647" s="143" t="s">
        <v>33</v>
      </c>
      <c r="C647" s="143" t="s">
        <v>4607</v>
      </c>
      <c r="D647" s="145" t="s">
        <v>4639</v>
      </c>
      <c r="E647" s="145" t="str">
        <f>IFERROR(__xludf.DUMMYFUNCTION("vlookup(D647,IMPORTRANGE(""https://docs.google.com/spreadsheets/d/1swGwZOEqYlTEUCJLY-eeJM1911Kvaei5oySBIxdgtNo/edit?pli=1#gid=257618397"",""stock FAKTUR!B:C""),2,false)"),"CLIP TRIGONAL KENKO NO. 1")</f>
        <v>CLIP TRIGONAL KENKO NO. 1</v>
      </c>
      <c r="F647" s="53" t="str">
        <f>IFERROR(__xludf.DUMMYFUNCTION("vlookup($D647,IMPORTRANGE(""https://docs.google.com/spreadsheets/d/1swGwZOEqYlTEUCJLY-eeJM1911Kvaei5oySBIxdgtNo/edit?pli=1#gid=257618397"",""stock FAKTUR!B:d""),3,false)"),"")</f>
        <v/>
      </c>
      <c r="G647" s="53" t="str">
        <f>IFERROR(__xludf.DUMMYFUNCTION("vlookup($D647,IMPORTRANGE(""https://docs.google.com/spreadsheets/d/1swGwZOEqYlTEUCJLY-eeJM1911Kvaei5oySBIxdgtNo/edit?pli=1#gid=257618397"",""stock FAKTUR!B:e""),4,false)"),"")</f>
        <v/>
      </c>
      <c r="H647" s="53" t="str">
        <f>IFERROR(__xludf.DUMMYFUNCTION("vlookup($D647,IMPORTRANGE(""https://docs.google.com/spreadsheets/d/1swGwZOEqYlTEUCJLY-eeJM1911Kvaei5oySBIxdgtNo/edit?pli=1#gid=257618397"",""stock FAKTUR!B:F""),5,false)"),"KN")</f>
        <v>KN</v>
      </c>
      <c r="I647" s="53" t="str">
        <f>IFERROR(__xludf.DUMMYFUNCTION("vlookup($D647,IMPORTRANGE(""https://docs.google.com/spreadsheets/d/1swGwZOEqYlTEUCJLY-eeJM1911Kvaei5oySBIxdgtNo/edit?pli=1#gid=257618397"",""stock FAKTUR!B:G""),6,false)"),"CLP-001")</f>
        <v>CLP-001</v>
      </c>
      <c r="J647" s="120" t="str">
        <f t="shared" si="25"/>
        <v>ADA</v>
      </c>
      <c r="K647" s="142">
        <v>100.0</v>
      </c>
      <c r="L647" s="145" t="str">
        <f>IFERROR(__xludf.DUMMYFUNCTION("vlookup($D647,IMPORTRANGE(""https://docs.google.com/spreadsheets/d/1swGwZOEqYlTEUCJLY-eeJM1911Kvaei5oySBIxdgtNo/edit?pli=1#gid=257618397"",""stock FAKTUR!B:q""),16,false)"),"BOX")</f>
        <v>BOX</v>
      </c>
      <c r="M647" s="147">
        <v>17000.0</v>
      </c>
      <c r="N647" s="152">
        <v>0.135</v>
      </c>
      <c r="O647" s="147">
        <f t="shared" si="173"/>
        <v>1470500</v>
      </c>
      <c r="P647" s="147" t="str">
        <f t="shared" si="3"/>
        <v>Rp17,000-100 BOX-13.50%</v>
      </c>
      <c r="Q647" s="149">
        <v>45422.0</v>
      </c>
      <c r="R647" s="150"/>
      <c r="S647" s="149">
        <v>45425.0</v>
      </c>
      <c r="T647" s="151"/>
      <c r="U647" s="151"/>
      <c r="V647" s="151"/>
      <c r="W647" s="151"/>
    </row>
    <row r="648">
      <c r="A648" s="142">
        <v>4862.0</v>
      </c>
      <c r="B648" s="143" t="str">
        <f t="shared" ref="B648:B650" si="194">IF(A648=A647,B647,"")</f>
        <v>H</v>
      </c>
      <c r="C648" s="143" t="str">
        <f t="shared" ref="C648:C650" si="195">IF(A648=A647,C647,"")</f>
        <v>ANUGRAH SEJAHTERA-PURWOKERTO</v>
      </c>
      <c r="D648" s="145" t="s">
        <v>4726</v>
      </c>
      <c r="E648" s="145" t="str">
        <f>IFERROR(__xludf.DUMMYFUNCTION("vlookup(D648,IMPORTRANGE(""https://docs.google.com/spreadsheets/d/1swGwZOEqYlTEUCJLY-eeJM1911Kvaei5oySBIxdgtNo/edit?pli=1#gid=257618397"",""stock FAKTUR!B:C""),2,false)"),"CLIP TRIGONAL KENKO NO. 3")</f>
        <v>CLIP TRIGONAL KENKO NO. 3</v>
      </c>
      <c r="F648" s="53" t="str">
        <f>IFERROR(__xludf.DUMMYFUNCTION("vlookup($D648,IMPORTRANGE(""https://docs.google.com/spreadsheets/d/1swGwZOEqYlTEUCJLY-eeJM1911Kvaei5oySBIxdgtNo/edit?pli=1#gid=257618397"",""stock FAKTUR!B:d""),3,false)"),"")</f>
        <v/>
      </c>
      <c r="G648" s="53" t="str">
        <f>IFERROR(__xludf.DUMMYFUNCTION("vlookup($D648,IMPORTRANGE(""https://docs.google.com/spreadsheets/d/1swGwZOEqYlTEUCJLY-eeJM1911Kvaei5oySBIxdgtNo/edit?pli=1#gid=257618397"",""stock FAKTUR!B:e""),4,false)"),"")</f>
        <v/>
      </c>
      <c r="H648" s="53" t="str">
        <f>IFERROR(__xludf.DUMMYFUNCTION("vlookup($D648,IMPORTRANGE(""https://docs.google.com/spreadsheets/d/1swGwZOEqYlTEUCJLY-eeJM1911Kvaei5oySBIxdgtNo/edit?pli=1#gid=257618397"",""stock FAKTUR!B:F""),5,false)"),"KN")</f>
        <v>KN</v>
      </c>
      <c r="I648" s="53" t="str">
        <f>IFERROR(__xludf.DUMMYFUNCTION("vlookup($D648,IMPORTRANGE(""https://docs.google.com/spreadsheets/d/1swGwZOEqYlTEUCJLY-eeJM1911Kvaei5oySBIxdgtNo/edit?pli=1#gid=257618397"",""stock FAKTUR!B:G""),6,false)"),"CLP-002")</f>
        <v>CLP-002</v>
      </c>
      <c r="J648" s="120" t="str">
        <f t="shared" si="25"/>
        <v>ADA</v>
      </c>
      <c r="K648" s="142">
        <v>150.0</v>
      </c>
      <c r="L648" s="145" t="str">
        <f>IFERROR(__xludf.DUMMYFUNCTION("vlookup($D648,IMPORTRANGE(""https://docs.google.com/spreadsheets/d/1swGwZOEqYlTEUCJLY-eeJM1911Kvaei5oySBIxdgtNo/edit?pli=1#gid=257618397"",""stock FAKTUR!B:q""),16,false)"),"BOX")</f>
        <v>BOX</v>
      </c>
      <c r="M648" s="147">
        <v>16000.0</v>
      </c>
      <c r="N648" s="152">
        <v>0.135</v>
      </c>
      <c r="O648" s="147">
        <f t="shared" si="173"/>
        <v>2076000</v>
      </c>
      <c r="P648" s="147" t="str">
        <f t="shared" si="3"/>
        <v>Rp16,000-150 BOX-13.50%</v>
      </c>
      <c r="Q648" s="149">
        <v>45422.0</v>
      </c>
      <c r="R648" s="150"/>
      <c r="S648" s="149">
        <v>45425.0</v>
      </c>
      <c r="T648" s="151"/>
      <c r="U648" s="151"/>
      <c r="V648" s="151"/>
      <c r="W648" s="151"/>
    </row>
    <row r="649">
      <c r="A649" s="142">
        <v>4862.0</v>
      </c>
      <c r="B649" s="143" t="str">
        <f t="shared" si="194"/>
        <v>H</v>
      </c>
      <c r="C649" s="143" t="str">
        <f t="shared" si="195"/>
        <v>ANUGRAH SEJAHTERA-PURWOKERTO</v>
      </c>
      <c r="D649" s="145" t="s">
        <v>4727</v>
      </c>
      <c r="E649" s="145" t="str">
        <f>IFERROR(__xludf.DUMMYFUNCTION("vlookup(D649,IMPORTRANGE(""https://docs.google.com/spreadsheets/d/1swGwZOEqYlTEUCJLY-eeJM1911Kvaei5oySBIxdgtNo/edit?pli=1#gid=257618397"",""stock FAKTUR!B:C""),2,false)"),"PUNCH KENKO 85")</f>
        <v>PUNCH KENKO 85</v>
      </c>
      <c r="F649" s="53" t="str">
        <f>IFERROR(__xludf.DUMMYFUNCTION("vlookup($D649,IMPORTRANGE(""https://docs.google.com/spreadsheets/d/1swGwZOEqYlTEUCJLY-eeJM1911Kvaei5oySBIxdgtNo/edit?pli=1#gid=257618397"",""stock FAKTUR!B:d""),3,false)"),"")</f>
        <v/>
      </c>
      <c r="G649" s="53" t="str">
        <f>IFERROR(__xludf.DUMMYFUNCTION("vlookup($D649,IMPORTRANGE(""https://docs.google.com/spreadsheets/d/1swGwZOEqYlTEUCJLY-eeJM1911Kvaei5oySBIxdgtNo/edit?pli=1#gid=257618397"",""stock FAKTUR!B:e""),4,false)"),"")</f>
        <v/>
      </c>
      <c r="H649" s="53" t="str">
        <f>IFERROR(__xludf.DUMMYFUNCTION("vlookup($D649,IMPORTRANGE(""https://docs.google.com/spreadsheets/d/1swGwZOEqYlTEUCJLY-eeJM1911Kvaei5oySBIxdgtNo/edit?pli=1#gid=257618397"",""stock FAKTUR!B:F""),5,false)"),"KN")</f>
        <v>KN</v>
      </c>
      <c r="I649" s="53" t="str">
        <f>IFERROR(__xludf.DUMMYFUNCTION("vlookup($D649,IMPORTRANGE(""https://docs.google.com/spreadsheets/d/1swGwZOEqYlTEUCJLY-eeJM1911Kvaei5oySBIxdgtNo/edit?pli=1#gid=257618397"",""stock FAKTUR!B:G""),6,false)"),"PNC-008")</f>
        <v>PNC-008</v>
      </c>
      <c r="J649" s="120" t="str">
        <f t="shared" si="25"/>
        <v>ADA</v>
      </c>
      <c r="K649" s="142">
        <v>48.0</v>
      </c>
      <c r="L649" s="145" t="str">
        <f>IFERROR(__xludf.DUMMYFUNCTION("vlookup($D649,IMPORTRANGE(""https://docs.google.com/spreadsheets/d/1swGwZOEqYlTEUCJLY-eeJM1911Kvaei5oySBIxdgtNo/edit?pli=1#gid=257618397"",""stock FAKTUR!B:q""),16,false)"),"PCS")</f>
        <v>PCS</v>
      </c>
      <c r="M649" s="147">
        <v>48500.0</v>
      </c>
      <c r="N649" s="152">
        <v>0.135</v>
      </c>
      <c r="O649" s="147">
        <f t="shared" si="173"/>
        <v>2013720</v>
      </c>
      <c r="P649" s="147" t="str">
        <f t="shared" si="3"/>
        <v>Rp48,500-48 PCS-13.50%</v>
      </c>
      <c r="Q649" s="149">
        <v>45422.0</v>
      </c>
      <c r="R649" s="150"/>
      <c r="S649" s="149">
        <v>45425.0</v>
      </c>
      <c r="T649" s="151"/>
      <c r="U649" s="151"/>
      <c r="V649" s="151"/>
      <c r="W649" s="151"/>
    </row>
    <row r="650">
      <c r="A650" s="142">
        <v>4862.0</v>
      </c>
      <c r="B650" s="143" t="str">
        <f t="shared" si="194"/>
        <v>H</v>
      </c>
      <c r="C650" s="143" t="str">
        <f t="shared" si="195"/>
        <v>ANUGRAH SEJAHTERA-PURWOKERTO</v>
      </c>
      <c r="D650" s="145" t="s">
        <v>4659</v>
      </c>
      <c r="E650" s="145" t="str">
        <f>IFERROR(__xludf.DUMMYFUNCTION("vlookup(D650,IMPORTRANGE(""https://docs.google.com/spreadsheets/d/1swGwZOEqYlTEUCJLY-eeJM1911Kvaei5oySBIxdgtNo/edit?pli=1#gid=257618397"",""stock FAKTUR!B:C""),2,false)"),"STAPLER JK HD-10")</f>
        <v>STAPLER JK HD-10</v>
      </c>
      <c r="F650" s="53" t="str">
        <f>IFERROR(__xludf.DUMMYFUNCTION("vlookup($D650,IMPORTRANGE(""https://docs.google.com/spreadsheets/d/1swGwZOEqYlTEUCJLY-eeJM1911Kvaei5oySBIxdgtNo/edit?pli=1#gid=257618397"",""stock FAKTUR!B:d""),3,false)"),"")</f>
        <v/>
      </c>
      <c r="G650" s="53" t="str">
        <f>IFERROR(__xludf.DUMMYFUNCTION("vlookup($D650,IMPORTRANGE(""https://docs.google.com/spreadsheets/d/1swGwZOEqYlTEUCJLY-eeJM1911Kvaei5oySBIxdgtNo/edit?pli=1#gid=257618397"",""stock FAKTUR!B:e""),4,false)"),"")</f>
        <v/>
      </c>
      <c r="H650" s="53" t="str">
        <f>IFERROR(__xludf.DUMMYFUNCTION("vlookup($D650,IMPORTRANGE(""https://docs.google.com/spreadsheets/d/1swGwZOEqYlTEUCJLY-eeJM1911Kvaei5oySBIxdgtNo/edit?pli=1#gid=257618397"",""stock FAKTUR!B:F""),5,false)"),"JK")</f>
        <v>JK</v>
      </c>
      <c r="I650" s="53" t="str">
        <f>IFERROR(__xludf.DUMMYFUNCTION("vlookup($D650,IMPORTRANGE(""https://docs.google.com/spreadsheets/d/1swGwZOEqYlTEUCJLY-eeJM1911Kvaei5oySBIxdgtNo/edit?pli=1#gid=257618397"",""stock FAKTUR!B:G""),6,false)"),"HD-10")</f>
        <v>HD-10</v>
      </c>
      <c r="J650" s="120" t="str">
        <f t="shared" si="25"/>
        <v>ADA</v>
      </c>
      <c r="K650" s="142">
        <v>40.0</v>
      </c>
      <c r="L650" s="145" t="str">
        <f>IFERROR(__xludf.DUMMYFUNCTION("vlookup($D650,IMPORTRANGE(""https://docs.google.com/spreadsheets/d/1swGwZOEqYlTEUCJLY-eeJM1911Kvaei5oySBIxdgtNo/edit?pli=1#gid=257618397"",""stock FAKTUR!B:q""),16,false)"),"LSN")</f>
        <v>LSN</v>
      </c>
      <c r="M650" s="147">
        <v>85200.0</v>
      </c>
      <c r="N650" s="152">
        <v>0.135</v>
      </c>
      <c r="O650" s="147">
        <f t="shared" si="173"/>
        <v>2947920</v>
      </c>
      <c r="P650" s="147" t="str">
        <f t="shared" si="3"/>
        <v>Rp85,200-40 LSN-13.50%</v>
      </c>
      <c r="Q650" s="149">
        <v>45422.0</v>
      </c>
      <c r="R650" s="150"/>
      <c r="S650" s="149">
        <v>45425.0</v>
      </c>
      <c r="T650" s="151"/>
      <c r="U650" s="151"/>
      <c r="V650" s="151"/>
      <c r="W650" s="151"/>
    </row>
    <row r="651">
      <c r="A651" s="142">
        <v>4860.0</v>
      </c>
      <c r="B651" s="143" t="s">
        <v>33</v>
      </c>
      <c r="C651" s="143" t="s">
        <v>2476</v>
      </c>
      <c r="D651" s="23" t="s">
        <v>4728</v>
      </c>
      <c r="E651" s="145" t="str">
        <f>IFERROR(__xludf.DUMMYFUNCTION("vlookup(D651,IMPORTRANGE(""https://docs.google.com/spreadsheets/d/1swGwZOEqYlTEUCJLY-eeJM1911Kvaei5oySBIxdgtNo/edit?pli=1#gid=257618397"",""stock FAKTUR!B:C""),2,false)"),"CUTTER GUNINDO SC08-C9A PUTIH")</f>
        <v>CUTTER GUNINDO SC08-C9A PUTIH</v>
      </c>
      <c r="F651" s="53" t="str">
        <f>IFERROR(__xludf.DUMMYFUNCTION("vlookup($D651,IMPORTRANGE(""https://docs.google.com/spreadsheets/d/1swGwZOEqYlTEUCJLY-eeJM1911Kvaei5oySBIxdgtNo/edit?pli=1#gid=257618397"",""stock FAKTUR!B:d""),3,false)"),"")</f>
        <v/>
      </c>
      <c r="G651" s="53" t="str">
        <f>IFERROR(__xludf.DUMMYFUNCTION("vlookup($D651,IMPORTRANGE(""https://docs.google.com/spreadsheets/d/1swGwZOEqYlTEUCJLY-eeJM1911Kvaei5oySBIxdgtNo/edit?pli=1#gid=257618397"",""stock FAKTUR!B:e""),4,false)"),"PUTIH")</f>
        <v>PUTIH</v>
      </c>
      <c r="H651" s="53" t="str">
        <f>IFERROR(__xludf.DUMMYFUNCTION("vlookup($D651,IMPORTRANGE(""https://docs.google.com/spreadsheets/d/1swGwZOEqYlTEUCJLY-eeJM1911Kvaei5oySBIxdgtNo/edit?pli=1#gid=257618397"",""stock FAKTUR!B:F""),5,false)"),"NB")</f>
        <v>NB</v>
      </c>
      <c r="I651" s="53" t="str">
        <f>IFERROR(__xludf.DUMMYFUNCTION("vlookup($D651,IMPORTRANGE(""https://docs.google.com/spreadsheets/d/1swGwZOEqYlTEUCJLY-eeJM1911Kvaei5oySBIxdgtNo/edit?pli=1#gid=257618397"",""stock FAKTUR!B:G""),6,false)"),"SC08-C9A")</f>
        <v>SC08-C9A</v>
      </c>
      <c r="J651" s="120" t="str">
        <f t="shared" si="25"/>
        <v>ADA</v>
      </c>
      <c r="K651" s="142">
        <v>60.0</v>
      </c>
      <c r="L651" s="145" t="str">
        <f>IFERROR(__xludf.DUMMYFUNCTION("vlookup($D651,IMPORTRANGE(""https://docs.google.com/spreadsheets/d/1swGwZOEqYlTEUCJLY-eeJM1911Kvaei5oySBIxdgtNo/edit?pli=1#gid=257618397"",""stock FAKTUR!B:q""),16,false)"),"LSN")</f>
        <v>LSN</v>
      </c>
      <c r="M651" s="147">
        <v>33000.0</v>
      </c>
      <c r="N651" s="152">
        <v>0.125</v>
      </c>
      <c r="O651" s="147">
        <f t="shared" si="173"/>
        <v>1732500</v>
      </c>
      <c r="P651" s="147" t="str">
        <f t="shared" si="3"/>
        <v>Rp33,000-60 LSN-12.50%</v>
      </c>
      <c r="Q651" s="149">
        <v>45422.0</v>
      </c>
      <c r="R651" s="150"/>
      <c r="S651" s="149">
        <v>45425.0</v>
      </c>
      <c r="T651" s="151"/>
      <c r="U651" s="151"/>
      <c r="V651" s="151"/>
      <c r="W651" s="151"/>
    </row>
    <row r="652">
      <c r="A652" s="142">
        <v>4860.0</v>
      </c>
      <c r="B652" s="143" t="str">
        <f t="shared" ref="B652:B653" si="196">IF(A652=A651,B651,"")</f>
        <v>H</v>
      </c>
      <c r="C652" s="143" t="str">
        <f t="shared" ref="C652:C653" si="197">IF(A652=A651,C651,"")</f>
        <v>PERDANA-BREBES</v>
      </c>
      <c r="D652" s="193" t="s">
        <v>4729</v>
      </c>
      <c r="E652" s="145" t="str">
        <f>IFERROR(__xludf.DUMMYFUNCTION("vlookup(D652,IMPORTRANGE(""https://docs.google.com/spreadsheets/d/1swGwZOEqYlTEUCJLY-eeJM1911Kvaei5oySBIxdgtNo/edit?pli=1#gid=257618397"",""stock FAKTUR!B:C""),2,false)"),"CUTTER GUNINDO A 18 TRANS")</f>
        <v>CUTTER GUNINDO A 18 TRANS</v>
      </c>
      <c r="F652" s="53" t="str">
        <f>IFERROR(__xludf.DUMMYFUNCTION("vlookup($D652,IMPORTRANGE(""https://docs.google.com/spreadsheets/d/1swGwZOEqYlTEUCJLY-eeJM1911Kvaei5oySBIxdgtNo/edit?pli=1#gid=257618397"",""stock FAKTUR!B:d""),3,false)"),"")</f>
        <v/>
      </c>
      <c r="G652" s="53" t="str">
        <f>IFERROR(__xludf.DUMMYFUNCTION("vlookup($D652,IMPORTRANGE(""https://docs.google.com/spreadsheets/d/1swGwZOEqYlTEUCJLY-eeJM1911Kvaei5oySBIxdgtNo/edit?pli=1#gid=257618397"",""stock FAKTUR!B:e""),4,false)"),"")</f>
        <v/>
      </c>
      <c r="H652" s="53" t="str">
        <f>IFERROR(__xludf.DUMMYFUNCTION("vlookup($D652,IMPORTRANGE(""https://docs.google.com/spreadsheets/d/1swGwZOEqYlTEUCJLY-eeJM1911Kvaei5oySBIxdgtNo/edit?pli=1#gid=257618397"",""stock FAKTUR!B:F""),5,false)"),"GN")</f>
        <v>GN</v>
      </c>
      <c r="I652" s="53" t="str">
        <f>IFERROR(__xludf.DUMMYFUNCTION("vlookup($D652,IMPORTRANGE(""https://docs.google.com/spreadsheets/d/1swGwZOEqYlTEUCJLY-eeJM1911Kvaei5oySBIxdgtNo/edit?pli=1#gid=257618397"",""stock FAKTUR!B:G""),6,false)"),"SC01-A18")</f>
        <v>SC01-A18</v>
      </c>
      <c r="J652" s="120" t="str">
        <f t="shared" si="25"/>
        <v>ADA</v>
      </c>
      <c r="K652" s="142">
        <v>60.0</v>
      </c>
      <c r="L652" s="145" t="str">
        <f>IFERROR(__xludf.DUMMYFUNCTION("vlookup($D652,IMPORTRANGE(""https://docs.google.com/spreadsheets/d/1swGwZOEqYlTEUCJLY-eeJM1911Kvaei5oySBIxdgtNo/edit?pli=1#gid=257618397"",""stock FAKTUR!B:q""),16,false)"),"LSN")</f>
        <v>LSN</v>
      </c>
      <c r="M652" s="147">
        <v>47500.0</v>
      </c>
      <c r="N652" s="152">
        <v>0.125</v>
      </c>
      <c r="O652" s="147">
        <f t="shared" si="173"/>
        <v>2493750</v>
      </c>
      <c r="P652" s="147" t="str">
        <f t="shared" si="3"/>
        <v>Rp47,500-60 LSN-12.50%</v>
      </c>
      <c r="Q652" s="149">
        <v>45422.0</v>
      </c>
      <c r="R652" s="150"/>
      <c r="S652" s="149">
        <v>45425.0</v>
      </c>
      <c r="T652" s="151"/>
      <c r="U652" s="151"/>
      <c r="V652" s="151"/>
      <c r="W652" s="151"/>
    </row>
    <row r="653">
      <c r="A653" s="142">
        <v>4860.0</v>
      </c>
      <c r="B653" s="143" t="str">
        <f t="shared" si="196"/>
        <v>H</v>
      </c>
      <c r="C653" s="143" t="str">
        <f t="shared" si="197"/>
        <v>PERDANA-BREBES</v>
      </c>
      <c r="D653" s="151" t="s">
        <v>4461</v>
      </c>
      <c r="E653" s="145" t="str">
        <f>IFERROR(__xludf.DUMMYFUNCTION("vlookup(D653,IMPORTRANGE(""https://docs.google.com/spreadsheets/d/1swGwZOEqYlTEUCJLY-eeJM1911Kvaei5oySBIxdgtNo/edit?pli=1#gid=257618397"",""stock FAKTUR!B:C""),2,false)"),"GUNTING GUNINDO OLL GR16")</f>
        <v>GUNTING GUNINDO OLL GR16</v>
      </c>
      <c r="F653" s="53" t="str">
        <f>IFERROR(__xludf.DUMMYFUNCTION("vlookup($D653,IMPORTRANGE(""https://docs.google.com/spreadsheets/d/1swGwZOEqYlTEUCJLY-eeJM1911Kvaei5oySBIxdgtNo/edit?pli=1#gid=257618397"",""stock FAKTUR!B:d""),3,false)"),"")</f>
        <v/>
      </c>
      <c r="G653" s="53" t="str">
        <f>IFERROR(__xludf.DUMMYFUNCTION("vlookup($D653,IMPORTRANGE(""https://docs.google.com/spreadsheets/d/1swGwZOEqYlTEUCJLY-eeJM1911Kvaei5oySBIxdgtNo/edit?pli=1#gid=257618397"",""stock FAKTUR!B:e""),4,false)"),"")</f>
        <v/>
      </c>
      <c r="H653" s="53" t="str">
        <f>IFERROR(__xludf.DUMMYFUNCTION("vlookup($D653,IMPORTRANGE(""https://docs.google.com/spreadsheets/d/1swGwZOEqYlTEUCJLY-eeJM1911Kvaei5oySBIxdgtNo/edit?pli=1#gid=257618397"",""stock FAKTUR!B:F""),5,false)"),"GN")</f>
        <v>GN</v>
      </c>
      <c r="I653" s="53" t="str">
        <f>IFERROR(__xludf.DUMMYFUNCTION("vlookup($D653,IMPORTRANGE(""https://docs.google.com/spreadsheets/d/1swGwZOEqYlTEUCJLY-eeJM1911Kvaei5oySBIxdgtNo/edit?pli=1#gid=257618397"",""stock FAKTUR!B:G""),6,false)"),"GR16")</f>
        <v>GR16</v>
      </c>
      <c r="J653" s="120" t="str">
        <f t="shared" si="25"/>
        <v>ADA</v>
      </c>
      <c r="K653" s="142">
        <v>30.0</v>
      </c>
      <c r="L653" s="145" t="str">
        <f>IFERROR(__xludf.DUMMYFUNCTION("vlookup($D653,IMPORTRANGE(""https://docs.google.com/spreadsheets/d/1swGwZOEqYlTEUCJLY-eeJM1911Kvaei5oySBIxdgtNo/edit?pli=1#gid=257618397"",""stock FAKTUR!B:q""),16,false)"),"LSN")</f>
        <v>LSN</v>
      </c>
      <c r="M653" s="147">
        <v>70000.0</v>
      </c>
      <c r="N653" s="152">
        <v>0.125</v>
      </c>
      <c r="O653" s="147">
        <f t="shared" si="173"/>
        <v>1837500</v>
      </c>
      <c r="P653" s="147" t="str">
        <f t="shared" si="3"/>
        <v>Rp70,000-30 LSN-12.50%</v>
      </c>
      <c r="Q653" s="149">
        <v>45422.0</v>
      </c>
      <c r="R653" s="150"/>
      <c r="S653" s="149">
        <v>45425.0</v>
      </c>
      <c r="T653" s="151"/>
      <c r="U653" s="151"/>
      <c r="V653" s="151"/>
      <c r="W653" s="151"/>
    </row>
    <row r="654">
      <c r="A654" s="142">
        <v>4856.0</v>
      </c>
      <c r="B654" s="143" t="s">
        <v>58</v>
      </c>
      <c r="C654" s="143" t="s">
        <v>2001</v>
      </c>
      <c r="D654" s="151" t="s">
        <v>4591</v>
      </c>
      <c r="E654" s="145" t="str">
        <f>IFERROR(__xludf.DUMMYFUNCTION("vlookup(D654,IMPORTRANGE(""https://docs.google.com/spreadsheets/d/1swGwZOEqYlTEUCJLY-eeJM1911Kvaei5oySBIxdgtNo/edit?pli=1#gid=257618397"",""stock FAKTUR!B:C""),2,false)"),"LOOSE LEAF KENKO A5 50")</f>
        <v>LOOSE LEAF KENKO A5 50</v>
      </c>
      <c r="F654" s="53" t="str">
        <f>IFERROR(__xludf.DUMMYFUNCTION("vlookup($D654,IMPORTRANGE(""https://docs.google.com/spreadsheets/d/1swGwZOEqYlTEUCJLY-eeJM1911Kvaei5oySBIxdgtNo/edit?pli=1#gid=257618397"",""stock FAKTUR!B:d""),3,false)"),"")</f>
        <v/>
      </c>
      <c r="G654" s="53" t="str">
        <f>IFERROR(__xludf.DUMMYFUNCTION("vlookup($D654,IMPORTRANGE(""https://docs.google.com/spreadsheets/d/1swGwZOEqYlTEUCJLY-eeJM1911Kvaei5oySBIxdgtNo/edit?pli=1#gid=257618397"",""stock FAKTUR!B:e""),4,false)"),"")</f>
        <v/>
      </c>
      <c r="H654" s="53" t="str">
        <f>IFERROR(__xludf.DUMMYFUNCTION("vlookup($D654,IMPORTRANGE(""https://docs.google.com/spreadsheets/d/1swGwZOEqYlTEUCJLY-eeJM1911Kvaei5oySBIxdgtNo/edit?pli=1#gid=257618397"",""stock FAKTUR!B:F""),5,false)"),"KN")</f>
        <v>KN</v>
      </c>
      <c r="I654" s="53" t="str">
        <f>IFERROR(__xludf.DUMMYFUNCTION("vlookup($D654,IMPORTRANGE(""https://docs.google.com/spreadsheets/d/1swGwZOEqYlTEUCJLY-eeJM1911Kvaei5oySBIxdgtNo/edit?pli=1#gid=257618397"",""stock FAKTUR!B:G""),6,false)"),"50-2070")</f>
        <v>50-2070</v>
      </c>
      <c r="J654" s="120" t="str">
        <f t="shared" si="25"/>
        <v>ADA</v>
      </c>
      <c r="K654" s="142">
        <v>192.0</v>
      </c>
      <c r="L654" s="145" t="str">
        <f>IFERROR(__xludf.DUMMYFUNCTION("vlookup($D654,IMPORTRANGE(""https://docs.google.com/spreadsheets/d/1swGwZOEqYlTEUCJLY-eeJM1911Kvaei5oySBIxdgtNo/edit?pli=1#gid=257618397"",""stock FAKTUR!B:q""),16,false)"),"PCS")</f>
        <v>PCS</v>
      </c>
      <c r="M654" s="147">
        <v>4400.0</v>
      </c>
      <c r="N654" s="152">
        <v>0.1</v>
      </c>
      <c r="O654" s="147">
        <f t="shared" si="173"/>
        <v>760320</v>
      </c>
      <c r="P654" s="147" t="str">
        <f t="shared" si="3"/>
        <v>Rp4,400-192 PCS-10.00%</v>
      </c>
      <c r="Q654" s="149">
        <v>45422.0</v>
      </c>
      <c r="R654" s="150"/>
      <c r="S654" s="149">
        <v>45425.0</v>
      </c>
      <c r="T654" s="194" t="s">
        <v>4730</v>
      </c>
      <c r="U654" s="192" t="s">
        <v>4390</v>
      </c>
      <c r="V654" s="151"/>
      <c r="W654" s="159"/>
    </row>
    <row r="655">
      <c r="A655" s="142">
        <v>4856.0</v>
      </c>
      <c r="B655" s="143" t="str">
        <f t="shared" ref="B655:B656" si="198">IF(A655=A654,B654,"")</f>
        <v>G</v>
      </c>
      <c r="C655" s="143" t="str">
        <f t="shared" ref="C655:C656" si="199">IF(A655=A654,C654,"")</f>
        <v>INDRASARI-MRANGGEN</v>
      </c>
      <c r="D655" s="145" t="s">
        <v>4592</v>
      </c>
      <c r="E655" s="145" t="str">
        <f>IFERROR(__xludf.DUMMYFUNCTION("vlookup(D655,IMPORTRANGE(""https://docs.google.com/spreadsheets/d/1swGwZOEqYlTEUCJLY-eeJM1911Kvaei5oySBIxdgtNo/edit?pli=1#gid=257618397"",""stock FAKTUR!B:C""),2,false)"),"LOOSE LEAF KENKO 100-2070 A5")</f>
        <v>LOOSE LEAF KENKO 100-2070 A5</v>
      </c>
      <c r="F655" s="53" t="str">
        <f>IFERROR(__xludf.DUMMYFUNCTION("vlookup($D655,IMPORTRANGE(""https://docs.google.com/spreadsheets/d/1swGwZOEqYlTEUCJLY-eeJM1911Kvaei5oySBIxdgtNo/edit?pli=1#gid=257618397"",""stock FAKTUR!B:d""),3,false)"),"A5")</f>
        <v>A5</v>
      </c>
      <c r="G655" s="53" t="str">
        <f>IFERROR(__xludf.DUMMYFUNCTION("vlookup($D655,IMPORTRANGE(""https://docs.google.com/spreadsheets/d/1swGwZOEqYlTEUCJLY-eeJM1911Kvaei5oySBIxdgtNo/edit?pli=1#gid=257618397"",""stock FAKTUR!B:e""),4,false)"),"")</f>
        <v/>
      </c>
      <c r="H655" s="53" t="str">
        <f>IFERROR(__xludf.DUMMYFUNCTION("vlookup($D655,IMPORTRANGE(""https://docs.google.com/spreadsheets/d/1swGwZOEqYlTEUCJLY-eeJM1911Kvaei5oySBIxdgtNo/edit?pli=1#gid=257618397"",""stock FAKTUR!B:F""),5,false)"),"KN")</f>
        <v>KN</v>
      </c>
      <c r="I655" s="53" t="str">
        <f>IFERROR(__xludf.DUMMYFUNCTION("vlookup($D655,IMPORTRANGE(""https://docs.google.com/spreadsheets/d/1swGwZOEqYlTEUCJLY-eeJM1911Kvaei5oySBIxdgtNo/edit?pli=1#gid=257618397"",""stock FAKTUR!B:G""),6,false)"),"LLF-002")</f>
        <v>LLF-002</v>
      </c>
      <c r="J655" s="120" t="str">
        <f t="shared" si="25"/>
        <v>ADA</v>
      </c>
      <c r="K655" s="142">
        <v>96.0</v>
      </c>
      <c r="L655" s="145" t="str">
        <f>IFERROR(__xludf.DUMMYFUNCTION("vlookup($D655,IMPORTRANGE(""https://docs.google.com/spreadsheets/d/1swGwZOEqYlTEUCJLY-eeJM1911Kvaei5oySBIxdgtNo/edit?pli=1#gid=257618397"",""stock FAKTUR!B:q""),16,false)"),"PCS")</f>
        <v>PCS</v>
      </c>
      <c r="M655" s="147">
        <v>8350.0</v>
      </c>
      <c r="N655" s="152">
        <v>0.1</v>
      </c>
      <c r="O655" s="147">
        <f t="shared" si="173"/>
        <v>721440</v>
      </c>
      <c r="P655" s="147" t="str">
        <f t="shared" si="3"/>
        <v>Rp8,350-96 PCS-10.00%</v>
      </c>
      <c r="Q655" s="149">
        <v>45422.0</v>
      </c>
      <c r="R655" s="150"/>
      <c r="S655" s="149">
        <v>45425.0</v>
      </c>
      <c r="T655" s="194" t="s">
        <v>4730</v>
      </c>
      <c r="U655" s="192" t="s">
        <v>4390</v>
      </c>
      <c r="V655" s="151"/>
      <c r="W655" s="159"/>
    </row>
    <row r="656">
      <c r="A656" s="142">
        <v>4856.0</v>
      </c>
      <c r="B656" s="143" t="str">
        <f t="shared" si="198"/>
        <v>G</v>
      </c>
      <c r="C656" s="143" t="str">
        <f t="shared" si="199"/>
        <v>INDRASARI-MRANGGEN</v>
      </c>
      <c r="D656" s="145" t="s">
        <v>4731</v>
      </c>
      <c r="E656" s="145" t="str">
        <f>IFERROR(__xludf.DUMMYFUNCTION("vlookup(D656,IMPORTRANGE(""https://docs.google.com/spreadsheets/d/1swGwZOEqYlTEUCJLY-eeJM1911Kvaei5oySBIxdgtNo/edit?pli=1#gid=257618397"",""stock FAKTUR!B:C""),2,false)"),"LOOSE LEAF KENKO 100-2670 B5")</f>
        <v>LOOSE LEAF KENKO 100-2670 B5</v>
      </c>
      <c r="F656" s="53" t="str">
        <f>IFERROR(__xludf.DUMMYFUNCTION("vlookup($D656,IMPORTRANGE(""https://docs.google.com/spreadsheets/d/1swGwZOEqYlTEUCJLY-eeJM1911Kvaei5oySBIxdgtNo/edit?pli=1#gid=257618397"",""stock FAKTUR!B:d""),3,false)"),"B5")</f>
        <v>B5</v>
      </c>
      <c r="G656" s="53" t="str">
        <f>IFERROR(__xludf.DUMMYFUNCTION("vlookup($D656,IMPORTRANGE(""https://docs.google.com/spreadsheets/d/1swGwZOEqYlTEUCJLY-eeJM1911Kvaei5oySBIxdgtNo/edit?pli=1#gid=257618397"",""stock FAKTUR!B:e""),4,false)"),"")</f>
        <v/>
      </c>
      <c r="H656" s="53" t="str">
        <f>IFERROR(__xludf.DUMMYFUNCTION("vlookup($D656,IMPORTRANGE(""https://docs.google.com/spreadsheets/d/1swGwZOEqYlTEUCJLY-eeJM1911Kvaei5oySBIxdgtNo/edit?pli=1#gid=257618397"",""stock FAKTUR!B:F""),5,false)"),"KN")</f>
        <v>KN</v>
      </c>
      <c r="I656" s="53" t="str">
        <f>IFERROR(__xludf.DUMMYFUNCTION("vlookup($D656,IMPORTRANGE(""https://docs.google.com/spreadsheets/d/1swGwZOEqYlTEUCJLY-eeJM1911Kvaei5oySBIxdgtNo/edit?pli=1#gid=257618397"",""stock FAKTUR!B:G""),6,false)"),"LLF-004")</f>
        <v>LLF-004</v>
      </c>
      <c r="J656" s="120" t="str">
        <f t="shared" si="25"/>
        <v>ADA</v>
      </c>
      <c r="K656" s="142">
        <v>80.0</v>
      </c>
      <c r="L656" s="145" t="str">
        <f>IFERROR(__xludf.DUMMYFUNCTION("vlookup($D656,IMPORTRANGE(""https://docs.google.com/spreadsheets/d/1swGwZOEqYlTEUCJLY-eeJM1911Kvaei5oySBIxdgtNo/edit?pli=1#gid=257618397"",""stock FAKTUR!B:q""),16,false)"),"PCS")</f>
        <v>PCS</v>
      </c>
      <c r="M656" s="147">
        <v>13000.0</v>
      </c>
      <c r="N656" s="152">
        <v>0.1</v>
      </c>
      <c r="O656" s="147">
        <f t="shared" si="173"/>
        <v>936000</v>
      </c>
      <c r="P656" s="147" t="str">
        <f t="shared" si="3"/>
        <v>Rp13,000-80 PCS-10.00%</v>
      </c>
      <c r="Q656" s="149">
        <v>45422.0</v>
      </c>
      <c r="R656" s="150"/>
      <c r="S656" s="149">
        <v>45425.0</v>
      </c>
      <c r="T656" s="194" t="s">
        <v>4730</v>
      </c>
      <c r="U656" s="192" t="s">
        <v>4390</v>
      </c>
      <c r="V656" s="151"/>
      <c r="W656" s="159"/>
    </row>
    <row r="657">
      <c r="A657" s="142">
        <v>4858.0</v>
      </c>
      <c r="B657" s="143" t="s">
        <v>58</v>
      </c>
      <c r="C657" s="143" t="s">
        <v>2395</v>
      </c>
      <c r="D657" s="159" t="s">
        <v>4611</v>
      </c>
      <c r="E657" s="145" t="str">
        <f>IFERROR(__xludf.DUMMYFUNCTION("vlookup(D657,IMPORTRANGE(""https://docs.google.com/spreadsheets/d/1swGwZOEqYlTEUCJLY-eeJM1911Kvaei5oySBIxdgtNo/edit?pli=1#gid=257618397"",""stock FAKTUR!B:C""),2,false)"),"PUSH PIN KENKO PN-30 WARNA")</f>
        <v>PUSH PIN KENKO PN-30 WARNA</v>
      </c>
      <c r="F657" s="53" t="str">
        <f>IFERROR(__xludf.DUMMYFUNCTION("vlookup($D657,IMPORTRANGE(""https://docs.google.com/spreadsheets/d/1swGwZOEqYlTEUCJLY-eeJM1911Kvaei5oySBIxdgtNo/edit?pli=1#gid=257618397"",""stock FAKTUR!B:d""),3,false)"),"")</f>
        <v/>
      </c>
      <c r="G657" s="53" t="str">
        <f>IFERROR(__xludf.DUMMYFUNCTION("vlookup($D657,IMPORTRANGE(""https://docs.google.com/spreadsheets/d/1swGwZOEqYlTEUCJLY-eeJM1911Kvaei5oySBIxdgtNo/edit?pli=1#gid=257618397"",""stock FAKTUR!B:e""),4,false)"),"")</f>
        <v/>
      </c>
      <c r="H657" s="53" t="str">
        <f>IFERROR(__xludf.DUMMYFUNCTION("vlookup($D657,IMPORTRANGE(""https://docs.google.com/spreadsheets/d/1swGwZOEqYlTEUCJLY-eeJM1911Kvaei5oySBIxdgtNo/edit?pli=1#gid=257618397"",""stock FAKTUR!B:F""),5,false)"),"KN")</f>
        <v>KN</v>
      </c>
      <c r="I657" s="53" t="str">
        <f>IFERROR(__xludf.DUMMYFUNCTION("vlookup($D657,IMPORTRANGE(""https://docs.google.com/spreadsheets/d/1swGwZOEqYlTEUCJLY-eeJM1911Kvaei5oySBIxdgtNo/edit?pli=1#gid=257618397"",""stock FAKTUR!B:G""),6,false)"),"PN-30")</f>
        <v>PN-30</v>
      </c>
      <c r="J657" s="120" t="str">
        <f t="shared" si="25"/>
        <v>ADA</v>
      </c>
      <c r="K657" s="142">
        <v>48.0</v>
      </c>
      <c r="L657" s="145" t="str">
        <f>IFERROR(__xludf.DUMMYFUNCTION("vlookup($D657,IMPORTRANGE(""https://docs.google.com/spreadsheets/d/1swGwZOEqYlTEUCJLY-eeJM1911Kvaei5oySBIxdgtNo/edit?pli=1#gid=257618397"",""stock FAKTUR!B:q""),16,false)"),"LSN")</f>
        <v>LSN</v>
      </c>
      <c r="M657" s="147">
        <v>33000.0</v>
      </c>
      <c r="N657" s="152">
        <v>0.125</v>
      </c>
      <c r="O657" s="147">
        <f t="shared" si="173"/>
        <v>1386000</v>
      </c>
      <c r="P657" s="147" t="str">
        <f t="shared" si="3"/>
        <v>Rp33,000-48 LSN-12.50%</v>
      </c>
      <c r="Q657" s="149">
        <v>45422.0</v>
      </c>
      <c r="R657" s="150"/>
      <c r="S657" s="149">
        <v>45425.0</v>
      </c>
      <c r="T657" s="151"/>
      <c r="U657" s="151"/>
      <c r="V657" s="151"/>
      <c r="W657" s="151"/>
    </row>
    <row r="658">
      <c r="A658" s="142">
        <v>4858.0</v>
      </c>
      <c r="B658" s="143" t="str">
        <f t="shared" ref="B658:B666" si="200">IF(A658=A657,B657,"")</f>
        <v>G</v>
      </c>
      <c r="C658" s="143" t="str">
        <f t="shared" ref="C658:C666" si="201">IF(A658=A657,C657,"")</f>
        <v>MITRA KAMPUS-KUDUS</v>
      </c>
      <c r="D658" s="145" t="s">
        <v>4708</v>
      </c>
      <c r="E658" s="145" t="str">
        <f>IFERROR(__xludf.DUMMYFUNCTION("vlookup(D658,IMPORTRANGE(""https://docs.google.com/spreadsheets/d/1swGwZOEqYlTEUCJLY-eeJM1911Kvaei5oySBIxdgtNo/edit?pli=1#gid=257618397"",""stock FAKTUR!B:C""),2,false)"),"BINDER CLIP KENKO NO. 155")</f>
        <v>BINDER CLIP KENKO NO. 155</v>
      </c>
      <c r="F658" s="53" t="str">
        <f>IFERROR(__xludf.DUMMYFUNCTION("vlookup($D658,IMPORTRANGE(""https://docs.google.com/spreadsheets/d/1swGwZOEqYlTEUCJLY-eeJM1911Kvaei5oySBIxdgtNo/edit?pli=1#gid=257618397"",""stock FAKTUR!B:d""),3,false)"),"")</f>
        <v/>
      </c>
      <c r="G658" s="53" t="str">
        <f>IFERROR(__xludf.DUMMYFUNCTION("vlookup($D658,IMPORTRANGE(""https://docs.google.com/spreadsheets/d/1swGwZOEqYlTEUCJLY-eeJM1911Kvaei5oySBIxdgtNo/edit?pli=1#gid=257618397"",""stock FAKTUR!B:e""),4,false)"),"")</f>
        <v/>
      </c>
      <c r="H658" s="53" t="str">
        <f>IFERROR(__xludf.DUMMYFUNCTION("vlookup($D658,IMPORTRANGE(""https://docs.google.com/spreadsheets/d/1swGwZOEqYlTEUCJLY-eeJM1911Kvaei5oySBIxdgtNo/edit?pli=1#gid=257618397"",""stock FAKTUR!B:F""),5,false)"),"KN")</f>
        <v>KN</v>
      </c>
      <c r="I658" s="53" t="str">
        <f>IFERROR(__xludf.DUMMYFUNCTION("vlookup($D658,IMPORTRANGE(""https://docs.google.com/spreadsheets/d/1swGwZOEqYlTEUCJLY-eeJM1911Kvaei5oySBIxdgtNo/edit?pli=1#gid=257618397"",""stock FAKTUR!B:G""),6,false)"),"BCL-004QH")</f>
        <v>BCL-004QH</v>
      </c>
      <c r="J658" s="120" t="str">
        <f t="shared" si="25"/>
        <v>ADA</v>
      </c>
      <c r="K658" s="142">
        <v>20.0</v>
      </c>
      <c r="L658" s="145" t="str">
        <f>IFERROR(__xludf.DUMMYFUNCTION("vlookup($D658,IMPORTRANGE(""https://docs.google.com/spreadsheets/d/1swGwZOEqYlTEUCJLY-eeJM1911Kvaei5oySBIxdgtNo/edit?pli=1#gid=257618397"",""stock FAKTUR!B:q""),16,false)"),"BOX")</f>
        <v>BOX</v>
      </c>
      <c r="M658" s="147">
        <v>69000.0</v>
      </c>
      <c r="N658" s="152">
        <v>0.125</v>
      </c>
      <c r="O658" s="147">
        <f t="shared" si="173"/>
        <v>1207500</v>
      </c>
      <c r="P658" s="147" t="str">
        <f t="shared" si="3"/>
        <v>Rp69,000-20 BOX-12.50%</v>
      </c>
      <c r="Q658" s="149">
        <v>45422.0</v>
      </c>
      <c r="R658" s="150"/>
      <c r="S658" s="149">
        <v>45425.0</v>
      </c>
      <c r="T658" s="194" t="s">
        <v>4440</v>
      </c>
      <c r="U658" s="192" t="s">
        <v>4732</v>
      </c>
      <c r="V658" s="151"/>
      <c r="W658" s="159"/>
    </row>
    <row r="659">
      <c r="A659" s="142">
        <v>4858.0</v>
      </c>
      <c r="B659" s="143" t="str">
        <f t="shared" si="200"/>
        <v>G</v>
      </c>
      <c r="C659" s="143" t="str">
        <f t="shared" si="201"/>
        <v>MITRA KAMPUS-KUDUS</v>
      </c>
      <c r="D659" s="145" t="s">
        <v>4609</v>
      </c>
      <c r="E659" s="145" t="str">
        <f>IFERROR(__xludf.DUMMYFUNCTION("vlookup(D659,IMPORTRANGE(""https://docs.google.com/spreadsheets/d/1swGwZOEqYlTEUCJLY-eeJM1911Kvaei5oySBIxdgtNo/edit?pli=1#gid=257618397"",""stock FAKTUR!B:C""),2,false)"),"STABILLO HIGHLIGHTER KENKO HL-100 HIJAU")</f>
        <v>STABILLO HIGHLIGHTER KENKO HL-100 HIJAU</v>
      </c>
      <c r="F659" s="53" t="str">
        <f>IFERROR(__xludf.DUMMYFUNCTION("vlookup($D659,IMPORTRANGE(""https://docs.google.com/spreadsheets/d/1swGwZOEqYlTEUCJLY-eeJM1911Kvaei5oySBIxdgtNo/edit?pli=1#gid=257618397"",""stock FAKTUR!B:d""),3,false)"),"")</f>
        <v/>
      </c>
      <c r="G659" s="53" t="str">
        <f>IFERROR(__xludf.DUMMYFUNCTION("vlookup($D659,IMPORTRANGE(""https://docs.google.com/spreadsheets/d/1swGwZOEqYlTEUCJLY-eeJM1911Kvaei5oySBIxdgtNo/edit?pli=1#gid=257618397"",""stock FAKTUR!B:e""),4,false)"),"HIJAU")</f>
        <v>HIJAU</v>
      </c>
      <c r="H659" s="53" t="str">
        <f>IFERROR(__xludf.DUMMYFUNCTION("vlookup($D659,IMPORTRANGE(""https://docs.google.com/spreadsheets/d/1swGwZOEqYlTEUCJLY-eeJM1911Kvaei5oySBIxdgtNo/edit?pli=1#gid=257618397"",""stock FAKTUR!B:F""),5,false)"),"KN")</f>
        <v>KN</v>
      </c>
      <c r="I659" s="53" t="str">
        <f>IFERROR(__xludf.DUMMYFUNCTION("vlookup($D659,IMPORTRANGE(""https://docs.google.com/spreadsheets/d/1swGwZOEqYlTEUCJLY-eeJM1911Kvaei5oySBIxdgtNo/edit?pli=1#gid=257618397"",""stock FAKTUR!B:G""),6,false)"),"")</f>
        <v/>
      </c>
      <c r="J659" s="120" t="str">
        <f t="shared" si="25"/>
        <v>ADA</v>
      </c>
      <c r="K659" s="142">
        <v>120.0</v>
      </c>
      <c r="L659" s="145" t="str">
        <f>IFERROR(__xludf.DUMMYFUNCTION("vlookup($D659,IMPORTRANGE(""https://docs.google.com/spreadsheets/d/1swGwZOEqYlTEUCJLY-eeJM1911Kvaei5oySBIxdgtNo/edit?pli=1#gid=257618397"",""stock FAKTUR!B:q""),16,false)"),"PCS")</f>
        <v>PCS</v>
      </c>
      <c r="M659" s="147">
        <v>3050.0</v>
      </c>
      <c r="N659" s="152">
        <v>0.125</v>
      </c>
      <c r="O659" s="147">
        <f t="shared" si="173"/>
        <v>320250</v>
      </c>
      <c r="P659" s="147" t="str">
        <f t="shared" si="3"/>
        <v>Rp3,050-120 PCS-12.50%</v>
      </c>
      <c r="Q659" s="149">
        <v>45422.0</v>
      </c>
      <c r="R659" s="150"/>
      <c r="S659" s="149">
        <v>45425.0</v>
      </c>
      <c r="T659" s="151"/>
      <c r="U659" s="151"/>
      <c r="V659" s="151"/>
      <c r="W659" s="151"/>
    </row>
    <row r="660">
      <c r="A660" s="142">
        <v>4858.0</v>
      </c>
      <c r="B660" s="143" t="str">
        <f t="shared" si="200"/>
        <v>G</v>
      </c>
      <c r="C660" s="143" t="str">
        <f t="shared" si="201"/>
        <v>MITRA KAMPUS-KUDUS</v>
      </c>
      <c r="D660" s="145" t="s">
        <v>4610</v>
      </c>
      <c r="E660" s="145" t="str">
        <f>IFERROR(__xludf.DUMMYFUNCTION("vlookup(D660,IMPORTRANGE(""https://docs.google.com/spreadsheets/d/1swGwZOEqYlTEUCJLY-eeJM1911Kvaei5oySBIxdgtNo/edit?pli=1#gid=257618397"",""stock FAKTUR!B:C""),2,false)"),"STABILLO HIGHLIGHTER KENKO HL-100 PINK")</f>
        <v>STABILLO HIGHLIGHTER KENKO HL-100 PINK</v>
      </c>
      <c r="F660" s="53" t="str">
        <f>IFERROR(__xludf.DUMMYFUNCTION("vlookup($D660,IMPORTRANGE(""https://docs.google.com/spreadsheets/d/1swGwZOEqYlTEUCJLY-eeJM1911Kvaei5oySBIxdgtNo/edit?pli=1#gid=257618397"",""stock FAKTUR!B:d""),3,false)"),"")</f>
        <v/>
      </c>
      <c r="G660" s="53" t="str">
        <f>IFERROR(__xludf.DUMMYFUNCTION("vlookup($D660,IMPORTRANGE(""https://docs.google.com/spreadsheets/d/1swGwZOEqYlTEUCJLY-eeJM1911Kvaei5oySBIxdgtNo/edit?pli=1#gid=257618397"",""stock FAKTUR!B:e""),4,false)"),"PINK")</f>
        <v>PINK</v>
      </c>
      <c r="H660" s="53" t="str">
        <f>IFERROR(__xludf.DUMMYFUNCTION("vlookup($D660,IMPORTRANGE(""https://docs.google.com/spreadsheets/d/1swGwZOEqYlTEUCJLY-eeJM1911Kvaei5oySBIxdgtNo/edit?pli=1#gid=257618397"",""stock FAKTUR!B:F""),5,false)"),"KN")</f>
        <v>KN</v>
      </c>
      <c r="I660" s="53" t="str">
        <f>IFERROR(__xludf.DUMMYFUNCTION("vlookup($D660,IMPORTRANGE(""https://docs.google.com/spreadsheets/d/1swGwZOEqYlTEUCJLY-eeJM1911Kvaei5oySBIxdgtNo/edit?pli=1#gid=257618397"",""stock FAKTUR!B:G""),6,false)"),"")</f>
        <v/>
      </c>
      <c r="J660" s="120" t="str">
        <f t="shared" si="25"/>
        <v>ADA</v>
      </c>
      <c r="K660" s="142">
        <v>120.0</v>
      </c>
      <c r="L660" s="145" t="str">
        <f>IFERROR(__xludf.DUMMYFUNCTION("vlookup($D660,IMPORTRANGE(""https://docs.google.com/spreadsheets/d/1swGwZOEqYlTEUCJLY-eeJM1911Kvaei5oySBIxdgtNo/edit?pli=1#gid=257618397"",""stock FAKTUR!B:q""),16,false)"),"PCS")</f>
        <v>PCS</v>
      </c>
      <c r="M660" s="147">
        <v>3050.0</v>
      </c>
      <c r="N660" s="152">
        <v>0.125</v>
      </c>
      <c r="O660" s="147">
        <f t="shared" si="173"/>
        <v>320250</v>
      </c>
      <c r="P660" s="147" t="str">
        <f t="shared" si="3"/>
        <v>Rp3,050-120 PCS-12.50%</v>
      </c>
      <c r="Q660" s="149">
        <v>45422.0</v>
      </c>
      <c r="R660" s="150"/>
      <c r="S660" s="149">
        <v>45425.0</v>
      </c>
      <c r="T660" s="151"/>
      <c r="U660" s="151"/>
      <c r="V660" s="151"/>
      <c r="W660" s="151"/>
    </row>
    <row r="661">
      <c r="A661" s="142">
        <v>4858.0</v>
      </c>
      <c r="B661" s="143" t="str">
        <f t="shared" si="200"/>
        <v>G</v>
      </c>
      <c r="C661" s="143" t="str">
        <f t="shared" si="201"/>
        <v>MITRA KAMPUS-KUDUS</v>
      </c>
      <c r="D661" s="145" t="s">
        <v>4733</v>
      </c>
      <c r="E661" s="145" t="str">
        <f>IFERROR(__xludf.DUMMYFUNCTION("vlookup(D661,IMPORTRANGE(""https://docs.google.com/spreadsheets/d/1swGwZOEqYlTEUCJLY-eeJM1911Kvaei5oySBIxdgtNo/edit?pli=1#gid=257618397"",""stock FAKTUR!B:C""),2,false)"),"STABILLO HIGHLIGHTER KENKO HL-100 UNGU")</f>
        <v>STABILLO HIGHLIGHTER KENKO HL-100 UNGU</v>
      </c>
      <c r="F661" s="53" t="str">
        <f>IFERROR(__xludf.DUMMYFUNCTION("vlookup($D661,IMPORTRANGE(""https://docs.google.com/spreadsheets/d/1swGwZOEqYlTEUCJLY-eeJM1911Kvaei5oySBIxdgtNo/edit?pli=1#gid=257618397"",""stock FAKTUR!B:d""),3,false)"),"")</f>
        <v/>
      </c>
      <c r="G661" s="53" t="str">
        <f>IFERROR(__xludf.DUMMYFUNCTION("vlookup($D661,IMPORTRANGE(""https://docs.google.com/spreadsheets/d/1swGwZOEqYlTEUCJLY-eeJM1911Kvaei5oySBIxdgtNo/edit?pli=1#gid=257618397"",""stock FAKTUR!B:e""),4,false)"),"UNGU")</f>
        <v>UNGU</v>
      </c>
      <c r="H661" s="53" t="str">
        <f>IFERROR(__xludf.DUMMYFUNCTION("vlookup($D661,IMPORTRANGE(""https://docs.google.com/spreadsheets/d/1swGwZOEqYlTEUCJLY-eeJM1911Kvaei5oySBIxdgtNo/edit?pli=1#gid=257618397"",""stock FAKTUR!B:F""),5,false)"),"KN")</f>
        <v>KN</v>
      </c>
      <c r="I661" s="53" t="str">
        <f>IFERROR(__xludf.DUMMYFUNCTION("vlookup($D661,IMPORTRANGE(""https://docs.google.com/spreadsheets/d/1swGwZOEqYlTEUCJLY-eeJM1911Kvaei5oySBIxdgtNo/edit?pli=1#gid=257618397"",""stock FAKTUR!B:G""),6,false)"),"HLT-001V")</f>
        <v>HLT-001V</v>
      </c>
      <c r="J661" s="120" t="str">
        <f t="shared" si="25"/>
        <v>ADA</v>
      </c>
      <c r="K661" s="142">
        <v>120.0</v>
      </c>
      <c r="L661" s="145" t="str">
        <f>IFERROR(__xludf.DUMMYFUNCTION("vlookup($D661,IMPORTRANGE(""https://docs.google.com/spreadsheets/d/1swGwZOEqYlTEUCJLY-eeJM1911Kvaei5oySBIxdgtNo/edit?pli=1#gid=257618397"",""stock FAKTUR!B:q""),16,false)"),"PCS")</f>
        <v>PCS</v>
      </c>
      <c r="M661" s="147">
        <v>3050.0</v>
      </c>
      <c r="N661" s="152">
        <v>0.125</v>
      </c>
      <c r="O661" s="147">
        <f t="shared" si="173"/>
        <v>320250</v>
      </c>
      <c r="P661" s="147" t="str">
        <f t="shared" si="3"/>
        <v>Rp3,050-120 PCS-12.50%</v>
      </c>
      <c r="Q661" s="149">
        <v>45422.0</v>
      </c>
      <c r="R661" s="150"/>
      <c r="S661" s="149">
        <v>45425.0</v>
      </c>
      <c r="T661" s="151"/>
      <c r="U661" s="151"/>
      <c r="V661" s="151"/>
      <c r="W661" s="151"/>
    </row>
    <row r="662">
      <c r="A662" s="142">
        <v>4858.0</v>
      </c>
      <c r="B662" s="143" t="str">
        <f t="shared" si="200"/>
        <v>G</v>
      </c>
      <c r="C662" s="143" t="str">
        <f t="shared" si="201"/>
        <v>MITRA KAMPUS-KUDUS</v>
      </c>
      <c r="D662" s="145" t="s">
        <v>4734</v>
      </c>
      <c r="E662" s="145" t="str">
        <f>IFERROR(__xludf.DUMMYFUNCTION("vlookup(D662,IMPORTRANGE(""https://docs.google.com/spreadsheets/d/1swGwZOEqYlTEUCJLY-eeJM1911Kvaei5oySBIxdgtNo/edit?pli=1#gid=257618397"",""stock FAKTUR!B:C""),2,false)"),"STABILLO HIGHLIGHTER KENKO HL-100 KUNING")</f>
        <v>STABILLO HIGHLIGHTER KENKO HL-100 KUNING</v>
      </c>
      <c r="F662" s="53" t="str">
        <f>IFERROR(__xludf.DUMMYFUNCTION("vlookup($D662,IMPORTRANGE(""https://docs.google.com/spreadsheets/d/1swGwZOEqYlTEUCJLY-eeJM1911Kvaei5oySBIxdgtNo/edit?pli=1#gid=257618397"",""stock FAKTUR!B:d""),3,false)"),"")</f>
        <v/>
      </c>
      <c r="G662" s="53" t="str">
        <f>IFERROR(__xludf.DUMMYFUNCTION("vlookup($D662,IMPORTRANGE(""https://docs.google.com/spreadsheets/d/1swGwZOEqYlTEUCJLY-eeJM1911Kvaei5oySBIxdgtNo/edit?pli=1#gid=257618397"",""stock FAKTUR!B:e""),4,false)"),"KUNING")</f>
        <v>KUNING</v>
      </c>
      <c r="H662" s="53" t="str">
        <f>IFERROR(__xludf.DUMMYFUNCTION("vlookup($D662,IMPORTRANGE(""https://docs.google.com/spreadsheets/d/1swGwZOEqYlTEUCJLY-eeJM1911Kvaei5oySBIxdgtNo/edit?pli=1#gid=257618397"",""stock FAKTUR!B:F""),5,false)"),"KN")</f>
        <v>KN</v>
      </c>
      <c r="I662" s="53" t="str">
        <f>IFERROR(__xludf.DUMMYFUNCTION("vlookup($D662,IMPORTRANGE(""https://docs.google.com/spreadsheets/d/1swGwZOEqYlTEUCJLY-eeJM1911Kvaei5oySBIxdgtNo/edit?pli=1#gid=257618397"",""stock FAKTUR!B:G""),6,false)"),"")</f>
        <v/>
      </c>
      <c r="J662" s="120" t="str">
        <f t="shared" si="25"/>
        <v>ADA</v>
      </c>
      <c r="K662" s="142">
        <v>120.0</v>
      </c>
      <c r="L662" s="145" t="str">
        <f>IFERROR(__xludf.DUMMYFUNCTION("vlookup($D662,IMPORTRANGE(""https://docs.google.com/spreadsheets/d/1swGwZOEqYlTEUCJLY-eeJM1911Kvaei5oySBIxdgtNo/edit?pli=1#gid=257618397"",""stock FAKTUR!B:q""),16,false)"),"PCS")</f>
        <v>PCS</v>
      </c>
      <c r="M662" s="147">
        <v>3050.0</v>
      </c>
      <c r="N662" s="152">
        <v>0.125</v>
      </c>
      <c r="O662" s="147">
        <f t="shared" si="173"/>
        <v>320250</v>
      </c>
      <c r="P662" s="147" t="str">
        <f t="shared" si="3"/>
        <v>Rp3,050-120 PCS-12.50%</v>
      </c>
      <c r="Q662" s="149">
        <v>45422.0</v>
      </c>
      <c r="R662" s="150"/>
      <c r="S662" s="149">
        <v>45425.0</v>
      </c>
      <c r="T662" s="151"/>
      <c r="U662" s="151"/>
      <c r="V662" s="151"/>
      <c r="W662" s="151"/>
    </row>
    <row r="663">
      <c r="A663" s="142">
        <v>4858.0</v>
      </c>
      <c r="B663" s="143" t="str">
        <f t="shared" si="200"/>
        <v>G</v>
      </c>
      <c r="C663" s="143" t="str">
        <f t="shared" si="201"/>
        <v>MITRA KAMPUS-KUDUS</v>
      </c>
      <c r="D663" s="21" t="s">
        <v>4735</v>
      </c>
      <c r="E663" s="145" t="str">
        <f>IFERROR(__xludf.DUMMYFUNCTION("vlookup(D663,IMPORTRANGE(""https://docs.google.com/spreadsheets/d/1swGwZOEqYlTEUCJLY-eeJM1911Kvaei5oySBIxdgtNo/edit?pli=1#gid=257618397"",""stock FAKTUR!B:C""),2,false)"),"BP KENKO 4 IN 1 BP-418")</f>
        <v>BP KENKO 4 IN 1 BP-418</v>
      </c>
      <c r="F663" s="53" t="str">
        <f>IFERROR(__xludf.DUMMYFUNCTION("vlookup($D663,IMPORTRANGE(""https://docs.google.com/spreadsheets/d/1swGwZOEqYlTEUCJLY-eeJM1911Kvaei5oySBIxdgtNo/edit?pli=1#gid=257618397"",""stock FAKTUR!B:d""),3,false)"),"")</f>
        <v/>
      </c>
      <c r="G663" s="53" t="str">
        <f>IFERROR(__xludf.DUMMYFUNCTION("vlookup($D663,IMPORTRANGE(""https://docs.google.com/spreadsheets/d/1swGwZOEqYlTEUCJLY-eeJM1911Kvaei5oySBIxdgtNo/edit?pli=1#gid=257618397"",""stock FAKTUR!B:e""),4,false)"),"")</f>
        <v/>
      </c>
      <c r="H663" s="53" t="str">
        <f>IFERROR(__xludf.DUMMYFUNCTION("vlookup($D663,IMPORTRANGE(""https://docs.google.com/spreadsheets/d/1swGwZOEqYlTEUCJLY-eeJM1911Kvaei5oySBIxdgtNo/edit?pli=1#gid=257618397"",""stock FAKTUR!B:F""),5,false)"),"KN")</f>
        <v>KN</v>
      </c>
      <c r="I663" s="53" t="str">
        <f>IFERROR(__xludf.DUMMYFUNCTION("vlookup($D663,IMPORTRANGE(""https://docs.google.com/spreadsheets/d/1swGwZOEqYlTEUCJLY-eeJM1911Kvaei5oySBIxdgtNo/edit?pli=1#gid=257618397"",""stock FAKTUR!B:G""),6,false)"),"BP-418")</f>
        <v>BP-418</v>
      </c>
      <c r="J663" s="120" t="str">
        <f t="shared" si="25"/>
        <v>ADA</v>
      </c>
      <c r="K663" s="142">
        <v>144.0</v>
      </c>
      <c r="L663" s="145" t="str">
        <f>IFERROR(__xludf.DUMMYFUNCTION("vlookup($D663,IMPORTRANGE(""https://docs.google.com/spreadsheets/d/1swGwZOEqYlTEUCJLY-eeJM1911Kvaei5oySBIxdgtNo/edit?pli=1#gid=257618397"",""stock FAKTUR!B:q""),16,false)"),"LSN")</f>
        <v>LSN</v>
      </c>
      <c r="M663" s="147">
        <v>49200.0</v>
      </c>
      <c r="N663" s="152">
        <v>0.125</v>
      </c>
      <c r="O663" s="147">
        <f t="shared" si="173"/>
        <v>6199200</v>
      </c>
      <c r="P663" s="147" t="str">
        <f t="shared" si="3"/>
        <v>Rp49,200-144 LSN-12.50%</v>
      </c>
      <c r="Q663" s="149">
        <v>45422.0</v>
      </c>
      <c r="R663" s="150"/>
      <c r="S663" s="149">
        <v>45425.0</v>
      </c>
      <c r="T663" s="194" t="s">
        <v>4736</v>
      </c>
      <c r="U663" s="192" t="s">
        <v>4390</v>
      </c>
      <c r="V663" s="151"/>
      <c r="W663" s="159"/>
    </row>
    <row r="664">
      <c r="A664" s="142">
        <v>4858.0</v>
      </c>
      <c r="B664" s="143" t="str">
        <f t="shared" si="200"/>
        <v>G</v>
      </c>
      <c r="C664" s="143" t="str">
        <f t="shared" si="201"/>
        <v>MITRA KAMPUS-KUDUS</v>
      </c>
      <c r="D664" s="145" t="s">
        <v>4726</v>
      </c>
      <c r="E664" s="145" t="str">
        <f>IFERROR(__xludf.DUMMYFUNCTION("vlookup(D664,IMPORTRANGE(""https://docs.google.com/spreadsheets/d/1swGwZOEqYlTEUCJLY-eeJM1911Kvaei5oySBIxdgtNo/edit?pli=1#gid=257618397"",""stock FAKTUR!B:C""),2,false)"),"CLIP TRIGONAL KENKO NO. 3")</f>
        <v>CLIP TRIGONAL KENKO NO. 3</v>
      </c>
      <c r="F664" s="53" t="str">
        <f>IFERROR(__xludf.DUMMYFUNCTION("vlookup($D664,IMPORTRANGE(""https://docs.google.com/spreadsheets/d/1swGwZOEqYlTEUCJLY-eeJM1911Kvaei5oySBIxdgtNo/edit?pli=1#gid=257618397"",""stock FAKTUR!B:d""),3,false)"),"")</f>
        <v/>
      </c>
      <c r="G664" s="53" t="str">
        <f>IFERROR(__xludf.DUMMYFUNCTION("vlookup($D664,IMPORTRANGE(""https://docs.google.com/spreadsheets/d/1swGwZOEqYlTEUCJLY-eeJM1911Kvaei5oySBIxdgtNo/edit?pli=1#gid=257618397"",""stock FAKTUR!B:e""),4,false)"),"")</f>
        <v/>
      </c>
      <c r="H664" s="53" t="str">
        <f>IFERROR(__xludf.DUMMYFUNCTION("vlookup($D664,IMPORTRANGE(""https://docs.google.com/spreadsheets/d/1swGwZOEqYlTEUCJLY-eeJM1911Kvaei5oySBIxdgtNo/edit?pli=1#gid=257618397"",""stock FAKTUR!B:F""),5,false)"),"KN")</f>
        <v>KN</v>
      </c>
      <c r="I664" s="53" t="str">
        <f>IFERROR(__xludf.DUMMYFUNCTION("vlookup($D664,IMPORTRANGE(""https://docs.google.com/spreadsheets/d/1swGwZOEqYlTEUCJLY-eeJM1911Kvaei5oySBIxdgtNo/edit?pli=1#gid=257618397"",""stock FAKTUR!B:G""),6,false)"),"CLP-002")</f>
        <v>CLP-002</v>
      </c>
      <c r="J664" s="120" t="str">
        <f t="shared" si="25"/>
        <v>ADA</v>
      </c>
      <c r="K664" s="142">
        <v>50.0</v>
      </c>
      <c r="L664" s="145" t="str">
        <f>IFERROR(__xludf.DUMMYFUNCTION("vlookup($D664,IMPORTRANGE(""https://docs.google.com/spreadsheets/d/1swGwZOEqYlTEUCJLY-eeJM1911Kvaei5oySBIxdgtNo/edit?pli=1#gid=257618397"",""stock FAKTUR!B:q""),16,false)"),"BOX")</f>
        <v>BOX</v>
      </c>
      <c r="M664" s="147">
        <v>16000.0</v>
      </c>
      <c r="N664" s="152">
        <v>0.125</v>
      </c>
      <c r="O664" s="147">
        <f t="shared" si="173"/>
        <v>700000</v>
      </c>
      <c r="P664" s="147" t="str">
        <f t="shared" si="3"/>
        <v>Rp16,000-50 BOX-12.50%</v>
      </c>
      <c r="Q664" s="149">
        <v>45422.0</v>
      </c>
      <c r="R664" s="150"/>
      <c r="S664" s="149">
        <v>45425.0</v>
      </c>
      <c r="T664" s="151"/>
      <c r="U664" s="151"/>
      <c r="V664" s="151"/>
      <c r="W664" s="151"/>
    </row>
    <row r="665">
      <c r="A665" s="142">
        <v>4858.0</v>
      </c>
      <c r="B665" s="143" t="str">
        <f t="shared" si="200"/>
        <v>G</v>
      </c>
      <c r="C665" s="143" t="str">
        <f t="shared" si="201"/>
        <v>MITRA KAMPUS-KUDUS</v>
      </c>
      <c r="D665" s="145" t="s">
        <v>4737</v>
      </c>
      <c r="E665" s="145" t="str">
        <f>IFERROR(__xludf.DUMMYFUNCTION("vlookup(D665,IMPORTRANGE(""https://docs.google.com/spreadsheets/d/1swGwZOEqYlTEUCJLY-eeJM1911Kvaei5oySBIxdgtNo/edit?pli=1#gid=257618397"",""stock FAKTUR!B:C""),2,false)"),"CLIP KENKO NO. 5 JUMBO")</f>
        <v>CLIP KENKO NO. 5 JUMBO</v>
      </c>
      <c r="F665" s="53" t="str">
        <f>IFERROR(__xludf.DUMMYFUNCTION("vlookup($D665,IMPORTRANGE(""https://docs.google.com/spreadsheets/d/1swGwZOEqYlTEUCJLY-eeJM1911Kvaei5oySBIxdgtNo/edit?pli=1#gid=257618397"",""stock FAKTUR!B:d""),3,false)"),"J")</f>
        <v>J</v>
      </c>
      <c r="G665" s="53" t="str">
        <f>IFERROR(__xludf.DUMMYFUNCTION("vlookup($D665,IMPORTRANGE(""https://docs.google.com/spreadsheets/d/1swGwZOEqYlTEUCJLY-eeJM1911Kvaei5oySBIxdgtNo/edit?pli=1#gid=257618397"",""stock FAKTUR!B:e""),4,false)"),"")</f>
        <v/>
      </c>
      <c r="H665" s="53" t="str">
        <f>IFERROR(__xludf.DUMMYFUNCTION("vlookup($D665,IMPORTRANGE(""https://docs.google.com/spreadsheets/d/1swGwZOEqYlTEUCJLY-eeJM1911Kvaei5oySBIxdgtNo/edit?pli=1#gid=257618397"",""stock FAKTUR!B:F""),5,false)"),"KN")</f>
        <v>KN</v>
      </c>
      <c r="I665" s="53" t="str">
        <f>IFERROR(__xludf.DUMMYFUNCTION("vlookup($D665,IMPORTRANGE(""https://docs.google.com/spreadsheets/d/1swGwZOEqYlTEUCJLY-eeJM1911Kvaei5oySBIxdgtNo/edit?pli=1#gid=257618397"",""stock FAKTUR!B:G""),6,false)"),"CLP-003")</f>
        <v>CLP-003</v>
      </c>
      <c r="J665" s="120" t="str">
        <f t="shared" si="25"/>
        <v>ADA</v>
      </c>
      <c r="K665" s="142">
        <v>20.0</v>
      </c>
      <c r="L665" s="145" t="str">
        <f>IFERROR(__xludf.DUMMYFUNCTION("vlookup($D665,IMPORTRANGE(""https://docs.google.com/spreadsheets/d/1swGwZOEqYlTEUCJLY-eeJM1911Kvaei5oySBIxdgtNo/edit?pli=1#gid=257618397"",""stock FAKTUR!B:q""),16,false)"),"BOX")</f>
        <v>BOX</v>
      </c>
      <c r="M665" s="147">
        <v>43000.0</v>
      </c>
      <c r="N665" s="152">
        <v>0.125</v>
      </c>
      <c r="O665" s="147">
        <f t="shared" si="173"/>
        <v>752500</v>
      </c>
      <c r="P665" s="147" t="str">
        <f t="shared" si="3"/>
        <v>Rp43,000-20 BOX-12.50%</v>
      </c>
      <c r="Q665" s="149">
        <v>45422.0</v>
      </c>
      <c r="R665" s="150"/>
      <c r="S665" s="149">
        <v>45425.0</v>
      </c>
      <c r="T665" s="151"/>
      <c r="U665" s="151"/>
      <c r="V665" s="151"/>
      <c r="W665" s="151"/>
    </row>
    <row r="666">
      <c r="A666" s="142">
        <v>4858.0</v>
      </c>
      <c r="B666" s="143" t="str">
        <f t="shared" si="200"/>
        <v>G</v>
      </c>
      <c r="C666" s="143" t="str">
        <f t="shared" si="201"/>
        <v>MITRA KAMPUS-KUDUS</v>
      </c>
      <c r="D666" s="145" t="s">
        <v>4679</v>
      </c>
      <c r="E666" s="145" t="str">
        <f>IFERROR(__xludf.DUMMYFUNCTION("vlookup(D666,IMPORTRANGE(""https://docs.google.com/spreadsheets/d/1swGwZOEqYlTEUCJLY-eeJM1911Kvaei5oySBIxdgtNo/edit?pli=1#gid=257618397"",""stock FAKTUR!B:C""),2,false)"),"TIPEX KENKO CT-909")</f>
        <v>TIPEX KENKO CT-909</v>
      </c>
      <c r="F666" s="53" t="str">
        <f>IFERROR(__xludf.DUMMYFUNCTION("vlookup($D666,IMPORTRANGE(""https://docs.google.com/spreadsheets/d/1swGwZOEqYlTEUCJLY-eeJM1911Kvaei5oySBIxdgtNo/edit?pli=1#gid=257618397"",""stock FAKTUR!B:d""),3,false)"),"12 M X 5 MM")</f>
        <v>12 M X 5 MM</v>
      </c>
      <c r="G666" s="53" t="str">
        <f>IFERROR(__xludf.DUMMYFUNCTION("vlookup($D666,IMPORTRANGE(""https://docs.google.com/spreadsheets/d/1swGwZOEqYlTEUCJLY-eeJM1911Kvaei5oySBIxdgtNo/edit?pli=1#gid=257618397"",""stock FAKTUR!B:e""),4,false)"),"")</f>
        <v/>
      </c>
      <c r="H666" s="53" t="str">
        <f>IFERROR(__xludf.DUMMYFUNCTION("vlookup($D666,IMPORTRANGE(""https://docs.google.com/spreadsheets/d/1swGwZOEqYlTEUCJLY-eeJM1911Kvaei5oySBIxdgtNo/edit?pli=1#gid=257618397"",""stock FAKTUR!B:F""),5,false)"),"KN")</f>
        <v>KN</v>
      </c>
      <c r="I666" s="53" t="str">
        <f>IFERROR(__xludf.DUMMYFUNCTION("vlookup($D666,IMPORTRANGE(""https://docs.google.com/spreadsheets/d/1swGwZOEqYlTEUCJLY-eeJM1911Kvaei5oySBIxdgtNo/edit?pli=1#gid=257618397"",""stock FAKTUR!B:G""),6,false)"),"CTP-035")</f>
        <v>CTP-035</v>
      </c>
      <c r="J666" s="120" t="str">
        <f t="shared" si="25"/>
        <v>ADA</v>
      </c>
      <c r="K666" s="142">
        <v>48.0</v>
      </c>
      <c r="L666" s="145" t="str">
        <f>IFERROR(__xludf.DUMMYFUNCTION("vlookup($D666,IMPORTRANGE(""https://docs.google.com/spreadsheets/d/1swGwZOEqYlTEUCJLY-eeJM1911Kvaei5oySBIxdgtNo/edit?pli=1#gid=257618397"",""stock FAKTUR!B:q""),16,false)"),"LSN")</f>
        <v>LSN</v>
      </c>
      <c r="M666" s="147">
        <v>54000.0</v>
      </c>
      <c r="N666" s="152">
        <v>0.125</v>
      </c>
      <c r="O666" s="147">
        <f t="shared" si="173"/>
        <v>2268000</v>
      </c>
      <c r="P666" s="147" t="str">
        <f t="shared" si="3"/>
        <v>Rp54,000-48 LSN-12.50%</v>
      </c>
      <c r="Q666" s="149">
        <v>45422.0</v>
      </c>
      <c r="R666" s="150"/>
      <c r="S666" s="149">
        <v>45425.0</v>
      </c>
      <c r="T666" s="151"/>
      <c r="U666" s="151"/>
      <c r="V666" s="151"/>
      <c r="W666" s="151"/>
    </row>
    <row r="667">
      <c r="A667" s="142">
        <v>4859.0</v>
      </c>
      <c r="B667" s="143" t="s">
        <v>58</v>
      </c>
      <c r="C667" s="143" t="s">
        <v>2395</v>
      </c>
      <c r="D667" s="159" t="s">
        <v>4738</v>
      </c>
      <c r="E667" s="145" t="str">
        <f>IFERROR(__xludf.DUMMYFUNCTION("vlookup(D667,IMPORTRANGE(""https://docs.google.com/spreadsheets/d/1swGwZOEqYlTEUCJLY-eeJM1911Kvaei5oySBIxdgtNo/edit?pli=1#gid=257618397"",""stock FAKTUR!B:C""),2,false)"),"GUNTING GUNINDO FL GA-10 COKLAT")</f>
        <v>GUNTING GUNINDO FL GA-10 COKLAT</v>
      </c>
      <c r="F667" s="53" t="str">
        <f>IFERROR(__xludf.DUMMYFUNCTION("vlookup($D667,IMPORTRANGE(""https://docs.google.com/spreadsheets/d/1swGwZOEqYlTEUCJLY-eeJM1911Kvaei5oySBIxdgtNo/edit?pli=1#gid=257618397"",""stock FAKTUR!B:d""),3,false)"),"")</f>
        <v/>
      </c>
      <c r="G667" s="53" t="str">
        <f>IFERROR(__xludf.DUMMYFUNCTION("vlookup($D667,IMPORTRANGE(""https://docs.google.com/spreadsheets/d/1swGwZOEqYlTEUCJLY-eeJM1911Kvaei5oySBIxdgtNo/edit?pli=1#gid=257618397"",""stock FAKTUR!B:e""),4,false)"),"COKLAT")</f>
        <v>COKLAT</v>
      </c>
      <c r="H667" s="53" t="str">
        <f>IFERROR(__xludf.DUMMYFUNCTION("vlookup($D667,IMPORTRANGE(""https://docs.google.com/spreadsheets/d/1swGwZOEqYlTEUCJLY-eeJM1911Kvaei5oySBIxdgtNo/edit?pli=1#gid=257618397"",""stock FAKTUR!B:F""),5,false)"),"GN")</f>
        <v>GN</v>
      </c>
      <c r="I667" s="53" t="str">
        <f>IFERROR(__xludf.DUMMYFUNCTION("vlookup($D667,IMPORTRANGE(""https://docs.google.com/spreadsheets/d/1swGwZOEqYlTEUCJLY-eeJM1911Kvaei5oySBIxdgtNo/edit?pli=1#gid=257618397"",""stock FAKTUR!B:G""),6,false)"),"GA10")</f>
        <v>GA10</v>
      </c>
      <c r="J667" s="120" t="str">
        <f t="shared" si="25"/>
        <v>ADA</v>
      </c>
      <c r="K667" s="142">
        <v>20.0</v>
      </c>
      <c r="L667" s="145" t="str">
        <f>IFERROR(__xludf.DUMMYFUNCTION("vlookup($D667,IMPORTRANGE(""https://docs.google.com/spreadsheets/d/1swGwZOEqYlTEUCJLY-eeJM1911Kvaei5oySBIxdgtNo/edit?pli=1#gid=257618397"",""stock FAKTUR!B:q""),16,false)"),"LSN")</f>
        <v>LSN</v>
      </c>
      <c r="M667" s="147">
        <v>120000.0</v>
      </c>
      <c r="N667" s="152">
        <v>0.1</v>
      </c>
      <c r="O667" s="147">
        <f t="shared" si="173"/>
        <v>2160000</v>
      </c>
      <c r="P667" s="147" t="str">
        <f t="shared" si="3"/>
        <v>Rp120,000-20 LSN-10.00%</v>
      </c>
      <c r="Q667" s="149">
        <v>45422.0</v>
      </c>
      <c r="R667" s="150"/>
      <c r="S667" s="149">
        <v>45425.0</v>
      </c>
      <c r="T667" s="151"/>
      <c r="U667" s="151"/>
      <c r="V667" s="151"/>
      <c r="W667" s="151"/>
    </row>
    <row r="668">
      <c r="A668" s="142">
        <v>4857.0</v>
      </c>
      <c r="B668" s="143" t="s">
        <v>65</v>
      </c>
      <c r="C668" s="143" t="s">
        <v>92</v>
      </c>
      <c r="D668" s="193" t="s">
        <v>4739</v>
      </c>
      <c r="E668" s="145" t="str">
        <f>IFERROR(__xludf.DUMMYFUNCTION("vlookup(D668,IMPORTRANGE(""https://docs.google.com/spreadsheets/d/1swGwZOEqYlTEUCJLY-eeJM1911Kvaei5oySBIxdgtNo/edit?pli=1#gid=257618397"",""stock FAKTUR!B:C""),2,false)"),"GUNTING GUNINDO OMM GR19")</f>
        <v>GUNTING GUNINDO OMM GR19</v>
      </c>
      <c r="F668" s="53" t="str">
        <f>IFERROR(__xludf.DUMMYFUNCTION("vlookup($D668,IMPORTRANGE(""https://docs.google.com/spreadsheets/d/1swGwZOEqYlTEUCJLY-eeJM1911Kvaei5oySBIxdgtNo/edit?pli=1#gid=257618397"",""stock FAKTUR!B:d""),3,false)"),"")</f>
        <v/>
      </c>
      <c r="G668" s="53" t="str">
        <f>IFERROR(__xludf.DUMMYFUNCTION("vlookup($D668,IMPORTRANGE(""https://docs.google.com/spreadsheets/d/1swGwZOEqYlTEUCJLY-eeJM1911Kvaei5oySBIxdgtNo/edit?pli=1#gid=257618397"",""stock FAKTUR!B:e""),4,false)"),"")</f>
        <v/>
      </c>
      <c r="H668" s="53" t="str">
        <f>IFERROR(__xludf.DUMMYFUNCTION("vlookup($D668,IMPORTRANGE(""https://docs.google.com/spreadsheets/d/1swGwZOEqYlTEUCJLY-eeJM1911Kvaei5oySBIxdgtNo/edit?pli=1#gid=257618397"",""stock FAKTUR!B:F""),5,false)"),"GN")</f>
        <v>GN</v>
      </c>
      <c r="I668" s="53" t="str">
        <f>IFERROR(__xludf.DUMMYFUNCTION("vlookup($D668,IMPORTRANGE(""https://docs.google.com/spreadsheets/d/1swGwZOEqYlTEUCJLY-eeJM1911Kvaei5oySBIxdgtNo/edit?pli=1#gid=257618397"",""stock FAKTUR!B:G""),6,false)"),"GR19")</f>
        <v>GR19</v>
      </c>
      <c r="J668" s="120" t="str">
        <f t="shared" si="25"/>
        <v>ADA</v>
      </c>
      <c r="K668" s="142">
        <v>60.0</v>
      </c>
      <c r="L668" s="145" t="str">
        <f>IFERROR(__xludf.DUMMYFUNCTION("vlookup($D668,IMPORTRANGE(""https://docs.google.com/spreadsheets/d/1swGwZOEqYlTEUCJLY-eeJM1911Kvaei5oySBIxdgtNo/edit?pli=1#gid=257618397"",""stock FAKTUR!B:q""),16,false)"),"LSN")</f>
        <v>LSN</v>
      </c>
      <c r="M668" s="147">
        <v>57000.0</v>
      </c>
      <c r="N668" s="152">
        <v>0.05</v>
      </c>
      <c r="O668" s="147">
        <f t="shared" si="173"/>
        <v>3249000</v>
      </c>
      <c r="P668" s="147" t="str">
        <f t="shared" si="3"/>
        <v>Rp57,000-60 LSN-5.00%</v>
      </c>
      <c r="Q668" s="149">
        <v>45422.0</v>
      </c>
      <c r="R668" s="150"/>
      <c r="S668" s="149">
        <v>45425.0</v>
      </c>
      <c r="T668" s="151"/>
      <c r="U668" s="192" t="s">
        <v>4390</v>
      </c>
      <c r="V668" s="151"/>
      <c r="W668" s="151"/>
    </row>
    <row r="669">
      <c r="A669" s="142">
        <v>4857.0</v>
      </c>
      <c r="B669" s="143" t="str">
        <f t="shared" ref="B669:B672" si="202">IF(A669=A668,B668,"")</f>
        <v>A</v>
      </c>
      <c r="C669" s="143" t="str">
        <f t="shared" ref="C669:C672" si="203">IF(A669=A668,C668,"")</f>
        <v>INDOGLOBAL-PATI</v>
      </c>
      <c r="D669" s="151" t="s">
        <v>4461</v>
      </c>
      <c r="E669" s="145" t="str">
        <f>IFERROR(__xludf.DUMMYFUNCTION("vlookup(D669,IMPORTRANGE(""https://docs.google.com/spreadsheets/d/1swGwZOEqYlTEUCJLY-eeJM1911Kvaei5oySBIxdgtNo/edit?pli=1#gid=257618397"",""stock FAKTUR!B:C""),2,false)"),"GUNTING GUNINDO OLL GR16")</f>
        <v>GUNTING GUNINDO OLL GR16</v>
      </c>
      <c r="F669" s="53" t="str">
        <f>IFERROR(__xludf.DUMMYFUNCTION("vlookup($D669,IMPORTRANGE(""https://docs.google.com/spreadsheets/d/1swGwZOEqYlTEUCJLY-eeJM1911Kvaei5oySBIxdgtNo/edit?pli=1#gid=257618397"",""stock FAKTUR!B:d""),3,false)"),"")</f>
        <v/>
      </c>
      <c r="G669" s="53" t="str">
        <f>IFERROR(__xludf.DUMMYFUNCTION("vlookup($D669,IMPORTRANGE(""https://docs.google.com/spreadsheets/d/1swGwZOEqYlTEUCJLY-eeJM1911Kvaei5oySBIxdgtNo/edit?pli=1#gid=257618397"",""stock FAKTUR!B:e""),4,false)"),"")</f>
        <v/>
      </c>
      <c r="H669" s="53" t="str">
        <f>IFERROR(__xludf.DUMMYFUNCTION("vlookup($D669,IMPORTRANGE(""https://docs.google.com/spreadsheets/d/1swGwZOEqYlTEUCJLY-eeJM1911Kvaei5oySBIxdgtNo/edit?pli=1#gid=257618397"",""stock FAKTUR!B:F""),5,false)"),"GN")</f>
        <v>GN</v>
      </c>
      <c r="I669" s="53" t="str">
        <f>IFERROR(__xludf.DUMMYFUNCTION("vlookup($D669,IMPORTRANGE(""https://docs.google.com/spreadsheets/d/1swGwZOEqYlTEUCJLY-eeJM1911Kvaei5oySBIxdgtNo/edit?pli=1#gid=257618397"",""stock FAKTUR!B:G""),6,false)"),"GR16")</f>
        <v>GR16</v>
      </c>
      <c r="J669" s="120" t="str">
        <f t="shared" si="25"/>
        <v>ADA</v>
      </c>
      <c r="K669" s="142">
        <v>30.0</v>
      </c>
      <c r="L669" s="145" t="str">
        <f>IFERROR(__xludf.DUMMYFUNCTION("vlookup($D669,IMPORTRANGE(""https://docs.google.com/spreadsheets/d/1swGwZOEqYlTEUCJLY-eeJM1911Kvaei5oySBIxdgtNo/edit?pli=1#gid=257618397"",""stock FAKTUR!B:q""),16,false)"),"LSN")</f>
        <v>LSN</v>
      </c>
      <c r="M669" s="147">
        <v>70000.0</v>
      </c>
      <c r="N669" s="152">
        <v>0.05</v>
      </c>
      <c r="O669" s="147">
        <f t="shared" si="173"/>
        <v>1995000</v>
      </c>
      <c r="P669" s="147" t="str">
        <f t="shared" si="3"/>
        <v>Rp70,000-30 LSN-5.00%</v>
      </c>
      <c r="Q669" s="149">
        <v>45422.0</v>
      </c>
      <c r="R669" s="150"/>
      <c r="S669" s="149">
        <v>45425.0</v>
      </c>
      <c r="T669" s="151"/>
      <c r="U669" s="151"/>
      <c r="V669" s="151"/>
      <c r="W669" s="151"/>
    </row>
    <row r="670">
      <c r="A670" s="142">
        <v>4857.0</v>
      </c>
      <c r="B670" s="143" t="str">
        <f t="shared" si="202"/>
        <v>A</v>
      </c>
      <c r="C670" s="143" t="str">
        <f t="shared" si="203"/>
        <v>INDOGLOBAL-PATI</v>
      </c>
      <c r="D670" s="151" t="s">
        <v>4462</v>
      </c>
      <c r="E670" s="145" t="str">
        <f>IFERROR(__xludf.DUMMYFUNCTION("vlookup(D670,IMPORTRANGE(""https://docs.google.com/spreadsheets/d/1swGwZOEqYlTEUCJLY-eeJM1911Kvaei5oySBIxdgtNo/edit?pli=1#gid=257618397"",""stock FAKTUR!B:C""),2,false)"),"GUNTING GUNINDO OSS GR15")</f>
        <v>GUNTING GUNINDO OSS GR15</v>
      </c>
      <c r="F670" s="53" t="str">
        <f>IFERROR(__xludf.DUMMYFUNCTION("vlookup($D670,IMPORTRANGE(""https://docs.google.com/spreadsheets/d/1swGwZOEqYlTEUCJLY-eeJM1911Kvaei5oySBIxdgtNo/edit?pli=1#gid=257618397"",""stock FAKTUR!B:d""),3,false)"),"")</f>
        <v/>
      </c>
      <c r="G670" s="53" t="str">
        <f>IFERROR(__xludf.DUMMYFUNCTION("vlookup($D670,IMPORTRANGE(""https://docs.google.com/spreadsheets/d/1swGwZOEqYlTEUCJLY-eeJM1911Kvaei5oySBIxdgtNo/edit?pli=1#gid=257618397"",""stock FAKTUR!B:e""),4,false)"),"")</f>
        <v/>
      </c>
      <c r="H670" s="53" t="str">
        <f>IFERROR(__xludf.DUMMYFUNCTION("vlookup($D670,IMPORTRANGE(""https://docs.google.com/spreadsheets/d/1swGwZOEqYlTEUCJLY-eeJM1911Kvaei5oySBIxdgtNo/edit?pli=1#gid=257618397"",""stock FAKTUR!B:F""),5,false)"),"GN")</f>
        <v>GN</v>
      </c>
      <c r="I670" s="53" t="str">
        <f>IFERROR(__xludf.DUMMYFUNCTION("vlookup($D670,IMPORTRANGE(""https://docs.google.com/spreadsheets/d/1swGwZOEqYlTEUCJLY-eeJM1911Kvaei5oySBIxdgtNo/edit?pli=1#gid=257618397"",""stock FAKTUR!B:G""),6,false)"),"GR15")</f>
        <v>GR15</v>
      </c>
      <c r="J670" s="120" t="str">
        <f t="shared" si="25"/>
        <v>ADA</v>
      </c>
      <c r="K670" s="142">
        <v>60.0</v>
      </c>
      <c r="L670" s="145" t="str">
        <f>IFERROR(__xludf.DUMMYFUNCTION("vlookup($D670,IMPORTRANGE(""https://docs.google.com/spreadsheets/d/1swGwZOEqYlTEUCJLY-eeJM1911Kvaei5oySBIxdgtNo/edit?pli=1#gid=257618397"",""stock FAKTUR!B:q""),16,false)"),"LSN")</f>
        <v>LSN</v>
      </c>
      <c r="M670" s="147">
        <v>49200.0</v>
      </c>
      <c r="N670" s="152">
        <v>0.05</v>
      </c>
      <c r="O670" s="147">
        <f t="shared" si="173"/>
        <v>2804400</v>
      </c>
      <c r="P670" s="147" t="str">
        <f t="shared" si="3"/>
        <v>Rp49,200-60 LSN-5.00%</v>
      </c>
      <c r="Q670" s="149">
        <v>45422.0</v>
      </c>
      <c r="R670" s="150"/>
      <c r="S670" s="149">
        <v>45425.0</v>
      </c>
      <c r="T670" s="151"/>
      <c r="U670" s="151"/>
      <c r="V670" s="151"/>
      <c r="W670" s="151"/>
    </row>
    <row r="671">
      <c r="A671" s="142">
        <v>4857.0</v>
      </c>
      <c r="B671" s="143" t="str">
        <f t="shared" si="202"/>
        <v>A</v>
      </c>
      <c r="C671" s="143" t="str">
        <f t="shared" si="203"/>
        <v>INDOGLOBAL-PATI</v>
      </c>
      <c r="D671" s="145" t="s">
        <v>4458</v>
      </c>
      <c r="E671" s="145" t="str">
        <f>IFERROR(__xludf.DUMMYFUNCTION("vlookup(D671,IMPORTRANGE(""https://docs.google.com/spreadsheets/d/1swGwZOEqYlTEUCJLY-eeJM1911Kvaei5oySBIxdgtNo/edit?pli=1#gid=257618397"",""stock FAKTUR!B:C""),2,false)"),"ISI CUTTER KENKO A-100 KECIL")</f>
        <v>ISI CUTTER KENKO A-100 KECIL</v>
      </c>
      <c r="F671" s="53" t="str">
        <f>IFERROR(__xludf.DUMMYFUNCTION("vlookup($D671,IMPORTRANGE(""https://docs.google.com/spreadsheets/d/1swGwZOEqYlTEUCJLY-eeJM1911Kvaei5oySBIxdgtNo/edit?pli=1#gid=257618397"",""stock FAKTUR!B:d""),3,false)"),"9 MM")</f>
        <v>9 MM</v>
      </c>
      <c r="G671" s="53" t="str">
        <f>IFERROR(__xludf.DUMMYFUNCTION("vlookup($D671,IMPORTRANGE(""https://docs.google.com/spreadsheets/d/1swGwZOEqYlTEUCJLY-eeJM1911Kvaei5oySBIxdgtNo/edit?pli=1#gid=257618397"",""stock FAKTUR!B:e""),4,false)"),"")</f>
        <v/>
      </c>
      <c r="H671" s="53" t="str">
        <f>IFERROR(__xludf.DUMMYFUNCTION("vlookup($D671,IMPORTRANGE(""https://docs.google.com/spreadsheets/d/1swGwZOEqYlTEUCJLY-eeJM1911Kvaei5oySBIxdgtNo/edit?pli=1#gid=257618397"",""stock FAKTUR!B:F""),5,false)"),"KN")</f>
        <v>KN</v>
      </c>
      <c r="I671" s="53" t="str">
        <f>IFERROR(__xludf.DUMMYFUNCTION("vlookup($D671,IMPORTRANGE(""https://docs.google.com/spreadsheets/d/1swGwZOEqYlTEUCJLY-eeJM1911Kvaei5oySBIxdgtNo/edit?pli=1#gid=257618397"",""stock FAKTUR!B:G""),6,false)"),"CTB-001")</f>
        <v>CTB-001</v>
      </c>
      <c r="J671" s="120" t="str">
        <f t="shared" si="25"/>
        <v>ADA</v>
      </c>
      <c r="K671" s="142">
        <v>120.0</v>
      </c>
      <c r="L671" s="145" t="str">
        <f>IFERROR(__xludf.DUMMYFUNCTION("vlookup($D671,IMPORTRANGE(""https://docs.google.com/spreadsheets/d/1swGwZOEqYlTEUCJLY-eeJM1911Kvaei5oySBIxdgtNo/edit?pli=1#gid=257618397"",""stock FAKTUR!B:q""),16,false)"),"LSN")</f>
        <v>LSN</v>
      </c>
      <c r="M671" s="147">
        <v>32400.0</v>
      </c>
      <c r="N671" s="152">
        <v>0.125</v>
      </c>
      <c r="O671" s="147">
        <f t="shared" si="173"/>
        <v>3402000</v>
      </c>
      <c r="P671" s="147" t="str">
        <f t="shared" si="3"/>
        <v>Rp32,400-120 LSN-12.50%</v>
      </c>
      <c r="Q671" s="149">
        <v>45422.0</v>
      </c>
      <c r="R671" s="150"/>
      <c r="S671" s="149">
        <v>45425.0</v>
      </c>
      <c r="T671" s="151"/>
      <c r="U671" s="151"/>
      <c r="V671" s="151"/>
      <c r="W671" s="151"/>
    </row>
    <row r="672">
      <c r="A672" s="142">
        <v>4857.0</v>
      </c>
      <c r="B672" s="143" t="str">
        <f t="shared" si="202"/>
        <v>A</v>
      </c>
      <c r="C672" s="143" t="str">
        <f t="shared" si="203"/>
        <v>INDOGLOBAL-PATI</v>
      </c>
      <c r="D672" s="145" t="s">
        <v>4579</v>
      </c>
      <c r="E672" s="145" t="str">
        <f>IFERROR(__xludf.DUMMYFUNCTION("vlookup(D672,IMPORTRANGE(""https://docs.google.com/spreadsheets/d/1swGwZOEqYlTEUCJLY-eeJM1911Kvaei5oySBIxdgtNo/edit?pli=1#gid=257618397"",""stock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672" s="53" t="str">
        <f>IFERROR(__xludf.DUMMYFUNCTION("vlookup($D672,IMPORTRANGE(""https://docs.google.com/spreadsheets/d/1swGwZOEqYlTEUCJLY-eeJM1911Kvaei5oySBIxdgtNo/edit?pli=1#gid=257618397"",""stock FAKTUR!B:d""),3,false)"),"")</f>
        <v/>
      </c>
      <c r="G672" s="53" t="str">
        <f>IFERROR(__xludf.DUMMYFUNCTION("vlookup($D672,IMPORTRANGE(""https://docs.google.com/spreadsheets/d/1swGwZOEqYlTEUCJLY-eeJM1911Kvaei5oySBIxdgtNo/edit?pli=1#gid=257618397"",""stock FAKTUR!B:e""),4,false)"),"48W")</f>
        <v>48W</v>
      </c>
      <c r="H672" s="53" t="str">
        <f>IFERROR(__xludf.DUMMYFUNCTION("vlookup($D672,IMPORTRANGE(""https://docs.google.com/spreadsheets/d/1swGwZOEqYlTEUCJLY-eeJM1911Kvaei5oySBIxdgtNo/edit?pli=1#gid=257618397"",""stock FAKTUR!B:F""),5,false)"),"JK")</f>
        <v>JK</v>
      </c>
      <c r="I672" s="53" t="str">
        <f>IFERROR(__xludf.DUMMYFUNCTION("vlookup($D672,IMPORTRANGE(""https://docs.google.com/spreadsheets/d/1swGwZOEqYlTEUCJLY-eeJM1911Kvaei5oySBIxdgtNo/edit?pli=1#gid=257618397"",""stock FAKTUR!B:G""),6,false)"),"OP-48S")</f>
        <v>OP-48S</v>
      </c>
      <c r="J672" s="120" t="str">
        <f t="shared" si="25"/>
        <v>ADA</v>
      </c>
      <c r="K672" s="142">
        <v>24.0</v>
      </c>
      <c r="L672" s="145" t="str">
        <f>IFERROR(__xludf.DUMMYFUNCTION("vlookup($D672,IMPORTRANGE(""https://docs.google.com/spreadsheets/d/1swGwZOEqYlTEUCJLY-eeJM1911Kvaei5oySBIxdgtNo/edit?pli=1#gid=257618397"",""stock FAKTUR!B:q""),16,false)"),"PCS")</f>
        <v>PCS</v>
      </c>
      <c r="M672" s="147">
        <v>60700.0</v>
      </c>
      <c r="N672" s="152">
        <v>0.125</v>
      </c>
      <c r="O672" s="147">
        <f t="shared" si="173"/>
        <v>1274700</v>
      </c>
      <c r="P672" s="147" t="str">
        <f t="shared" si="3"/>
        <v>Rp60,700-24 PCS-12.50%</v>
      </c>
      <c r="Q672" s="149">
        <v>45422.0</v>
      </c>
      <c r="R672" s="150"/>
      <c r="S672" s="149">
        <v>45425.0</v>
      </c>
      <c r="T672" s="151"/>
      <c r="U672" s="151"/>
      <c r="V672" s="151"/>
      <c r="W672" s="151"/>
    </row>
    <row r="673">
      <c r="A673" s="142">
        <v>4735.0</v>
      </c>
      <c r="B673" s="143" t="s">
        <v>65</v>
      </c>
      <c r="C673" s="143" t="s">
        <v>3525</v>
      </c>
      <c r="D673" s="145" t="s">
        <v>4740</v>
      </c>
      <c r="E673" s="145" t="str">
        <f>IFERROR(__xludf.DUMMYFUNCTION("vlookup(D673,IMPORTRANGE(""https://docs.google.com/spreadsheets/d/1swGwZOEqYlTEUCJLY-eeJM1911Kvaei5oySBIxdgtNo/edit?pli=1#gid=257618397"",""stock FAKTUR!B:C""),2,false)"),"PC MAGNIT C-1758 (22X7.5)")</f>
        <v>PC MAGNIT C-1758 (22X7.5)</v>
      </c>
      <c r="F673" s="53" t="str">
        <f>IFERROR(__xludf.DUMMYFUNCTION("vlookup($D673,IMPORTRANGE(""https://docs.google.com/spreadsheets/d/1swGwZOEqYlTEUCJLY-eeJM1911Kvaei5oySBIxdgtNo/edit?pli=1#gid=257618397"",""stock FAKTUR!B:d""),3,false)"),"")</f>
        <v/>
      </c>
      <c r="G673" s="53" t="str">
        <f>IFERROR(__xludf.DUMMYFUNCTION("vlookup($D673,IMPORTRANGE(""https://docs.google.com/spreadsheets/d/1swGwZOEqYlTEUCJLY-eeJM1911Kvaei5oySBIxdgtNo/edit?pli=1#gid=257618397"",""stock FAKTUR!B:e""),4,false)"),"")</f>
        <v/>
      </c>
      <c r="H673" s="53" t="str">
        <f>IFERROR(__xludf.DUMMYFUNCTION("vlookup($D673,IMPORTRANGE(""https://docs.google.com/spreadsheets/d/1swGwZOEqYlTEUCJLY-eeJM1911Kvaei5oySBIxdgtNo/edit?pli=1#gid=257618397"",""stock FAKTUR!B:F""),5,false)"),"NB")</f>
        <v>NB</v>
      </c>
      <c r="I673" s="53" t="str">
        <f>IFERROR(__xludf.DUMMYFUNCTION("vlookup($D673,IMPORTRANGE(""https://docs.google.com/spreadsheets/d/1swGwZOEqYlTEUCJLY-eeJM1911Kvaei5oySBIxdgtNo/edit?pli=1#gid=257618397"",""stock FAKTUR!B:G""),6,false)"),"")</f>
        <v/>
      </c>
      <c r="J673" s="120" t="str">
        <f t="shared" si="25"/>
        <v>ADA</v>
      </c>
      <c r="K673" s="142">
        <v>24.0</v>
      </c>
      <c r="L673" s="145" t="str">
        <f>IFERROR(__xludf.DUMMYFUNCTION("vlookup($D673,IMPORTRANGE(""https://docs.google.com/spreadsheets/d/1swGwZOEqYlTEUCJLY-eeJM1911Kvaei5oySBIxdgtNo/edit?pli=1#gid=257618397"",""stock FAKTUR!B:q""),16,false)"),"PCS")</f>
        <v>PCS</v>
      </c>
      <c r="M673" s="147">
        <v>11000.0</v>
      </c>
      <c r="N673" s="148"/>
      <c r="O673" s="147">
        <f t="shared" si="173"/>
        <v>264000</v>
      </c>
      <c r="P673" s="147" t="str">
        <f t="shared" si="3"/>
        <v>Rp11,000-24 PCS-0.00%</v>
      </c>
      <c r="Q673" s="149">
        <v>45422.0</v>
      </c>
      <c r="R673" s="150"/>
      <c r="S673" s="149">
        <v>45425.0</v>
      </c>
      <c r="T673" s="151"/>
      <c r="U673" s="151"/>
      <c r="V673" s="151"/>
      <c r="W673" s="151"/>
    </row>
    <row r="674">
      <c r="A674" s="142">
        <v>4734.0</v>
      </c>
      <c r="B674" s="143" t="s">
        <v>33</v>
      </c>
      <c r="C674" s="143" t="s">
        <v>3557</v>
      </c>
      <c r="D674" s="145" t="s">
        <v>4405</v>
      </c>
      <c r="E674" s="145" t="str">
        <f>IFERROR(__xludf.DUMMYFUNCTION("vlookup(D674,IMPORTRANGE(""https://docs.google.com/spreadsheets/d/1swGwZOEqYlTEUCJLY-eeJM1911Kvaei5oySBIxdgtNo/edit?pli=1#gid=257618397"",""stock FAKTUR!B:C""),2,false)"),"BK KAS KWARTO")</f>
        <v>BK KAS KWARTO</v>
      </c>
      <c r="F674" s="53" t="str">
        <f>IFERROR(__xludf.DUMMYFUNCTION("vlookup($D674,IMPORTRANGE(""https://docs.google.com/spreadsheets/d/1swGwZOEqYlTEUCJLY-eeJM1911Kvaei5oySBIxdgtNo/edit?pli=1#gid=257618397"",""stock FAKTUR!B:d""),3,false)"),"A4")</f>
        <v>A4</v>
      </c>
      <c r="G674" s="53" t="str">
        <f>IFERROR(__xludf.DUMMYFUNCTION("vlookup($D674,IMPORTRANGE(""https://docs.google.com/spreadsheets/d/1swGwZOEqYlTEUCJLY-eeJM1911Kvaei5oySBIxdgtNo/edit?pli=1#gid=257618397"",""stock FAKTUR!B:e""),4,false)"),"")</f>
        <v/>
      </c>
      <c r="H674" s="53" t="str">
        <f>IFERROR(__xludf.DUMMYFUNCTION("vlookup($D674,IMPORTRANGE(""https://docs.google.com/spreadsheets/d/1swGwZOEqYlTEUCJLY-eeJM1911Kvaei5oySBIxdgtNo/edit?pli=1#gid=257618397"",""stock FAKTUR!B:F""),5,false)"),"NB")</f>
        <v>NB</v>
      </c>
      <c r="I674" s="53" t="str">
        <f>IFERROR(__xludf.DUMMYFUNCTION("vlookup($D674,IMPORTRANGE(""https://docs.google.com/spreadsheets/d/1swGwZOEqYlTEUCJLY-eeJM1911Kvaei5oySBIxdgtNo/edit?pli=1#gid=257618397"",""stock FAKTUR!B:G""),6,false)"),"")</f>
        <v/>
      </c>
      <c r="J674" s="120" t="str">
        <f t="shared" si="25"/>
        <v>ADA</v>
      </c>
      <c r="K674" s="142">
        <v>20.0</v>
      </c>
      <c r="L674" s="145" t="str">
        <f>IFERROR(__xludf.DUMMYFUNCTION("vlookup($D674,IMPORTRANGE(""https://docs.google.com/spreadsheets/d/1swGwZOEqYlTEUCJLY-eeJM1911Kvaei5oySBIxdgtNo/edit?pli=1#gid=257618397"",""stock FAKTUR!B:q""),16,false)"),"PCS")</f>
        <v>PCS</v>
      </c>
      <c r="M674" s="147">
        <v>9500.0</v>
      </c>
      <c r="N674" s="148"/>
      <c r="O674" s="147">
        <f t="shared" si="173"/>
        <v>190000</v>
      </c>
      <c r="P674" s="147" t="str">
        <f t="shared" si="3"/>
        <v>Rp9,500-20 PCS-0.00%</v>
      </c>
      <c r="Q674" s="149">
        <v>45422.0</v>
      </c>
      <c r="R674" s="150"/>
      <c r="S674" s="149">
        <v>45425.0</v>
      </c>
      <c r="T674" s="151"/>
      <c r="U674" s="151"/>
      <c r="V674" s="151"/>
      <c r="W674" s="151"/>
    </row>
    <row r="675">
      <c r="A675" s="142">
        <v>4734.0</v>
      </c>
      <c r="B675" s="143" t="str">
        <f>IF(A675=A674,B674,"")</f>
        <v>H</v>
      </c>
      <c r="C675" s="143" t="str">
        <f>IF(A675=A674,C674,"")</f>
        <v>SISWA-PEKALONGAN</v>
      </c>
      <c r="D675" s="145" t="s">
        <v>4406</v>
      </c>
      <c r="E675" s="145" t="str">
        <f>IFERROR(__xludf.DUMMYFUNCTION("vlookup(D675,IMPORTRANGE(""https://docs.google.com/spreadsheets/d/1swGwZOEqYlTEUCJLY-eeJM1911Kvaei5oySBIxdgtNo/edit?pli=1#gid=257618397"",""stock FAKTUR!B:C""),2,false)"),"BK KAS FOLIO")</f>
        <v>BK KAS FOLIO</v>
      </c>
      <c r="F675" s="53" t="str">
        <f>IFERROR(__xludf.DUMMYFUNCTION("vlookup($D675,IMPORTRANGE(""https://docs.google.com/spreadsheets/d/1swGwZOEqYlTEUCJLY-eeJM1911Kvaei5oySBIxdgtNo/edit?pli=1#gid=257618397"",""stock FAKTUR!B:d""),3,false)"),"F4")</f>
        <v>F4</v>
      </c>
      <c r="G675" s="53" t="str">
        <f>IFERROR(__xludf.DUMMYFUNCTION("vlookup($D675,IMPORTRANGE(""https://docs.google.com/spreadsheets/d/1swGwZOEqYlTEUCJLY-eeJM1911Kvaei5oySBIxdgtNo/edit?pli=1#gid=257618397"",""stock FAKTUR!B:e""),4,false)"),"")</f>
        <v/>
      </c>
      <c r="H675" s="53" t="str">
        <f>IFERROR(__xludf.DUMMYFUNCTION("vlookup($D675,IMPORTRANGE(""https://docs.google.com/spreadsheets/d/1swGwZOEqYlTEUCJLY-eeJM1911Kvaei5oySBIxdgtNo/edit?pli=1#gid=257618397"",""stock FAKTUR!B:F""),5,false)"),"NB")</f>
        <v>NB</v>
      </c>
      <c r="I675" s="53" t="str">
        <f>IFERROR(__xludf.DUMMYFUNCTION("vlookup($D675,IMPORTRANGE(""https://docs.google.com/spreadsheets/d/1swGwZOEqYlTEUCJLY-eeJM1911Kvaei5oySBIxdgtNo/edit?pli=1#gid=257618397"",""stock FAKTUR!B:G""),6,false)"),"")</f>
        <v/>
      </c>
      <c r="J675" s="120" t="str">
        <f t="shared" si="25"/>
        <v>ADA</v>
      </c>
      <c r="K675" s="142">
        <v>10.0</v>
      </c>
      <c r="L675" s="145" t="str">
        <f>IFERROR(__xludf.DUMMYFUNCTION("vlookup($D675,IMPORTRANGE(""https://docs.google.com/spreadsheets/d/1swGwZOEqYlTEUCJLY-eeJM1911Kvaei5oySBIxdgtNo/edit?pli=1#gid=257618397"",""stock FAKTUR!B:q""),16,false)"),"PCS")</f>
        <v>PCS</v>
      </c>
      <c r="M675" s="147">
        <v>19000.0</v>
      </c>
      <c r="N675" s="148"/>
      <c r="O675" s="147">
        <f t="shared" si="173"/>
        <v>190000</v>
      </c>
      <c r="P675" s="147" t="str">
        <f t="shared" si="3"/>
        <v>Rp19,000-10 PCS-0.00%</v>
      </c>
      <c r="Q675" s="149">
        <v>45422.0</v>
      </c>
      <c r="R675" s="150"/>
      <c r="S675" s="149">
        <v>45425.0</v>
      </c>
      <c r="T675" s="151"/>
      <c r="U675" s="151"/>
      <c r="V675" s="151"/>
      <c r="W675" s="151"/>
    </row>
    <row r="676">
      <c r="A676" s="142">
        <v>4805.0</v>
      </c>
      <c r="B676" s="143" t="s">
        <v>33</v>
      </c>
      <c r="C676" s="196" t="s">
        <v>4741</v>
      </c>
      <c r="D676" s="70" t="s">
        <v>4742</v>
      </c>
      <c r="E676" s="145" t="str">
        <f>IFERROR(__xludf.DUMMYFUNCTION("vlookup(D676,IMPORTRANGE(""https://docs.google.com/spreadsheets/d/1swGwZOEqYlTEUCJLY-eeJM1911Kvaei5oySBIxdgtNo/edit?pli=1#gid=257618397"",""stock FAKTUR!B:C""),2,false)"),"BENSIA SF 9925 C GARPU SENDOK (1 box=24 pcs)")</f>
        <v>BENSIA SF 9925 C GARPU SENDOK (1 box=24 pcs)</v>
      </c>
      <c r="F676" s="53" t="str">
        <f>IFERROR(__xludf.DUMMYFUNCTION("vlookup($D676,IMPORTRANGE(""https://docs.google.com/spreadsheets/d/1swGwZOEqYlTEUCJLY-eeJM1911Kvaei5oySBIxdgtNo/edit?pli=1#gid=257618397"",""stock FAKTUR!B:d""),3,false)"),"")</f>
        <v/>
      </c>
      <c r="G676" s="53" t="str">
        <f>IFERROR(__xludf.DUMMYFUNCTION("vlookup($D676,IMPORTRANGE(""https://docs.google.com/spreadsheets/d/1swGwZOEqYlTEUCJLY-eeJM1911Kvaei5oySBIxdgtNo/edit?pli=1#gid=257618397"",""stock FAKTUR!B:e""),4,false)"),"GARPU")</f>
        <v>GARPU</v>
      </c>
      <c r="H676" s="53" t="str">
        <f>IFERROR(__xludf.DUMMYFUNCTION("vlookup($D676,IMPORTRANGE(""https://docs.google.com/spreadsheets/d/1swGwZOEqYlTEUCJLY-eeJM1911Kvaei5oySBIxdgtNo/edit?pli=1#gid=257618397"",""stock FAKTUR!B:F""),5,false)"),"NB")</f>
        <v>NB</v>
      </c>
      <c r="I676" s="53" t="str">
        <f>IFERROR(__xludf.DUMMYFUNCTION("vlookup($D676,IMPORTRANGE(""https://docs.google.com/spreadsheets/d/1swGwZOEqYlTEUCJLY-eeJM1911Kvaei5oySBIxdgtNo/edit?pli=1#gid=257618397"",""stock FAKTUR!B:G""),6,false)"),"9925C")</f>
        <v>9925C</v>
      </c>
      <c r="J676" s="120" t="str">
        <f t="shared" si="25"/>
        <v>ADA</v>
      </c>
      <c r="K676" s="142">
        <v>1.0</v>
      </c>
      <c r="L676" s="145" t="str">
        <f>IFERROR(__xludf.DUMMYFUNCTION("vlookup($D676,IMPORTRANGE(""https://docs.google.com/spreadsheets/d/1swGwZOEqYlTEUCJLY-eeJM1911Kvaei5oySBIxdgtNo/edit?pli=1#gid=257618397"",""stock FAKTUR!B:q""),16,false)"),"BOX")</f>
        <v>BOX</v>
      </c>
      <c r="M676" s="147">
        <v>58000.0</v>
      </c>
      <c r="N676" s="148"/>
      <c r="O676" s="147">
        <f t="shared" si="173"/>
        <v>58000</v>
      </c>
      <c r="P676" s="147" t="str">
        <f t="shared" si="3"/>
        <v>Rp58,000-1 BOX-0.00%</v>
      </c>
      <c r="Q676" s="149">
        <v>45422.0</v>
      </c>
      <c r="R676" s="149">
        <v>45419.0</v>
      </c>
      <c r="S676" s="149">
        <v>45425.0</v>
      </c>
      <c r="T676" s="194" t="s">
        <v>4661</v>
      </c>
      <c r="U676" s="192" t="s">
        <v>4390</v>
      </c>
      <c r="V676" s="151"/>
      <c r="W676" s="159"/>
    </row>
    <row r="677">
      <c r="A677" s="142">
        <v>4805.0</v>
      </c>
      <c r="B677" s="143" t="str">
        <f t="shared" ref="B677:B691" si="204">IF(A677=A676,B676,"")</f>
        <v>H</v>
      </c>
      <c r="C677" s="196" t="str">
        <f t="shared" ref="C677:C691" si="205">IF(A677=A676,C676,"")</f>
        <v>CV. SINAR CAHAYA NIRMALA-BREBES</v>
      </c>
      <c r="D677" s="70" t="s">
        <v>4743</v>
      </c>
      <c r="E677" s="145" t="str">
        <f>IFERROR(__xludf.DUMMYFUNCTION("vlookup(D677,IMPORTRANGE(""https://docs.google.com/spreadsheets/d/1swGwZOEqYlTEUCJLY-eeJM1911Kvaei5oySBIxdgtNo/edit?pli=1#gid=257618397"",""stock FAKTUR!B:C""),2,false)"),"BENSIA SF 9927 W KINCIR")</f>
        <v>BENSIA SF 9927 W KINCIR</v>
      </c>
      <c r="F677" s="53" t="str">
        <f>IFERROR(__xludf.DUMMYFUNCTION("vlookup($D677,IMPORTRANGE(""https://docs.google.com/spreadsheets/d/1swGwZOEqYlTEUCJLY-eeJM1911Kvaei5oySBIxdgtNo/edit?pli=1#gid=257618397"",""stock FAKTUR!B:d""),3,false)"),"")</f>
        <v/>
      </c>
      <c r="G677" s="53" t="str">
        <f>IFERROR(__xludf.DUMMYFUNCTION("vlookup($D677,IMPORTRANGE(""https://docs.google.com/spreadsheets/d/1swGwZOEqYlTEUCJLY-eeJM1911Kvaei5oySBIxdgtNo/edit?pli=1#gid=257618397"",""stock FAKTUR!B:e""),4,false)"),"KINCIR")</f>
        <v>KINCIR</v>
      </c>
      <c r="H677" s="53" t="str">
        <f>IFERROR(__xludf.DUMMYFUNCTION("vlookup($D677,IMPORTRANGE(""https://docs.google.com/spreadsheets/d/1swGwZOEqYlTEUCJLY-eeJM1911Kvaei5oySBIxdgtNo/edit?pli=1#gid=257618397"",""stock FAKTUR!B:F""),5,false)"),"NB")</f>
        <v>NB</v>
      </c>
      <c r="I677" s="53" t="str">
        <f>IFERROR(__xludf.DUMMYFUNCTION("vlookup($D677,IMPORTRANGE(""https://docs.google.com/spreadsheets/d/1swGwZOEqYlTEUCJLY-eeJM1911Kvaei5oySBIxdgtNo/edit?pli=1#gid=257618397"",""stock FAKTUR!B:G""),6,false)"),"9927 W")</f>
        <v>9927 W</v>
      </c>
      <c r="J677" s="120" t="str">
        <f t="shared" si="25"/>
        <v>ADA</v>
      </c>
      <c r="K677" s="142">
        <v>1.0</v>
      </c>
      <c r="L677" s="145" t="str">
        <f>IFERROR(__xludf.DUMMYFUNCTION("vlookup($D677,IMPORTRANGE(""https://docs.google.com/spreadsheets/d/1swGwZOEqYlTEUCJLY-eeJM1911Kvaei5oySBIxdgtNo/edit?pli=1#gid=257618397"",""stock FAKTUR!B:q""),16,false)"),"BOX")</f>
        <v>BOX</v>
      </c>
      <c r="M677" s="147">
        <v>58000.0</v>
      </c>
      <c r="N677" s="148"/>
      <c r="O677" s="147">
        <f t="shared" si="173"/>
        <v>58000</v>
      </c>
      <c r="P677" s="147" t="str">
        <f t="shared" si="3"/>
        <v>Rp58,000-1 BOX-0.00%</v>
      </c>
      <c r="Q677" s="149">
        <v>45422.0</v>
      </c>
      <c r="R677" s="149">
        <v>45419.0</v>
      </c>
      <c r="S677" s="149">
        <v>45425.0</v>
      </c>
      <c r="T677" s="194" t="s">
        <v>4661</v>
      </c>
      <c r="U677" s="192" t="s">
        <v>4390</v>
      </c>
      <c r="V677" s="151"/>
      <c r="W677" s="159"/>
    </row>
    <row r="678">
      <c r="A678" s="142">
        <v>4805.0</v>
      </c>
      <c r="B678" s="143" t="str">
        <f t="shared" si="204"/>
        <v>H</v>
      </c>
      <c r="C678" s="143" t="str">
        <f t="shared" si="205"/>
        <v>CV. SINAR CAHAYA NIRMALA-BREBES</v>
      </c>
      <c r="D678" s="190" t="s">
        <v>4694</v>
      </c>
      <c r="E678" s="145" t="str">
        <f>IFERROR(__xludf.DUMMYFUNCTION("vlookup(D678,IMPORTRANGE(""https://docs.google.com/spreadsheets/d/1swGwZOEqYlTEUCJLY-eeJM1911Kvaei5oySBIxdgtNo/edit?pli=1#gid=257618397"",""stock FAKTUR!B:C""),2,false)"),"BENSIA SF-9939 A DADU (1 box=32 pcs)")</f>
        <v>BENSIA SF-9939 A DADU (1 box=32 pcs)</v>
      </c>
      <c r="F678" s="53" t="str">
        <f>IFERROR(__xludf.DUMMYFUNCTION("vlookup($D678,IMPORTRANGE(""https://docs.google.com/spreadsheets/d/1swGwZOEqYlTEUCJLY-eeJM1911Kvaei5oySBIxdgtNo/edit?pli=1#gid=257618397"",""stock FAKTUR!B:d""),3,false)"),"")</f>
        <v/>
      </c>
      <c r="G678" s="53" t="str">
        <f>IFERROR(__xludf.DUMMYFUNCTION("vlookup($D678,IMPORTRANGE(""https://docs.google.com/spreadsheets/d/1swGwZOEqYlTEUCJLY-eeJM1911Kvaei5oySBIxdgtNo/edit?pli=1#gid=257618397"",""stock FAKTUR!B:e""),4,false)"),"DADU")</f>
        <v>DADU</v>
      </c>
      <c r="H678" s="53" t="str">
        <f>IFERROR(__xludf.DUMMYFUNCTION("vlookup($D678,IMPORTRANGE(""https://docs.google.com/spreadsheets/d/1swGwZOEqYlTEUCJLY-eeJM1911Kvaei5oySBIxdgtNo/edit?pli=1#gid=257618397"",""stock FAKTUR!B:F""),5,false)"),"NB")</f>
        <v>NB</v>
      </c>
      <c r="I678" s="53" t="str">
        <f>IFERROR(__xludf.DUMMYFUNCTION("vlookup($D678,IMPORTRANGE(""https://docs.google.com/spreadsheets/d/1swGwZOEqYlTEUCJLY-eeJM1911Kvaei5oySBIxdgtNo/edit?pli=1#gid=257618397"",""stock FAKTUR!B:G""),6,false)"),"SF-9939")</f>
        <v>SF-9939</v>
      </c>
      <c r="J678" s="120" t="str">
        <f t="shared" si="25"/>
        <v>ADA</v>
      </c>
      <c r="K678" s="142">
        <v>1.0</v>
      </c>
      <c r="L678" s="145" t="str">
        <f>IFERROR(__xludf.DUMMYFUNCTION("vlookup($D678,IMPORTRANGE(""https://docs.google.com/spreadsheets/d/1swGwZOEqYlTEUCJLY-eeJM1911Kvaei5oySBIxdgtNo/edit?pli=1#gid=257618397"",""stock FAKTUR!B:q""),16,false)"),"BOX")</f>
        <v>BOX</v>
      </c>
      <c r="M678" s="147">
        <v>63000.0</v>
      </c>
      <c r="N678" s="148"/>
      <c r="O678" s="147">
        <f t="shared" si="173"/>
        <v>63000</v>
      </c>
      <c r="P678" s="147" t="str">
        <f t="shared" si="3"/>
        <v>Rp63,000-1 BOX-0.00%</v>
      </c>
      <c r="Q678" s="149">
        <v>45422.0</v>
      </c>
      <c r="R678" s="149">
        <v>45419.0</v>
      </c>
      <c r="S678" s="149">
        <v>45425.0</v>
      </c>
      <c r="T678" s="151"/>
      <c r="U678" s="151"/>
      <c r="V678" s="151"/>
      <c r="W678" s="151"/>
    </row>
    <row r="679">
      <c r="A679" s="142">
        <v>4805.0</v>
      </c>
      <c r="B679" s="143" t="str">
        <f t="shared" si="204"/>
        <v>H</v>
      </c>
      <c r="C679" s="143" t="str">
        <f t="shared" si="205"/>
        <v>CV. SINAR CAHAYA NIRMALA-BREBES</v>
      </c>
      <c r="D679" s="145" t="s">
        <v>4537</v>
      </c>
      <c r="E679" s="145" t="str">
        <f>IFERROR(__xludf.DUMMYFUNCTION("vlookup(D679,IMPORTRANGE(""https://docs.google.com/spreadsheets/d/1swGwZOEqYlTEUCJLY-eeJM1911Kvaei5oySBIxdgtNo/edit?pli=1#gid=257618397"",""stock FAKTUR!B:C""),2,false)"),"BP VANCO VC-559 0.28 HT")</f>
        <v>BP VANCO VC-559 0.28 HT</v>
      </c>
      <c r="F679" s="53" t="str">
        <f>IFERROR(__xludf.DUMMYFUNCTION("vlookup($D679,IMPORTRANGE(""https://docs.google.com/spreadsheets/d/1swGwZOEqYlTEUCJLY-eeJM1911Kvaei5oySBIxdgtNo/edit?pli=1#gid=257618397"",""stock FAKTUR!B:d""),3,false)"),"")</f>
        <v/>
      </c>
      <c r="G679" s="53" t="str">
        <f>IFERROR(__xludf.DUMMYFUNCTION("vlookup($D679,IMPORTRANGE(""https://docs.google.com/spreadsheets/d/1swGwZOEqYlTEUCJLY-eeJM1911Kvaei5oySBIxdgtNo/edit?pli=1#gid=257618397"",""stock FAKTUR!B:e""),4,false)"),"")</f>
        <v/>
      </c>
      <c r="H679" s="53" t="str">
        <f>IFERROR(__xludf.DUMMYFUNCTION("vlookup($D679,IMPORTRANGE(""https://docs.google.com/spreadsheets/d/1swGwZOEqYlTEUCJLY-eeJM1911Kvaei5oySBIxdgtNo/edit?pli=1#gid=257618397"",""stock FAKTUR!B:F""),5,false)"),"VN")</f>
        <v>VN</v>
      </c>
      <c r="I679" s="53" t="str">
        <f>IFERROR(__xludf.DUMMYFUNCTION("vlookup($D679,IMPORTRANGE(""https://docs.google.com/spreadsheets/d/1swGwZOEqYlTEUCJLY-eeJM1911Kvaei5oySBIxdgtNo/edit?pli=1#gid=257618397"",""stock FAKTUR!B:G""),6,false)"),"")</f>
        <v/>
      </c>
      <c r="J679" s="120" t="str">
        <f t="shared" si="25"/>
        <v>ADA</v>
      </c>
      <c r="K679" s="142">
        <v>6.0</v>
      </c>
      <c r="L679" s="145" t="str">
        <f>IFERROR(__xludf.DUMMYFUNCTION("vlookup($D679,IMPORTRANGE(""https://docs.google.com/spreadsheets/d/1swGwZOEqYlTEUCJLY-eeJM1911Kvaei5oySBIxdgtNo/edit?pli=1#gid=257618397"",""stock FAKTUR!B:q""),16,false)"),"LSN")</f>
        <v>LSN</v>
      </c>
      <c r="M679" s="147">
        <v>27500.0</v>
      </c>
      <c r="N679" s="148"/>
      <c r="O679" s="147">
        <f t="shared" si="173"/>
        <v>165000</v>
      </c>
      <c r="P679" s="147" t="str">
        <f t="shared" si="3"/>
        <v>Rp27,500-6 LSN-0.00%</v>
      </c>
      <c r="Q679" s="149">
        <v>45422.0</v>
      </c>
      <c r="R679" s="149">
        <v>45419.0</v>
      </c>
      <c r="S679" s="149">
        <v>45425.0</v>
      </c>
      <c r="T679" s="151"/>
      <c r="U679" s="151"/>
      <c r="V679" s="151"/>
      <c r="W679" s="151"/>
    </row>
    <row r="680">
      <c r="A680" s="142">
        <v>4805.0</v>
      </c>
      <c r="B680" s="143" t="str">
        <f t="shared" si="204"/>
        <v>H</v>
      </c>
      <c r="C680" s="143" t="str">
        <f t="shared" si="205"/>
        <v>CV. SINAR CAHAYA NIRMALA-BREBES</v>
      </c>
      <c r="D680" s="145" t="s">
        <v>4382</v>
      </c>
      <c r="E680" s="145" t="str">
        <f>IFERROR(__xludf.DUMMYFUNCTION("vlookup(D680,IMPORTRANGE(""https://docs.google.com/spreadsheets/d/1swGwZOEqYlTEUCJLY-eeJM1911Kvaei5oySBIxdgtNo/edit?pli=1#gid=257618397"",""stock FAKTUR!B:C""),2,false)"),"PENSIL 2B ZHONG HUA 6925 OVAL")</f>
        <v>PENSIL 2B ZHONG HUA 6925 OVAL</v>
      </c>
      <c r="F680" s="53" t="str">
        <f>IFERROR(__xludf.DUMMYFUNCTION("vlookup($D680,IMPORTRANGE(""https://docs.google.com/spreadsheets/d/1swGwZOEqYlTEUCJLY-eeJM1911Kvaei5oySBIxdgtNo/edit?pli=1#gid=257618397"",""stock FAKTUR!B:d""),3,false)"),"")</f>
        <v/>
      </c>
      <c r="G680" s="53" t="str">
        <f>IFERROR(__xludf.DUMMYFUNCTION("vlookup($D680,IMPORTRANGE(""https://docs.google.com/spreadsheets/d/1swGwZOEqYlTEUCJLY-eeJM1911Kvaei5oySBIxdgtNo/edit?pli=1#gid=257618397"",""stock FAKTUR!B:e""),4,false)"),"")</f>
        <v/>
      </c>
      <c r="H680" s="53" t="str">
        <f>IFERROR(__xludf.DUMMYFUNCTION("vlookup($D680,IMPORTRANGE(""https://docs.google.com/spreadsheets/d/1swGwZOEqYlTEUCJLY-eeJM1911Kvaei5oySBIxdgtNo/edit?pli=1#gid=257618397"",""stock FAKTUR!B:F""),5,false)"),"ZH")</f>
        <v>ZH</v>
      </c>
      <c r="I680" s="53" t="str">
        <f>IFERROR(__xludf.DUMMYFUNCTION("vlookup($D680,IMPORTRANGE(""https://docs.google.com/spreadsheets/d/1swGwZOEqYlTEUCJLY-eeJM1911Kvaei5oySBIxdgtNo/edit?pli=1#gid=257618397"",""stock FAKTUR!B:G""),6,false)"),"6925")</f>
        <v>6925</v>
      </c>
      <c r="J680" s="120" t="str">
        <f t="shared" si="25"/>
        <v>ADA</v>
      </c>
      <c r="K680" s="142">
        <v>2.0</v>
      </c>
      <c r="L680" s="145" t="str">
        <f>IFERROR(__xludf.DUMMYFUNCTION("vlookup($D680,IMPORTRANGE(""https://docs.google.com/spreadsheets/d/1swGwZOEqYlTEUCJLY-eeJM1911Kvaei5oySBIxdgtNo/edit?pli=1#gid=257618397"",""stock FAKTUR!B:q""),16,false)"),"BOX")</f>
        <v>BOX</v>
      </c>
      <c r="M680" s="147">
        <v>85000.0</v>
      </c>
      <c r="N680" s="148"/>
      <c r="O680" s="147">
        <f t="shared" si="173"/>
        <v>170000</v>
      </c>
      <c r="P680" s="147" t="str">
        <f t="shared" si="3"/>
        <v>Rp85,000-2 BOX-0.00%</v>
      </c>
      <c r="Q680" s="149">
        <v>45422.0</v>
      </c>
      <c r="R680" s="149">
        <v>45419.0</v>
      </c>
      <c r="S680" s="149">
        <v>45425.0</v>
      </c>
      <c r="T680" s="151"/>
      <c r="U680" s="151"/>
      <c r="V680" s="151"/>
      <c r="W680" s="151"/>
    </row>
    <row r="681">
      <c r="A681" s="142">
        <v>4805.0</v>
      </c>
      <c r="B681" s="143" t="str">
        <f t="shared" si="204"/>
        <v>H</v>
      </c>
      <c r="C681" s="143" t="str">
        <f t="shared" si="205"/>
        <v>CV. SINAR CAHAYA NIRMALA-BREBES</v>
      </c>
      <c r="D681" s="171" t="s">
        <v>4495</v>
      </c>
      <c r="E681" s="145" t="str">
        <f>IFERROR(__xludf.DUMMYFUNCTION("vlookup(D681,IMPORTRANGE(""https://docs.google.com/spreadsheets/d/1swGwZOEqYlTEUCJLY-eeJM1911Kvaei5oySBIxdgtNo/edit?pli=1#gid=257618397"",""stock FAKTUR!B:C""),2,false)"),"MAP DOC BAG+HANDLE 2544 JARING B6")</f>
        <v>MAP DOC BAG+HANDLE 2544 JARING B6</v>
      </c>
      <c r="F681" s="53" t="str">
        <f>IFERROR(__xludf.DUMMYFUNCTION("vlookup($D681,IMPORTRANGE(""https://docs.google.com/spreadsheets/d/1swGwZOEqYlTEUCJLY-eeJM1911Kvaei5oySBIxdgtNo/edit?pli=1#gid=257618397"",""stock FAKTUR!B:d""),3,false)"),"B6")</f>
        <v>B6</v>
      </c>
      <c r="G681" s="53" t="str">
        <f>IFERROR(__xludf.DUMMYFUNCTION("vlookup($D681,IMPORTRANGE(""https://docs.google.com/spreadsheets/d/1swGwZOEqYlTEUCJLY-eeJM1911Kvaei5oySBIxdgtNo/edit?pli=1#gid=257618397"",""stock FAKTUR!B:e""),4,false)"),"")</f>
        <v/>
      </c>
      <c r="H681" s="53" t="str">
        <f>IFERROR(__xludf.DUMMYFUNCTION("vlookup($D681,IMPORTRANGE(""https://docs.google.com/spreadsheets/d/1swGwZOEqYlTEUCJLY-eeJM1911Kvaei5oySBIxdgtNo/edit?pli=1#gid=257618397"",""stock FAKTUR!B:F""),5,false)"),"CR")</f>
        <v>CR</v>
      </c>
      <c r="I681" s="53" t="str">
        <f>IFERROR(__xludf.DUMMYFUNCTION("vlookup($D681,IMPORTRANGE(""https://docs.google.com/spreadsheets/d/1swGwZOEqYlTEUCJLY-eeJM1911Kvaei5oySBIxdgtNo/edit?pli=1#gid=257618397"",""stock FAKTUR!B:G""),6,false)"),"2544")</f>
        <v>2544</v>
      </c>
      <c r="J681" s="120" t="str">
        <f t="shared" si="25"/>
        <v>ADA</v>
      </c>
      <c r="K681" s="142">
        <v>1.0</v>
      </c>
      <c r="L681" s="145" t="str">
        <f>IFERROR(__xludf.DUMMYFUNCTION("vlookup($D681,IMPORTRANGE(""https://docs.google.com/spreadsheets/d/1swGwZOEqYlTEUCJLY-eeJM1911Kvaei5oySBIxdgtNo/edit?pli=1#gid=257618397"",""stock FAKTUR!B:q""),16,false)"),"LSN")</f>
        <v>LSN</v>
      </c>
      <c r="M681" s="147">
        <v>100000.0</v>
      </c>
      <c r="N681" s="148"/>
      <c r="O681" s="147">
        <f t="shared" si="173"/>
        <v>100000</v>
      </c>
      <c r="P681" s="147" t="str">
        <f t="shared" si="3"/>
        <v>Rp100,000-1 LSN-0.00%</v>
      </c>
      <c r="Q681" s="149">
        <v>45422.0</v>
      </c>
      <c r="R681" s="149">
        <v>45419.0</v>
      </c>
      <c r="S681" s="149">
        <v>45425.0</v>
      </c>
      <c r="T681" s="151"/>
      <c r="U681" s="151"/>
      <c r="V681" s="151"/>
      <c r="W681" s="151"/>
    </row>
    <row r="682">
      <c r="A682" s="142">
        <v>4805.0</v>
      </c>
      <c r="B682" s="143" t="str">
        <f t="shared" si="204"/>
        <v>H</v>
      </c>
      <c r="C682" s="143" t="str">
        <f t="shared" si="205"/>
        <v>CV. SINAR CAHAYA NIRMALA-BREBES</v>
      </c>
      <c r="D682" s="145" t="s">
        <v>4744</v>
      </c>
      <c r="E682" s="145" t="str">
        <f>IFERROR(__xludf.DUMMYFUNCTION("vlookup(D682,IMPORTRANGE(""https://docs.google.com/spreadsheets/d/1swGwZOEqYlTEUCJLY-eeJM1911Kvaei5oySBIxdgtNo/edit?pli=1#gid=257618397"",""stock FAKTUR!B:C""),2,false)"),"MAP DOC BAG T-618 (28X21) B5")</f>
        <v>MAP DOC BAG T-618 (28X21) B5</v>
      </c>
      <c r="F682" s="53" t="str">
        <f>IFERROR(__xludf.DUMMYFUNCTION("vlookup($D682,IMPORTRANGE(""https://docs.google.com/spreadsheets/d/1swGwZOEqYlTEUCJLY-eeJM1911Kvaei5oySBIxdgtNo/edit?pli=1#gid=257618397"",""stock FAKTUR!B:d""),3,false)"),"B5")</f>
        <v>B5</v>
      </c>
      <c r="G682" s="53" t="str">
        <f>IFERROR(__xludf.DUMMYFUNCTION("vlookup($D682,IMPORTRANGE(""https://docs.google.com/spreadsheets/d/1swGwZOEqYlTEUCJLY-eeJM1911Kvaei5oySBIxdgtNo/edit?pli=1#gid=257618397"",""stock FAKTUR!B:e""),4,false)"),"3W")</f>
        <v>3W</v>
      </c>
      <c r="H682" s="53" t="str">
        <f>IFERROR(__xludf.DUMMYFUNCTION("vlookup($D682,IMPORTRANGE(""https://docs.google.com/spreadsheets/d/1swGwZOEqYlTEUCJLY-eeJM1911Kvaei5oySBIxdgtNo/edit?pli=1#gid=257618397"",""stock FAKTUR!B:F""),5,false)"),"NB")</f>
        <v>NB</v>
      </c>
      <c r="I682" s="53" t="str">
        <f>IFERROR(__xludf.DUMMYFUNCTION("vlookup($D682,IMPORTRANGE(""https://docs.google.com/spreadsheets/d/1swGwZOEqYlTEUCJLY-eeJM1911Kvaei5oySBIxdgtNo/edit?pli=1#gid=257618397"",""stock FAKTUR!B:G""),6,false)"),"T-618")</f>
        <v>T-618</v>
      </c>
      <c r="J682" s="120" t="str">
        <f t="shared" si="25"/>
        <v>ADA</v>
      </c>
      <c r="K682" s="142">
        <v>1.0</v>
      </c>
      <c r="L682" s="145" t="str">
        <f>IFERROR(__xludf.DUMMYFUNCTION("vlookup($D682,IMPORTRANGE(""https://docs.google.com/spreadsheets/d/1swGwZOEqYlTEUCJLY-eeJM1911Kvaei5oySBIxdgtNo/edit?pli=1#gid=257618397"",""stock FAKTUR!B:q""),16,false)"),"LSN")</f>
        <v>LSN</v>
      </c>
      <c r="M682" s="147">
        <v>55000.0</v>
      </c>
      <c r="N682" s="148"/>
      <c r="O682" s="147">
        <f t="shared" si="173"/>
        <v>55000</v>
      </c>
      <c r="P682" s="147" t="str">
        <f t="shared" si="3"/>
        <v>Rp55,000-1 LSN-0.00%</v>
      </c>
      <c r="Q682" s="149">
        <v>45422.0</v>
      </c>
      <c r="R682" s="149">
        <v>45419.0</v>
      </c>
      <c r="S682" s="149">
        <v>45425.0</v>
      </c>
      <c r="T682" s="151"/>
      <c r="U682" s="151"/>
      <c r="V682" s="151"/>
      <c r="W682" s="151"/>
    </row>
    <row r="683">
      <c r="A683" s="142">
        <v>4805.0</v>
      </c>
      <c r="B683" s="143" t="str">
        <f t="shared" si="204"/>
        <v>H</v>
      </c>
      <c r="C683" s="143" t="str">
        <f t="shared" si="205"/>
        <v>CV. SINAR CAHAYA NIRMALA-BREBES</v>
      </c>
      <c r="D683" s="151" t="s">
        <v>4511</v>
      </c>
      <c r="E683" s="145" t="str">
        <f>IFERROR(__xludf.DUMMYFUNCTION("vlookup(D683,IMPORTRANGE(""https://docs.google.com/spreadsheets/d/1swGwZOEqYlTEUCJLY-eeJM1911Kvaei5oySBIxdgtNo/edit?pli=1#gid=257618397"",""stock FAKTUR!B:C""),2,false)"),"TIPEX KENKO CT-634DT")</f>
        <v>TIPEX KENKO CT-634DT</v>
      </c>
      <c r="F683" s="53" t="str">
        <f>IFERROR(__xludf.DUMMYFUNCTION("vlookup($D683,IMPORTRANGE(""https://docs.google.com/spreadsheets/d/1swGwZOEqYlTEUCJLY-eeJM1911Kvaei5oySBIxdgtNo/edit?pli=1#gid=257618397"",""stock FAKTUR!B:d""),3,false)"),"")</f>
        <v/>
      </c>
      <c r="G683" s="53" t="str">
        <f>IFERROR(__xludf.DUMMYFUNCTION("vlookup($D683,IMPORTRANGE(""https://docs.google.com/spreadsheets/d/1swGwZOEqYlTEUCJLY-eeJM1911Kvaei5oySBIxdgtNo/edit?pli=1#gid=257618397"",""stock FAKTUR!B:e""),4,false)"),"")</f>
        <v/>
      </c>
      <c r="H683" s="53" t="str">
        <f>IFERROR(__xludf.DUMMYFUNCTION("vlookup($D683,IMPORTRANGE(""https://docs.google.com/spreadsheets/d/1swGwZOEqYlTEUCJLY-eeJM1911Kvaei5oySBIxdgtNo/edit?pli=1#gid=257618397"",""stock FAKTUR!B:F""),5,false)"),"KN")</f>
        <v>KN</v>
      </c>
      <c r="I683" s="53" t="str">
        <f>IFERROR(__xludf.DUMMYFUNCTION("vlookup($D683,IMPORTRANGE(""https://docs.google.com/spreadsheets/d/1swGwZOEqYlTEUCJLY-eeJM1911Kvaei5oySBIxdgtNo/edit?pli=1#gid=257618397"",""stock FAKTUR!B:G""),6,false)"),"CT-634DT")</f>
        <v>CT-634DT</v>
      </c>
      <c r="J683" s="120" t="str">
        <f t="shared" si="25"/>
        <v>ADA</v>
      </c>
      <c r="K683" s="142">
        <v>2.0</v>
      </c>
      <c r="L683" s="145" t="str">
        <f>IFERROR(__xludf.DUMMYFUNCTION("vlookup($D683,IMPORTRANGE(""https://docs.google.com/spreadsheets/d/1swGwZOEqYlTEUCJLY-eeJM1911Kvaei5oySBIxdgtNo/edit?pli=1#gid=257618397"",""stock FAKTUR!B:q""),16,false)"),"LSN")</f>
        <v>LSN</v>
      </c>
      <c r="M683" s="147">
        <v>49200.0</v>
      </c>
      <c r="N683" s="152">
        <v>0.1</v>
      </c>
      <c r="O683" s="147">
        <f t="shared" si="173"/>
        <v>88560</v>
      </c>
      <c r="P683" s="147" t="str">
        <f t="shared" si="3"/>
        <v>Rp49,200-2 LSN-10.00%</v>
      </c>
      <c r="Q683" s="149">
        <v>45422.0</v>
      </c>
      <c r="R683" s="149">
        <v>45419.0</v>
      </c>
      <c r="S683" s="149">
        <v>45425.0</v>
      </c>
      <c r="T683" s="151"/>
      <c r="U683" s="151"/>
      <c r="V683" s="151"/>
      <c r="W683" s="151"/>
    </row>
    <row r="684">
      <c r="A684" s="142">
        <v>4805.0</v>
      </c>
      <c r="B684" s="143" t="str">
        <f t="shared" si="204"/>
        <v>H</v>
      </c>
      <c r="C684" s="143" t="str">
        <f t="shared" si="205"/>
        <v>CV. SINAR CAHAYA NIRMALA-BREBES</v>
      </c>
      <c r="D684" s="145" t="s">
        <v>4642</v>
      </c>
      <c r="E684" s="145" t="str">
        <f>IFERROR(__xludf.DUMMYFUNCTION("vlookup(D684,IMPORTRANGE(""https://docs.google.com/spreadsheets/d/1swGwZOEqYlTEUCJLY-eeJM1911Kvaei5oySBIxdgtNo/edit?pli=1#gid=257618397"",""stock FAKTUR!B:C""),2,false)"),"TIPEX KENKO CT-902 CL")</f>
        <v>TIPEX KENKO CT-902 CL</v>
      </c>
      <c r="F684" s="53" t="str">
        <f>IFERROR(__xludf.DUMMYFUNCTION("vlookup($D684,IMPORTRANGE(""https://docs.google.com/spreadsheets/d/1swGwZOEqYlTEUCJLY-eeJM1911Kvaei5oySBIxdgtNo/edit?pli=1#gid=257618397"",""stock FAKTUR!B:d""),3,false)"),"")</f>
        <v/>
      </c>
      <c r="G684" s="53" t="str">
        <f>IFERROR(__xludf.DUMMYFUNCTION("vlookup($D684,IMPORTRANGE(""https://docs.google.com/spreadsheets/d/1swGwZOEqYlTEUCJLY-eeJM1911Kvaei5oySBIxdgtNo/edit?pli=1#gid=257618397"",""stock FAKTUR!B:e""),4,false)"),"")</f>
        <v/>
      </c>
      <c r="H684" s="53" t="str">
        <f>IFERROR(__xludf.DUMMYFUNCTION("vlookup($D684,IMPORTRANGE(""https://docs.google.com/spreadsheets/d/1swGwZOEqYlTEUCJLY-eeJM1911Kvaei5oySBIxdgtNo/edit?pli=1#gid=257618397"",""stock FAKTUR!B:F""),5,false)"),"KN")</f>
        <v>KN</v>
      </c>
      <c r="I684" s="53" t="str">
        <f>IFERROR(__xludf.DUMMYFUNCTION("vlookup($D684,IMPORTRANGE(""https://docs.google.com/spreadsheets/d/1swGwZOEqYlTEUCJLY-eeJM1911Kvaei5oySBIxdgtNo/edit?pli=1#gid=257618397"",""stock FAKTUR!B:G""),6,false)"),"CT-902")</f>
        <v>CT-902</v>
      </c>
      <c r="J684" s="120" t="str">
        <f t="shared" si="25"/>
        <v>ADA</v>
      </c>
      <c r="K684" s="142">
        <v>2.0</v>
      </c>
      <c r="L684" s="145" t="str">
        <f>IFERROR(__xludf.DUMMYFUNCTION("vlookup($D684,IMPORTRANGE(""https://docs.google.com/spreadsheets/d/1swGwZOEqYlTEUCJLY-eeJM1911Kvaei5oySBIxdgtNo/edit?pli=1#gid=257618397"",""stock FAKTUR!B:q""),16,false)"),"LSN")</f>
        <v>LSN</v>
      </c>
      <c r="M684" s="147">
        <v>54000.0</v>
      </c>
      <c r="N684" s="152">
        <v>0.1</v>
      </c>
      <c r="O684" s="147">
        <f t="shared" si="173"/>
        <v>97200</v>
      </c>
      <c r="P684" s="147" t="str">
        <f t="shared" si="3"/>
        <v>Rp54,000-2 LSN-10.00%</v>
      </c>
      <c r="Q684" s="149">
        <v>45422.0</v>
      </c>
      <c r="R684" s="149">
        <v>45419.0</v>
      </c>
      <c r="S684" s="149">
        <v>45425.0</v>
      </c>
      <c r="T684" s="151"/>
      <c r="U684" s="151"/>
      <c r="V684" s="151"/>
      <c r="W684" s="151"/>
    </row>
    <row r="685">
      <c r="A685" s="142">
        <v>4805.0</v>
      </c>
      <c r="B685" s="143" t="str">
        <f t="shared" si="204"/>
        <v>H</v>
      </c>
      <c r="C685" s="143" t="str">
        <f t="shared" si="205"/>
        <v>CV. SINAR CAHAYA NIRMALA-BREBES</v>
      </c>
      <c r="D685" s="145" t="s">
        <v>4397</v>
      </c>
      <c r="E685" s="145" t="str">
        <f>IFERROR(__xludf.DUMMYFUNCTION("vlookup(D685,IMPORTRANGE(""https://docs.google.com/spreadsheets/d/1swGwZOEqYlTEUCJLY-eeJM1911Kvaei5oySBIxdgtNo/edit?pli=1#gid=257618397"",""stock FAKTUR!B:C""),2,false)"),"TIPEX KENKO KE-107M")</f>
        <v>TIPEX KENKO KE-107M</v>
      </c>
      <c r="F685" s="53" t="str">
        <f>IFERROR(__xludf.DUMMYFUNCTION("vlookup($D685,IMPORTRANGE(""https://docs.google.com/spreadsheets/d/1swGwZOEqYlTEUCJLY-eeJM1911Kvaei5oySBIxdgtNo/edit?pli=1#gid=257618397"",""stock FAKTUR!B:d""),3,false)"),"")</f>
        <v/>
      </c>
      <c r="G685" s="53" t="str">
        <f>IFERROR(__xludf.DUMMYFUNCTION("vlookup($D685,IMPORTRANGE(""https://docs.google.com/spreadsheets/d/1swGwZOEqYlTEUCJLY-eeJM1911Kvaei5oySBIxdgtNo/edit?pli=1#gid=257618397"",""stock FAKTUR!B:e""),4,false)"),"")</f>
        <v/>
      </c>
      <c r="H685" s="53" t="str">
        <f>IFERROR(__xludf.DUMMYFUNCTION("vlookup($D685,IMPORTRANGE(""https://docs.google.com/spreadsheets/d/1swGwZOEqYlTEUCJLY-eeJM1911Kvaei5oySBIxdgtNo/edit?pli=1#gid=257618397"",""stock FAKTUR!B:F""),5,false)"),"KN")</f>
        <v>KN</v>
      </c>
      <c r="I685" s="53" t="str">
        <f>IFERROR(__xludf.DUMMYFUNCTION("vlookup($D685,IMPORTRANGE(""https://docs.google.com/spreadsheets/d/1swGwZOEqYlTEUCJLY-eeJM1911Kvaei5oySBIxdgtNo/edit?pli=1#gid=257618397"",""stock FAKTUR!B:G""),6,false)"),"CFL-002")</f>
        <v>CFL-002</v>
      </c>
      <c r="J685" s="120" t="str">
        <f t="shared" si="25"/>
        <v>ADA</v>
      </c>
      <c r="K685" s="142">
        <v>12.0</v>
      </c>
      <c r="L685" s="145" t="str">
        <f>IFERROR(__xludf.DUMMYFUNCTION("vlookup($D685,IMPORTRANGE(""https://docs.google.com/spreadsheets/d/1swGwZOEqYlTEUCJLY-eeJM1911Kvaei5oySBIxdgtNo/edit?pli=1#gid=257618397"",""stock FAKTUR!B:q""),16,false)"),"LSN")</f>
        <v>LSN</v>
      </c>
      <c r="M685" s="147">
        <v>57600.0</v>
      </c>
      <c r="N685" s="152">
        <v>0.1</v>
      </c>
      <c r="O685" s="147">
        <f t="shared" si="173"/>
        <v>622080</v>
      </c>
      <c r="P685" s="147" t="str">
        <f t="shared" si="3"/>
        <v>Rp57,600-12 LSN-10.00%</v>
      </c>
      <c r="Q685" s="149">
        <v>45422.0</v>
      </c>
      <c r="R685" s="149">
        <v>45419.0</v>
      </c>
      <c r="S685" s="149">
        <v>45425.0</v>
      </c>
      <c r="T685" s="151"/>
      <c r="U685" s="151"/>
      <c r="V685" s="151"/>
      <c r="W685" s="151"/>
    </row>
    <row r="686">
      <c r="A686" s="142">
        <v>4805.0</v>
      </c>
      <c r="B686" s="143" t="str">
        <f t="shared" si="204"/>
        <v>H</v>
      </c>
      <c r="C686" s="143" t="str">
        <f t="shared" si="205"/>
        <v>CV. SINAR CAHAYA NIRMALA-BREBES</v>
      </c>
      <c r="D686" s="145" t="s">
        <v>4645</v>
      </c>
      <c r="E686" s="145" t="str">
        <f>IFERROR(__xludf.DUMMYFUNCTION("vlookup(D686,IMPORTRANGE(""https://docs.google.com/spreadsheets/d/1swGwZOEqYlTEUCJLY-eeJM1911Kvaei5oySBIxdgtNo/edit?pli=1#gid=257618397"",""stock FAKTUR!B:C""),2,false)"),"PW JK 24W CP-S24 PENDEK")</f>
        <v>PW JK 24W CP-S24 PENDEK</v>
      </c>
      <c r="F686" s="53" t="str">
        <f>IFERROR(__xludf.DUMMYFUNCTION("vlookup($D686,IMPORTRANGE(""https://docs.google.com/spreadsheets/d/1swGwZOEqYlTEUCJLY-eeJM1911Kvaei5oySBIxdgtNo/edit?pli=1#gid=257618397"",""stock FAKTUR!B:d""),3,false)"),"")</f>
        <v/>
      </c>
      <c r="G686" s="53" t="str">
        <f>IFERROR(__xludf.DUMMYFUNCTION("vlookup($D686,IMPORTRANGE(""https://docs.google.com/spreadsheets/d/1swGwZOEqYlTEUCJLY-eeJM1911Kvaei5oySBIxdgtNo/edit?pli=1#gid=257618397"",""stock FAKTUR!B:e""),4,false)"),"24W")</f>
        <v>24W</v>
      </c>
      <c r="H686" s="53" t="str">
        <f>IFERROR(__xludf.DUMMYFUNCTION("vlookup($D686,IMPORTRANGE(""https://docs.google.com/spreadsheets/d/1swGwZOEqYlTEUCJLY-eeJM1911Kvaei5oySBIxdgtNo/edit?pli=1#gid=257618397"",""stock FAKTUR!B:F""),5,false)"),"JK")</f>
        <v>JK</v>
      </c>
      <c r="I686" s="53" t="str">
        <f>IFERROR(__xludf.DUMMYFUNCTION("vlookup($D686,IMPORTRANGE(""https://docs.google.com/spreadsheets/d/1swGwZOEqYlTEUCJLY-eeJM1911Kvaei5oySBIxdgtNo/edit?pli=1#gid=257618397"",""stock FAKTUR!B:G""),6,false)"),"CP-S24")</f>
        <v>CP-S24</v>
      </c>
      <c r="J686" s="120" t="str">
        <f t="shared" si="25"/>
        <v>ADA</v>
      </c>
      <c r="K686" s="142">
        <v>1.0</v>
      </c>
      <c r="L686" s="145" t="str">
        <f>IFERROR(__xludf.DUMMYFUNCTION("vlookup($D686,IMPORTRANGE(""https://docs.google.com/spreadsheets/d/1swGwZOEqYlTEUCJLY-eeJM1911Kvaei5oySBIxdgtNo/edit?pli=1#gid=257618397"",""stock FAKTUR!B:q""),16,false)"),"LSN")</f>
        <v>LSN</v>
      </c>
      <c r="M686" s="147">
        <v>165600.0</v>
      </c>
      <c r="N686" s="152">
        <v>0.1</v>
      </c>
      <c r="O686" s="147">
        <f t="shared" si="173"/>
        <v>149040</v>
      </c>
      <c r="P686" s="147" t="str">
        <f t="shared" si="3"/>
        <v>Rp165,600-1 LSN-10.00%</v>
      </c>
      <c r="Q686" s="149">
        <v>45422.0</v>
      </c>
      <c r="R686" s="149">
        <v>45419.0</v>
      </c>
      <c r="S686" s="149">
        <v>45425.0</v>
      </c>
      <c r="T686" s="151"/>
      <c r="U686" s="151"/>
      <c r="V686" s="151"/>
      <c r="W686" s="151"/>
    </row>
    <row r="687">
      <c r="A687" s="142">
        <v>4805.0</v>
      </c>
      <c r="B687" s="143" t="str">
        <f t="shared" si="204"/>
        <v>H</v>
      </c>
      <c r="C687" s="143" t="str">
        <f t="shared" si="205"/>
        <v>CV. SINAR CAHAYA NIRMALA-BREBES</v>
      </c>
      <c r="D687" s="180" t="s">
        <v>4583</v>
      </c>
      <c r="E687" s="145" t="str">
        <f>IFERROR(__xludf.DUMMYFUNCTION("vlookup(D687,IMPORTRANGE(""https://docs.google.com/spreadsheets/d/1swGwZOEqYlTEUCJLY-eeJM1911Kvaei5oySBIxdgtNo/edit?pli=1#gid=257618397"",""stock FAKTUR!B:C""),2,false)"),"PW KALENG (TIN CASE) KENKO CP-12")</f>
        <v>PW KALENG (TIN CASE) KENKO CP-12</v>
      </c>
      <c r="F687" s="53" t="str">
        <f>IFERROR(__xludf.DUMMYFUNCTION("vlookup($D687,IMPORTRANGE(""https://docs.google.com/spreadsheets/d/1swGwZOEqYlTEUCJLY-eeJM1911Kvaei5oySBIxdgtNo/edit?pli=1#gid=257618397"",""stock FAKTUR!B:d""),3,false)"),"")</f>
        <v/>
      </c>
      <c r="G687" s="53" t="str">
        <f>IFERROR(__xludf.DUMMYFUNCTION("vlookup($D687,IMPORTRANGE(""https://docs.google.com/spreadsheets/d/1swGwZOEqYlTEUCJLY-eeJM1911Kvaei5oySBIxdgtNo/edit?pli=1#gid=257618397"",""stock FAKTUR!B:e""),4,false)"),"12W")</f>
        <v>12W</v>
      </c>
      <c r="H687" s="53" t="str">
        <f>IFERROR(__xludf.DUMMYFUNCTION("vlookup($D687,IMPORTRANGE(""https://docs.google.com/spreadsheets/d/1swGwZOEqYlTEUCJLY-eeJM1911Kvaei5oySBIxdgtNo/edit?pli=1#gid=257618397"",""stock FAKTUR!B:F""),5,false)"),"KN")</f>
        <v>KN</v>
      </c>
      <c r="I687" s="53" t="str">
        <f>IFERROR(__xludf.DUMMYFUNCTION("vlookup($D687,IMPORTRANGE(""https://docs.google.com/spreadsheets/d/1swGwZOEqYlTEUCJLY-eeJM1911Kvaei5oySBIxdgtNo/edit?pli=1#gid=257618397"",""stock FAKTUR!B:G""),6,false)"),"CP-12")</f>
        <v>CP-12</v>
      </c>
      <c r="J687" s="120" t="str">
        <f t="shared" si="25"/>
        <v>ADA</v>
      </c>
      <c r="K687" s="142">
        <v>2.0</v>
      </c>
      <c r="L687" s="145" t="str">
        <f>IFERROR(__xludf.DUMMYFUNCTION("vlookup($D687,IMPORTRANGE(""https://docs.google.com/spreadsheets/d/1swGwZOEqYlTEUCJLY-eeJM1911Kvaei5oySBIxdgtNo/edit?pli=1#gid=257618397"",""stock FAKTUR!B:q""),16,false)"),"LSN")</f>
        <v>LSN</v>
      </c>
      <c r="M687" s="147">
        <v>204000.0</v>
      </c>
      <c r="N687" s="152">
        <v>0.1</v>
      </c>
      <c r="O687" s="147">
        <f t="shared" si="173"/>
        <v>367200</v>
      </c>
      <c r="P687" s="147" t="str">
        <f t="shared" si="3"/>
        <v>Rp204,000-2 LSN-10.00%</v>
      </c>
      <c r="Q687" s="149">
        <v>45422.0</v>
      </c>
      <c r="R687" s="149">
        <v>45419.0</v>
      </c>
      <c r="S687" s="149">
        <v>45425.0</v>
      </c>
      <c r="T687" s="194" t="s">
        <v>4661</v>
      </c>
      <c r="U687" s="192" t="s">
        <v>4390</v>
      </c>
      <c r="V687" s="151"/>
      <c r="W687" s="159"/>
    </row>
    <row r="688">
      <c r="A688" s="142">
        <v>4805.0</v>
      </c>
      <c r="B688" s="143" t="str">
        <f t="shared" si="204"/>
        <v>H</v>
      </c>
      <c r="C688" s="143" t="str">
        <f t="shared" si="205"/>
        <v>CV. SINAR CAHAYA NIRMALA-BREBES</v>
      </c>
      <c r="D688" s="145" t="s">
        <v>4399</v>
      </c>
      <c r="E688" s="145" t="str">
        <f>IFERROR(__xludf.DUMMYFUNCTION("vlookup(D688,IMPORTRANGE(""https://docs.google.com/spreadsheets/d/1swGwZOEqYlTEUCJLY-eeJM1911Kvaei5oySBIxdgtNo/edit?pli=1#gid=257618397"",""stock FAKTUR!B:C""),2,false)"),"PW KENKO 12W CP-12F CLASSIC PANJANG")</f>
        <v>PW KENKO 12W CP-12F CLASSIC PANJANG</v>
      </c>
      <c r="F688" s="53" t="str">
        <f>IFERROR(__xludf.DUMMYFUNCTION("vlookup($D688,IMPORTRANGE(""https://docs.google.com/spreadsheets/d/1swGwZOEqYlTEUCJLY-eeJM1911Kvaei5oySBIxdgtNo/edit?pli=1#gid=257618397"",""stock FAKTUR!B:d""),3,false)"),"")</f>
        <v/>
      </c>
      <c r="G688" s="53" t="str">
        <f>IFERROR(__xludf.DUMMYFUNCTION("vlookup($D688,IMPORTRANGE(""https://docs.google.com/spreadsheets/d/1swGwZOEqYlTEUCJLY-eeJM1911Kvaei5oySBIxdgtNo/edit?pli=1#gid=257618397"",""stock FAKTUR!B:e""),4,false)"),"12W")</f>
        <v>12W</v>
      </c>
      <c r="H688" s="53" t="str">
        <f>IFERROR(__xludf.DUMMYFUNCTION("vlookup($D688,IMPORTRANGE(""https://docs.google.com/spreadsheets/d/1swGwZOEqYlTEUCJLY-eeJM1911Kvaei5oySBIxdgtNo/edit?pli=1#gid=257618397"",""stock FAKTUR!B:F""),5,false)"),"KN")</f>
        <v>KN</v>
      </c>
      <c r="I688" s="53" t="str">
        <f>IFERROR(__xludf.DUMMYFUNCTION("vlookup($D688,IMPORTRANGE(""https://docs.google.com/spreadsheets/d/1swGwZOEqYlTEUCJLY-eeJM1911Kvaei5oySBIxdgtNo/edit?pli=1#gid=257618397"",""stock FAKTUR!B:G""),6,false)"),"CP-12F")</f>
        <v>CP-12F</v>
      </c>
      <c r="J688" s="120" t="str">
        <f t="shared" si="25"/>
        <v>ADA</v>
      </c>
      <c r="K688" s="142">
        <v>12.0</v>
      </c>
      <c r="L688" s="145" t="str">
        <f>IFERROR(__xludf.DUMMYFUNCTION("vlookup($D688,IMPORTRANGE(""https://docs.google.com/spreadsheets/d/1swGwZOEqYlTEUCJLY-eeJM1911Kvaei5oySBIxdgtNo/edit?pli=1#gid=257618397"",""stock FAKTUR!B:q""),16,false)"),"LSN")</f>
        <v>LSN</v>
      </c>
      <c r="M688" s="147">
        <v>124200.0</v>
      </c>
      <c r="N688" s="152">
        <v>0.1</v>
      </c>
      <c r="O688" s="147">
        <f t="shared" si="173"/>
        <v>1341360</v>
      </c>
      <c r="P688" s="147" t="str">
        <f t="shared" si="3"/>
        <v>Rp124,200-12 LSN-10.00%</v>
      </c>
      <c r="Q688" s="149">
        <v>45422.0</v>
      </c>
      <c r="R688" s="149">
        <v>45419.0</v>
      </c>
      <c r="S688" s="149">
        <v>45425.0</v>
      </c>
      <c r="T688" s="151"/>
      <c r="U688" s="151"/>
      <c r="V688" s="151"/>
      <c r="W688" s="151"/>
    </row>
    <row r="689">
      <c r="A689" s="142">
        <v>4805.0</v>
      </c>
      <c r="B689" s="143" t="str">
        <f t="shared" si="204"/>
        <v>H</v>
      </c>
      <c r="C689" s="143" t="str">
        <f t="shared" si="205"/>
        <v>CV. SINAR CAHAYA NIRMALA-BREBES</v>
      </c>
      <c r="D689" s="145" t="s">
        <v>4400</v>
      </c>
      <c r="E689" s="145" t="str">
        <f>IFERROR(__xludf.DUMMYFUNCTION("vlookup(D689,IMPORTRANGE(""https://docs.google.com/spreadsheets/d/1swGwZOEqYlTEUCJLY-eeJM1911Kvaei5oySBIxdgtNo/edit?pli=1#gid=257618397"",""stock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689" s="53" t="str">
        <f>IFERROR(__xludf.DUMMYFUNCTION("vlookup($D689,IMPORTRANGE(""https://docs.google.com/spreadsheets/d/1swGwZOEqYlTEUCJLY-eeJM1911Kvaei5oySBIxdgtNo/edit?pli=1#gid=257618397"",""stock FAKTUR!B:d""),3,false)"),"")</f>
        <v/>
      </c>
      <c r="G689" s="53" t="str">
        <f>IFERROR(__xludf.DUMMYFUNCTION("vlookup($D689,IMPORTRANGE(""https://docs.google.com/spreadsheets/d/1swGwZOEqYlTEUCJLY-eeJM1911Kvaei5oySBIxdgtNo/edit?pli=1#gid=257618397"",""stock FAKTUR!B:e""),4,false)"),"12W")</f>
        <v>12W</v>
      </c>
      <c r="H689" s="53" t="str">
        <f>IFERROR(__xludf.DUMMYFUNCTION("vlookup($D689,IMPORTRANGE(""https://docs.google.com/spreadsheets/d/1swGwZOEqYlTEUCJLY-eeJM1911Kvaei5oySBIxdgtNo/edit?pli=1#gid=257618397"",""stock FAKTUR!B:F""),5,false)"),"KN")</f>
        <v>KN</v>
      </c>
      <c r="I689" s="53" t="str">
        <f>IFERROR(__xludf.DUMMYFUNCTION("vlookup($D689,IMPORTRANGE(""https://docs.google.com/spreadsheets/d/1swGwZOEqYlTEUCJLY-eeJM1911Kvaei5oySBIxdgtNo/edit?pli=1#gid=257618397"",""stock FAKTUR!B:G""),6,false)"),"CP-12")</f>
        <v>CP-12</v>
      </c>
      <c r="J689" s="120" t="str">
        <f t="shared" si="25"/>
        <v>ADA</v>
      </c>
      <c r="K689" s="142">
        <v>12.0</v>
      </c>
      <c r="L689" s="145" t="str">
        <f>IFERROR(__xludf.DUMMYFUNCTION("vlookup($D689,IMPORTRANGE(""https://docs.google.com/spreadsheets/d/1swGwZOEqYlTEUCJLY-eeJM1911Kvaei5oySBIxdgtNo/edit?pli=1#gid=257618397"",""stock FAKTUR!B:q""),16,false)"),"LSN")</f>
        <v>LSN</v>
      </c>
      <c r="M689" s="147">
        <v>79200.0</v>
      </c>
      <c r="N689" s="152">
        <v>0.1</v>
      </c>
      <c r="O689" s="147">
        <f t="shared" si="173"/>
        <v>855360</v>
      </c>
      <c r="P689" s="147" t="str">
        <f t="shared" si="3"/>
        <v>Rp79,200-12 LSN-10.00%</v>
      </c>
      <c r="Q689" s="149">
        <v>45422.0</v>
      </c>
      <c r="R689" s="149">
        <v>45419.0</v>
      </c>
      <c r="S689" s="149">
        <v>45425.0</v>
      </c>
      <c r="T689" s="151"/>
      <c r="U689" s="151"/>
      <c r="V689" s="151"/>
      <c r="W689" s="151"/>
    </row>
    <row r="690">
      <c r="A690" s="142">
        <v>4805.0</v>
      </c>
      <c r="B690" s="143" t="str">
        <f t="shared" si="204"/>
        <v>H</v>
      </c>
      <c r="C690" s="143" t="str">
        <f t="shared" si="205"/>
        <v>CV. SINAR CAHAYA NIRMALA-BREBES</v>
      </c>
      <c r="D690" s="145" t="s">
        <v>4706</v>
      </c>
      <c r="E690" s="145" t="str">
        <f>IFERROR(__xludf.DUMMYFUNCTION("vlookup(D690,IMPORTRANGE(""https://docs.google.com/spreadsheets/d/1swGwZOEqYlTEUCJLY-eeJM1911Kvaei5oySBIxdgtNo/edit?pli=1#gid=257618397"",""stock FAKTUR!B:C""),2,false)"),"PW KENKO BICOLOR 12W CP-12 FBC CLASSIC 12/24")</f>
        <v>PW KENKO BICOLOR 12W CP-12 FBC CLASSIC 12/24</v>
      </c>
      <c r="F690" s="53" t="str">
        <f>IFERROR(__xludf.DUMMYFUNCTION("vlookup($D690,IMPORTRANGE(""https://docs.google.com/spreadsheets/d/1swGwZOEqYlTEUCJLY-eeJM1911Kvaei5oySBIxdgtNo/edit?pli=1#gid=257618397"",""stock FAKTUR!B:d""),3,false)"),"")</f>
        <v/>
      </c>
      <c r="G690" s="53" t="str">
        <f>IFERROR(__xludf.DUMMYFUNCTION("vlookup($D690,IMPORTRANGE(""https://docs.google.com/spreadsheets/d/1swGwZOEqYlTEUCJLY-eeJM1911Kvaei5oySBIxdgtNo/edit?pli=1#gid=257618397"",""stock FAKTUR!B:e""),4,false)"),"")</f>
        <v/>
      </c>
      <c r="H690" s="53" t="str">
        <f>IFERROR(__xludf.DUMMYFUNCTION("vlookup($D690,IMPORTRANGE(""https://docs.google.com/spreadsheets/d/1swGwZOEqYlTEUCJLY-eeJM1911Kvaei5oySBIxdgtNo/edit?pli=1#gid=257618397"",""stock FAKTUR!B:F""),5,false)"),"KN")</f>
        <v>KN</v>
      </c>
      <c r="I690" s="53" t="str">
        <f>IFERROR(__xludf.DUMMYFUNCTION("vlookup($D690,IMPORTRANGE(""https://docs.google.com/spreadsheets/d/1swGwZOEqYlTEUCJLY-eeJM1911Kvaei5oySBIxdgtNo/edit?pli=1#gid=257618397"",""stock FAKTUR!B:G""),6,false)"),"")</f>
        <v/>
      </c>
      <c r="J690" s="120" t="str">
        <f t="shared" si="25"/>
        <v>ADA</v>
      </c>
      <c r="K690" s="142">
        <v>2.0</v>
      </c>
      <c r="L690" s="145" t="str">
        <f>IFERROR(__xludf.DUMMYFUNCTION("vlookup($D690,IMPORTRANGE(""https://docs.google.com/spreadsheets/d/1swGwZOEqYlTEUCJLY-eeJM1911Kvaei5oySBIxdgtNo/edit?pli=1#gid=257618397"",""stock FAKTUR!B:q""),16,false)"),"LSN")</f>
        <v>LSN</v>
      </c>
      <c r="M690" s="147">
        <v>148800.0</v>
      </c>
      <c r="N690" s="152">
        <v>0.1</v>
      </c>
      <c r="O690" s="147">
        <f t="shared" si="173"/>
        <v>267840</v>
      </c>
      <c r="P690" s="147" t="str">
        <f t="shared" si="3"/>
        <v>Rp148,800-2 LSN-10.00%</v>
      </c>
      <c r="Q690" s="149">
        <v>45422.0</v>
      </c>
      <c r="R690" s="149">
        <v>45419.0</v>
      </c>
      <c r="S690" s="149">
        <v>45425.0</v>
      </c>
      <c r="T690" s="151"/>
      <c r="U690" s="151"/>
      <c r="V690" s="151"/>
      <c r="W690" s="151"/>
    </row>
    <row r="691">
      <c r="A691" s="142">
        <v>4805.0</v>
      </c>
      <c r="B691" s="143" t="str">
        <f t="shared" si="204"/>
        <v>H</v>
      </c>
      <c r="C691" s="143" t="str">
        <f t="shared" si="205"/>
        <v>CV. SINAR CAHAYA NIRMALA-BREBES</v>
      </c>
      <c r="D691" s="145" t="s">
        <v>4529</v>
      </c>
      <c r="E691" s="145" t="str">
        <f>IFERROR(__xludf.DUMMYFUNCTION("vlookup(D691,IMPORTRANGE(""https://docs.google.com/spreadsheets/d/1swGwZOEqYlTEUCJLY-eeJM1911Kvaei5oySBIxdgtNo/edit?pli=1#gid=257618397"",""stock FAKTUR!B:C""),2,false)"),"PW JK CP-107")</f>
        <v>PW JK CP-107</v>
      </c>
      <c r="F691" s="53" t="str">
        <f>IFERROR(__xludf.DUMMYFUNCTION("vlookup($D691,IMPORTRANGE(""https://docs.google.com/spreadsheets/d/1swGwZOEqYlTEUCJLY-eeJM1911Kvaei5oySBIxdgtNo/edit?pli=1#gid=257618397"",""stock FAKTUR!B:d""),3,false)"),"")</f>
        <v/>
      </c>
      <c r="G691" s="53" t="str">
        <f>IFERROR(__xludf.DUMMYFUNCTION("vlookup($D691,IMPORTRANGE(""https://docs.google.com/spreadsheets/d/1swGwZOEqYlTEUCJLY-eeJM1911Kvaei5oySBIxdgtNo/edit?pli=1#gid=257618397"",""stock FAKTUR!B:e""),4,false)"),"")</f>
        <v/>
      </c>
      <c r="H691" s="53" t="str">
        <f>IFERROR(__xludf.DUMMYFUNCTION("vlookup($D691,IMPORTRANGE(""https://docs.google.com/spreadsheets/d/1swGwZOEqYlTEUCJLY-eeJM1911Kvaei5oySBIxdgtNo/edit?pli=1#gid=257618397"",""stock FAKTUR!B:F""),5,false)"),"JK")</f>
        <v>JK</v>
      </c>
      <c r="I691" s="53" t="str">
        <f>IFERROR(__xludf.DUMMYFUNCTION("vlookup($D691,IMPORTRANGE(""https://docs.google.com/spreadsheets/d/1swGwZOEqYlTEUCJLY-eeJM1911Kvaei5oySBIxdgtNo/edit?pli=1#gid=257618397"",""stock FAKTUR!B:G""),6,false)"),"CP-107")</f>
        <v>CP-107</v>
      </c>
      <c r="J691" s="120" t="str">
        <f t="shared" si="25"/>
        <v>ADA</v>
      </c>
      <c r="K691" s="184">
        <v>1.5</v>
      </c>
      <c r="L691" s="145" t="str">
        <f>IFERROR(__xludf.DUMMYFUNCTION("vlookup($D691,IMPORTRANGE(""https://docs.google.com/spreadsheets/d/1swGwZOEqYlTEUCJLY-eeJM1911Kvaei5oySBIxdgtNo/edit?pli=1#gid=257618397"",""stock FAKTUR!B:q""),16,false)"),"BOX")</f>
        <v>BOX</v>
      </c>
      <c r="M691" s="147">
        <f>2*64800</f>
        <v>129600</v>
      </c>
      <c r="N691" s="152">
        <v>0.1</v>
      </c>
      <c r="O691" s="147">
        <f t="shared" si="173"/>
        <v>174960</v>
      </c>
      <c r="P691" s="147" t="str">
        <f t="shared" si="3"/>
        <v>Rp129,600-1.5 BOX-10.00%</v>
      </c>
      <c r="Q691" s="149">
        <v>45422.0</v>
      </c>
      <c r="R691" s="149">
        <v>45419.0</v>
      </c>
      <c r="S691" s="149">
        <v>45425.0</v>
      </c>
      <c r="T691" s="194" t="s">
        <v>4745</v>
      </c>
      <c r="U691" s="145" t="s">
        <v>4531</v>
      </c>
      <c r="V691" s="151"/>
      <c r="W691" s="159"/>
    </row>
    <row r="692">
      <c r="A692" s="142">
        <v>4806.0</v>
      </c>
      <c r="B692" s="143" t="s">
        <v>33</v>
      </c>
      <c r="C692" s="143" t="s">
        <v>4741</v>
      </c>
      <c r="D692" s="145" t="s">
        <v>4501</v>
      </c>
      <c r="E692" s="145" t="str">
        <f>IFERROR(__xludf.DUMMYFUNCTION("vlookup(D692,IMPORTRANGE(""https://docs.google.com/spreadsheets/d/1swGwZOEqYlTEUCJLY-eeJM1911Kvaei5oySBIxdgtNo/edit?pli=1#gid=257618397"",""stock FAKTUR!B:C""),2,false)"),"PENSIL JK P-88 2B")</f>
        <v>PENSIL JK P-88 2B</v>
      </c>
      <c r="F692" s="53" t="str">
        <f>IFERROR(__xludf.DUMMYFUNCTION("vlookup($D692,IMPORTRANGE(""https://docs.google.com/spreadsheets/d/1swGwZOEqYlTEUCJLY-eeJM1911Kvaei5oySBIxdgtNo/edit?pli=1#gid=257618397"",""stock FAKTUR!B:d""),3,false)"),"")</f>
        <v/>
      </c>
      <c r="G692" s="53" t="str">
        <f>IFERROR(__xludf.DUMMYFUNCTION("vlookup($D692,IMPORTRANGE(""https://docs.google.com/spreadsheets/d/1swGwZOEqYlTEUCJLY-eeJM1911Kvaei5oySBIxdgtNo/edit?pli=1#gid=257618397"",""stock FAKTUR!B:e""),4,false)"),"")</f>
        <v/>
      </c>
      <c r="H692" s="53" t="str">
        <f>IFERROR(__xludf.DUMMYFUNCTION("vlookup($D692,IMPORTRANGE(""https://docs.google.com/spreadsheets/d/1swGwZOEqYlTEUCJLY-eeJM1911Kvaei5oySBIxdgtNo/edit?pli=1#gid=257618397"",""stock FAKTUR!B:F""),5,false)"),"JK")</f>
        <v>JK</v>
      </c>
      <c r="I692" s="53" t="str">
        <f>IFERROR(__xludf.DUMMYFUNCTION("vlookup($D692,IMPORTRANGE(""https://docs.google.com/spreadsheets/d/1swGwZOEqYlTEUCJLY-eeJM1911Kvaei5oySBIxdgtNo/edit?pli=1#gid=257618397"",""stock FAKTUR!B:G""),6,false)"),"P-88")</f>
        <v>P-88</v>
      </c>
      <c r="J692" s="120" t="str">
        <f t="shared" si="25"/>
        <v>ADA</v>
      </c>
      <c r="K692" s="142">
        <v>1.0</v>
      </c>
      <c r="L692" s="145" t="str">
        <f>IFERROR(__xludf.DUMMYFUNCTION("vlookup($D692,IMPORTRANGE(""https://docs.google.com/spreadsheets/d/1swGwZOEqYlTEUCJLY-eeJM1911Kvaei5oySBIxdgtNo/edit?pli=1#gid=257618397"",""stock FAKTUR!B:q""),16,false)"),"GRS")</f>
        <v>GRS</v>
      </c>
      <c r="M692" s="147">
        <v>104400.0</v>
      </c>
      <c r="N692" s="152">
        <v>0.1</v>
      </c>
      <c r="O692" s="147">
        <f t="shared" si="173"/>
        <v>93960</v>
      </c>
      <c r="P692" s="147" t="str">
        <f t="shared" si="3"/>
        <v>Rp104,400-1 GRS-10.00%</v>
      </c>
      <c r="Q692" s="149">
        <v>45422.0</v>
      </c>
      <c r="R692" s="149">
        <v>45419.0</v>
      </c>
      <c r="S692" s="149">
        <v>45425.0</v>
      </c>
      <c r="T692" s="151"/>
      <c r="U692" s="151"/>
      <c r="V692" s="151"/>
      <c r="W692" s="151"/>
    </row>
    <row r="693">
      <c r="A693" s="142">
        <v>4806.0</v>
      </c>
      <c r="B693" s="143" t="str">
        <f t="shared" ref="B693:B706" si="206">IF(A693=A692,B692,"")</f>
        <v>H</v>
      </c>
      <c r="C693" s="143" t="str">
        <f t="shared" ref="C693:C706" si="207">IF(A693=A692,C692,"")</f>
        <v>CV. SINAR CAHAYA NIRMALA-BREBES</v>
      </c>
      <c r="D693" s="145" t="s">
        <v>4574</v>
      </c>
      <c r="E693" s="145" t="str">
        <f>IFERROR(__xludf.DUMMYFUNCTION("vlookup(D693,IMPORTRANGE(""https://docs.google.com/spreadsheets/d/1swGwZOEqYlTEUCJLY-eeJM1911Kvaei5oySBIxdgtNo/edit?pli=1#gid=257618397"",""stock FAKTUR!B:C""),2,false)"),"PENSIL KENKO 6363")</f>
        <v>PENSIL KENKO 6363</v>
      </c>
      <c r="F693" s="53" t="str">
        <f>IFERROR(__xludf.DUMMYFUNCTION("vlookup($D693,IMPORTRANGE(""https://docs.google.com/spreadsheets/d/1swGwZOEqYlTEUCJLY-eeJM1911Kvaei5oySBIxdgtNo/edit?pli=1#gid=257618397"",""stock FAKTUR!B:d""),3,false)"),"")</f>
        <v/>
      </c>
      <c r="G693" s="53" t="str">
        <f>IFERROR(__xludf.DUMMYFUNCTION("vlookup($D693,IMPORTRANGE(""https://docs.google.com/spreadsheets/d/1swGwZOEqYlTEUCJLY-eeJM1911Kvaei5oySBIxdgtNo/edit?pli=1#gid=257618397"",""stock FAKTUR!B:e""),4,false)"),"")</f>
        <v/>
      </c>
      <c r="H693" s="53" t="str">
        <f>IFERROR(__xludf.DUMMYFUNCTION("vlookup($D693,IMPORTRANGE(""https://docs.google.com/spreadsheets/d/1swGwZOEqYlTEUCJLY-eeJM1911Kvaei5oySBIxdgtNo/edit?pli=1#gid=257618397"",""stock FAKTUR!B:F""),5,false)"),"KN")</f>
        <v>KN</v>
      </c>
      <c r="I693" s="53" t="str">
        <f>IFERROR(__xludf.DUMMYFUNCTION("vlookup($D693,IMPORTRANGE(""https://docs.google.com/spreadsheets/d/1swGwZOEqYlTEUCJLY-eeJM1911Kvaei5oySBIxdgtNo/edit?pli=1#gid=257618397"",""stock FAKTUR!B:G""),6,false)"),"6363")</f>
        <v>6363</v>
      </c>
      <c r="J693" s="120" t="str">
        <f t="shared" si="25"/>
        <v>ADA</v>
      </c>
      <c r="K693" s="142">
        <v>1.0</v>
      </c>
      <c r="L693" s="145" t="str">
        <f>IFERROR(__xludf.DUMMYFUNCTION("vlookup($D693,IMPORTRANGE(""https://docs.google.com/spreadsheets/d/1swGwZOEqYlTEUCJLY-eeJM1911Kvaei5oySBIxdgtNo/edit?pli=1#gid=257618397"",""stock FAKTUR!B:q""),16,false)"),"GRS")</f>
        <v>GRS</v>
      </c>
      <c r="M693" s="147">
        <v>112800.0</v>
      </c>
      <c r="N693" s="152">
        <v>0.1</v>
      </c>
      <c r="O693" s="147">
        <f t="shared" si="173"/>
        <v>101520</v>
      </c>
      <c r="P693" s="147" t="str">
        <f t="shared" si="3"/>
        <v>Rp112,800-1 GRS-10.00%</v>
      </c>
      <c r="Q693" s="149">
        <v>45422.0</v>
      </c>
      <c r="R693" s="149">
        <v>45419.0</v>
      </c>
      <c r="S693" s="149">
        <v>45425.0</v>
      </c>
      <c r="T693" s="151"/>
      <c r="U693" s="151"/>
      <c r="V693" s="151"/>
      <c r="W693" s="151"/>
    </row>
    <row r="694">
      <c r="A694" s="142">
        <v>4806.0</v>
      </c>
      <c r="B694" s="143" t="str">
        <f t="shared" si="206"/>
        <v>H</v>
      </c>
      <c r="C694" s="143" t="str">
        <f t="shared" si="207"/>
        <v>CV. SINAR CAHAYA NIRMALA-BREBES</v>
      </c>
      <c r="D694" s="145" t="s">
        <v>4575</v>
      </c>
      <c r="E694" s="145" t="str">
        <f>IFERROR(__xludf.DUMMYFUNCTION("vlookup(D694,IMPORTRANGE(""https://docs.google.com/spreadsheets/d/1swGwZOEqYlTEUCJLY-eeJM1911Kvaei5oySBIxdgtNo/edit?pli=1#gid=257618397"",""stock FAKTUR!B:C""),2,false)"),"PENSIL KENKO 2B-0810 FLUORESCENT")</f>
        <v>PENSIL KENKO 2B-0810 FLUORESCENT</v>
      </c>
      <c r="F694" s="53" t="str">
        <f>IFERROR(__xludf.DUMMYFUNCTION("vlookup($D694,IMPORTRANGE(""https://docs.google.com/spreadsheets/d/1swGwZOEqYlTEUCJLY-eeJM1911Kvaei5oySBIxdgtNo/edit?pli=1#gid=257618397"",""stock FAKTUR!B:d""),3,false)"),"")</f>
        <v/>
      </c>
      <c r="G694" s="53" t="str">
        <f>IFERROR(__xludf.DUMMYFUNCTION("vlookup($D694,IMPORTRANGE(""https://docs.google.com/spreadsheets/d/1swGwZOEqYlTEUCJLY-eeJM1911Kvaei5oySBIxdgtNo/edit?pli=1#gid=257618397"",""stock FAKTUR!B:e""),4,false)"),"")</f>
        <v/>
      </c>
      <c r="H694" s="53" t="str">
        <f>IFERROR(__xludf.DUMMYFUNCTION("vlookup($D694,IMPORTRANGE(""https://docs.google.com/spreadsheets/d/1swGwZOEqYlTEUCJLY-eeJM1911Kvaei5oySBIxdgtNo/edit?pli=1#gid=257618397"",""stock FAKTUR!B:F""),5,false)"),"KN")</f>
        <v>KN</v>
      </c>
      <c r="I694" s="53" t="str">
        <f>IFERROR(__xludf.DUMMYFUNCTION("vlookup($D694,IMPORTRANGE(""https://docs.google.com/spreadsheets/d/1swGwZOEqYlTEUCJLY-eeJM1911Kvaei5oySBIxdgtNo/edit?pli=1#gid=257618397"",""stock FAKTUR!B:G""),6,false)"),"")</f>
        <v/>
      </c>
      <c r="J694" s="120" t="str">
        <f t="shared" si="25"/>
        <v>ADA</v>
      </c>
      <c r="K694" s="142">
        <v>1.0</v>
      </c>
      <c r="L694" s="145" t="str">
        <f>IFERROR(__xludf.DUMMYFUNCTION("vlookup($D694,IMPORTRANGE(""https://docs.google.com/spreadsheets/d/1swGwZOEqYlTEUCJLY-eeJM1911Kvaei5oySBIxdgtNo/edit?pli=1#gid=257618397"",""stock FAKTUR!B:q""),16,false)"),"GRS")</f>
        <v>GRS</v>
      </c>
      <c r="M694" s="147">
        <v>115200.0</v>
      </c>
      <c r="N694" s="152">
        <v>0.1</v>
      </c>
      <c r="O694" s="147">
        <f t="shared" si="173"/>
        <v>103680</v>
      </c>
      <c r="P694" s="147" t="str">
        <f t="shared" si="3"/>
        <v>Rp115,200-1 GRS-10.00%</v>
      </c>
      <c r="Q694" s="149">
        <v>45422.0</v>
      </c>
      <c r="R694" s="149">
        <v>45419.0</v>
      </c>
      <c r="S694" s="149">
        <v>45425.0</v>
      </c>
      <c r="T694" s="151"/>
      <c r="U694" s="151"/>
      <c r="V694" s="151"/>
      <c r="W694" s="151"/>
    </row>
    <row r="695">
      <c r="A695" s="142">
        <v>4806.0</v>
      </c>
      <c r="B695" s="143" t="str">
        <f t="shared" si="206"/>
        <v>H</v>
      </c>
      <c r="C695" s="143" t="str">
        <f t="shared" si="207"/>
        <v>CV. SINAR CAHAYA NIRMALA-BREBES</v>
      </c>
      <c r="D695" s="145" t="s">
        <v>4572</v>
      </c>
      <c r="E695" s="145" t="str">
        <f>IFERROR(__xludf.DUMMYFUNCTION("vlookup(D695,IMPORTRANGE(""https://docs.google.com/spreadsheets/d/1swGwZOEqYlTEUCJLY-eeJM1911Kvaei5oySBIxdgtNo/edit?pli=1#gid=257618397"",""stock FAKTUR!B:C""),2,false)"),"PENSIL KENKO 2B-6393 FLUORESCENT")</f>
        <v>PENSIL KENKO 2B-6393 FLUORESCENT</v>
      </c>
      <c r="F695" s="53" t="str">
        <f>IFERROR(__xludf.DUMMYFUNCTION("vlookup($D695,IMPORTRANGE(""https://docs.google.com/spreadsheets/d/1swGwZOEqYlTEUCJLY-eeJM1911Kvaei5oySBIxdgtNo/edit?pli=1#gid=257618397"",""stock FAKTUR!B:d""),3,false)"),"")</f>
        <v/>
      </c>
      <c r="G695" s="53" t="str">
        <f>IFERROR(__xludf.DUMMYFUNCTION("vlookup($D695,IMPORTRANGE(""https://docs.google.com/spreadsheets/d/1swGwZOEqYlTEUCJLY-eeJM1911Kvaei5oySBIxdgtNo/edit?pli=1#gid=257618397"",""stock FAKTUR!B:e""),4,false)"),"")</f>
        <v/>
      </c>
      <c r="H695" s="53" t="str">
        <f>IFERROR(__xludf.DUMMYFUNCTION("vlookup($D695,IMPORTRANGE(""https://docs.google.com/spreadsheets/d/1swGwZOEqYlTEUCJLY-eeJM1911Kvaei5oySBIxdgtNo/edit?pli=1#gid=257618397"",""stock FAKTUR!B:F""),5,false)"),"KN")</f>
        <v>KN</v>
      </c>
      <c r="I695" s="53" t="str">
        <f>IFERROR(__xludf.DUMMYFUNCTION("vlookup($D695,IMPORTRANGE(""https://docs.google.com/spreadsheets/d/1swGwZOEqYlTEUCJLY-eeJM1911Kvaei5oySBIxdgtNo/edit?pli=1#gid=257618397"",""stock FAKTUR!B:G""),6,false)"),"")</f>
        <v/>
      </c>
      <c r="J695" s="120" t="str">
        <f t="shared" si="25"/>
        <v>ADA</v>
      </c>
      <c r="K695" s="142">
        <v>1.0</v>
      </c>
      <c r="L695" s="145" t="str">
        <f>IFERROR(__xludf.DUMMYFUNCTION("vlookup($D695,IMPORTRANGE(""https://docs.google.com/spreadsheets/d/1swGwZOEqYlTEUCJLY-eeJM1911Kvaei5oySBIxdgtNo/edit?pli=1#gid=257618397"",""stock FAKTUR!B:q""),16,false)"),"GRS")</f>
        <v>GRS</v>
      </c>
      <c r="M695" s="147">
        <v>120000.0</v>
      </c>
      <c r="N695" s="152">
        <v>0.1</v>
      </c>
      <c r="O695" s="147">
        <f t="shared" si="173"/>
        <v>108000</v>
      </c>
      <c r="P695" s="147" t="str">
        <f t="shared" si="3"/>
        <v>Rp120,000-1 GRS-10.00%</v>
      </c>
      <c r="Q695" s="149">
        <v>45422.0</v>
      </c>
      <c r="R695" s="149">
        <v>45419.0</v>
      </c>
      <c r="S695" s="149">
        <v>45425.0</v>
      </c>
      <c r="T695" s="151"/>
      <c r="U695" s="151"/>
      <c r="V695" s="151"/>
      <c r="W695" s="151"/>
    </row>
    <row r="696">
      <c r="A696" s="142">
        <v>4806.0</v>
      </c>
      <c r="B696" s="143" t="str">
        <f t="shared" si="206"/>
        <v>H</v>
      </c>
      <c r="C696" s="196" t="str">
        <f t="shared" si="207"/>
        <v>CV. SINAR CAHAYA NIRMALA-BREBES</v>
      </c>
      <c r="D696" s="193" t="s">
        <v>4576</v>
      </c>
      <c r="E696" s="145" t="str">
        <f>IFERROR(__xludf.DUMMYFUNCTION("vlookup(D696,IMPORTRANGE(""https://docs.google.com/spreadsheets/d/1swGwZOEqYlTEUCJLY-eeJM1911Kvaei5oySBIxdgtNo/edit?pli=1#gid=257618397"",""stock FAKTUR!B:C""),2,false)"),"PENSIL KENKO 2B-0192")</f>
        <v>PENSIL KENKO 2B-0192</v>
      </c>
      <c r="F696" s="53" t="str">
        <f>IFERROR(__xludf.DUMMYFUNCTION("vlookup($D696,IMPORTRANGE(""https://docs.google.com/spreadsheets/d/1swGwZOEqYlTEUCJLY-eeJM1911Kvaei5oySBIxdgtNo/edit?pli=1#gid=257618397"",""stock FAKTUR!B:d""),3,false)"),"")</f>
        <v/>
      </c>
      <c r="G696" s="53" t="str">
        <f>IFERROR(__xludf.DUMMYFUNCTION("vlookup($D696,IMPORTRANGE(""https://docs.google.com/spreadsheets/d/1swGwZOEqYlTEUCJLY-eeJM1911Kvaei5oySBIxdgtNo/edit?pli=1#gid=257618397"",""stock FAKTUR!B:e""),4,false)"),"")</f>
        <v/>
      </c>
      <c r="H696" s="53" t="str">
        <f>IFERROR(__xludf.DUMMYFUNCTION("vlookup($D696,IMPORTRANGE(""https://docs.google.com/spreadsheets/d/1swGwZOEqYlTEUCJLY-eeJM1911Kvaei5oySBIxdgtNo/edit?pli=1#gid=257618397"",""stock FAKTUR!B:F""),5,false)"),"KN")</f>
        <v>KN</v>
      </c>
      <c r="I696" s="53" t="str">
        <f>IFERROR(__xludf.DUMMYFUNCTION("vlookup($D696,IMPORTRANGE(""https://docs.google.com/spreadsheets/d/1swGwZOEqYlTEUCJLY-eeJM1911Kvaei5oySBIxdgtNo/edit?pli=1#gid=257618397"",""stock FAKTUR!B:G""),6,false)"),"0192")</f>
        <v>0192</v>
      </c>
      <c r="J696" s="120" t="str">
        <f t="shared" si="25"/>
        <v>ADA</v>
      </c>
      <c r="K696" s="142">
        <v>1.0</v>
      </c>
      <c r="L696" s="145" t="str">
        <f>IFERROR(__xludf.DUMMYFUNCTION("vlookup($D696,IMPORTRANGE(""https://docs.google.com/spreadsheets/d/1swGwZOEqYlTEUCJLY-eeJM1911Kvaei5oySBIxdgtNo/edit?pli=1#gid=257618397"",""stock FAKTUR!B:q""),16,false)"),"GRS")</f>
        <v>GRS</v>
      </c>
      <c r="M696" s="147">
        <v>122400.0</v>
      </c>
      <c r="N696" s="152">
        <v>0.1</v>
      </c>
      <c r="O696" s="147">
        <f t="shared" si="173"/>
        <v>110160</v>
      </c>
      <c r="P696" s="147" t="str">
        <f t="shared" si="3"/>
        <v>Rp122,400-1 GRS-10.00%</v>
      </c>
      <c r="Q696" s="149">
        <v>45422.0</v>
      </c>
      <c r="R696" s="149">
        <v>45419.0</v>
      </c>
      <c r="S696" s="149">
        <v>45425.0</v>
      </c>
      <c r="T696" s="194" t="s">
        <v>4508</v>
      </c>
      <c r="U696" s="192" t="s">
        <v>4390</v>
      </c>
      <c r="V696" s="151"/>
      <c r="W696" s="159"/>
    </row>
    <row r="697">
      <c r="A697" s="142">
        <v>4806.0</v>
      </c>
      <c r="B697" s="143" t="str">
        <f t="shared" si="206"/>
        <v>H</v>
      </c>
      <c r="C697" s="143" t="str">
        <f t="shared" si="207"/>
        <v>CV. SINAR CAHAYA NIRMALA-BREBES</v>
      </c>
      <c r="D697" s="145" t="s">
        <v>4527</v>
      </c>
      <c r="E697" s="145" t="str">
        <f>IFERROR(__xludf.DUMMYFUNCTION("vlookup(D697,IMPORTRANGE(""https://docs.google.com/spreadsheets/d/1swGwZOEqYlTEUCJLY-eeJM1911Kvaei5oySBIxdgtNo/edit?pli=1#gid=257618397"",""stock FAKTUR!B:C""),2,false)"),"BP KENKO KE-100 HITAM")</f>
        <v>BP KENKO KE-100 HITAM</v>
      </c>
      <c r="F697" s="53" t="str">
        <f>IFERROR(__xludf.DUMMYFUNCTION("vlookup($D697,IMPORTRANGE(""https://docs.google.com/spreadsheets/d/1swGwZOEqYlTEUCJLY-eeJM1911Kvaei5oySBIxdgtNo/edit?pli=1#gid=257618397"",""stock FAKTUR!B:d""),3,false)"),"")</f>
        <v/>
      </c>
      <c r="G697" s="53" t="str">
        <f>IFERROR(__xludf.DUMMYFUNCTION("vlookup($D697,IMPORTRANGE(""https://docs.google.com/spreadsheets/d/1swGwZOEqYlTEUCJLY-eeJM1911Kvaei5oySBIxdgtNo/edit?pli=1#gid=257618397"",""stock FAKTUR!B:e""),4,false)"),"HITAM")</f>
        <v>HITAM</v>
      </c>
      <c r="H697" s="53" t="str">
        <f>IFERROR(__xludf.DUMMYFUNCTION("vlookup($D697,IMPORTRANGE(""https://docs.google.com/spreadsheets/d/1swGwZOEqYlTEUCJLY-eeJM1911Kvaei5oySBIxdgtNo/edit?pli=1#gid=257618397"",""stock FAKTUR!B:F""),5,false)"),"KN")</f>
        <v>KN</v>
      </c>
      <c r="I697" s="53" t="str">
        <f>IFERROR(__xludf.DUMMYFUNCTION("vlookup($D697,IMPORTRANGE(""https://docs.google.com/spreadsheets/d/1swGwZOEqYlTEUCJLY-eeJM1911Kvaei5oySBIxdgtNo/edit?pli=1#gid=257618397"",""stock FAKTUR!B:G""),6,false)"),"GPT-001B")</f>
        <v>GPT-001B</v>
      </c>
      <c r="J697" s="120" t="str">
        <f t="shared" si="25"/>
        <v>ADA</v>
      </c>
      <c r="K697" s="142">
        <v>6.0</v>
      </c>
      <c r="L697" s="145" t="str">
        <f>IFERROR(__xludf.DUMMYFUNCTION("vlookup($D697,IMPORTRANGE(""https://docs.google.com/spreadsheets/d/1swGwZOEqYlTEUCJLY-eeJM1911Kvaei5oySBIxdgtNo/edit?pli=1#gid=257618397"",""stock FAKTUR!B:q""),16,false)"),"LSN")</f>
        <v>LSN</v>
      </c>
      <c r="M697" s="147">
        <v>19200.0</v>
      </c>
      <c r="N697" s="152">
        <v>0.1</v>
      </c>
      <c r="O697" s="147">
        <f t="shared" si="173"/>
        <v>103680</v>
      </c>
      <c r="P697" s="147" t="str">
        <f t="shared" si="3"/>
        <v>Rp19,200-6 LSN-10.00%</v>
      </c>
      <c r="Q697" s="149">
        <v>45422.0</v>
      </c>
      <c r="R697" s="149">
        <v>45419.0</v>
      </c>
      <c r="S697" s="149">
        <v>45425.0</v>
      </c>
      <c r="T697" s="194" t="s">
        <v>4661</v>
      </c>
      <c r="U697" s="192" t="s">
        <v>4390</v>
      </c>
      <c r="V697" s="151"/>
      <c r="W697" s="159"/>
    </row>
    <row r="698">
      <c r="A698" s="142">
        <v>4806.0</v>
      </c>
      <c r="B698" s="143" t="str">
        <f t="shared" si="206"/>
        <v>H</v>
      </c>
      <c r="C698" s="143" t="str">
        <f t="shared" si="207"/>
        <v>CV. SINAR CAHAYA NIRMALA-BREBES</v>
      </c>
      <c r="D698" s="145" t="s">
        <v>4510</v>
      </c>
      <c r="E698" s="145" t="str">
        <f>IFERROR(__xludf.DUMMYFUNCTION("vlookup(D698,IMPORTRANGE(""https://docs.google.com/spreadsheets/d/1swGwZOEqYlTEUCJLY-eeJM1911Kvaei5oySBIxdgtNo/edit?pli=1#gid=257618397"",""stock FAKTUR!B:C""),2,false)"),"BP JK BP-349-12 VOKUS TRANS HITAM")</f>
        <v>BP JK BP-349-12 VOKUS TRANS HITAM</v>
      </c>
      <c r="F698" s="53" t="str">
        <f>IFERROR(__xludf.DUMMYFUNCTION("vlookup($D698,IMPORTRANGE(""https://docs.google.com/spreadsheets/d/1swGwZOEqYlTEUCJLY-eeJM1911Kvaei5oySBIxdgtNo/edit?pli=1#gid=257618397"",""stock FAKTUR!B:d""),3,false)"),"")</f>
        <v/>
      </c>
      <c r="G698" s="53" t="str">
        <f>IFERROR(__xludf.DUMMYFUNCTION("vlookup($D698,IMPORTRANGE(""https://docs.google.com/spreadsheets/d/1swGwZOEqYlTEUCJLY-eeJM1911Kvaei5oySBIxdgtNo/edit?pli=1#gid=257618397"",""stock FAKTUR!B:e""),4,false)"),"")</f>
        <v/>
      </c>
      <c r="H698" s="53" t="str">
        <f>IFERROR(__xludf.DUMMYFUNCTION("vlookup($D698,IMPORTRANGE(""https://docs.google.com/spreadsheets/d/1swGwZOEqYlTEUCJLY-eeJM1911Kvaei5oySBIxdgtNo/edit?pli=1#gid=257618397"",""stock FAKTUR!B:F""),5,false)"),"JK")</f>
        <v>JK</v>
      </c>
      <c r="I698" s="53" t="str">
        <f>IFERROR(__xludf.DUMMYFUNCTION("vlookup($D698,IMPORTRANGE(""https://docs.google.com/spreadsheets/d/1swGwZOEqYlTEUCJLY-eeJM1911Kvaei5oySBIxdgtNo/edit?pli=1#gid=257618397"",""stock FAKTUR!B:G""),6,false)"),"349-12")</f>
        <v>349-12</v>
      </c>
      <c r="J698" s="120" t="str">
        <f t="shared" si="25"/>
        <v>ADA</v>
      </c>
      <c r="K698" s="142">
        <v>12.0</v>
      </c>
      <c r="L698" s="145" t="str">
        <f>IFERROR(__xludf.DUMMYFUNCTION("vlookup($D698,IMPORTRANGE(""https://docs.google.com/spreadsheets/d/1swGwZOEqYlTEUCJLY-eeJM1911Kvaei5oySBIxdgtNo/edit?pli=1#gid=257618397"",""stock FAKTUR!B:q""),16,false)"),"LSN")</f>
        <v>LSN</v>
      </c>
      <c r="M698" s="147">
        <v>13200.0</v>
      </c>
      <c r="N698" s="152">
        <v>0.1</v>
      </c>
      <c r="O698" s="147">
        <f t="shared" si="173"/>
        <v>142560</v>
      </c>
      <c r="P698" s="147" t="str">
        <f t="shared" si="3"/>
        <v>Rp13,200-12 LSN-10.00%</v>
      </c>
      <c r="Q698" s="149">
        <v>45422.0</v>
      </c>
      <c r="R698" s="149">
        <v>45419.0</v>
      </c>
      <c r="S698" s="149">
        <v>45425.0</v>
      </c>
      <c r="T698" s="151"/>
      <c r="U698" s="151"/>
      <c r="V698" s="151"/>
      <c r="W698" s="151"/>
    </row>
    <row r="699">
      <c r="A699" s="142">
        <v>4806.0</v>
      </c>
      <c r="B699" s="143" t="str">
        <f t="shared" si="206"/>
        <v>H</v>
      </c>
      <c r="C699" s="143" t="str">
        <f t="shared" si="207"/>
        <v>CV. SINAR CAHAYA NIRMALA-BREBES</v>
      </c>
      <c r="D699" s="145" t="s">
        <v>4746</v>
      </c>
      <c r="E699" s="145" t="str">
        <f>IFERROR(__xludf.DUMMYFUNCTION("vlookup(D699,IMPORTRANGE(""https://docs.google.com/spreadsheets/d/1swGwZOEqYlTEUCJLY-eeJM1911Kvaei5oySBIxdgtNo/edit?pli=1#gid=257618397"",""stock FAKTUR!B:C""),2,false)"),"BP JK GP-265 HITAM")</f>
        <v>BP JK GP-265 HITAM</v>
      </c>
      <c r="F699" s="53" t="str">
        <f>IFERROR(__xludf.DUMMYFUNCTION("vlookup($D699,IMPORTRANGE(""https://docs.google.com/spreadsheets/d/1swGwZOEqYlTEUCJLY-eeJM1911Kvaei5oySBIxdgtNo/edit?pli=1#gid=257618397"",""stock FAKTUR!B:d""),3,false)"),"")</f>
        <v/>
      </c>
      <c r="G699" s="53" t="str">
        <f>IFERROR(__xludf.DUMMYFUNCTION("vlookup($D699,IMPORTRANGE(""https://docs.google.com/spreadsheets/d/1swGwZOEqYlTEUCJLY-eeJM1911Kvaei5oySBIxdgtNo/edit?pli=1#gid=257618397"",""stock FAKTUR!B:e""),4,false)"),"HITAM")</f>
        <v>HITAM</v>
      </c>
      <c r="H699" s="53" t="str">
        <f>IFERROR(__xludf.DUMMYFUNCTION("vlookup($D699,IMPORTRANGE(""https://docs.google.com/spreadsheets/d/1swGwZOEqYlTEUCJLY-eeJM1911Kvaei5oySBIxdgtNo/edit?pli=1#gid=257618397"",""stock FAKTUR!B:F""),5,false)"),"JK")</f>
        <v>JK</v>
      </c>
      <c r="I699" s="53" t="str">
        <f>IFERROR(__xludf.DUMMYFUNCTION("vlookup($D699,IMPORTRANGE(""https://docs.google.com/spreadsheets/d/1swGwZOEqYlTEUCJLY-eeJM1911Kvaei5oySBIxdgtNo/edit?pli=1#gid=257618397"",""stock FAKTUR!B:G""),6,false)"),"GP-265")</f>
        <v>GP-265</v>
      </c>
      <c r="J699" s="120" t="str">
        <f t="shared" si="25"/>
        <v>ADA</v>
      </c>
      <c r="K699" s="142">
        <v>3.0</v>
      </c>
      <c r="L699" s="145" t="str">
        <f>IFERROR(__xludf.DUMMYFUNCTION("vlookup($D699,IMPORTRANGE(""https://docs.google.com/spreadsheets/d/1swGwZOEqYlTEUCJLY-eeJM1911Kvaei5oySBIxdgtNo/edit?pli=1#gid=257618397"",""stock FAKTUR!B:q""),16,false)"),"LSN")</f>
        <v>LSN</v>
      </c>
      <c r="M699" s="147">
        <v>26400.0</v>
      </c>
      <c r="N699" s="152">
        <v>0.1</v>
      </c>
      <c r="O699" s="147">
        <f t="shared" si="173"/>
        <v>71280</v>
      </c>
      <c r="P699" s="147" t="str">
        <f t="shared" si="3"/>
        <v>Rp26,400-3 LSN-10.00%</v>
      </c>
      <c r="Q699" s="149">
        <v>45422.0</v>
      </c>
      <c r="R699" s="149">
        <v>45419.0</v>
      </c>
      <c r="S699" s="149">
        <v>45425.0</v>
      </c>
      <c r="T699" s="151"/>
      <c r="U699" s="151"/>
      <c r="V699" s="151"/>
      <c r="W699" s="151"/>
    </row>
    <row r="700">
      <c r="A700" s="142">
        <v>4806.0</v>
      </c>
      <c r="B700" s="143" t="str">
        <f t="shared" si="206"/>
        <v>H</v>
      </c>
      <c r="C700" s="143" t="str">
        <f t="shared" si="207"/>
        <v>CV. SINAR CAHAYA NIRMALA-BREBES</v>
      </c>
      <c r="D700" s="145" t="s">
        <v>4630</v>
      </c>
      <c r="E700" s="145" t="str">
        <f>IFERROR(__xludf.DUMMYFUNCTION("vlookup(D700,IMPORTRANGE(""https://docs.google.com/spreadsheets/d/1swGwZOEqYlTEUCJLY-eeJM1911Kvaei5oySBIxdgtNo/edit?pli=1#gid=257618397"",""stock FAKTUR!B:C""),2,false)"),"BP JK GP-330 HITAM")</f>
        <v>BP JK GP-330 HITAM</v>
      </c>
      <c r="F700" s="53" t="str">
        <f>IFERROR(__xludf.DUMMYFUNCTION("vlookup($D700,IMPORTRANGE(""https://docs.google.com/spreadsheets/d/1swGwZOEqYlTEUCJLY-eeJM1911Kvaei5oySBIxdgtNo/edit?pli=1#gid=257618397"",""stock FAKTUR!B:d""),3,false)"),"")</f>
        <v/>
      </c>
      <c r="G700" s="53" t="str">
        <f>IFERROR(__xludf.DUMMYFUNCTION("vlookup($D700,IMPORTRANGE(""https://docs.google.com/spreadsheets/d/1swGwZOEqYlTEUCJLY-eeJM1911Kvaei5oySBIxdgtNo/edit?pli=1#gid=257618397"",""stock FAKTUR!B:e""),4,false)"),"HITAM")</f>
        <v>HITAM</v>
      </c>
      <c r="H700" s="53" t="str">
        <f>IFERROR(__xludf.DUMMYFUNCTION("vlookup($D700,IMPORTRANGE(""https://docs.google.com/spreadsheets/d/1swGwZOEqYlTEUCJLY-eeJM1911Kvaei5oySBIxdgtNo/edit?pli=1#gid=257618397"",""stock FAKTUR!B:F""),5,false)"),"JK")</f>
        <v>JK</v>
      </c>
      <c r="I700" s="53" t="str">
        <f>IFERROR(__xludf.DUMMYFUNCTION("vlookup($D700,IMPORTRANGE(""https://docs.google.com/spreadsheets/d/1swGwZOEqYlTEUCJLY-eeJM1911Kvaei5oySBIxdgtNo/edit?pli=1#gid=257618397"",""stock FAKTUR!B:G""),6,false)"),"GP-330")</f>
        <v>GP-330</v>
      </c>
      <c r="J700" s="120" t="str">
        <f t="shared" si="25"/>
        <v>ADA</v>
      </c>
      <c r="K700" s="142">
        <v>6.0</v>
      </c>
      <c r="L700" s="145" t="str">
        <f>IFERROR(__xludf.DUMMYFUNCTION("vlookup($D700,IMPORTRANGE(""https://docs.google.com/spreadsheets/d/1swGwZOEqYlTEUCJLY-eeJM1911Kvaei5oySBIxdgtNo/edit?pli=1#gid=257618397"",""stock FAKTUR!B:q""),16,false)"),"LSN")</f>
        <v>LSN</v>
      </c>
      <c r="M700" s="147">
        <v>14100.0</v>
      </c>
      <c r="N700" s="152">
        <v>0.1</v>
      </c>
      <c r="O700" s="147">
        <f t="shared" si="173"/>
        <v>76140</v>
      </c>
      <c r="P700" s="147" t="str">
        <f t="shared" si="3"/>
        <v>Rp14,100-6 LSN-10.00%</v>
      </c>
      <c r="Q700" s="149">
        <v>45422.0</v>
      </c>
      <c r="R700" s="149">
        <v>45419.0</v>
      </c>
      <c r="S700" s="149">
        <v>45425.0</v>
      </c>
      <c r="T700" s="151"/>
      <c r="U700" s="151"/>
      <c r="V700" s="151"/>
      <c r="W700" s="151"/>
    </row>
    <row r="701">
      <c r="A701" s="142">
        <v>4806.0</v>
      </c>
      <c r="B701" s="143" t="str">
        <f t="shared" si="206"/>
        <v>H</v>
      </c>
      <c r="C701" s="143" t="str">
        <f t="shared" si="207"/>
        <v>CV. SINAR CAHAYA NIRMALA-BREBES</v>
      </c>
      <c r="D701" s="145" t="s">
        <v>4415</v>
      </c>
      <c r="E701" s="145" t="str">
        <f>IFERROR(__xludf.DUMMYFUNCTION("vlookup(D701,IMPORTRANGE(""https://docs.google.com/spreadsheets/d/1swGwZOEqYlTEUCJLY-eeJM1911Kvaei5oySBIxdgtNo/edit?pli=1#gid=257618397"",""stock FAKTUR!B:C""),2,false)"),"BP KENKO K-1 HITAM")</f>
        <v>BP KENKO K-1 HITAM</v>
      </c>
      <c r="F701" s="53" t="str">
        <f>IFERROR(__xludf.DUMMYFUNCTION("vlookup($D701,IMPORTRANGE(""https://docs.google.com/spreadsheets/d/1swGwZOEqYlTEUCJLY-eeJM1911Kvaei5oySBIxdgtNo/edit?pli=1#gid=257618397"",""stock FAKTUR!B:d""),3,false)"),"")</f>
        <v/>
      </c>
      <c r="G701" s="53" t="str">
        <f>IFERROR(__xludf.DUMMYFUNCTION("vlookup($D701,IMPORTRANGE(""https://docs.google.com/spreadsheets/d/1swGwZOEqYlTEUCJLY-eeJM1911Kvaei5oySBIxdgtNo/edit?pli=1#gid=257618397"",""stock FAKTUR!B:e""),4,false)"),"HITAM")</f>
        <v>HITAM</v>
      </c>
      <c r="H701" s="53" t="str">
        <f>IFERROR(__xludf.DUMMYFUNCTION("vlookup($D701,IMPORTRANGE(""https://docs.google.com/spreadsheets/d/1swGwZOEqYlTEUCJLY-eeJM1911Kvaei5oySBIxdgtNo/edit?pli=1#gid=257618397"",""stock FAKTUR!B:F""),5,false)"),"KN")</f>
        <v>KN</v>
      </c>
      <c r="I701" s="53" t="str">
        <f>IFERROR(__xludf.DUMMYFUNCTION("vlookup($D701,IMPORTRANGE(""https://docs.google.com/spreadsheets/d/1swGwZOEqYlTEUCJLY-eeJM1911Kvaei5oySBIxdgtNo/edit?pli=1#gid=257618397"",""stock FAKTUR!B:G""),6,false)"),"GPR-003B")</f>
        <v>GPR-003B</v>
      </c>
      <c r="J701" s="120" t="str">
        <f t="shared" si="25"/>
        <v>ADA</v>
      </c>
      <c r="K701" s="142">
        <v>3.0</v>
      </c>
      <c r="L701" s="145" t="str">
        <f>IFERROR(__xludf.DUMMYFUNCTION("vlookup($D701,IMPORTRANGE(""https://docs.google.com/spreadsheets/d/1swGwZOEqYlTEUCJLY-eeJM1911Kvaei5oySBIxdgtNo/edit?pli=1#gid=257618397"",""stock FAKTUR!B:q""),16,false)"),"LSN")</f>
        <v>LSN</v>
      </c>
      <c r="M701" s="147">
        <v>39600.0</v>
      </c>
      <c r="N701" s="152">
        <v>0.1</v>
      </c>
      <c r="O701" s="147">
        <f t="shared" si="173"/>
        <v>106920</v>
      </c>
      <c r="P701" s="147" t="str">
        <f t="shared" si="3"/>
        <v>Rp39,600-3 LSN-10.00%</v>
      </c>
      <c r="Q701" s="149">
        <v>45422.0</v>
      </c>
      <c r="R701" s="149">
        <v>45419.0</v>
      </c>
      <c r="S701" s="149">
        <v>45425.0</v>
      </c>
      <c r="T701" s="151"/>
      <c r="U701" s="151"/>
      <c r="V701" s="151"/>
      <c r="W701" s="151"/>
    </row>
    <row r="702">
      <c r="A702" s="142">
        <v>4806.0</v>
      </c>
      <c r="B702" s="143" t="str">
        <f t="shared" si="206"/>
        <v>H</v>
      </c>
      <c r="C702" s="143" t="str">
        <f t="shared" si="207"/>
        <v>CV. SINAR CAHAYA NIRMALA-BREBES</v>
      </c>
      <c r="D702" s="145" t="s">
        <v>4516</v>
      </c>
      <c r="E702" s="145" t="str">
        <f>IFERROR(__xludf.DUMMYFUNCTION("vlookup(D702,IMPORTRANGE(""https://docs.google.com/spreadsheets/d/1swGwZOEqYlTEUCJLY-eeJM1911Kvaei5oySBIxdgtNo/edit?pli=1#gid=257618397"",""stock FAKTUR!B:C""),2,false)"),"BP KENKO K-1 ECO HITAM")</f>
        <v>BP KENKO K-1 ECO HITAM</v>
      </c>
      <c r="F702" s="53" t="str">
        <f>IFERROR(__xludf.DUMMYFUNCTION("vlookup($D702,IMPORTRANGE(""https://docs.google.com/spreadsheets/d/1swGwZOEqYlTEUCJLY-eeJM1911Kvaei5oySBIxdgtNo/edit?pli=1#gid=257618397"",""stock FAKTUR!B:d""),3,false)"),"")</f>
        <v/>
      </c>
      <c r="G702" s="53" t="str">
        <f>IFERROR(__xludf.DUMMYFUNCTION("vlookup($D702,IMPORTRANGE(""https://docs.google.com/spreadsheets/d/1swGwZOEqYlTEUCJLY-eeJM1911Kvaei5oySBIxdgtNo/edit?pli=1#gid=257618397"",""stock FAKTUR!B:e""),4,false)"),"HITAM")</f>
        <v>HITAM</v>
      </c>
      <c r="H702" s="53" t="str">
        <f>IFERROR(__xludf.DUMMYFUNCTION("vlookup($D702,IMPORTRANGE(""https://docs.google.com/spreadsheets/d/1swGwZOEqYlTEUCJLY-eeJM1911Kvaei5oySBIxdgtNo/edit?pli=1#gid=257618397"",""stock FAKTUR!B:F""),5,false)"),"KN")</f>
        <v>KN</v>
      </c>
      <c r="I702" s="53" t="str">
        <f>IFERROR(__xludf.DUMMYFUNCTION("vlookup($D702,IMPORTRANGE(""https://docs.google.com/spreadsheets/d/1swGwZOEqYlTEUCJLY-eeJM1911Kvaei5oySBIxdgtNo/edit?pli=1#gid=257618397"",""stock FAKTUR!B:G""),6,false)"),"GPR-025B")</f>
        <v>GPR-025B</v>
      </c>
      <c r="J702" s="120" t="str">
        <f t="shared" si="25"/>
        <v>ADA</v>
      </c>
      <c r="K702" s="142">
        <v>3.0</v>
      </c>
      <c r="L702" s="145" t="str">
        <f>IFERROR(__xludf.DUMMYFUNCTION("vlookup($D702,IMPORTRANGE(""https://docs.google.com/spreadsheets/d/1swGwZOEqYlTEUCJLY-eeJM1911Kvaei5oySBIxdgtNo/edit?pli=1#gid=257618397"",""stock FAKTUR!B:q""),16,false)"),"LSN")</f>
        <v>LSN</v>
      </c>
      <c r="M702" s="147">
        <v>27000.0</v>
      </c>
      <c r="N702" s="152">
        <v>0.1</v>
      </c>
      <c r="O702" s="147">
        <f t="shared" si="173"/>
        <v>72900</v>
      </c>
      <c r="P702" s="147" t="str">
        <f t="shared" si="3"/>
        <v>Rp27,000-3 LSN-10.00%</v>
      </c>
      <c r="Q702" s="149">
        <v>45422.0</v>
      </c>
      <c r="R702" s="149">
        <v>45419.0</v>
      </c>
      <c r="S702" s="149">
        <v>45425.0</v>
      </c>
      <c r="T702" s="151"/>
      <c r="U702" s="151"/>
      <c r="V702" s="151"/>
      <c r="W702" s="151"/>
    </row>
    <row r="703">
      <c r="A703" s="142">
        <v>4806.0</v>
      </c>
      <c r="B703" s="143" t="str">
        <f t="shared" si="206"/>
        <v>H</v>
      </c>
      <c r="C703" s="143" t="str">
        <f t="shared" si="207"/>
        <v>CV. SINAR CAHAYA NIRMALA-BREBES</v>
      </c>
      <c r="D703" s="145" t="s">
        <v>4684</v>
      </c>
      <c r="E703" s="145" t="str">
        <f>IFERROR(__xludf.DUMMYFUNCTION("vlookup(D703,IMPORTRANGE(""https://docs.google.com/spreadsheets/d/1swGwZOEqYlTEUCJLY-eeJM1911Kvaei5oySBIxdgtNo/edit?pli=1#gid=257618397"",""stock FAKTUR!B:C""),2,false)"),"LOOSE LEAF JA B5 50")</f>
        <v>LOOSE LEAF JA B5 50</v>
      </c>
      <c r="F703" s="53" t="str">
        <f>IFERROR(__xludf.DUMMYFUNCTION("vlookup($D703,IMPORTRANGE(""https://docs.google.com/spreadsheets/d/1swGwZOEqYlTEUCJLY-eeJM1911Kvaei5oySBIxdgtNo/edit?pli=1#gid=257618397"",""stock FAKTUR!B:d""),3,false)"),"B5")</f>
        <v>B5</v>
      </c>
      <c r="G703" s="53" t="str">
        <f>IFERROR(__xludf.DUMMYFUNCTION("vlookup($D703,IMPORTRANGE(""https://docs.google.com/spreadsheets/d/1swGwZOEqYlTEUCJLY-eeJM1911Kvaei5oySBIxdgtNo/edit?pli=1#gid=257618397"",""stock FAKTUR!B:e""),4,false)"),"")</f>
        <v/>
      </c>
      <c r="H703" s="53" t="str">
        <f>IFERROR(__xludf.DUMMYFUNCTION("vlookup($D703,IMPORTRANGE(""https://docs.google.com/spreadsheets/d/1swGwZOEqYlTEUCJLY-eeJM1911Kvaei5oySBIxdgtNo/edit?pli=1#gid=257618397"",""stock FAKTUR!B:F""),5,false)"),"JA")</f>
        <v>JA</v>
      </c>
      <c r="I703" s="53" t="str">
        <f>IFERROR(__xludf.DUMMYFUNCTION("vlookup($D703,IMPORTRANGE(""https://docs.google.com/spreadsheets/d/1swGwZOEqYlTEUCJLY-eeJM1911Kvaei5oySBIxdgtNo/edit?pli=1#gid=257618397"",""stock FAKTUR!B:G""),6,false)"),"")</f>
        <v/>
      </c>
      <c r="J703" s="120" t="str">
        <f t="shared" si="25"/>
        <v>ADA</v>
      </c>
      <c r="K703" s="142">
        <v>50.0</v>
      </c>
      <c r="L703" s="145" t="str">
        <f>IFERROR(__xludf.DUMMYFUNCTION("vlookup($D703,IMPORTRANGE(""https://docs.google.com/spreadsheets/d/1swGwZOEqYlTEUCJLY-eeJM1911Kvaei5oySBIxdgtNo/edit?pli=1#gid=257618397"",""stock FAKTUR!B:q""),16,false)"),"PCS")</f>
        <v>PCS</v>
      </c>
      <c r="M703" s="147">
        <v>5700.0</v>
      </c>
      <c r="N703" s="152">
        <v>0.1</v>
      </c>
      <c r="O703" s="147">
        <f t="shared" si="173"/>
        <v>256500</v>
      </c>
      <c r="P703" s="147" t="str">
        <f t="shared" si="3"/>
        <v>Rp5,700-50 PCS-10.00%</v>
      </c>
      <c r="Q703" s="149">
        <v>45422.0</v>
      </c>
      <c r="R703" s="149">
        <v>45419.0</v>
      </c>
      <c r="S703" s="149">
        <v>45425.0</v>
      </c>
      <c r="T703" s="194" t="s">
        <v>4730</v>
      </c>
      <c r="U703" s="192" t="s">
        <v>4390</v>
      </c>
      <c r="V703" s="151"/>
      <c r="W703" s="159"/>
    </row>
    <row r="704">
      <c r="A704" s="142">
        <v>4806.0</v>
      </c>
      <c r="B704" s="143" t="str">
        <f t="shared" si="206"/>
        <v>H</v>
      </c>
      <c r="C704" s="143" t="str">
        <f t="shared" si="207"/>
        <v>CV. SINAR CAHAYA NIRMALA-BREBES</v>
      </c>
      <c r="D704" s="151" t="s">
        <v>4591</v>
      </c>
      <c r="E704" s="145" t="str">
        <f>IFERROR(__xludf.DUMMYFUNCTION("vlookup(D704,IMPORTRANGE(""https://docs.google.com/spreadsheets/d/1swGwZOEqYlTEUCJLY-eeJM1911Kvaei5oySBIxdgtNo/edit?pli=1#gid=257618397"",""stock FAKTUR!B:C""),2,false)"),"LOOSE LEAF KENKO A5 50")</f>
        <v>LOOSE LEAF KENKO A5 50</v>
      </c>
      <c r="F704" s="53" t="str">
        <f>IFERROR(__xludf.DUMMYFUNCTION("vlookup($D704,IMPORTRANGE(""https://docs.google.com/spreadsheets/d/1swGwZOEqYlTEUCJLY-eeJM1911Kvaei5oySBIxdgtNo/edit?pli=1#gid=257618397"",""stock FAKTUR!B:d""),3,false)"),"")</f>
        <v/>
      </c>
      <c r="G704" s="53" t="str">
        <f>IFERROR(__xludf.DUMMYFUNCTION("vlookup($D704,IMPORTRANGE(""https://docs.google.com/spreadsheets/d/1swGwZOEqYlTEUCJLY-eeJM1911Kvaei5oySBIxdgtNo/edit?pli=1#gid=257618397"",""stock FAKTUR!B:e""),4,false)"),"")</f>
        <v/>
      </c>
      <c r="H704" s="53" t="str">
        <f>IFERROR(__xludf.DUMMYFUNCTION("vlookup($D704,IMPORTRANGE(""https://docs.google.com/spreadsheets/d/1swGwZOEqYlTEUCJLY-eeJM1911Kvaei5oySBIxdgtNo/edit?pli=1#gid=257618397"",""stock FAKTUR!B:F""),5,false)"),"KN")</f>
        <v>KN</v>
      </c>
      <c r="I704" s="53" t="str">
        <f>IFERROR(__xludf.DUMMYFUNCTION("vlookup($D704,IMPORTRANGE(""https://docs.google.com/spreadsheets/d/1swGwZOEqYlTEUCJLY-eeJM1911Kvaei5oySBIxdgtNo/edit?pli=1#gid=257618397"",""stock FAKTUR!B:G""),6,false)"),"50-2070")</f>
        <v>50-2070</v>
      </c>
      <c r="J704" s="120" t="str">
        <f t="shared" si="25"/>
        <v>ADA</v>
      </c>
      <c r="K704" s="142">
        <v>50.0</v>
      </c>
      <c r="L704" s="145" t="str">
        <f>IFERROR(__xludf.DUMMYFUNCTION("vlookup($D704,IMPORTRANGE(""https://docs.google.com/spreadsheets/d/1swGwZOEqYlTEUCJLY-eeJM1911Kvaei5oySBIxdgtNo/edit?pli=1#gid=257618397"",""stock FAKTUR!B:q""),16,false)"),"PCS")</f>
        <v>PCS</v>
      </c>
      <c r="M704" s="147">
        <v>4400.0</v>
      </c>
      <c r="N704" s="152">
        <v>0.1</v>
      </c>
      <c r="O704" s="147">
        <f t="shared" si="173"/>
        <v>198000</v>
      </c>
      <c r="P704" s="147" t="str">
        <f t="shared" si="3"/>
        <v>Rp4,400-50 PCS-10.00%</v>
      </c>
      <c r="Q704" s="149">
        <v>45422.0</v>
      </c>
      <c r="R704" s="149">
        <v>45419.0</v>
      </c>
      <c r="S704" s="149">
        <v>45425.0</v>
      </c>
      <c r="T704" s="194" t="s">
        <v>4730</v>
      </c>
      <c r="U704" s="192" t="s">
        <v>4390</v>
      </c>
      <c r="V704" s="151"/>
      <c r="W704" s="159"/>
    </row>
    <row r="705">
      <c r="A705" s="142">
        <v>4806.0</v>
      </c>
      <c r="B705" s="143" t="str">
        <f t="shared" si="206"/>
        <v>H</v>
      </c>
      <c r="C705" s="143" t="str">
        <f t="shared" si="207"/>
        <v>CV. SINAR CAHAYA NIRMALA-BREBES</v>
      </c>
      <c r="D705" s="145" t="s">
        <v>4592</v>
      </c>
      <c r="E705" s="145" t="str">
        <f>IFERROR(__xludf.DUMMYFUNCTION("vlookup(D705,IMPORTRANGE(""https://docs.google.com/spreadsheets/d/1swGwZOEqYlTEUCJLY-eeJM1911Kvaei5oySBIxdgtNo/edit?pli=1#gid=257618397"",""stock FAKTUR!B:C""),2,false)"),"LOOSE LEAF KENKO 100-2070 A5")</f>
        <v>LOOSE LEAF KENKO 100-2070 A5</v>
      </c>
      <c r="F705" s="53" t="str">
        <f>IFERROR(__xludf.DUMMYFUNCTION("vlookup($D705,IMPORTRANGE(""https://docs.google.com/spreadsheets/d/1swGwZOEqYlTEUCJLY-eeJM1911Kvaei5oySBIxdgtNo/edit?pli=1#gid=257618397"",""stock FAKTUR!B:d""),3,false)"),"A5")</f>
        <v>A5</v>
      </c>
      <c r="G705" s="53" t="str">
        <f>IFERROR(__xludf.DUMMYFUNCTION("vlookup($D705,IMPORTRANGE(""https://docs.google.com/spreadsheets/d/1swGwZOEqYlTEUCJLY-eeJM1911Kvaei5oySBIxdgtNo/edit?pli=1#gid=257618397"",""stock FAKTUR!B:e""),4,false)"),"")</f>
        <v/>
      </c>
      <c r="H705" s="53" t="str">
        <f>IFERROR(__xludf.DUMMYFUNCTION("vlookup($D705,IMPORTRANGE(""https://docs.google.com/spreadsheets/d/1swGwZOEqYlTEUCJLY-eeJM1911Kvaei5oySBIxdgtNo/edit?pli=1#gid=257618397"",""stock FAKTUR!B:F""),5,false)"),"KN")</f>
        <v>KN</v>
      </c>
      <c r="I705" s="53" t="str">
        <f>IFERROR(__xludf.DUMMYFUNCTION("vlookup($D705,IMPORTRANGE(""https://docs.google.com/spreadsheets/d/1swGwZOEqYlTEUCJLY-eeJM1911Kvaei5oySBIxdgtNo/edit?pli=1#gid=257618397"",""stock FAKTUR!B:G""),6,false)"),"LLF-002")</f>
        <v>LLF-002</v>
      </c>
      <c r="J705" s="120" t="str">
        <f t="shared" si="25"/>
        <v>ADA</v>
      </c>
      <c r="K705" s="142">
        <v>46.0</v>
      </c>
      <c r="L705" s="145" t="str">
        <f>IFERROR(__xludf.DUMMYFUNCTION("vlookup($D705,IMPORTRANGE(""https://docs.google.com/spreadsheets/d/1swGwZOEqYlTEUCJLY-eeJM1911Kvaei5oySBIxdgtNo/edit?pli=1#gid=257618397"",""stock FAKTUR!B:q""),16,false)"),"PCS")</f>
        <v>PCS</v>
      </c>
      <c r="M705" s="147">
        <v>8350.0</v>
      </c>
      <c r="N705" s="152">
        <v>0.1</v>
      </c>
      <c r="O705" s="147">
        <f t="shared" si="173"/>
        <v>345690</v>
      </c>
      <c r="P705" s="147" t="str">
        <f t="shared" si="3"/>
        <v>Rp8,350-46 PCS-10.00%</v>
      </c>
      <c r="Q705" s="149">
        <v>45422.0</v>
      </c>
      <c r="R705" s="149">
        <v>45419.0</v>
      </c>
      <c r="S705" s="149">
        <v>45425.0</v>
      </c>
      <c r="T705" s="194" t="s">
        <v>4730</v>
      </c>
      <c r="U705" s="192" t="s">
        <v>4390</v>
      </c>
      <c r="V705" s="151"/>
      <c r="W705" s="159"/>
    </row>
    <row r="706">
      <c r="A706" s="142">
        <v>4806.0</v>
      </c>
      <c r="B706" s="143" t="str">
        <f t="shared" si="206"/>
        <v>H</v>
      </c>
      <c r="C706" s="143" t="str">
        <f t="shared" si="207"/>
        <v>CV. SINAR CAHAYA NIRMALA-BREBES</v>
      </c>
      <c r="D706" s="145" t="s">
        <v>4586</v>
      </c>
      <c r="E706" s="145" t="str">
        <f>IFERROR(__xludf.DUMMYFUNCTION("vlookup(D706,IMPORTRANGE(""https://docs.google.com/spreadsheets/d/1swGwZOEqYlTEUCJLY-eeJM1911Kvaei5oySBIxdgtNo/edit?pli=1#gid=257618397"",""stock FAKTUR!B:C""),2,false)"),"GUNTING KENKO SC 838 N")</f>
        <v>GUNTING KENKO SC 838 N</v>
      </c>
      <c r="F706" s="53" t="str">
        <f>IFERROR(__xludf.DUMMYFUNCTION("vlookup($D706,IMPORTRANGE(""https://docs.google.com/spreadsheets/d/1swGwZOEqYlTEUCJLY-eeJM1911Kvaei5oySBIxdgtNo/edit?pli=1#gid=257618397"",""stock FAKTUR!B:d""),3,false)"),"")</f>
        <v/>
      </c>
      <c r="G706" s="53" t="str">
        <f>IFERROR(__xludf.DUMMYFUNCTION("vlookup($D706,IMPORTRANGE(""https://docs.google.com/spreadsheets/d/1swGwZOEqYlTEUCJLY-eeJM1911Kvaei5oySBIxdgtNo/edit?pli=1#gid=257618397"",""stock FAKTUR!B:e""),4,false)"),"")</f>
        <v/>
      </c>
      <c r="H706" s="53" t="str">
        <f>IFERROR(__xludf.DUMMYFUNCTION("vlookup($D706,IMPORTRANGE(""https://docs.google.com/spreadsheets/d/1swGwZOEqYlTEUCJLY-eeJM1911Kvaei5oySBIxdgtNo/edit?pli=1#gid=257618397"",""stock FAKTUR!B:F""),5,false)"),"KN")</f>
        <v>KN</v>
      </c>
      <c r="I706" s="53" t="str">
        <f>IFERROR(__xludf.DUMMYFUNCTION("vlookup($D706,IMPORTRANGE(""https://docs.google.com/spreadsheets/d/1swGwZOEqYlTEUCJLY-eeJM1911Kvaei5oySBIxdgtNo/edit?pli=1#gid=257618397"",""stock FAKTUR!B:G""),6,false)"),"SCS-002GO")</f>
        <v>SCS-002GO</v>
      </c>
      <c r="J706" s="120" t="str">
        <f t="shared" si="25"/>
        <v>ADA</v>
      </c>
      <c r="K706" s="142">
        <v>1.0</v>
      </c>
      <c r="L706" s="145" t="str">
        <f>IFERROR(__xludf.DUMMYFUNCTION("vlookup($D706,IMPORTRANGE(""https://docs.google.com/spreadsheets/d/1swGwZOEqYlTEUCJLY-eeJM1911Kvaei5oySBIxdgtNo/edit?pli=1#gid=257618397"",""stock FAKTUR!B:q""),16,false)"),"LSN")</f>
        <v>LSN</v>
      </c>
      <c r="M706" s="147">
        <v>79800.0</v>
      </c>
      <c r="N706" s="152">
        <v>0.1</v>
      </c>
      <c r="O706" s="147">
        <f t="shared" si="173"/>
        <v>71820</v>
      </c>
      <c r="P706" s="147" t="str">
        <f t="shared" si="3"/>
        <v>Rp79,800-1 LSN-10.00%</v>
      </c>
      <c r="Q706" s="149">
        <v>45422.0</v>
      </c>
      <c r="R706" s="149">
        <v>45419.0</v>
      </c>
      <c r="S706" s="149">
        <v>45425.0</v>
      </c>
      <c r="T706" s="151"/>
      <c r="U706" s="151"/>
      <c r="V706" s="151"/>
      <c r="W706" s="151"/>
    </row>
    <row r="707">
      <c r="A707" s="142">
        <v>4808.0</v>
      </c>
      <c r="B707" s="143" t="s">
        <v>65</v>
      </c>
      <c r="C707" s="143" t="s">
        <v>3559</v>
      </c>
      <c r="D707" s="145" t="s">
        <v>4382</v>
      </c>
      <c r="E707" s="145" t="str">
        <f>IFERROR(__xludf.DUMMYFUNCTION("vlookup(D707,IMPORTRANGE(""https://docs.google.com/spreadsheets/d/1swGwZOEqYlTEUCJLY-eeJM1911Kvaei5oySBIxdgtNo/edit?pli=1#gid=257618397"",""stock FAKTUR!B:C""),2,false)"),"PENSIL 2B ZHONG HUA 6925 OVAL")</f>
        <v>PENSIL 2B ZHONG HUA 6925 OVAL</v>
      </c>
      <c r="F707" s="53" t="str">
        <f>IFERROR(__xludf.DUMMYFUNCTION("vlookup($D707,IMPORTRANGE(""https://docs.google.com/spreadsheets/d/1swGwZOEqYlTEUCJLY-eeJM1911Kvaei5oySBIxdgtNo/edit?pli=1#gid=257618397"",""stock FAKTUR!B:d""),3,false)"),"")</f>
        <v/>
      </c>
      <c r="G707" s="53" t="str">
        <f>IFERROR(__xludf.DUMMYFUNCTION("vlookup($D707,IMPORTRANGE(""https://docs.google.com/spreadsheets/d/1swGwZOEqYlTEUCJLY-eeJM1911Kvaei5oySBIxdgtNo/edit?pli=1#gid=257618397"",""stock FAKTUR!B:e""),4,false)"),"")</f>
        <v/>
      </c>
      <c r="H707" s="53" t="str">
        <f>IFERROR(__xludf.DUMMYFUNCTION("vlookup($D707,IMPORTRANGE(""https://docs.google.com/spreadsheets/d/1swGwZOEqYlTEUCJLY-eeJM1911Kvaei5oySBIxdgtNo/edit?pli=1#gid=257618397"",""stock FAKTUR!B:F""),5,false)"),"ZH")</f>
        <v>ZH</v>
      </c>
      <c r="I707" s="53" t="str">
        <f>IFERROR(__xludf.DUMMYFUNCTION("vlookup($D707,IMPORTRANGE(""https://docs.google.com/spreadsheets/d/1swGwZOEqYlTEUCJLY-eeJM1911Kvaei5oySBIxdgtNo/edit?pli=1#gid=257618397"",""stock FAKTUR!B:G""),6,false)"),"6925")</f>
        <v>6925</v>
      </c>
      <c r="J707" s="120" t="str">
        <f t="shared" si="25"/>
        <v>ADA</v>
      </c>
      <c r="K707" s="142">
        <v>3.0</v>
      </c>
      <c r="L707" s="145" t="str">
        <f>IFERROR(__xludf.DUMMYFUNCTION("vlookup($D707,IMPORTRANGE(""https://docs.google.com/spreadsheets/d/1swGwZOEqYlTEUCJLY-eeJM1911Kvaei5oySBIxdgtNo/edit?pli=1#gid=257618397"",""stock FAKTUR!B:q""),16,false)"),"BOX")</f>
        <v>BOX</v>
      </c>
      <c r="M707" s="147">
        <v>75000.0</v>
      </c>
      <c r="N707" s="148"/>
      <c r="O707" s="147">
        <f t="shared" si="173"/>
        <v>225000</v>
      </c>
      <c r="P707" s="147" t="str">
        <f t="shared" si="3"/>
        <v>Rp75,000-3 BOX-0.00%</v>
      </c>
      <c r="Q707" s="149">
        <v>45423.0</v>
      </c>
      <c r="R707" s="149">
        <v>45422.0</v>
      </c>
      <c r="S707" s="149">
        <v>45425.0</v>
      </c>
      <c r="T707" s="151"/>
      <c r="U707" s="151"/>
      <c r="V707" s="151"/>
      <c r="W707" s="151"/>
    </row>
    <row r="708">
      <c r="A708" s="142">
        <v>4808.0</v>
      </c>
      <c r="B708" s="143" t="str">
        <f t="shared" ref="B708:B710" si="208">IF(A708=A707,B707,"")</f>
        <v>A</v>
      </c>
      <c r="C708" s="143" t="str">
        <f t="shared" ref="C708:C710" si="209">IF(A708=A707,C707,"")</f>
        <v>ABC-KEBUMEN</v>
      </c>
      <c r="D708" s="145" t="s">
        <v>4684</v>
      </c>
      <c r="E708" s="145" t="str">
        <f>IFERROR(__xludf.DUMMYFUNCTION("vlookup(D708,IMPORTRANGE(""https://docs.google.com/spreadsheets/d/1swGwZOEqYlTEUCJLY-eeJM1911Kvaei5oySBIxdgtNo/edit?pli=1#gid=257618397"",""stock FAKTUR!B:C""),2,false)"),"LOOSE LEAF JA B5 50")</f>
        <v>LOOSE LEAF JA B5 50</v>
      </c>
      <c r="F708" s="53" t="str">
        <f>IFERROR(__xludf.DUMMYFUNCTION("vlookup($D708,IMPORTRANGE(""https://docs.google.com/spreadsheets/d/1swGwZOEqYlTEUCJLY-eeJM1911Kvaei5oySBIxdgtNo/edit?pli=1#gid=257618397"",""stock FAKTUR!B:d""),3,false)"),"B5")</f>
        <v>B5</v>
      </c>
      <c r="G708" s="53" t="str">
        <f>IFERROR(__xludf.DUMMYFUNCTION("vlookup($D708,IMPORTRANGE(""https://docs.google.com/spreadsheets/d/1swGwZOEqYlTEUCJLY-eeJM1911Kvaei5oySBIxdgtNo/edit?pli=1#gid=257618397"",""stock FAKTUR!B:e""),4,false)"),"")</f>
        <v/>
      </c>
      <c r="H708" s="53" t="str">
        <f>IFERROR(__xludf.DUMMYFUNCTION("vlookup($D708,IMPORTRANGE(""https://docs.google.com/spreadsheets/d/1swGwZOEqYlTEUCJLY-eeJM1911Kvaei5oySBIxdgtNo/edit?pli=1#gid=257618397"",""stock FAKTUR!B:F""),5,false)"),"JA")</f>
        <v>JA</v>
      </c>
      <c r="I708" s="53" t="str">
        <f>IFERROR(__xludf.DUMMYFUNCTION("vlookup($D708,IMPORTRANGE(""https://docs.google.com/spreadsheets/d/1swGwZOEqYlTEUCJLY-eeJM1911Kvaei5oySBIxdgtNo/edit?pli=1#gid=257618397"",""stock FAKTUR!B:G""),6,false)"),"")</f>
        <v/>
      </c>
      <c r="J708" s="120" t="str">
        <f t="shared" si="25"/>
        <v>ADA</v>
      </c>
      <c r="K708" s="142">
        <v>20.0</v>
      </c>
      <c r="L708" s="145" t="str">
        <f>IFERROR(__xludf.DUMMYFUNCTION("vlookup($D708,IMPORTRANGE(""https://docs.google.com/spreadsheets/d/1swGwZOEqYlTEUCJLY-eeJM1911Kvaei5oySBIxdgtNo/edit?pli=1#gid=257618397"",""stock FAKTUR!B:q""),16,false)"),"PCS")</f>
        <v>PCS</v>
      </c>
      <c r="M708" s="147">
        <v>5700.0</v>
      </c>
      <c r="N708" s="152">
        <v>0.125</v>
      </c>
      <c r="O708" s="147">
        <f t="shared" si="173"/>
        <v>99750</v>
      </c>
      <c r="P708" s="147" t="str">
        <f t="shared" si="3"/>
        <v>Rp5,700-20 PCS-12.50%</v>
      </c>
      <c r="Q708" s="149">
        <v>45423.0</v>
      </c>
      <c r="R708" s="149">
        <v>45422.0</v>
      </c>
      <c r="S708" s="149">
        <v>45425.0</v>
      </c>
      <c r="T708" s="151"/>
      <c r="U708" s="151"/>
      <c r="V708" s="151"/>
      <c r="W708" s="151"/>
    </row>
    <row r="709">
      <c r="A709" s="142">
        <v>4808.0</v>
      </c>
      <c r="B709" s="143" t="str">
        <f t="shared" si="208"/>
        <v>A</v>
      </c>
      <c r="C709" s="143" t="str">
        <f t="shared" si="209"/>
        <v>ABC-KEBUMEN</v>
      </c>
      <c r="D709" s="145" t="s">
        <v>4399</v>
      </c>
      <c r="E709" s="145" t="str">
        <f>IFERROR(__xludf.DUMMYFUNCTION("vlookup(D709,IMPORTRANGE(""https://docs.google.com/spreadsheets/d/1swGwZOEqYlTEUCJLY-eeJM1911Kvaei5oySBIxdgtNo/edit?pli=1#gid=257618397"",""stock FAKTUR!B:C""),2,false)"),"PW KENKO 12W CP-12F CLASSIC PANJANG")</f>
        <v>PW KENKO 12W CP-12F CLASSIC PANJANG</v>
      </c>
      <c r="F709" s="53" t="str">
        <f>IFERROR(__xludf.DUMMYFUNCTION("vlookup($D709,IMPORTRANGE(""https://docs.google.com/spreadsheets/d/1swGwZOEqYlTEUCJLY-eeJM1911Kvaei5oySBIxdgtNo/edit?pli=1#gid=257618397"",""stock FAKTUR!B:d""),3,false)"),"")</f>
        <v/>
      </c>
      <c r="G709" s="53" t="str">
        <f>IFERROR(__xludf.DUMMYFUNCTION("vlookup($D709,IMPORTRANGE(""https://docs.google.com/spreadsheets/d/1swGwZOEqYlTEUCJLY-eeJM1911Kvaei5oySBIxdgtNo/edit?pli=1#gid=257618397"",""stock FAKTUR!B:e""),4,false)"),"12W")</f>
        <v>12W</v>
      </c>
      <c r="H709" s="53" t="str">
        <f>IFERROR(__xludf.DUMMYFUNCTION("vlookup($D709,IMPORTRANGE(""https://docs.google.com/spreadsheets/d/1swGwZOEqYlTEUCJLY-eeJM1911Kvaei5oySBIxdgtNo/edit?pli=1#gid=257618397"",""stock FAKTUR!B:F""),5,false)"),"KN")</f>
        <v>KN</v>
      </c>
      <c r="I709" s="53" t="str">
        <f>IFERROR(__xludf.DUMMYFUNCTION("vlookup($D709,IMPORTRANGE(""https://docs.google.com/spreadsheets/d/1swGwZOEqYlTEUCJLY-eeJM1911Kvaei5oySBIxdgtNo/edit?pli=1#gid=257618397"",""stock FAKTUR!B:G""),6,false)"),"CP-12F")</f>
        <v>CP-12F</v>
      </c>
      <c r="J709" s="120" t="str">
        <f t="shared" si="25"/>
        <v>ADA</v>
      </c>
      <c r="K709" s="142">
        <f>72/12</f>
        <v>6</v>
      </c>
      <c r="L709" s="145" t="str">
        <f>IFERROR(__xludf.DUMMYFUNCTION("vlookup($D709,IMPORTRANGE(""https://docs.google.com/spreadsheets/d/1swGwZOEqYlTEUCJLY-eeJM1911Kvaei5oySBIxdgtNo/edit?pli=1#gid=257618397"",""stock FAKTUR!B:q""),16,false)"),"LSN")</f>
        <v>LSN</v>
      </c>
      <c r="M709" s="147">
        <f>10350*12</f>
        <v>124200</v>
      </c>
      <c r="N709" s="152">
        <v>0.125</v>
      </c>
      <c r="O709" s="147">
        <f t="shared" si="173"/>
        <v>652050</v>
      </c>
      <c r="P709" s="147" t="str">
        <f t="shared" si="3"/>
        <v>Rp124,200-6 LSN-12.50%</v>
      </c>
      <c r="Q709" s="149">
        <v>45423.0</v>
      </c>
      <c r="R709" s="149">
        <v>45422.0</v>
      </c>
      <c r="S709" s="149">
        <v>45425.0</v>
      </c>
      <c r="T709" s="151"/>
      <c r="U709" s="151"/>
      <c r="V709" s="151"/>
      <c r="W709" s="151"/>
    </row>
    <row r="710">
      <c r="A710" s="142">
        <v>4808.0</v>
      </c>
      <c r="B710" s="143" t="str">
        <f t="shared" si="208"/>
        <v>A</v>
      </c>
      <c r="C710" s="143" t="str">
        <f t="shared" si="209"/>
        <v>ABC-KEBUMEN</v>
      </c>
      <c r="D710" s="145" t="s">
        <v>4397</v>
      </c>
      <c r="E710" s="145" t="str">
        <f>IFERROR(__xludf.DUMMYFUNCTION("vlookup(D710,IMPORTRANGE(""https://docs.google.com/spreadsheets/d/1swGwZOEqYlTEUCJLY-eeJM1911Kvaei5oySBIxdgtNo/edit?pli=1#gid=257618397"",""stock FAKTUR!B:C""),2,false)"),"TIPEX KENKO KE-107M")</f>
        <v>TIPEX KENKO KE-107M</v>
      </c>
      <c r="F710" s="53" t="str">
        <f>IFERROR(__xludf.DUMMYFUNCTION("vlookup($D710,IMPORTRANGE(""https://docs.google.com/spreadsheets/d/1swGwZOEqYlTEUCJLY-eeJM1911Kvaei5oySBIxdgtNo/edit?pli=1#gid=257618397"",""stock FAKTUR!B:d""),3,false)"),"")</f>
        <v/>
      </c>
      <c r="G710" s="53" t="str">
        <f>IFERROR(__xludf.DUMMYFUNCTION("vlookup($D710,IMPORTRANGE(""https://docs.google.com/spreadsheets/d/1swGwZOEqYlTEUCJLY-eeJM1911Kvaei5oySBIxdgtNo/edit?pli=1#gid=257618397"",""stock FAKTUR!B:e""),4,false)"),"")</f>
        <v/>
      </c>
      <c r="H710" s="53" t="str">
        <f>IFERROR(__xludf.DUMMYFUNCTION("vlookup($D710,IMPORTRANGE(""https://docs.google.com/spreadsheets/d/1swGwZOEqYlTEUCJLY-eeJM1911Kvaei5oySBIxdgtNo/edit?pli=1#gid=257618397"",""stock FAKTUR!B:F""),5,false)"),"KN")</f>
        <v>KN</v>
      </c>
      <c r="I710" s="53" t="str">
        <f>IFERROR(__xludf.DUMMYFUNCTION("vlookup($D710,IMPORTRANGE(""https://docs.google.com/spreadsheets/d/1swGwZOEqYlTEUCJLY-eeJM1911Kvaei5oySBIxdgtNo/edit?pli=1#gid=257618397"",""stock FAKTUR!B:G""),6,false)"),"CFL-002")</f>
        <v>CFL-002</v>
      </c>
      <c r="J710" s="120" t="str">
        <f t="shared" si="25"/>
        <v>ADA</v>
      </c>
      <c r="K710" s="142">
        <v>6.0</v>
      </c>
      <c r="L710" s="145" t="str">
        <f>IFERROR(__xludf.DUMMYFUNCTION("vlookup($D710,IMPORTRANGE(""https://docs.google.com/spreadsheets/d/1swGwZOEqYlTEUCJLY-eeJM1911Kvaei5oySBIxdgtNo/edit?pli=1#gid=257618397"",""stock FAKTUR!B:q""),16,false)"),"LSN")</f>
        <v>LSN</v>
      </c>
      <c r="M710" s="147">
        <v>57600.0</v>
      </c>
      <c r="N710" s="152">
        <v>0.125</v>
      </c>
      <c r="O710" s="147">
        <f t="shared" si="173"/>
        <v>302400</v>
      </c>
      <c r="P710" s="147" t="str">
        <f t="shared" si="3"/>
        <v>Rp57,600-6 LSN-12.50%</v>
      </c>
      <c r="Q710" s="149">
        <v>45423.0</v>
      </c>
      <c r="R710" s="149">
        <v>45422.0</v>
      </c>
      <c r="S710" s="149">
        <v>45425.0</v>
      </c>
      <c r="T710" s="151"/>
      <c r="U710" s="151"/>
      <c r="V710" s="151"/>
      <c r="W710" s="151"/>
    </row>
    <row r="711">
      <c r="A711" s="142">
        <v>4748.0</v>
      </c>
      <c r="B711" s="143" t="s">
        <v>65</v>
      </c>
      <c r="C711" s="143" t="s">
        <v>92</v>
      </c>
      <c r="D711" s="145" t="s">
        <v>4505</v>
      </c>
      <c r="E711" s="145" t="str">
        <f>IFERROR(__xludf.DUMMYFUNCTION("vlookup(D711,IMPORTRANGE(""https://docs.google.com/spreadsheets/d/1swGwZOEqYlTEUCJLY-eeJM1911Kvaei5oySBIxdgtNo/edit?pli=1#gid=257618397"",""stock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711" s="53" t="str">
        <f>IFERROR(__xludf.DUMMYFUNCTION("vlookup($D711,IMPORTRANGE(""https://docs.google.com/spreadsheets/d/1swGwZOEqYlTEUCJLY-eeJM1911Kvaei5oySBIxdgtNo/edit?pli=1#gid=257618397"",""stock FAKTUR!B:d""),3,false)"),"")</f>
        <v/>
      </c>
      <c r="G711" s="53" t="str">
        <f>IFERROR(__xludf.DUMMYFUNCTION("vlookup($D711,IMPORTRANGE(""https://docs.google.com/spreadsheets/d/1swGwZOEqYlTEUCJLY-eeJM1911Kvaei5oySBIxdgtNo/edit?pli=1#gid=257618397"",""stock FAKTUR!B:e""),4,false)"),"24W")</f>
        <v>24W</v>
      </c>
      <c r="H711" s="53" t="str">
        <f>IFERROR(__xludf.DUMMYFUNCTION("vlookup($D711,IMPORTRANGE(""https://docs.google.com/spreadsheets/d/1swGwZOEqYlTEUCJLY-eeJM1911Kvaei5oySBIxdgtNo/edit?pli=1#gid=257618397"",""stock FAKTUR!B:F""),5,false)"),"JK")</f>
        <v>JK</v>
      </c>
      <c r="I711" s="53" t="str">
        <f>IFERROR(__xludf.DUMMYFUNCTION("vlookup($D711,IMPORTRANGE(""https://docs.google.com/spreadsheets/d/1swGwZOEqYlTEUCJLY-eeJM1911Kvaei5oySBIxdgtNo/edit?pli=1#gid=257618397"",""stock FAKTUR!B:G""),6,false)"),"OP-24S")</f>
        <v>OP-24S</v>
      </c>
      <c r="J711" s="120" t="str">
        <f t="shared" si="25"/>
        <v>ADA</v>
      </c>
      <c r="K711" s="142">
        <v>48.0</v>
      </c>
      <c r="L711" s="145" t="str">
        <f>IFERROR(__xludf.DUMMYFUNCTION("vlookup($D711,IMPORTRANGE(""https://docs.google.com/spreadsheets/d/1swGwZOEqYlTEUCJLY-eeJM1911Kvaei5oySBIxdgtNo/edit?pli=1#gid=257618397"",""stock FAKTUR!B:q""),16,false)"),"PCS")</f>
        <v>PCS</v>
      </c>
      <c r="M711" s="147">
        <v>30500.0</v>
      </c>
      <c r="N711" s="152">
        <v>0.125</v>
      </c>
      <c r="O711" s="147">
        <f t="shared" si="173"/>
        <v>1281000</v>
      </c>
      <c r="P711" s="147" t="str">
        <f t="shared" si="3"/>
        <v>Rp30,500-48 PCS-12.50%</v>
      </c>
      <c r="Q711" s="149">
        <v>45423.0</v>
      </c>
      <c r="R711" s="150"/>
      <c r="S711" s="149">
        <v>45425.0</v>
      </c>
      <c r="T711" s="151"/>
      <c r="U711" s="151"/>
      <c r="V711" s="151"/>
      <c r="W711" s="151"/>
    </row>
    <row r="712">
      <c r="A712" s="142">
        <v>4748.0</v>
      </c>
      <c r="B712" s="143" t="str">
        <f>IF(A712=A711,B711,"")</f>
        <v>A</v>
      </c>
      <c r="C712" s="143" t="str">
        <f>IF(A712=A711,C711,"")</f>
        <v>INDOGLOBAL-PATI</v>
      </c>
      <c r="D712" s="145" t="s">
        <v>4706</v>
      </c>
      <c r="E712" s="145" t="str">
        <f>IFERROR(__xludf.DUMMYFUNCTION("vlookup(D712,IMPORTRANGE(""https://docs.google.com/spreadsheets/d/1swGwZOEqYlTEUCJLY-eeJM1911Kvaei5oySBIxdgtNo/edit?pli=1#gid=257618397"",""stock FAKTUR!B:C""),2,false)"),"PW KENKO BICOLOR 12W CP-12 FBC CLASSIC 12/24")</f>
        <v>PW KENKO BICOLOR 12W CP-12 FBC CLASSIC 12/24</v>
      </c>
      <c r="F712" s="53" t="str">
        <f>IFERROR(__xludf.DUMMYFUNCTION("vlookup($D712,IMPORTRANGE(""https://docs.google.com/spreadsheets/d/1swGwZOEqYlTEUCJLY-eeJM1911Kvaei5oySBIxdgtNo/edit?pli=1#gid=257618397"",""stock FAKTUR!B:d""),3,false)"),"")</f>
        <v/>
      </c>
      <c r="G712" s="53" t="str">
        <f>IFERROR(__xludf.DUMMYFUNCTION("vlookup($D712,IMPORTRANGE(""https://docs.google.com/spreadsheets/d/1swGwZOEqYlTEUCJLY-eeJM1911Kvaei5oySBIxdgtNo/edit?pli=1#gid=257618397"",""stock FAKTUR!B:e""),4,false)"),"")</f>
        <v/>
      </c>
      <c r="H712" s="53" t="str">
        <f>IFERROR(__xludf.DUMMYFUNCTION("vlookup($D712,IMPORTRANGE(""https://docs.google.com/spreadsheets/d/1swGwZOEqYlTEUCJLY-eeJM1911Kvaei5oySBIxdgtNo/edit?pli=1#gid=257618397"",""stock FAKTUR!B:F""),5,false)"),"KN")</f>
        <v>KN</v>
      </c>
      <c r="I712" s="53" t="str">
        <f>IFERROR(__xludf.DUMMYFUNCTION("vlookup($D712,IMPORTRANGE(""https://docs.google.com/spreadsheets/d/1swGwZOEqYlTEUCJLY-eeJM1911Kvaei5oySBIxdgtNo/edit?pli=1#gid=257618397"",""stock FAKTUR!B:G""),6,false)"),"")</f>
        <v/>
      </c>
      <c r="J712" s="120" t="str">
        <f t="shared" si="25"/>
        <v>ADA</v>
      </c>
      <c r="K712" s="142">
        <v>24.0</v>
      </c>
      <c r="L712" s="145" t="str">
        <f>IFERROR(__xludf.DUMMYFUNCTION("vlookup($D712,IMPORTRANGE(""https://docs.google.com/spreadsheets/d/1swGwZOEqYlTEUCJLY-eeJM1911Kvaei5oySBIxdgtNo/edit?pli=1#gid=257618397"",""stock FAKTUR!B:q""),16,false)"),"LSN")</f>
        <v>LSN</v>
      </c>
      <c r="M712" s="147">
        <v>148800.0</v>
      </c>
      <c r="N712" s="152">
        <v>0.125</v>
      </c>
      <c r="O712" s="147">
        <f t="shared" si="173"/>
        <v>3124800</v>
      </c>
      <c r="P712" s="147" t="str">
        <f t="shared" si="3"/>
        <v>Rp148,800-24 LSN-12.50%</v>
      </c>
      <c r="Q712" s="149">
        <v>45423.0</v>
      </c>
      <c r="R712" s="150"/>
      <c r="S712" s="149">
        <v>45425.0</v>
      </c>
      <c r="T712" s="151"/>
      <c r="U712" s="151"/>
      <c r="V712" s="151"/>
      <c r="W712" s="151"/>
    </row>
    <row r="713">
      <c r="A713" s="142">
        <v>4809.0</v>
      </c>
      <c r="B713" s="143" t="s">
        <v>65</v>
      </c>
      <c r="C713" s="143" t="s">
        <v>4747</v>
      </c>
      <c r="D713" s="145" t="s">
        <v>4693</v>
      </c>
      <c r="E713" s="145" t="str">
        <f>IFERROR(__xludf.DUMMYFUNCTION("vlookup(D713,IMPORTRANGE(""https://docs.google.com/spreadsheets/d/1swGwZOEqYlTEUCJLY-eeJM1911Kvaei5oySBIxdgtNo/edit?pli=1#gid=257618397"",""stock FAKTUR!B:C""),2,false)"),"BP GEL TF-1190 0.3MM HIGHTECH (H)")</f>
        <v>BP GEL TF-1190 0.3MM HIGHTECH (H)</v>
      </c>
      <c r="F713" s="53" t="str">
        <f>IFERROR(__xludf.DUMMYFUNCTION("vlookup($D713,IMPORTRANGE(""https://docs.google.com/spreadsheets/d/1swGwZOEqYlTEUCJLY-eeJM1911Kvaei5oySBIxdgtNo/edit?pli=1#gid=257618397"",""stock FAKTUR!B:d""),3,false)"),"")</f>
        <v/>
      </c>
      <c r="G713" s="53" t="str">
        <f>IFERROR(__xludf.DUMMYFUNCTION("vlookup($D713,IMPORTRANGE(""https://docs.google.com/spreadsheets/d/1swGwZOEqYlTEUCJLY-eeJM1911Kvaei5oySBIxdgtNo/edit?pli=1#gid=257618397"",""stock FAKTUR!B:e""),4,false)"),"HITAM")</f>
        <v>HITAM</v>
      </c>
      <c r="H713" s="53" t="str">
        <f>IFERROR(__xludf.DUMMYFUNCTION("vlookup($D713,IMPORTRANGE(""https://docs.google.com/spreadsheets/d/1swGwZOEqYlTEUCJLY-eeJM1911Kvaei5oySBIxdgtNo/edit?pli=1#gid=257618397"",""stock FAKTUR!B:F""),5,false)"),"TF")</f>
        <v>TF</v>
      </c>
      <c r="I713" s="53" t="str">
        <f>IFERROR(__xludf.DUMMYFUNCTION("vlookup($D713,IMPORTRANGE(""https://docs.google.com/spreadsheets/d/1swGwZOEqYlTEUCJLY-eeJM1911Kvaei5oySBIxdgtNo/edit?pli=1#gid=257618397"",""stock FAKTUR!B:G""),6,false)"),"TF-1190")</f>
        <v>TF-1190</v>
      </c>
      <c r="J713" s="120" t="str">
        <f t="shared" si="25"/>
        <v>ADA</v>
      </c>
      <c r="K713" s="142">
        <v>144.0</v>
      </c>
      <c r="L713" s="145" t="str">
        <f>IFERROR(__xludf.DUMMYFUNCTION("vlookup($D713,IMPORTRANGE(""https://docs.google.com/spreadsheets/d/1swGwZOEqYlTEUCJLY-eeJM1911Kvaei5oySBIxdgtNo/edit?pli=1#gid=257618397"",""stock FAKTUR!B:q""),16,false)"),"LSN")</f>
        <v>LSN</v>
      </c>
      <c r="M713" s="147">
        <v>28500.0</v>
      </c>
      <c r="N713" s="148"/>
      <c r="O713" s="147">
        <f t="shared" si="173"/>
        <v>4104000</v>
      </c>
      <c r="P713" s="147" t="str">
        <f t="shared" si="3"/>
        <v>Rp28,500-144 LSN-0.00%</v>
      </c>
      <c r="Q713" s="149">
        <v>45423.0</v>
      </c>
      <c r="R713" s="150"/>
      <c r="S713" s="149">
        <v>45425.0</v>
      </c>
      <c r="T713" s="151"/>
      <c r="U713" s="151"/>
      <c r="V713" s="151"/>
      <c r="W713" s="151"/>
    </row>
    <row r="714">
      <c r="A714" s="142">
        <v>4902.0</v>
      </c>
      <c r="B714" s="143" t="s">
        <v>33</v>
      </c>
      <c r="C714" s="143" t="s">
        <v>2476</v>
      </c>
      <c r="D714" s="145" t="s">
        <v>4439</v>
      </c>
      <c r="E714" s="145" t="str">
        <f>IFERROR(__xludf.DUMMYFUNCTION("vlookup(D714,IMPORTRANGE(""https://docs.google.com/spreadsheets/d/1swGwZOEqYlTEUCJLY-eeJM1911Kvaei5oySBIxdgtNo/edit?pli=1#gid=257618397"",""stock FAKTUR!B:C""),2,false)"),"BINDER CLIP KENKO NO. 111")</f>
        <v>BINDER CLIP KENKO NO. 111</v>
      </c>
      <c r="F714" s="53" t="str">
        <f>IFERROR(__xludf.DUMMYFUNCTION("vlookup($D714,IMPORTRANGE(""https://docs.google.com/spreadsheets/d/1swGwZOEqYlTEUCJLY-eeJM1911Kvaei5oySBIxdgtNo/edit?pli=1#gid=257618397"",""stock FAKTUR!B:d""),3,false)"),"")</f>
        <v/>
      </c>
      <c r="G714" s="53" t="str">
        <f>IFERROR(__xludf.DUMMYFUNCTION("vlookup($D714,IMPORTRANGE(""https://docs.google.com/spreadsheets/d/1swGwZOEqYlTEUCJLY-eeJM1911Kvaei5oySBIxdgtNo/edit?pli=1#gid=257618397"",""stock FAKTUR!B:e""),4,false)"),"")</f>
        <v/>
      </c>
      <c r="H714" s="53" t="str">
        <f>IFERROR(__xludf.DUMMYFUNCTION("vlookup($D714,IMPORTRANGE(""https://docs.google.com/spreadsheets/d/1swGwZOEqYlTEUCJLY-eeJM1911Kvaei5oySBIxdgtNo/edit?pli=1#gid=257618397"",""stock FAKTUR!B:F""),5,false)"),"KN")</f>
        <v>KN</v>
      </c>
      <c r="I714" s="53" t="str">
        <f>IFERROR(__xludf.DUMMYFUNCTION("vlookup($D714,IMPORTRANGE(""https://docs.google.com/spreadsheets/d/1swGwZOEqYlTEUCJLY-eeJM1911Kvaei5oySBIxdgtNo/edit?pli=1#gid=257618397"",""stock FAKTUR!B:G""),6,false)"),"BCL-003QH")</f>
        <v>BCL-003QH</v>
      </c>
      <c r="J714" s="120" t="str">
        <f t="shared" si="25"/>
        <v>ADA</v>
      </c>
      <c r="K714" s="142">
        <v>60.0</v>
      </c>
      <c r="L714" s="145" t="str">
        <f>IFERROR(__xludf.DUMMYFUNCTION("vlookup($D714,IMPORTRANGE(""https://docs.google.com/spreadsheets/d/1swGwZOEqYlTEUCJLY-eeJM1911Kvaei5oySBIxdgtNo/edit?pli=1#gid=257618397"",""stock FAKTUR!B:q""),16,false)"),"BOX")</f>
        <v>BOX</v>
      </c>
      <c r="M714" s="147">
        <v>49200.0</v>
      </c>
      <c r="N714" s="152">
        <v>0.15</v>
      </c>
      <c r="O714" s="147">
        <f t="shared" si="173"/>
        <v>2509200</v>
      </c>
      <c r="P714" s="147" t="str">
        <f t="shared" si="3"/>
        <v>Rp49,200-60 BOX-15.00%</v>
      </c>
      <c r="Q714" s="149">
        <v>45423.0</v>
      </c>
      <c r="R714" s="150"/>
      <c r="S714" s="149">
        <v>45425.0</v>
      </c>
      <c r="T714" s="194" t="s">
        <v>4440</v>
      </c>
      <c r="U714" s="192" t="s">
        <v>4732</v>
      </c>
      <c r="V714" s="151"/>
      <c r="W714" s="159"/>
    </row>
    <row r="715">
      <c r="A715" s="142">
        <v>4750.0</v>
      </c>
      <c r="B715" s="143" t="s">
        <v>58</v>
      </c>
      <c r="C715" s="143" t="s">
        <v>2395</v>
      </c>
      <c r="D715" s="145" t="s">
        <v>4439</v>
      </c>
      <c r="E715" s="145" t="str">
        <f>IFERROR(__xludf.DUMMYFUNCTION("vlookup(D715,IMPORTRANGE(""https://docs.google.com/spreadsheets/d/1swGwZOEqYlTEUCJLY-eeJM1911Kvaei5oySBIxdgtNo/edit?pli=1#gid=257618397"",""stock FAKTUR!B:C""),2,false)"),"BINDER CLIP KENKO NO. 111")</f>
        <v>BINDER CLIP KENKO NO. 111</v>
      </c>
      <c r="F715" s="53" t="str">
        <f>IFERROR(__xludf.DUMMYFUNCTION("vlookup($D715,IMPORTRANGE(""https://docs.google.com/spreadsheets/d/1swGwZOEqYlTEUCJLY-eeJM1911Kvaei5oySBIxdgtNo/edit?pli=1#gid=257618397"",""stock FAKTUR!B:d""),3,false)"),"")</f>
        <v/>
      </c>
      <c r="G715" s="53" t="str">
        <f>IFERROR(__xludf.DUMMYFUNCTION("vlookup($D715,IMPORTRANGE(""https://docs.google.com/spreadsheets/d/1swGwZOEqYlTEUCJLY-eeJM1911Kvaei5oySBIxdgtNo/edit?pli=1#gid=257618397"",""stock FAKTUR!B:e""),4,false)"),"")</f>
        <v/>
      </c>
      <c r="H715" s="53" t="str">
        <f>IFERROR(__xludf.DUMMYFUNCTION("vlookup($D715,IMPORTRANGE(""https://docs.google.com/spreadsheets/d/1swGwZOEqYlTEUCJLY-eeJM1911Kvaei5oySBIxdgtNo/edit?pli=1#gid=257618397"",""stock FAKTUR!B:F""),5,false)"),"KN")</f>
        <v>KN</v>
      </c>
      <c r="I715" s="53" t="str">
        <f>IFERROR(__xludf.DUMMYFUNCTION("vlookup($D715,IMPORTRANGE(""https://docs.google.com/spreadsheets/d/1swGwZOEqYlTEUCJLY-eeJM1911Kvaei5oySBIxdgtNo/edit?pli=1#gid=257618397"",""stock FAKTUR!B:G""),6,false)"),"BCL-003QH")</f>
        <v>BCL-003QH</v>
      </c>
      <c r="J715" s="120" t="str">
        <f t="shared" si="25"/>
        <v>ADA</v>
      </c>
      <c r="K715" s="142">
        <v>30.0</v>
      </c>
      <c r="L715" s="145" t="str">
        <f>IFERROR(__xludf.DUMMYFUNCTION("vlookup($D715,IMPORTRANGE(""https://docs.google.com/spreadsheets/d/1swGwZOEqYlTEUCJLY-eeJM1911Kvaei5oySBIxdgtNo/edit?pli=1#gid=257618397"",""stock FAKTUR!B:q""),16,false)"),"BOX")</f>
        <v>BOX</v>
      </c>
      <c r="M715" s="147">
        <v>49200.0</v>
      </c>
      <c r="N715" s="152">
        <v>0.125</v>
      </c>
      <c r="O715" s="147">
        <f t="shared" si="173"/>
        <v>1291500</v>
      </c>
      <c r="P715" s="147" t="str">
        <f t="shared" si="3"/>
        <v>Rp49,200-30 BOX-12.50%</v>
      </c>
      <c r="Q715" s="149">
        <v>45423.0</v>
      </c>
      <c r="R715" s="150"/>
      <c r="S715" s="149">
        <v>45425.0</v>
      </c>
      <c r="T715" s="194" t="s">
        <v>4440</v>
      </c>
      <c r="U715" s="192" t="s">
        <v>4732</v>
      </c>
      <c r="V715" s="151"/>
      <c r="W715" s="159"/>
    </row>
    <row r="716">
      <c r="A716" s="142">
        <v>4750.0</v>
      </c>
      <c r="B716" s="143" t="str">
        <f>IF(A716=A715,B715,"")</f>
        <v>G</v>
      </c>
      <c r="C716" s="143" t="str">
        <f>IF(A716=A715,C715,"")</f>
        <v>MITRA KAMPUS-KUDUS</v>
      </c>
      <c r="D716" s="145" t="s">
        <v>4707</v>
      </c>
      <c r="E716" s="145" t="str">
        <f>IFERROR(__xludf.DUMMYFUNCTION("vlookup(D716,IMPORTRANGE(""https://docs.google.com/spreadsheets/d/1swGwZOEqYlTEUCJLY-eeJM1911Kvaei5oySBIxdgtNo/edit?pli=1#gid=257618397"",""stock FAKTUR!B:C""),2,false)"),"BINDER CLIP KENKO NO. 107")</f>
        <v>BINDER CLIP KENKO NO. 107</v>
      </c>
      <c r="F716" s="53" t="str">
        <f>IFERROR(__xludf.DUMMYFUNCTION("vlookup($D716,IMPORTRANGE(""https://docs.google.com/spreadsheets/d/1swGwZOEqYlTEUCJLY-eeJM1911Kvaei5oySBIxdgtNo/edit?pli=1#gid=257618397"",""stock FAKTUR!B:d""),3,false)"),"")</f>
        <v/>
      </c>
      <c r="G716" s="53" t="str">
        <f>IFERROR(__xludf.DUMMYFUNCTION("vlookup($D716,IMPORTRANGE(""https://docs.google.com/spreadsheets/d/1swGwZOEqYlTEUCJLY-eeJM1911Kvaei5oySBIxdgtNo/edit?pli=1#gid=257618397"",""stock FAKTUR!B:e""),4,false)"),"")</f>
        <v/>
      </c>
      <c r="H716" s="53" t="str">
        <f>IFERROR(__xludf.DUMMYFUNCTION("vlookup($D716,IMPORTRANGE(""https://docs.google.com/spreadsheets/d/1swGwZOEqYlTEUCJLY-eeJM1911Kvaei5oySBIxdgtNo/edit?pli=1#gid=257618397"",""stock FAKTUR!B:F""),5,false)"),"KN")</f>
        <v>KN</v>
      </c>
      <c r="I716" s="53" t="str">
        <f>IFERROR(__xludf.DUMMYFUNCTION("vlookup($D716,IMPORTRANGE(""https://docs.google.com/spreadsheets/d/1swGwZOEqYlTEUCJLY-eeJM1911Kvaei5oySBIxdgtNo/edit?pli=1#gid=257618397"",""stock FAKTUR!B:G""),6,false)"),"BCL-002QH")</f>
        <v>BCL-002QH</v>
      </c>
      <c r="J716" s="120" t="str">
        <f t="shared" si="25"/>
        <v>ADA</v>
      </c>
      <c r="K716" s="142">
        <v>50.0</v>
      </c>
      <c r="L716" s="145" t="str">
        <f>IFERROR(__xludf.DUMMYFUNCTION("vlookup($D716,IMPORTRANGE(""https://docs.google.com/spreadsheets/d/1swGwZOEqYlTEUCJLY-eeJM1911Kvaei5oySBIxdgtNo/edit?pli=1#gid=257618397"",""stock FAKTUR!B:q""),16,false)"),"BOX")</f>
        <v>BOX</v>
      </c>
      <c r="M716" s="147">
        <v>31800.0</v>
      </c>
      <c r="N716" s="152">
        <v>0.125</v>
      </c>
      <c r="O716" s="147">
        <f t="shared" si="173"/>
        <v>1391250</v>
      </c>
      <c r="P716" s="147" t="str">
        <f t="shared" si="3"/>
        <v>Rp31,800-50 BOX-12.50%</v>
      </c>
      <c r="Q716" s="149">
        <v>45423.0</v>
      </c>
      <c r="R716" s="150"/>
      <c r="S716" s="149">
        <v>45425.0</v>
      </c>
      <c r="T716" s="194" t="s">
        <v>4440</v>
      </c>
      <c r="U716" s="192" t="s">
        <v>4732</v>
      </c>
      <c r="V716" s="151"/>
      <c r="W716" s="159"/>
    </row>
    <row r="717">
      <c r="A717" s="142">
        <v>4742.0</v>
      </c>
      <c r="B717" s="143" t="s">
        <v>58</v>
      </c>
      <c r="C717" s="143" t="s">
        <v>2395</v>
      </c>
      <c r="D717" s="145" t="s">
        <v>4748</v>
      </c>
      <c r="E717" s="145" t="str">
        <f>IFERROR(__xludf.DUMMYFUNCTION("vlookup(D717,IMPORTRANGE(""https://docs.google.com/spreadsheets/d/1swGwZOEqYlTEUCJLY-eeJM1911Kvaei5oySBIxdgtNo/edit?pli=1#gid=257618397"",""stock FAKTUR!B:C""),2,false)"),"BINDER CLIP KENKO NO. 280 (6PCS/BOX)")</f>
        <v>BINDER CLIP KENKO NO. 280 (6PCS/BOX)</v>
      </c>
      <c r="F717" s="53" t="str">
        <f>IFERROR(__xludf.DUMMYFUNCTION("vlookup($D717,IMPORTRANGE(""https://docs.google.com/spreadsheets/d/1swGwZOEqYlTEUCJLY-eeJM1911Kvaei5oySBIxdgtNo/edit?pli=1#gid=257618397"",""stock FAKTUR!B:d""),3,false)"),"")</f>
        <v/>
      </c>
      <c r="G717" s="53" t="str">
        <f>IFERROR(__xludf.DUMMYFUNCTION("vlookup($D717,IMPORTRANGE(""https://docs.google.com/spreadsheets/d/1swGwZOEqYlTEUCJLY-eeJM1911Kvaei5oySBIxdgtNo/edit?pli=1#gid=257618397"",""stock FAKTUR!B:e""),4,false)"),"")</f>
        <v/>
      </c>
      <c r="H717" s="53" t="str">
        <f>IFERROR(__xludf.DUMMYFUNCTION("vlookup($D717,IMPORTRANGE(""https://docs.google.com/spreadsheets/d/1swGwZOEqYlTEUCJLY-eeJM1911Kvaei5oySBIxdgtNo/edit?pli=1#gid=257618397"",""stock FAKTUR!B:F""),5,false)"),"KN")</f>
        <v>KN</v>
      </c>
      <c r="I717" s="53" t="str">
        <f>IFERROR(__xludf.DUMMYFUNCTION("vlookup($D717,IMPORTRANGE(""https://docs.google.com/spreadsheets/d/1swGwZOEqYlTEUCJLY-eeJM1911Kvaei5oySBIxdgtNo/edit?pli=1#gid=257618397"",""stock FAKTUR!B:G""),6,false)"),"BCL-007")</f>
        <v>BCL-007</v>
      </c>
      <c r="J717" s="120" t="str">
        <f t="shared" si="25"/>
        <v>ADA</v>
      </c>
      <c r="K717" s="142">
        <v>72.0</v>
      </c>
      <c r="L717" s="145" t="str">
        <f>IFERROR(__xludf.DUMMYFUNCTION("vlookup($D717,IMPORTRANGE(""https://docs.google.com/spreadsheets/d/1swGwZOEqYlTEUCJLY-eeJM1911Kvaei5oySBIxdgtNo/edit?pli=1#gid=257618397"",""stock FAKTUR!B:q""),16,false)"),"BOX")</f>
        <v>BOX</v>
      </c>
      <c r="M717" s="147">
        <v>21500.0</v>
      </c>
      <c r="N717" s="152">
        <v>0.125</v>
      </c>
      <c r="O717" s="147">
        <f t="shared" si="173"/>
        <v>1354500</v>
      </c>
      <c r="P717" s="147" t="str">
        <f t="shared" si="3"/>
        <v>Rp21,500-72 BOX-12.50%</v>
      </c>
      <c r="Q717" s="149">
        <v>45423.0</v>
      </c>
      <c r="R717" s="150"/>
      <c r="S717" s="149">
        <v>45425.0</v>
      </c>
      <c r="T717" s="151"/>
      <c r="U717" s="151"/>
      <c r="V717" s="151"/>
      <c r="W717" s="151"/>
    </row>
    <row r="718">
      <c r="A718" s="142">
        <v>4742.0</v>
      </c>
      <c r="B718" s="143" t="str">
        <f>IF(A718=A717,B717,"")</f>
        <v>G</v>
      </c>
      <c r="C718" s="143" t="str">
        <f>IF(A718=A717,C717,"")</f>
        <v>MITRA KAMPUS-KUDUS</v>
      </c>
      <c r="D718" s="145" t="s">
        <v>4599</v>
      </c>
      <c r="E718" s="145" t="str">
        <f>IFERROR(__xludf.DUMMYFUNCTION("vlookup(D718,IMPORTRANGE(""https://docs.google.com/spreadsheets/d/1swGwZOEqYlTEUCJLY-eeJM1911Kvaei5oySBIxdgtNo/edit?pli=1#gid=257618397"",""stock FAKTUR!B:C""),2,false)"),"OIL PASTEL TITI 12W TI-P-12S")</f>
        <v>OIL PASTEL TITI 12W TI-P-12S</v>
      </c>
      <c r="F718" s="53" t="str">
        <f>IFERROR(__xludf.DUMMYFUNCTION("vlookup($D718,IMPORTRANGE(""https://docs.google.com/spreadsheets/d/1swGwZOEqYlTEUCJLY-eeJM1911Kvaei5oySBIxdgtNo/edit?pli=1#gid=257618397"",""stock FAKTUR!B:d""),3,false)"),"")</f>
        <v/>
      </c>
      <c r="G718" s="53" t="str">
        <f>IFERROR(__xludf.DUMMYFUNCTION("vlookup($D718,IMPORTRANGE(""https://docs.google.com/spreadsheets/d/1swGwZOEqYlTEUCJLY-eeJM1911Kvaei5oySBIxdgtNo/edit?pli=1#gid=257618397"",""stock FAKTUR!B:e""),4,false)"),"12W")</f>
        <v>12W</v>
      </c>
      <c r="H718" s="53" t="str">
        <f>IFERROR(__xludf.DUMMYFUNCTION("vlookup($D718,IMPORTRANGE(""https://docs.google.com/spreadsheets/d/1swGwZOEqYlTEUCJLY-eeJM1911Kvaei5oySBIxdgtNo/edit?pli=1#gid=257618397"",""stock FAKTUR!B:F""),5,false)"),"TT")</f>
        <v>TT</v>
      </c>
      <c r="I718" s="53" t="str">
        <f>IFERROR(__xludf.DUMMYFUNCTION("vlookup($D718,IMPORTRANGE(""https://docs.google.com/spreadsheets/d/1swGwZOEqYlTEUCJLY-eeJM1911Kvaei5oySBIxdgtNo/edit?pli=1#gid=257618397"",""stock FAKTUR!B:G""),6,false)"),"OPS-007")</f>
        <v>OPS-007</v>
      </c>
      <c r="J718" s="120" t="str">
        <f t="shared" si="25"/>
        <v>ADA</v>
      </c>
      <c r="K718" s="142">
        <v>144.0</v>
      </c>
      <c r="L718" s="145" t="str">
        <f>IFERROR(__xludf.DUMMYFUNCTION("vlookup($D718,IMPORTRANGE(""https://docs.google.com/spreadsheets/d/1swGwZOEqYlTEUCJLY-eeJM1911Kvaei5oySBIxdgtNo/edit?pli=1#gid=257618397"",""stock FAKTUR!B:q""),16,false)"),"PCS")</f>
        <v>PCS</v>
      </c>
      <c r="M718" s="147">
        <v>14500.0</v>
      </c>
      <c r="N718" s="152">
        <v>0.125</v>
      </c>
      <c r="O718" s="147">
        <f t="shared" si="173"/>
        <v>1827000</v>
      </c>
      <c r="P718" s="147" t="str">
        <f t="shared" si="3"/>
        <v>Rp14,500-144 PCS-12.50%</v>
      </c>
      <c r="Q718" s="149">
        <v>45423.0</v>
      </c>
      <c r="R718" s="150"/>
      <c r="S718" s="149">
        <v>45425.0</v>
      </c>
      <c r="T718" s="151"/>
      <c r="U718" s="151"/>
      <c r="V718" s="151"/>
      <c r="W718" s="151"/>
    </row>
    <row r="719">
      <c r="A719" s="142">
        <v>4737.0</v>
      </c>
      <c r="B719" s="143" t="s">
        <v>33</v>
      </c>
      <c r="C719" s="143" t="s">
        <v>2371</v>
      </c>
      <c r="D719" s="193" t="s">
        <v>4576</v>
      </c>
      <c r="E719" s="145" t="str">
        <f>IFERROR(__xludf.DUMMYFUNCTION("vlookup(D719,IMPORTRANGE(""https://docs.google.com/spreadsheets/d/1swGwZOEqYlTEUCJLY-eeJM1911Kvaei5oySBIxdgtNo/edit?pli=1#gid=257618397"",""stock FAKTUR!B:C""),2,false)"),"PENSIL KENKO 2B-0192")</f>
        <v>PENSIL KENKO 2B-0192</v>
      </c>
      <c r="F719" s="53" t="str">
        <f>IFERROR(__xludf.DUMMYFUNCTION("vlookup($D719,IMPORTRANGE(""https://docs.google.com/spreadsheets/d/1swGwZOEqYlTEUCJLY-eeJM1911Kvaei5oySBIxdgtNo/edit?pli=1#gid=257618397"",""stock FAKTUR!B:d""),3,false)"),"")</f>
        <v/>
      </c>
      <c r="G719" s="53" t="str">
        <f>IFERROR(__xludf.DUMMYFUNCTION("vlookup($D719,IMPORTRANGE(""https://docs.google.com/spreadsheets/d/1swGwZOEqYlTEUCJLY-eeJM1911Kvaei5oySBIxdgtNo/edit?pli=1#gid=257618397"",""stock FAKTUR!B:e""),4,false)"),"")</f>
        <v/>
      </c>
      <c r="H719" s="53" t="str">
        <f>IFERROR(__xludf.DUMMYFUNCTION("vlookup($D719,IMPORTRANGE(""https://docs.google.com/spreadsheets/d/1swGwZOEqYlTEUCJLY-eeJM1911Kvaei5oySBIxdgtNo/edit?pli=1#gid=257618397"",""stock FAKTUR!B:F""),5,false)"),"KN")</f>
        <v>KN</v>
      </c>
      <c r="I719" s="53" t="str">
        <f>IFERROR(__xludf.DUMMYFUNCTION("vlookup($D719,IMPORTRANGE(""https://docs.google.com/spreadsheets/d/1swGwZOEqYlTEUCJLY-eeJM1911Kvaei5oySBIxdgtNo/edit?pli=1#gid=257618397"",""stock FAKTUR!B:G""),6,false)"),"0192")</f>
        <v>0192</v>
      </c>
      <c r="J719" s="120" t="str">
        <f t="shared" si="25"/>
        <v>ADA</v>
      </c>
      <c r="K719" s="142">
        <f>22/12</f>
        <v>1.833333333</v>
      </c>
      <c r="L719" s="145" t="str">
        <f>IFERROR(__xludf.DUMMYFUNCTION("vlookup($D719,IMPORTRANGE(""https://docs.google.com/spreadsheets/d/1swGwZOEqYlTEUCJLY-eeJM1911Kvaei5oySBIxdgtNo/edit?pli=1#gid=257618397"",""stock FAKTUR!B:q""),16,false)"),"GRS")</f>
        <v>GRS</v>
      </c>
      <c r="M719" s="147">
        <f>12*10200</f>
        <v>122400</v>
      </c>
      <c r="N719" s="152">
        <v>0.1</v>
      </c>
      <c r="O719" s="147">
        <f t="shared" si="173"/>
        <v>201960</v>
      </c>
      <c r="P719" s="147" t="str">
        <f t="shared" si="3"/>
        <v>Rp122,400-1.83333333333333 GRS-10.00%</v>
      </c>
      <c r="Q719" s="149">
        <v>45423.0</v>
      </c>
      <c r="R719" s="150"/>
      <c r="S719" s="149">
        <v>45425.0</v>
      </c>
      <c r="T719" s="194" t="s">
        <v>4508</v>
      </c>
      <c r="U719" s="192" t="s">
        <v>4390</v>
      </c>
      <c r="V719" s="151"/>
      <c r="W719" s="159"/>
    </row>
    <row r="720">
      <c r="A720" s="142">
        <v>4737.0</v>
      </c>
      <c r="B720" s="143" t="str">
        <f t="shared" ref="B720:B721" si="210">IF(A720=A719,B719,"")</f>
        <v>H</v>
      </c>
      <c r="C720" s="143" t="str">
        <f t="shared" ref="C720:C721" si="211">IF(A720=A719,C719,"")</f>
        <v>DIAN ILMU-MALANG</v>
      </c>
      <c r="D720" s="145" t="s">
        <v>4575</v>
      </c>
      <c r="E720" s="145" t="str">
        <f>IFERROR(__xludf.DUMMYFUNCTION("vlookup(D720,IMPORTRANGE(""https://docs.google.com/spreadsheets/d/1swGwZOEqYlTEUCJLY-eeJM1911Kvaei5oySBIxdgtNo/edit?pli=1#gid=257618397"",""stock FAKTUR!B:C""),2,false)"),"PENSIL KENKO 2B-0810 FLUORESCENT")</f>
        <v>PENSIL KENKO 2B-0810 FLUORESCENT</v>
      </c>
      <c r="F720" s="53" t="str">
        <f>IFERROR(__xludf.DUMMYFUNCTION("vlookup($D720,IMPORTRANGE(""https://docs.google.com/spreadsheets/d/1swGwZOEqYlTEUCJLY-eeJM1911Kvaei5oySBIxdgtNo/edit?pli=1#gid=257618397"",""stock FAKTUR!B:d""),3,false)"),"")</f>
        <v/>
      </c>
      <c r="G720" s="53" t="str">
        <f>IFERROR(__xludf.DUMMYFUNCTION("vlookup($D720,IMPORTRANGE(""https://docs.google.com/spreadsheets/d/1swGwZOEqYlTEUCJLY-eeJM1911Kvaei5oySBIxdgtNo/edit?pli=1#gid=257618397"",""stock FAKTUR!B:e""),4,false)"),"")</f>
        <v/>
      </c>
      <c r="H720" s="53" t="str">
        <f>IFERROR(__xludf.DUMMYFUNCTION("vlookup($D720,IMPORTRANGE(""https://docs.google.com/spreadsheets/d/1swGwZOEqYlTEUCJLY-eeJM1911Kvaei5oySBIxdgtNo/edit?pli=1#gid=257618397"",""stock FAKTUR!B:F""),5,false)"),"KN")</f>
        <v>KN</v>
      </c>
      <c r="I720" s="53" t="str">
        <f>IFERROR(__xludf.DUMMYFUNCTION("vlookup($D720,IMPORTRANGE(""https://docs.google.com/spreadsheets/d/1swGwZOEqYlTEUCJLY-eeJM1911Kvaei5oySBIxdgtNo/edit?pli=1#gid=257618397"",""stock FAKTUR!B:G""),6,false)"),"")</f>
        <v/>
      </c>
      <c r="J720" s="120" t="str">
        <f t="shared" si="25"/>
        <v>ADA</v>
      </c>
      <c r="K720" s="142">
        <f>104/12</f>
        <v>8.666666667</v>
      </c>
      <c r="L720" s="145" t="str">
        <f>IFERROR(__xludf.DUMMYFUNCTION("vlookup($D720,IMPORTRANGE(""https://docs.google.com/spreadsheets/d/1swGwZOEqYlTEUCJLY-eeJM1911Kvaei5oySBIxdgtNo/edit?pli=1#gid=257618397"",""stock FAKTUR!B:q""),16,false)"),"GRS")</f>
        <v>GRS</v>
      </c>
      <c r="M720" s="147">
        <f>9600*12</f>
        <v>115200</v>
      </c>
      <c r="N720" s="152">
        <v>0.1</v>
      </c>
      <c r="O720" s="147">
        <f t="shared" si="173"/>
        <v>898560</v>
      </c>
      <c r="P720" s="147" t="str">
        <f t="shared" si="3"/>
        <v>Rp115,200-8.66666666666667 GRS-10.00%</v>
      </c>
      <c r="Q720" s="149">
        <v>45423.0</v>
      </c>
      <c r="R720" s="150"/>
      <c r="S720" s="149">
        <v>45425.0</v>
      </c>
      <c r="T720" s="151"/>
      <c r="U720" s="151"/>
      <c r="V720" s="151"/>
      <c r="W720" s="151"/>
    </row>
    <row r="721">
      <c r="A721" s="142">
        <v>4737.0</v>
      </c>
      <c r="B721" s="143" t="str">
        <f t="shared" si="210"/>
        <v>H</v>
      </c>
      <c r="C721" s="143" t="str">
        <f t="shared" si="211"/>
        <v>DIAN ILMU-MALANG</v>
      </c>
      <c r="D721" s="145" t="s">
        <v>4574</v>
      </c>
      <c r="E721" s="145" t="str">
        <f>IFERROR(__xludf.DUMMYFUNCTION("vlookup(D721,IMPORTRANGE(""https://docs.google.com/spreadsheets/d/1swGwZOEqYlTEUCJLY-eeJM1911Kvaei5oySBIxdgtNo/edit?pli=1#gid=257618397"",""stock FAKTUR!B:C""),2,false)"),"PENSIL KENKO 6363")</f>
        <v>PENSIL KENKO 6363</v>
      </c>
      <c r="F721" s="53" t="str">
        <f>IFERROR(__xludf.DUMMYFUNCTION("vlookup($D721,IMPORTRANGE(""https://docs.google.com/spreadsheets/d/1swGwZOEqYlTEUCJLY-eeJM1911Kvaei5oySBIxdgtNo/edit?pli=1#gid=257618397"",""stock FAKTUR!B:d""),3,false)"),"")</f>
        <v/>
      </c>
      <c r="G721" s="53" t="str">
        <f>IFERROR(__xludf.DUMMYFUNCTION("vlookup($D721,IMPORTRANGE(""https://docs.google.com/spreadsheets/d/1swGwZOEqYlTEUCJLY-eeJM1911Kvaei5oySBIxdgtNo/edit?pli=1#gid=257618397"",""stock FAKTUR!B:e""),4,false)"),"")</f>
        <v/>
      </c>
      <c r="H721" s="53" t="str">
        <f>IFERROR(__xludf.DUMMYFUNCTION("vlookup($D721,IMPORTRANGE(""https://docs.google.com/spreadsheets/d/1swGwZOEqYlTEUCJLY-eeJM1911Kvaei5oySBIxdgtNo/edit?pli=1#gid=257618397"",""stock FAKTUR!B:F""),5,false)"),"KN")</f>
        <v>KN</v>
      </c>
      <c r="I721" s="53" t="str">
        <f>IFERROR(__xludf.DUMMYFUNCTION("vlookup($D721,IMPORTRANGE(""https://docs.google.com/spreadsheets/d/1swGwZOEqYlTEUCJLY-eeJM1911Kvaei5oySBIxdgtNo/edit?pli=1#gid=257618397"",""stock FAKTUR!B:G""),6,false)"),"6363")</f>
        <v>6363</v>
      </c>
      <c r="J721" s="120" t="str">
        <f t="shared" si="25"/>
        <v>ADA</v>
      </c>
      <c r="K721" s="142">
        <f>149/12</f>
        <v>12.41666667</v>
      </c>
      <c r="L721" s="145" t="str">
        <f>IFERROR(__xludf.DUMMYFUNCTION("vlookup($D721,IMPORTRANGE(""https://docs.google.com/spreadsheets/d/1swGwZOEqYlTEUCJLY-eeJM1911Kvaei5oySBIxdgtNo/edit?pli=1#gid=257618397"",""stock FAKTUR!B:q""),16,false)"),"GRS")</f>
        <v>GRS</v>
      </c>
      <c r="M721" s="147">
        <f>9400*12</f>
        <v>112800</v>
      </c>
      <c r="N721" s="152">
        <v>0.1</v>
      </c>
      <c r="O721" s="147">
        <f t="shared" si="173"/>
        <v>1260540</v>
      </c>
      <c r="P721" s="147" t="str">
        <f t="shared" si="3"/>
        <v>Rp112,800-12.4166666666667 GRS-10.00%</v>
      </c>
      <c r="Q721" s="149">
        <v>45423.0</v>
      </c>
      <c r="R721" s="150"/>
      <c r="S721" s="149">
        <v>45425.0</v>
      </c>
      <c r="T721" s="151"/>
      <c r="U721" s="151"/>
      <c r="V721" s="151"/>
      <c r="W721" s="151"/>
    </row>
    <row r="722">
      <c r="A722" s="142">
        <v>4740.0</v>
      </c>
      <c r="B722" s="143" t="s">
        <v>33</v>
      </c>
      <c r="C722" s="143" t="s">
        <v>3040</v>
      </c>
      <c r="D722" s="145" t="s">
        <v>4458</v>
      </c>
      <c r="E722" s="145" t="str">
        <f>IFERROR(__xludf.DUMMYFUNCTION("vlookup(D722,IMPORTRANGE(""https://docs.google.com/spreadsheets/d/1swGwZOEqYlTEUCJLY-eeJM1911Kvaei5oySBIxdgtNo/edit?pli=1#gid=257618397"",""stock FAKTUR!B:C""),2,false)"),"ISI CUTTER KENKO A-100 KECIL")</f>
        <v>ISI CUTTER KENKO A-100 KECIL</v>
      </c>
      <c r="F722" s="53" t="str">
        <f>IFERROR(__xludf.DUMMYFUNCTION("vlookup($D722,IMPORTRANGE(""https://docs.google.com/spreadsheets/d/1swGwZOEqYlTEUCJLY-eeJM1911Kvaei5oySBIxdgtNo/edit?pli=1#gid=257618397"",""stock FAKTUR!B:d""),3,false)"),"9 MM")</f>
        <v>9 MM</v>
      </c>
      <c r="G722" s="53" t="str">
        <f>IFERROR(__xludf.DUMMYFUNCTION("vlookup($D722,IMPORTRANGE(""https://docs.google.com/spreadsheets/d/1swGwZOEqYlTEUCJLY-eeJM1911Kvaei5oySBIxdgtNo/edit?pli=1#gid=257618397"",""stock FAKTUR!B:e""),4,false)"),"")</f>
        <v/>
      </c>
      <c r="H722" s="53" t="str">
        <f>IFERROR(__xludf.DUMMYFUNCTION("vlookup($D722,IMPORTRANGE(""https://docs.google.com/spreadsheets/d/1swGwZOEqYlTEUCJLY-eeJM1911Kvaei5oySBIxdgtNo/edit?pli=1#gid=257618397"",""stock FAKTUR!B:F""),5,false)"),"KN")</f>
        <v>KN</v>
      </c>
      <c r="I722" s="53" t="str">
        <f>IFERROR(__xludf.DUMMYFUNCTION("vlookup($D722,IMPORTRANGE(""https://docs.google.com/spreadsheets/d/1swGwZOEqYlTEUCJLY-eeJM1911Kvaei5oySBIxdgtNo/edit?pli=1#gid=257618397"",""stock FAKTUR!B:G""),6,false)"),"CTB-001")</f>
        <v>CTB-001</v>
      </c>
      <c r="J722" s="120" t="str">
        <f t="shared" si="25"/>
        <v>ADA</v>
      </c>
      <c r="K722" s="142">
        <v>120.0</v>
      </c>
      <c r="L722" s="145" t="str">
        <f>IFERROR(__xludf.DUMMYFUNCTION("vlookup($D722,IMPORTRANGE(""https://docs.google.com/spreadsheets/d/1swGwZOEqYlTEUCJLY-eeJM1911Kvaei5oySBIxdgtNo/edit?pli=1#gid=257618397"",""stock FAKTUR!B:q""),16,false)"),"LSN")</f>
        <v>LSN</v>
      </c>
      <c r="M722" s="147">
        <v>32400.0</v>
      </c>
      <c r="N722" s="152">
        <v>0.125</v>
      </c>
      <c r="O722" s="147">
        <f t="shared" si="173"/>
        <v>3402000</v>
      </c>
      <c r="P722" s="147" t="str">
        <f t="shared" si="3"/>
        <v>Rp32,400-120 LSN-12.50%</v>
      </c>
      <c r="Q722" s="149">
        <v>45423.0</v>
      </c>
      <c r="R722" s="150"/>
      <c r="S722" s="149">
        <v>45425.0</v>
      </c>
      <c r="T722" s="151"/>
      <c r="U722" s="151"/>
      <c r="V722" s="151"/>
      <c r="W722" s="151"/>
    </row>
    <row r="723">
      <c r="A723" s="142">
        <v>4740.0</v>
      </c>
      <c r="B723" s="143" t="str">
        <f t="shared" ref="B723:B724" si="212">IF(A723=A722,B722,"")</f>
        <v>H</v>
      </c>
      <c r="C723" s="143" t="str">
        <f t="shared" ref="C723:C724" si="213">IF(A723=A722,C722,"")</f>
        <v>ENAM-CIREBON</v>
      </c>
      <c r="D723" s="180" t="s">
        <v>4583</v>
      </c>
      <c r="E723" s="145" t="str">
        <f>IFERROR(__xludf.DUMMYFUNCTION("vlookup(D723,IMPORTRANGE(""https://docs.google.com/spreadsheets/d/1swGwZOEqYlTEUCJLY-eeJM1911Kvaei5oySBIxdgtNo/edit?pli=1#gid=257618397"",""stock FAKTUR!B:C""),2,false)"),"PW KALENG (TIN CASE) KENKO CP-12")</f>
        <v>PW KALENG (TIN CASE) KENKO CP-12</v>
      </c>
      <c r="F723" s="53" t="str">
        <f>IFERROR(__xludf.DUMMYFUNCTION("vlookup($D723,IMPORTRANGE(""https://docs.google.com/spreadsheets/d/1swGwZOEqYlTEUCJLY-eeJM1911Kvaei5oySBIxdgtNo/edit?pli=1#gid=257618397"",""stock FAKTUR!B:d""),3,false)"),"")</f>
        <v/>
      </c>
      <c r="G723" s="53" t="str">
        <f>IFERROR(__xludf.DUMMYFUNCTION("vlookup($D723,IMPORTRANGE(""https://docs.google.com/spreadsheets/d/1swGwZOEqYlTEUCJLY-eeJM1911Kvaei5oySBIxdgtNo/edit?pli=1#gid=257618397"",""stock FAKTUR!B:e""),4,false)"),"12W")</f>
        <v>12W</v>
      </c>
      <c r="H723" s="53" t="str">
        <f>IFERROR(__xludf.DUMMYFUNCTION("vlookup($D723,IMPORTRANGE(""https://docs.google.com/spreadsheets/d/1swGwZOEqYlTEUCJLY-eeJM1911Kvaei5oySBIxdgtNo/edit?pli=1#gid=257618397"",""stock FAKTUR!B:F""),5,false)"),"KN")</f>
        <v>KN</v>
      </c>
      <c r="I723" s="53" t="str">
        <f>IFERROR(__xludf.DUMMYFUNCTION("vlookup($D723,IMPORTRANGE(""https://docs.google.com/spreadsheets/d/1swGwZOEqYlTEUCJLY-eeJM1911Kvaei5oySBIxdgtNo/edit?pli=1#gid=257618397"",""stock FAKTUR!B:G""),6,false)"),"CP-12")</f>
        <v>CP-12</v>
      </c>
      <c r="J723" s="120" t="str">
        <f t="shared" si="25"/>
        <v>ADA</v>
      </c>
      <c r="K723" s="184">
        <v>10.0</v>
      </c>
      <c r="L723" s="145" t="str">
        <f>IFERROR(__xludf.DUMMYFUNCTION("vlookup($D723,IMPORTRANGE(""https://docs.google.com/spreadsheets/d/1swGwZOEqYlTEUCJLY-eeJM1911Kvaei5oySBIxdgtNo/edit?pli=1#gid=257618397"",""stock FAKTUR!B:q""),16,false)"),"LSN")</f>
        <v>LSN</v>
      </c>
      <c r="M723" s="147">
        <f>12*17000</f>
        <v>204000</v>
      </c>
      <c r="N723" s="152">
        <v>0.125</v>
      </c>
      <c r="O723" s="147">
        <f t="shared" si="173"/>
        <v>1785000</v>
      </c>
      <c r="P723" s="147" t="str">
        <f t="shared" si="3"/>
        <v>Rp204,000-10 LSN-12.50%</v>
      </c>
      <c r="Q723" s="149">
        <v>45423.0</v>
      </c>
      <c r="R723" s="150"/>
      <c r="S723" s="149">
        <v>45425.0</v>
      </c>
      <c r="T723" s="194" t="s">
        <v>4749</v>
      </c>
      <c r="U723" s="192" t="s">
        <v>4750</v>
      </c>
      <c r="V723" s="151"/>
      <c r="W723" s="159"/>
    </row>
    <row r="724">
      <c r="A724" s="142">
        <v>4740.0</v>
      </c>
      <c r="B724" s="143" t="str">
        <f t="shared" si="212"/>
        <v>H</v>
      </c>
      <c r="C724" s="143" t="str">
        <f t="shared" si="213"/>
        <v>ENAM-CIREBON</v>
      </c>
      <c r="D724" s="193" t="s">
        <v>4751</v>
      </c>
      <c r="E724" s="145" t="str">
        <f>IFERROR(__xludf.DUMMYFUNCTION("vlookup(D724,IMPORTRANGE(""https://docs.google.com/spreadsheets/d/1swGwZOEqYlTEUCJLY-eeJM1911Kvaei5oySBIxdgtNo/edit?pli=1#gid=257618397"",""stock FAKTUR!B:C""),2,false)"),"PW KALENG (TIN CASE) KENKO CP-24")</f>
        <v>PW KALENG (TIN CASE) KENKO CP-24</v>
      </c>
      <c r="F724" s="53" t="str">
        <f>IFERROR(__xludf.DUMMYFUNCTION("vlookup($D724,IMPORTRANGE(""https://docs.google.com/spreadsheets/d/1swGwZOEqYlTEUCJLY-eeJM1911Kvaei5oySBIxdgtNo/edit?pli=1#gid=257618397"",""stock FAKTUR!B:d""),3,false)"),"")</f>
        <v/>
      </c>
      <c r="G724" s="53" t="str">
        <f>IFERROR(__xludf.DUMMYFUNCTION("vlookup($D724,IMPORTRANGE(""https://docs.google.com/spreadsheets/d/1swGwZOEqYlTEUCJLY-eeJM1911Kvaei5oySBIxdgtNo/edit?pli=1#gid=257618397"",""stock FAKTUR!B:e""),4,false)"),"24W")</f>
        <v>24W</v>
      </c>
      <c r="H724" s="53" t="str">
        <f>IFERROR(__xludf.DUMMYFUNCTION("vlookup($D724,IMPORTRANGE(""https://docs.google.com/spreadsheets/d/1swGwZOEqYlTEUCJLY-eeJM1911Kvaei5oySBIxdgtNo/edit?pli=1#gid=257618397"",""stock FAKTUR!B:F""),5,false)"),"KN")</f>
        <v>KN</v>
      </c>
      <c r="I724" s="53" t="str">
        <f>IFERROR(__xludf.DUMMYFUNCTION("vlookup($D724,IMPORTRANGE(""https://docs.google.com/spreadsheets/d/1swGwZOEqYlTEUCJLY-eeJM1911Kvaei5oySBIxdgtNo/edit?pli=1#gid=257618397"",""stock FAKTUR!B:G""),6,false)"),"CP-24")</f>
        <v>CP-24</v>
      </c>
      <c r="J724" s="120" t="str">
        <f t="shared" si="25"/>
        <v>ADA</v>
      </c>
      <c r="K724" s="184">
        <v>5.0</v>
      </c>
      <c r="L724" s="145" t="str">
        <f>IFERROR(__xludf.DUMMYFUNCTION("vlookup($D724,IMPORTRANGE(""https://docs.google.com/spreadsheets/d/1swGwZOEqYlTEUCJLY-eeJM1911Kvaei5oySBIxdgtNo/edit?pli=1#gid=257618397"",""stock FAKTUR!B:q""),16,false)"),"LSN")</f>
        <v>LSN</v>
      </c>
      <c r="M724" s="147">
        <f>12*34000</f>
        <v>408000</v>
      </c>
      <c r="N724" s="152">
        <v>0.125</v>
      </c>
      <c r="O724" s="147">
        <f t="shared" si="173"/>
        <v>1785000</v>
      </c>
      <c r="P724" s="147" t="str">
        <f t="shared" si="3"/>
        <v>Rp408,000-5 LSN-12.50%</v>
      </c>
      <c r="Q724" s="149">
        <v>45423.0</v>
      </c>
      <c r="R724" s="150"/>
      <c r="S724" s="149">
        <v>45425.0</v>
      </c>
      <c r="T724" s="194" t="s">
        <v>4661</v>
      </c>
      <c r="U724" s="192" t="s">
        <v>4750</v>
      </c>
      <c r="V724" s="151"/>
      <c r="W724" s="159"/>
    </row>
    <row r="725">
      <c r="A725" s="142">
        <v>4739.0</v>
      </c>
      <c r="B725" s="143" t="s">
        <v>33</v>
      </c>
      <c r="C725" s="143" t="s">
        <v>4607</v>
      </c>
      <c r="D725" s="145" t="s">
        <v>4401</v>
      </c>
      <c r="E725" s="145" t="str">
        <f>IFERROR(__xludf.DUMMYFUNCTION("vlookup(D725,IMPORTRANGE(""https://docs.google.com/spreadsheets/d/1swGwZOEqYlTEUCJLY-eeJM1911Kvaei5oySBIxdgtNo/edit?pli=1#gid=257618397"",""stock FAKTUR!B:C""),2,false)"),"BP GEL KENKO EASY HITAM")</f>
        <v>BP GEL KENKO EASY HITAM</v>
      </c>
      <c r="F725" s="53" t="str">
        <f>IFERROR(__xludf.DUMMYFUNCTION("vlookup($D725,IMPORTRANGE(""https://docs.google.com/spreadsheets/d/1swGwZOEqYlTEUCJLY-eeJM1911Kvaei5oySBIxdgtNo/edit?pli=1#gid=257618397"",""stock FAKTUR!B:d""),3,false)"),"")</f>
        <v/>
      </c>
      <c r="G725" s="53" t="str">
        <f>IFERROR(__xludf.DUMMYFUNCTION("vlookup($D725,IMPORTRANGE(""https://docs.google.com/spreadsheets/d/1swGwZOEqYlTEUCJLY-eeJM1911Kvaei5oySBIxdgtNo/edit?pli=1#gid=257618397"",""stock FAKTUR!B:e""),4,false)"),"HITAM")</f>
        <v>HITAM</v>
      </c>
      <c r="H725" s="53" t="str">
        <f>IFERROR(__xludf.DUMMYFUNCTION("vlookup($D725,IMPORTRANGE(""https://docs.google.com/spreadsheets/d/1swGwZOEqYlTEUCJLY-eeJM1911Kvaei5oySBIxdgtNo/edit?pli=1#gid=257618397"",""stock FAKTUR!B:F""),5,false)"),"KN")</f>
        <v>KN</v>
      </c>
      <c r="I725" s="53" t="str">
        <f>IFERROR(__xludf.DUMMYFUNCTION("vlookup($D725,IMPORTRANGE(""https://docs.google.com/spreadsheets/d/1swGwZOEqYlTEUCJLY-eeJM1911Kvaei5oySBIxdgtNo/edit?pli=1#gid=257618397"",""stock FAKTUR!B:G""),6,false)"),"GPT-005B")</f>
        <v>GPT-005B</v>
      </c>
      <c r="J725" s="120" t="str">
        <f t="shared" si="25"/>
        <v>ADA</v>
      </c>
      <c r="K725" s="142">
        <v>432.0</v>
      </c>
      <c r="L725" s="145" t="str">
        <f>IFERROR(__xludf.DUMMYFUNCTION("vlookup($D725,IMPORTRANGE(""https://docs.google.com/spreadsheets/d/1swGwZOEqYlTEUCJLY-eeJM1911Kvaei5oySBIxdgtNo/edit?pli=1#gid=257618397"",""stock FAKTUR!B:q""),16,false)"),"LSN")</f>
        <v>LSN</v>
      </c>
      <c r="M725" s="147">
        <v>26100.0</v>
      </c>
      <c r="N725" s="152">
        <v>0.135</v>
      </c>
      <c r="O725" s="147">
        <f t="shared" si="173"/>
        <v>9753048</v>
      </c>
      <c r="P725" s="147" t="str">
        <f t="shared" si="3"/>
        <v>Rp26,100-432 LSN-13.50%</v>
      </c>
      <c r="Q725" s="149">
        <v>45423.0</v>
      </c>
      <c r="R725" s="150"/>
      <c r="S725" s="149">
        <v>45425.0</v>
      </c>
      <c r="T725" s="151"/>
      <c r="U725" s="151"/>
      <c r="V725" s="151"/>
      <c r="W725" s="151"/>
    </row>
    <row r="726">
      <c r="A726" s="142">
        <v>4739.0</v>
      </c>
      <c r="B726" s="143" t="str">
        <f>IF(A726=A725,B725,"")</f>
        <v>H</v>
      </c>
      <c r="C726" s="143" t="str">
        <f>IF(A726=A725,C725,"")</f>
        <v>ANUGRAH SEJAHTERA-PURWOKERTO</v>
      </c>
      <c r="D726" s="145" t="s">
        <v>4460</v>
      </c>
      <c r="E726" s="145" t="str">
        <f>IFERROR(__xludf.DUMMYFUNCTION("vlookup(D726,IMPORTRANGE(""https://docs.google.com/spreadsheets/d/1swGwZOEqYlTEUCJLY-eeJM1911Kvaei5oySBIxdgtNo/edit?pli=1#gid=257618397"",""stock FAKTUR!B:C""),2,false)"),"TIPEX KENKO KE-823M")</f>
        <v>TIPEX KENKO KE-823M</v>
      </c>
      <c r="F726" s="53" t="str">
        <f>IFERROR(__xludf.DUMMYFUNCTION("vlookup($D726,IMPORTRANGE(""https://docs.google.com/spreadsheets/d/1swGwZOEqYlTEUCJLY-eeJM1911Kvaei5oySBIxdgtNo/edit?pli=1#gid=257618397"",""stock FAKTUR!B:d""),3,false)"),"")</f>
        <v/>
      </c>
      <c r="G726" s="53" t="str">
        <f>IFERROR(__xludf.DUMMYFUNCTION("vlookup($D726,IMPORTRANGE(""https://docs.google.com/spreadsheets/d/1swGwZOEqYlTEUCJLY-eeJM1911Kvaei5oySBIxdgtNo/edit?pli=1#gid=257618397"",""stock FAKTUR!B:e""),4,false)"),"")</f>
        <v/>
      </c>
      <c r="H726" s="53" t="str">
        <f>IFERROR(__xludf.DUMMYFUNCTION("vlookup($D726,IMPORTRANGE(""https://docs.google.com/spreadsheets/d/1swGwZOEqYlTEUCJLY-eeJM1911Kvaei5oySBIxdgtNo/edit?pli=1#gid=257618397"",""stock FAKTUR!B:F""),5,false)"),"KN")</f>
        <v>KN</v>
      </c>
      <c r="I726" s="53" t="str">
        <f>IFERROR(__xludf.DUMMYFUNCTION("vlookup($D726,IMPORTRANGE(""https://docs.google.com/spreadsheets/d/1swGwZOEqYlTEUCJLY-eeJM1911Kvaei5oySBIxdgtNo/edit?pli=1#gid=257618397"",""stock FAKTUR!B:G""),6,false)"),"CFL-006")</f>
        <v>CFL-006</v>
      </c>
      <c r="J726" s="120" t="str">
        <f t="shared" si="25"/>
        <v>ADA</v>
      </c>
      <c r="K726" s="142">
        <v>72.0</v>
      </c>
      <c r="L726" s="145" t="str">
        <f>IFERROR(__xludf.DUMMYFUNCTION("vlookup($D726,IMPORTRANGE(""https://docs.google.com/spreadsheets/d/1swGwZOEqYlTEUCJLY-eeJM1911Kvaei5oySBIxdgtNo/edit?pli=1#gid=257618397"",""stock FAKTUR!B:q""),16,false)"),"LSN")</f>
        <v>LSN</v>
      </c>
      <c r="M726" s="147">
        <v>58800.0</v>
      </c>
      <c r="N726" s="152">
        <v>0.135</v>
      </c>
      <c r="O726" s="147">
        <f t="shared" si="173"/>
        <v>3662064</v>
      </c>
      <c r="P726" s="147" t="str">
        <f t="shared" si="3"/>
        <v>Rp58,800-72 LSN-13.50%</v>
      </c>
      <c r="Q726" s="149">
        <v>45423.0</v>
      </c>
      <c r="R726" s="150"/>
      <c r="S726" s="149">
        <v>45425.0</v>
      </c>
      <c r="T726" s="151"/>
      <c r="U726" s="151"/>
      <c r="V726" s="151"/>
      <c r="W726" s="151"/>
    </row>
    <row r="727">
      <c r="A727" s="142">
        <v>4741.0</v>
      </c>
      <c r="B727" s="143" t="s">
        <v>33</v>
      </c>
      <c r="C727" s="143" t="s">
        <v>4437</v>
      </c>
      <c r="D727" s="145" t="s">
        <v>4748</v>
      </c>
      <c r="E727" s="145" t="str">
        <f>IFERROR(__xludf.DUMMYFUNCTION("vlookup(D727,IMPORTRANGE(""https://docs.google.com/spreadsheets/d/1swGwZOEqYlTEUCJLY-eeJM1911Kvaei5oySBIxdgtNo/edit?pli=1#gid=257618397"",""stock FAKTUR!B:C""),2,false)"),"BINDER CLIP KENKO NO. 280 (6PCS/BOX)")</f>
        <v>BINDER CLIP KENKO NO. 280 (6PCS/BOX)</v>
      </c>
      <c r="F727" s="53" t="str">
        <f>IFERROR(__xludf.DUMMYFUNCTION("vlookup($D727,IMPORTRANGE(""https://docs.google.com/spreadsheets/d/1swGwZOEqYlTEUCJLY-eeJM1911Kvaei5oySBIxdgtNo/edit?pli=1#gid=257618397"",""stock FAKTUR!B:d""),3,false)"),"")</f>
        <v/>
      </c>
      <c r="G727" s="53" t="str">
        <f>IFERROR(__xludf.DUMMYFUNCTION("vlookup($D727,IMPORTRANGE(""https://docs.google.com/spreadsheets/d/1swGwZOEqYlTEUCJLY-eeJM1911Kvaei5oySBIxdgtNo/edit?pli=1#gid=257618397"",""stock FAKTUR!B:e""),4,false)"),"")</f>
        <v/>
      </c>
      <c r="H727" s="53" t="str">
        <f>IFERROR(__xludf.DUMMYFUNCTION("vlookup($D727,IMPORTRANGE(""https://docs.google.com/spreadsheets/d/1swGwZOEqYlTEUCJLY-eeJM1911Kvaei5oySBIxdgtNo/edit?pli=1#gid=257618397"",""stock FAKTUR!B:F""),5,false)"),"KN")</f>
        <v>KN</v>
      </c>
      <c r="I727" s="53" t="str">
        <f>IFERROR(__xludf.DUMMYFUNCTION("vlookup($D727,IMPORTRANGE(""https://docs.google.com/spreadsheets/d/1swGwZOEqYlTEUCJLY-eeJM1911Kvaei5oySBIxdgtNo/edit?pli=1#gid=257618397"",""stock FAKTUR!B:G""),6,false)"),"BCL-007")</f>
        <v>BCL-007</v>
      </c>
      <c r="J727" s="120" t="str">
        <f t="shared" si="25"/>
        <v>ADA</v>
      </c>
      <c r="K727" s="142">
        <v>72.0</v>
      </c>
      <c r="L727" s="145" t="str">
        <f>IFERROR(__xludf.DUMMYFUNCTION("vlookup($D727,IMPORTRANGE(""https://docs.google.com/spreadsheets/d/1swGwZOEqYlTEUCJLY-eeJM1911Kvaei5oySBIxdgtNo/edit?pli=1#gid=257618397"",""stock FAKTUR!B:q""),16,false)"),"BOX")</f>
        <v>BOX</v>
      </c>
      <c r="M727" s="147">
        <v>21500.0</v>
      </c>
      <c r="N727" s="152">
        <v>0.125</v>
      </c>
      <c r="O727" s="147">
        <f t="shared" si="173"/>
        <v>1354500</v>
      </c>
      <c r="P727" s="147" t="str">
        <f t="shared" si="3"/>
        <v>Rp21,500-72 BOX-12.50%</v>
      </c>
      <c r="Q727" s="149">
        <v>45423.0</v>
      </c>
      <c r="R727" s="150"/>
      <c r="S727" s="149">
        <v>45425.0</v>
      </c>
      <c r="T727" s="151"/>
      <c r="U727" s="151"/>
      <c r="V727" s="151"/>
      <c r="W727" s="151"/>
    </row>
    <row r="728">
      <c r="A728" s="142">
        <v>4746.0</v>
      </c>
      <c r="B728" s="143" t="s">
        <v>33</v>
      </c>
      <c r="C728" s="143" t="s">
        <v>2476</v>
      </c>
      <c r="D728" s="145" t="s">
        <v>4401</v>
      </c>
      <c r="E728" s="145" t="str">
        <f>IFERROR(__xludf.DUMMYFUNCTION("vlookup(D728,IMPORTRANGE(""https://docs.google.com/spreadsheets/d/1swGwZOEqYlTEUCJLY-eeJM1911Kvaei5oySBIxdgtNo/edit?pli=1#gid=257618397"",""stock FAKTUR!B:C""),2,false)"),"BP GEL KENKO EASY HITAM")</f>
        <v>BP GEL KENKO EASY HITAM</v>
      </c>
      <c r="F728" s="53" t="str">
        <f>IFERROR(__xludf.DUMMYFUNCTION("vlookup($D728,IMPORTRANGE(""https://docs.google.com/spreadsheets/d/1swGwZOEqYlTEUCJLY-eeJM1911Kvaei5oySBIxdgtNo/edit?pli=1#gid=257618397"",""stock FAKTUR!B:d""),3,false)"),"")</f>
        <v/>
      </c>
      <c r="G728" s="53" t="str">
        <f>IFERROR(__xludf.DUMMYFUNCTION("vlookup($D728,IMPORTRANGE(""https://docs.google.com/spreadsheets/d/1swGwZOEqYlTEUCJLY-eeJM1911Kvaei5oySBIxdgtNo/edit?pli=1#gid=257618397"",""stock FAKTUR!B:e""),4,false)"),"HITAM")</f>
        <v>HITAM</v>
      </c>
      <c r="H728" s="53" t="str">
        <f>IFERROR(__xludf.DUMMYFUNCTION("vlookup($D728,IMPORTRANGE(""https://docs.google.com/spreadsheets/d/1swGwZOEqYlTEUCJLY-eeJM1911Kvaei5oySBIxdgtNo/edit?pli=1#gid=257618397"",""stock FAKTUR!B:F""),5,false)"),"KN")</f>
        <v>KN</v>
      </c>
      <c r="I728" s="53" t="str">
        <f>IFERROR(__xludf.DUMMYFUNCTION("vlookup($D728,IMPORTRANGE(""https://docs.google.com/spreadsheets/d/1swGwZOEqYlTEUCJLY-eeJM1911Kvaei5oySBIxdgtNo/edit?pli=1#gid=257618397"",""stock FAKTUR!B:G""),6,false)"),"GPT-005B")</f>
        <v>GPT-005B</v>
      </c>
      <c r="J728" s="120" t="str">
        <f t="shared" si="25"/>
        <v>ADA</v>
      </c>
      <c r="K728" s="142">
        <v>144.0</v>
      </c>
      <c r="L728" s="145" t="str">
        <f>IFERROR(__xludf.DUMMYFUNCTION("vlookup($D728,IMPORTRANGE(""https://docs.google.com/spreadsheets/d/1swGwZOEqYlTEUCJLY-eeJM1911Kvaei5oySBIxdgtNo/edit?pli=1#gid=257618397"",""stock FAKTUR!B:q""),16,false)"),"LSN")</f>
        <v>LSN</v>
      </c>
      <c r="M728" s="147">
        <v>26100.0</v>
      </c>
      <c r="N728" s="152">
        <v>0.15</v>
      </c>
      <c r="O728" s="147">
        <f t="shared" si="173"/>
        <v>3194640</v>
      </c>
      <c r="P728" s="147" t="str">
        <f t="shared" si="3"/>
        <v>Rp26,100-144 LSN-15.00%</v>
      </c>
      <c r="Q728" s="149">
        <v>45423.0</v>
      </c>
      <c r="R728" s="150"/>
      <c r="S728" s="149">
        <v>45425.0</v>
      </c>
      <c r="T728" s="151"/>
      <c r="U728" s="151"/>
      <c r="V728" s="151"/>
      <c r="W728" s="151"/>
    </row>
    <row r="729">
      <c r="A729" s="142">
        <v>4746.0</v>
      </c>
      <c r="B729" s="143" t="str">
        <f t="shared" ref="B729:B731" si="214">IF(A729=A728,B728,"")</f>
        <v>H</v>
      </c>
      <c r="C729" s="143" t="str">
        <f t="shared" ref="C729:C731" si="215">IF(A729=A728,C728,"")</f>
        <v>PERDANA-BREBES</v>
      </c>
      <c r="D729" s="145" t="s">
        <v>4400</v>
      </c>
      <c r="E729" s="145" t="str">
        <f>IFERROR(__xludf.DUMMYFUNCTION("vlookup(D729,IMPORTRANGE(""https://docs.google.com/spreadsheets/d/1swGwZOEqYlTEUCJLY-eeJM1911Kvaei5oySBIxdgtNo/edit?pli=1#gid=257618397"",""stock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729" s="53" t="str">
        <f>IFERROR(__xludf.DUMMYFUNCTION("vlookup($D729,IMPORTRANGE(""https://docs.google.com/spreadsheets/d/1swGwZOEqYlTEUCJLY-eeJM1911Kvaei5oySBIxdgtNo/edit?pli=1#gid=257618397"",""stock FAKTUR!B:d""),3,false)"),"")</f>
        <v/>
      </c>
      <c r="G729" s="53" t="str">
        <f>IFERROR(__xludf.DUMMYFUNCTION("vlookup($D729,IMPORTRANGE(""https://docs.google.com/spreadsheets/d/1swGwZOEqYlTEUCJLY-eeJM1911Kvaei5oySBIxdgtNo/edit?pli=1#gid=257618397"",""stock FAKTUR!B:e""),4,false)"),"12W")</f>
        <v>12W</v>
      </c>
      <c r="H729" s="53" t="str">
        <f>IFERROR(__xludf.DUMMYFUNCTION("vlookup($D729,IMPORTRANGE(""https://docs.google.com/spreadsheets/d/1swGwZOEqYlTEUCJLY-eeJM1911Kvaei5oySBIxdgtNo/edit?pli=1#gid=257618397"",""stock FAKTUR!B:F""),5,false)"),"KN")</f>
        <v>KN</v>
      </c>
      <c r="I729" s="53" t="str">
        <f>IFERROR(__xludf.DUMMYFUNCTION("vlookup($D729,IMPORTRANGE(""https://docs.google.com/spreadsheets/d/1swGwZOEqYlTEUCJLY-eeJM1911Kvaei5oySBIxdgtNo/edit?pli=1#gid=257618397"",""stock FAKTUR!B:G""),6,false)"),"CP-12")</f>
        <v>CP-12</v>
      </c>
      <c r="J729" s="120" t="str">
        <f t="shared" si="25"/>
        <v>ADA</v>
      </c>
      <c r="K729" s="142">
        <f>576/12</f>
        <v>48</v>
      </c>
      <c r="L729" s="145" t="str">
        <f>IFERROR(__xludf.DUMMYFUNCTION("vlookup($D729,IMPORTRANGE(""https://docs.google.com/spreadsheets/d/1swGwZOEqYlTEUCJLY-eeJM1911Kvaei5oySBIxdgtNo/edit?pli=1#gid=257618397"",""stock FAKTUR!B:q""),16,false)"),"LSN")</f>
        <v>LSN</v>
      </c>
      <c r="M729" s="147">
        <f>6600*12</f>
        <v>79200</v>
      </c>
      <c r="N729" s="152">
        <v>0.15</v>
      </c>
      <c r="O729" s="147">
        <f t="shared" si="173"/>
        <v>3231360</v>
      </c>
      <c r="P729" s="147" t="str">
        <f t="shared" si="3"/>
        <v>Rp79,200-48 LSN-15.00%</v>
      </c>
      <c r="Q729" s="149">
        <v>45423.0</v>
      </c>
      <c r="R729" s="150"/>
      <c r="S729" s="149">
        <v>45425.0</v>
      </c>
      <c r="T729" s="151"/>
      <c r="U729" s="151"/>
      <c r="V729" s="151"/>
      <c r="W729" s="151"/>
    </row>
    <row r="730">
      <c r="A730" s="142">
        <v>4746.0</v>
      </c>
      <c r="B730" s="143" t="str">
        <f t="shared" si="214"/>
        <v>H</v>
      </c>
      <c r="C730" s="143" t="str">
        <f t="shared" si="215"/>
        <v>PERDANA-BREBES</v>
      </c>
      <c r="D730" s="145" t="s">
        <v>4460</v>
      </c>
      <c r="E730" s="145" t="str">
        <f>IFERROR(__xludf.DUMMYFUNCTION("vlookup(D730,IMPORTRANGE(""https://docs.google.com/spreadsheets/d/1swGwZOEqYlTEUCJLY-eeJM1911Kvaei5oySBIxdgtNo/edit?pli=1#gid=257618397"",""stock FAKTUR!B:C""),2,false)"),"TIPEX KENKO KE-823M")</f>
        <v>TIPEX KENKO KE-823M</v>
      </c>
      <c r="F730" s="53" t="str">
        <f>IFERROR(__xludf.DUMMYFUNCTION("vlookup($D730,IMPORTRANGE(""https://docs.google.com/spreadsheets/d/1swGwZOEqYlTEUCJLY-eeJM1911Kvaei5oySBIxdgtNo/edit?pli=1#gid=257618397"",""stock FAKTUR!B:d""),3,false)"),"")</f>
        <v/>
      </c>
      <c r="G730" s="53" t="str">
        <f>IFERROR(__xludf.DUMMYFUNCTION("vlookup($D730,IMPORTRANGE(""https://docs.google.com/spreadsheets/d/1swGwZOEqYlTEUCJLY-eeJM1911Kvaei5oySBIxdgtNo/edit?pli=1#gid=257618397"",""stock FAKTUR!B:e""),4,false)"),"")</f>
        <v/>
      </c>
      <c r="H730" s="53" t="str">
        <f>IFERROR(__xludf.DUMMYFUNCTION("vlookup($D730,IMPORTRANGE(""https://docs.google.com/spreadsheets/d/1swGwZOEqYlTEUCJLY-eeJM1911Kvaei5oySBIxdgtNo/edit?pli=1#gid=257618397"",""stock FAKTUR!B:F""),5,false)"),"KN")</f>
        <v>KN</v>
      </c>
      <c r="I730" s="53" t="str">
        <f>IFERROR(__xludf.DUMMYFUNCTION("vlookup($D730,IMPORTRANGE(""https://docs.google.com/spreadsheets/d/1swGwZOEqYlTEUCJLY-eeJM1911Kvaei5oySBIxdgtNo/edit?pli=1#gid=257618397"",""stock FAKTUR!B:G""),6,false)"),"CFL-006")</f>
        <v>CFL-006</v>
      </c>
      <c r="J730" s="120" t="str">
        <f t="shared" si="25"/>
        <v>ADA</v>
      </c>
      <c r="K730" s="142">
        <v>72.0</v>
      </c>
      <c r="L730" s="145" t="str">
        <f>IFERROR(__xludf.DUMMYFUNCTION("vlookup($D730,IMPORTRANGE(""https://docs.google.com/spreadsheets/d/1swGwZOEqYlTEUCJLY-eeJM1911Kvaei5oySBIxdgtNo/edit?pli=1#gid=257618397"",""stock FAKTUR!B:q""),16,false)"),"LSN")</f>
        <v>LSN</v>
      </c>
      <c r="M730" s="147">
        <v>58800.0</v>
      </c>
      <c r="N730" s="152">
        <v>0.15</v>
      </c>
      <c r="O730" s="147">
        <f t="shared" si="173"/>
        <v>3598560</v>
      </c>
      <c r="P730" s="147" t="str">
        <f t="shared" si="3"/>
        <v>Rp58,800-72 LSN-15.00%</v>
      </c>
      <c r="Q730" s="149">
        <v>45423.0</v>
      </c>
      <c r="R730" s="150"/>
      <c r="S730" s="149">
        <v>45425.0</v>
      </c>
      <c r="T730" s="151"/>
      <c r="U730" s="151"/>
      <c r="V730" s="151"/>
      <c r="W730" s="151"/>
    </row>
    <row r="731">
      <c r="A731" s="142">
        <v>4746.0</v>
      </c>
      <c r="B731" s="143" t="str">
        <f t="shared" si="214"/>
        <v>H</v>
      </c>
      <c r="C731" s="143" t="str">
        <f t="shared" si="215"/>
        <v>PERDANA-BREBES</v>
      </c>
      <c r="D731" s="145" t="s">
        <v>4429</v>
      </c>
      <c r="E731" s="145" t="str">
        <f>IFERROR(__xludf.DUMMYFUNCTION("vlookup(D731,IMPORTRANGE(""https://docs.google.com/spreadsheets/d/1swGwZOEqYlTEUCJLY-eeJM1911Kvaei5oySBIxdgtNo/edit?pli=1#gid=257618397"",""stock FAKTUR!B:C""),2,false)"),"TIPEX KENKO KE-01")</f>
        <v>TIPEX KENKO KE-01</v>
      </c>
      <c r="F731" s="53" t="str">
        <f>IFERROR(__xludf.DUMMYFUNCTION("vlookup($D731,IMPORTRANGE(""https://docs.google.com/spreadsheets/d/1swGwZOEqYlTEUCJLY-eeJM1911Kvaei5oySBIxdgtNo/edit?pli=1#gid=257618397"",""stock FAKTUR!B:d""),3,false)"),"")</f>
        <v/>
      </c>
      <c r="G731" s="53" t="str">
        <f>IFERROR(__xludf.DUMMYFUNCTION("vlookup($D731,IMPORTRANGE(""https://docs.google.com/spreadsheets/d/1swGwZOEqYlTEUCJLY-eeJM1911Kvaei5oySBIxdgtNo/edit?pli=1#gid=257618397"",""stock FAKTUR!B:e""),4,false)"),"")</f>
        <v/>
      </c>
      <c r="H731" s="53" t="str">
        <f>IFERROR(__xludf.DUMMYFUNCTION("vlookup($D731,IMPORTRANGE(""https://docs.google.com/spreadsheets/d/1swGwZOEqYlTEUCJLY-eeJM1911Kvaei5oySBIxdgtNo/edit?pli=1#gid=257618397"",""stock FAKTUR!B:F""),5,false)"),"KN")</f>
        <v>KN</v>
      </c>
      <c r="I731" s="53" t="str">
        <f>IFERROR(__xludf.DUMMYFUNCTION("vlookup($D731,IMPORTRANGE(""https://docs.google.com/spreadsheets/d/1swGwZOEqYlTEUCJLY-eeJM1911Kvaei5oySBIxdgtNo/edit?pli=1#gid=257618397"",""stock FAKTUR!B:G""),6,false)"),"CFL-001")</f>
        <v>CFL-001</v>
      </c>
      <c r="J731" s="120" t="str">
        <f t="shared" si="25"/>
        <v>ADA</v>
      </c>
      <c r="K731" s="142">
        <v>360.0</v>
      </c>
      <c r="L731" s="145" t="str">
        <f>IFERROR(__xludf.DUMMYFUNCTION("vlookup($D731,IMPORTRANGE(""https://docs.google.com/spreadsheets/d/1swGwZOEqYlTEUCJLY-eeJM1911Kvaei5oySBIxdgtNo/edit?pli=1#gid=257618397"",""stock FAKTUR!B:q""),16,false)"),"LSN")</f>
        <v>LSN</v>
      </c>
      <c r="M731" s="147">
        <v>56100.0</v>
      </c>
      <c r="N731" s="152">
        <v>0.15</v>
      </c>
      <c r="O731" s="147">
        <f t="shared" si="173"/>
        <v>17166600</v>
      </c>
      <c r="P731" s="147" t="str">
        <f t="shared" si="3"/>
        <v>Rp56,100-360 LSN-15.00%</v>
      </c>
      <c r="Q731" s="149">
        <v>45423.0</v>
      </c>
      <c r="R731" s="150"/>
      <c r="S731" s="149">
        <v>45425.0</v>
      </c>
      <c r="T731" s="151"/>
      <c r="U731" s="151"/>
      <c r="V731" s="151"/>
      <c r="W731" s="151"/>
    </row>
    <row r="732">
      <c r="A732" s="142">
        <v>4738.0</v>
      </c>
      <c r="B732" s="143" t="s">
        <v>33</v>
      </c>
      <c r="C732" s="143" t="s">
        <v>3684</v>
      </c>
      <c r="D732" s="145" t="s">
        <v>4532</v>
      </c>
      <c r="E732" s="145" t="str">
        <f>IFERROR(__xludf.DUMMYFUNCTION("vlookup(D732,IMPORTRANGE(""https://docs.google.com/spreadsheets/d/1swGwZOEqYlTEUCJLY-eeJM1911Kvaei5oySBIxdgtNo/edit?pli=1#gid=257618397"",""stock FAKTUR!B:C""),2,false)"),"BINDER CLIP KENKO NO. 260")</f>
        <v>BINDER CLIP KENKO NO. 260</v>
      </c>
      <c r="F732" s="53" t="str">
        <f>IFERROR(__xludf.DUMMYFUNCTION("vlookup($D732,IMPORTRANGE(""https://docs.google.com/spreadsheets/d/1swGwZOEqYlTEUCJLY-eeJM1911Kvaei5oySBIxdgtNo/edit?pli=1#gid=257618397"",""stock FAKTUR!B:d""),3,false)"),"")</f>
        <v/>
      </c>
      <c r="G732" s="53" t="str">
        <f>IFERROR(__xludf.DUMMYFUNCTION("vlookup($D732,IMPORTRANGE(""https://docs.google.com/spreadsheets/d/1swGwZOEqYlTEUCJLY-eeJM1911Kvaei5oySBIxdgtNo/edit?pli=1#gid=257618397"",""stock FAKTUR!B:e""),4,false)"),"")</f>
        <v/>
      </c>
      <c r="H732" s="53" t="str">
        <f>IFERROR(__xludf.DUMMYFUNCTION("vlookup($D732,IMPORTRANGE(""https://docs.google.com/spreadsheets/d/1swGwZOEqYlTEUCJLY-eeJM1911Kvaei5oySBIxdgtNo/edit?pli=1#gid=257618397"",""stock FAKTUR!B:F""),5,false)"),"KN")</f>
        <v>KN</v>
      </c>
      <c r="I732" s="53" t="str">
        <f>IFERROR(__xludf.DUMMYFUNCTION("vlookup($D732,IMPORTRANGE(""https://docs.google.com/spreadsheets/d/1swGwZOEqYlTEUCJLY-eeJM1911Kvaei5oySBIxdgtNo/edit?pli=1#gid=257618397"",""stock FAKTUR!B:G""),6,false)"),"BCL-006QH")</f>
        <v>BCL-006QH</v>
      </c>
      <c r="J732" s="120" t="str">
        <f t="shared" si="25"/>
        <v>ADA</v>
      </c>
      <c r="K732" s="142">
        <v>5.0</v>
      </c>
      <c r="L732" s="145" t="str">
        <f>IFERROR(__xludf.DUMMYFUNCTION("vlookup($D732,IMPORTRANGE(""https://docs.google.com/spreadsheets/d/1swGwZOEqYlTEUCJLY-eeJM1911Kvaei5oySBIxdgtNo/edit?pli=1#gid=257618397"",""stock FAKTUR!B:q""),16,false)"),"GRS")</f>
        <v>GRS</v>
      </c>
      <c r="M732" s="147">
        <v>180000.0</v>
      </c>
      <c r="N732" s="152">
        <v>0.14</v>
      </c>
      <c r="O732" s="147">
        <f t="shared" si="173"/>
        <v>774000</v>
      </c>
      <c r="P732" s="147" t="str">
        <f t="shared" si="3"/>
        <v>Rp180,000-5 GRS-14.00%</v>
      </c>
      <c r="Q732" s="149">
        <v>45423.0</v>
      </c>
      <c r="R732" s="150"/>
      <c r="S732" s="149">
        <v>45425.0</v>
      </c>
      <c r="T732" s="151"/>
      <c r="U732" s="151"/>
      <c r="V732" s="151"/>
      <c r="W732" s="151"/>
    </row>
    <row r="733">
      <c r="A733" s="142">
        <v>4738.0</v>
      </c>
      <c r="B733" s="143" t="str">
        <f t="shared" ref="B733:B738" si="216">IF(A733=A732,B732,"")</f>
        <v>H</v>
      </c>
      <c r="C733" s="143" t="str">
        <f t="shared" ref="C733:C738" si="217">IF(A733=A732,C732,"")</f>
        <v>BENDAN-PEKALONGAN</v>
      </c>
      <c r="D733" s="145" t="s">
        <v>4708</v>
      </c>
      <c r="E733" s="145" t="str">
        <f>IFERROR(__xludf.DUMMYFUNCTION("vlookup(D733,IMPORTRANGE(""https://docs.google.com/spreadsheets/d/1swGwZOEqYlTEUCJLY-eeJM1911Kvaei5oySBIxdgtNo/edit?pli=1#gid=257618397"",""stock FAKTUR!B:C""),2,false)"),"BINDER CLIP KENKO NO. 155")</f>
        <v>BINDER CLIP KENKO NO. 155</v>
      </c>
      <c r="F733" s="53" t="str">
        <f>IFERROR(__xludf.DUMMYFUNCTION("vlookup($D733,IMPORTRANGE(""https://docs.google.com/spreadsheets/d/1swGwZOEqYlTEUCJLY-eeJM1911Kvaei5oySBIxdgtNo/edit?pli=1#gid=257618397"",""stock FAKTUR!B:d""),3,false)"),"")</f>
        <v/>
      </c>
      <c r="G733" s="53" t="str">
        <f>IFERROR(__xludf.DUMMYFUNCTION("vlookup($D733,IMPORTRANGE(""https://docs.google.com/spreadsheets/d/1swGwZOEqYlTEUCJLY-eeJM1911Kvaei5oySBIxdgtNo/edit?pli=1#gid=257618397"",""stock FAKTUR!B:e""),4,false)"),"")</f>
        <v/>
      </c>
      <c r="H733" s="53" t="str">
        <f>IFERROR(__xludf.DUMMYFUNCTION("vlookup($D733,IMPORTRANGE(""https://docs.google.com/spreadsheets/d/1swGwZOEqYlTEUCJLY-eeJM1911Kvaei5oySBIxdgtNo/edit?pli=1#gid=257618397"",""stock FAKTUR!B:F""),5,false)"),"KN")</f>
        <v>KN</v>
      </c>
      <c r="I733" s="53" t="str">
        <f>IFERROR(__xludf.DUMMYFUNCTION("vlookup($D733,IMPORTRANGE(""https://docs.google.com/spreadsheets/d/1swGwZOEqYlTEUCJLY-eeJM1911Kvaei5oySBIxdgtNo/edit?pli=1#gid=257618397"",""stock FAKTUR!B:G""),6,false)"),"BCL-004QH")</f>
        <v>BCL-004QH</v>
      </c>
      <c r="J733" s="120" t="str">
        <f t="shared" si="25"/>
        <v>ADA</v>
      </c>
      <c r="K733" s="142">
        <v>20.0</v>
      </c>
      <c r="L733" s="145" t="str">
        <f>IFERROR(__xludf.DUMMYFUNCTION("vlookup($D733,IMPORTRANGE(""https://docs.google.com/spreadsheets/d/1swGwZOEqYlTEUCJLY-eeJM1911Kvaei5oySBIxdgtNo/edit?pli=1#gid=257618397"",""stock FAKTUR!B:q""),16,false)"),"BOX")</f>
        <v>BOX</v>
      </c>
      <c r="M733" s="147">
        <v>69000.0</v>
      </c>
      <c r="N733" s="152">
        <v>0.14</v>
      </c>
      <c r="O733" s="147">
        <f t="shared" si="173"/>
        <v>1186800</v>
      </c>
      <c r="P733" s="147" t="str">
        <f t="shared" si="3"/>
        <v>Rp69,000-20 BOX-14.00%</v>
      </c>
      <c r="Q733" s="149">
        <v>45423.0</v>
      </c>
      <c r="R733" s="150"/>
      <c r="S733" s="149">
        <v>45425.0</v>
      </c>
      <c r="T733" s="194" t="s">
        <v>4440</v>
      </c>
      <c r="U733" s="192" t="s">
        <v>4732</v>
      </c>
      <c r="V733" s="151"/>
      <c r="W733" s="159"/>
    </row>
    <row r="734">
      <c r="A734" s="142">
        <v>4738.0</v>
      </c>
      <c r="B734" s="143" t="str">
        <f t="shared" si="216"/>
        <v>H</v>
      </c>
      <c r="C734" s="143" t="str">
        <f t="shared" si="217"/>
        <v>BENDAN-PEKALONGAN</v>
      </c>
      <c r="D734" s="145" t="s">
        <v>4599</v>
      </c>
      <c r="E734" s="145" t="str">
        <f>IFERROR(__xludf.DUMMYFUNCTION("vlookup(D734,IMPORTRANGE(""https://docs.google.com/spreadsheets/d/1swGwZOEqYlTEUCJLY-eeJM1911Kvaei5oySBIxdgtNo/edit?pli=1#gid=257618397"",""stock FAKTUR!B:C""),2,false)"),"OIL PASTEL TITI 12W TI-P-12S")</f>
        <v>OIL PASTEL TITI 12W TI-P-12S</v>
      </c>
      <c r="F734" s="53" t="str">
        <f>IFERROR(__xludf.DUMMYFUNCTION("vlookup($D734,IMPORTRANGE(""https://docs.google.com/spreadsheets/d/1swGwZOEqYlTEUCJLY-eeJM1911Kvaei5oySBIxdgtNo/edit?pli=1#gid=257618397"",""stock FAKTUR!B:d""),3,false)"),"")</f>
        <v/>
      </c>
      <c r="G734" s="53" t="str">
        <f>IFERROR(__xludf.DUMMYFUNCTION("vlookup($D734,IMPORTRANGE(""https://docs.google.com/spreadsheets/d/1swGwZOEqYlTEUCJLY-eeJM1911Kvaei5oySBIxdgtNo/edit?pli=1#gid=257618397"",""stock FAKTUR!B:e""),4,false)"),"12W")</f>
        <v>12W</v>
      </c>
      <c r="H734" s="53" t="str">
        <f>IFERROR(__xludf.DUMMYFUNCTION("vlookup($D734,IMPORTRANGE(""https://docs.google.com/spreadsheets/d/1swGwZOEqYlTEUCJLY-eeJM1911Kvaei5oySBIxdgtNo/edit?pli=1#gid=257618397"",""stock FAKTUR!B:F""),5,false)"),"TT")</f>
        <v>TT</v>
      </c>
      <c r="I734" s="53" t="str">
        <f>IFERROR(__xludf.DUMMYFUNCTION("vlookup($D734,IMPORTRANGE(""https://docs.google.com/spreadsheets/d/1swGwZOEqYlTEUCJLY-eeJM1911Kvaei5oySBIxdgtNo/edit?pli=1#gid=257618397"",""stock FAKTUR!B:G""),6,false)"),"OPS-007")</f>
        <v>OPS-007</v>
      </c>
      <c r="J734" s="120" t="str">
        <f t="shared" si="25"/>
        <v>ADA</v>
      </c>
      <c r="K734" s="142">
        <v>288.0</v>
      </c>
      <c r="L734" s="145" t="str">
        <f>IFERROR(__xludf.DUMMYFUNCTION("vlookup($D734,IMPORTRANGE(""https://docs.google.com/spreadsheets/d/1swGwZOEqYlTEUCJLY-eeJM1911Kvaei5oySBIxdgtNo/edit?pli=1#gid=257618397"",""stock FAKTUR!B:q""),16,false)"),"PCS")</f>
        <v>PCS</v>
      </c>
      <c r="M734" s="147">
        <v>14500.0</v>
      </c>
      <c r="N734" s="152">
        <v>0.14</v>
      </c>
      <c r="O734" s="147">
        <f t="shared" si="173"/>
        <v>3591360</v>
      </c>
      <c r="P734" s="147" t="str">
        <f t="shared" si="3"/>
        <v>Rp14,500-288 PCS-14.00%</v>
      </c>
      <c r="Q734" s="149">
        <v>45423.0</v>
      </c>
      <c r="R734" s="150"/>
      <c r="S734" s="149">
        <v>45425.0</v>
      </c>
      <c r="T734" s="151"/>
      <c r="U734" s="151"/>
      <c r="V734" s="151"/>
      <c r="W734" s="151"/>
    </row>
    <row r="735">
      <c r="A735" s="142">
        <v>4738.0</v>
      </c>
      <c r="B735" s="143" t="str">
        <f t="shared" si="216"/>
        <v>H</v>
      </c>
      <c r="C735" s="143" t="str">
        <f t="shared" si="217"/>
        <v>BENDAN-PEKALONGAN</v>
      </c>
      <c r="D735" s="145" t="s">
        <v>4477</v>
      </c>
      <c r="E735" s="145" t="str">
        <f>IFERROR(__xludf.DUMMYFUNCTION("vlookup(D735,IMPORTRANGE(""https://docs.google.com/spreadsheets/d/1swGwZOEqYlTEUCJLY-eeJM1911Kvaei5oySBIxdgtNo/edit?pli=1#gid=257618397"",""stock FAKTUR!B:C""),2,false)"),"OIL PASTEL TITI 18W TI-P-18S")</f>
        <v>OIL PASTEL TITI 18W TI-P-18S</v>
      </c>
      <c r="F735" s="53" t="str">
        <f>IFERROR(__xludf.DUMMYFUNCTION("vlookup($D735,IMPORTRANGE(""https://docs.google.com/spreadsheets/d/1swGwZOEqYlTEUCJLY-eeJM1911Kvaei5oySBIxdgtNo/edit?pli=1#gid=257618397"",""stock FAKTUR!B:d""),3,false)"),"")</f>
        <v/>
      </c>
      <c r="G735" s="53" t="str">
        <f>IFERROR(__xludf.DUMMYFUNCTION("vlookup($D735,IMPORTRANGE(""https://docs.google.com/spreadsheets/d/1swGwZOEqYlTEUCJLY-eeJM1911Kvaei5oySBIxdgtNo/edit?pli=1#gid=257618397"",""stock FAKTUR!B:e""),4,false)"),"18W")</f>
        <v>18W</v>
      </c>
      <c r="H735" s="53" t="str">
        <f>IFERROR(__xludf.DUMMYFUNCTION("vlookup($D735,IMPORTRANGE(""https://docs.google.com/spreadsheets/d/1swGwZOEqYlTEUCJLY-eeJM1911Kvaei5oySBIxdgtNo/edit?pli=1#gid=257618397"",""stock FAKTUR!B:F""),5,false)"),"TT")</f>
        <v>TT</v>
      </c>
      <c r="I735" s="53" t="str">
        <f>IFERROR(__xludf.DUMMYFUNCTION("vlookup($D735,IMPORTRANGE(""https://docs.google.com/spreadsheets/d/1swGwZOEqYlTEUCJLY-eeJM1911Kvaei5oySBIxdgtNo/edit?pli=1#gid=257618397"",""stock FAKTUR!B:G""),6,false)"),"OPS-008")</f>
        <v>OPS-008</v>
      </c>
      <c r="J735" s="120" t="str">
        <f t="shared" si="25"/>
        <v>ADA</v>
      </c>
      <c r="K735" s="142">
        <v>72.0</v>
      </c>
      <c r="L735" s="145" t="str">
        <f>IFERROR(__xludf.DUMMYFUNCTION("vlookup($D735,IMPORTRANGE(""https://docs.google.com/spreadsheets/d/1swGwZOEqYlTEUCJLY-eeJM1911Kvaei5oySBIxdgtNo/edit?pli=1#gid=257618397"",""stock FAKTUR!B:q""),16,false)"),"PCS")</f>
        <v>PCS</v>
      </c>
      <c r="M735" s="147">
        <v>27000.0</v>
      </c>
      <c r="N735" s="152">
        <v>0.14</v>
      </c>
      <c r="O735" s="147">
        <f t="shared" si="173"/>
        <v>1671840</v>
      </c>
      <c r="P735" s="147" t="str">
        <f t="shared" si="3"/>
        <v>Rp27,000-72 PCS-14.00%</v>
      </c>
      <c r="Q735" s="149">
        <v>45423.0</v>
      </c>
      <c r="R735" s="150"/>
      <c r="S735" s="149">
        <v>45425.0</v>
      </c>
      <c r="T735" s="151"/>
      <c r="U735" s="151"/>
      <c r="V735" s="151"/>
      <c r="W735" s="151"/>
    </row>
    <row r="736">
      <c r="A736" s="142">
        <v>4738.0</v>
      </c>
      <c r="B736" s="143" t="str">
        <f t="shared" si="216"/>
        <v>H</v>
      </c>
      <c r="C736" s="143" t="str">
        <f t="shared" si="217"/>
        <v>BENDAN-PEKALONGAN</v>
      </c>
      <c r="D736" s="188" t="s">
        <v>4478</v>
      </c>
      <c r="E736" s="145" t="str">
        <f>IFERROR(__xludf.DUMMYFUNCTION("vlookup(D736,IMPORTRANGE(""https://docs.google.com/spreadsheets/d/1swGwZOEqYlTEUCJLY-eeJM1911Kvaei5oySBIxdgtNo/edit?pli=1#gid=257618397"",""stock FAKTUR!B:C""),2,false)"),"OIL PASTEL TITI 36W TI-P-36 S")</f>
        <v>OIL PASTEL TITI 36W TI-P-36 S</v>
      </c>
      <c r="F736" s="53" t="str">
        <f>IFERROR(__xludf.DUMMYFUNCTION("vlookup($D736,IMPORTRANGE(""https://docs.google.com/spreadsheets/d/1swGwZOEqYlTEUCJLY-eeJM1911Kvaei5oySBIxdgtNo/edit?pli=1#gid=257618397"",""stock FAKTUR!B:d""),3,false)"),"")</f>
        <v/>
      </c>
      <c r="G736" s="53" t="str">
        <f>IFERROR(__xludf.DUMMYFUNCTION("vlookup($D736,IMPORTRANGE(""https://docs.google.com/spreadsheets/d/1swGwZOEqYlTEUCJLY-eeJM1911Kvaei5oySBIxdgtNo/edit?pli=1#gid=257618397"",""stock FAKTUR!B:e""),4,false)"),"36W")</f>
        <v>36W</v>
      </c>
      <c r="H736" s="53" t="str">
        <f>IFERROR(__xludf.DUMMYFUNCTION("vlookup($D736,IMPORTRANGE(""https://docs.google.com/spreadsheets/d/1swGwZOEqYlTEUCJLY-eeJM1911Kvaei5oySBIxdgtNo/edit?pli=1#gid=257618397"",""stock FAKTUR!B:F""),5,false)"),"TT")</f>
        <v>TT</v>
      </c>
      <c r="I736" s="53" t="str">
        <f>IFERROR(__xludf.DUMMYFUNCTION("vlookup($D736,IMPORTRANGE(""https://docs.google.com/spreadsheets/d/1swGwZOEqYlTEUCJLY-eeJM1911Kvaei5oySBIxdgtNo/edit?pli=1#gid=257618397"",""stock FAKTUR!B:G""),6,false)"),"")</f>
        <v/>
      </c>
      <c r="J736" s="120" t="str">
        <f t="shared" si="25"/>
        <v>ADA</v>
      </c>
      <c r="K736" s="142">
        <v>36.0</v>
      </c>
      <c r="L736" s="145" t="str">
        <f>IFERROR(__xludf.DUMMYFUNCTION("vlookup($D736,IMPORTRANGE(""https://docs.google.com/spreadsheets/d/1swGwZOEqYlTEUCJLY-eeJM1911Kvaei5oySBIxdgtNo/edit?pli=1#gid=257618397"",""stock FAKTUR!B:q""),16,false)"),"PCS")</f>
        <v>PCS</v>
      </c>
      <c r="M736" s="147">
        <v>47500.0</v>
      </c>
      <c r="N736" s="152">
        <v>0.14</v>
      </c>
      <c r="O736" s="147">
        <f t="shared" si="173"/>
        <v>1470600</v>
      </c>
      <c r="P736" s="147" t="str">
        <f t="shared" si="3"/>
        <v>Rp47,500-36 PCS-14.00%</v>
      </c>
      <c r="Q736" s="149">
        <v>45423.0</v>
      </c>
      <c r="R736" s="150"/>
      <c r="S736" s="149">
        <v>45425.0</v>
      </c>
      <c r="T736" s="151"/>
      <c r="U736" s="151"/>
      <c r="V736" s="151"/>
      <c r="W736" s="151"/>
    </row>
    <row r="737">
      <c r="A737" s="142">
        <v>4738.0</v>
      </c>
      <c r="B737" s="143" t="str">
        <f t="shared" si="216"/>
        <v>H</v>
      </c>
      <c r="C737" s="143" t="str">
        <f t="shared" si="217"/>
        <v>BENDAN-PEKALONGAN</v>
      </c>
      <c r="D737" s="145" t="s">
        <v>4680</v>
      </c>
      <c r="E737" s="145" t="str">
        <f>IFERROR(__xludf.DUMMYFUNCTION("vlookup(D737,IMPORTRANGE(""https://docs.google.com/spreadsheets/d/1swGwZOEqYlTEUCJLY-eeJM1911Kvaei5oySBIxdgtNo/edit?pli=1#gid=257618397"",""stock FAKTUR!B:C""),2,false)"),"OIL PASTEL TITI 48W TI-P-48S")</f>
        <v>OIL PASTEL TITI 48W TI-P-48S</v>
      </c>
      <c r="F737" s="53" t="str">
        <f>IFERROR(__xludf.DUMMYFUNCTION("vlookup($D737,IMPORTRANGE(""https://docs.google.com/spreadsheets/d/1swGwZOEqYlTEUCJLY-eeJM1911Kvaei5oySBIxdgtNo/edit?pli=1#gid=257618397"",""stock FAKTUR!B:d""),3,false)"),"")</f>
        <v/>
      </c>
      <c r="G737" s="53" t="str">
        <f>IFERROR(__xludf.DUMMYFUNCTION("vlookup($D737,IMPORTRANGE(""https://docs.google.com/spreadsheets/d/1swGwZOEqYlTEUCJLY-eeJM1911Kvaei5oySBIxdgtNo/edit?pli=1#gid=257618397"",""stock FAKTUR!B:e""),4,false)"),"48W")</f>
        <v>48W</v>
      </c>
      <c r="H737" s="53" t="str">
        <f>IFERROR(__xludf.DUMMYFUNCTION("vlookup($D737,IMPORTRANGE(""https://docs.google.com/spreadsheets/d/1swGwZOEqYlTEUCJLY-eeJM1911Kvaei5oySBIxdgtNo/edit?pli=1#gid=257618397"",""stock FAKTUR!B:F""),5,false)"),"TT")</f>
        <v>TT</v>
      </c>
      <c r="I737" s="53" t="str">
        <f>IFERROR(__xludf.DUMMYFUNCTION("vlookup($D737,IMPORTRANGE(""https://docs.google.com/spreadsheets/d/1swGwZOEqYlTEUCJLY-eeJM1911Kvaei5oySBIxdgtNo/edit?pli=1#gid=257618397"",""stock FAKTUR!B:G""),6,false)"),"OPS-011")</f>
        <v>OPS-011</v>
      </c>
      <c r="J737" s="120" t="str">
        <f t="shared" si="25"/>
        <v>ADA</v>
      </c>
      <c r="K737" s="184">
        <v>4.0</v>
      </c>
      <c r="L737" s="145" t="str">
        <f>IFERROR(__xludf.DUMMYFUNCTION("vlookup($D737,IMPORTRANGE(""https://docs.google.com/spreadsheets/d/1swGwZOEqYlTEUCJLY-eeJM1911Kvaei5oySBIxdgtNo/edit?pli=1#gid=257618397"",""stock FAKTUR!B:q""),16,false)"),"BOX")</f>
        <v>BOX</v>
      </c>
      <c r="M737" s="147">
        <f>6*69000</f>
        <v>414000</v>
      </c>
      <c r="N737" s="152">
        <v>0.14</v>
      </c>
      <c r="O737" s="147">
        <f t="shared" si="173"/>
        <v>1424160</v>
      </c>
      <c r="P737" s="147" t="str">
        <f t="shared" si="3"/>
        <v>Rp414,000-4 BOX-14.00%</v>
      </c>
      <c r="Q737" s="149">
        <v>45423.0</v>
      </c>
      <c r="R737" s="150"/>
      <c r="S737" s="149">
        <v>45425.0</v>
      </c>
      <c r="T737" s="151"/>
      <c r="U737" s="151"/>
      <c r="V737" s="151"/>
      <c r="W737" s="151"/>
    </row>
    <row r="738">
      <c r="A738" s="142">
        <v>4738.0</v>
      </c>
      <c r="B738" s="143" t="str">
        <f t="shared" si="216"/>
        <v>H</v>
      </c>
      <c r="C738" s="143" t="str">
        <f t="shared" si="217"/>
        <v>BENDAN-PEKALONGAN</v>
      </c>
      <c r="D738" s="145" t="s">
        <v>4580</v>
      </c>
      <c r="E738" s="145" t="str">
        <f>IFERROR(__xludf.DUMMYFUNCTION("vlookup(D738,IMPORTRANGE(""https://docs.google.com/spreadsheets/d/1swGwZOEqYlTEUCJLY-eeJM1911Kvaei5oySBIxdgtNo/edit?pli=1#gid=257618397"",""stock FAKTUR!B:C""),2,false)"),"OIL PASTEL TITI 55W TI-P-55 S")</f>
        <v>OIL PASTEL TITI 55W TI-P-55 S</v>
      </c>
      <c r="F738" s="53" t="str">
        <f>IFERROR(__xludf.DUMMYFUNCTION("vlookup($D738,IMPORTRANGE(""https://docs.google.com/spreadsheets/d/1swGwZOEqYlTEUCJLY-eeJM1911Kvaei5oySBIxdgtNo/edit?pli=1#gid=257618397"",""stock FAKTUR!B:d""),3,false)"),"")</f>
        <v/>
      </c>
      <c r="G738" s="53" t="str">
        <f>IFERROR(__xludf.DUMMYFUNCTION("vlookup($D738,IMPORTRANGE(""https://docs.google.com/spreadsheets/d/1swGwZOEqYlTEUCJLY-eeJM1911Kvaei5oySBIxdgtNo/edit?pli=1#gid=257618397"",""stock FAKTUR!B:e""),4,false)"),"55W")</f>
        <v>55W</v>
      </c>
      <c r="H738" s="53" t="str">
        <f>IFERROR(__xludf.DUMMYFUNCTION("vlookup($D738,IMPORTRANGE(""https://docs.google.com/spreadsheets/d/1swGwZOEqYlTEUCJLY-eeJM1911Kvaei5oySBIxdgtNo/edit?pli=1#gid=257618397"",""stock FAKTUR!B:F""),5,false)"),"TT")</f>
        <v>TT</v>
      </c>
      <c r="I738" s="53" t="str">
        <f>IFERROR(__xludf.DUMMYFUNCTION("vlookup($D738,IMPORTRANGE(""https://docs.google.com/spreadsheets/d/1swGwZOEqYlTEUCJLY-eeJM1911Kvaei5oySBIxdgtNo/edit?pli=1#gid=257618397"",""stock FAKTUR!B:G""),6,false)"),"")</f>
        <v/>
      </c>
      <c r="J738" s="120" t="str">
        <f t="shared" si="25"/>
        <v>ADA</v>
      </c>
      <c r="K738" s="184">
        <v>4.0</v>
      </c>
      <c r="L738" s="145" t="str">
        <f>IFERROR(__xludf.DUMMYFUNCTION("vlookup($D738,IMPORTRANGE(""https://docs.google.com/spreadsheets/d/1swGwZOEqYlTEUCJLY-eeJM1911Kvaei5oySBIxdgtNo/edit?pli=1#gid=257618397"",""stock FAKTUR!B:q""),16,false)"),"BOX")</f>
        <v>BOX</v>
      </c>
      <c r="M738" s="147">
        <f>6*76000</f>
        <v>456000</v>
      </c>
      <c r="N738" s="152">
        <v>0.14</v>
      </c>
      <c r="O738" s="147">
        <f t="shared" si="173"/>
        <v>1568640</v>
      </c>
      <c r="P738" s="147" t="str">
        <f t="shared" si="3"/>
        <v>Rp456,000-4 BOX-14.00%</v>
      </c>
      <c r="Q738" s="149">
        <v>45423.0</v>
      </c>
      <c r="R738" s="150"/>
      <c r="S738" s="149">
        <v>45425.0</v>
      </c>
      <c r="T738" s="194" t="s">
        <v>4581</v>
      </c>
      <c r="U738" s="192" t="s">
        <v>4752</v>
      </c>
      <c r="V738" s="151"/>
      <c r="W738" s="159"/>
    </row>
    <row r="739">
      <c r="A739" s="142">
        <v>4749.0</v>
      </c>
      <c r="B739" s="143" t="s">
        <v>33</v>
      </c>
      <c r="C739" s="143" t="s">
        <v>4464</v>
      </c>
      <c r="D739" s="145" t="s">
        <v>4753</v>
      </c>
      <c r="E739" s="145" t="str">
        <f>IFERROR(__xludf.DUMMYFUNCTION("vlookup(D739,IMPORTRANGE(""https://docs.google.com/spreadsheets/d/1swGwZOEqYlTEUCJLY-eeJM1911Kvaei5oySBIxdgtNo/edit?pli=1#gid=257618397"",""stock FAKTUR!B:C""),2,false)"),"STAMP PAD KENKO NO. 1")</f>
        <v>STAMP PAD KENKO NO. 1</v>
      </c>
      <c r="F739" s="53" t="str">
        <f>IFERROR(__xludf.DUMMYFUNCTION("vlookup($D739,IMPORTRANGE(""https://docs.google.com/spreadsheets/d/1swGwZOEqYlTEUCJLY-eeJM1911Kvaei5oySBIxdgtNo/edit?pli=1#gid=257618397"",""stock FAKTUR!B:d""),3,false)"),"")</f>
        <v/>
      </c>
      <c r="G739" s="53" t="str">
        <f>IFERROR(__xludf.DUMMYFUNCTION("vlookup($D739,IMPORTRANGE(""https://docs.google.com/spreadsheets/d/1swGwZOEqYlTEUCJLY-eeJM1911Kvaei5oySBIxdgtNo/edit?pli=1#gid=257618397"",""stock FAKTUR!B:e""),4,false)"),"")</f>
        <v/>
      </c>
      <c r="H739" s="53" t="str">
        <f>IFERROR(__xludf.DUMMYFUNCTION("vlookup($D739,IMPORTRANGE(""https://docs.google.com/spreadsheets/d/1swGwZOEqYlTEUCJLY-eeJM1911Kvaei5oySBIxdgtNo/edit?pli=1#gid=257618397"",""stock FAKTUR!B:F""),5,false)"),"KN")</f>
        <v>KN</v>
      </c>
      <c r="I739" s="53" t="str">
        <f>IFERROR(__xludf.DUMMYFUNCTION("vlookup($D739,IMPORTRANGE(""https://docs.google.com/spreadsheets/d/1swGwZOEqYlTEUCJLY-eeJM1911Kvaei5oySBIxdgtNo/edit?pli=1#gid=257618397"",""stock FAKTUR!B:G""),6,false)"),"STD-002")</f>
        <v>STD-002</v>
      </c>
      <c r="J739" s="120" t="str">
        <f t="shared" si="25"/>
        <v>ADA</v>
      </c>
      <c r="K739" s="142">
        <v>18.0</v>
      </c>
      <c r="L739" s="145" t="str">
        <f>IFERROR(__xludf.DUMMYFUNCTION("vlookup($D739,IMPORTRANGE(""https://docs.google.com/spreadsheets/d/1swGwZOEqYlTEUCJLY-eeJM1911Kvaei5oySBIxdgtNo/edit?pli=1#gid=257618397"",""stock FAKTUR!B:q""),16,false)"),"LSN")</f>
        <v>LSN</v>
      </c>
      <c r="M739" s="147">
        <v>70800.0</v>
      </c>
      <c r="N739" s="152">
        <v>0.125</v>
      </c>
      <c r="O739" s="147">
        <f t="shared" si="173"/>
        <v>1115100</v>
      </c>
      <c r="P739" s="147" t="str">
        <f t="shared" si="3"/>
        <v>Rp70,800-18 LSN-12.50%</v>
      </c>
      <c r="Q739" s="149">
        <v>45423.0</v>
      </c>
      <c r="R739" s="150"/>
      <c r="S739" s="149">
        <v>45425.0</v>
      </c>
      <c r="T739" s="151"/>
      <c r="U739" s="151"/>
      <c r="V739" s="151"/>
      <c r="W739" s="151"/>
    </row>
    <row r="740">
      <c r="A740" s="142">
        <v>4747.0</v>
      </c>
      <c r="B740" s="143" t="s">
        <v>33</v>
      </c>
      <c r="C740" s="143" t="s">
        <v>2635</v>
      </c>
      <c r="D740" s="145" t="s">
        <v>4398</v>
      </c>
      <c r="E740" s="145" t="str">
        <f>IFERROR(__xludf.DUMMYFUNCTION("vlookup(D740,IMPORTRANGE(""https://docs.google.com/spreadsheets/d/1swGwZOEqYlTEUCJLY-eeJM1911Kvaei5oySBIxdgtNo/edit?pli=1#gid=257618397"",""stock FAKTUR!B:C""),2,false)"),"ISI CUTTER KENKO L-150 BESAR")</f>
        <v>ISI CUTTER KENKO L-150 BESAR</v>
      </c>
      <c r="F740" s="53" t="str">
        <f>IFERROR(__xludf.DUMMYFUNCTION("vlookup($D740,IMPORTRANGE(""https://docs.google.com/spreadsheets/d/1swGwZOEqYlTEUCJLY-eeJM1911Kvaei5oySBIxdgtNo/edit?pli=1#gid=257618397"",""stock FAKTUR!B:d""),3,false)"),"18 MM")</f>
        <v>18 MM</v>
      </c>
      <c r="G740" s="53" t="str">
        <f>IFERROR(__xludf.DUMMYFUNCTION("vlookup($D740,IMPORTRANGE(""https://docs.google.com/spreadsheets/d/1swGwZOEqYlTEUCJLY-eeJM1911Kvaei5oySBIxdgtNo/edit?pli=1#gid=257618397"",""stock FAKTUR!B:e""),4,false)"),"")</f>
        <v/>
      </c>
      <c r="H740" s="53" t="str">
        <f>IFERROR(__xludf.DUMMYFUNCTION("vlookup($D740,IMPORTRANGE(""https://docs.google.com/spreadsheets/d/1swGwZOEqYlTEUCJLY-eeJM1911Kvaei5oySBIxdgtNo/edit?pli=1#gid=257618397"",""stock FAKTUR!B:F""),5,false)"),"KN")</f>
        <v>KN</v>
      </c>
      <c r="I740" s="53" t="str">
        <f>IFERROR(__xludf.DUMMYFUNCTION("vlookup($D740,IMPORTRANGE(""https://docs.google.com/spreadsheets/d/1swGwZOEqYlTEUCJLY-eeJM1911Kvaei5oySBIxdgtNo/edit?pli=1#gid=257618397"",""stock FAKTUR!B:G""),6,false)"),"CTB-002")</f>
        <v>CTB-002</v>
      </c>
      <c r="J740" s="120" t="str">
        <f t="shared" si="25"/>
        <v>ADA</v>
      </c>
      <c r="K740" s="142">
        <v>120.0</v>
      </c>
      <c r="L740" s="145" t="str">
        <f>IFERROR(__xludf.DUMMYFUNCTION("vlookup($D740,IMPORTRANGE(""https://docs.google.com/spreadsheets/d/1swGwZOEqYlTEUCJLY-eeJM1911Kvaei5oySBIxdgtNo/edit?pli=1#gid=257618397"",""stock FAKTUR!B:q""),16,false)"),"LSN")</f>
        <v>LSN</v>
      </c>
      <c r="M740" s="147">
        <v>64800.0</v>
      </c>
      <c r="N740" s="152">
        <v>0.13</v>
      </c>
      <c r="O740" s="147">
        <f t="shared" si="173"/>
        <v>6765120</v>
      </c>
      <c r="P740" s="147" t="str">
        <f t="shared" si="3"/>
        <v>Rp64,800-120 LSN-13.00%</v>
      </c>
      <c r="Q740" s="149">
        <v>45423.0</v>
      </c>
      <c r="R740" s="150"/>
      <c r="S740" s="149">
        <v>45425.0</v>
      </c>
      <c r="T740" s="151"/>
      <c r="U740" s="151"/>
      <c r="V740" s="151"/>
      <c r="W740" s="151"/>
    </row>
    <row r="741">
      <c r="A741" s="142">
        <v>4733.0</v>
      </c>
      <c r="B741" s="143" t="s">
        <v>65</v>
      </c>
      <c r="C741" s="143" t="s">
        <v>2601</v>
      </c>
      <c r="D741" s="159" t="s">
        <v>4703</v>
      </c>
      <c r="E741" s="145" t="str">
        <f>IFERROR(__xludf.DUMMYFUNCTION("vlookup(D741,IMPORTRANGE(""https://docs.google.com/spreadsheets/d/1swGwZOEqYlTEUCJLY-eeJM1911Kvaei5oySBIxdgtNo/edit?pli=1#gid=257618397"",""stock FAKTUR!B:C""),2,false)"),"ASAHAN KENKO SP-71 S KECIL")</f>
        <v>ASAHAN KENKO SP-71 S KECIL</v>
      </c>
      <c r="F741" s="53" t="str">
        <f>IFERROR(__xludf.DUMMYFUNCTION("vlookup($D741,IMPORTRANGE(""https://docs.google.com/spreadsheets/d/1swGwZOEqYlTEUCJLY-eeJM1911Kvaei5oySBIxdgtNo/edit?pli=1#gid=257618397"",""stock FAKTUR!B:d""),3,false)"),"K")</f>
        <v>K</v>
      </c>
      <c r="G741" s="53" t="str">
        <f>IFERROR(__xludf.DUMMYFUNCTION("vlookup($D741,IMPORTRANGE(""https://docs.google.com/spreadsheets/d/1swGwZOEqYlTEUCJLY-eeJM1911Kvaei5oySBIxdgtNo/edit?pli=1#gid=257618397"",""stock FAKTUR!B:e""),4,false)"),"")</f>
        <v/>
      </c>
      <c r="H741" s="53" t="str">
        <f>IFERROR(__xludf.DUMMYFUNCTION("vlookup($D741,IMPORTRANGE(""https://docs.google.com/spreadsheets/d/1swGwZOEqYlTEUCJLY-eeJM1911Kvaei5oySBIxdgtNo/edit?pli=1#gid=257618397"",""stock FAKTUR!B:F""),5,false)"),"KN")</f>
        <v>KN</v>
      </c>
      <c r="I741" s="53" t="str">
        <f>IFERROR(__xludf.DUMMYFUNCTION("vlookup($D741,IMPORTRANGE(""https://docs.google.com/spreadsheets/d/1swGwZOEqYlTEUCJLY-eeJM1911Kvaei5oySBIxdgtNo/edit?pli=1#gid=257618397"",""stock FAKTUR!B:G""),6,false)"),"")</f>
        <v/>
      </c>
      <c r="J741" s="120" t="str">
        <f t="shared" si="25"/>
        <v>ADA</v>
      </c>
      <c r="K741" s="142">
        <f>10/12</f>
        <v>0.8333333333</v>
      </c>
      <c r="L741" s="145" t="str">
        <f>IFERROR(__xludf.DUMMYFUNCTION("vlookup($D741,IMPORTRANGE(""https://docs.google.com/spreadsheets/d/1swGwZOEqYlTEUCJLY-eeJM1911Kvaei5oySBIxdgtNo/edit?pli=1#gid=257618397"",""stock FAKTUR!B:q""),16,false)"),"BOX")</f>
        <v>BOX</v>
      </c>
      <c r="M741" s="147">
        <f>12*15900</f>
        <v>190800</v>
      </c>
      <c r="N741" s="152">
        <v>0.125</v>
      </c>
      <c r="O741" s="147">
        <f t="shared" si="173"/>
        <v>139125</v>
      </c>
      <c r="P741" s="147" t="str">
        <f t="shared" si="3"/>
        <v>Rp190,800-0.833333333333333 BOX-12.50%</v>
      </c>
      <c r="Q741" s="149">
        <v>45420.0</v>
      </c>
      <c r="R741" s="150"/>
      <c r="S741" s="149">
        <v>45425.0</v>
      </c>
      <c r="T741" s="194" t="s">
        <v>4745</v>
      </c>
      <c r="U741" s="192" t="s">
        <v>4754</v>
      </c>
      <c r="V741" s="151"/>
      <c r="W741" s="159"/>
    </row>
    <row r="742">
      <c r="A742" s="142">
        <v>4733.0</v>
      </c>
      <c r="B742" s="143" t="str">
        <f>IF(A742=A741,B741,"")</f>
        <v>A</v>
      </c>
      <c r="C742" s="143" t="str">
        <f>IF(A742=A741,C741,"")</f>
        <v>GARUDA-PURBALINGGA</v>
      </c>
      <c r="D742" s="145" t="s">
        <v>4755</v>
      </c>
      <c r="E742" s="145" t="str">
        <f>IFERROR(__xludf.DUMMYFUNCTION("vlookup(D742,IMPORTRANGE(""https://docs.google.com/spreadsheets/d/1swGwZOEqYlTEUCJLY-eeJM1911Kvaei5oySBIxdgtNo/edit?pli=1#gid=257618397"",""stock FAKTUR!B:C""),2,false)"),"LOOSE LEAF A5/ 40 POLOS ")</f>
        <v>LOOSE LEAF A5/ 40 POLOS </v>
      </c>
      <c r="F742" s="53" t="str">
        <f>IFERROR(__xludf.DUMMYFUNCTION("vlookup($D742,IMPORTRANGE(""https://docs.google.com/spreadsheets/d/1swGwZOEqYlTEUCJLY-eeJM1911Kvaei5oySBIxdgtNo/edit?pli=1#gid=257618397"",""stock FAKTUR!B:d""),3,false)"),"A5")</f>
        <v>A5</v>
      </c>
      <c r="G742" s="53" t="str">
        <f>IFERROR(__xludf.DUMMYFUNCTION("vlookup($D742,IMPORTRANGE(""https://docs.google.com/spreadsheets/d/1swGwZOEqYlTEUCJLY-eeJM1911Kvaei5oySBIxdgtNo/edit?pli=1#gid=257618397"",""stock FAKTUR!B:e""),4,false)"),"")</f>
        <v/>
      </c>
      <c r="H742" s="53" t="str">
        <f>IFERROR(__xludf.DUMMYFUNCTION("vlookup($D742,IMPORTRANGE(""https://docs.google.com/spreadsheets/d/1swGwZOEqYlTEUCJLY-eeJM1911Kvaei5oySBIxdgtNo/edit?pli=1#gid=257618397"",""stock FAKTUR!B:F""),5,false)"),"NB")</f>
        <v>NB</v>
      </c>
      <c r="I742" s="53" t="str">
        <f>IFERROR(__xludf.DUMMYFUNCTION("vlookup($D742,IMPORTRANGE(""https://docs.google.com/spreadsheets/d/1swGwZOEqYlTEUCJLY-eeJM1911Kvaei5oySBIxdgtNo/edit?pli=1#gid=257618397"",""stock FAKTUR!B:G""),6,false)"),"")</f>
        <v/>
      </c>
      <c r="J742" s="120" t="str">
        <f t="shared" si="25"/>
        <v>ADA</v>
      </c>
      <c r="K742" s="142">
        <v>10.0</v>
      </c>
      <c r="L742" s="145" t="str">
        <f>IFERROR(__xludf.DUMMYFUNCTION("vlookup($D742,IMPORTRANGE(""https://docs.google.com/spreadsheets/d/1swGwZOEqYlTEUCJLY-eeJM1911Kvaei5oySBIxdgtNo/edit?pli=1#gid=257618397"",""stock FAKTUR!B:q""),16,false)"),"PAK")</f>
        <v>PAK</v>
      </c>
      <c r="M742" s="147">
        <v>3500.0</v>
      </c>
      <c r="N742" s="148"/>
      <c r="O742" s="147">
        <f t="shared" si="173"/>
        <v>35000</v>
      </c>
      <c r="P742" s="147" t="str">
        <f t="shared" si="3"/>
        <v>Rp3,500-10 PAK-0.00%</v>
      </c>
      <c r="Q742" s="149">
        <v>45420.0</v>
      </c>
      <c r="R742" s="150"/>
      <c r="S742" s="149">
        <v>45425.0</v>
      </c>
      <c r="T742" s="151"/>
      <c r="U742" s="151"/>
      <c r="V742" s="151"/>
      <c r="W742" s="151"/>
    </row>
    <row r="743">
      <c r="A743" s="142">
        <v>4803.0</v>
      </c>
      <c r="B743" s="143" t="s">
        <v>58</v>
      </c>
      <c r="C743" s="143" t="s">
        <v>3133</v>
      </c>
      <c r="D743" s="145" t="s">
        <v>24</v>
      </c>
      <c r="E743" s="145" t="str">
        <f>IFERROR(__xludf.DUMMYFUNCTION("vlookup(D743,IMPORTRANGE(""https://docs.google.com/spreadsheets/d/1swGwZOEqYlTEUCJLY-eeJM1911Kvaei5oySBIxdgtNo/edit?pli=1#gid=257618397"",""stock FAKTUR!B:C""),2,false)"),"KARTU STOCK KWARTO PINK")</f>
        <v>KARTU STOCK KWARTO PINK</v>
      </c>
      <c r="F743" s="53" t="str">
        <f>IFERROR(__xludf.DUMMYFUNCTION("vlookup($D743,IMPORTRANGE(""https://docs.google.com/spreadsheets/d/1swGwZOEqYlTEUCJLY-eeJM1911Kvaei5oySBIxdgtNo/edit?pli=1#gid=257618397"",""stock FAKTUR!B:d""),3,false)"),"A4")</f>
        <v>A4</v>
      </c>
      <c r="G743" s="53" t="str">
        <f>IFERROR(__xludf.DUMMYFUNCTION("vlookup($D743,IMPORTRANGE(""https://docs.google.com/spreadsheets/d/1swGwZOEqYlTEUCJLY-eeJM1911Kvaei5oySBIxdgtNo/edit?pli=1#gid=257618397"",""stock FAKTUR!B:e""),4,false)"),"PINK")</f>
        <v>PINK</v>
      </c>
      <c r="H743" s="53" t="str">
        <f>IFERROR(__xludf.DUMMYFUNCTION("vlookup($D743,IMPORTRANGE(""https://docs.google.com/spreadsheets/d/1swGwZOEqYlTEUCJLY-eeJM1911Kvaei5oySBIxdgtNo/edit?pli=1#gid=257618397"",""stock FAKTUR!B:F""),5,false)"),"NB")</f>
        <v>NB</v>
      </c>
      <c r="I743" s="53" t="str">
        <f>IFERROR(__xludf.DUMMYFUNCTION("vlookup($D743,IMPORTRANGE(""https://docs.google.com/spreadsheets/d/1swGwZOEqYlTEUCJLY-eeJM1911Kvaei5oySBIxdgtNo/edit?pli=1#gid=257618397"",""stock FAKTUR!B:G""),6,false)"),"")</f>
        <v/>
      </c>
      <c r="J743" s="120" t="str">
        <f t="shared" si="25"/>
        <v>ADA</v>
      </c>
      <c r="K743" s="142">
        <v>1.0</v>
      </c>
      <c r="L743" s="145" t="str">
        <f>IFERROR(__xludf.DUMMYFUNCTION("vlookup($D743,IMPORTRANGE(""https://docs.google.com/spreadsheets/d/1swGwZOEqYlTEUCJLY-eeJM1911Kvaei5oySBIxdgtNo/edit?pli=1#gid=257618397"",""stock FAKTUR!B:q""),16,false)"),"PAK")</f>
        <v>PAK</v>
      </c>
      <c r="M743" s="147">
        <v>20000.0</v>
      </c>
      <c r="N743" s="148"/>
      <c r="O743" s="147">
        <f t="shared" si="173"/>
        <v>20000</v>
      </c>
      <c r="P743" s="147" t="str">
        <f t="shared" si="3"/>
        <v>Rp20,000-1 PAK-0.00%</v>
      </c>
      <c r="Q743" s="149">
        <v>45420.0</v>
      </c>
      <c r="R743" s="150"/>
      <c r="S743" s="149">
        <v>45425.0</v>
      </c>
      <c r="T743" s="151"/>
      <c r="U743" s="151"/>
      <c r="V743" s="151"/>
      <c r="W743" s="151"/>
    </row>
    <row r="744">
      <c r="A744" s="142">
        <v>4803.0</v>
      </c>
      <c r="B744" s="143" t="str">
        <f t="shared" ref="B744:B751" si="218">IF(A744=A743,B743,"")</f>
        <v>G</v>
      </c>
      <c r="C744" s="143" t="str">
        <f t="shared" ref="C744:C751" si="219">IF(A744=A743,C743,"")</f>
        <v>TAMBAH ILMU-KUDUS</v>
      </c>
      <c r="D744" s="145" t="s">
        <v>4407</v>
      </c>
      <c r="E744" s="145" t="str">
        <f>IFERROR(__xludf.DUMMYFUNCTION("vlookup(D744,IMPORTRANGE(""https://docs.google.com/spreadsheets/d/1swGwZOEqYlTEUCJLY-eeJM1911Kvaei5oySBIxdgtNo/edit?pli=1#gid=257618397"",""stock FAKTUR!B:C""),2,false)"),"KARTU STOCK KWARTO HIJAU")</f>
        <v>KARTU STOCK KWARTO HIJAU</v>
      </c>
      <c r="F744" s="53" t="str">
        <f>IFERROR(__xludf.DUMMYFUNCTION("vlookup($D744,IMPORTRANGE(""https://docs.google.com/spreadsheets/d/1swGwZOEqYlTEUCJLY-eeJM1911Kvaei5oySBIxdgtNo/edit?pli=1#gid=257618397"",""stock FAKTUR!B:d""),3,false)"),"A4")</f>
        <v>A4</v>
      </c>
      <c r="G744" s="53" t="str">
        <f>IFERROR(__xludf.DUMMYFUNCTION("vlookup($D744,IMPORTRANGE(""https://docs.google.com/spreadsheets/d/1swGwZOEqYlTEUCJLY-eeJM1911Kvaei5oySBIxdgtNo/edit?pli=1#gid=257618397"",""stock FAKTUR!B:e""),4,false)"),"HIJAU")</f>
        <v>HIJAU</v>
      </c>
      <c r="H744" s="53" t="str">
        <f>IFERROR(__xludf.DUMMYFUNCTION("vlookup($D744,IMPORTRANGE(""https://docs.google.com/spreadsheets/d/1swGwZOEqYlTEUCJLY-eeJM1911Kvaei5oySBIxdgtNo/edit?pli=1#gid=257618397"",""stock FAKTUR!B:F""),5,false)"),"NB")</f>
        <v>NB</v>
      </c>
      <c r="I744" s="53" t="str">
        <f>IFERROR(__xludf.DUMMYFUNCTION("vlookup($D744,IMPORTRANGE(""https://docs.google.com/spreadsheets/d/1swGwZOEqYlTEUCJLY-eeJM1911Kvaei5oySBIxdgtNo/edit?pli=1#gid=257618397"",""stock FAKTUR!B:G""),6,false)"),"")</f>
        <v/>
      </c>
      <c r="J744" s="120" t="str">
        <f t="shared" si="25"/>
        <v>ADA</v>
      </c>
      <c r="K744" s="142">
        <v>1.0</v>
      </c>
      <c r="L744" s="145" t="str">
        <f>IFERROR(__xludf.DUMMYFUNCTION("vlookup($D744,IMPORTRANGE(""https://docs.google.com/spreadsheets/d/1swGwZOEqYlTEUCJLY-eeJM1911Kvaei5oySBIxdgtNo/edit?pli=1#gid=257618397"",""stock FAKTUR!B:q""),16,false)"),"PAK")</f>
        <v>PAK</v>
      </c>
      <c r="M744" s="147">
        <v>20000.0</v>
      </c>
      <c r="N744" s="148"/>
      <c r="O744" s="147">
        <f t="shared" si="173"/>
        <v>20000</v>
      </c>
      <c r="P744" s="147" t="str">
        <f t="shared" si="3"/>
        <v>Rp20,000-1 PAK-0.00%</v>
      </c>
      <c r="Q744" s="149">
        <v>45420.0</v>
      </c>
      <c r="R744" s="150"/>
      <c r="S744" s="149">
        <v>45425.0</v>
      </c>
      <c r="T744" s="151"/>
      <c r="U744" s="151"/>
      <c r="V744" s="151"/>
      <c r="W744" s="151"/>
    </row>
    <row r="745">
      <c r="A745" s="142">
        <v>4803.0</v>
      </c>
      <c r="B745" s="143" t="str">
        <f t="shared" si="218"/>
        <v>G</v>
      </c>
      <c r="C745" s="143" t="str">
        <f t="shared" si="219"/>
        <v>TAMBAH ILMU-KUDUS</v>
      </c>
      <c r="D745" s="145" t="s">
        <v>4408</v>
      </c>
      <c r="E745" s="145" t="str">
        <f>IFERROR(__xludf.DUMMYFUNCTION("vlookup(D745,IMPORTRANGE(""https://docs.google.com/spreadsheets/d/1swGwZOEqYlTEUCJLY-eeJM1911Kvaei5oySBIxdgtNo/edit?pli=1#gid=257618397"",""stock FAKTUR!B:C""),2,false)"),"KARTU STOCK KWARTO KUNING")</f>
        <v>KARTU STOCK KWARTO KUNING</v>
      </c>
      <c r="F745" s="53" t="str">
        <f>IFERROR(__xludf.DUMMYFUNCTION("vlookup($D745,IMPORTRANGE(""https://docs.google.com/spreadsheets/d/1swGwZOEqYlTEUCJLY-eeJM1911Kvaei5oySBIxdgtNo/edit?pli=1#gid=257618397"",""stock FAKTUR!B:d""),3,false)"),"A4")</f>
        <v>A4</v>
      </c>
      <c r="G745" s="53" t="str">
        <f>IFERROR(__xludf.DUMMYFUNCTION("vlookup($D745,IMPORTRANGE(""https://docs.google.com/spreadsheets/d/1swGwZOEqYlTEUCJLY-eeJM1911Kvaei5oySBIxdgtNo/edit?pli=1#gid=257618397"",""stock FAKTUR!B:e""),4,false)"),"KUNING")</f>
        <v>KUNING</v>
      </c>
      <c r="H745" s="53" t="str">
        <f>IFERROR(__xludf.DUMMYFUNCTION("vlookup($D745,IMPORTRANGE(""https://docs.google.com/spreadsheets/d/1swGwZOEqYlTEUCJLY-eeJM1911Kvaei5oySBIxdgtNo/edit?pli=1#gid=257618397"",""stock FAKTUR!B:F""),5,false)"),"NB")</f>
        <v>NB</v>
      </c>
      <c r="I745" s="53" t="str">
        <f>IFERROR(__xludf.DUMMYFUNCTION("vlookup($D745,IMPORTRANGE(""https://docs.google.com/spreadsheets/d/1swGwZOEqYlTEUCJLY-eeJM1911Kvaei5oySBIxdgtNo/edit?pli=1#gid=257618397"",""stock FAKTUR!B:G""),6,false)"),"")</f>
        <v/>
      </c>
      <c r="J745" s="120" t="str">
        <f t="shared" si="25"/>
        <v>ADA</v>
      </c>
      <c r="K745" s="142">
        <v>2.0</v>
      </c>
      <c r="L745" s="145" t="str">
        <f>IFERROR(__xludf.DUMMYFUNCTION("vlookup($D745,IMPORTRANGE(""https://docs.google.com/spreadsheets/d/1swGwZOEqYlTEUCJLY-eeJM1911Kvaei5oySBIxdgtNo/edit?pli=1#gid=257618397"",""stock FAKTUR!B:q""),16,false)"),"PAK")</f>
        <v>PAK</v>
      </c>
      <c r="M745" s="147">
        <v>20000.0</v>
      </c>
      <c r="N745" s="148"/>
      <c r="O745" s="147">
        <f t="shared" si="173"/>
        <v>40000</v>
      </c>
      <c r="P745" s="147" t="str">
        <f t="shared" si="3"/>
        <v>Rp20,000-2 PAK-0.00%</v>
      </c>
      <c r="Q745" s="149">
        <v>45420.0</v>
      </c>
      <c r="R745" s="150"/>
      <c r="S745" s="149">
        <v>45425.0</v>
      </c>
      <c r="T745" s="151"/>
      <c r="U745" s="151"/>
      <c r="V745" s="151"/>
      <c r="W745" s="151"/>
    </row>
    <row r="746">
      <c r="A746" s="142">
        <v>4803.0</v>
      </c>
      <c r="B746" s="143" t="str">
        <f t="shared" si="218"/>
        <v>G</v>
      </c>
      <c r="C746" s="143" t="str">
        <f t="shared" si="219"/>
        <v>TAMBAH ILMU-KUDUS</v>
      </c>
      <c r="D746" s="145" t="s">
        <v>4409</v>
      </c>
      <c r="E746" s="145" t="str">
        <f>IFERROR(__xludf.DUMMYFUNCTION("vlookup(D746,IMPORTRANGE(""https://docs.google.com/spreadsheets/d/1swGwZOEqYlTEUCJLY-eeJM1911Kvaei5oySBIxdgtNo/edit?pli=1#gid=257618397"",""stock FAKTUR!B:C""),2,false)"),"KARTU STOCK KWARTO PUTIH")</f>
        <v>KARTU STOCK KWARTO PUTIH</v>
      </c>
      <c r="F746" s="53" t="str">
        <f>IFERROR(__xludf.DUMMYFUNCTION("vlookup($D746,IMPORTRANGE(""https://docs.google.com/spreadsheets/d/1swGwZOEqYlTEUCJLY-eeJM1911Kvaei5oySBIxdgtNo/edit?pli=1#gid=257618397"",""stock FAKTUR!B:d""),3,false)"),"A4")</f>
        <v>A4</v>
      </c>
      <c r="G746" s="53" t="str">
        <f>IFERROR(__xludf.DUMMYFUNCTION("vlookup($D746,IMPORTRANGE(""https://docs.google.com/spreadsheets/d/1swGwZOEqYlTEUCJLY-eeJM1911Kvaei5oySBIxdgtNo/edit?pli=1#gid=257618397"",""stock FAKTUR!B:e""),4,false)"),"PUTIH")</f>
        <v>PUTIH</v>
      </c>
      <c r="H746" s="53" t="str">
        <f>IFERROR(__xludf.DUMMYFUNCTION("vlookup($D746,IMPORTRANGE(""https://docs.google.com/spreadsheets/d/1swGwZOEqYlTEUCJLY-eeJM1911Kvaei5oySBIxdgtNo/edit?pli=1#gid=257618397"",""stock FAKTUR!B:F""),5,false)"),"NB")</f>
        <v>NB</v>
      </c>
      <c r="I746" s="53" t="str">
        <f>IFERROR(__xludf.DUMMYFUNCTION("vlookup($D746,IMPORTRANGE(""https://docs.google.com/spreadsheets/d/1swGwZOEqYlTEUCJLY-eeJM1911Kvaei5oySBIxdgtNo/edit?pli=1#gid=257618397"",""stock FAKTUR!B:G""),6,false)"),"")</f>
        <v/>
      </c>
      <c r="J746" s="120" t="str">
        <f t="shared" si="25"/>
        <v>ADA</v>
      </c>
      <c r="K746" s="142">
        <v>2.0</v>
      </c>
      <c r="L746" s="145" t="str">
        <f>IFERROR(__xludf.DUMMYFUNCTION("vlookup($D746,IMPORTRANGE(""https://docs.google.com/spreadsheets/d/1swGwZOEqYlTEUCJLY-eeJM1911Kvaei5oySBIxdgtNo/edit?pli=1#gid=257618397"",""stock FAKTUR!B:q""),16,false)"),"PAK")</f>
        <v>PAK</v>
      </c>
      <c r="M746" s="147">
        <v>20000.0</v>
      </c>
      <c r="N746" s="148"/>
      <c r="O746" s="147">
        <f t="shared" si="173"/>
        <v>40000</v>
      </c>
      <c r="P746" s="147" t="str">
        <f t="shared" si="3"/>
        <v>Rp20,000-2 PAK-0.00%</v>
      </c>
      <c r="Q746" s="149">
        <v>45420.0</v>
      </c>
      <c r="R746" s="150"/>
      <c r="S746" s="149">
        <v>45425.0</v>
      </c>
      <c r="T746" s="151"/>
      <c r="U746" s="151"/>
      <c r="V746" s="151"/>
      <c r="W746" s="151"/>
    </row>
    <row r="747">
      <c r="A747" s="142">
        <v>4803.0</v>
      </c>
      <c r="B747" s="143" t="str">
        <f t="shared" si="218"/>
        <v>G</v>
      </c>
      <c r="C747" s="143" t="str">
        <f t="shared" si="219"/>
        <v>TAMBAH ILMU-KUDUS</v>
      </c>
      <c r="D747" s="145" t="s">
        <v>4449</v>
      </c>
      <c r="E747" s="145" t="str">
        <f>IFERROR(__xludf.DUMMYFUNCTION("vlookup(D747,IMPORTRANGE(""https://docs.google.com/spreadsheets/d/1swGwZOEqYlTEUCJLY-eeJM1911Kvaei5oySBIxdgtNo/edit?pli=1#gid=257618397"",""stock FAKTUR!B:C""),2,false)"),"KARTU STOCK FOLIO BIRU")</f>
        <v>KARTU STOCK FOLIO BIRU</v>
      </c>
      <c r="F747" s="53" t="str">
        <f>IFERROR(__xludf.DUMMYFUNCTION("vlookup($D747,IMPORTRANGE(""https://docs.google.com/spreadsheets/d/1swGwZOEqYlTEUCJLY-eeJM1911Kvaei5oySBIxdgtNo/edit?pli=1#gid=257618397"",""stock FAKTUR!B:d""),3,false)"),"F4")</f>
        <v>F4</v>
      </c>
      <c r="G747" s="53" t="str">
        <f>IFERROR(__xludf.DUMMYFUNCTION("vlookup($D747,IMPORTRANGE(""https://docs.google.com/spreadsheets/d/1swGwZOEqYlTEUCJLY-eeJM1911Kvaei5oySBIxdgtNo/edit?pli=1#gid=257618397"",""stock FAKTUR!B:e""),4,false)"),"BIRU")</f>
        <v>BIRU</v>
      </c>
      <c r="H747" s="53" t="str">
        <f>IFERROR(__xludf.DUMMYFUNCTION("vlookup($D747,IMPORTRANGE(""https://docs.google.com/spreadsheets/d/1swGwZOEqYlTEUCJLY-eeJM1911Kvaei5oySBIxdgtNo/edit?pli=1#gid=257618397"",""stock FAKTUR!B:F""),5,false)"),"NB")</f>
        <v>NB</v>
      </c>
      <c r="I747" s="53" t="str">
        <f>IFERROR(__xludf.DUMMYFUNCTION("vlookup($D747,IMPORTRANGE(""https://docs.google.com/spreadsheets/d/1swGwZOEqYlTEUCJLY-eeJM1911Kvaei5oySBIxdgtNo/edit?pli=1#gid=257618397"",""stock FAKTUR!B:G""),6,false)"),"")</f>
        <v/>
      </c>
      <c r="J747" s="120" t="str">
        <f t="shared" si="25"/>
        <v>ADA</v>
      </c>
      <c r="K747" s="142">
        <v>1.0</v>
      </c>
      <c r="L747" s="145" t="str">
        <f>IFERROR(__xludf.DUMMYFUNCTION("vlookup($D747,IMPORTRANGE(""https://docs.google.com/spreadsheets/d/1swGwZOEqYlTEUCJLY-eeJM1911Kvaei5oySBIxdgtNo/edit?pli=1#gid=257618397"",""stock FAKTUR!B:q""),16,false)"),"PAK")</f>
        <v>PAK</v>
      </c>
      <c r="M747" s="147">
        <v>40500.0</v>
      </c>
      <c r="N747" s="148"/>
      <c r="O747" s="147">
        <f t="shared" si="173"/>
        <v>40500</v>
      </c>
      <c r="P747" s="147" t="str">
        <f t="shared" si="3"/>
        <v>Rp40,500-1 PAK-0.00%</v>
      </c>
      <c r="Q747" s="149">
        <v>45420.0</v>
      </c>
      <c r="R747" s="150"/>
      <c r="S747" s="149">
        <v>45425.0</v>
      </c>
      <c r="T747" s="151"/>
      <c r="U747" s="151"/>
      <c r="V747" s="151"/>
      <c r="W747" s="151"/>
    </row>
    <row r="748">
      <c r="A748" s="142">
        <v>4803.0</v>
      </c>
      <c r="B748" s="143" t="str">
        <f t="shared" si="218"/>
        <v>G</v>
      </c>
      <c r="C748" s="143" t="str">
        <f t="shared" si="219"/>
        <v>TAMBAH ILMU-KUDUS</v>
      </c>
      <c r="D748" s="145" t="s">
        <v>4450</v>
      </c>
      <c r="E748" s="145" t="str">
        <f>IFERROR(__xludf.DUMMYFUNCTION("vlookup(D748,IMPORTRANGE(""https://docs.google.com/spreadsheets/d/1swGwZOEqYlTEUCJLY-eeJM1911Kvaei5oySBIxdgtNo/edit?pli=1#gid=257618397"",""stock FAKTUR!B:C""),2,false)"),"KARTU STOCK FOLIO HIJAU")</f>
        <v>KARTU STOCK FOLIO HIJAU</v>
      </c>
      <c r="F748" s="53" t="str">
        <f>IFERROR(__xludf.DUMMYFUNCTION("vlookup($D748,IMPORTRANGE(""https://docs.google.com/spreadsheets/d/1swGwZOEqYlTEUCJLY-eeJM1911Kvaei5oySBIxdgtNo/edit?pli=1#gid=257618397"",""stock FAKTUR!B:d""),3,false)"),"F4")</f>
        <v>F4</v>
      </c>
      <c r="G748" s="53" t="str">
        <f>IFERROR(__xludf.DUMMYFUNCTION("vlookup($D748,IMPORTRANGE(""https://docs.google.com/spreadsheets/d/1swGwZOEqYlTEUCJLY-eeJM1911Kvaei5oySBIxdgtNo/edit?pli=1#gid=257618397"",""stock FAKTUR!B:e""),4,false)"),"HIJAU")</f>
        <v>HIJAU</v>
      </c>
      <c r="H748" s="53" t="str">
        <f>IFERROR(__xludf.DUMMYFUNCTION("vlookup($D748,IMPORTRANGE(""https://docs.google.com/spreadsheets/d/1swGwZOEqYlTEUCJLY-eeJM1911Kvaei5oySBIxdgtNo/edit?pli=1#gid=257618397"",""stock FAKTUR!B:F""),5,false)"),"NB")</f>
        <v>NB</v>
      </c>
      <c r="I748" s="53" t="str">
        <f>IFERROR(__xludf.DUMMYFUNCTION("vlookup($D748,IMPORTRANGE(""https://docs.google.com/spreadsheets/d/1swGwZOEqYlTEUCJLY-eeJM1911Kvaei5oySBIxdgtNo/edit?pli=1#gid=257618397"",""stock FAKTUR!B:G""),6,false)"),"")</f>
        <v/>
      </c>
      <c r="J748" s="120" t="str">
        <f t="shared" si="25"/>
        <v>ADA</v>
      </c>
      <c r="K748" s="142">
        <v>1.0</v>
      </c>
      <c r="L748" s="145" t="str">
        <f>IFERROR(__xludf.DUMMYFUNCTION("vlookup($D748,IMPORTRANGE(""https://docs.google.com/spreadsheets/d/1swGwZOEqYlTEUCJLY-eeJM1911Kvaei5oySBIxdgtNo/edit?pli=1#gid=257618397"",""stock FAKTUR!B:q""),16,false)"),"PAK")</f>
        <v>PAK</v>
      </c>
      <c r="M748" s="147">
        <v>40500.0</v>
      </c>
      <c r="N748" s="148"/>
      <c r="O748" s="147">
        <f t="shared" si="173"/>
        <v>40500</v>
      </c>
      <c r="P748" s="147" t="str">
        <f t="shared" si="3"/>
        <v>Rp40,500-1 PAK-0.00%</v>
      </c>
      <c r="Q748" s="149">
        <v>45420.0</v>
      </c>
      <c r="R748" s="150"/>
      <c r="S748" s="149">
        <v>45425.0</v>
      </c>
      <c r="T748" s="151"/>
      <c r="U748" s="151"/>
      <c r="V748" s="151"/>
      <c r="W748" s="151"/>
    </row>
    <row r="749">
      <c r="A749" s="142">
        <v>4803.0</v>
      </c>
      <c r="B749" s="143" t="str">
        <f t="shared" si="218"/>
        <v>G</v>
      </c>
      <c r="C749" s="143" t="str">
        <f t="shared" si="219"/>
        <v>TAMBAH ILMU-KUDUS</v>
      </c>
      <c r="D749" s="145" t="s">
        <v>4451</v>
      </c>
      <c r="E749" s="145" t="str">
        <f>IFERROR(__xludf.DUMMYFUNCTION("vlookup(D749,IMPORTRANGE(""https://docs.google.com/spreadsheets/d/1swGwZOEqYlTEUCJLY-eeJM1911Kvaei5oySBIxdgtNo/edit?pli=1#gid=257618397"",""stock FAKTUR!B:C""),2,false)"),"KARTU STOCK FOLIO KUNING")</f>
        <v>KARTU STOCK FOLIO KUNING</v>
      </c>
      <c r="F749" s="53" t="str">
        <f>IFERROR(__xludf.DUMMYFUNCTION("vlookup($D749,IMPORTRANGE(""https://docs.google.com/spreadsheets/d/1swGwZOEqYlTEUCJLY-eeJM1911Kvaei5oySBIxdgtNo/edit?pli=1#gid=257618397"",""stock FAKTUR!B:d""),3,false)"),"F4")</f>
        <v>F4</v>
      </c>
      <c r="G749" s="53" t="str">
        <f>IFERROR(__xludf.DUMMYFUNCTION("vlookup($D749,IMPORTRANGE(""https://docs.google.com/spreadsheets/d/1swGwZOEqYlTEUCJLY-eeJM1911Kvaei5oySBIxdgtNo/edit?pli=1#gid=257618397"",""stock FAKTUR!B:e""),4,false)"),"KUNING")</f>
        <v>KUNING</v>
      </c>
      <c r="H749" s="53" t="str">
        <f>IFERROR(__xludf.DUMMYFUNCTION("vlookup($D749,IMPORTRANGE(""https://docs.google.com/spreadsheets/d/1swGwZOEqYlTEUCJLY-eeJM1911Kvaei5oySBIxdgtNo/edit?pli=1#gid=257618397"",""stock FAKTUR!B:F""),5,false)"),"NB")</f>
        <v>NB</v>
      </c>
      <c r="I749" s="53" t="str">
        <f>IFERROR(__xludf.DUMMYFUNCTION("vlookup($D749,IMPORTRANGE(""https://docs.google.com/spreadsheets/d/1swGwZOEqYlTEUCJLY-eeJM1911Kvaei5oySBIxdgtNo/edit?pli=1#gid=257618397"",""stock FAKTUR!B:G""),6,false)"),"")</f>
        <v/>
      </c>
      <c r="J749" s="120" t="str">
        <f t="shared" si="25"/>
        <v>ADA</v>
      </c>
      <c r="K749" s="142">
        <v>1.0</v>
      </c>
      <c r="L749" s="145" t="str">
        <f>IFERROR(__xludf.DUMMYFUNCTION("vlookup($D749,IMPORTRANGE(""https://docs.google.com/spreadsheets/d/1swGwZOEqYlTEUCJLY-eeJM1911Kvaei5oySBIxdgtNo/edit?pli=1#gid=257618397"",""stock FAKTUR!B:q""),16,false)"),"PAK")</f>
        <v>PAK</v>
      </c>
      <c r="M749" s="147">
        <v>40500.0</v>
      </c>
      <c r="N749" s="148"/>
      <c r="O749" s="147">
        <f t="shared" si="173"/>
        <v>40500</v>
      </c>
      <c r="P749" s="147" t="str">
        <f t="shared" si="3"/>
        <v>Rp40,500-1 PAK-0.00%</v>
      </c>
      <c r="Q749" s="149">
        <v>45420.0</v>
      </c>
      <c r="R749" s="150"/>
      <c r="S749" s="149">
        <v>45425.0</v>
      </c>
      <c r="T749" s="151"/>
      <c r="U749" s="151"/>
      <c r="V749" s="151"/>
      <c r="W749" s="151"/>
    </row>
    <row r="750">
      <c r="A750" s="142">
        <v>4803.0</v>
      </c>
      <c r="B750" s="143" t="str">
        <f t="shared" si="218"/>
        <v>G</v>
      </c>
      <c r="C750" s="143" t="str">
        <f t="shared" si="219"/>
        <v>TAMBAH ILMU-KUDUS</v>
      </c>
      <c r="D750" s="145" t="s">
        <v>4452</v>
      </c>
      <c r="E750" s="145" t="str">
        <f>IFERROR(__xludf.DUMMYFUNCTION("vlookup(D750,IMPORTRANGE(""https://docs.google.com/spreadsheets/d/1swGwZOEqYlTEUCJLY-eeJM1911Kvaei5oySBIxdgtNo/edit?pli=1#gid=257618397"",""stock FAKTUR!B:C""),2,false)"),"KARTU STOCK FOLIO PINK")</f>
        <v>KARTU STOCK FOLIO PINK</v>
      </c>
      <c r="F750" s="53" t="str">
        <f>IFERROR(__xludf.DUMMYFUNCTION("vlookup($D750,IMPORTRANGE(""https://docs.google.com/spreadsheets/d/1swGwZOEqYlTEUCJLY-eeJM1911Kvaei5oySBIxdgtNo/edit?pli=1#gid=257618397"",""stock FAKTUR!B:d""),3,false)"),"F4")</f>
        <v>F4</v>
      </c>
      <c r="G750" s="53" t="str">
        <f>IFERROR(__xludf.DUMMYFUNCTION("vlookup($D750,IMPORTRANGE(""https://docs.google.com/spreadsheets/d/1swGwZOEqYlTEUCJLY-eeJM1911Kvaei5oySBIxdgtNo/edit?pli=1#gid=257618397"",""stock FAKTUR!B:e""),4,false)"),"PINK")</f>
        <v>PINK</v>
      </c>
      <c r="H750" s="53" t="str">
        <f>IFERROR(__xludf.DUMMYFUNCTION("vlookup($D750,IMPORTRANGE(""https://docs.google.com/spreadsheets/d/1swGwZOEqYlTEUCJLY-eeJM1911Kvaei5oySBIxdgtNo/edit?pli=1#gid=257618397"",""stock FAKTUR!B:F""),5,false)"),"NB")</f>
        <v>NB</v>
      </c>
      <c r="I750" s="53" t="str">
        <f>IFERROR(__xludf.DUMMYFUNCTION("vlookup($D750,IMPORTRANGE(""https://docs.google.com/spreadsheets/d/1swGwZOEqYlTEUCJLY-eeJM1911Kvaei5oySBIxdgtNo/edit?pli=1#gid=257618397"",""stock FAKTUR!B:G""),6,false)"),"")</f>
        <v/>
      </c>
      <c r="J750" s="120" t="str">
        <f t="shared" si="25"/>
        <v>ADA</v>
      </c>
      <c r="K750" s="142">
        <v>1.0</v>
      </c>
      <c r="L750" s="145" t="str">
        <f>IFERROR(__xludf.DUMMYFUNCTION("vlookup($D750,IMPORTRANGE(""https://docs.google.com/spreadsheets/d/1swGwZOEqYlTEUCJLY-eeJM1911Kvaei5oySBIxdgtNo/edit?pli=1#gid=257618397"",""stock FAKTUR!B:q""),16,false)"),"PAK")</f>
        <v>PAK</v>
      </c>
      <c r="M750" s="147">
        <v>40500.0</v>
      </c>
      <c r="N750" s="148"/>
      <c r="O750" s="147">
        <f t="shared" si="173"/>
        <v>40500</v>
      </c>
      <c r="P750" s="147" t="str">
        <f t="shared" si="3"/>
        <v>Rp40,500-1 PAK-0.00%</v>
      </c>
      <c r="Q750" s="149">
        <v>45420.0</v>
      </c>
      <c r="R750" s="150"/>
      <c r="S750" s="149">
        <v>45425.0</v>
      </c>
      <c r="T750" s="151"/>
      <c r="U750" s="151"/>
      <c r="V750" s="151"/>
      <c r="W750" s="151"/>
    </row>
    <row r="751">
      <c r="A751" s="142">
        <v>4803.0</v>
      </c>
      <c r="B751" s="143" t="str">
        <f t="shared" si="218"/>
        <v>G</v>
      </c>
      <c r="C751" s="143" t="str">
        <f t="shared" si="219"/>
        <v>TAMBAH ILMU-KUDUS</v>
      </c>
      <c r="D751" s="145" t="s">
        <v>4453</v>
      </c>
      <c r="E751" s="145" t="str">
        <f>IFERROR(__xludf.DUMMYFUNCTION("vlookup(D751,IMPORTRANGE(""https://docs.google.com/spreadsheets/d/1swGwZOEqYlTEUCJLY-eeJM1911Kvaei5oySBIxdgtNo/edit?pli=1#gid=257618397"",""stock FAKTUR!B:C""),2,false)"),"KARTU STOCK FOLIO PUTIH")</f>
        <v>KARTU STOCK FOLIO PUTIH</v>
      </c>
      <c r="F751" s="53" t="str">
        <f>IFERROR(__xludf.DUMMYFUNCTION("vlookup($D751,IMPORTRANGE(""https://docs.google.com/spreadsheets/d/1swGwZOEqYlTEUCJLY-eeJM1911Kvaei5oySBIxdgtNo/edit?pli=1#gid=257618397"",""stock FAKTUR!B:d""),3,false)"),"F4")</f>
        <v>F4</v>
      </c>
      <c r="G751" s="53" t="str">
        <f>IFERROR(__xludf.DUMMYFUNCTION("vlookup($D751,IMPORTRANGE(""https://docs.google.com/spreadsheets/d/1swGwZOEqYlTEUCJLY-eeJM1911Kvaei5oySBIxdgtNo/edit?pli=1#gid=257618397"",""stock FAKTUR!B:e""),4,false)"),"PUTIH")</f>
        <v>PUTIH</v>
      </c>
      <c r="H751" s="53" t="str">
        <f>IFERROR(__xludf.DUMMYFUNCTION("vlookup($D751,IMPORTRANGE(""https://docs.google.com/spreadsheets/d/1swGwZOEqYlTEUCJLY-eeJM1911Kvaei5oySBIxdgtNo/edit?pli=1#gid=257618397"",""stock FAKTUR!B:F""),5,false)"),"NB")</f>
        <v>NB</v>
      </c>
      <c r="I751" s="53" t="str">
        <f>IFERROR(__xludf.DUMMYFUNCTION("vlookup($D751,IMPORTRANGE(""https://docs.google.com/spreadsheets/d/1swGwZOEqYlTEUCJLY-eeJM1911Kvaei5oySBIxdgtNo/edit?pli=1#gid=257618397"",""stock FAKTUR!B:G""),6,false)"),"")</f>
        <v/>
      </c>
      <c r="J751" s="120" t="str">
        <f t="shared" si="25"/>
        <v>ADA</v>
      </c>
      <c r="K751" s="142">
        <v>2.0</v>
      </c>
      <c r="L751" s="145" t="str">
        <f>IFERROR(__xludf.DUMMYFUNCTION("vlookup($D751,IMPORTRANGE(""https://docs.google.com/spreadsheets/d/1swGwZOEqYlTEUCJLY-eeJM1911Kvaei5oySBIxdgtNo/edit?pli=1#gid=257618397"",""stock FAKTUR!B:q""),16,false)"),"PAK")</f>
        <v>PAK</v>
      </c>
      <c r="M751" s="147">
        <v>40500.0</v>
      </c>
      <c r="N751" s="148"/>
      <c r="O751" s="147">
        <f t="shared" si="173"/>
        <v>81000</v>
      </c>
      <c r="P751" s="147" t="str">
        <f t="shared" si="3"/>
        <v>Rp40,500-2 PAK-0.00%</v>
      </c>
      <c r="Q751" s="149">
        <v>45420.0</v>
      </c>
      <c r="R751" s="150"/>
      <c r="S751" s="149">
        <v>45425.0</v>
      </c>
      <c r="T751" s="151"/>
      <c r="U751" s="151"/>
      <c r="V751" s="151"/>
      <c r="W751" s="151"/>
    </row>
    <row r="752">
      <c r="A752" s="142">
        <v>4905.0</v>
      </c>
      <c r="B752" s="143" t="s">
        <v>33</v>
      </c>
      <c r="C752" s="143" t="s">
        <v>3436</v>
      </c>
      <c r="D752" s="53" t="s">
        <v>4553</v>
      </c>
      <c r="E752" s="145" t="str">
        <f>IFERROR(__xludf.DUMMYFUNCTION("vlookup(D752,IMPORTRANGE(""https://docs.google.com/spreadsheets/d/1swGwZOEqYlTEUCJLY-eeJM1911Kvaei5oySBIxdgtNo/edit?pli=1#gid=257618397"",""stock FAKTUR!B:C""),2,false)"),"GARISAN SET ZX 6116")</f>
        <v>GARISAN SET ZX 6116</v>
      </c>
      <c r="F752" s="53" t="str">
        <f>IFERROR(__xludf.DUMMYFUNCTION("vlookup($D752,IMPORTRANGE(""https://docs.google.com/spreadsheets/d/1swGwZOEqYlTEUCJLY-eeJM1911Kvaei5oySBIxdgtNo/edit?pli=1#gid=257618397"",""stock FAKTUR!B:d""),3,false)"),"")</f>
        <v/>
      </c>
      <c r="G752" s="53" t="str">
        <f>IFERROR(__xludf.DUMMYFUNCTION("vlookup($D752,IMPORTRANGE(""https://docs.google.com/spreadsheets/d/1swGwZOEqYlTEUCJLY-eeJM1911Kvaei5oySBIxdgtNo/edit?pli=1#gid=257618397"",""stock FAKTUR!B:e""),4,false)"),"")</f>
        <v/>
      </c>
      <c r="H752" s="53" t="str">
        <f>IFERROR(__xludf.DUMMYFUNCTION("vlookup($D752,IMPORTRANGE(""https://docs.google.com/spreadsheets/d/1swGwZOEqYlTEUCJLY-eeJM1911Kvaei5oySBIxdgtNo/edit?pli=1#gid=257618397"",""stock FAKTUR!B:F""),5,false)"),"ZX")</f>
        <v>ZX</v>
      </c>
      <c r="I752" s="53" t="str">
        <f>IFERROR(__xludf.DUMMYFUNCTION("vlookup($D752,IMPORTRANGE(""https://docs.google.com/spreadsheets/d/1swGwZOEqYlTEUCJLY-eeJM1911Kvaei5oySBIxdgtNo/edit?pli=1#gid=257618397"",""stock FAKTUR!B:G""),6,false)"),"6116")</f>
        <v>6116</v>
      </c>
      <c r="J752" s="120" t="str">
        <f t="shared" si="25"/>
        <v>ADA</v>
      </c>
      <c r="K752" s="142">
        <v>40.0</v>
      </c>
      <c r="L752" s="145" t="str">
        <f>IFERROR(__xludf.DUMMYFUNCTION("vlookup($D752,IMPORTRANGE(""https://docs.google.com/spreadsheets/d/1swGwZOEqYlTEUCJLY-eeJM1911Kvaei5oySBIxdgtNo/edit?pli=1#gid=257618397"",""stock FAKTUR!B:q""),16,false)"),"SET")</f>
        <v>SET</v>
      </c>
      <c r="M752" s="147">
        <f>84000/40</f>
        <v>2100</v>
      </c>
      <c r="N752" s="148"/>
      <c r="O752" s="147">
        <f t="shared" si="173"/>
        <v>84000</v>
      </c>
      <c r="P752" s="147" t="str">
        <f t="shared" si="3"/>
        <v>Rp2,100-40 SET-0.00%</v>
      </c>
      <c r="Q752" s="149">
        <v>45422.0</v>
      </c>
      <c r="R752" s="150"/>
      <c r="S752" s="149">
        <v>45426.0</v>
      </c>
      <c r="T752" s="151"/>
      <c r="U752" s="151"/>
      <c r="V752" s="151"/>
      <c r="W752" s="151"/>
    </row>
    <row r="753">
      <c r="A753" s="142">
        <v>4905.0</v>
      </c>
      <c r="B753" s="143" t="str">
        <f t="shared" ref="B753:B767" si="220">IF(A753=A752,B752,"")</f>
        <v>H</v>
      </c>
      <c r="C753" s="143" t="str">
        <f t="shared" ref="C753:C767" si="221">IF(A753=A752,C752,"")</f>
        <v>BANJARAN PERMAI-TEGAL</v>
      </c>
      <c r="D753" s="53" t="s">
        <v>4756</v>
      </c>
      <c r="E753" s="145" t="str">
        <f>IFERROR(__xludf.DUMMYFUNCTION("vlookup(D753,IMPORTRANGE(""https://docs.google.com/spreadsheets/d/1swGwZOEqYlTEUCJLY-eeJM1911Kvaei5oySBIxdgtNo/edit?pli=1#gid=257618397"",""stock FAKTUR!B:C""),2,false)"),"GARISAN SET HZ-5013")</f>
        <v>GARISAN SET HZ-5013</v>
      </c>
      <c r="F753" s="53" t="str">
        <f>IFERROR(__xludf.DUMMYFUNCTION("vlookup($D753,IMPORTRANGE(""https://docs.google.com/spreadsheets/d/1swGwZOEqYlTEUCJLY-eeJM1911Kvaei5oySBIxdgtNo/edit?pli=1#gid=257618397"",""stock FAKTUR!B:d""),3,false)"),"")</f>
        <v/>
      </c>
      <c r="G753" s="53" t="str">
        <f>IFERROR(__xludf.DUMMYFUNCTION("vlookup($D753,IMPORTRANGE(""https://docs.google.com/spreadsheets/d/1swGwZOEqYlTEUCJLY-eeJM1911Kvaei5oySBIxdgtNo/edit?pli=1#gid=257618397"",""stock FAKTUR!B:e""),4,false)"),"")</f>
        <v/>
      </c>
      <c r="H753" s="53" t="str">
        <f>IFERROR(__xludf.DUMMYFUNCTION("vlookup($D753,IMPORTRANGE(""https://docs.google.com/spreadsheets/d/1swGwZOEqYlTEUCJLY-eeJM1911Kvaei5oySBIxdgtNo/edit?pli=1#gid=257618397"",""stock FAKTUR!B:F""),5,false)"),"NB")</f>
        <v>NB</v>
      </c>
      <c r="I753" s="53" t="str">
        <f>IFERROR(__xludf.DUMMYFUNCTION("vlookup($D753,IMPORTRANGE(""https://docs.google.com/spreadsheets/d/1swGwZOEqYlTEUCJLY-eeJM1911Kvaei5oySBIxdgtNo/edit?pli=1#gid=257618397"",""stock FAKTUR!B:G""),6,false)"),"HZ-5013")</f>
        <v>HZ-5013</v>
      </c>
      <c r="J753" s="120" t="str">
        <f t="shared" si="25"/>
        <v>ADA</v>
      </c>
      <c r="K753" s="142">
        <v>40.0</v>
      </c>
      <c r="L753" s="145" t="str">
        <f>IFERROR(__xludf.DUMMYFUNCTION("vlookup($D753,IMPORTRANGE(""https://docs.google.com/spreadsheets/d/1swGwZOEqYlTEUCJLY-eeJM1911Kvaei5oySBIxdgtNo/edit?pli=1#gid=257618397"",""stock FAKTUR!B:q""),16,false)"),"SET")</f>
        <v>SET</v>
      </c>
      <c r="M753" s="147">
        <v>4250.0</v>
      </c>
      <c r="N753" s="148"/>
      <c r="O753" s="147">
        <f t="shared" si="173"/>
        <v>170000</v>
      </c>
      <c r="P753" s="147" t="str">
        <f t="shared" si="3"/>
        <v>Rp4,250-40 SET-0.00%</v>
      </c>
      <c r="Q753" s="149">
        <v>45422.0</v>
      </c>
      <c r="R753" s="150"/>
      <c r="S753" s="149">
        <v>45426.0</v>
      </c>
      <c r="T753" s="151"/>
      <c r="U753" s="151"/>
      <c r="V753" s="151"/>
      <c r="W753" s="151"/>
    </row>
    <row r="754">
      <c r="A754" s="142">
        <v>4905.0</v>
      </c>
      <c r="B754" s="143" t="str">
        <f t="shared" si="220"/>
        <v>H</v>
      </c>
      <c r="C754" s="143" t="str">
        <f t="shared" si="221"/>
        <v>BANJARAN PERMAI-TEGAL</v>
      </c>
      <c r="D754" s="193" t="s">
        <v>4757</v>
      </c>
      <c r="E754" s="145" t="str">
        <f>IFERROR(__xludf.DUMMYFUNCTION("vlookup(D754,IMPORTRANGE(""https://docs.google.com/spreadsheets/d/1swGwZOEqYlTEUCJLY-eeJM1911Kvaei5oySBIxdgtNo/edit?pli=1#gid=257618397"",""stock FAKTUR!B:C""),2,false)"),"PC MAGNIT C-1756")</f>
        <v>PC MAGNIT C-1756</v>
      </c>
      <c r="F754" s="53" t="str">
        <f>IFERROR(__xludf.DUMMYFUNCTION("vlookup($D754,IMPORTRANGE(""https://docs.google.com/spreadsheets/d/1swGwZOEqYlTEUCJLY-eeJM1911Kvaei5oySBIxdgtNo/edit?pli=1#gid=257618397"",""stock FAKTUR!B:d""),3,false)"),"")</f>
        <v/>
      </c>
      <c r="G754" s="53" t="str">
        <f>IFERROR(__xludf.DUMMYFUNCTION("vlookup($D754,IMPORTRANGE(""https://docs.google.com/spreadsheets/d/1swGwZOEqYlTEUCJLY-eeJM1911Kvaei5oySBIxdgtNo/edit?pli=1#gid=257618397"",""stock FAKTUR!B:e""),4,false)"),"")</f>
        <v/>
      </c>
      <c r="H754" s="53" t="str">
        <f>IFERROR(__xludf.DUMMYFUNCTION("vlookup($D754,IMPORTRANGE(""https://docs.google.com/spreadsheets/d/1swGwZOEqYlTEUCJLY-eeJM1911Kvaei5oySBIxdgtNo/edit?pli=1#gid=257618397"",""stock FAKTUR!B:F""),5,false)"),"NB")</f>
        <v>NB</v>
      </c>
      <c r="I754" s="53" t="str">
        <f>IFERROR(__xludf.DUMMYFUNCTION("vlookup($D754,IMPORTRANGE(""https://docs.google.com/spreadsheets/d/1swGwZOEqYlTEUCJLY-eeJM1911Kvaei5oySBIxdgtNo/edit?pli=1#gid=257618397"",""stock FAKTUR!B:G""),6,false)"),"C-1756")</f>
        <v>C-1756</v>
      </c>
      <c r="J754" s="120" t="str">
        <f t="shared" si="25"/>
        <v>ADA</v>
      </c>
      <c r="K754" s="184">
        <v>12.0</v>
      </c>
      <c r="L754" s="145" t="str">
        <f>IFERROR(__xludf.DUMMYFUNCTION("vlookup($D754,IMPORTRANGE(""https://docs.google.com/spreadsheets/d/1swGwZOEqYlTEUCJLY-eeJM1911Kvaei5oySBIxdgtNo/edit?pli=1#gid=257618397"",""stock FAKTUR!B:q""),16,false)"),"PCS")</f>
        <v>PCS</v>
      </c>
      <c r="M754" s="147">
        <f>200000/12</f>
        <v>16666.66667</v>
      </c>
      <c r="N754" s="148"/>
      <c r="O754" s="147">
        <f t="shared" si="173"/>
        <v>200000</v>
      </c>
      <c r="P754" s="147" t="str">
        <f t="shared" si="3"/>
        <v>Rp16,667-12 PCS-0.00%</v>
      </c>
      <c r="Q754" s="149">
        <v>45422.0</v>
      </c>
      <c r="R754" s="150"/>
      <c r="S754" s="149">
        <v>45426.0</v>
      </c>
      <c r="T754" s="151"/>
      <c r="U754" s="192" t="s">
        <v>4390</v>
      </c>
      <c r="V754" s="151"/>
      <c r="W754" s="151"/>
    </row>
    <row r="755">
      <c r="A755" s="142">
        <v>4905.0</v>
      </c>
      <c r="B755" s="143" t="str">
        <f t="shared" si="220"/>
        <v>H</v>
      </c>
      <c r="C755" s="143" t="str">
        <f t="shared" si="221"/>
        <v>BANJARAN PERMAI-TEGAL</v>
      </c>
      <c r="D755" s="193" t="s">
        <v>4758</v>
      </c>
      <c r="E755" s="145" t="str">
        <f>IFERROR(__xludf.DUMMYFUNCTION("vlookup(D755,IMPORTRANGE(""https://docs.google.com/spreadsheets/d/1swGwZOEqYlTEUCJLY-eeJM1911Kvaei5oySBIxdgtNo/edit?pli=1#gid=257618397"",""stock FAKTUR!B:C""),2,false)"),"BP GEL VANCO VC-8005")</f>
        <v>BP GEL VANCO VC-8005</v>
      </c>
      <c r="F755" s="53" t="str">
        <f>IFERROR(__xludf.DUMMYFUNCTION("vlookup($D755,IMPORTRANGE(""https://docs.google.com/spreadsheets/d/1swGwZOEqYlTEUCJLY-eeJM1911Kvaei5oySBIxdgtNo/edit?pli=1#gid=257618397"",""stock FAKTUR!B:d""),3,false)"),"")</f>
        <v/>
      </c>
      <c r="G755" s="53" t="str">
        <f>IFERROR(__xludf.DUMMYFUNCTION("vlookup($D755,IMPORTRANGE(""https://docs.google.com/spreadsheets/d/1swGwZOEqYlTEUCJLY-eeJM1911Kvaei5oySBIxdgtNo/edit?pli=1#gid=257618397"",""stock FAKTUR!B:e""),4,false)"),"")</f>
        <v/>
      </c>
      <c r="H755" s="53" t="str">
        <f>IFERROR(__xludf.DUMMYFUNCTION("vlookup($D755,IMPORTRANGE(""https://docs.google.com/spreadsheets/d/1swGwZOEqYlTEUCJLY-eeJM1911Kvaei5oySBIxdgtNo/edit?pli=1#gid=257618397"",""stock FAKTUR!B:F""),5,false)"),"VC")</f>
        <v>VC</v>
      </c>
      <c r="I755" s="53" t="str">
        <f>IFERROR(__xludf.DUMMYFUNCTION("vlookup($D755,IMPORTRANGE(""https://docs.google.com/spreadsheets/d/1swGwZOEqYlTEUCJLY-eeJM1911Kvaei5oySBIxdgtNo/edit?pli=1#gid=257618397"",""stock FAKTUR!B:G""),6,false)"),"VC-8005")</f>
        <v>VC-8005</v>
      </c>
      <c r="J755" s="120" t="str">
        <f t="shared" si="25"/>
        <v>ADA</v>
      </c>
      <c r="K755" s="142">
        <v>3.0</v>
      </c>
      <c r="L755" s="145" t="str">
        <f>IFERROR(__xludf.DUMMYFUNCTION("vlookup($D755,IMPORTRANGE(""https://docs.google.com/spreadsheets/d/1swGwZOEqYlTEUCJLY-eeJM1911Kvaei5oySBIxdgtNo/edit?pli=1#gid=257618397"",""stock FAKTUR!B:q""),16,false)"),"LSN")</f>
        <v>LSN</v>
      </c>
      <c r="M755" s="147">
        <v>12500.0</v>
      </c>
      <c r="N755" s="148"/>
      <c r="O755" s="147">
        <f t="shared" si="173"/>
        <v>37500</v>
      </c>
      <c r="P755" s="147" t="str">
        <f t="shared" si="3"/>
        <v>Rp12,500-3 LSN-0.00%</v>
      </c>
      <c r="Q755" s="149">
        <v>45422.0</v>
      </c>
      <c r="R755" s="150"/>
      <c r="S755" s="149">
        <v>45426.0</v>
      </c>
      <c r="T755" s="151"/>
      <c r="U755" s="192" t="s">
        <v>4759</v>
      </c>
      <c r="V755" s="151"/>
      <c r="W755" s="151"/>
    </row>
    <row r="756">
      <c r="A756" s="142">
        <v>4905.0</v>
      </c>
      <c r="B756" s="143" t="str">
        <f t="shared" si="220"/>
        <v>H</v>
      </c>
      <c r="C756" s="143" t="str">
        <f t="shared" si="221"/>
        <v>BANJARAN PERMAI-TEGAL</v>
      </c>
      <c r="D756" s="193" t="s">
        <v>4760</v>
      </c>
      <c r="E756" s="145" t="str">
        <f>IFERROR(__xludf.DUMMYFUNCTION("vlookup(D756,IMPORTRANGE(""https://docs.google.com/spreadsheets/d/1swGwZOEqYlTEUCJLY-eeJM1911Kvaei5oySBIxdgtNo/edit?pli=1#gid=257618397"",""stock FAKTUR!B:C""),2,false)"),"BP KENKO VOJI N-7")</f>
        <v>BP KENKO VOJI N-7</v>
      </c>
      <c r="F756" s="53" t="str">
        <f>IFERROR(__xludf.DUMMYFUNCTION("vlookup($D756,IMPORTRANGE(""https://docs.google.com/spreadsheets/d/1swGwZOEqYlTEUCJLY-eeJM1911Kvaei5oySBIxdgtNo/edit?pli=1#gid=257618397"",""stock FAKTUR!B:d""),3,false)"),"")</f>
        <v/>
      </c>
      <c r="G756" s="53" t="str">
        <f>IFERROR(__xludf.DUMMYFUNCTION("vlookup($D756,IMPORTRANGE(""https://docs.google.com/spreadsheets/d/1swGwZOEqYlTEUCJLY-eeJM1911Kvaei5oySBIxdgtNo/edit?pli=1#gid=257618397"",""stock FAKTUR!B:e""),4,false)"),"")</f>
        <v/>
      </c>
      <c r="H756" s="53" t="str">
        <f>IFERROR(__xludf.DUMMYFUNCTION("vlookup($D756,IMPORTRANGE(""https://docs.google.com/spreadsheets/d/1swGwZOEqYlTEUCJLY-eeJM1911Kvaei5oySBIxdgtNo/edit?pli=1#gid=257618397"",""stock FAKTUR!B:F""),5,false)"),"KN")</f>
        <v>KN</v>
      </c>
      <c r="I756" s="53" t="str">
        <f>IFERROR(__xludf.DUMMYFUNCTION("vlookup($D756,IMPORTRANGE(""https://docs.google.com/spreadsheets/d/1swGwZOEqYlTEUCJLY-eeJM1911Kvaei5oySBIxdgtNo/edit?pli=1#gid=257618397"",""stock FAKTUR!B:G""),6,false)"),"N-7")</f>
        <v>N-7</v>
      </c>
      <c r="J756" s="120" t="str">
        <f t="shared" si="25"/>
        <v>ADA</v>
      </c>
      <c r="K756" s="142">
        <v>6.0</v>
      </c>
      <c r="L756" s="145" t="str">
        <f>IFERROR(__xludf.DUMMYFUNCTION("vlookup($D756,IMPORTRANGE(""https://docs.google.com/spreadsheets/d/1swGwZOEqYlTEUCJLY-eeJM1911Kvaei5oySBIxdgtNo/edit?pli=1#gid=257618397"",""stock FAKTUR!B:q""),16,false)"),"LSN")</f>
        <v>LSN</v>
      </c>
      <c r="M756" s="147">
        <v>12500.0</v>
      </c>
      <c r="N756" s="148"/>
      <c r="O756" s="147">
        <f t="shared" si="173"/>
        <v>75000</v>
      </c>
      <c r="P756" s="147" t="str">
        <f t="shared" si="3"/>
        <v>Rp12,500-6 LSN-0.00%</v>
      </c>
      <c r="Q756" s="149">
        <v>45422.0</v>
      </c>
      <c r="R756" s="150"/>
      <c r="S756" s="149">
        <v>45426.0</v>
      </c>
      <c r="T756" s="151"/>
      <c r="U756" s="192" t="s">
        <v>4759</v>
      </c>
      <c r="V756" s="151"/>
      <c r="W756" s="151"/>
    </row>
    <row r="757">
      <c r="A757" s="142">
        <v>4905.0</v>
      </c>
      <c r="B757" s="143" t="str">
        <f t="shared" si="220"/>
        <v>H</v>
      </c>
      <c r="C757" s="143" t="str">
        <f t="shared" si="221"/>
        <v>BANJARAN PERMAI-TEGAL</v>
      </c>
      <c r="D757" s="53" t="s">
        <v>4630</v>
      </c>
      <c r="E757" s="145" t="str">
        <f>IFERROR(__xludf.DUMMYFUNCTION("vlookup(D757,IMPORTRANGE(""https://docs.google.com/spreadsheets/d/1swGwZOEqYlTEUCJLY-eeJM1911Kvaei5oySBIxdgtNo/edit?pli=1#gid=257618397"",""stock FAKTUR!B:C""),2,false)"),"BP JK GP-330 HITAM")</f>
        <v>BP JK GP-330 HITAM</v>
      </c>
      <c r="F757" s="53" t="str">
        <f>IFERROR(__xludf.DUMMYFUNCTION("vlookup($D757,IMPORTRANGE(""https://docs.google.com/spreadsheets/d/1swGwZOEqYlTEUCJLY-eeJM1911Kvaei5oySBIxdgtNo/edit?pli=1#gid=257618397"",""stock FAKTUR!B:d""),3,false)"),"")</f>
        <v/>
      </c>
      <c r="G757" s="53" t="str">
        <f>IFERROR(__xludf.DUMMYFUNCTION("vlookup($D757,IMPORTRANGE(""https://docs.google.com/spreadsheets/d/1swGwZOEqYlTEUCJLY-eeJM1911Kvaei5oySBIxdgtNo/edit?pli=1#gid=257618397"",""stock FAKTUR!B:e""),4,false)"),"HITAM")</f>
        <v>HITAM</v>
      </c>
      <c r="H757" s="53" t="str">
        <f>IFERROR(__xludf.DUMMYFUNCTION("vlookup($D757,IMPORTRANGE(""https://docs.google.com/spreadsheets/d/1swGwZOEqYlTEUCJLY-eeJM1911Kvaei5oySBIxdgtNo/edit?pli=1#gid=257618397"",""stock FAKTUR!B:F""),5,false)"),"JK")</f>
        <v>JK</v>
      </c>
      <c r="I757" s="53" t="str">
        <f>IFERROR(__xludf.DUMMYFUNCTION("vlookup($D757,IMPORTRANGE(""https://docs.google.com/spreadsheets/d/1swGwZOEqYlTEUCJLY-eeJM1911Kvaei5oySBIxdgtNo/edit?pli=1#gid=257618397"",""stock FAKTUR!B:G""),6,false)"),"GP-330")</f>
        <v>GP-330</v>
      </c>
      <c r="J757" s="120" t="str">
        <f t="shared" si="25"/>
        <v>ADA</v>
      </c>
      <c r="K757" s="142">
        <v>6.0</v>
      </c>
      <c r="L757" s="145" t="str">
        <f>IFERROR(__xludf.DUMMYFUNCTION("vlookup($D757,IMPORTRANGE(""https://docs.google.com/spreadsheets/d/1swGwZOEqYlTEUCJLY-eeJM1911Kvaei5oySBIxdgtNo/edit?pli=1#gid=257618397"",""stock FAKTUR!B:q""),16,false)"),"LSN")</f>
        <v>LSN</v>
      </c>
      <c r="M757" s="147">
        <v>15000.0</v>
      </c>
      <c r="N757" s="148"/>
      <c r="O757" s="147">
        <f t="shared" si="173"/>
        <v>90000</v>
      </c>
      <c r="P757" s="147" t="str">
        <f t="shared" si="3"/>
        <v>Rp15,000-6 LSN-0.00%</v>
      </c>
      <c r="Q757" s="149">
        <v>45422.0</v>
      </c>
      <c r="R757" s="150"/>
      <c r="S757" s="149">
        <v>45426.0</v>
      </c>
      <c r="T757" s="151"/>
      <c r="U757" s="151"/>
      <c r="V757" s="151"/>
      <c r="W757" s="151"/>
    </row>
    <row r="758">
      <c r="A758" s="142">
        <v>4905.0</v>
      </c>
      <c r="B758" s="143" t="str">
        <f t="shared" si="220"/>
        <v>H</v>
      </c>
      <c r="C758" s="143" t="str">
        <f t="shared" si="221"/>
        <v>BANJARAN PERMAI-TEGAL</v>
      </c>
      <c r="D758" s="193" t="s">
        <v>4724</v>
      </c>
      <c r="E758" s="145" t="str">
        <f>IFERROR(__xludf.DUMMYFUNCTION("vlookup(D758,IMPORTRANGE(""https://docs.google.com/spreadsheets/d/1swGwZOEqYlTEUCJLY-eeJM1911Kvaei5oySBIxdgtNo/edit?pli=1#gid=257618397"",""stock FAKTUR!B:C""),2,false)"),"BP JK 224")</f>
        <v>BP JK 224</v>
      </c>
      <c r="F758" s="53" t="str">
        <f>IFERROR(__xludf.DUMMYFUNCTION("vlookup($D758,IMPORTRANGE(""https://docs.google.com/spreadsheets/d/1swGwZOEqYlTEUCJLY-eeJM1911Kvaei5oySBIxdgtNo/edit?pli=1#gid=257618397"",""stock FAKTUR!B:d""),3,false)"),"")</f>
        <v/>
      </c>
      <c r="G758" s="53" t="str">
        <f>IFERROR(__xludf.DUMMYFUNCTION("vlookup($D758,IMPORTRANGE(""https://docs.google.com/spreadsheets/d/1swGwZOEqYlTEUCJLY-eeJM1911Kvaei5oySBIxdgtNo/edit?pli=1#gid=257618397"",""stock FAKTUR!B:e""),4,false)"),"")</f>
        <v/>
      </c>
      <c r="H758" s="53" t="str">
        <f>IFERROR(__xludf.DUMMYFUNCTION("vlookup($D758,IMPORTRANGE(""https://docs.google.com/spreadsheets/d/1swGwZOEqYlTEUCJLY-eeJM1911Kvaei5oySBIxdgtNo/edit?pli=1#gid=257618397"",""stock FAKTUR!B:F""),5,false)"),"JK")</f>
        <v>JK</v>
      </c>
      <c r="I758" s="53" t="str">
        <f>IFERROR(__xludf.DUMMYFUNCTION("vlookup($D758,IMPORTRANGE(""https://docs.google.com/spreadsheets/d/1swGwZOEqYlTEUCJLY-eeJM1911Kvaei5oySBIxdgtNo/edit?pli=1#gid=257618397"",""stock FAKTUR!B:G""),6,false)"),"224")</f>
        <v>224</v>
      </c>
      <c r="J758" s="120" t="str">
        <f t="shared" si="25"/>
        <v>ADA</v>
      </c>
      <c r="K758" s="142">
        <v>3.0</v>
      </c>
      <c r="L758" s="145" t="str">
        <f>IFERROR(__xludf.DUMMYFUNCTION("vlookup($D758,IMPORTRANGE(""https://docs.google.com/spreadsheets/d/1swGwZOEqYlTEUCJLY-eeJM1911Kvaei5oySBIxdgtNo/edit?pli=1#gid=257618397"",""stock FAKTUR!B:q""),16,false)"),"LSN")</f>
        <v>LSN</v>
      </c>
      <c r="M758" s="147">
        <v>25000.0</v>
      </c>
      <c r="N758" s="148"/>
      <c r="O758" s="147">
        <f t="shared" si="173"/>
        <v>75000</v>
      </c>
      <c r="P758" s="147" t="str">
        <f t="shared" si="3"/>
        <v>Rp25,000-3 LSN-0.00%</v>
      </c>
      <c r="Q758" s="149">
        <v>45422.0</v>
      </c>
      <c r="R758" s="150"/>
      <c r="S758" s="149">
        <v>45426.0</v>
      </c>
      <c r="T758" s="151"/>
      <c r="U758" s="151"/>
      <c r="V758" s="151"/>
      <c r="W758" s="151"/>
    </row>
    <row r="759">
      <c r="A759" s="142">
        <v>4905.0</v>
      </c>
      <c r="B759" s="143" t="str">
        <f t="shared" si="220"/>
        <v>H</v>
      </c>
      <c r="C759" s="143" t="str">
        <f t="shared" si="221"/>
        <v>BANJARAN PERMAI-TEGAL</v>
      </c>
      <c r="D759" s="53" t="s">
        <v>4572</v>
      </c>
      <c r="E759" s="145" t="str">
        <f>IFERROR(__xludf.DUMMYFUNCTION("vlookup(D759,IMPORTRANGE(""https://docs.google.com/spreadsheets/d/1swGwZOEqYlTEUCJLY-eeJM1911Kvaei5oySBIxdgtNo/edit?pli=1#gid=257618397"",""stock FAKTUR!B:C""),2,false)"),"PENSIL KENKO 2B-6393 FLUORESCENT")</f>
        <v>PENSIL KENKO 2B-6393 FLUORESCENT</v>
      </c>
      <c r="F759" s="53" t="str">
        <f>IFERROR(__xludf.DUMMYFUNCTION("vlookup($D759,IMPORTRANGE(""https://docs.google.com/spreadsheets/d/1swGwZOEqYlTEUCJLY-eeJM1911Kvaei5oySBIxdgtNo/edit?pli=1#gid=257618397"",""stock FAKTUR!B:d""),3,false)"),"")</f>
        <v/>
      </c>
      <c r="G759" s="53" t="str">
        <f>IFERROR(__xludf.DUMMYFUNCTION("vlookup($D759,IMPORTRANGE(""https://docs.google.com/spreadsheets/d/1swGwZOEqYlTEUCJLY-eeJM1911Kvaei5oySBIxdgtNo/edit?pli=1#gid=257618397"",""stock FAKTUR!B:e""),4,false)"),"")</f>
        <v/>
      </c>
      <c r="H759" s="53" t="str">
        <f>IFERROR(__xludf.DUMMYFUNCTION("vlookup($D759,IMPORTRANGE(""https://docs.google.com/spreadsheets/d/1swGwZOEqYlTEUCJLY-eeJM1911Kvaei5oySBIxdgtNo/edit?pli=1#gid=257618397"",""stock FAKTUR!B:F""),5,false)"),"KN")</f>
        <v>KN</v>
      </c>
      <c r="I759" s="53" t="str">
        <f>IFERROR(__xludf.DUMMYFUNCTION("vlookup($D759,IMPORTRANGE(""https://docs.google.com/spreadsheets/d/1swGwZOEqYlTEUCJLY-eeJM1911Kvaei5oySBIxdgtNo/edit?pli=1#gid=257618397"",""stock FAKTUR!B:G""),6,false)"),"")</f>
        <v/>
      </c>
      <c r="J759" s="120" t="str">
        <f t="shared" si="25"/>
        <v>ADA</v>
      </c>
      <c r="K759" s="142">
        <v>1.0</v>
      </c>
      <c r="L759" s="145" t="str">
        <f>IFERROR(__xludf.DUMMYFUNCTION("vlookup($D759,IMPORTRANGE(""https://docs.google.com/spreadsheets/d/1swGwZOEqYlTEUCJLY-eeJM1911Kvaei5oySBIxdgtNo/edit?pli=1#gid=257618397"",""stock FAKTUR!B:q""),16,false)"),"GRS")</f>
        <v>GRS</v>
      </c>
      <c r="M759" s="147">
        <v>125000.0</v>
      </c>
      <c r="N759" s="148"/>
      <c r="O759" s="147">
        <f t="shared" si="173"/>
        <v>125000</v>
      </c>
      <c r="P759" s="147" t="str">
        <f t="shared" si="3"/>
        <v>Rp125,000-1 GRS-0.00%</v>
      </c>
      <c r="Q759" s="149">
        <v>45422.0</v>
      </c>
      <c r="R759" s="150"/>
      <c r="S759" s="149">
        <v>45426.0</v>
      </c>
      <c r="T759" s="151"/>
      <c r="U759" s="151"/>
      <c r="V759" s="151"/>
      <c r="W759" s="151"/>
    </row>
    <row r="760">
      <c r="A760" s="142">
        <v>4905.0</v>
      </c>
      <c r="B760" s="143" t="str">
        <f t="shared" si="220"/>
        <v>H</v>
      </c>
      <c r="C760" s="143" t="str">
        <f t="shared" si="221"/>
        <v>BANJARAN PERMAI-TEGAL</v>
      </c>
      <c r="D760" s="193" t="s">
        <v>4576</v>
      </c>
      <c r="E760" s="145" t="str">
        <f>IFERROR(__xludf.DUMMYFUNCTION("vlookup(D760,IMPORTRANGE(""https://docs.google.com/spreadsheets/d/1swGwZOEqYlTEUCJLY-eeJM1911Kvaei5oySBIxdgtNo/edit?pli=1#gid=257618397"",""stock FAKTUR!B:C""),2,false)"),"PENSIL KENKO 2B-0192")</f>
        <v>PENSIL KENKO 2B-0192</v>
      </c>
      <c r="F760" s="53" t="str">
        <f>IFERROR(__xludf.DUMMYFUNCTION("vlookup($D760,IMPORTRANGE(""https://docs.google.com/spreadsheets/d/1swGwZOEqYlTEUCJLY-eeJM1911Kvaei5oySBIxdgtNo/edit?pli=1#gid=257618397"",""stock FAKTUR!B:d""),3,false)"),"")</f>
        <v/>
      </c>
      <c r="G760" s="53" t="str">
        <f>IFERROR(__xludf.DUMMYFUNCTION("vlookup($D760,IMPORTRANGE(""https://docs.google.com/spreadsheets/d/1swGwZOEqYlTEUCJLY-eeJM1911Kvaei5oySBIxdgtNo/edit?pli=1#gid=257618397"",""stock FAKTUR!B:e""),4,false)"),"")</f>
        <v/>
      </c>
      <c r="H760" s="53" t="str">
        <f>IFERROR(__xludf.DUMMYFUNCTION("vlookup($D760,IMPORTRANGE(""https://docs.google.com/spreadsheets/d/1swGwZOEqYlTEUCJLY-eeJM1911Kvaei5oySBIxdgtNo/edit?pli=1#gid=257618397"",""stock FAKTUR!B:F""),5,false)"),"KN")</f>
        <v>KN</v>
      </c>
      <c r="I760" s="53" t="str">
        <f>IFERROR(__xludf.DUMMYFUNCTION("vlookup($D760,IMPORTRANGE(""https://docs.google.com/spreadsheets/d/1swGwZOEqYlTEUCJLY-eeJM1911Kvaei5oySBIxdgtNo/edit?pli=1#gid=257618397"",""stock FAKTUR!B:G""),6,false)"),"0192")</f>
        <v>0192</v>
      </c>
      <c r="J760" s="120" t="str">
        <f t="shared" si="25"/>
        <v>ADA</v>
      </c>
      <c r="K760" s="142">
        <v>1.0</v>
      </c>
      <c r="L760" s="145" t="str">
        <f>IFERROR(__xludf.DUMMYFUNCTION("vlookup($D760,IMPORTRANGE(""https://docs.google.com/spreadsheets/d/1swGwZOEqYlTEUCJLY-eeJM1911Kvaei5oySBIxdgtNo/edit?pli=1#gid=257618397"",""stock FAKTUR!B:q""),16,false)"),"GRS")</f>
        <v>GRS</v>
      </c>
      <c r="M760" s="147">
        <v>125000.0</v>
      </c>
      <c r="N760" s="148"/>
      <c r="O760" s="147">
        <f t="shared" si="173"/>
        <v>125000</v>
      </c>
      <c r="P760" s="147" t="str">
        <f t="shared" si="3"/>
        <v>Rp125,000-1 GRS-0.00%</v>
      </c>
      <c r="Q760" s="149">
        <v>45422.0</v>
      </c>
      <c r="R760" s="150"/>
      <c r="S760" s="149">
        <v>45426.0</v>
      </c>
      <c r="T760" s="151"/>
      <c r="U760" s="192" t="s">
        <v>4390</v>
      </c>
      <c r="V760" s="151"/>
      <c r="W760" s="151"/>
    </row>
    <row r="761">
      <c r="A761" s="142">
        <v>4905.0</v>
      </c>
      <c r="B761" s="143" t="str">
        <f t="shared" si="220"/>
        <v>H</v>
      </c>
      <c r="C761" s="143" t="str">
        <f t="shared" si="221"/>
        <v>BANJARAN PERMAI-TEGAL</v>
      </c>
      <c r="D761" s="49" t="s">
        <v>4761</v>
      </c>
      <c r="E761" s="145" t="str">
        <f>IFERROR(__xludf.DUMMYFUNCTION("vlookup(D761,IMPORTRANGE(""https://docs.google.com/spreadsheets/d/1swGwZOEqYlTEUCJLY-eeJM1911Kvaei5oySBIxdgtNo/edit?pli=1#gid=257618397"",""stock FAKTUR!B:C""),2,false)"),"JANGKA SET KENKO C-528")</f>
        <v>JANGKA SET KENKO C-528</v>
      </c>
      <c r="F761" s="53" t="str">
        <f>IFERROR(__xludf.DUMMYFUNCTION("vlookup($D761,IMPORTRANGE(""https://docs.google.com/spreadsheets/d/1swGwZOEqYlTEUCJLY-eeJM1911Kvaei5oySBIxdgtNo/edit?pli=1#gid=257618397"",""stock FAKTUR!B:d""),3,false)"),"")</f>
        <v/>
      </c>
      <c r="G761" s="53" t="str">
        <f>IFERROR(__xludf.DUMMYFUNCTION("vlookup($D761,IMPORTRANGE(""https://docs.google.com/spreadsheets/d/1swGwZOEqYlTEUCJLY-eeJM1911Kvaei5oySBIxdgtNo/edit?pli=1#gid=257618397"",""stock FAKTUR!B:e""),4,false)"),"")</f>
        <v/>
      </c>
      <c r="H761" s="53" t="str">
        <f>IFERROR(__xludf.DUMMYFUNCTION("vlookup($D761,IMPORTRANGE(""https://docs.google.com/spreadsheets/d/1swGwZOEqYlTEUCJLY-eeJM1911Kvaei5oySBIxdgtNo/edit?pli=1#gid=257618397"",""stock FAKTUR!B:F""),5,false)"),"KN")</f>
        <v>KN</v>
      </c>
      <c r="I761" s="53" t="str">
        <f>IFERROR(__xludf.DUMMYFUNCTION("vlookup($D761,IMPORTRANGE(""https://docs.google.com/spreadsheets/d/1swGwZOEqYlTEUCJLY-eeJM1911Kvaei5oySBIxdgtNo/edit?pli=1#gid=257618397"",""stock FAKTUR!B:G""),6,false)"),"")</f>
        <v/>
      </c>
      <c r="J761" s="120" t="str">
        <f t="shared" si="25"/>
        <v>ADA</v>
      </c>
      <c r="K761" s="142">
        <v>1.0</v>
      </c>
      <c r="L761" s="145" t="str">
        <f>IFERROR(__xludf.DUMMYFUNCTION("vlookup($D761,IMPORTRANGE(""https://docs.google.com/spreadsheets/d/1swGwZOEqYlTEUCJLY-eeJM1911Kvaei5oySBIxdgtNo/edit?pli=1#gid=257618397"",""stock FAKTUR!B:q""),16,false)"),"LSN")</f>
        <v>LSN</v>
      </c>
      <c r="M761" s="147">
        <v>95000.0</v>
      </c>
      <c r="N761" s="148"/>
      <c r="O761" s="147">
        <f t="shared" si="173"/>
        <v>95000</v>
      </c>
      <c r="P761" s="147" t="str">
        <f t="shared" si="3"/>
        <v>Rp95,000-1 LSN-0.00%</v>
      </c>
      <c r="Q761" s="149">
        <v>45422.0</v>
      </c>
      <c r="R761" s="150"/>
      <c r="S761" s="149">
        <v>45426.0</v>
      </c>
      <c r="T761" s="151"/>
      <c r="U761" s="151"/>
      <c r="V761" s="151"/>
      <c r="W761" s="151"/>
    </row>
    <row r="762">
      <c r="A762" s="142">
        <v>4905.0</v>
      </c>
      <c r="B762" s="143" t="str">
        <f t="shared" si="220"/>
        <v>H</v>
      </c>
      <c r="C762" s="143" t="str">
        <f t="shared" si="221"/>
        <v>BANJARAN PERMAI-TEGAL</v>
      </c>
      <c r="D762" s="53" t="s">
        <v>4399</v>
      </c>
      <c r="E762" s="145" t="str">
        <f>IFERROR(__xludf.DUMMYFUNCTION("vlookup(D762,IMPORTRANGE(""https://docs.google.com/spreadsheets/d/1swGwZOEqYlTEUCJLY-eeJM1911Kvaei5oySBIxdgtNo/edit?pli=1#gid=257618397"",""stock FAKTUR!B:C""),2,false)"),"PW KENKO 12W CP-12F CLASSIC PANJANG")</f>
        <v>PW KENKO 12W CP-12F CLASSIC PANJANG</v>
      </c>
      <c r="F762" s="53" t="str">
        <f>IFERROR(__xludf.DUMMYFUNCTION("vlookup($D762,IMPORTRANGE(""https://docs.google.com/spreadsheets/d/1swGwZOEqYlTEUCJLY-eeJM1911Kvaei5oySBIxdgtNo/edit?pli=1#gid=257618397"",""stock FAKTUR!B:d""),3,false)"),"")</f>
        <v/>
      </c>
      <c r="G762" s="53" t="str">
        <f>IFERROR(__xludf.DUMMYFUNCTION("vlookup($D762,IMPORTRANGE(""https://docs.google.com/spreadsheets/d/1swGwZOEqYlTEUCJLY-eeJM1911Kvaei5oySBIxdgtNo/edit?pli=1#gid=257618397"",""stock FAKTUR!B:e""),4,false)"),"12W")</f>
        <v>12W</v>
      </c>
      <c r="H762" s="53" t="str">
        <f>IFERROR(__xludf.DUMMYFUNCTION("vlookup($D762,IMPORTRANGE(""https://docs.google.com/spreadsheets/d/1swGwZOEqYlTEUCJLY-eeJM1911Kvaei5oySBIxdgtNo/edit?pli=1#gid=257618397"",""stock FAKTUR!B:F""),5,false)"),"KN")</f>
        <v>KN</v>
      </c>
      <c r="I762" s="53" t="str">
        <f>IFERROR(__xludf.DUMMYFUNCTION("vlookup($D762,IMPORTRANGE(""https://docs.google.com/spreadsheets/d/1swGwZOEqYlTEUCJLY-eeJM1911Kvaei5oySBIxdgtNo/edit?pli=1#gid=257618397"",""stock FAKTUR!B:G""),6,false)"),"CP-12F")</f>
        <v>CP-12F</v>
      </c>
      <c r="J762" s="120" t="str">
        <f t="shared" si="25"/>
        <v>ADA</v>
      </c>
      <c r="K762" s="142">
        <v>1.0</v>
      </c>
      <c r="L762" s="145" t="str">
        <f>IFERROR(__xludf.DUMMYFUNCTION("vlookup($D762,IMPORTRANGE(""https://docs.google.com/spreadsheets/d/1swGwZOEqYlTEUCJLY-eeJM1911Kvaei5oySBIxdgtNo/edit?pli=1#gid=257618397"",""stock FAKTUR!B:q""),16,false)"),"LSN")</f>
        <v>LSN</v>
      </c>
      <c r="M762" s="147">
        <v>125000.0</v>
      </c>
      <c r="N762" s="148"/>
      <c r="O762" s="147">
        <f t="shared" si="173"/>
        <v>125000</v>
      </c>
      <c r="P762" s="147" t="str">
        <f t="shared" si="3"/>
        <v>Rp125,000-1 LSN-0.00%</v>
      </c>
      <c r="Q762" s="149">
        <v>45422.0</v>
      </c>
      <c r="R762" s="150"/>
      <c r="S762" s="149">
        <v>45426.0</v>
      </c>
      <c r="T762" s="151"/>
      <c r="U762" s="151"/>
      <c r="V762" s="151"/>
      <c r="W762" s="151"/>
    </row>
    <row r="763">
      <c r="A763" s="142">
        <v>4905.0</v>
      </c>
      <c r="B763" s="143" t="str">
        <f t="shared" si="220"/>
        <v>H</v>
      </c>
      <c r="C763" s="143" t="str">
        <f t="shared" si="221"/>
        <v>BANJARAN PERMAI-TEGAL</v>
      </c>
      <c r="D763" s="53" t="s">
        <v>4574</v>
      </c>
      <c r="E763" s="145" t="str">
        <f>IFERROR(__xludf.DUMMYFUNCTION("vlookup(D763,IMPORTRANGE(""https://docs.google.com/spreadsheets/d/1swGwZOEqYlTEUCJLY-eeJM1911Kvaei5oySBIxdgtNo/edit?pli=1#gid=257618397"",""stock FAKTUR!B:C""),2,false)"),"PENSIL KENKO 6363")</f>
        <v>PENSIL KENKO 6363</v>
      </c>
      <c r="F763" s="53" t="str">
        <f>IFERROR(__xludf.DUMMYFUNCTION("vlookup($D763,IMPORTRANGE(""https://docs.google.com/spreadsheets/d/1swGwZOEqYlTEUCJLY-eeJM1911Kvaei5oySBIxdgtNo/edit?pli=1#gid=257618397"",""stock FAKTUR!B:d""),3,false)"),"")</f>
        <v/>
      </c>
      <c r="G763" s="53" t="str">
        <f>IFERROR(__xludf.DUMMYFUNCTION("vlookup($D763,IMPORTRANGE(""https://docs.google.com/spreadsheets/d/1swGwZOEqYlTEUCJLY-eeJM1911Kvaei5oySBIxdgtNo/edit?pli=1#gid=257618397"",""stock FAKTUR!B:e""),4,false)"),"")</f>
        <v/>
      </c>
      <c r="H763" s="53" t="str">
        <f>IFERROR(__xludf.DUMMYFUNCTION("vlookup($D763,IMPORTRANGE(""https://docs.google.com/spreadsheets/d/1swGwZOEqYlTEUCJLY-eeJM1911Kvaei5oySBIxdgtNo/edit?pli=1#gid=257618397"",""stock FAKTUR!B:F""),5,false)"),"KN")</f>
        <v>KN</v>
      </c>
      <c r="I763" s="53" t="str">
        <f>IFERROR(__xludf.DUMMYFUNCTION("vlookup($D763,IMPORTRANGE(""https://docs.google.com/spreadsheets/d/1swGwZOEqYlTEUCJLY-eeJM1911Kvaei5oySBIxdgtNo/edit?pli=1#gid=257618397"",""stock FAKTUR!B:G""),6,false)"),"6363")</f>
        <v>6363</v>
      </c>
      <c r="J763" s="120" t="str">
        <f t="shared" si="25"/>
        <v>ADA</v>
      </c>
      <c r="K763" s="142">
        <v>1.0</v>
      </c>
      <c r="L763" s="145" t="str">
        <f>IFERROR(__xludf.DUMMYFUNCTION("vlookup($D763,IMPORTRANGE(""https://docs.google.com/spreadsheets/d/1swGwZOEqYlTEUCJLY-eeJM1911Kvaei5oySBIxdgtNo/edit?pli=1#gid=257618397"",""stock FAKTUR!B:q""),16,false)"),"GRS")</f>
        <v>GRS</v>
      </c>
      <c r="M763" s="147">
        <v>120000.0</v>
      </c>
      <c r="N763" s="148"/>
      <c r="O763" s="147">
        <f t="shared" si="173"/>
        <v>120000</v>
      </c>
      <c r="P763" s="147" t="str">
        <f t="shared" si="3"/>
        <v>Rp120,000-1 GRS-0.00%</v>
      </c>
      <c r="Q763" s="149">
        <v>45422.0</v>
      </c>
      <c r="R763" s="150"/>
      <c r="S763" s="149">
        <v>45426.0</v>
      </c>
      <c r="T763" s="151"/>
      <c r="U763" s="151"/>
      <c r="V763" s="151"/>
      <c r="W763" s="151"/>
    </row>
    <row r="764">
      <c r="A764" s="142">
        <v>4905.0</v>
      </c>
      <c r="B764" s="143" t="str">
        <f t="shared" si="220"/>
        <v>H</v>
      </c>
      <c r="C764" s="143" t="str">
        <f t="shared" si="221"/>
        <v>BANJARAN PERMAI-TEGAL</v>
      </c>
      <c r="D764" s="53" t="s">
        <v>4762</v>
      </c>
      <c r="E764" s="145" t="str">
        <f>IFERROR(__xludf.DUMMYFUNCTION("vlookup(D764,IMPORTRANGE(""https://docs.google.com/spreadsheets/d/1swGwZOEqYlTEUCJLY-eeJM1911Kvaei5oySBIxdgtNo/edit?pli=1#gid=257618397"",""stock FAKTUR!B:C""),2,false)"),"TIPEX KENKO CT-809")</f>
        <v>TIPEX KENKO CT-809</v>
      </c>
      <c r="F764" s="53" t="str">
        <f>IFERROR(__xludf.DUMMYFUNCTION("vlookup($D764,IMPORTRANGE(""https://docs.google.com/spreadsheets/d/1swGwZOEqYlTEUCJLY-eeJM1911Kvaei5oySBIxdgtNo/edit?pli=1#gid=257618397"",""stock FAKTUR!B:d""),3,false)"),"")</f>
        <v/>
      </c>
      <c r="G764" s="53" t="str">
        <f>IFERROR(__xludf.DUMMYFUNCTION("vlookup($D764,IMPORTRANGE(""https://docs.google.com/spreadsheets/d/1swGwZOEqYlTEUCJLY-eeJM1911Kvaei5oySBIxdgtNo/edit?pli=1#gid=257618397"",""stock FAKTUR!B:e""),4,false)"),"")</f>
        <v/>
      </c>
      <c r="H764" s="53" t="str">
        <f>IFERROR(__xludf.DUMMYFUNCTION("vlookup($D764,IMPORTRANGE(""https://docs.google.com/spreadsheets/d/1swGwZOEqYlTEUCJLY-eeJM1911Kvaei5oySBIxdgtNo/edit?pli=1#gid=257618397"",""stock FAKTUR!B:F""),5,false)"),"KN")</f>
        <v>KN</v>
      </c>
      <c r="I764" s="53" t="str">
        <f>IFERROR(__xludf.DUMMYFUNCTION("vlookup($D764,IMPORTRANGE(""https://docs.google.com/spreadsheets/d/1swGwZOEqYlTEUCJLY-eeJM1911Kvaei5oySBIxdgtNo/edit?pli=1#gid=257618397"",""stock FAKTUR!B:G""),6,false)"),"")</f>
        <v/>
      </c>
      <c r="J764" s="120" t="str">
        <f t="shared" si="25"/>
        <v>ADA</v>
      </c>
      <c r="K764" s="142">
        <v>2.0</v>
      </c>
      <c r="L764" s="145" t="str">
        <f>IFERROR(__xludf.DUMMYFUNCTION("vlookup($D764,IMPORTRANGE(""https://docs.google.com/spreadsheets/d/1swGwZOEqYlTEUCJLY-eeJM1911Kvaei5oySBIxdgtNo/edit?pli=1#gid=257618397"",""stock FAKTUR!B:q""),16,false)"),"LSN")</f>
        <v>LSN</v>
      </c>
      <c r="M764" s="147">
        <v>60000.0</v>
      </c>
      <c r="N764" s="148"/>
      <c r="O764" s="147">
        <f t="shared" si="173"/>
        <v>120000</v>
      </c>
      <c r="P764" s="147" t="str">
        <f t="shared" si="3"/>
        <v>Rp60,000-2 LSN-0.00%</v>
      </c>
      <c r="Q764" s="149">
        <v>45422.0</v>
      </c>
      <c r="R764" s="150"/>
      <c r="S764" s="149">
        <v>45426.0</v>
      </c>
      <c r="T764" s="151"/>
      <c r="U764" s="151"/>
      <c r="V764" s="151"/>
      <c r="W764" s="151"/>
    </row>
    <row r="765">
      <c r="A765" s="142">
        <v>4905.0</v>
      </c>
      <c r="B765" s="143" t="str">
        <f t="shared" si="220"/>
        <v>H</v>
      </c>
      <c r="C765" s="143" t="str">
        <f t="shared" si="221"/>
        <v>BANJARAN PERMAI-TEGAL</v>
      </c>
      <c r="D765" s="198" t="s">
        <v>4495</v>
      </c>
      <c r="E765" s="145" t="str">
        <f>IFERROR(__xludf.DUMMYFUNCTION("vlookup(D765,IMPORTRANGE(""https://docs.google.com/spreadsheets/d/1swGwZOEqYlTEUCJLY-eeJM1911Kvaei5oySBIxdgtNo/edit?pli=1#gid=257618397"",""stock FAKTUR!B:C""),2,false)"),"MAP DOC BAG+HANDLE 2544 JARING B6")</f>
        <v>MAP DOC BAG+HANDLE 2544 JARING B6</v>
      </c>
      <c r="F765" s="53" t="str">
        <f>IFERROR(__xludf.DUMMYFUNCTION("vlookup($D765,IMPORTRANGE(""https://docs.google.com/spreadsheets/d/1swGwZOEqYlTEUCJLY-eeJM1911Kvaei5oySBIxdgtNo/edit?pli=1#gid=257618397"",""stock FAKTUR!B:d""),3,false)"),"B6")</f>
        <v>B6</v>
      </c>
      <c r="G765" s="53" t="str">
        <f>IFERROR(__xludf.DUMMYFUNCTION("vlookup($D765,IMPORTRANGE(""https://docs.google.com/spreadsheets/d/1swGwZOEqYlTEUCJLY-eeJM1911Kvaei5oySBIxdgtNo/edit?pli=1#gid=257618397"",""stock FAKTUR!B:e""),4,false)"),"")</f>
        <v/>
      </c>
      <c r="H765" s="53" t="str">
        <f>IFERROR(__xludf.DUMMYFUNCTION("vlookup($D765,IMPORTRANGE(""https://docs.google.com/spreadsheets/d/1swGwZOEqYlTEUCJLY-eeJM1911Kvaei5oySBIxdgtNo/edit?pli=1#gid=257618397"",""stock FAKTUR!B:F""),5,false)"),"CR")</f>
        <v>CR</v>
      </c>
      <c r="I765" s="53" t="str">
        <f>IFERROR(__xludf.DUMMYFUNCTION("vlookup($D765,IMPORTRANGE(""https://docs.google.com/spreadsheets/d/1swGwZOEqYlTEUCJLY-eeJM1911Kvaei5oySBIxdgtNo/edit?pli=1#gid=257618397"",""stock FAKTUR!B:G""),6,false)"),"2544")</f>
        <v>2544</v>
      </c>
      <c r="J765" s="120" t="str">
        <f t="shared" si="25"/>
        <v>ADA</v>
      </c>
      <c r="K765" s="142">
        <v>2.0</v>
      </c>
      <c r="L765" s="145" t="str">
        <f>IFERROR(__xludf.DUMMYFUNCTION("vlookup($D765,IMPORTRANGE(""https://docs.google.com/spreadsheets/d/1swGwZOEqYlTEUCJLY-eeJM1911Kvaei5oySBIxdgtNo/edit?pli=1#gid=257618397"",""stock FAKTUR!B:q""),16,false)"),"LSN")</f>
        <v>LSN</v>
      </c>
      <c r="M765" s="147">
        <v>100000.0</v>
      </c>
      <c r="N765" s="148"/>
      <c r="O765" s="147">
        <f t="shared" si="173"/>
        <v>200000</v>
      </c>
      <c r="P765" s="147" t="str">
        <f t="shared" si="3"/>
        <v>Rp100,000-2 LSN-0.00%</v>
      </c>
      <c r="Q765" s="149">
        <v>45422.0</v>
      </c>
      <c r="R765" s="150"/>
      <c r="S765" s="149">
        <v>45426.0</v>
      </c>
      <c r="T765" s="151"/>
      <c r="U765" s="151"/>
      <c r="V765" s="151"/>
      <c r="W765" s="151"/>
    </row>
    <row r="766">
      <c r="A766" s="142">
        <v>4905.0</v>
      </c>
      <c r="B766" s="143" t="str">
        <f t="shared" si="220"/>
        <v>H</v>
      </c>
      <c r="C766" s="143" t="str">
        <f t="shared" si="221"/>
        <v>BANJARAN PERMAI-TEGAL</v>
      </c>
      <c r="D766" s="70" t="s">
        <v>4703</v>
      </c>
      <c r="E766" s="145" t="str">
        <f>IFERROR(__xludf.DUMMYFUNCTION("vlookup(D766,IMPORTRANGE(""https://docs.google.com/spreadsheets/d/1swGwZOEqYlTEUCJLY-eeJM1911Kvaei5oySBIxdgtNo/edit?pli=1#gid=257618397"",""stock FAKTUR!B:C""),2,false)"),"ASAHAN KENKO SP-71 S KECIL")</f>
        <v>ASAHAN KENKO SP-71 S KECIL</v>
      </c>
      <c r="F766" s="53" t="str">
        <f>IFERROR(__xludf.DUMMYFUNCTION("vlookup($D766,IMPORTRANGE(""https://docs.google.com/spreadsheets/d/1swGwZOEqYlTEUCJLY-eeJM1911Kvaei5oySBIxdgtNo/edit?pli=1#gid=257618397"",""stock FAKTUR!B:d""),3,false)"),"K")</f>
        <v>K</v>
      </c>
      <c r="G766" s="53" t="str">
        <f>IFERROR(__xludf.DUMMYFUNCTION("vlookup($D766,IMPORTRANGE(""https://docs.google.com/spreadsheets/d/1swGwZOEqYlTEUCJLY-eeJM1911Kvaei5oySBIxdgtNo/edit?pli=1#gid=257618397"",""stock FAKTUR!B:e""),4,false)"),"")</f>
        <v/>
      </c>
      <c r="H766" s="53" t="str">
        <f>IFERROR(__xludf.DUMMYFUNCTION("vlookup($D766,IMPORTRANGE(""https://docs.google.com/spreadsheets/d/1swGwZOEqYlTEUCJLY-eeJM1911Kvaei5oySBIxdgtNo/edit?pli=1#gid=257618397"",""stock FAKTUR!B:F""),5,false)"),"KN")</f>
        <v>KN</v>
      </c>
      <c r="I766" s="53" t="str">
        <f>IFERROR(__xludf.DUMMYFUNCTION("vlookup($D766,IMPORTRANGE(""https://docs.google.com/spreadsheets/d/1swGwZOEqYlTEUCJLY-eeJM1911Kvaei5oySBIxdgtNo/edit?pli=1#gid=257618397"",""stock FAKTUR!B:G""),6,false)"),"")</f>
        <v/>
      </c>
      <c r="J766" s="120" t="str">
        <f t="shared" si="25"/>
        <v>ADA</v>
      </c>
      <c r="K766" s="142">
        <v>2.0</v>
      </c>
      <c r="L766" s="145" t="str">
        <f>IFERROR(__xludf.DUMMYFUNCTION("vlookup($D766,IMPORTRANGE(""https://docs.google.com/spreadsheets/d/1swGwZOEqYlTEUCJLY-eeJM1911Kvaei5oySBIxdgtNo/edit?pli=1#gid=257618397"",""stock FAKTUR!B:q""),16,false)"),"BOX")</f>
        <v>BOX</v>
      </c>
      <c r="M766" s="147">
        <v>17500.0</v>
      </c>
      <c r="N766" s="148"/>
      <c r="O766" s="147">
        <f t="shared" si="173"/>
        <v>35000</v>
      </c>
      <c r="P766" s="147" t="str">
        <f t="shared" si="3"/>
        <v>Rp17,500-2 BOX-0.00%</v>
      </c>
      <c r="Q766" s="149">
        <v>45422.0</v>
      </c>
      <c r="R766" s="150"/>
      <c r="S766" s="149">
        <v>45426.0</v>
      </c>
      <c r="T766" s="151"/>
      <c r="U766" s="151"/>
      <c r="V766" s="151"/>
      <c r="W766" s="151"/>
    </row>
    <row r="767">
      <c r="A767" s="142">
        <v>4905.0</v>
      </c>
      <c r="B767" s="143" t="str">
        <f t="shared" si="220"/>
        <v>H</v>
      </c>
      <c r="C767" s="143" t="str">
        <f t="shared" si="221"/>
        <v>BANJARAN PERMAI-TEGAL</v>
      </c>
      <c r="D767" s="53" t="s">
        <v>4763</v>
      </c>
      <c r="E767" s="145" t="str">
        <f>IFERROR(__xludf.DUMMYFUNCTION("vlookup(D767,IMPORTRANGE(""https://docs.google.com/spreadsheets/d/1swGwZOEqYlTEUCJLY-eeJM1911Kvaei5oySBIxdgtNo/edit?pli=1#gid=257618397"",""stock FAKTUR!B:C""),2,false)"),"MAP DOC BAG T-518 (33X23) A4")</f>
        <v>MAP DOC BAG T-518 (33X23) A4</v>
      </c>
      <c r="F767" s="53" t="str">
        <f>IFERROR(__xludf.DUMMYFUNCTION("vlookup($D767,IMPORTRANGE(""https://docs.google.com/spreadsheets/d/1swGwZOEqYlTEUCJLY-eeJM1911Kvaei5oySBIxdgtNo/edit?pli=1#gid=257618397"",""stock FAKTUR!B:d""),3,false)"),"A4")</f>
        <v>A4</v>
      </c>
      <c r="G767" s="53" t="str">
        <f>IFERROR(__xludf.DUMMYFUNCTION("vlookup($D767,IMPORTRANGE(""https://docs.google.com/spreadsheets/d/1swGwZOEqYlTEUCJLY-eeJM1911Kvaei5oySBIxdgtNo/edit?pli=1#gid=257618397"",""stock FAKTUR!B:e""),4,false)"),"3W")</f>
        <v>3W</v>
      </c>
      <c r="H767" s="53" t="str">
        <f>IFERROR(__xludf.DUMMYFUNCTION("vlookup($D767,IMPORTRANGE(""https://docs.google.com/spreadsheets/d/1swGwZOEqYlTEUCJLY-eeJM1911Kvaei5oySBIxdgtNo/edit?pli=1#gid=257618397"",""stock FAKTUR!B:F""),5,false)"),"NB")</f>
        <v>NB</v>
      </c>
      <c r="I767" s="53" t="str">
        <f>IFERROR(__xludf.DUMMYFUNCTION("vlookup($D767,IMPORTRANGE(""https://docs.google.com/spreadsheets/d/1swGwZOEqYlTEUCJLY-eeJM1911Kvaei5oySBIxdgtNo/edit?pli=1#gid=257618397"",""stock FAKTUR!B:G""),6,false)"),"T-518")</f>
        <v>T-518</v>
      </c>
      <c r="J767" s="120" t="str">
        <f t="shared" si="25"/>
        <v>ADA</v>
      </c>
      <c r="K767" s="142">
        <v>1.0</v>
      </c>
      <c r="L767" s="145" t="str">
        <f>IFERROR(__xludf.DUMMYFUNCTION("vlookup($D767,IMPORTRANGE(""https://docs.google.com/spreadsheets/d/1swGwZOEqYlTEUCJLY-eeJM1911Kvaei5oySBIxdgtNo/edit?pli=1#gid=257618397"",""stock FAKTUR!B:q""),16,false)"),"LSN")</f>
        <v>LSN</v>
      </c>
      <c r="M767" s="147">
        <v>100000.0</v>
      </c>
      <c r="N767" s="148"/>
      <c r="O767" s="147">
        <f t="shared" si="173"/>
        <v>100000</v>
      </c>
      <c r="P767" s="147" t="str">
        <f t="shared" si="3"/>
        <v>Rp100,000-1 LSN-0.00%</v>
      </c>
      <c r="Q767" s="149">
        <v>45422.0</v>
      </c>
      <c r="R767" s="150"/>
      <c r="S767" s="149">
        <v>45426.0</v>
      </c>
      <c r="T767" s="151"/>
      <c r="U767" s="151"/>
      <c r="V767" s="151"/>
      <c r="W767" s="151"/>
    </row>
    <row r="768">
      <c r="A768" s="142">
        <v>4906.0</v>
      </c>
      <c r="B768" s="143" t="s">
        <v>33</v>
      </c>
      <c r="C768" s="143" t="s">
        <v>3436</v>
      </c>
      <c r="D768" s="53" t="s">
        <v>4446</v>
      </c>
      <c r="E768" s="145" t="str">
        <f>IFERROR(__xludf.DUMMYFUNCTION("vlookup(D768,IMPORTRANGE(""https://docs.google.com/spreadsheets/d/1swGwZOEqYlTEUCJLY-eeJM1911Kvaei5oySBIxdgtNo/edit?pli=1#gid=257618397"",""stock FAKTUR!B:C""),2,false)"),"PC KLG/ STUDY SET K-597 MOBIL 20.5X7")</f>
        <v>PC KLG/ STUDY SET K-597 MOBIL 20.5X7</v>
      </c>
      <c r="F768" s="53" t="str">
        <f>IFERROR(__xludf.DUMMYFUNCTION("vlookup($D768,IMPORTRANGE(""https://docs.google.com/spreadsheets/d/1swGwZOEqYlTEUCJLY-eeJM1911Kvaei5oySBIxdgtNo/edit?pli=1#gid=257618397"",""stock FAKTUR!B:d""),3,false)"),"")</f>
        <v/>
      </c>
      <c r="G768" s="53" t="str">
        <f>IFERROR(__xludf.DUMMYFUNCTION("vlookup($D768,IMPORTRANGE(""https://docs.google.com/spreadsheets/d/1swGwZOEqYlTEUCJLY-eeJM1911Kvaei5oySBIxdgtNo/edit?pli=1#gid=257618397"",""stock FAKTUR!B:e""),4,false)"),"")</f>
        <v/>
      </c>
      <c r="H768" s="53" t="str">
        <f>IFERROR(__xludf.DUMMYFUNCTION("vlookup($D768,IMPORTRANGE(""https://docs.google.com/spreadsheets/d/1swGwZOEqYlTEUCJLY-eeJM1911Kvaei5oySBIxdgtNo/edit?pli=1#gid=257618397"",""stock FAKTUR!B:F""),5,false)"),"NB")</f>
        <v>NB</v>
      </c>
      <c r="I768" s="53" t="str">
        <f>IFERROR(__xludf.DUMMYFUNCTION("vlookup($D768,IMPORTRANGE(""https://docs.google.com/spreadsheets/d/1swGwZOEqYlTEUCJLY-eeJM1911Kvaei5oySBIxdgtNo/edit?pli=1#gid=257618397"",""stock FAKTUR!B:G""),6,false)"),"")</f>
        <v/>
      </c>
      <c r="J768" s="120" t="str">
        <f t="shared" si="25"/>
        <v>ADA</v>
      </c>
      <c r="K768" s="142">
        <v>12.0</v>
      </c>
      <c r="L768" s="145" t="str">
        <f>IFERROR(__xludf.DUMMYFUNCTION("vlookup($D768,IMPORTRANGE(""https://docs.google.com/spreadsheets/d/1swGwZOEqYlTEUCJLY-eeJM1911Kvaei5oySBIxdgtNo/edit?pli=1#gid=257618397"",""stock FAKTUR!B:q""),16,false)"),"PCS")</f>
        <v>PCS</v>
      </c>
      <c r="M768" s="147">
        <f t="shared" ref="M768:M769" si="222">150000/12</f>
        <v>12500</v>
      </c>
      <c r="N768" s="148"/>
      <c r="O768" s="147">
        <f t="shared" si="173"/>
        <v>150000</v>
      </c>
      <c r="P768" s="147" t="str">
        <f t="shared" si="3"/>
        <v>Rp12,500-12 PCS-0.00%</v>
      </c>
      <c r="Q768" s="149">
        <v>45422.0</v>
      </c>
      <c r="R768" s="150"/>
      <c r="S768" s="149">
        <v>45426.0</v>
      </c>
      <c r="T768" s="151"/>
      <c r="U768" s="151"/>
      <c r="V768" s="151"/>
      <c r="W768" s="151"/>
    </row>
    <row r="769">
      <c r="A769" s="142">
        <v>4906.0</v>
      </c>
      <c r="B769" s="143" t="str">
        <f t="shared" ref="B769:B770" si="223">IF(A769=A768,B768,"")</f>
        <v>H</v>
      </c>
      <c r="C769" s="143" t="str">
        <f t="shared" ref="C769:C770" si="224">IF(A769=A768,C768,"")</f>
        <v>BANJARAN PERMAI-TEGAL</v>
      </c>
      <c r="D769" s="53" t="s">
        <v>4764</v>
      </c>
      <c r="E769" s="145" t="str">
        <f>IFERROR(__xludf.DUMMYFUNCTION("vlookup(D769,IMPORTRANGE(""https://docs.google.com/spreadsheets/d/1swGwZOEqYlTEUCJLY-eeJM1911Kvaei5oySBIxdgtNo/edit?pli=1#gid=257618397"",""stock FAKTUR!B:C""),2,false)"),"OIL PASTEL KENKO 12C KOP")</f>
        <v>OIL PASTEL KENKO 12C KOP</v>
      </c>
      <c r="F769" s="53" t="str">
        <f>IFERROR(__xludf.DUMMYFUNCTION("vlookup($D769,IMPORTRANGE(""https://docs.google.com/spreadsheets/d/1swGwZOEqYlTEUCJLY-eeJM1911Kvaei5oySBIxdgtNo/edit?pli=1#gid=257618397"",""stock FAKTUR!B:d""),3,false)"),"")</f>
        <v/>
      </c>
      <c r="G769" s="53" t="str">
        <f>IFERROR(__xludf.DUMMYFUNCTION("vlookup($D769,IMPORTRANGE(""https://docs.google.com/spreadsheets/d/1swGwZOEqYlTEUCJLY-eeJM1911Kvaei5oySBIxdgtNo/edit?pli=1#gid=257618397"",""stock FAKTUR!B:e""),4,false)"),"12W")</f>
        <v>12W</v>
      </c>
      <c r="H769" s="53" t="str">
        <f>IFERROR(__xludf.DUMMYFUNCTION("vlookup($D769,IMPORTRANGE(""https://docs.google.com/spreadsheets/d/1swGwZOEqYlTEUCJLY-eeJM1911Kvaei5oySBIxdgtNo/edit?pli=1#gid=257618397"",""stock FAKTUR!B:F""),5,false)"),"KN")</f>
        <v>KN</v>
      </c>
      <c r="I769" s="53" t="str">
        <f>IFERROR(__xludf.DUMMYFUNCTION("vlookup($D769,IMPORTRANGE(""https://docs.google.com/spreadsheets/d/1swGwZOEqYlTEUCJLY-eeJM1911Kvaei5oySBIxdgtNo/edit?pli=1#gid=257618397"",""stock FAKTUR!B:G""),6,false)"),"")</f>
        <v/>
      </c>
      <c r="J769" s="120" t="str">
        <f t="shared" si="25"/>
        <v>ADA</v>
      </c>
      <c r="K769" s="142">
        <v>12.0</v>
      </c>
      <c r="L769" s="145" t="str">
        <f>IFERROR(__xludf.DUMMYFUNCTION("vlookup($D769,IMPORTRANGE(""https://docs.google.com/spreadsheets/d/1swGwZOEqYlTEUCJLY-eeJM1911Kvaei5oySBIxdgtNo/edit?pli=1#gid=257618397"",""stock FAKTUR!B:q""),16,false)"),"PCS")</f>
        <v>PCS</v>
      </c>
      <c r="M769" s="147">
        <f t="shared" si="222"/>
        <v>12500</v>
      </c>
      <c r="N769" s="148"/>
      <c r="O769" s="147">
        <f t="shared" si="173"/>
        <v>150000</v>
      </c>
      <c r="P769" s="147" t="str">
        <f t="shared" si="3"/>
        <v>Rp12,500-12 PCS-0.00%</v>
      </c>
      <c r="Q769" s="149">
        <v>45422.0</v>
      </c>
      <c r="R769" s="150"/>
      <c r="S769" s="149">
        <v>45426.0</v>
      </c>
      <c r="T769" s="151"/>
      <c r="U769" s="151"/>
      <c r="V769" s="151"/>
      <c r="W769" s="151"/>
    </row>
    <row r="770">
      <c r="A770" s="142">
        <v>4906.0</v>
      </c>
      <c r="B770" s="143" t="str">
        <f t="shared" si="223"/>
        <v>H</v>
      </c>
      <c r="C770" s="143" t="str">
        <f t="shared" si="224"/>
        <v>BANJARAN PERMAI-TEGAL</v>
      </c>
      <c r="D770" s="53" t="s">
        <v>4525</v>
      </c>
      <c r="E770" s="145" t="str">
        <f>IFERROR(__xludf.DUMMYFUNCTION("vlookup(D770,IMPORTRANGE(""https://docs.google.com/spreadsheets/d/1swGwZOEqYlTEUCJLY-eeJM1911Kvaei5oySBIxdgtNo/edit?pli=1#gid=257618397"",""stock FAKTUR!B:C""),2,false)"),"DISPENSER MN-305 POLAR BEAR ")</f>
        <v>DISPENSER MN-305 POLAR BEAR </v>
      </c>
      <c r="F770" s="53" t="str">
        <f>IFERROR(__xludf.DUMMYFUNCTION("vlookup($D770,IMPORTRANGE(""https://docs.google.com/spreadsheets/d/1swGwZOEqYlTEUCJLY-eeJM1911Kvaei5oySBIxdgtNo/edit?pli=1#gid=257618397"",""stock FAKTUR!B:d""),3,false)"),"")</f>
        <v/>
      </c>
      <c r="G770" s="53" t="str">
        <f>IFERROR(__xludf.DUMMYFUNCTION("vlookup($D770,IMPORTRANGE(""https://docs.google.com/spreadsheets/d/1swGwZOEqYlTEUCJLY-eeJM1911Kvaei5oySBIxdgtNo/edit?pli=1#gid=257618397"",""stock FAKTUR!B:e""),4,false)"),"")</f>
        <v/>
      </c>
      <c r="H770" s="53" t="str">
        <f>IFERROR(__xludf.DUMMYFUNCTION("vlookup($D770,IMPORTRANGE(""https://docs.google.com/spreadsheets/d/1swGwZOEqYlTEUCJLY-eeJM1911Kvaei5oySBIxdgtNo/edit?pli=1#gid=257618397"",""stock FAKTUR!B:F""),5,false)"),"NB")</f>
        <v>NB</v>
      </c>
      <c r="I770" s="53" t="str">
        <f>IFERROR(__xludf.DUMMYFUNCTION("vlookup($D770,IMPORTRANGE(""https://docs.google.com/spreadsheets/d/1swGwZOEqYlTEUCJLY-eeJM1911Kvaei5oySBIxdgtNo/edit?pli=1#gid=257618397"",""stock FAKTUR!B:G""),6,false)"),"MN-305")</f>
        <v>MN-305</v>
      </c>
      <c r="J770" s="120" t="str">
        <f t="shared" si="25"/>
        <v>ADA</v>
      </c>
      <c r="K770" s="142">
        <v>1.0</v>
      </c>
      <c r="L770" s="145" t="str">
        <f>IFERROR(__xludf.DUMMYFUNCTION("vlookup($D770,IMPORTRANGE(""https://docs.google.com/spreadsheets/d/1swGwZOEqYlTEUCJLY-eeJM1911Kvaei5oySBIxdgtNo/edit?pli=1#gid=257618397"",""stock FAKTUR!B:q""),16,false)"),"LSN")</f>
        <v>LSN</v>
      </c>
      <c r="M770" s="147">
        <v>115000.0</v>
      </c>
      <c r="N770" s="148"/>
      <c r="O770" s="147">
        <f t="shared" si="173"/>
        <v>115000</v>
      </c>
      <c r="P770" s="147" t="str">
        <f t="shared" si="3"/>
        <v>Rp115,000-1 LSN-0.00%</v>
      </c>
      <c r="Q770" s="149">
        <v>45422.0</v>
      </c>
      <c r="R770" s="150"/>
      <c r="S770" s="149">
        <v>45426.0</v>
      </c>
      <c r="T770" s="151"/>
      <c r="U770" s="151"/>
      <c r="V770" s="151"/>
      <c r="W770" s="151"/>
    </row>
    <row r="771">
      <c r="A771" s="142">
        <v>4744.0</v>
      </c>
      <c r="B771" s="143" t="s">
        <v>33</v>
      </c>
      <c r="C771" s="143" t="s">
        <v>3688</v>
      </c>
      <c r="D771" s="53" t="s">
        <v>4765</v>
      </c>
      <c r="E771" s="145" t="str">
        <f>IFERROR(__xludf.DUMMYFUNCTION("vlookup(D771,IMPORTRANGE(""https://docs.google.com/spreadsheets/d/1swGwZOEqYlTEUCJLY-eeJM1911Kvaei5oySBIxdgtNo/edit?pli=1#gid=257618397"",""stock FAKTUR!B:C""),2,false)"),"BP KENKO MICROTEC 0.28 HITAM")</f>
        <v>BP KENKO MICROTEC 0.28 HITAM</v>
      </c>
      <c r="F771" s="53" t="str">
        <f>IFERROR(__xludf.DUMMYFUNCTION("vlookup($D771,IMPORTRANGE(""https://docs.google.com/spreadsheets/d/1swGwZOEqYlTEUCJLY-eeJM1911Kvaei5oySBIxdgtNo/edit?pli=1#gid=257618397"",""stock FAKTUR!B:d""),3,false)"),"")</f>
        <v/>
      </c>
      <c r="G771" s="53" t="str">
        <f>IFERROR(__xludf.DUMMYFUNCTION("vlookup($D771,IMPORTRANGE(""https://docs.google.com/spreadsheets/d/1swGwZOEqYlTEUCJLY-eeJM1911Kvaei5oySBIxdgtNo/edit?pli=1#gid=257618397"",""stock FAKTUR!B:e""),4,false)"),"")</f>
        <v/>
      </c>
      <c r="H771" s="53" t="str">
        <f>IFERROR(__xludf.DUMMYFUNCTION("vlookup($D771,IMPORTRANGE(""https://docs.google.com/spreadsheets/d/1swGwZOEqYlTEUCJLY-eeJM1911Kvaei5oySBIxdgtNo/edit?pli=1#gid=257618397"",""stock FAKTUR!B:F""),5,false)"),"KN")</f>
        <v>KN</v>
      </c>
      <c r="I771" s="53" t="str">
        <f>IFERROR(__xludf.DUMMYFUNCTION("vlookup($D771,IMPORTRANGE(""https://docs.google.com/spreadsheets/d/1swGwZOEqYlTEUCJLY-eeJM1911Kvaei5oySBIxdgtNo/edit?pli=1#gid=257618397"",""stock FAKTUR!B:G""),6,false)"),"")</f>
        <v/>
      </c>
      <c r="J771" s="120" t="str">
        <f t="shared" si="25"/>
        <v>ADA</v>
      </c>
      <c r="K771" s="142">
        <v>144.0</v>
      </c>
      <c r="L771" s="145" t="str">
        <f>IFERROR(__xludf.DUMMYFUNCTION("vlookup($D771,IMPORTRANGE(""https://docs.google.com/spreadsheets/d/1swGwZOEqYlTEUCJLY-eeJM1911Kvaei5oySBIxdgtNo/edit?pli=1#gid=257618397"",""stock FAKTUR!B:q""),16,false)"),"LSN")</f>
        <v>LSN</v>
      </c>
      <c r="M771" s="147">
        <v>39600.0</v>
      </c>
      <c r="N771" s="152">
        <v>0.125</v>
      </c>
      <c r="O771" s="147">
        <f t="shared" si="173"/>
        <v>4989600</v>
      </c>
      <c r="P771" s="147" t="str">
        <f t="shared" si="3"/>
        <v>Rp39,600-144 LSN-12.50%</v>
      </c>
      <c r="Q771" s="149">
        <v>45423.0</v>
      </c>
      <c r="R771" s="150"/>
      <c r="S771" s="149">
        <v>45426.0</v>
      </c>
      <c r="T771" s="151"/>
      <c r="U771" s="151"/>
      <c r="V771" s="151"/>
      <c r="W771" s="151"/>
    </row>
    <row r="772">
      <c r="A772" s="142">
        <v>4901.0</v>
      </c>
      <c r="B772" s="143" t="s">
        <v>33</v>
      </c>
      <c r="C772" s="143" t="s">
        <v>3684</v>
      </c>
      <c r="D772" s="53" t="s">
        <v>4766</v>
      </c>
      <c r="E772" s="145" t="str">
        <f>IFERROR(__xludf.DUMMYFUNCTION("vlookup(D772,IMPORTRANGE(""https://docs.google.com/spreadsheets/d/1swGwZOEqYlTEUCJLY-eeJM1911Kvaei5oySBIxdgtNo/edit?pli=1#gid=257618397"",""stock FAKTUR!B:C""),2,false)"),"BINDER CLIP KENKO NO. 105")</f>
        <v>BINDER CLIP KENKO NO. 105</v>
      </c>
      <c r="F772" s="53" t="str">
        <f>IFERROR(__xludf.DUMMYFUNCTION("vlookup($D772,IMPORTRANGE(""https://docs.google.com/spreadsheets/d/1swGwZOEqYlTEUCJLY-eeJM1911Kvaei5oySBIxdgtNo/edit?pli=1#gid=257618397"",""stock FAKTUR!B:d""),3,false)"),"")</f>
        <v/>
      </c>
      <c r="G772" s="53" t="str">
        <f>IFERROR(__xludf.DUMMYFUNCTION("vlookup($D772,IMPORTRANGE(""https://docs.google.com/spreadsheets/d/1swGwZOEqYlTEUCJLY-eeJM1911Kvaei5oySBIxdgtNo/edit?pli=1#gid=257618397"",""stock FAKTUR!B:e""),4,false)"),"")</f>
        <v/>
      </c>
      <c r="H772" s="53" t="str">
        <f>IFERROR(__xludf.DUMMYFUNCTION("vlookup($D772,IMPORTRANGE(""https://docs.google.com/spreadsheets/d/1swGwZOEqYlTEUCJLY-eeJM1911Kvaei5oySBIxdgtNo/edit?pli=1#gid=257618397"",""stock FAKTUR!B:F""),5,false)"),"KN")</f>
        <v>KN</v>
      </c>
      <c r="I772" s="53" t="str">
        <f>IFERROR(__xludf.DUMMYFUNCTION("vlookup($D772,IMPORTRANGE(""https://docs.google.com/spreadsheets/d/1swGwZOEqYlTEUCJLY-eeJM1911Kvaei5oySBIxdgtNo/edit?pli=1#gid=257618397"",""stock FAKTUR!B:G""),6,false)"),"BCL-001QH")</f>
        <v>BCL-001QH</v>
      </c>
      <c r="J772" s="120" t="str">
        <f t="shared" si="25"/>
        <v>ADA</v>
      </c>
      <c r="K772" s="142">
        <v>50.0</v>
      </c>
      <c r="L772" s="145" t="str">
        <f>IFERROR(__xludf.DUMMYFUNCTION("vlookup($D772,IMPORTRANGE(""https://docs.google.com/spreadsheets/d/1swGwZOEqYlTEUCJLY-eeJM1911Kvaei5oySBIxdgtNo/edit?pli=1#gid=257618397"",""stock FAKTUR!B:q""),16,false)"),"BOX")</f>
        <v>BOX</v>
      </c>
      <c r="M772" s="147">
        <v>28800.0</v>
      </c>
      <c r="N772" s="152">
        <v>0.14</v>
      </c>
      <c r="O772" s="147">
        <f t="shared" si="173"/>
        <v>1238400</v>
      </c>
      <c r="P772" s="147" t="str">
        <f t="shared" si="3"/>
        <v>Rp28,800-50 BOX-14.00%</v>
      </c>
      <c r="Q772" s="149">
        <v>45423.0</v>
      </c>
      <c r="R772" s="150"/>
      <c r="S772" s="149">
        <v>45426.0</v>
      </c>
      <c r="T772" s="151"/>
      <c r="U772" s="151"/>
      <c r="V772" s="151"/>
      <c r="W772" s="151"/>
    </row>
    <row r="773">
      <c r="A773" s="142">
        <v>4904.0</v>
      </c>
      <c r="B773" s="143" t="s">
        <v>33</v>
      </c>
      <c r="C773" s="143" t="s">
        <v>1768</v>
      </c>
      <c r="D773" s="53" t="s">
        <v>4765</v>
      </c>
      <c r="E773" s="145" t="str">
        <f>IFERROR(__xludf.DUMMYFUNCTION("vlookup(D773,IMPORTRANGE(""https://docs.google.com/spreadsheets/d/1swGwZOEqYlTEUCJLY-eeJM1911Kvaei5oySBIxdgtNo/edit?pli=1#gid=257618397"",""stock FAKTUR!B:C""),2,false)"),"BP KENKO MICROTEC 0.28 HITAM")</f>
        <v>BP KENKO MICROTEC 0.28 HITAM</v>
      </c>
      <c r="F773" s="53" t="str">
        <f>IFERROR(__xludf.DUMMYFUNCTION("vlookup($D773,IMPORTRANGE(""https://docs.google.com/spreadsheets/d/1swGwZOEqYlTEUCJLY-eeJM1911Kvaei5oySBIxdgtNo/edit?pli=1#gid=257618397"",""stock FAKTUR!B:d""),3,false)"),"")</f>
        <v/>
      </c>
      <c r="G773" s="53" t="str">
        <f>IFERROR(__xludf.DUMMYFUNCTION("vlookup($D773,IMPORTRANGE(""https://docs.google.com/spreadsheets/d/1swGwZOEqYlTEUCJLY-eeJM1911Kvaei5oySBIxdgtNo/edit?pli=1#gid=257618397"",""stock FAKTUR!B:e""),4,false)"),"")</f>
        <v/>
      </c>
      <c r="H773" s="53" t="str">
        <f>IFERROR(__xludf.DUMMYFUNCTION("vlookup($D773,IMPORTRANGE(""https://docs.google.com/spreadsheets/d/1swGwZOEqYlTEUCJLY-eeJM1911Kvaei5oySBIxdgtNo/edit?pli=1#gid=257618397"",""stock FAKTUR!B:F""),5,false)"),"KN")</f>
        <v>KN</v>
      </c>
      <c r="I773" s="53" t="str">
        <f>IFERROR(__xludf.DUMMYFUNCTION("vlookup($D773,IMPORTRANGE(""https://docs.google.com/spreadsheets/d/1swGwZOEqYlTEUCJLY-eeJM1911Kvaei5oySBIxdgtNo/edit?pli=1#gid=257618397"",""stock FAKTUR!B:G""),6,false)"),"")</f>
        <v/>
      </c>
      <c r="J773" s="120" t="str">
        <f t="shared" si="25"/>
        <v>ADA</v>
      </c>
      <c r="K773" s="142">
        <v>24.0</v>
      </c>
      <c r="L773" s="145" t="str">
        <f>IFERROR(__xludf.DUMMYFUNCTION("vlookup($D773,IMPORTRANGE(""https://docs.google.com/spreadsheets/d/1swGwZOEqYlTEUCJLY-eeJM1911Kvaei5oySBIxdgtNo/edit?pli=1#gid=257618397"",""stock FAKTUR!B:q""),16,false)"),"LSN")</f>
        <v>LSN</v>
      </c>
      <c r="M773" s="147">
        <v>39600.0</v>
      </c>
      <c r="N773" s="152">
        <v>0.125</v>
      </c>
      <c r="O773" s="147">
        <f t="shared" si="173"/>
        <v>831600</v>
      </c>
      <c r="P773" s="147" t="str">
        <f t="shared" si="3"/>
        <v>Rp39,600-24 LSN-12.50%</v>
      </c>
      <c r="Q773" s="149">
        <v>45423.0</v>
      </c>
      <c r="R773" s="150"/>
      <c r="S773" s="149">
        <v>45426.0</v>
      </c>
      <c r="T773" s="151"/>
      <c r="U773" s="151"/>
      <c r="V773" s="151"/>
      <c r="W773" s="151"/>
    </row>
    <row r="774">
      <c r="A774" s="142">
        <v>4904.0</v>
      </c>
      <c r="B774" s="143" t="str">
        <f t="shared" ref="B774:B778" si="225">IF(A774=A773,B773,"")</f>
        <v>H</v>
      </c>
      <c r="C774" s="143" t="str">
        <f t="shared" ref="C774:C778" si="226">IF(A774=A773,C773,"")</f>
        <v>SISWA-MUNTILAN</v>
      </c>
      <c r="D774" s="53" t="s">
        <v>4766</v>
      </c>
      <c r="E774" s="145" t="str">
        <f>IFERROR(__xludf.DUMMYFUNCTION("vlookup(D774,IMPORTRANGE(""https://docs.google.com/spreadsheets/d/1swGwZOEqYlTEUCJLY-eeJM1911Kvaei5oySBIxdgtNo/edit?pli=1#gid=257618397"",""stock FAKTUR!B:C""),2,false)"),"BINDER CLIP KENKO NO. 105")</f>
        <v>BINDER CLIP KENKO NO. 105</v>
      </c>
      <c r="F774" s="53" t="str">
        <f>IFERROR(__xludf.DUMMYFUNCTION("vlookup($D774,IMPORTRANGE(""https://docs.google.com/spreadsheets/d/1swGwZOEqYlTEUCJLY-eeJM1911Kvaei5oySBIxdgtNo/edit?pli=1#gid=257618397"",""stock FAKTUR!B:d""),3,false)"),"")</f>
        <v/>
      </c>
      <c r="G774" s="53" t="str">
        <f>IFERROR(__xludf.DUMMYFUNCTION("vlookup($D774,IMPORTRANGE(""https://docs.google.com/spreadsheets/d/1swGwZOEqYlTEUCJLY-eeJM1911Kvaei5oySBIxdgtNo/edit?pli=1#gid=257618397"",""stock FAKTUR!B:e""),4,false)"),"")</f>
        <v/>
      </c>
      <c r="H774" s="53" t="str">
        <f>IFERROR(__xludf.DUMMYFUNCTION("vlookup($D774,IMPORTRANGE(""https://docs.google.com/spreadsheets/d/1swGwZOEqYlTEUCJLY-eeJM1911Kvaei5oySBIxdgtNo/edit?pli=1#gid=257618397"",""stock FAKTUR!B:F""),5,false)"),"KN")</f>
        <v>KN</v>
      </c>
      <c r="I774" s="53" t="str">
        <f>IFERROR(__xludf.DUMMYFUNCTION("vlookup($D774,IMPORTRANGE(""https://docs.google.com/spreadsheets/d/1swGwZOEqYlTEUCJLY-eeJM1911Kvaei5oySBIxdgtNo/edit?pli=1#gid=257618397"",""stock FAKTUR!B:G""),6,false)"),"BCL-001QH")</f>
        <v>BCL-001QH</v>
      </c>
      <c r="J774" s="120" t="str">
        <f t="shared" si="25"/>
        <v>ADA</v>
      </c>
      <c r="K774" s="142">
        <v>25.0</v>
      </c>
      <c r="L774" s="145" t="str">
        <f>IFERROR(__xludf.DUMMYFUNCTION("vlookup($D774,IMPORTRANGE(""https://docs.google.com/spreadsheets/d/1swGwZOEqYlTEUCJLY-eeJM1911Kvaei5oySBIxdgtNo/edit?pli=1#gid=257618397"",""stock FAKTUR!B:q""),16,false)"),"BOX")</f>
        <v>BOX</v>
      </c>
      <c r="M774" s="147">
        <v>28800.0</v>
      </c>
      <c r="N774" s="152">
        <v>0.125</v>
      </c>
      <c r="O774" s="147">
        <f t="shared" si="173"/>
        <v>630000</v>
      </c>
      <c r="P774" s="147" t="str">
        <f t="shared" si="3"/>
        <v>Rp28,800-25 BOX-12.50%</v>
      </c>
      <c r="Q774" s="149">
        <v>45423.0</v>
      </c>
      <c r="R774" s="150"/>
      <c r="S774" s="149">
        <v>45426.0</v>
      </c>
      <c r="T774" s="151"/>
      <c r="U774" s="151"/>
      <c r="V774" s="151"/>
      <c r="W774" s="151"/>
    </row>
    <row r="775">
      <c r="A775" s="142">
        <v>4904.0</v>
      </c>
      <c r="B775" s="143" t="str">
        <f t="shared" si="225"/>
        <v>H</v>
      </c>
      <c r="C775" s="143" t="str">
        <f t="shared" si="226"/>
        <v>SISWA-MUNTILAN</v>
      </c>
      <c r="D775" s="53" t="s">
        <v>4707</v>
      </c>
      <c r="E775" s="145" t="str">
        <f>IFERROR(__xludf.DUMMYFUNCTION("vlookup(D775,IMPORTRANGE(""https://docs.google.com/spreadsheets/d/1swGwZOEqYlTEUCJLY-eeJM1911Kvaei5oySBIxdgtNo/edit?pli=1#gid=257618397"",""stock FAKTUR!B:C""),2,false)"),"BINDER CLIP KENKO NO. 107")</f>
        <v>BINDER CLIP KENKO NO. 107</v>
      </c>
      <c r="F775" s="53" t="str">
        <f>IFERROR(__xludf.DUMMYFUNCTION("vlookup($D775,IMPORTRANGE(""https://docs.google.com/spreadsheets/d/1swGwZOEqYlTEUCJLY-eeJM1911Kvaei5oySBIxdgtNo/edit?pli=1#gid=257618397"",""stock FAKTUR!B:d""),3,false)"),"")</f>
        <v/>
      </c>
      <c r="G775" s="53" t="str">
        <f>IFERROR(__xludf.DUMMYFUNCTION("vlookup($D775,IMPORTRANGE(""https://docs.google.com/spreadsheets/d/1swGwZOEqYlTEUCJLY-eeJM1911Kvaei5oySBIxdgtNo/edit?pli=1#gid=257618397"",""stock FAKTUR!B:e""),4,false)"),"")</f>
        <v/>
      </c>
      <c r="H775" s="53" t="str">
        <f>IFERROR(__xludf.DUMMYFUNCTION("vlookup($D775,IMPORTRANGE(""https://docs.google.com/spreadsheets/d/1swGwZOEqYlTEUCJLY-eeJM1911Kvaei5oySBIxdgtNo/edit?pli=1#gid=257618397"",""stock FAKTUR!B:F""),5,false)"),"KN")</f>
        <v>KN</v>
      </c>
      <c r="I775" s="53" t="str">
        <f>IFERROR(__xludf.DUMMYFUNCTION("vlookup($D775,IMPORTRANGE(""https://docs.google.com/spreadsheets/d/1swGwZOEqYlTEUCJLY-eeJM1911Kvaei5oySBIxdgtNo/edit?pli=1#gid=257618397"",""stock FAKTUR!B:G""),6,false)"),"BCL-002QH")</f>
        <v>BCL-002QH</v>
      </c>
      <c r="J775" s="120" t="str">
        <f t="shared" si="25"/>
        <v>ADA</v>
      </c>
      <c r="K775" s="142">
        <v>8.0</v>
      </c>
      <c r="L775" s="145" t="str">
        <f>IFERROR(__xludf.DUMMYFUNCTION("vlookup($D775,IMPORTRANGE(""https://docs.google.com/spreadsheets/d/1swGwZOEqYlTEUCJLY-eeJM1911Kvaei5oySBIxdgtNo/edit?pli=1#gid=257618397"",""stock FAKTUR!B:q""),16,false)"),"BOX")</f>
        <v>BOX</v>
      </c>
      <c r="M775" s="147">
        <v>31800.0</v>
      </c>
      <c r="N775" s="152">
        <v>0.125</v>
      </c>
      <c r="O775" s="147">
        <f t="shared" si="173"/>
        <v>222600</v>
      </c>
      <c r="P775" s="147" t="str">
        <f t="shared" si="3"/>
        <v>Rp31,800-8 BOX-12.50%</v>
      </c>
      <c r="Q775" s="149">
        <v>45423.0</v>
      </c>
      <c r="R775" s="150"/>
      <c r="S775" s="149">
        <v>45426.0</v>
      </c>
      <c r="T775" s="151"/>
      <c r="U775" s="151"/>
      <c r="V775" s="151"/>
      <c r="W775" s="151"/>
    </row>
    <row r="776">
      <c r="A776" s="142">
        <v>4904.0</v>
      </c>
      <c r="B776" s="143" t="str">
        <f t="shared" si="225"/>
        <v>H</v>
      </c>
      <c r="C776" s="143" t="str">
        <f t="shared" si="226"/>
        <v>SISWA-MUNTILAN</v>
      </c>
      <c r="D776" s="193" t="s">
        <v>4767</v>
      </c>
      <c r="E776" s="145" t="str">
        <f>IFERROR(__xludf.DUMMYFUNCTION("vlookup(D776,IMPORTRANGE(""https://docs.google.com/spreadsheets/d/1swGwZOEqYlTEUCJLY-eeJM1911Kvaei5oySBIxdgtNo/edit?pli=1#gid=257618397"",""stock FAKTUR!B:C""),2,false)"),"DATE STAMP KENKO D-4 4MM")</f>
        <v>DATE STAMP KENKO D-4 4MM</v>
      </c>
      <c r="F776" s="53" t="str">
        <f>IFERROR(__xludf.DUMMYFUNCTION("vlookup($D776,IMPORTRANGE(""https://docs.google.com/spreadsheets/d/1swGwZOEqYlTEUCJLY-eeJM1911Kvaei5oySBIxdgtNo/edit?pli=1#gid=257618397"",""stock FAKTUR!B:d""),3,false)"),"4 MM")</f>
        <v>4 MM</v>
      </c>
      <c r="G776" s="53" t="str">
        <f>IFERROR(__xludf.DUMMYFUNCTION("vlookup($D776,IMPORTRANGE(""https://docs.google.com/spreadsheets/d/1swGwZOEqYlTEUCJLY-eeJM1911Kvaei5oySBIxdgtNo/edit?pli=1#gid=257618397"",""stock FAKTUR!B:e""),4,false)"),"")</f>
        <v/>
      </c>
      <c r="H776" s="53" t="str">
        <f>IFERROR(__xludf.DUMMYFUNCTION("vlookup($D776,IMPORTRANGE(""https://docs.google.com/spreadsheets/d/1swGwZOEqYlTEUCJLY-eeJM1911Kvaei5oySBIxdgtNo/edit?pli=1#gid=257618397"",""stock FAKTUR!B:F""),5,false)"),"KN")</f>
        <v>KN</v>
      </c>
      <c r="I776" s="53" t="str">
        <f>IFERROR(__xludf.DUMMYFUNCTION("vlookup($D776,IMPORTRANGE(""https://docs.google.com/spreadsheets/d/1swGwZOEqYlTEUCJLY-eeJM1911Kvaei5oySBIxdgtNo/edit?pli=1#gid=257618397"",""stock FAKTUR!B:G""),6,false)"),"D-4")</f>
        <v>D-4</v>
      </c>
      <c r="J776" s="120" t="str">
        <f t="shared" si="25"/>
        <v>ADA</v>
      </c>
      <c r="K776" s="142">
        <v>1.0</v>
      </c>
      <c r="L776" s="145" t="str">
        <f>IFERROR(__xludf.DUMMYFUNCTION("vlookup($D776,IMPORTRANGE(""https://docs.google.com/spreadsheets/d/1swGwZOEqYlTEUCJLY-eeJM1911Kvaei5oySBIxdgtNo/edit?pli=1#gid=257618397"",""stock FAKTUR!B:q""),16,false)"),"LSN")</f>
        <v>LSN</v>
      </c>
      <c r="M776" s="147">
        <v>74400.0</v>
      </c>
      <c r="N776" s="152">
        <v>0.125</v>
      </c>
      <c r="O776" s="147">
        <f t="shared" si="173"/>
        <v>65100</v>
      </c>
      <c r="P776" s="147" t="str">
        <f t="shared" si="3"/>
        <v>Rp74,400-1 LSN-12.50%</v>
      </c>
      <c r="Q776" s="149">
        <v>45423.0</v>
      </c>
      <c r="R776" s="150"/>
      <c r="S776" s="149">
        <v>45426.0</v>
      </c>
      <c r="T776" s="151"/>
      <c r="U776" s="192" t="s">
        <v>4390</v>
      </c>
      <c r="V776" s="151"/>
      <c r="W776" s="151"/>
    </row>
    <row r="777">
      <c r="A777" s="142">
        <v>4904.0</v>
      </c>
      <c r="B777" s="143" t="str">
        <f t="shared" si="225"/>
        <v>H</v>
      </c>
      <c r="C777" s="143" t="str">
        <f t="shared" si="226"/>
        <v>SISWA-MUNTILAN</v>
      </c>
      <c r="D777" s="193" t="s">
        <v>4768</v>
      </c>
      <c r="E777" s="145" t="str">
        <f>IFERROR(__xludf.DUMMYFUNCTION("vlookup(D777,IMPORTRANGE(""https://docs.google.com/spreadsheets/d/1swGwZOEqYlTEUCJLY-eeJM1911Kvaei5oySBIxdgtNo/edit?pli=1#gid=257618397"",""stock FAKTUR!B:C""),2,false)"),"BP GEL JK GP-266 ITECH BIRU")</f>
        <v>BP GEL JK GP-266 ITECH BIRU</v>
      </c>
      <c r="F777" s="53" t="str">
        <f>IFERROR(__xludf.DUMMYFUNCTION("vlookup($D777,IMPORTRANGE(""https://docs.google.com/spreadsheets/d/1swGwZOEqYlTEUCJLY-eeJM1911Kvaei5oySBIxdgtNo/edit?pli=1#gid=257618397"",""stock FAKTUR!B:d""),3,false)"),"")</f>
        <v/>
      </c>
      <c r="G777" s="53" t="str">
        <f>IFERROR(__xludf.DUMMYFUNCTION("vlookup($D777,IMPORTRANGE(""https://docs.google.com/spreadsheets/d/1swGwZOEqYlTEUCJLY-eeJM1911Kvaei5oySBIxdgtNo/edit?pli=1#gid=257618397"",""stock FAKTUR!B:e""),4,false)"),"")</f>
        <v/>
      </c>
      <c r="H777" s="53" t="str">
        <f>IFERROR(__xludf.DUMMYFUNCTION("vlookup($D777,IMPORTRANGE(""https://docs.google.com/spreadsheets/d/1swGwZOEqYlTEUCJLY-eeJM1911Kvaei5oySBIxdgtNo/edit?pli=1#gid=257618397"",""stock FAKTUR!B:F""),5,false)"),"JK")</f>
        <v>JK</v>
      </c>
      <c r="I777" s="53" t="str">
        <f>IFERROR(__xludf.DUMMYFUNCTION("vlookup($D777,IMPORTRANGE(""https://docs.google.com/spreadsheets/d/1swGwZOEqYlTEUCJLY-eeJM1911Kvaei5oySBIxdgtNo/edit?pli=1#gid=257618397"",""stock FAKTUR!B:G""),6,false)"),"266")</f>
        <v>266</v>
      </c>
      <c r="J777" s="120" t="str">
        <f t="shared" si="25"/>
        <v>ADA</v>
      </c>
      <c r="K777" s="142">
        <v>12.0</v>
      </c>
      <c r="L777" s="145" t="str">
        <f>IFERROR(__xludf.DUMMYFUNCTION("vlookup($D777,IMPORTRANGE(""https://docs.google.com/spreadsheets/d/1swGwZOEqYlTEUCJLY-eeJM1911Kvaei5oySBIxdgtNo/edit?pli=1#gid=257618397"",""stock FAKTUR!B:q""),16,false)"),"LSN")</f>
        <v>LSN</v>
      </c>
      <c r="M777" s="147">
        <v>27600.0</v>
      </c>
      <c r="N777" s="152">
        <v>0.125</v>
      </c>
      <c r="O777" s="147">
        <f t="shared" si="173"/>
        <v>289800</v>
      </c>
      <c r="P777" s="147" t="str">
        <f t="shared" si="3"/>
        <v>Rp27,600-12 LSN-12.50%</v>
      </c>
      <c r="Q777" s="149">
        <v>45423.0</v>
      </c>
      <c r="R777" s="150"/>
      <c r="S777" s="149">
        <v>45426.0</v>
      </c>
      <c r="T777" s="151"/>
      <c r="U777" s="192" t="s">
        <v>4769</v>
      </c>
      <c r="V777" s="151"/>
      <c r="W777" s="151"/>
    </row>
    <row r="778">
      <c r="A778" s="142">
        <v>4904.0</v>
      </c>
      <c r="B778" s="143" t="str">
        <f t="shared" si="225"/>
        <v>H</v>
      </c>
      <c r="C778" s="143" t="str">
        <f t="shared" si="226"/>
        <v>SISWA-MUNTILAN</v>
      </c>
      <c r="D778" s="53" t="s">
        <v>4770</v>
      </c>
      <c r="E778" s="145" t="str">
        <f>IFERROR(__xludf.DUMMYFUNCTION("vlookup(D778,IMPORTRANGE(""https://docs.google.com/spreadsheets/d/1swGwZOEqYlTEUCJLY-eeJM1911Kvaei5oySBIxdgtNo/edit?pli=1#gid=257618397"",""stock FAKTUR!B:C""),2,false)"),"PAPER FASTENER KENKO PF-508 WARNA")</f>
        <v>PAPER FASTENER KENKO PF-508 WARNA</v>
      </c>
      <c r="F778" s="53" t="str">
        <f>IFERROR(__xludf.DUMMYFUNCTION("vlookup($D778,IMPORTRANGE(""https://docs.google.com/spreadsheets/d/1swGwZOEqYlTEUCJLY-eeJM1911Kvaei5oySBIxdgtNo/edit?pli=1#gid=257618397"",""stock FAKTUR!B:d""),3,false)"),"")</f>
        <v/>
      </c>
      <c r="G778" s="53" t="str">
        <f>IFERROR(__xludf.DUMMYFUNCTION("vlookup($D778,IMPORTRANGE(""https://docs.google.com/spreadsheets/d/1swGwZOEqYlTEUCJLY-eeJM1911Kvaei5oySBIxdgtNo/edit?pli=1#gid=257618397"",""stock FAKTUR!B:e""),4,false)"),"MIX")</f>
        <v>MIX</v>
      </c>
      <c r="H778" s="53" t="str">
        <f>IFERROR(__xludf.DUMMYFUNCTION("vlookup($D778,IMPORTRANGE(""https://docs.google.com/spreadsheets/d/1swGwZOEqYlTEUCJLY-eeJM1911Kvaei5oySBIxdgtNo/edit?pli=1#gid=257618397"",""stock FAKTUR!B:F""),5,false)"),"KN")</f>
        <v>KN</v>
      </c>
      <c r="I778" s="53" t="str">
        <f>IFERROR(__xludf.DUMMYFUNCTION("vlookup($D778,IMPORTRANGE(""https://docs.google.com/spreadsheets/d/1swGwZOEqYlTEUCJLY-eeJM1911Kvaei5oySBIxdgtNo/edit?pli=1#gid=257618397"",""stock FAKTUR!B:G""),6,false)"),"FST-002")</f>
        <v>FST-002</v>
      </c>
      <c r="J778" s="120" t="str">
        <f t="shared" si="25"/>
        <v>ADA</v>
      </c>
      <c r="K778" s="142">
        <v>50.0</v>
      </c>
      <c r="L778" s="145" t="str">
        <f>IFERROR(__xludf.DUMMYFUNCTION("vlookup($D778,IMPORTRANGE(""https://docs.google.com/spreadsheets/d/1swGwZOEqYlTEUCJLY-eeJM1911Kvaei5oySBIxdgtNo/edit?pli=1#gid=257618397"",""stock FAKTUR!B:q""),16,false)"),"BOX")</f>
        <v>BOX</v>
      </c>
      <c r="M778" s="147">
        <v>9800.0</v>
      </c>
      <c r="N778" s="152">
        <v>0.125</v>
      </c>
      <c r="O778" s="147">
        <f t="shared" si="173"/>
        <v>428750</v>
      </c>
      <c r="P778" s="147" t="str">
        <f t="shared" si="3"/>
        <v>Rp9,800-50 BOX-12.50%</v>
      </c>
      <c r="Q778" s="149">
        <v>45423.0</v>
      </c>
      <c r="R778" s="150"/>
      <c r="S778" s="149">
        <v>45426.0</v>
      </c>
      <c r="T778" s="151"/>
      <c r="U778" s="151"/>
      <c r="V778" s="151"/>
      <c r="W778" s="151"/>
    </row>
    <row r="779">
      <c r="A779" s="142">
        <v>4810.0</v>
      </c>
      <c r="B779" s="143" t="s">
        <v>58</v>
      </c>
      <c r="C779" s="143" t="s">
        <v>2598</v>
      </c>
      <c r="D779" s="53" t="s">
        <v>4386</v>
      </c>
      <c r="E779" s="145" t="str">
        <f>IFERROR(__xludf.DUMMYFUNCTION("vlookup(D779,IMPORTRANGE(""https://docs.google.com/spreadsheets/d/1swGwZOEqYlTEUCJLY-eeJM1911Kvaei5oySBIxdgtNo/edit?pli=1#gid=257618397"",""stock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779" s="53" t="str">
        <f>IFERROR(__xludf.DUMMYFUNCTION("vlookup($D779,IMPORTRANGE(""https://docs.google.com/spreadsheets/d/1swGwZOEqYlTEUCJLY-eeJM1911Kvaei5oySBIxdgtNo/edit?pli=1#gid=257618397"",""stock FAKTUR!B:d""),3,false)"),"")</f>
        <v/>
      </c>
      <c r="G779" s="53" t="str">
        <f>IFERROR(__xludf.DUMMYFUNCTION("vlookup($D779,IMPORTRANGE(""https://docs.google.com/spreadsheets/d/1swGwZOEqYlTEUCJLY-eeJM1911Kvaei5oySBIxdgtNo/edit?pli=1#gid=257618397"",""stock FAKTUR!B:e""),4,false)"),"12W")</f>
        <v>12W</v>
      </c>
      <c r="H779" s="53" t="str">
        <f>IFERROR(__xludf.DUMMYFUNCTION("vlookup($D779,IMPORTRANGE(""https://docs.google.com/spreadsheets/d/1swGwZOEqYlTEUCJLY-eeJM1911Kvaei5oySBIxdgtNo/edit?pli=1#gid=257618397"",""stock FAKTUR!B:F""),5,false)"),"JK")</f>
        <v>JK</v>
      </c>
      <c r="I779" s="53" t="str">
        <f>IFERROR(__xludf.DUMMYFUNCTION("vlookup($D779,IMPORTRANGE(""https://docs.google.com/spreadsheets/d/1swGwZOEqYlTEUCJLY-eeJM1911Kvaei5oySBIxdgtNo/edit?pli=1#gid=257618397"",""stock FAKTUR!B:G""),6,false)"),"OP-12S")</f>
        <v>OP-12S</v>
      </c>
      <c r="J779" s="120" t="str">
        <f t="shared" si="25"/>
        <v>ADA</v>
      </c>
      <c r="K779" s="142">
        <v>432.0</v>
      </c>
      <c r="L779" s="145" t="str">
        <f>IFERROR(__xludf.DUMMYFUNCTION("vlookup($D779,IMPORTRANGE(""https://docs.google.com/spreadsheets/d/1swGwZOEqYlTEUCJLY-eeJM1911Kvaei5oySBIxdgtNo/edit?pli=1#gid=257618397"",""stock FAKTUR!B:q""),16,false)"),"PCS")</f>
        <v>PCS</v>
      </c>
      <c r="M779" s="147">
        <v>12300.0</v>
      </c>
      <c r="N779" s="152">
        <v>0.125</v>
      </c>
      <c r="O779" s="147">
        <f t="shared" si="173"/>
        <v>4649400</v>
      </c>
      <c r="P779" s="147" t="str">
        <f t="shared" si="3"/>
        <v>Rp12,300-432 PCS-12.50%</v>
      </c>
      <c r="Q779" s="149">
        <v>45423.0</v>
      </c>
      <c r="R779" s="150"/>
      <c r="S779" s="149">
        <v>45426.0</v>
      </c>
      <c r="T779" s="151"/>
      <c r="U779" s="151"/>
      <c r="V779" s="151"/>
      <c r="W779" s="151"/>
    </row>
    <row r="780">
      <c r="A780" s="142">
        <v>4811.0</v>
      </c>
      <c r="B780" s="143" t="s">
        <v>65</v>
      </c>
      <c r="C780" s="143" t="s">
        <v>2420</v>
      </c>
      <c r="D780" s="53" t="s">
        <v>4538</v>
      </c>
      <c r="E780" s="145" t="str">
        <f>IFERROR(__xludf.DUMMYFUNCTION("vlookup(D780,IMPORTRANGE(""https://docs.google.com/spreadsheets/d/1swGwZOEqYlTEUCJLY-eeJM1911Kvaei5oySBIxdgtNo/edit?pli=1#gid=257618397"",""stock FAKTUR!B:C""),2,false)"),"PW VANCO 12W PANJANG 12L")</f>
        <v>PW VANCO 12W PANJANG 12L</v>
      </c>
      <c r="F780" s="53" t="str">
        <f>IFERROR(__xludf.DUMMYFUNCTION("vlookup($D780,IMPORTRANGE(""https://docs.google.com/spreadsheets/d/1swGwZOEqYlTEUCJLY-eeJM1911Kvaei5oySBIxdgtNo/edit?pli=1#gid=257618397"",""stock FAKTUR!B:d""),3,false)"),"")</f>
        <v/>
      </c>
      <c r="G780" s="53" t="str">
        <f>IFERROR(__xludf.DUMMYFUNCTION("vlookup($D780,IMPORTRANGE(""https://docs.google.com/spreadsheets/d/1swGwZOEqYlTEUCJLY-eeJM1911Kvaei5oySBIxdgtNo/edit?pli=1#gid=257618397"",""stock FAKTUR!B:e""),4,false)"),"12W")</f>
        <v>12W</v>
      </c>
      <c r="H780" s="53" t="str">
        <f>IFERROR(__xludf.DUMMYFUNCTION("vlookup($D780,IMPORTRANGE(""https://docs.google.com/spreadsheets/d/1swGwZOEqYlTEUCJLY-eeJM1911Kvaei5oySBIxdgtNo/edit?pli=1#gid=257618397"",""stock FAKTUR!B:F""),5,false)"),"VN")</f>
        <v>VN</v>
      </c>
      <c r="I780" s="53" t="str">
        <f>IFERROR(__xludf.DUMMYFUNCTION("vlookup($D780,IMPORTRANGE(""https://docs.google.com/spreadsheets/d/1swGwZOEqYlTEUCJLY-eeJM1911Kvaei5oySBIxdgtNo/edit?pli=1#gid=257618397"",""stock FAKTUR!B:G""),6,false)"),"12L")</f>
        <v>12L</v>
      </c>
      <c r="J780" s="120" t="str">
        <f t="shared" si="25"/>
        <v>ADA</v>
      </c>
      <c r="K780" s="142">
        <v>3.0</v>
      </c>
      <c r="L780" s="145" t="str">
        <f>IFERROR(__xludf.DUMMYFUNCTION("vlookup($D780,IMPORTRANGE(""https://docs.google.com/spreadsheets/d/1swGwZOEqYlTEUCJLY-eeJM1911Kvaei5oySBIxdgtNo/edit?pli=1#gid=257618397"",""stock FAKTUR!B:q""),16,false)"),"LSN")</f>
        <v>LSN</v>
      </c>
      <c r="M780" s="147">
        <v>70000.0</v>
      </c>
      <c r="N780" s="148"/>
      <c r="O780" s="147">
        <f t="shared" si="173"/>
        <v>210000</v>
      </c>
      <c r="P780" s="147" t="str">
        <f t="shared" si="3"/>
        <v>Rp70,000-3 LSN-0.00%</v>
      </c>
      <c r="Q780" s="149">
        <v>45423.0</v>
      </c>
      <c r="R780" s="150"/>
      <c r="S780" s="149">
        <v>45426.0</v>
      </c>
      <c r="T780" s="151"/>
      <c r="U780" s="151"/>
      <c r="V780" s="151"/>
      <c r="W780" s="151"/>
    </row>
    <row r="781">
      <c r="A781" s="142">
        <v>4811.0</v>
      </c>
      <c r="B781" s="143" t="str">
        <f t="shared" ref="B781:B785" si="227">IF(A781=A780,B780,"")</f>
        <v>A</v>
      </c>
      <c r="C781" s="143" t="str">
        <f t="shared" ref="C781:C785" si="228">IF(A781=A780,C780,"")</f>
        <v>PRESTASI-AJIBARANG</v>
      </c>
      <c r="D781" s="53" t="s">
        <v>4543</v>
      </c>
      <c r="E781" s="145" t="str">
        <f>IFERROR(__xludf.DUMMYFUNCTION("vlookup(D781,IMPORTRANGE(""https://docs.google.com/spreadsheets/d/1swGwZOEqYlTEUCJLY-eeJM1911Kvaei5oySBIxdgtNo/edit?pli=1#gid=257618397"",""stock FAKTUR!B:C""),2,false)"),"STABILLO HIGHLIGHTER VANCO HL-521")</f>
        <v>STABILLO HIGHLIGHTER VANCO HL-521</v>
      </c>
      <c r="F781" s="53" t="str">
        <f>IFERROR(__xludf.DUMMYFUNCTION("vlookup($D781,IMPORTRANGE(""https://docs.google.com/spreadsheets/d/1swGwZOEqYlTEUCJLY-eeJM1911Kvaei5oySBIxdgtNo/edit?pli=1#gid=257618397"",""stock FAKTUR!B:d""),3,false)"),"")</f>
        <v/>
      </c>
      <c r="G781" s="53" t="str">
        <f>IFERROR(__xludf.DUMMYFUNCTION("vlookup($D781,IMPORTRANGE(""https://docs.google.com/spreadsheets/d/1swGwZOEqYlTEUCJLY-eeJM1911Kvaei5oySBIxdgtNo/edit?pli=1#gid=257618397"",""stock FAKTUR!B:e""),4,false)"),"")</f>
        <v/>
      </c>
      <c r="H781" s="53" t="str">
        <f>IFERROR(__xludf.DUMMYFUNCTION("vlookup($D781,IMPORTRANGE(""https://docs.google.com/spreadsheets/d/1swGwZOEqYlTEUCJLY-eeJM1911Kvaei5oySBIxdgtNo/edit?pli=1#gid=257618397"",""stock FAKTUR!B:F""),5,false)"),"VN")</f>
        <v>VN</v>
      </c>
      <c r="I781" s="53" t="str">
        <f>IFERROR(__xludf.DUMMYFUNCTION("vlookup($D781,IMPORTRANGE(""https://docs.google.com/spreadsheets/d/1swGwZOEqYlTEUCJLY-eeJM1911Kvaei5oySBIxdgtNo/edit?pli=1#gid=257618397"",""stock FAKTUR!B:G""),6,false)"),"HL-521")</f>
        <v>HL-521</v>
      </c>
      <c r="J781" s="120" t="str">
        <f t="shared" si="25"/>
        <v>ADA</v>
      </c>
      <c r="K781" s="142">
        <v>6.0</v>
      </c>
      <c r="L781" s="145" t="str">
        <f>IFERROR(__xludf.DUMMYFUNCTION("vlookup($D781,IMPORTRANGE(""https://docs.google.com/spreadsheets/d/1swGwZOEqYlTEUCJLY-eeJM1911Kvaei5oySBIxdgtNo/edit?pli=1#gid=257618397"",""stock FAKTUR!B:q""),16,false)"),"LSN")</f>
        <v>LSN</v>
      </c>
      <c r="M781" s="147">
        <v>21000.0</v>
      </c>
      <c r="N781" s="148"/>
      <c r="O781" s="147">
        <f t="shared" si="173"/>
        <v>126000</v>
      </c>
      <c r="P781" s="147" t="str">
        <f t="shared" si="3"/>
        <v>Rp21,000-6 LSN-0.00%</v>
      </c>
      <c r="Q781" s="149">
        <v>45423.0</v>
      </c>
      <c r="R781" s="150"/>
      <c r="S781" s="149">
        <v>45426.0</v>
      </c>
      <c r="T781" s="151"/>
      <c r="U781" s="151"/>
      <c r="V781" s="151"/>
      <c r="W781" s="151"/>
    </row>
    <row r="782">
      <c r="A782" s="142">
        <v>4811.0</v>
      </c>
      <c r="B782" s="143" t="str">
        <f t="shared" si="227"/>
        <v>A</v>
      </c>
      <c r="C782" s="143" t="str">
        <f t="shared" si="228"/>
        <v>PRESTASI-AJIBARANG</v>
      </c>
      <c r="D782" s="53" t="s">
        <v>4485</v>
      </c>
      <c r="E782" s="145" t="str">
        <f>IFERROR(__xludf.DUMMYFUNCTION("vlookup(D782,IMPORTRANGE(""https://docs.google.com/spreadsheets/d/1swGwZOEqYlTEUCJLY-eeJM1911Kvaei5oySBIxdgtNo/edit?pli=1#gid=257618397"",""stock FAKTUR!B:C""),2,false)"),"STABILLO VANCO HL-520")</f>
        <v>STABILLO VANCO HL-520</v>
      </c>
      <c r="F782" s="53" t="str">
        <f>IFERROR(__xludf.DUMMYFUNCTION("vlookup($D782,IMPORTRANGE(""https://docs.google.com/spreadsheets/d/1swGwZOEqYlTEUCJLY-eeJM1911Kvaei5oySBIxdgtNo/edit?pli=1#gid=257618397"",""stock FAKTUR!B:d""),3,false)"),"")</f>
        <v/>
      </c>
      <c r="G782" s="53" t="str">
        <f>IFERROR(__xludf.DUMMYFUNCTION("vlookup($D782,IMPORTRANGE(""https://docs.google.com/spreadsheets/d/1swGwZOEqYlTEUCJLY-eeJM1911Kvaei5oySBIxdgtNo/edit?pli=1#gid=257618397"",""stock FAKTUR!B:e""),4,false)"),"")</f>
        <v/>
      </c>
      <c r="H782" s="53" t="str">
        <f>IFERROR(__xludf.DUMMYFUNCTION("vlookup($D782,IMPORTRANGE(""https://docs.google.com/spreadsheets/d/1swGwZOEqYlTEUCJLY-eeJM1911Kvaei5oySBIxdgtNo/edit?pli=1#gid=257618397"",""stock FAKTUR!B:F""),5,false)"),"VN")</f>
        <v>VN</v>
      </c>
      <c r="I782" s="53" t="str">
        <f>IFERROR(__xludf.DUMMYFUNCTION("vlookup($D782,IMPORTRANGE(""https://docs.google.com/spreadsheets/d/1swGwZOEqYlTEUCJLY-eeJM1911Kvaei5oySBIxdgtNo/edit?pli=1#gid=257618397"",""stock FAKTUR!B:G""),6,false)"),"HL-520")</f>
        <v>HL-520</v>
      </c>
      <c r="J782" s="120" t="str">
        <f t="shared" si="25"/>
        <v>ADA</v>
      </c>
      <c r="K782" s="142">
        <v>1.0</v>
      </c>
      <c r="L782" s="145" t="str">
        <f>IFERROR(__xludf.DUMMYFUNCTION("vlookup($D782,IMPORTRANGE(""https://docs.google.com/spreadsheets/d/1swGwZOEqYlTEUCJLY-eeJM1911Kvaei5oySBIxdgtNo/edit?pli=1#gid=257618397"",""stock FAKTUR!B:q""),16,false)"),"LSN")</f>
        <v>LSN</v>
      </c>
      <c r="M782" s="147">
        <v>21000.0</v>
      </c>
      <c r="N782" s="148"/>
      <c r="O782" s="147">
        <f t="shared" si="173"/>
        <v>21000</v>
      </c>
      <c r="P782" s="147" t="str">
        <f t="shared" si="3"/>
        <v>Rp21,000-1 LSN-0.00%</v>
      </c>
      <c r="Q782" s="149">
        <v>45423.0</v>
      </c>
      <c r="R782" s="150"/>
      <c r="S782" s="149">
        <v>45426.0</v>
      </c>
      <c r="T782" s="151"/>
      <c r="U782" s="151"/>
      <c r="V782" s="151"/>
      <c r="W782" s="151"/>
    </row>
    <row r="783">
      <c r="A783" s="142">
        <v>4811.0</v>
      </c>
      <c r="B783" s="143" t="str">
        <f t="shared" si="227"/>
        <v>A</v>
      </c>
      <c r="C783" s="143" t="str">
        <f t="shared" si="228"/>
        <v>PRESTASI-AJIBARANG</v>
      </c>
      <c r="D783" s="193" t="s">
        <v>4771</v>
      </c>
      <c r="E783" s="145" t="str">
        <f>IFERROR(__xludf.DUMMYFUNCTION("vlookup(D783,IMPORTRANGE(""https://docs.google.com/spreadsheets/d/1swGwZOEqYlTEUCJLY-eeJM1911Kvaei5oySBIxdgtNo/edit?pli=1#gid=257618397"",""stock FAKTUR!B:C""),2,false)"),"ISI STAPLER SDI 1213")</f>
        <v>ISI STAPLER SDI 1213</v>
      </c>
      <c r="F783" s="53" t="str">
        <f>IFERROR(__xludf.DUMMYFUNCTION("vlookup($D783,IMPORTRANGE(""https://docs.google.com/spreadsheets/d/1swGwZOEqYlTEUCJLY-eeJM1911Kvaei5oySBIxdgtNo/edit?pli=1#gid=257618397"",""stock FAKTUR!B:d""),3,false)"),"")</f>
        <v/>
      </c>
      <c r="G783" s="53" t="str">
        <f>IFERROR(__xludf.DUMMYFUNCTION("vlookup($D783,IMPORTRANGE(""https://docs.google.com/spreadsheets/d/1swGwZOEqYlTEUCJLY-eeJM1911Kvaei5oySBIxdgtNo/edit?pli=1#gid=257618397"",""stock FAKTUR!B:e""),4,false)"),"")</f>
        <v/>
      </c>
      <c r="H783" s="53" t="str">
        <f>IFERROR(__xludf.DUMMYFUNCTION("vlookup($D783,IMPORTRANGE(""https://docs.google.com/spreadsheets/d/1swGwZOEqYlTEUCJLY-eeJM1911Kvaei5oySBIxdgtNo/edit?pli=1#gid=257618397"",""stock FAKTUR!B:F""),5,false)"),"SDI")</f>
        <v>SDI</v>
      </c>
      <c r="I783" s="53" t="str">
        <f>IFERROR(__xludf.DUMMYFUNCTION("vlookup($D783,IMPORTRANGE(""https://docs.google.com/spreadsheets/d/1swGwZOEqYlTEUCJLY-eeJM1911Kvaei5oySBIxdgtNo/edit?pli=1#gid=257618397"",""stock FAKTUR!B:G""),6,false)"),"1213")</f>
        <v>1213</v>
      </c>
      <c r="J783" s="120" t="str">
        <f t="shared" si="25"/>
        <v>ADA</v>
      </c>
      <c r="K783" s="142">
        <v>30.0</v>
      </c>
      <c r="L783" s="145" t="str">
        <f>IFERROR(__xludf.DUMMYFUNCTION("vlookup($D783,IMPORTRANGE(""https://docs.google.com/spreadsheets/d/1swGwZOEqYlTEUCJLY-eeJM1911Kvaei5oySBIxdgtNo/edit?pli=1#gid=257618397"",""stock FAKTUR!B:q""),16,false)"),"PAK")</f>
        <v>PAK</v>
      </c>
      <c r="M783" s="147">
        <v>14500.0</v>
      </c>
      <c r="N783" s="152">
        <v>0.1</v>
      </c>
      <c r="O783" s="147">
        <f t="shared" si="173"/>
        <v>391500</v>
      </c>
      <c r="P783" s="147" t="str">
        <f t="shared" si="3"/>
        <v>Rp14,500-30 PAK-10.00%</v>
      </c>
      <c r="Q783" s="149">
        <v>45423.0</v>
      </c>
      <c r="R783" s="150"/>
      <c r="S783" s="149">
        <v>45426.0</v>
      </c>
      <c r="T783" s="151"/>
      <c r="U783" s="192" t="s">
        <v>4390</v>
      </c>
      <c r="V783" s="151"/>
      <c r="W783" s="151"/>
    </row>
    <row r="784">
      <c r="A784" s="142">
        <v>4811.0</v>
      </c>
      <c r="B784" s="143" t="str">
        <f t="shared" si="227"/>
        <v>A</v>
      </c>
      <c r="C784" s="143" t="str">
        <f t="shared" si="228"/>
        <v>PRESTASI-AJIBARANG</v>
      </c>
      <c r="D784" s="53" t="s">
        <v>4772</v>
      </c>
      <c r="E784" s="145" t="str">
        <f>IFERROR(__xludf.DUMMYFUNCTION("vlookup(D784,IMPORTRANGE(""https://docs.google.com/spreadsheets/d/1swGwZOEqYlTEUCJLY-eeJM1911Kvaei5oySBIxdgtNo/edit?pli=1#gid=257618397"",""stock FAKTUR!B:C""),2,false)"),"BP AODM 010")</f>
        <v>BP AODM 010</v>
      </c>
      <c r="F784" s="53" t="str">
        <f>IFERROR(__xludf.DUMMYFUNCTION("vlookup($D784,IMPORTRANGE(""https://docs.google.com/spreadsheets/d/1swGwZOEqYlTEUCJLY-eeJM1911Kvaei5oySBIxdgtNo/edit?pli=1#gid=257618397"",""stock FAKTUR!B:d""),3,false)"),"")</f>
        <v/>
      </c>
      <c r="G784" s="53" t="str">
        <f>IFERROR(__xludf.DUMMYFUNCTION("vlookup($D784,IMPORTRANGE(""https://docs.google.com/spreadsheets/d/1swGwZOEqYlTEUCJLY-eeJM1911Kvaei5oySBIxdgtNo/edit?pli=1#gid=257618397"",""stock FAKTUR!B:e""),4,false)"),"")</f>
        <v/>
      </c>
      <c r="H784" s="53" t="str">
        <f>IFERROR(__xludf.DUMMYFUNCTION("vlookup($D784,IMPORTRANGE(""https://docs.google.com/spreadsheets/d/1swGwZOEqYlTEUCJLY-eeJM1911Kvaei5oySBIxdgtNo/edit?pli=1#gid=257618397"",""stock FAKTUR!B:F""),5,false)"),"NB")</f>
        <v>NB</v>
      </c>
      <c r="I784" s="53" t="str">
        <f>IFERROR(__xludf.DUMMYFUNCTION("vlookup($D784,IMPORTRANGE(""https://docs.google.com/spreadsheets/d/1swGwZOEqYlTEUCJLY-eeJM1911Kvaei5oySBIxdgtNo/edit?pli=1#gid=257618397"",""stock FAKTUR!B:G""),6,false)"),"010")</f>
        <v>010</v>
      </c>
      <c r="J784" s="120" t="str">
        <f t="shared" si="25"/>
        <v>ADA</v>
      </c>
      <c r="K784" s="142">
        <v>12.0</v>
      </c>
      <c r="L784" s="145" t="str">
        <f>IFERROR(__xludf.DUMMYFUNCTION("vlookup($D784,IMPORTRANGE(""https://docs.google.com/spreadsheets/d/1swGwZOEqYlTEUCJLY-eeJM1911Kvaei5oySBIxdgtNo/edit?pli=1#gid=257618397"",""stock FAKTUR!B:q""),16,false)"),"LSN")</f>
        <v>LSN</v>
      </c>
      <c r="M784" s="147">
        <v>13000.0</v>
      </c>
      <c r="N784" s="148"/>
      <c r="O784" s="147">
        <f t="shared" si="173"/>
        <v>156000</v>
      </c>
      <c r="P784" s="147" t="str">
        <f t="shared" si="3"/>
        <v>Rp13,000-12 LSN-0.00%</v>
      </c>
      <c r="Q784" s="149">
        <v>45423.0</v>
      </c>
      <c r="R784" s="150"/>
      <c r="S784" s="149">
        <v>45426.0</v>
      </c>
      <c r="T784" s="151"/>
      <c r="U784" s="151"/>
      <c r="V784" s="151"/>
      <c r="W784" s="151"/>
    </row>
    <row r="785">
      <c r="A785" s="142">
        <v>4811.0</v>
      </c>
      <c r="B785" s="143" t="str">
        <f t="shared" si="227"/>
        <v>A</v>
      </c>
      <c r="C785" s="143" t="str">
        <f t="shared" si="228"/>
        <v>PRESTASI-AJIBARANG</v>
      </c>
      <c r="D785" s="53" t="s">
        <v>4540</v>
      </c>
      <c r="E785" s="145" t="str">
        <f>IFERROR(__xludf.DUMMYFUNCTION("vlookup(D785,IMPORTRANGE(""https://docs.google.com/spreadsheets/d/1swGwZOEqYlTEUCJLY-eeJM1911Kvaei5oySBIxdgtNo/edit?pli=1#gid=257618397"",""stock FAKTUR!B:C""),2,false)"),"BP AODM 011")</f>
        <v>BP AODM 011</v>
      </c>
      <c r="F785" s="53" t="str">
        <f>IFERROR(__xludf.DUMMYFUNCTION("vlookup($D785,IMPORTRANGE(""https://docs.google.com/spreadsheets/d/1swGwZOEqYlTEUCJLY-eeJM1911Kvaei5oySBIxdgtNo/edit?pli=1#gid=257618397"",""stock FAKTUR!B:d""),3,false)"),"")</f>
        <v/>
      </c>
      <c r="G785" s="53" t="str">
        <f>IFERROR(__xludf.DUMMYFUNCTION("vlookup($D785,IMPORTRANGE(""https://docs.google.com/spreadsheets/d/1swGwZOEqYlTEUCJLY-eeJM1911Kvaei5oySBIxdgtNo/edit?pli=1#gid=257618397"",""stock FAKTUR!B:e""),4,false)"),"")</f>
        <v/>
      </c>
      <c r="H785" s="53" t="str">
        <f>IFERROR(__xludf.DUMMYFUNCTION("vlookup($D785,IMPORTRANGE(""https://docs.google.com/spreadsheets/d/1swGwZOEqYlTEUCJLY-eeJM1911Kvaei5oySBIxdgtNo/edit?pli=1#gid=257618397"",""stock FAKTUR!B:F""),5,false)"),"NB")</f>
        <v>NB</v>
      </c>
      <c r="I785" s="53" t="str">
        <f>IFERROR(__xludf.DUMMYFUNCTION("vlookup($D785,IMPORTRANGE(""https://docs.google.com/spreadsheets/d/1swGwZOEqYlTEUCJLY-eeJM1911Kvaei5oySBIxdgtNo/edit?pli=1#gid=257618397"",""stock FAKTUR!B:G""),6,false)"),"011")</f>
        <v>011</v>
      </c>
      <c r="J785" s="120" t="str">
        <f t="shared" si="25"/>
        <v>ADA</v>
      </c>
      <c r="K785" s="142">
        <v>12.0</v>
      </c>
      <c r="L785" s="145" t="str">
        <f>IFERROR(__xludf.DUMMYFUNCTION("vlookup($D785,IMPORTRANGE(""https://docs.google.com/spreadsheets/d/1swGwZOEqYlTEUCJLY-eeJM1911Kvaei5oySBIxdgtNo/edit?pli=1#gid=257618397"",""stock FAKTUR!B:q""),16,false)"),"LSN")</f>
        <v>LSN</v>
      </c>
      <c r="M785" s="147">
        <v>13000.0</v>
      </c>
      <c r="N785" s="148"/>
      <c r="O785" s="147">
        <f t="shared" si="173"/>
        <v>156000</v>
      </c>
      <c r="P785" s="147" t="str">
        <f t="shared" si="3"/>
        <v>Rp13,000-12 LSN-0.00%</v>
      </c>
      <c r="Q785" s="149">
        <v>45423.0</v>
      </c>
      <c r="R785" s="150"/>
      <c r="S785" s="149">
        <v>45426.0</v>
      </c>
      <c r="T785" s="151"/>
      <c r="U785" s="151"/>
      <c r="V785" s="151"/>
      <c r="W785" s="151"/>
    </row>
    <row r="786">
      <c r="A786" s="142">
        <v>4912.0</v>
      </c>
      <c r="B786" s="143" t="s">
        <v>58</v>
      </c>
      <c r="C786" s="143" t="s">
        <v>2061</v>
      </c>
      <c r="D786" s="159" t="s">
        <v>4773</v>
      </c>
      <c r="E786" s="145" t="str">
        <f>IFERROR(__xludf.DUMMYFUNCTION("vlookup(D786,IMPORTRANGE(""https://docs.google.com/spreadsheets/d/1swGwZOEqYlTEUCJLY-eeJM1911Kvaei5oySBIxdgtNo/edit?pli=1#gid=257618397"",""stock FAKTUR!B:C""),2,false)"),"BP KENKO KE-200 HITAM")</f>
        <v>BP KENKO KE-200 HITAM</v>
      </c>
      <c r="F786" s="53" t="str">
        <f>IFERROR(__xludf.DUMMYFUNCTION("vlookup($D786,IMPORTRANGE(""https://docs.google.com/spreadsheets/d/1swGwZOEqYlTEUCJLY-eeJM1911Kvaei5oySBIxdgtNo/edit?pli=1#gid=257618397"",""stock FAKTUR!B:d""),3,false)"),"")</f>
        <v/>
      </c>
      <c r="G786" s="53" t="str">
        <f>IFERROR(__xludf.DUMMYFUNCTION("vlookup($D786,IMPORTRANGE(""https://docs.google.com/spreadsheets/d/1swGwZOEqYlTEUCJLY-eeJM1911Kvaei5oySBIxdgtNo/edit?pli=1#gid=257618397"",""stock FAKTUR!B:e""),4,false)"),"HITAM")</f>
        <v>HITAM</v>
      </c>
      <c r="H786" s="53" t="str">
        <f>IFERROR(__xludf.DUMMYFUNCTION("vlookup($D786,IMPORTRANGE(""https://docs.google.com/spreadsheets/d/1swGwZOEqYlTEUCJLY-eeJM1911Kvaei5oySBIxdgtNo/edit?pli=1#gid=257618397"",""stock FAKTUR!B:F""),5,false)"),"KN")</f>
        <v>KN</v>
      </c>
      <c r="I786" s="53" t="str">
        <f>IFERROR(__xludf.DUMMYFUNCTION("vlookup($D786,IMPORTRANGE(""https://docs.google.com/spreadsheets/d/1swGwZOEqYlTEUCJLY-eeJM1911Kvaei5oySBIxdgtNo/edit?pli=1#gid=257618397"",""stock FAKTUR!B:G""),6,false)"),"GPT-003B")</f>
        <v>GPT-003B</v>
      </c>
      <c r="J786" s="120" t="str">
        <f t="shared" si="25"/>
        <v>ADA</v>
      </c>
      <c r="K786" s="142">
        <v>24.0</v>
      </c>
      <c r="L786" s="145" t="str">
        <f>IFERROR(__xludf.DUMMYFUNCTION("vlookup($D786,IMPORTRANGE(""https://docs.google.com/spreadsheets/d/1swGwZOEqYlTEUCJLY-eeJM1911Kvaei5oySBIxdgtNo/edit?pli=1#gid=257618397"",""stock FAKTUR!B:q""),16,false)"),"LSN")</f>
        <v>LSN</v>
      </c>
      <c r="M786" s="147">
        <v>24600.0</v>
      </c>
      <c r="N786" s="152">
        <v>0.1</v>
      </c>
      <c r="O786" s="147">
        <f t="shared" si="173"/>
        <v>531360</v>
      </c>
      <c r="P786" s="147" t="str">
        <f t="shared" si="3"/>
        <v>Rp24,600-24 LSN-10.00%</v>
      </c>
      <c r="Q786" s="149">
        <v>45425.0</v>
      </c>
      <c r="R786" s="150"/>
      <c r="S786" s="149">
        <v>45426.0</v>
      </c>
      <c r="T786" s="151"/>
      <c r="U786" s="151"/>
      <c r="V786" s="151"/>
      <c r="W786" s="151"/>
    </row>
    <row r="787">
      <c r="A787" s="142">
        <v>4912.0</v>
      </c>
      <c r="B787" s="143" t="str">
        <f t="shared" ref="B787:B791" si="229">IF(A787=A786,B786,"")</f>
        <v>G</v>
      </c>
      <c r="C787" s="143" t="str">
        <f t="shared" ref="C787:C788" si="230">IF(A787=A786,C786,"")</f>
        <v>PUAS-PATI</v>
      </c>
      <c r="D787" s="159" t="s">
        <v>4774</v>
      </c>
      <c r="E787" s="145" t="str">
        <f>IFERROR(__xludf.DUMMYFUNCTION("vlookup(D787,IMPORTRANGE(""https://docs.google.com/spreadsheets/d/1swGwZOEqYlTEUCJLY-eeJM1911Kvaei5oySBIxdgtNo/edit?pli=1#gid=257618397"",""stock FAKTUR!B:C""),2,false)"),"TAPE DISPENSER KENKO TD-321")</f>
        <v>TAPE DISPENSER KENKO TD-321</v>
      </c>
      <c r="F787" s="53" t="str">
        <f>IFERROR(__xludf.DUMMYFUNCTION("vlookup($D787,IMPORTRANGE(""https://docs.google.com/spreadsheets/d/1swGwZOEqYlTEUCJLY-eeJM1911Kvaei5oySBIxdgtNo/edit?pli=1#gid=257618397"",""stock FAKTUR!B:d""),3,false)"),"")</f>
        <v/>
      </c>
      <c r="G787" s="53" t="str">
        <f>IFERROR(__xludf.DUMMYFUNCTION("vlookup($D787,IMPORTRANGE(""https://docs.google.com/spreadsheets/d/1swGwZOEqYlTEUCJLY-eeJM1911Kvaei5oySBIxdgtNo/edit?pli=1#gid=257618397"",""stock FAKTUR!B:e""),4,false)"),"")</f>
        <v/>
      </c>
      <c r="H787" s="53" t="str">
        <f>IFERROR(__xludf.DUMMYFUNCTION("vlookup($D787,IMPORTRANGE(""https://docs.google.com/spreadsheets/d/1swGwZOEqYlTEUCJLY-eeJM1911Kvaei5oySBIxdgtNo/edit?pli=1#gid=257618397"",""stock FAKTUR!B:F""),5,false)"),"KN")</f>
        <v>KN</v>
      </c>
      <c r="I787" s="53" t="str">
        <f>IFERROR(__xludf.DUMMYFUNCTION("vlookup($D787,IMPORTRANGE(""https://docs.google.com/spreadsheets/d/1swGwZOEqYlTEUCJLY-eeJM1911Kvaei5oySBIxdgtNo/edit?pli=1#gid=257618397"",""stock FAKTUR!B:G""),6,false)"),"TPD-005")</f>
        <v>TPD-005</v>
      </c>
      <c r="J787" s="120" t="str">
        <f t="shared" si="25"/>
        <v>ADA</v>
      </c>
      <c r="K787" s="142">
        <v>24.0</v>
      </c>
      <c r="L787" s="145" t="str">
        <f>IFERROR(__xludf.DUMMYFUNCTION("vlookup($D787,IMPORTRANGE(""https://docs.google.com/spreadsheets/d/1swGwZOEqYlTEUCJLY-eeJM1911Kvaei5oySBIxdgtNo/edit?pli=1#gid=257618397"",""stock FAKTUR!B:q""),16,false)"),"PCS")</f>
        <v>PCS</v>
      </c>
      <c r="M787" s="147">
        <v>18500.0</v>
      </c>
      <c r="N787" s="152">
        <v>0.125</v>
      </c>
      <c r="O787" s="147">
        <f t="shared" si="173"/>
        <v>388500</v>
      </c>
      <c r="P787" s="147" t="str">
        <f t="shared" si="3"/>
        <v>Rp18,500-24 PCS-12.50%</v>
      </c>
      <c r="Q787" s="149">
        <v>45425.0</v>
      </c>
      <c r="R787" s="150"/>
      <c r="S787" s="149">
        <v>45426.0</v>
      </c>
      <c r="T787" s="151"/>
      <c r="U787" s="151"/>
      <c r="V787" s="151"/>
      <c r="W787" s="151"/>
    </row>
    <row r="788">
      <c r="A788" s="142">
        <v>4912.0</v>
      </c>
      <c r="B788" s="143" t="str">
        <f t="shared" si="229"/>
        <v>G</v>
      </c>
      <c r="C788" s="143" t="str">
        <f t="shared" si="230"/>
        <v>PUAS-PATI</v>
      </c>
      <c r="D788" s="159" t="s">
        <v>4753</v>
      </c>
      <c r="E788" s="145" t="str">
        <f>IFERROR(__xludf.DUMMYFUNCTION("vlookup(D788,IMPORTRANGE(""https://docs.google.com/spreadsheets/d/1swGwZOEqYlTEUCJLY-eeJM1911Kvaei5oySBIxdgtNo/edit?pli=1#gid=257618397"",""stock FAKTUR!B:C""),2,false)"),"STAMP PAD KENKO NO. 1")</f>
        <v>STAMP PAD KENKO NO. 1</v>
      </c>
      <c r="F788" s="53" t="str">
        <f>IFERROR(__xludf.DUMMYFUNCTION("vlookup($D788,IMPORTRANGE(""https://docs.google.com/spreadsheets/d/1swGwZOEqYlTEUCJLY-eeJM1911Kvaei5oySBIxdgtNo/edit?pli=1#gid=257618397"",""stock FAKTUR!B:d""),3,false)"),"")</f>
        <v/>
      </c>
      <c r="G788" s="53" t="str">
        <f>IFERROR(__xludf.DUMMYFUNCTION("vlookup($D788,IMPORTRANGE(""https://docs.google.com/spreadsheets/d/1swGwZOEqYlTEUCJLY-eeJM1911Kvaei5oySBIxdgtNo/edit?pli=1#gid=257618397"",""stock FAKTUR!B:e""),4,false)"),"")</f>
        <v/>
      </c>
      <c r="H788" s="53" t="str">
        <f>IFERROR(__xludf.DUMMYFUNCTION("vlookup($D788,IMPORTRANGE(""https://docs.google.com/spreadsheets/d/1swGwZOEqYlTEUCJLY-eeJM1911Kvaei5oySBIxdgtNo/edit?pli=1#gid=257618397"",""stock FAKTUR!B:F""),5,false)"),"KN")</f>
        <v>KN</v>
      </c>
      <c r="I788" s="53" t="str">
        <f>IFERROR(__xludf.DUMMYFUNCTION("vlookup($D788,IMPORTRANGE(""https://docs.google.com/spreadsheets/d/1swGwZOEqYlTEUCJLY-eeJM1911Kvaei5oySBIxdgtNo/edit?pli=1#gid=257618397"",""stock FAKTUR!B:G""),6,false)"),"STD-002")</f>
        <v>STD-002</v>
      </c>
      <c r="J788" s="120" t="str">
        <f t="shared" si="25"/>
        <v>ADA</v>
      </c>
      <c r="K788" s="142">
        <v>2.0</v>
      </c>
      <c r="L788" s="145" t="str">
        <f>IFERROR(__xludf.DUMMYFUNCTION("vlookup($D788,IMPORTRANGE(""https://docs.google.com/spreadsheets/d/1swGwZOEqYlTEUCJLY-eeJM1911Kvaei5oySBIxdgtNo/edit?pli=1#gid=257618397"",""stock FAKTUR!B:q""),16,false)"),"LSN")</f>
        <v>LSN</v>
      </c>
      <c r="M788" s="147">
        <v>70800.0</v>
      </c>
      <c r="N788" s="152">
        <v>0.1</v>
      </c>
      <c r="O788" s="147">
        <f t="shared" si="173"/>
        <v>127440</v>
      </c>
      <c r="P788" s="147" t="str">
        <f t="shared" si="3"/>
        <v>Rp70,800-2 LSN-10.00%</v>
      </c>
      <c r="Q788" s="149">
        <v>45425.0</v>
      </c>
      <c r="R788" s="150"/>
      <c r="S788" s="149">
        <v>45426.0</v>
      </c>
      <c r="T788" s="151"/>
      <c r="U788" s="151"/>
      <c r="V788" s="151"/>
      <c r="W788" s="151"/>
    </row>
    <row r="789">
      <c r="A789" s="142">
        <v>238.0</v>
      </c>
      <c r="B789" s="143" t="str">
        <f t="shared" si="229"/>
        <v/>
      </c>
      <c r="C789" s="143" t="s">
        <v>4518</v>
      </c>
      <c r="D789" s="159" t="s">
        <v>4459</v>
      </c>
      <c r="E789" s="145" t="str">
        <f>IFERROR(__xludf.DUMMYFUNCTION("vlookup(D789,IMPORTRANGE(""https://docs.google.com/spreadsheets/d/1swGwZOEqYlTEUCJLY-eeJM1911Kvaei5oySBIxdgtNo/edit?pli=1#gid=257618397"",""stock FAKTUR!B:C""),2,false)"),"STIP KENKO ERW-20SQ PUTIH")</f>
        <v>STIP KENKO ERW-20SQ PUTIH</v>
      </c>
      <c r="F789" s="53" t="str">
        <f>IFERROR(__xludf.DUMMYFUNCTION("vlookup($D789,IMPORTRANGE(""https://docs.google.com/spreadsheets/d/1swGwZOEqYlTEUCJLY-eeJM1911Kvaei5oySBIxdgtNo/edit?pli=1#gid=257618397"",""stock FAKTUR!B:d""),3,false)"),"")</f>
        <v/>
      </c>
      <c r="G789" s="53" t="str">
        <f>IFERROR(__xludf.DUMMYFUNCTION("vlookup($D789,IMPORTRANGE(""https://docs.google.com/spreadsheets/d/1swGwZOEqYlTEUCJLY-eeJM1911Kvaei5oySBIxdgtNo/edit?pli=1#gid=257618397"",""stock FAKTUR!B:e""),4,false)"),"PUTIH")</f>
        <v>PUTIH</v>
      </c>
      <c r="H789" s="53" t="str">
        <f>IFERROR(__xludf.DUMMYFUNCTION("vlookup($D789,IMPORTRANGE(""https://docs.google.com/spreadsheets/d/1swGwZOEqYlTEUCJLY-eeJM1911Kvaei5oySBIxdgtNo/edit?pli=1#gid=257618397"",""stock FAKTUR!B:F""),5,false)"),"KN")</f>
        <v>KN</v>
      </c>
      <c r="I789" s="53" t="str">
        <f>IFERROR(__xludf.DUMMYFUNCTION("vlookup($D789,IMPORTRANGE(""https://docs.google.com/spreadsheets/d/1swGwZOEqYlTEUCJLY-eeJM1911Kvaei5oySBIxdgtNo/edit?pli=1#gid=257618397"",""stock FAKTUR!B:G""),6,false)"),"ERS-002")</f>
        <v>ERS-002</v>
      </c>
      <c r="J789" s="120" t="str">
        <f t="shared" si="25"/>
        <v>ADA</v>
      </c>
      <c r="K789" s="142">
        <v>1.0</v>
      </c>
      <c r="L789" s="145" t="str">
        <f>IFERROR(__xludf.DUMMYFUNCTION("vlookup($D789,IMPORTRANGE(""https://docs.google.com/spreadsheets/d/1swGwZOEqYlTEUCJLY-eeJM1911Kvaei5oySBIxdgtNo/edit?pli=1#gid=257618397"",""stock FAKTUR!B:q""),16,false)"),"BOX")</f>
        <v>BOX</v>
      </c>
      <c r="M789" s="147">
        <v>30000.0</v>
      </c>
      <c r="N789" s="152">
        <v>0.15</v>
      </c>
      <c r="O789" s="147">
        <f t="shared" si="173"/>
        <v>25500</v>
      </c>
      <c r="P789" s="147" t="str">
        <f t="shared" si="3"/>
        <v>Rp30,000-1 BOX-15.00%</v>
      </c>
      <c r="Q789" s="149">
        <v>45425.0</v>
      </c>
      <c r="R789" s="150"/>
      <c r="S789" s="149">
        <v>45426.0</v>
      </c>
      <c r="T789" s="151"/>
      <c r="U789" s="151"/>
      <c r="V789" s="151"/>
      <c r="W789" s="151"/>
    </row>
    <row r="790">
      <c r="A790" s="142">
        <v>238.0</v>
      </c>
      <c r="B790" s="143" t="str">
        <f t="shared" si="229"/>
        <v/>
      </c>
      <c r="C790" s="143" t="str">
        <f t="shared" ref="C790:C791" si="231">IF(A790=A789,C789,"")</f>
        <v>SBM</v>
      </c>
      <c r="D790" s="53" t="s">
        <v>4775</v>
      </c>
      <c r="E790" s="145" t="str">
        <f>IFERROR(__xludf.DUMMYFUNCTION("vlookup(D790,IMPORTRANGE(""https://docs.google.com/spreadsheets/d/1swGwZOEqYlTEUCJLY-eeJM1911Kvaei5oySBIxdgtNo/edit?pli=1#gid=257618397"",""stock FAKTUR!B:C""),2,false)"),"STIP JK 526-B20")</f>
        <v>STIP JK 526-B20</v>
      </c>
      <c r="F790" s="53" t="str">
        <f>IFERROR(__xludf.DUMMYFUNCTION("vlookup($D790,IMPORTRANGE(""https://docs.google.com/spreadsheets/d/1swGwZOEqYlTEUCJLY-eeJM1911Kvaei5oySBIxdgtNo/edit?pli=1#gid=257618397"",""stock FAKTUR!B:d""),3,false)"),"")</f>
        <v/>
      </c>
      <c r="G790" s="53" t="str">
        <f>IFERROR(__xludf.DUMMYFUNCTION("vlookup($D790,IMPORTRANGE(""https://docs.google.com/spreadsheets/d/1swGwZOEqYlTEUCJLY-eeJM1911Kvaei5oySBIxdgtNo/edit?pli=1#gid=257618397"",""stock FAKTUR!B:e""),4,false)"),"PUTIH")</f>
        <v>PUTIH</v>
      </c>
      <c r="H790" s="53" t="str">
        <f>IFERROR(__xludf.DUMMYFUNCTION("vlookup($D790,IMPORTRANGE(""https://docs.google.com/spreadsheets/d/1swGwZOEqYlTEUCJLY-eeJM1911Kvaei5oySBIxdgtNo/edit?pli=1#gid=257618397"",""stock FAKTUR!B:F""),5,false)"),"JK")</f>
        <v>JK</v>
      </c>
      <c r="I790" s="53" t="str">
        <f>IFERROR(__xludf.DUMMYFUNCTION("vlookup($D790,IMPORTRANGE(""https://docs.google.com/spreadsheets/d/1swGwZOEqYlTEUCJLY-eeJM1911Kvaei5oySBIxdgtNo/edit?pli=1#gid=257618397"",""stock FAKTUR!B:G""),6,false)"),"20 P")</f>
        <v>20 P</v>
      </c>
      <c r="J790" s="120" t="str">
        <f t="shared" si="25"/>
        <v>ADA</v>
      </c>
      <c r="K790" s="142">
        <v>1.0</v>
      </c>
      <c r="L790" s="145" t="str">
        <f>IFERROR(__xludf.DUMMYFUNCTION("vlookup($D790,IMPORTRANGE(""https://docs.google.com/spreadsheets/d/1swGwZOEqYlTEUCJLY-eeJM1911Kvaei5oySBIxdgtNo/edit?pli=1#gid=257618397"",""stock FAKTUR!B:q""),16,false)"),"BOX")</f>
        <v>BOX</v>
      </c>
      <c r="M790" s="147">
        <f>34100</f>
        <v>34100</v>
      </c>
      <c r="N790" s="152">
        <v>0.125</v>
      </c>
      <c r="O790" s="147">
        <f>(K790*M790)-((M790*K790)*N790)-1492</f>
        <v>28345.5</v>
      </c>
      <c r="P790" s="147" t="str">
        <f t="shared" si="3"/>
        <v>Rp34,100-1 BOX-12.50%</v>
      </c>
      <c r="Q790" s="149">
        <v>45425.0</v>
      </c>
      <c r="R790" s="150"/>
      <c r="S790" s="149">
        <v>45426.0</v>
      </c>
      <c r="T790" s="151"/>
      <c r="U790" s="151"/>
      <c r="V790" s="151"/>
      <c r="W790" s="151"/>
    </row>
    <row r="791">
      <c r="A791" s="142">
        <v>238.0</v>
      </c>
      <c r="B791" s="143" t="str">
        <f t="shared" si="229"/>
        <v/>
      </c>
      <c r="C791" s="143" t="str">
        <f t="shared" si="231"/>
        <v>SBM</v>
      </c>
      <c r="D791" s="159" t="s">
        <v>4776</v>
      </c>
      <c r="E791" s="145" t="str">
        <f>IFERROR(__xludf.DUMMYFUNCTION("vlookup(D791,IMPORTRANGE(""https://docs.google.com/spreadsheets/d/1swGwZOEqYlTEUCJLY-eeJM1911Kvaei5oySBIxdgtNo/edit?pli=1#gid=257618397"",""stock FAKTUR!B:C""),2,false)"),"MECHPEN KENKO MP-07 (0.5MM)")</f>
        <v>MECHPEN KENKO MP-07 (0.5MM)</v>
      </c>
      <c r="F791" s="53" t="str">
        <f>IFERROR(__xludf.DUMMYFUNCTION("vlookup($D791,IMPORTRANGE(""https://docs.google.com/spreadsheets/d/1swGwZOEqYlTEUCJLY-eeJM1911Kvaei5oySBIxdgtNo/edit?pli=1#gid=257618397"",""stock FAKTUR!B:d""),3,false)"),"0.5 MM")</f>
        <v>0.5 MM</v>
      </c>
      <c r="G791" s="53" t="str">
        <f>IFERROR(__xludf.DUMMYFUNCTION("vlookup($D791,IMPORTRANGE(""https://docs.google.com/spreadsheets/d/1swGwZOEqYlTEUCJLY-eeJM1911Kvaei5oySBIxdgtNo/edit?pli=1#gid=257618397"",""stock FAKTUR!B:e""),4,false)"),"")</f>
        <v/>
      </c>
      <c r="H791" s="53" t="str">
        <f>IFERROR(__xludf.DUMMYFUNCTION("vlookup($D791,IMPORTRANGE(""https://docs.google.com/spreadsheets/d/1swGwZOEqYlTEUCJLY-eeJM1911Kvaei5oySBIxdgtNo/edit?pli=1#gid=257618397"",""stock FAKTUR!B:F""),5,false)"),"KN")</f>
        <v>KN</v>
      </c>
      <c r="I791" s="53" t="str">
        <f>IFERROR(__xludf.DUMMYFUNCTION("vlookup($D791,IMPORTRANGE(""https://docs.google.com/spreadsheets/d/1swGwZOEqYlTEUCJLY-eeJM1911Kvaei5oySBIxdgtNo/edit?pli=1#gid=257618397"",""stock FAKTUR!B:G""),6,false)"),"MPC-004")</f>
        <v>MPC-004</v>
      </c>
      <c r="J791" s="120" t="str">
        <f t="shared" si="25"/>
        <v>ADA</v>
      </c>
      <c r="K791" s="142">
        <v>1.0</v>
      </c>
      <c r="L791" s="145" t="str">
        <f>IFERROR(__xludf.DUMMYFUNCTION("vlookup($D791,IMPORTRANGE(""https://docs.google.com/spreadsheets/d/1swGwZOEqYlTEUCJLY-eeJM1911Kvaei5oySBIxdgtNo/edit?pli=1#gid=257618397"",""stock FAKTUR!B:q""),16,false)"),"LSN")</f>
        <v>LSN</v>
      </c>
      <c r="M791" s="147">
        <v>32000.0</v>
      </c>
      <c r="N791" s="152">
        <v>0.15</v>
      </c>
      <c r="O791" s="147">
        <f t="shared" ref="O791:O948" si="232">(K791*M791)-((M791*K791)*N791)</f>
        <v>27200</v>
      </c>
      <c r="P791" s="147" t="str">
        <f t="shared" si="3"/>
        <v>Rp32,000-1 LSN-15.00%</v>
      </c>
      <c r="Q791" s="149">
        <v>45425.0</v>
      </c>
      <c r="R791" s="150"/>
      <c r="S791" s="149">
        <v>45426.0</v>
      </c>
      <c r="T791" s="151"/>
      <c r="U791" s="151"/>
      <c r="V791" s="151"/>
      <c r="W791" s="151"/>
    </row>
    <row r="792">
      <c r="A792" s="142">
        <v>4909.0</v>
      </c>
      <c r="B792" s="143" t="s">
        <v>33</v>
      </c>
      <c r="C792" s="143" t="s">
        <v>3242</v>
      </c>
      <c r="D792" s="53" t="s">
        <v>4646</v>
      </c>
      <c r="E792" s="145" t="str">
        <f>IFERROR(__xludf.DUMMYFUNCTION("vlookup(D792,IMPORTRANGE(""https://docs.google.com/spreadsheets/d/1swGwZOEqYlTEUCJLY-eeJM1911Kvaei5oySBIxdgtNo/edit?pli=1#gid=257618397"",""stock FAKTUR!B:C""),2,false)"),"SAMPUL KWARTO BATIK ALFA")</f>
        <v>SAMPUL KWARTO BATIK ALFA</v>
      </c>
      <c r="F792" s="53" t="str">
        <f>IFERROR(__xludf.DUMMYFUNCTION("vlookup($D792,IMPORTRANGE(""https://docs.google.com/spreadsheets/d/1swGwZOEqYlTEUCJLY-eeJM1911Kvaei5oySBIxdgtNo/edit?pli=1#gid=257618397"",""stock FAKTUR!B:d""),3,false)"),"")</f>
        <v/>
      </c>
      <c r="G792" s="53" t="str">
        <f>IFERROR(__xludf.DUMMYFUNCTION("vlookup($D792,IMPORTRANGE(""https://docs.google.com/spreadsheets/d/1swGwZOEqYlTEUCJLY-eeJM1911Kvaei5oySBIxdgtNo/edit?pli=1#gid=257618397"",""stock FAKTUR!B:e""),4,false)"),"")</f>
        <v/>
      </c>
      <c r="H792" s="53" t="str">
        <f>IFERROR(__xludf.DUMMYFUNCTION("vlookup($D792,IMPORTRANGE(""https://docs.google.com/spreadsheets/d/1swGwZOEqYlTEUCJLY-eeJM1911Kvaei5oySBIxdgtNo/edit?pli=1#gid=257618397"",""stock FAKTUR!B:F""),5,false)"),"NB")</f>
        <v>NB</v>
      </c>
      <c r="I792" s="53" t="str">
        <f>IFERROR(__xludf.DUMMYFUNCTION("vlookup($D792,IMPORTRANGE(""https://docs.google.com/spreadsheets/d/1swGwZOEqYlTEUCJLY-eeJM1911Kvaei5oySBIxdgtNo/edit?pli=1#gid=257618397"",""stock FAKTUR!B:G""),6,false)"),"")</f>
        <v/>
      </c>
      <c r="J792" s="120" t="str">
        <f t="shared" si="25"/>
        <v>ADA</v>
      </c>
      <c r="K792" s="142">
        <v>240.0</v>
      </c>
      <c r="L792" s="145" t="str">
        <f>IFERROR(__xludf.DUMMYFUNCTION("vlookup($D792,IMPORTRANGE(""https://docs.google.com/spreadsheets/d/1swGwZOEqYlTEUCJLY-eeJM1911Kvaei5oySBIxdgtNo/edit?pli=1#gid=257618397"",""stock FAKTUR!B:q""),16,false)"),"PCS")</f>
        <v>PCS</v>
      </c>
      <c r="M792" s="147">
        <v>6250.0</v>
      </c>
      <c r="N792" s="148"/>
      <c r="O792" s="147">
        <f t="shared" si="232"/>
        <v>1500000</v>
      </c>
      <c r="P792" s="147" t="str">
        <f t="shared" si="3"/>
        <v>Rp6,250-240 PCS-0.00%</v>
      </c>
      <c r="Q792" s="149">
        <v>45425.0</v>
      </c>
      <c r="R792" s="150"/>
      <c r="S792" s="149">
        <v>45426.0</v>
      </c>
      <c r="T792" s="151"/>
      <c r="U792" s="151"/>
      <c r="V792" s="151"/>
      <c r="W792" s="151"/>
    </row>
    <row r="793">
      <c r="A793" s="142">
        <v>4910.0</v>
      </c>
      <c r="B793" s="143" t="s">
        <v>33</v>
      </c>
      <c r="C793" s="143" t="s">
        <v>1452</v>
      </c>
      <c r="D793" s="53" t="s">
        <v>4766</v>
      </c>
      <c r="E793" s="145" t="str">
        <f>IFERROR(__xludf.DUMMYFUNCTION("vlookup(D793,IMPORTRANGE(""https://docs.google.com/spreadsheets/d/1swGwZOEqYlTEUCJLY-eeJM1911Kvaei5oySBIxdgtNo/edit?pli=1#gid=257618397"",""stock FAKTUR!B:C""),2,false)"),"BINDER CLIP KENKO NO. 105")</f>
        <v>BINDER CLIP KENKO NO. 105</v>
      </c>
      <c r="F793" s="53" t="str">
        <f>IFERROR(__xludf.DUMMYFUNCTION("vlookup($D793,IMPORTRANGE(""https://docs.google.com/spreadsheets/d/1swGwZOEqYlTEUCJLY-eeJM1911Kvaei5oySBIxdgtNo/edit?pli=1#gid=257618397"",""stock FAKTUR!B:d""),3,false)"),"")</f>
        <v/>
      </c>
      <c r="G793" s="53" t="str">
        <f>IFERROR(__xludf.DUMMYFUNCTION("vlookup($D793,IMPORTRANGE(""https://docs.google.com/spreadsheets/d/1swGwZOEqYlTEUCJLY-eeJM1911Kvaei5oySBIxdgtNo/edit?pli=1#gid=257618397"",""stock FAKTUR!B:e""),4,false)"),"")</f>
        <v/>
      </c>
      <c r="H793" s="53" t="str">
        <f>IFERROR(__xludf.DUMMYFUNCTION("vlookup($D793,IMPORTRANGE(""https://docs.google.com/spreadsheets/d/1swGwZOEqYlTEUCJLY-eeJM1911Kvaei5oySBIxdgtNo/edit?pli=1#gid=257618397"",""stock FAKTUR!B:F""),5,false)"),"KN")</f>
        <v>KN</v>
      </c>
      <c r="I793" s="53" t="str">
        <f>IFERROR(__xludf.DUMMYFUNCTION("vlookup($D793,IMPORTRANGE(""https://docs.google.com/spreadsheets/d/1swGwZOEqYlTEUCJLY-eeJM1911Kvaei5oySBIxdgtNo/edit?pli=1#gid=257618397"",""stock FAKTUR!B:G""),6,false)"),"BCL-001QH")</f>
        <v>BCL-001QH</v>
      </c>
      <c r="J793" s="120" t="str">
        <f t="shared" si="25"/>
        <v>ADA</v>
      </c>
      <c r="K793" s="142">
        <v>50.0</v>
      </c>
      <c r="L793" s="145" t="str">
        <f>IFERROR(__xludf.DUMMYFUNCTION("vlookup($D793,IMPORTRANGE(""https://docs.google.com/spreadsheets/d/1swGwZOEqYlTEUCJLY-eeJM1911Kvaei5oySBIxdgtNo/edit?pli=1#gid=257618397"",""stock FAKTUR!B:q""),16,false)"),"BOX")</f>
        <v>BOX</v>
      </c>
      <c r="M793" s="147">
        <v>28800.0</v>
      </c>
      <c r="N793" s="152">
        <v>0.14</v>
      </c>
      <c r="O793" s="147">
        <f t="shared" si="232"/>
        <v>1238400</v>
      </c>
      <c r="P793" s="147" t="str">
        <f t="shared" si="3"/>
        <v>Rp28,800-50 BOX-14.00%</v>
      </c>
      <c r="Q793" s="149">
        <v>45425.0</v>
      </c>
      <c r="R793" s="150"/>
      <c r="S793" s="149">
        <v>45426.0</v>
      </c>
      <c r="T793" s="194" t="s">
        <v>4440</v>
      </c>
      <c r="U793" s="192" t="s">
        <v>4777</v>
      </c>
      <c r="V793" s="151"/>
      <c r="W793" s="159"/>
    </row>
    <row r="794">
      <c r="A794" s="142">
        <v>4913.0</v>
      </c>
      <c r="B794" s="143" t="s">
        <v>33</v>
      </c>
      <c r="C794" s="143" t="s">
        <v>4607</v>
      </c>
      <c r="D794" s="53" t="s">
        <v>4398</v>
      </c>
      <c r="E794" s="145" t="str">
        <f>IFERROR(__xludf.DUMMYFUNCTION("vlookup(D794,IMPORTRANGE(""https://docs.google.com/spreadsheets/d/1swGwZOEqYlTEUCJLY-eeJM1911Kvaei5oySBIxdgtNo/edit?pli=1#gid=257618397"",""stock FAKTUR!B:C""),2,false)"),"ISI CUTTER KENKO L-150 BESAR")</f>
        <v>ISI CUTTER KENKO L-150 BESAR</v>
      </c>
      <c r="F794" s="53" t="str">
        <f>IFERROR(__xludf.DUMMYFUNCTION("vlookup($D794,IMPORTRANGE(""https://docs.google.com/spreadsheets/d/1swGwZOEqYlTEUCJLY-eeJM1911Kvaei5oySBIxdgtNo/edit?pli=1#gid=257618397"",""stock FAKTUR!B:d""),3,false)"),"18 MM")</f>
        <v>18 MM</v>
      </c>
      <c r="G794" s="53" t="str">
        <f>IFERROR(__xludf.DUMMYFUNCTION("vlookup($D794,IMPORTRANGE(""https://docs.google.com/spreadsheets/d/1swGwZOEqYlTEUCJLY-eeJM1911Kvaei5oySBIxdgtNo/edit?pli=1#gid=257618397"",""stock FAKTUR!B:e""),4,false)"),"")</f>
        <v/>
      </c>
      <c r="H794" s="53" t="str">
        <f>IFERROR(__xludf.DUMMYFUNCTION("vlookup($D794,IMPORTRANGE(""https://docs.google.com/spreadsheets/d/1swGwZOEqYlTEUCJLY-eeJM1911Kvaei5oySBIxdgtNo/edit?pli=1#gid=257618397"",""stock FAKTUR!B:F""),5,false)"),"KN")</f>
        <v>KN</v>
      </c>
      <c r="I794" s="53" t="str">
        <f>IFERROR(__xludf.DUMMYFUNCTION("vlookup($D794,IMPORTRANGE(""https://docs.google.com/spreadsheets/d/1swGwZOEqYlTEUCJLY-eeJM1911Kvaei5oySBIxdgtNo/edit?pli=1#gid=257618397"",""stock FAKTUR!B:G""),6,false)"),"CTB-002")</f>
        <v>CTB-002</v>
      </c>
      <c r="J794" s="120" t="str">
        <f t="shared" si="25"/>
        <v>ADA</v>
      </c>
      <c r="K794" s="142">
        <v>300.0</v>
      </c>
      <c r="L794" s="145" t="str">
        <f>IFERROR(__xludf.DUMMYFUNCTION("vlookup($D794,IMPORTRANGE(""https://docs.google.com/spreadsheets/d/1swGwZOEqYlTEUCJLY-eeJM1911Kvaei5oySBIxdgtNo/edit?pli=1#gid=257618397"",""stock FAKTUR!B:q""),16,false)"),"LSN")</f>
        <v>LSN</v>
      </c>
      <c r="M794" s="147">
        <v>64800.0</v>
      </c>
      <c r="N794" s="152">
        <v>0.135</v>
      </c>
      <c r="O794" s="147">
        <f t="shared" si="232"/>
        <v>16815600</v>
      </c>
      <c r="P794" s="147" t="str">
        <f t="shared" si="3"/>
        <v>Rp64,800-300 LSN-13.50%</v>
      </c>
      <c r="Q794" s="149">
        <v>45425.0</v>
      </c>
      <c r="R794" s="150"/>
      <c r="S794" s="149">
        <v>45426.0</v>
      </c>
      <c r="T794" s="151"/>
      <c r="U794" s="151"/>
      <c r="V794" s="151"/>
      <c r="W794" s="151"/>
    </row>
    <row r="795">
      <c r="A795" s="142">
        <v>4914.0</v>
      </c>
      <c r="B795" s="143" t="s">
        <v>33</v>
      </c>
      <c r="C795" s="143" t="s">
        <v>4741</v>
      </c>
      <c r="D795" s="53" t="s">
        <v>4619</v>
      </c>
      <c r="E795" s="145" t="str">
        <f>IFERROR(__xludf.DUMMYFUNCTION("vlookup(D795,IMPORTRANGE(""https://docs.google.com/spreadsheets/d/1swGwZOEqYlTEUCJLY-eeJM1911Kvaei5oySBIxdgtNo/edit?pli=1#gid=257618397"",""stock FAKTUR!B:C""),2,false)"),"COLOR CLIP KENKO 3100")</f>
        <v>COLOR CLIP KENKO 3100</v>
      </c>
      <c r="F795" s="53" t="str">
        <f>IFERROR(__xludf.DUMMYFUNCTION("vlookup($D795,IMPORTRANGE(""https://docs.google.com/spreadsheets/d/1swGwZOEqYlTEUCJLY-eeJM1911Kvaei5oySBIxdgtNo/edit?pli=1#gid=257618397"",""stock FAKTUR!B:d""),3,false)"),"")</f>
        <v/>
      </c>
      <c r="G795" s="53" t="str">
        <f>IFERROR(__xludf.DUMMYFUNCTION("vlookup($D795,IMPORTRANGE(""https://docs.google.com/spreadsheets/d/1swGwZOEqYlTEUCJLY-eeJM1911Kvaei5oySBIxdgtNo/edit?pli=1#gid=257618397"",""stock FAKTUR!B:e""),4,false)"),"")</f>
        <v/>
      </c>
      <c r="H795" s="53" t="str">
        <f>IFERROR(__xludf.DUMMYFUNCTION("vlookup($D795,IMPORTRANGE(""https://docs.google.com/spreadsheets/d/1swGwZOEqYlTEUCJLY-eeJM1911Kvaei5oySBIxdgtNo/edit?pli=1#gid=257618397"",""stock FAKTUR!B:F""),5,false)"),"KN")</f>
        <v>KN</v>
      </c>
      <c r="I795" s="53" t="str">
        <f>IFERROR(__xludf.DUMMYFUNCTION("vlookup($D795,IMPORTRANGE(""https://docs.google.com/spreadsheets/d/1swGwZOEqYlTEUCJLY-eeJM1911Kvaei5oySBIxdgtNo/edit?pli=1#gid=257618397"",""stock FAKTUR!B:G""),6,false)"),"CLP-004")</f>
        <v>CLP-004</v>
      </c>
      <c r="J795" s="120" t="str">
        <f t="shared" si="25"/>
        <v>ADA</v>
      </c>
      <c r="K795" s="142">
        <v>2.0</v>
      </c>
      <c r="L795" s="145" t="str">
        <f>IFERROR(__xludf.DUMMYFUNCTION("vlookup($D795,IMPORTRANGE(""https://docs.google.com/spreadsheets/d/1swGwZOEqYlTEUCJLY-eeJM1911Kvaei5oySBIxdgtNo/edit?pli=1#gid=257618397"",""stock FAKTUR!B:q""),16,false)"),"LSN")</f>
        <v>LSN</v>
      </c>
      <c r="M795" s="147">
        <v>41400.0</v>
      </c>
      <c r="N795" s="152">
        <v>0.1</v>
      </c>
      <c r="O795" s="147">
        <f t="shared" si="232"/>
        <v>74520</v>
      </c>
      <c r="P795" s="147" t="str">
        <f t="shared" si="3"/>
        <v>Rp41,400-2 LSN-10.00%</v>
      </c>
      <c r="Q795" s="149">
        <v>45425.0</v>
      </c>
      <c r="R795" s="150"/>
      <c r="S795" s="149">
        <v>45426.0</v>
      </c>
      <c r="T795" s="151"/>
      <c r="U795" s="151"/>
      <c r="V795" s="151"/>
      <c r="W795" s="151"/>
    </row>
    <row r="796">
      <c r="A796" s="142">
        <v>4914.0</v>
      </c>
      <c r="B796" s="143" t="str">
        <f t="shared" ref="B796:B800" si="233">IF(A796=A795,B795,"")</f>
        <v>H</v>
      </c>
      <c r="C796" s="143" t="str">
        <f t="shared" ref="C796:C800" si="234">IF(A796=A795,C795,"")</f>
        <v>CV. SINAR CAHAYA NIRMALA-BREBES</v>
      </c>
      <c r="D796" s="53" t="s">
        <v>4628</v>
      </c>
      <c r="E796" s="145" t="str">
        <f>IFERROR(__xludf.DUMMYFUNCTION("vlookup(D796,IMPORTRANGE(""https://docs.google.com/spreadsheets/d/1swGwZOEqYlTEUCJLY-eeJM1911Kvaei5oySBIxdgtNo/edit?pli=1#gid=257618397"",""stock FAKTUR!B:C""),2,false)"),"SPIDOL PERMANEN KENKO PM-100 HITAM")</f>
        <v>SPIDOL PERMANEN KENKO PM-100 HITAM</v>
      </c>
      <c r="F796" s="53" t="str">
        <f>IFERROR(__xludf.DUMMYFUNCTION("vlookup($D796,IMPORTRANGE(""https://docs.google.com/spreadsheets/d/1swGwZOEqYlTEUCJLY-eeJM1911Kvaei5oySBIxdgtNo/edit?pli=1#gid=257618397"",""stock FAKTUR!B:d""),3,false)"),"")</f>
        <v/>
      </c>
      <c r="G796" s="53" t="str">
        <f>IFERROR(__xludf.DUMMYFUNCTION("vlookup($D796,IMPORTRANGE(""https://docs.google.com/spreadsheets/d/1swGwZOEqYlTEUCJLY-eeJM1911Kvaei5oySBIxdgtNo/edit?pli=1#gid=257618397"",""stock FAKTUR!B:e""),4,false)"),"")</f>
        <v/>
      </c>
      <c r="H796" s="53" t="str">
        <f>IFERROR(__xludf.DUMMYFUNCTION("vlookup($D796,IMPORTRANGE(""https://docs.google.com/spreadsheets/d/1swGwZOEqYlTEUCJLY-eeJM1911Kvaei5oySBIxdgtNo/edit?pli=1#gid=257618397"",""stock FAKTUR!B:F""),5,false)"),"KN")</f>
        <v>KN</v>
      </c>
      <c r="I796" s="53" t="str">
        <f>IFERROR(__xludf.DUMMYFUNCTION("vlookup($D796,IMPORTRANGE(""https://docs.google.com/spreadsheets/d/1swGwZOEqYlTEUCJLY-eeJM1911Kvaei5oySBIxdgtNo/edit?pli=1#gid=257618397"",""stock FAKTUR!B:G""),6,false)"),"")</f>
        <v/>
      </c>
      <c r="J796" s="120" t="str">
        <f t="shared" si="25"/>
        <v>ADA</v>
      </c>
      <c r="K796" s="142">
        <v>3.0</v>
      </c>
      <c r="L796" s="145" t="str">
        <f>IFERROR(__xludf.DUMMYFUNCTION("vlookup($D796,IMPORTRANGE(""https://docs.google.com/spreadsheets/d/1swGwZOEqYlTEUCJLY-eeJM1911Kvaei5oySBIxdgtNo/edit?pli=1#gid=257618397"",""stock FAKTUR!B:q""),16,false)"),"LSN")</f>
        <v>LSN</v>
      </c>
      <c r="M796" s="147">
        <v>36000.0</v>
      </c>
      <c r="N796" s="152">
        <v>0.1</v>
      </c>
      <c r="O796" s="147">
        <f t="shared" si="232"/>
        <v>97200</v>
      </c>
      <c r="P796" s="147" t="str">
        <f t="shared" si="3"/>
        <v>Rp36,000-3 LSN-10.00%</v>
      </c>
      <c r="Q796" s="149">
        <v>45425.0</v>
      </c>
      <c r="R796" s="150"/>
      <c r="S796" s="149">
        <v>45426.0</v>
      </c>
      <c r="T796" s="151"/>
      <c r="U796" s="151"/>
      <c r="V796" s="151"/>
      <c r="W796" s="151"/>
    </row>
    <row r="797">
      <c r="A797" s="142">
        <v>4914.0</v>
      </c>
      <c r="B797" s="143" t="str">
        <f t="shared" si="233"/>
        <v>H</v>
      </c>
      <c r="C797" s="143" t="str">
        <f t="shared" si="234"/>
        <v>CV. SINAR CAHAYA NIRMALA-BREBES</v>
      </c>
      <c r="D797" s="53" t="s">
        <v>4401</v>
      </c>
      <c r="E797" s="145" t="str">
        <f>IFERROR(__xludf.DUMMYFUNCTION("vlookup(D797,IMPORTRANGE(""https://docs.google.com/spreadsheets/d/1swGwZOEqYlTEUCJLY-eeJM1911Kvaei5oySBIxdgtNo/edit?pli=1#gid=257618397"",""stock FAKTUR!B:C""),2,false)"),"BP GEL KENKO EASY HITAM")</f>
        <v>BP GEL KENKO EASY HITAM</v>
      </c>
      <c r="F797" s="53" t="str">
        <f>IFERROR(__xludf.DUMMYFUNCTION("vlookup($D797,IMPORTRANGE(""https://docs.google.com/spreadsheets/d/1swGwZOEqYlTEUCJLY-eeJM1911Kvaei5oySBIxdgtNo/edit?pli=1#gid=257618397"",""stock FAKTUR!B:d""),3,false)"),"")</f>
        <v/>
      </c>
      <c r="G797" s="53" t="str">
        <f>IFERROR(__xludf.DUMMYFUNCTION("vlookup($D797,IMPORTRANGE(""https://docs.google.com/spreadsheets/d/1swGwZOEqYlTEUCJLY-eeJM1911Kvaei5oySBIxdgtNo/edit?pli=1#gid=257618397"",""stock FAKTUR!B:e""),4,false)"),"HITAM")</f>
        <v>HITAM</v>
      </c>
      <c r="H797" s="53" t="str">
        <f>IFERROR(__xludf.DUMMYFUNCTION("vlookup($D797,IMPORTRANGE(""https://docs.google.com/spreadsheets/d/1swGwZOEqYlTEUCJLY-eeJM1911Kvaei5oySBIxdgtNo/edit?pli=1#gid=257618397"",""stock FAKTUR!B:F""),5,false)"),"KN")</f>
        <v>KN</v>
      </c>
      <c r="I797" s="53" t="str">
        <f>IFERROR(__xludf.DUMMYFUNCTION("vlookup($D797,IMPORTRANGE(""https://docs.google.com/spreadsheets/d/1swGwZOEqYlTEUCJLY-eeJM1911Kvaei5oySBIxdgtNo/edit?pli=1#gid=257618397"",""stock FAKTUR!B:G""),6,false)"),"GPT-005B")</f>
        <v>GPT-005B</v>
      </c>
      <c r="J797" s="120" t="str">
        <f t="shared" si="25"/>
        <v>ADA</v>
      </c>
      <c r="K797" s="142">
        <v>3.0</v>
      </c>
      <c r="L797" s="145" t="str">
        <f>IFERROR(__xludf.DUMMYFUNCTION("vlookup($D797,IMPORTRANGE(""https://docs.google.com/spreadsheets/d/1swGwZOEqYlTEUCJLY-eeJM1911Kvaei5oySBIxdgtNo/edit?pli=1#gid=257618397"",""stock FAKTUR!B:q""),16,false)"),"LSN")</f>
        <v>LSN</v>
      </c>
      <c r="M797" s="147">
        <v>26100.0</v>
      </c>
      <c r="N797" s="152">
        <v>0.1</v>
      </c>
      <c r="O797" s="147">
        <f t="shared" si="232"/>
        <v>70470</v>
      </c>
      <c r="P797" s="147" t="str">
        <f t="shared" si="3"/>
        <v>Rp26,100-3 LSN-10.00%</v>
      </c>
      <c r="Q797" s="149">
        <v>45425.0</v>
      </c>
      <c r="R797" s="150"/>
      <c r="S797" s="149">
        <v>45426.0</v>
      </c>
      <c r="T797" s="151"/>
      <c r="U797" s="151"/>
      <c r="V797" s="151"/>
      <c r="W797" s="151"/>
    </row>
    <row r="798">
      <c r="A798" s="142">
        <v>4914.0</v>
      </c>
      <c r="B798" s="143" t="str">
        <f t="shared" si="233"/>
        <v>H</v>
      </c>
      <c r="C798" s="143" t="str">
        <f t="shared" si="234"/>
        <v>CV. SINAR CAHAYA NIRMALA-BREBES</v>
      </c>
      <c r="D798" s="53" t="s">
        <v>4731</v>
      </c>
      <c r="E798" s="145" t="str">
        <f>IFERROR(__xludf.DUMMYFUNCTION("vlookup(D798,IMPORTRANGE(""https://docs.google.com/spreadsheets/d/1swGwZOEqYlTEUCJLY-eeJM1911Kvaei5oySBIxdgtNo/edit?pli=1#gid=257618397"",""stock FAKTUR!B:C""),2,false)"),"LOOSE LEAF KENKO 100-2670 B5")</f>
        <v>LOOSE LEAF KENKO 100-2670 B5</v>
      </c>
      <c r="F798" s="53" t="str">
        <f>IFERROR(__xludf.DUMMYFUNCTION("vlookup($D798,IMPORTRANGE(""https://docs.google.com/spreadsheets/d/1swGwZOEqYlTEUCJLY-eeJM1911Kvaei5oySBIxdgtNo/edit?pli=1#gid=257618397"",""stock FAKTUR!B:d""),3,false)"),"B5")</f>
        <v>B5</v>
      </c>
      <c r="G798" s="53" t="str">
        <f>IFERROR(__xludf.DUMMYFUNCTION("vlookup($D798,IMPORTRANGE(""https://docs.google.com/spreadsheets/d/1swGwZOEqYlTEUCJLY-eeJM1911Kvaei5oySBIxdgtNo/edit?pli=1#gid=257618397"",""stock FAKTUR!B:e""),4,false)"),"")</f>
        <v/>
      </c>
      <c r="H798" s="53" t="str">
        <f>IFERROR(__xludf.DUMMYFUNCTION("vlookup($D798,IMPORTRANGE(""https://docs.google.com/spreadsheets/d/1swGwZOEqYlTEUCJLY-eeJM1911Kvaei5oySBIxdgtNo/edit?pli=1#gid=257618397"",""stock FAKTUR!B:F""),5,false)"),"KN")</f>
        <v>KN</v>
      </c>
      <c r="I798" s="53" t="str">
        <f>IFERROR(__xludf.DUMMYFUNCTION("vlookup($D798,IMPORTRANGE(""https://docs.google.com/spreadsheets/d/1swGwZOEqYlTEUCJLY-eeJM1911Kvaei5oySBIxdgtNo/edit?pli=1#gid=257618397"",""stock FAKTUR!B:G""),6,false)"),"LLF-004")</f>
        <v>LLF-004</v>
      </c>
      <c r="J798" s="120" t="str">
        <f t="shared" si="25"/>
        <v>ADA</v>
      </c>
      <c r="K798" s="142">
        <v>15.0</v>
      </c>
      <c r="L798" s="145" t="str">
        <f>IFERROR(__xludf.DUMMYFUNCTION("vlookup($D798,IMPORTRANGE(""https://docs.google.com/spreadsheets/d/1swGwZOEqYlTEUCJLY-eeJM1911Kvaei5oySBIxdgtNo/edit?pli=1#gid=257618397"",""stock FAKTUR!B:q""),16,false)"),"PCS")</f>
        <v>PCS</v>
      </c>
      <c r="M798" s="147">
        <v>13000.0</v>
      </c>
      <c r="N798" s="152">
        <v>0.1</v>
      </c>
      <c r="O798" s="147">
        <f t="shared" si="232"/>
        <v>175500</v>
      </c>
      <c r="P798" s="147" t="str">
        <f t="shared" si="3"/>
        <v>Rp13,000-15 PCS-10.00%</v>
      </c>
      <c r="Q798" s="149">
        <v>45425.0</v>
      </c>
      <c r="R798" s="150"/>
      <c r="S798" s="149">
        <v>45426.0</v>
      </c>
      <c r="T798" s="194" t="s">
        <v>4730</v>
      </c>
      <c r="U798" s="192" t="s">
        <v>4390</v>
      </c>
      <c r="V798" s="151"/>
      <c r="W798" s="159"/>
    </row>
    <row r="799">
      <c r="A799" s="142">
        <v>4914.0</v>
      </c>
      <c r="B799" s="143" t="str">
        <f t="shared" si="233"/>
        <v>H</v>
      </c>
      <c r="C799" s="143" t="str">
        <f t="shared" si="234"/>
        <v>CV. SINAR CAHAYA NIRMALA-BREBES</v>
      </c>
      <c r="D799" s="53" t="s">
        <v>4646</v>
      </c>
      <c r="E799" s="145" t="str">
        <f>IFERROR(__xludf.DUMMYFUNCTION("vlookup(D799,IMPORTRANGE(""https://docs.google.com/spreadsheets/d/1swGwZOEqYlTEUCJLY-eeJM1911Kvaei5oySBIxdgtNo/edit?pli=1#gid=257618397"",""stock FAKTUR!B:C""),2,false)"),"SAMPUL KWARTO BATIK ALFA")</f>
        <v>SAMPUL KWARTO BATIK ALFA</v>
      </c>
      <c r="F799" s="53" t="str">
        <f>IFERROR(__xludf.DUMMYFUNCTION("vlookup($D799,IMPORTRANGE(""https://docs.google.com/spreadsheets/d/1swGwZOEqYlTEUCJLY-eeJM1911Kvaei5oySBIxdgtNo/edit?pli=1#gid=257618397"",""stock FAKTUR!B:d""),3,false)"),"")</f>
        <v/>
      </c>
      <c r="G799" s="53" t="str">
        <f>IFERROR(__xludf.DUMMYFUNCTION("vlookup($D799,IMPORTRANGE(""https://docs.google.com/spreadsheets/d/1swGwZOEqYlTEUCJLY-eeJM1911Kvaei5oySBIxdgtNo/edit?pli=1#gid=257618397"",""stock FAKTUR!B:e""),4,false)"),"")</f>
        <v/>
      </c>
      <c r="H799" s="53" t="str">
        <f>IFERROR(__xludf.DUMMYFUNCTION("vlookup($D799,IMPORTRANGE(""https://docs.google.com/spreadsheets/d/1swGwZOEqYlTEUCJLY-eeJM1911Kvaei5oySBIxdgtNo/edit?pli=1#gid=257618397"",""stock FAKTUR!B:F""),5,false)"),"NB")</f>
        <v>NB</v>
      </c>
      <c r="I799" s="53" t="str">
        <f>IFERROR(__xludf.DUMMYFUNCTION("vlookup($D799,IMPORTRANGE(""https://docs.google.com/spreadsheets/d/1swGwZOEqYlTEUCJLY-eeJM1911Kvaei5oySBIxdgtNo/edit?pli=1#gid=257618397"",""stock FAKTUR!B:G""),6,false)"),"")</f>
        <v/>
      </c>
      <c r="J799" s="120" t="str">
        <f t="shared" si="25"/>
        <v>ADA</v>
      </c>
      <c r="K799" s="142">
        <v>240.0</v>
      </c>
      <c r="L799" s="145" t="str">
        <f>IFERROR(__xludf.DUMMYFUNCTION("vlookup($D799,IMPORTRANGE(""https://docs.google.com/spreadsheets/d/1swGwZOEqYlTEUCJLY-eeJM1911Kvaei5oySBIxdgtNo/edit?pli=1#gid=257618397"",""stock FAKTUR!B:q""),16,false)"),"PCS")</f>
        <v>PCS</v>
      </c>
      <c r="M799" s="147">
        <v>6500.0</v>
      </c>
      <c r="N799" s="148"/>
      <c r="O799" s="147">
        <f t="shared" si="232"/>
        <v>1560000</v>
      </c>
      <c r="P799" s="147" t="str">
        <f t="shared" si="3"/>
        <v>Rp6,500-240 PCS-0.00%</v>
      </c>
      <c r="Q799" s="149">
        <v>45425.0</v>
      </c>
      <c r="R799" s="150"/>
      <c r="S799" s="149">
        <v>45426.0</v>
      </c>
      <c r="T799" s="151"/>
      <c r="U799" s="151"/>
      <c r="V799" s="151"/>
      <c r="W799" s="151"/>
    </row>
    <row r="800">
      <c r="A800" s="142">
        <v>4914.0</v>
      </c>
      <c r="B800" s="143" t="str">
        <f t="shared" si="233"/>
        <v>H</v>
      </c>
      <c r="C800" s="196" t="str">
        <f t="shared" si="234"/>
        <v>CV. SINAR CAHAYA NIRMALA-BREBES</v>
      </c>
      <c r="D800" s="193" t="s">
        <v>4709</v>
      </c>
      <c r="E800" s="145" t="str">
        <f>IFERROR(__xludf.DUMMYFUNCTION("vlookup(D800,IMPORTRANGE(""https://docs.google.com/spreadsheets/d/1swGwZOEqYlTEUCJLY-eeJM1911Kvaei5oySBIxdgtNo/edit?pli=1#gid=257618397"",""stock FAKTUR!B:C""),2,false)"),"SAMPUL KWARTO FANCY ALFA")</f>
        <v>SAMPUL KWARTO FANCY ALFA</v>
      </c>
      <c r="F800" s="53" t="str">
        <f>IFERROR(__xludf.DUMMYFUNCTION("vlookup($D800,IMPORTRANGE(""https://docs.google.com/spreadsheets/d/1swGwZOEqYlTEUCJLY-eeJM1911Kvaei5oySBIxdgtNo/edit?pli=1#gid=257618397"",""stock FAKTUR!B:d""),3,false)"),"")</f>
        <v/>
      </c>
      <c r="G800" s="53" t="str">
        <f>IFERROR(__xludf.DUMMYFUNCTION("vlookup($D800,IMPORTRANGE(""https://docs.google.com/spreadsheets/d/1swGwZOEqYlTEUCJLY-eeJM1911Kvaei5oySBIxdgtNo/edit?pli=1#gid=257618397"",""stock FAKTUR!B:e""),4,false)"),"")</f>
        <v/>
      </c>
      <c r="H800" s="53" t="str">
        <f>IFERROR(__xludf.DUMMYFUNCTION("vlookup($D800,IMPORTRANGE(""https://docs.google.com/spreadsheets/d/1swGwZOEqYlTEUCJLY-eeJM1911Kvaei5oySBIxdgtNo/edit?pli=1#gid=257618397"",""stock FAKTUR!B:F""),5,false)"),"NB")</f>
        <v>NB</v>
      </c>
      <c r="I800" s="53" t="str">
        <f>IFERROR(__xludf.DUMMYFUNCTION("vlookup($D800,IMPORTRANGE(""https://docs.google.com/spreadsheets/d/1swGwZOEqYlTEUCJLY-eeJM1911Kvaei5oySBIxdgtNo/edit?pli=1#gid=257618397"",""stock FAKTUR!B:G""),6,false)"),"")</f>
        <v/>
      </c>
      <c r="J800" s="120" t="str">
        <f t="shared" si="25"/>
        <v>ADA</v>
      </c>
      <c r="K800" s="142">
        <v>240.0</v>
      </c>
      <c r="L800" s="145" t="str">
        <f>IFERROR(__xludf.DUMMYFUNCTION("vlookup($D800,IMPORTRANGE(""https://docs.google.com/spreadsheets/d/1swGwZOEqYlTEUCJLY-eeJM1911Kvaei5oySBIxdgtNo/edit?pli=1#gid=257618397"",""stock FAKTUR!B:q""),16,false)"),"PCS")</f>
        <v>PCS</v>
      </c>
      <c r="M800" s="147">
        <v>6500.0</v>
      </c>
      <c r="N800" s="148"/>
      <c r="O800" s="147">
        <f t="shared" si="232"/>
        <v>1560000</v>
      </c>
      <c r="P800" s="147" t="str">
        <f t="shared" si="3"/>
        <v>Rp6,500-240 PCS-0.00%</v>
      </c>
      <c r="Q800" s="149">
        <v>45425.0</v>
      </c>
      <c r="R800" s="150"/>
      <c r="S800" s="149">
        <v>45426.0</v>
      </c>
      <c r="T800" s="151"/>
      <c r="U800" s="192" t="s">
        <v>4390</v>
      </c>
      <c r="V800" s="151"/>
      <c r="W800" s="151"/>
    </row>
    <row r="801">
      <c r="A801" s="142">
        <v>4908.0</v>
      </c>
      <c r="B801" s="143" t="s">
        <v>33</v>
      </c>
      <c r="C801" s="143" t="s">
        <v>3242</v>
      </c>
      <c r="D801" s="53" t="s">
        <v>4710</v>
      </c>
      <c r="E801" s="145" t="str">
        <f>IFERROR(__xludf.DUMMYFUNCTION("vlookup(D801,IMPORTRANGE(""https://docs.google.com/spreadsheets/d/1swGwZOEqYlTEUCJLY-eeJM1911Kvaei5oySBIxdgtNo/edit?pli=1#gid=257618397"",""stock FAKTUR!B:C""),2,false)"),"SAMPUL BOXY BATIK")</f>
        <v>SAMPUL BOXY BATIK</v>
      </c>
      <c r="F801" s="53" t="str">
        <f>IFERROR(__xludf.DUMMYFUNCTION("vlookup($D801,IMPORTRANGE(""https://docs.google.com/spreadsheets/d/1swGwZOEqYlTEUCJLY-eeJM1911Kvaei5oySBIxdgtNo/edit?pli=1#gid=257618397"",""stock FAKTUR!B:d""),3,false)"),"")</f>
        <v/>
      </c>
      <c r="G801" s="53" t="str">
        <f>IFERROR(__xludf.DUMMYFUNCTION("vlookup($D801,IMPORTRANGE(""https://docs.google.com/spreadsheets/d/1swGwZOEqYlTEUCJLY-eeJM1911Kvaei5oySBIxdgtNo/edit?pli=1#gid=257618397"",""stock FAKTUR!B:e""),4,false)"),"")</f>
        <v/>
      </c>
      <c r="H801" s="53" t="str">
        <f>IFERROR(__xludf.DUMMYFUNCTION("vlookup($D801,IMPORTRANGE(""https://docs.google.com/spreadsheets/d/1swGwZOEqYlTEUCJLY-eeJM1911Kvaei5oySBIxdgtNo/edit?pli=1#gid=257618397"",""stock FAKTUR!B:F""),5,false)"),"NB")</f>
        <v>NB</v>
      </c>
      <c r="I801" s="53" t="str">
        <f>IFERROR(__xludf.DUMMYFUNCTION("vlookup($D801,IMPORTRANGE(""https://docs.google.com/spreadsheets/d/1swGwZOEqYlTEUCJLY-eeJM1911Kvaei5oySBIxdgtNo/edit?pli=1#gid=257618397"",""stock FAKTUR!B:G""),6,false)"),"")</f>
        <v/>
      </c>
      <c r="J801" s="120" t="str">
        <f t="shared" si="25"/>
        <v>ADA</v>
      </c>
      <c r="K801" s="142">
        <v>200.0</v>
      </c>
      <c r="L801" s="145" t="str">
        <f>IFERROR(__xludf.DUMMYFUNCTION("vlookup($D801,IMPORTRANGE(""https://docs.google.com/spreadsheets/d/1swGwZOEqYlTEUCJLY-eeJM1911Kvaei5oySBIxdgtNo/edit?pli=1#gid=257618397"",""stock FAKTUR!B:q""),16,false)"),"PCS")</f>
        <v>PCS</v>
      </c>
      <c r="M801" s="147">
        <v>7750.0</v>
      </c>
      <c r="N801" s="148"/>
      <c r="O801" s="147">
        <f t="shared" si="232"/>
        <v>1550000</v>
      </c>
      <c r="P801" s="147" t="str">
        <f t="shared" si="3"/>
        <v>Rp7,750-200 PCS-0.00%</v>
      </c>
      <c r="Q801" s="149">
        <v>45425.0</v>
      </c>
      <c r="R801" s="150"/>
      <c r="S801" s="149">
        <v>45426.0</v>
      </c>
      <c r="T801" s="151"/>
      <c r="U801" s="151"/>
      <c r="V801" s="151"/>
      <c r="W801" s="151"/>
    </row>
    <row r="802">
      <c r="A802" s="142">
        <v>4908.0</v>
      </c>
      <c r="B802" s="143" t="str">
        <f t="shared" ref="B802:B803" si="235">IF(A802=A801,B801,"")</f>
        <v>H</v>
      </c>
      <c r="C802" s="143" t="str">
        <f t="shared" ref="C802:C803" si="236">IF(A802=A801,C801,"")</f>
        <v>BASA-PEMALANG</v>
      </c>
      <c r="D802" s="193" t="s">
        <v>4709</v>
      </c>
      <c r="E802" s="145" t="str">
        <f>IFERROR(__xludf.DUMMYFUNCTION("vlookup(D802,IMPORTRANGE(""https://docs.google.com/spreadsheets/d/1swGwZOEqYlTEUCJLY-eeJM1911Kvaei5oySBIxdgtNo/edit?pli=1#gid=257618397"",""stock FAKTUR!B:C""),2,false)"),"SAMPUL KWARTO FANCY ALFA")</f>
        <v>SAMPUL KWARTO FANCY ALFA</v>
      </c>
      <c r="F802" s="53" t="str">
        <f>IFERROR(__xludf.DUMMYFUNCTION("vlookup($D802,IMPORTRANGE(""https://docs.google.com/spreadsheets/d/1swGwZOEqYlTEUCJLY-eeJM1911Kvaei5oySBIxdgtNo/edit?pli=1#gid=257618397"",""stock FAKTUR!B:d""),3,false)"),"")</f>
        <v/>
      </c>
      <c r="G802" s="53" t="str">
        <f>IFERROR(__xludf.DUMMYFUNCTION("vlookup($D802,IMPORTRANGE(""https://docs.google.com/spreadsheets/d/1swGwZOEqYlTEUCJLY-eeJM1911Kvaei5oySBIxdgtNo/edit?pli=1#gid=257618397"",""stock FAKTUR!B:e""),4,false)"),"")</f>
        <v/>
      </c>
      <c r="H802" s="53" t="str">
        <f>IFERROR(__xludf.DUMMYFUNCTION("vlookup($D802,IMPORTRANGE(""https://docs.google.com/spreadsheets/d/1swGwZOEqYlTEUCJLY-eeJM1911Kvaei5oySBIxdgtNo/edit?pli=1#gid=257618397"",""stock FAKTUR!B:F""),5,false)"),"NB")</f>
        <v>NB</v>
      </c>
      <c r="I802" s="53" t="str">
        <f>IFERROR(__xludf.DUMMYFUNCTION("vlookup($D802,IMPORTRANGE(""https://docs.google.com/spreadsheets/d/1swGwZOEqYlTEUCJLY-eeJM1911Kvaei5oySBIxdgtNo/edit?pli=1#gid=257618397"",""stock FAKTUR!B:G""),6,false)"),"")</f>
        <v/>
      </c>
      <c r="J802" s="120" t="str">
        <f t="shared" si="25"/>
        <v>ADA</v>
      </c>
      <c r="K802" s="142">
        <v>240.0</v>
      </c>
      <c r="L802" s="145" t="str">
        <f>IFERROR(__xludf.DUMMYFUNCTION("vlookup($D802,IMPORTRANGE(""https://docs.google.com/spreadsheets/d/1swGwZOEqYlTEUCJLY-eeJM1911Kvaei5oySBIxdgtNo/edit?pli=1#gid=257618397"",""stock FAKTUR!B:q""),16,false)"),"PCS")</f>
        <v>PCS</v>
      </c>
      <c r="M802" s="147">
        <v>6250.0</v>
      </c>
      <c r="N802" s="148"/>
      <c r="O802" s="147">
        <f t="shared" si="232"/>
        <v>1500000</v>
      </c>
      <c r="P802" s="147" t="str">
        <f t="shared" si="3"/>
        <v>Rp6,250-240 PCS-0.00%</v>
      </c>
      <c r="Q802" s="149">
        <v>45425.0</v>
      </c>
      <c r="R802" s="150"/>
      <c r="S802" s="149">
        <v>45426.0</v>
      </c>
      <c r="T802" s="151"/>
      <c r="U802" s="192" t="s">
        <v>4390</v>
      </c>
      <c r="V802" s="151"/>
      <c r="W802" s="151"/>
    </row>
    <row r="803">
      <c r="A803" s="142">
        <v>4908.0</v>
      </c>
      <c r="B803" s="143" t="str">
        <f t="shared" si="235"/>
        <v>H</v>
      </c>
      <c r="C803" s="143" t="str">
        <f t="shared" si="236"/>
        <v>BASA-PEMALANG</v>
      </c>
      <c r="D803" s="53" t="s">
        <v>4646</v>
      </c>
      <c r="E803" s="145" t="str">
        <f>IFERROR(__xludf.DUMMYFUNCTION("vlookup(D803,IMPORTRANGE(""https://docs.google.com/spreadsheets/d/1swGwZOEqYlTEUCJLY-eeJM1911Kvaei5oySBIxdgtNo/edit?pli=1#gid=257618397"",""stock FAKTUR!B:C""),2,false)"),"SAMPUL KWARTO BATIK ALFA")</f>
        <v>SAMPUL KWARTO BATIK ALFA</v>
      </c>
      <c r="F803" s="53" t="str">
        <f>IFERROR(__xludf.DUMMYFUNCTION("vlookup($D803,IMPORTRANGE(""https://docs.google.com/spreadsheets/d/1swGwZOEqYlTEUCJLY-eeJM1911Kvaei5oySBIxdgtNo/edit?pli=1#gid=257618397"",""stock FAKTUR!B:d""),3,false)"),"")</f>
        <v/>
      </c>
      <c r="G803" s="53" t="str">
        <f>IFERROR(__xludf.DUMMYFUNCTION("vlookup($D803,IMPORTRANGE(""https://docs.google.com/spreadsheets/d/1swGwZOEqYlTEUCJLY-eeJM1911Kvaei5oySBIxdgtNo/edit?pli=1#gid=257618397"",""stock FAKTUR!B:e""),4,false)"),"")</f>
        <v/>
      </c>
      <c r="H803" s="53" t="str">
        <f>IFERROR(__xludf.DUMMYFUNCTION("vlookup($D803,IMPORTRANGE(""https://docs.google.com/spreadsheets/d/1swGwZOEqYlTEUCJLY-eeJM1911Kvaei5oySBIxdgtNo/edit?pli=1#gid=257618397"",""stock FAKTUR!B:F""),5,false)"),"NB")</f>
        <v>NB</v>
      </c>
      <c r="I803" s="53" t="str">
        <f>IFERROR(__xludf.DUMMYFUNCTION("vlookup($D803,IMPORTRANGE(""https://docs.google.com/spreadsheets/d/1swGwZOEqYlTEUCJLY-eeJM1911Kvaei5oySBIxdgtNo/edit?pli=1#gid=257618397"",""stock FAKTUR!B:G""),6,false)"),"")</f>
        <v/>
      </c>
      <c r="J803" s="120" t="str">
        <f t="shared" si="25"/>
        <v>ADA</v>
      </c>
      <c r="K803" s="142">
        <v>240.0</v>
      </c>
      <c r="L803" s="145" t="str">
        <f>IFERROR(__xludf.DUMMYFUNCTION("vlookup($D803,IMPORTRANGE(""https://docs.google.com/spreadsheets/d/1swGwZOEqYlTEUCJLY-eeJM1911Kvaei5oySBIxdgtNo/edit?pli=1#gid=257618397"",""stock FAKTUR!B:q""),16,false)"),"PCS")</f>
        <v>PCS</v>
      </c>
      <c r="M803" s="147">
        <v>6250.0</v>
      </c>
      <c r="N803" s="148"/>
      <c r="O803" s="147">
        <f t="shared" si="232"/>
        <v>1500000</v>
      </c>
      <c r="P803" s="147" t="str">
        <f t="shared" si="3"/>
        <v>Rp6,250-240 PCS-0.00%</v>
      </c>
      <c r="Q803" s="149">
        <v>45425.0</v>
      </c>
      <c r="R803" s="150"/>
      <c r="S803" s="149">
        <v>45426.0</v>
      </c>
      <c r="T803" s="151"/>
      <c r="U803" s="151"/>
      <c r="V803" s="151"/>
      <c r="W803" s="151"/>
    </row>
    <row r="804">
      <c r="A804" s="142">
        <v>4907.0</v>
      </c>
      <c r="B804" s="143" t="s">
        <v>33</v>
      </c>
      <c r="C804" s="143" t="s">
        <v>3509</v>
      </c>
      <c r="D804" s="53" t="s">
        <v>4646</v>
      </c>
      <c r="E804" s="145" t="str">
        <f>IFERROR(__xludf.DUMMYFUNCTION("vlookup(D804,IMPORTRANGE(""https://docs.google.com/spreadsheets/d/1swGwZOEqYlTEUCJLY-eeJM1911Kvaei5oySBIxdgtNo/edit?pli=1#gid=257618397"",""stock FAKTUR!B:C""),2,false)"),"SAMPUL KWARTO BATIK ALFA")</f>
        <v>SAMPUL KWARTO BATIK ALFA</v>
      </c>
      <c r="F804" s="53" t="str">
        <f>IFERROR(__xludf.DUMMYFUNCTION("vlookup($D804,IMPORTRANGE(""https://docs.google.com/spreadsheets/d/1swGwZOEqYlTEUCJLY-eeJM1911Kvaei5oySBIxdgtNo/edit?pli=1#gid=257618397"",""stock FAKTUR!B:d""),3,false)"),"")</f>
        <v/>
      </c>
      <c r="G804" s="53" t="str">
        <f>IFERROR(__xludf.DUMMYFUNCTION("vlookup($D804,IMPORTRANGE(""https://docs.google.com/spreadsheets/d/1swGwZOEqYlTEUCJLY-eeJM1911Kvaei5oySBIxdgtNo/edit?pli=1#gid=257618397"",""stock FAKTUR!B:e""),4,false)"),"")</f>
        <v/>
      </c>
      <c r="H804" s="53" t="str">
        <f>IFERROR(__xludf.DUMMYFUNCTION("vlookup($D804,IMPORTRANGE(""https://docs.google.com/spreadsheets/d/1swGwZOEqYlTEUCJLY-eeJM1911Kvaei5oySBIxdgtNo/edit?pli=1#gid=257618397"",""stock FAKTUR!B:F""),5,false)"),"NB")</f>
        <v>NB</v>
      </c>
      <c r="I804" s="53" t="str">
        <f>IFERROR(__xludf.DUMMYFUNCTION("vlookup($D804,IMPORTRANGE(""https://docs.google.com/spreadsheets/d/1swGwZOEqYlTEUCJLY-eeJM1911Kvaei5oySBIxdgtNo/edit?pli=1#gid=257618397"",""stock FAKTUR!B:G""),6,false)"),"")</f>
        <v/>
      </c>
      <c r="J804" s="120" t="str">
        <f t="shared" si="25"/>
        <v>ADA</v>
      </c>
      <c r="K804" s="142">
        <v>480.0</v>
      </c>
      <c r="L804" s="145" t="str">
        <f>IFERROR(__xludf.DUMMYFUNCTION("vlookup($D804,IMPORTRANGE(""https://docs.google.com/spreadsheets/d/1swGwZOEqYlTEUCJLY-eeJM1911Kvaei5oySBIxdgtNo/edit?pli=1#gid=257618397"",""stock FAKTUR!B:q""),16,false)"),"PCS")</f>
        <v>PCS</v>
      </c>
      <c r="M804" s="147">
        <v>6250.0</v>
      </c>
      <c r="N804" s="148"/>
      <c r="O804" s="147">
        <f t="shared" si="232"/>
        <v>3000000</v>
      </c>
      <c r="P804" s="147" t="str">
        <f t="shared" si="3"/>
        <v>Rp6,250-480 PCS-0.00%</v>
      </c>
      <c r="Q804" s="149">
        <v>45425.0</v>
      </c>
      <c r="R804" s="150"/>
      <c r="S804" s="149">
        <v>45426.0</v>
      </c>
      <c r="T804" s="151"/>
      <c r="U804" s="151"/>
      <c r="V804" s="151"/>
      <c r="W804" s="151"/>
    </row>
    <row r="805">
      <c r="A805" s="142">
        <v>4907.0</v>
      </c>
      <c r="B805" s="143" t="str">
        <f t="shared" ref="B805:B806" si="237">IF(A805=A804,B804,"")</f>
        <v>H</v>
      </c>
      <c r="C805" s="143" t="str">
        <f t="shared" ref="C805:C806" si="238">IF(A805=A804,C804,"")</f>
        <v>BASA-TEGAL</v>
      </c>
      <c r="D805" s="193" t="s">
        <v>4709</v>
      </c>
      <c r="E805" s="145" t="str">
        <f>IFERROR(__xludf.DUMMYFUNCTION("vlookup(D805,IMPORTRANGE(""https://docs.google.com/spreadsheets/d/1swGwZOEqYlTEUCJLY-eeJM1911Kvaei5oySBIxdgtNo/edit?pli=1#gid=257618397"",""stock FAKTUR!B:C""),2,false)"),"SAMPUL KWARTO FANCY ALFA")</f>
        <v>SAMPUL KWARTO FANCY ALFA</v>
      </c>
      <c r="F805" s="53" t="str">
        <f>IFERROR(__xludf.DUMMYFUNCTION("vlookup($D805,IMPORTRANGE(""https://docs.google.com/spreadsheets/d/1swGwZOEqYlTEUCJLY-eeJM1911Kvaei5oySBIxdgtNo/edit?pli=1#gid=257618397"",""stock FAKTUR!B:d""),3,false)"),"")</f>
        <v/>
      </c>
      <c r="G805" s="53" t="str">
        <f>IFERROR(__xludf.DUMMYFUNCTION("vlookup($D805,IMPORTRANGE(""https://docs.google.com/spreadsheets/d/1swGwZOEqYlTEUCJLY-eeJM1911Kvaei5oySBIxdgtNo/edit?pli=1#gid=257618397"",""stock FAKTUR!B:e""),4,false)"),"")</f>
        <v/>
      </c>
      <c r="H805" s="53" t="str">
        <f>IFERROR(__xludf.DUMMYFUNCTION("vlookup($D805,IMPORTRANGE(""https://docs.google.com/spreadsheets/d/1swGwZOEqYlTEUCJLY-eeJM1911Kvaei5oySBIxdgtNo/edit?pli=1#gid=257618397"",""stock FAKTUR!B:F""),5,false)"),"NB")</f>
        <v>NB</v>
      </c>
      <c r="I805" s="53" t="str">
        <f>IFERROR(__xludf.DUMMYFUNCTION("vlookup($D805,IMPORTRANGE(""https://docs.google.com/spreadsheets/d/1swGwZOEqYlTEUCJLY-eeJM1911Kvaei5oySBIxdgtNo/edit?pli=1#gid=257618397"",""stock FAKTUR!B:G""),6,false)"),"")</f>
        <v/>
      </c>
      <c r="J805" s="120" t="str">
        <f t="shared" si="25"/>
        <v>ADA</v>
      </c>
      <c r="K805" s="142">
        <v>480.0</v>
      </c>
      <c r="L805" s="145" t="str">
        <f>IFERROR(__xludf.DUMMYFUNCTION("vlookup($D805,IMPORTRANGE(""https://docs.google.com/spreadsheets/d/1swGwZOEqYlTEUCJLY-eeJM1911Kvaei5oySBIxdgtNo/edit?pli=1#gid=257618397"",""stock FAKTUR!B:q""),16,false)"),"PCS")</f>
        <v>PCS</v>
      </c>
      <c r="M805" s="147">
        <v>6250.0</v>
      </c>
      <c r="N805" s="148"/>
      <c r="O805" s="147">
        <f t="shared" si="232"/>
        <v>3000000</v>
      </c>
      <c r="P805" s="147" t="str">
        <f t="shared" si="3"/>
        <v>Rp6,250-480 PCS-0.00%</v>
      </c>
      <c r="Q805" s="149">
        <v>45425.0</v>
      </c>
      <c r="R805" s="150"/>
      <c r="S805" s="149">
        <v>45426.0</v>
      </c>
      <c r="T805" s="151"/>
      <c r="U805" s="192" t="s">
        <v>4390</v>
      </c>
      <c r="V805" s="151"/>
      <c r="W805" s="151"/>
    </row>
    <row r="806">
      <c r="A806" s="142">
        <v>4907.0</v>
      </c>
      <c r="B806" s="143" t="str">
        <f t="shared" si="237"/>
        <v>H</v>
      </c>
      <c r="C806" s="143" t="str">
        <f t="shared" si="238"/>
        <v>BASA-TEGAL</v>
      </c>
      <c r="D806" s="53" t="s">
        <v>4710</v>
      </c>
      <c r="E806" s="145" t="str">
        <f>IFERROR(__xludf.DUMMYFUNCTION("vlookup(D806,IMPORTRANGE(""https://docs.google.com/spreadsheets/d/1swGwZOEqYlTEUCJLY-eeJM1911Kvaei5oySBIxdgtNo/edit?pli=1#gid=257618397"",""stock FAKTUR!B:C""),2,false)"),"SAMPUL BOXY BATIK")</f>
        <v>SAMPUL BOXY BATIK</v>
      </c>
      <c r="F806" s="53" t="str">
        <f>IFERROR(__xludf.DUMMYFUNCTION("vlookup($D806,IMPORTRANGE(""https://docs.google.com/spreadsheets/d/1swGwZOEqYlTEUCJLY-eeJM1911Kvaei5oySBIxdgtNo/edit?pli=1#gid=257618397"",""stock FAKTUR!B:d""),3,false)"),"")</f>
        <v/>
      </c>
      <c r="G806" s="53" t="str">
        <f>IFERROR(__xludf.DUMMYFUNCTION("vlookup($D806,IMPORTRANGE(""https://docs.google.com/spreadsheets/d/1swGwZOEqYlTEUCJLY-eeJM1911Kvaei5oySBIxdgtNo/edit?pli=1#gid=257618397"",""stock FAKTUR!B:e""),4,false)"),"")</f>
        <v/>
      </c>
      <c r="H806" s="53" t="str">
        <f>IFERROR(__xludf.DUMMYFUNCTION("vlookup($D806,IMPORTRANGE(""https://docs.google.com/spreadsheets/d/1swGwZOEqYlTEUCJLY-eeJM1911Kvaei5oySBIxdgtNo/edit?pli=1#gid=257618397"",""stock FAKTUR!B:F""),5,false)"),"NB")</f>
        <v>NB</v>
      </c>
      <c r="I806" s="53" t="str">
        <f>IFERROR(__xludf.DUMMYFUNCTION("vlookup($D806,IMPORTRANGE(""https://docs.google.com/spreadsheets/d/1swGwZOEqYlTEUCJLY-eeJM1911Kvaei5oySBIxdgtNo/edit?pli=1#gid=257618397"",""stock FAKTUR!B:G""),6,false)"),"")</f>
        <v/>
      </c>
      <c r="J806" s="120" t="str">
        <f t="shared" si="25"/>
        <v>ADA</v>
      </c>
      <c r="K806" s="142">
        <v>400.0</v>
      </c>
      <c r="L806" s="145" t="str">
        <f>IFERROR(__xludf.DUMMYFUNCTION("vlookup($D806,IMPORTRANGE(""https://docs.google.com/spreadsheets/d/1swGwZOEqYlTEUCJLY-eeJM1911Kvaei5oySBIxdgtNo/edit?pli=1#gid=257618397"",""stock FAKTUR!B:q""),16,false)"),"PCS")</f>
        <v>PCS</v>
      </c>
      <c r="M806" s="147">
        <v>7750.0</v>
      </c>
      <c r="N806" s="148"/>
      <c r="O806" s="147">
        <f t="shared" si="232"/>
        <v>3100000</v>
      </c>
      <c r="P806" s="147" t="str">
        <f t="shared" si="3"/>
        <v>Rp7,750-400 PCS-0.00%</v>
      </c>
      <c r="Q806" s="149">
        <v>45425.0</v>
      </c>
      <c r="R806" s="150"/>
      <c r="S806" s="149">
        <v>45426.0</v>
      </c>
      <c r="T806" s="151"/>
      <c r="U806" s="151"/>
      <c r="V806" s="151"/>
      <c r="W806" s="151"/>
    </row>
    <row r="807">
      <c r="A807" s="142">
        <v>4812.0</v>
      </c>
      <c r="B807" s="143" t="s">
        <v>33</v>
      </c>
      <c r="C807" s="143" t="s">
        <v>4778</v>
      </c>
      <c r="D807" s="53" t="s">
        <v>4535</v>
      </c>
      <c r="E807" s="145" t="str">
        <f>IFERROR(__xludf.DUMMYFUNCTION("vlookup(D807,IMPORTRANGE(""https://docs.google.com/spreadsheets/d/1swGwZOEqYlTEUCJLY-eeJM1911Kvaei5oySBIxdgtNo/edit?pli=1#gid=257618397"",""stock FAKTUR!B:C""),2,false)"),"PC MAGNIT C-5212 3D (23X8.5)")</f>
        <v>PC MAGNIT C-5212 3D (23X8.5)</v>
      </c>
      <c r="F807" s="53" t="str">
        <f>IFERROR(__xludf.DUMMYFUNCTION("vlookup($D807,IMPORTRANGE(""https://docs.google.com/spreadsheets/d/1swGwZOEqYlTEUCJLY-eeJM1911Kvaei5oySBIxdgtNo/edit?pli=1#gid=257618397"",""stock FAKTUR!B:d""),3,false)"),"")</f>
        <v/>
      </c>
      <c r="G807" s="53" t="str">
        <f>IFERROR(__xludf.DUMMYFUNCTION("vlookup($D807,IMPORTRANGE(""https://docs.google.com/spreadsheets/d/1swGwZOEqYlTEUCJLY-eeJM1911Kvaei5oySBIxdgtNo/edit?pli=1#gid=257618397"",""stock FAKTUR!B:e""),4,false)"),"")</f>
        <v/>
      </c>
      <c r="H807" s="53" t="str">
        <f>IFERROR(__xludf.DUMMYFUNCTION("vlookup($D807,IMPORTRANGE(""https://docs.google.com/spreadsheets/d/1swGwZOEqYlTEUCJLY-eeJM1911Kvaei5oySBIxdgtNo/edit?pli=1#gid=257618397"",""stock FAKTUR!B:F""),5,false)"),"NB")</f>
        <v>NB</v>
      </c>
      <c r="I807" s="53" t="str">
        <f>IFERROR(__xludf.DUMMYFUNCTION("vlookup($D807,IMPORTRANGE(""https://docs.google.com/spreadsheets/d/1swGwZOEqYlTEUCJLY-eeJM1911Kvaei5oySBIxdgtNo/edit?pli=1#gid=257618397"",""stock FAKTUR!B:G""),6,false)"),"")</f>
        <v/>
      </c>
      <c r="J807" s="120" t="str">
        <f t="shared" si="25"/>
        <v>ADA</v>
      </c>
      <c r="K807" s="142">
        <f t="shared" ref="K807:K810" si="239">5*12</f>
        <v>60</v>
      </c>
      <c r="L807" s="145" t="str">
        <f>IFERROR(__xludf.DUMMYFUNCTION("vlookup($D807,IMPORTRANGE(""https://docs.google.com/spreadsheets/d/1swGwZOEqYlTEUCJLY-eeJM1911Kvaei5oySBIxdgtNo/edit?pli=1#gid=257618397"",""stock FAKTUR!B:q""),16,false)"),"PCS")</f>
        <v>PCS</v>
      </c>
      <c r="M807" s="147">
        <f>175000/12</f>
        <v>14583.33333</v>
      </c>
      <c r="N807" s="148"/>
      <c r="O807" s="147">
        <f t="shared" si="232"/>
        <v>875000</v>
      </c>
      <c r="P807" s="147" t="str">
        <f t="shared" si="3"/>
        <v>Rp14,583-60 PCS-0.00%</v>
      </c>
      <c r="Q807" s="149">
        <v>45425.0</v>
      </c>
      <c r="R807" s="150"/>
      <c r="S807" s="149">
        <v>45426.0</v>
      </c>
      <c r="T807" s="151"/>
      <c r="U807" s="151"/>
      <c r="V807" s="151"/>
      <c r="W807" s="151"/>
    </row>
    <row r="808">
      <c r="A808" s="142">
        <v>4812.0</v>
      </c>
      <c r="B808" s="143" t="str">
        <f t="shared" ref="B808:B813" si="240">IF(A808=A807,B807,"")</f>
        <v>H</v>
      </c>
      <c r="C808" s="143" t="str">
        <f t="shared" ref="C808:C813" si="241">IF(A808=A807,C807,"")</f>
        <v>SUKSES MAKMUR(INTAN)-COMAL</v>
      </c>
      <c r="D808" s="53" t="s">
        <v>4524</v>
      </c>
      <c r="E808" s="145" t="str">
        <f>IFERROR(__xludf.DUMMYFUNCTION("vlookup(D808,IMPORTRANGE(""https://docs.google.com/spreadsheets/d/1swGwZOEqYlTEUCJLY-eeJM1911Kvaei5oySBIxdgtNo/edit?pli=1#gid=257618397"",""stock FAKTUR!B:C""),2,false)"),"PC MAGNIT FY-6822 (22X7.5)")</f>
        <v>PC MAGNIT FY-6822 (22X7.5)</v>
      </c>
      <c r="F808" s="53" t="str">
        <f>IFERROR(__xludf.DUMMYFUNCTION("vlookup($D808,IMPORTRANGE(""https://docs.google.com/spreadsheets/d/1swGwZOEqYlTEUCJLY-eeJM1911Kvaei5oySBIxdgtNo/edit?pli=1#gid=257618397"",""stock FAKTUR!B:d""),3,false)"),"")</f>
        <v/>
      </c>
      <c r="G808" s="53" t="str">
        <f>IFERROR(__xludf.DUMMYFUNCTION("vlookup($D808,IMPORTRANGE(""https://docs.google.com/spreadsheets/d/1swGwZOEqYlTEUCJLY-eeJM1911Kvaei5oySBIxdgtNo/edit?pli=1#gid=257618397"",""stock FAKTUR!B:e""),4,false)"),"")</f>
        <v/>
      </c>
      <c r="H808" s="53" t="str">
        <f>IFERROR(__xludf.DUMMYFUNCTION("vlookup($D808,IMPORTRANGE(""https://docs.google.com/spreadsheets/d/1swGwZOEqYlTEUCJLY-eeJM1911Kvaei5oySBIxdgtNo/edit?pli=1#gid=257618397"",""stock FAKTUR!B:F""),5,false)"),"NB")</f>
        <v>NB</v>
      </c>
      <c r="I808" s="53" t="str">
        <f>IFERROR(__xludf.DUMMYFUNCTION("vlookup($D808,IMPORTRANGE(""https://docs.google.com/spreadsheets/d/1swGwZOEqYlTEUCJLY-eeJM1911Kvaei5oySBIxdgtNo/edit?pli=1#gid=257618397"",""stock FAKTUR!B:G""),6,false)"),"")</f>
        <v/>
      </c>
      <c r="J808" s="120" t="str">
        <f t="shared" si="25"/>
        <v>ADA</v>
      </c>
      <c r="K808" s="142">
        <f t="shared" si="239"/>
        <v>60</v>
      </c>
      <c r="L808" s="145" t="str">
        <f>IFERROR(__xludf.DUMMYFUNCTION("vlookup($D808,IMPORTRANGE(""https://docs.google.com/spreadsheets/d/1swGwZOEqYlTEUCJLY-eeJM1911Kvaei5oySBIxdgtNo/edit?pli=1#gid=257618397"",""stock FAKTUR!B:q""),16,false)"),"PCS")</f>
        <v>PCS</v>
      </c>
      <c r="M808" s="147">
        <f t="shared" ref="M808:M809" si="242">150000/12</f>
        <v>12500</v>
      </c>
      <c r="N808" s="148"/>
      <c r="O808" s="147">
        <f t="shared" si="232"/>
        <v>750000</v>
      </c>
      <c r="P808" s="147" t="str">
        <f t="shared" si="3"/>
        <v>Rp12,500-60 PCS-0.00%</v>
      </c>
      <c r="Q808" s="149">
        <v>45425.0</v>
      </c>
      <c r="R808" s="150"/>
      <c r="S808" s="149">
        <v>45426.0</v>
      </c>
      <c r="T808" s="151"/>
      <c r="U808" s="151"/>
      <c r="V808" s="151"/>
      <c r="W808" s="151"/>
    </row>
    <row r="809">
      <c r="A809" s="142">
        <v>4812.0</v>
      </c>
      <c r="B809" s="143" t="str">
        <f t="shared" si="240"/>
        <v>H</v>
      </c>
      <c r="C809" s="143" t="str">
        <f t="shared" si="241"/>
        <v>SUKSES MAKMUR(INTAN)-COMAL</v>
      </c>
      <c r="D809" s="53" t="s">
        <v>4717</v>
      </c>
      <c r="E809" s="145" t="str">
        <f>IFERROR(__xludf.DUMMYFUNCTION("vlookup(D809,IMPORTRANGE(""https://docs.google.com/spreadsheets/d/1swGwZOEqYlTEUCJLY-eeJM1911Kvaei5oySBIxdgtNo/edit?pli=1#gid=257618397"",""stock FAKTUR!B:C""),2,false)"),"PC MAGNIT JH-220 A (22X8.5)")</f>
        <v>PC MAGNIT JH-220 A (22X8.5)</v>
      </c>
      <c r="F809" s="53" t="str">
        <f>IFERROR(__xludf.DUMMYFUNCTION("vlookup($D809,IMPORTRANGE(""https://docs.google.com/spreadsheets/d/1swGwZOEqYlTEUCJLY-eeJM1911Kvaei5oySBIxdgtNo/edit?pli=1#gid=257618397"",""stock FAKTUR!B:d""),3,false)"),"")</f>
        <v/>
      </c>
      <c r="G809" s="53" t="str">
        <f>IFERROR(__xludf.DUMMYFUNCTION("vlookup($D809,IMPORTRANGE(""https://docs.google.com/spreadsheets/d/1swGwZOEqYlTEUCJLY-eeJM1911Kvaei5oySBIxdgtNo/edit?pli=1#gid=257618397"",""stock FAKTUR!B:e""),4,false)"),"")</f>
        <v/>
      </c>
      <c r="H809" s="53" t="str">
        <f>IFERROR(__xludf.DUMMYFUNCTION("vlookup($D809,IMPORTRANGE(""https://docs.google.com/spreadsheets/d/1swGwZOEqYlTEUCJLY-eeJM1911Kvaei5oySBIxdgtNo/edit?pli=1#gid=257618397"",""stock FAKTUR!B:F""),5,false)"),"NB")</f>
        <v>NB</v>
      </c>
      <c r="I809" s="53" t="str">
        <f>IFERROR(__xludf.DUMMYFUNCTION("vlookup($D809,IMPORTRANGE(""https://docs.google.com/spreadsheets/d/1swGwZOEqYlTEUCJLY-eeJM1911Kvaei5oySBIxdgtNo/edit?pli=1#gid=257618397"",""stock FAKTUR!B:G""),6,false)"),"")</f>
        <v/>
      </c>
      <c r="J809" s="120" t="str">
        <f t="shared" si="25"/>
        <v>ADA</v>
      </c>
      <c r="K809" s="142">
        <f t="shared" si="239"/>
        <v>60</v>
      </c>
      <c r="L809" s="145" t="str">
        <f>IFERROR(__xludf.DUMMYFUNCTION("vlookup($D809,IMPORTRANGE(""https://docs.google.com/spreadsheets/d/1swGwZOEqYlTEUCJLY-eeJM1911Kvaei5oySBIxdgtNo/edit?pli=1#gid=257618397"",""stock FAKTUR!B:q""),16,false)"),"PCS")</f>
        <v>PCS</v>
      </c>
      <c r="M809" s="147">
        <f t="shared" si="242"/>
        <v>12500</v>
      </c>
      <c r="N809" s="148"/>
      <c r="O809" s="147">
        <f t="shared" si="232"/>
        <v>750000</v>
      </c>
      <c r="P809" s="147" t="str">
        <f t="shared" si="3"/>
        <v>Rp12,500-60 PCS-0.00%</v>
      </c>
      <c r="Q809" s="149">
        <v>45425.0</v>
      </c>
      <c r="R809" s="150"/>
      <c r="S809" s="149">
        <v>45426.0</v>
      </c>
      <c r="T809" s="151"/>
      <c r="U809" s="151"/>
      <c r="V809" s="151"/>
      <c r="W809" s="151"/>
    </row>
    <row r="810">
      <c r="A810" s="142">
        <v>4812.0</v>
      </c>
      <c r="B810" s="143" t="str">
        <f t="shared" si="240"/>
        <v>H</v>
      </c>
      <c r="C810" s="143" t="str">
        <f t="shared" si="241"/>
        <v>SUKSES MAKMUR(INTAN)-COMAL</v>
      </c>
      <c r="D810" s="53" t="s">
        <v>4566</v>
      </c>
      <c r="E810" s="145" t="str">
        <f>IFERROR(__xludf.DUMMYFUNCTION("vlookup(D810,IMPORTRANGE(""https://docs.google.com/spreadsheets/d/1swGwZOEqYlTEUCJLY-eeJM1911Kvaei5oySBIxdgtNo/edit?pli=1#gid=257618397"",""stock FAKTUR!B:C""),2,false)"),"PC MAGNIT FC-5223 3D (23X8.5)")</f>
        <v>PC MAGNIT FC-5223 3D (23X8.5)</v>
      </c>
      <c r="F810" s="53" t="str">
        <f>IFERROR(__xludf.DUMMYFUNCTION("vlookup($D810,IMPORTRANGE(""https://docs.google.com/spreadsheets/d/1swGwZOEqYlTEUCJLY-eeJM1911Kvaei5oySBIxdgtNo/edit?pli=1#gid=257618397"",""stock FAKTUR!B:d""),3,false)"),"")</f>
        <v/>
      </c>
      <c r="G810" s="53" t="str">
        <f>IFERROR(__xludf.DUMMYFUNCTION("vlookup($D810,IMPORTRANGE(""https://docs.google.com/spreadsheets/d/1swGwZOEqYlTEUCJLY-eeJM1911Kvaei5oySBIxdgtNo/edit?pli=1#gid=257618397"",""stock FAKTUR!B:e""),4,false)"),"")</f>
        <v/>
      </c>
      <c r="H810" s="53" t="str">
        <f>IFERROR(__xludf.DUMMYFUNCTION("vlookup($D810,IMPORTRANGE(""https://docs.google.com/spreadsheets/d/1swGwZOEqYlTEUCJLY-eeJM1911Kvaei5oySBIxdgtNo/edit?pli=1#gid=257618397"",""stock FAKTUR!B:F""),5,false)"),"NB")</f>
        <v>NB</v>
      </c>
      <c r="I810" s="53" t="str">
        <f>IFERROR(__xludf.DUMMYFUNCTION("vlookup($D810,IMPORTRANGE(""https://docs.google.com/spreadsheets/d/1swGwZOEqYlTEUCJLY-eeJM1911Kvaei5oySBIxdgtNo/edit?pli=1#gid=257618397"",""stock FAKTUR!B:G""),6,false)"),"")</f>
        <v/>
      </c>
      <c r="J810" s="120" t="str">
        <f t="shared" si="25"/>
        <v>ADA</v>
      </c>
      <c r="K810" s="142">
        <f t="shared" si="239"/>
        <v>60</v>
      </c>
      <c r="L810" s="145" t="str">
        <f>IFERROR(__xludf.DUMMYFUNCTION("vlookup($D810,IMPORTRANGE(""https://docs.google.com/spreadsheets/d/1swGwZOEqYlTEUCJLY-eeJM1911Kvaei5oySBIxdgtNo/edit?pli=1#gid=257618397"",""stock FAKTUR!B:q""),16,false)"),"PCS")</f>
        <v>PCS</v>
      </c>
      <c r="M810" s="147">
        <f>175000/12</f>
        <v>14583.33333</v>
      </c>
      <c r="N810" s="148"/>
      <c r="O810" s="147">
        <f t="shared" si="232"/>
        <v>875000</v>
      </c>
      <c r="P810" s="147" t="str">
        <f t="shared" si="3"/>
        <v>Rp14,583-60 PCS-0.00%</v>
      </c>
      <c r="Q810" s="149">
        <v>45425.0</v>
      </c>
      <c r="R810" s="150"/>
      <c r="S810" s="149">
        <v>45426.0</v>
      </c>
      <c r="T810" s="151"/>
      <c r="U810" s="151"/>
      <c r="V810" s="151"/>
      <c r="W810" s="151"/>
    </row>
    <row r="811">
      <c r="A811" s="142">
        <v>4812.0</v>
      </c>
      <c r="B811" s="143" t="str">
        <f t="shared" si="240"/>
        <v>H</v>
      </c>
      <c r="C811" s="143" t="str">
        <f t="shared" si="241"/>
        <v>SUKSES MAKMUR(INTAN)-COMAL</v>
      </c>
      <c r="D811" s="53" t="s">
        <v>4719</v>
      </c>
      <c r="E811" s="145" t="str">
        <f>IFERROR(__xludf.DUMMYFUNCTION("vlookup(D811,IMPORTRANGE(""https://docs.google.com/spreadsheets/d/1swGwZOEqYlTEUCJLY-eeJM1911Kvaei5oySBIxdgtNo/edit?pli=1#gid=257618397"",""stock FAKTUR!B:C""),2,false)"),"PC KENKO 0719 FANCY")</f>
        <v>PC KENKO 0719 FANCY</v>
      </c>
      <c r="F811" s="53" t="str">
        <f>IFERROR(__xludf.DUMMYFUNCTION("vlookup($D811,IMPORTRANGE(""https://docs.google.com/spreadsheets/d/1swGwZOEqYlTEUCJLY-eeJM1911Kvaei5oySBIxdgtNo/edit?pli=1#gid=257618397"",""stock FAKTUR!B:d""),3,false)"),"")</f>
        <v/>
      </c>
      <c r="G811" s="53" t="str">
        <f>IFERROR(__xludf.DUMMYFUNCTION("vlookup($D811,IMPORTRANGE(""https://docs.google.com/spreadsheets/d/1swGwZOEqYlTEUCJLY-eeJM1911Kvaei5oySBIxdgtNo/edit?pli=1#gid=257618397"",""stock FAKTUR!B:e""),4,false)"),"")</f>
        <v/>
      </c>
      <c r="H811" s="53" t="str">
        <f>IFERROR(__xludf.DUMMYFUNCTION("vlookup($D811,IMPORTRANGE(""https://docs.google.com/spreadsheets/d/1swGwZOEqYlTEUCJLY-eeJM1911Kvaei5oySBIxdgtNo/edit?pli=1#gid=257618397"",""stock FAKTUR!B:F""),5,false)"),"KN")</f>
        <v>KN</v>
      </c>
      <c r="I811" s="53" t="str">
        <f>IFERROR(__xludf.DUMMYFUNCTION("vlookup($D811,IMPORTRANGE(""https://docs.google.com/spreadsheets/d/1swGwZOEqYlTEUCJLY-eeJM1911Kvaei5oySBIxdgtNo/edit?pli=1#gid=257618397"",""stock FAKTUR!B:G""),6,false)"),"")</f>
        <v/>
      </c>
      <c r="J811" s="120" t="str">
        <f t="shared" si="25"/>
        <v>ADA</v>
      </c>
      <c r="K811" s="142">
        <v>6.0</v>
      </c>
      <c r="L811" s="145" t="str">
        <f>IFERROR(__xludf.DUMMYFUNCTION("vlookup($D811,IMPORTRANGE(""https://docs.google.com/spreadsheets/d/1swGwZOEqYlTEUCJLY-eeJM1911Kvaei5oySBIxdgtNo/edit?pli=1#gid=257618397"",""stock FAKTUR!B:q""),16,false)"),"LSN")</f>
        <v>LSN</v>
      </c>
      <c r="M811" s="147">
        <v>62400.0</v>
      </c>
      <c r="N811" s="152">
        <v>0.1</v>
      </c>
      <c r="O811" s="147">
        <f t="shared" si="232"/>
        <v>336960</v>
      </c>
      <c r="P811" s="147" t="str">
        <f t="shared" si="3"/>
        <v>Rp62,400-6 LSN-10.00%</v>
      </c>
      <c r="Q811" s="149">
        <v>45425.0</v>
      </c>
      <c r="R811" s="150"/>
      <c r="S811" s="149">
        <v>45426.0</v>
      </c>
      <c r="T811" s="151"/>
      <c r="U811" s="151"/>
      <c r="V811" s="151"/>
      <c r="W811" s="151"/>
    </row>
    <row r="812">
      <c r="A812" s="142">
        <v>4812.0</v>
      </c>
      <c r="B812" s="143" t="str">
        <f t="shared" si="240"/>
        <v>H</v>
      </c>
      <c r="C812" s="143" t="str">
        <f t="shared" si="241"/>
        <v>SUKSES MAKMUR(INTAN)-COMAL</v>
      </c>
      <c r="D812" s="193" t="s">
        <v>4779</v>
      </c>
      <c r="E812" s="145" t="str">
        <f>IFERROR(__xludf.DUMMYFUNCTION("vlookup(D812,IMPORTRANGE(""https://docs.google.com/spreadsheets/d/1swGwZOEqYlTEUCJLY-eeJM1911Kvaei5oySBIxdgtNo/edit?pli=1#gid=257618397"",""stock FAKTUR!B:C""),2,false)"),"PW KENKO CP-12F SANDY BEAR")</f>
        <v>PW KENKO CP-12F SANDY BEAR</v>
      </c>
      <c r="F812" s="53" t="str">
        <f>IFERROR(__xludf.DUMMYFUNCTION("vlookup($D812,IMPORTRANGE(""https://docs.google.com/spreadsheets/d/1swGwZOEqYlTEUCJLY-eeJM1911Kvaei5oySBIxdgtNo/edit?pli=1#gid=257618397"",""stock FAKTUR!B:d""),3,false)"),"")</f>
        <v/>
      </c>
      <c r="G812" s="53" t="str">
        <f>IFERROR(__xludf.DUMMYFUNCTION("vlookup($D812,IMPORTRANGE(""https://docs.google.com/spreadsheets/d/1swGwZOEqYlTEUCJLY-eeJM1911Kvaei5oySBIxdgtNo/edit?pli=1#gid=257618397"",""stock FAKTUR!B:e""),4,false)"),"12W")</f>
        <v>12W</v>
      </c>
      <c r="H812" s="53" t="str">
        <f>IFERROR(__xludf.DUMMYFUNCTION("vlookup($D812,IMPORTRANGE(""https://docs.google.com/spreadsheets/d/1swGwZOEqYlTEUCJLY-eeJM1911Kvaei5oySBIxdgtNo/edit?pli=1#gid=257618397"",""stock FAKTUR!B:F""),5,false)"),"KN")</f>
        <v>KN</v>
      </c>
      <c r="I812" s="53" t="str">
        <f>IFERROR(__xludf.DUMMYFUNCTION("vlookup($D812,IMPORTRANGE(""https://docs.google.com/spreadsheets/d/1swGwZOEqYlTEUCJLY-eeJM1911Kvaei5oySBIxdgtNo/edit?pli=1#gid=257618397"",""stock FAKTUR!B:G""),6,false)"),"CP-12F")</f>
        <v>CP-12F</v>
      </c>
      <c r="J812" s="120" t="str">
        <f t="shared" si="25"/>
        <v>ADA</v>
      </c>
      <c r="K812" s="142">
        <v>6.0</v>
      </c>
      <c r="L812" s="145" t="s">
        <v>62</v>
      </c>
      <c r="M812" s="147">
        <v>124200.0</v>
      </c>
      <c r="N812" s="152">
        <v>0.1</v>
      </c>
      <c r="O812" s="147">
        <f t="shared" si="232"/>
        <v>670680</v>
      </c>
      <c r="P812" s="147" t="str">
        <f t="shared" si="3"/>
        <v>Rp124,200-6 LSN-10.00%</v>
      </c>
      <c r="Q812" s="149">
        <v>45425.0</v>
      </c>
      <c r="R812" s="150"/>
      <c r="S812" s="149">
        <v>45426.0</v>
      </c>
      <c r="T812" s="151"/>
      <c r="U812" s="192" t="s">
        <v>4769</v>
      </c>
      <c r="V812" s="151"/>
      <c r="W812" s="151"/>
    </row>
    <row r="813">
      <c r="A813" s="142">
        <v>4812.0</v>
      </c>
      <c r="B813" s="143" t="str">
        <f t="shared" si="240"/>
        <v>H</v>
      </c>
      <c r="C813" s="143" t="str">
        <f t="shared" si="241"/>
        <v>SUKSES MAKMUR(INTAN)-COMAL</v>
      </c>
      <c r="D813" s="53" t="s">
        <v>4706</v>
      </c>
      <c r="E813" s="145" t="str">
        <f>IFERROR(__xludf.DUMMYFUNCTION("vlookup(D813,IMPORTRANGE(""https://docs.google.com/spreadsheets/d/1swGwZOEqYlTEUCJLY-eeJM1911Kvaei5oySBIxdgtNo/edit?pli=1#gid=257618397"",""stock FAKTUR!B:C""),2,false)"),"PW KENKO BICOLOR 12W CP-12 FBC CLASSIC 12/24")</f>
        <v>PW KENKO BICOLOR 12W CP-12 FBC CLASSIC 12/24</v>
      </c>
      <c r="F813" s="53" t="str">
        <f>IFERROR(__xludf.DUMMYFUNCTION("vlookup($D813,IMPORTRANGE(""https://docs.google.com/spreadsheets/d/1swGwZOEqYlTEUCJLY-eeJM1911Kvaei5oySBIxdgtNo/edit?pli=1#gid=257618397"",""stock FAKTUR!B:d""),3,false)"),"")</f>
        <v/>
      </c>
      <c r="G813" s="53" t="str">
        <f>IFERROR(__xludf.DUMMYFUNCTION("vlookup($D813,IMPORTRANGE(""https://docs.google.com/spreadsheets/d/1swGwZOEqYlTEUCJLY-eeJM1911Kvaei5oySBIxdgtNo/edit?pli=1#gid=257618397"",""stock FAKTUR!B:e""),4,false)"),"")</f>
        <v/>
      </c>
      <c r="H813" s="53" t="str">
        <f>IFERROR(__xludf.DUMMYFUNCTION("vlookup($D813,IMPORTRANGE(""https://docs.google.com/spreadsheets/d/1swGwZOEqYlTEUCJLY-eeJM1911Kvaei5oySBIxdgtNo/edit?pli=1#gid=257618397"",""stock FAKTUR!B:F""),5,false)"),"KN")</f>
        <v>KN</v>
      </c>
      <c r="I813" s="53" t="str">
        <f>IFERROR(__xludf.DUMMYFUNCTION("vlookup($D813,IMPORTRANGE(""https://docs.google.com/spreadsheets/d/1swGwZOEqYlTEUCJLY-eeJM1911Kvaei5oySBIxdgtNo/edit?pli=1#gid=257618397"",""stock FAKTUR!B:G""),6,false)"),"")</f>
        <v/>
      </c>
      <c r="J813" s="120" t="str">
        <f t="shared" si="25"/>
        <v>ADA</v>
      </c>
      <c r="K813" s="142">
        <v>1.0</v>
      </c>
      <c r="L813" s="145" t="str">
        <f>IFERROR(__xludf.DUMMYFUNCTION("vlookup($D813,IMPORTRANGE(""https://docs.google.com/spreadsheets/d/1swGwZOEqYlTEUCJLY-eeJM1911Kvaei5oySBIxdgtNo/edit?pli=1#gid=257618397"",""stock FAKTUR!B:q""),16,false)"),"LSN")</f>
        <v>LSN</v>
      </c>
      <c r="M813" s="147">
        <v>148800.0</v>
      </c>
      <c r="N813" s="152">
        <v>0.1</v>
      </c>
      <c r="O813" s="147">
        <f t="shared" si="232"/>
        <v>133920</v>
      </c>
      <c r="P813" s="147" t="str">
        <f t="shared" si="3"/>
        <v>Rp148,800-1 LSN-10.00%</v>
      </c>
      <c r="Q813" s="149">
        <v>45425.0</v>
      </c>
      <c r="R813" s="150"/>
      <c r="S813" s="149">
        <v>45426.0</v>
      </c>
      <c r="T813" s="151"/>
      <c r="U813" s="151"/>
      <c r="V813" s="151"/>
      <c r="W813" s="151"/>
    </row>
    <row r="814">
      <c r="A814" s="142">
        <v>4911.0</v>
      </c>
      <c r="B814" s="143" t="s">
        <v>33</v>
      </c>
      <c r="C814" s="143" t="s">
        <v>3755</v>
      </c>
      <c r="D814" s="53" t="s">
        <v>4400</v>
      </c>
      <c r="E814" s="145" t="str">
        <f>IFERROR(__xludf.DUMMYFUNCTION("vlookup(D814,IMPORTRANGE(""https://docs.google.com/spreadsheets/d/1swGwZOEqYlTEUCJLY-eeJM1911Kvaei5oySBIxdgtNo/edit?pli=1#gid=257618397"",""stock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814" s="53" t="str">
        <f>IFERROR(__xludf.DUMMYFUNCTION("vlookup($D814,IMPORTRANGE(""https://docs.google.com/spreadsheets/d/1swGwZOEqYlTEUCJLY-eeJM1911Kvaei5oySBIxdgtNo/edit?pli=1#gid=257618397"",""stock FAKTUR!B:d""),3,false)"),"")</f>
        <v/>
      </c>
      <c r="G814" s="53" t="str">
        <f>IFERROR(__xludf.DUMMYFUNCTION("vlookup($D814,IMPORTRANGE(""https://docs.google.com/spreadsheets/d/1swGwZOEqYlTEUCJLY-eeJM1911Kvaei5oySBIxdgtNo/edit?pli=1#gid=257618397"",""stock FAKTUR!B:e""),4,false)"),"12W")</f>
        <v>12W</v>
      </c>
      <c r="H814" s="53" t="str">
        <f>IFERROR(__xludf.DUMMYFUNCTION("vlookup($D814,IMPORTRANGE(""https://docs.google.com/spreadsheets/d/1swGwZOEqYlTEUCJLY-eeJM1911Kvaei5oySBIxdgtNo/edit?pli=1#gid=257618397"",""stock FAKTUR!B:F""),5,false)"),"KN")</f>
        <v>KN</v>
      </c>
      <c r="I814" s="53" t="str">
        <f>IFERROR(__xludf.DUMMYFUNCTION("vlookup($D814,IMPORTRANGE(""https://docs.google.com/spreadsheets/d/1swGwZOEqYlTEUCJLY-eeJM1911Kvaei5oySBIxdgtNo/edit?pli=1#gid=257618397"",""stock FAKTUR!B:G""),6,false)"),"CP-12")</f>
        <v>CP-12</v>
      </c>
      <c r="J814" s="120" t="str">
        <f t="shared" si="25"/>
        <v>ADA</v>
      </c>
      <c r="K814" s="142">
        <v>16.0</v>
      </c>
      <c r="L814" s="145" t="str">
        <f>IFERROR(__xludf.DUMMYFUNCTION("vlookup($D814,IMPORTRANGE(""https://docs.google.com/spreadsheets/d/1swGwZOEqYlTEUCJLY-eeJM1911Kvaei5oySBIxdgtNo/edit?pli=1#gid=257618397"",""stock FAKTUR!B:q""),16,false)"),"LSN")</f>
        <v>LSN</v>
      </c>
      <c r="M814" s="147">
        <v>79200.0</v>
      </c>
      <c r="N814" s="152">
        <v>0.125</v>
      </c>
      <c r="O814" s="147">
        <f t="shared" si="232"/>
        <v>1108800</v>
      </c>
      <c r="P814" s="147" t="str">
        <f t="shared" si="3"/>
        <v>Rp79,200-16 LSN-12.50%</v>
      </c>
      <c r="Q814" s="149">
        <v>45425.0</v>
      </c>
      <c r="R814" s="150"/>
      <c r="S814" s="149">
        <v>45426.0</v>
      </c>
      <c r="T814" s="151"/>
      <c r="U814" s="151"/>
      <c r="V814" s="151"/>
      <c r="W814" s="151"/>
    </row>
    <row r="815">
      <c r="A815" s="142">
        <v>4911.0</v>
      </c>
      <c r="B815" s="143" t="str">
        <f t="shared" ref="B815:B828" si="243">IF(A815=A814,B814,"")</f>
        <v>H</v>
      </c>
      <c r="C815" s="143" t="str">
        <f t="shared" ref="C815:C828" si="244">IF(A815=A814,C814,"")</f>
        <v>SALIKAH-BATANG</v>
      </c>
      <c r="D815" s="53" t="s">
        <v>4538</v>
      </c>
      <c r="E815" s="145" t="str">
        <f>IFERROR(__xludf.DUMMYFUNCTION("vlookup(D815,IMPORTRANGE(""https://docs.google.com/spreadsheets/d/1swGwZOEqYlTEUCJLY-eeJM1911Kvaei5oySBIxdgtNo/edit?pli=1#gid=257618397"",""stock FAKTUR!B:C""),2,false)"),"PW VANCO 12W PANJANG 12L")</f>
        <v>PW VANCO 12W PANJANG 12L</v>
      </c>
      <c r="F815" s="53" t="str">
        <f>IFERROR(__xludf.DUMMYFUNCTION("vlookup($D815,IMPORTRANGE(""https://docs.google.com/spreadsheets/d/1swGwZOEqYlTEUCJLY-eeJM1911Kvaei5oySBIxdgtNo/edit?pli=1#gid=257618397"",""stock FAKTUR!B:d""),3,false)"),"")</f>
        <v/>
      </c>
      <c r="G815" s="53" t="str">
        <f>IFERROR(__xludf.DUMMYFUNCTION("vlookup($D815,IMPORTRANGE(""https://docs.google.com/spreadsheets/d/1swGwZOEqYlTEUCJLY-eeJM1911Kvaei5oySBIxdgtNo/edit?pli=1#gid=257618397"",""stock FAKTUR!B:e""),4,false)"),"12W")</f>
        <v>12W</v>
      </c>
      <c r="H815" s="53" t="str">
        <f>IFERROR(__xludf.DUMMYFUNCTION("vlookup($D815,IMPORTRANGE(""https://docs.google.com/spreadsheets/d/1swGwZOEqYlTEUCJLY-eeJM1911Kvaei5oySBIxdgtNo/edit?pli=1#gid=257618397"",""stock FAKTUR!B:F""),5,false)"),"VN")</f>
        <v>VN</v>
      </c>
      <c r="I815" s="53" t="str">
        <f>IFERROR(__xludf.DUMMYFUNCTION("vlookup($D815,IMPORTRANGE(""https://docs.google.com/spreadsheets/d/1swGwZOEqYlTEUCJLY-eeJM1911Kvaei5oySBIxdgtNo/edit?pli=1#gid=257618397"",""stock FAKTUR!B:G""),6,false)"),"12L")</f>
        <v>12L</v>
      </c>
      <c r="J815" s="120" t="str">
        <f t="shared" si="25"/>
        <v>ADA</v>
      </c>
      <c r="K815" s="142">
        <v>1.0</v>
      </c>
      <c r="L815" s="145" t="str">
        <f>IFERROR(__xludf.DUMMYFUNCTION("vlookup($D815,IMPORTRANGE(""https://docs.google.com/spreadsheets/d/1swGwZOEqYlTEUCJLY-eeJM1911Kvaei5oySBIxdgtNo/edit?pli=1#gid=257618397"",""stock FAKTUR!B:q""),16,false)"),"LSN")</f>
        <v>LSN</v>
      </c>
      <c r="M815" s="147">
        <v>70000.0</v>
      </c>
      <c r="N815" s="148"/>
      <c r="O815" s="147">
        <f t="shared" si="232"/>
        <v>70000</v>
      </c>
      <c r="P815" s="147" t="str">
        <f t="shared" si="3"/>
        <v>Rp70,000-1 LSN-0.00%</v>
      </c>
      <c r="Q815" s="149">
        <v>45425.0</v>
      </c>
      <c r="R815" s="150"/>
      <c r="S815" s="149">
        <v>45426.0</v>
      </c>
      <c r="T815" s="151"/>
      <c r="U815" s="151"/>
      <c r="V815" s="151"/>
      <c r="W815" s="151"/>
    </row>
    <row r="816">
      <c r="A816" s="142">
        <v>4911.0</v>
      </c>
      <c r="B816" s="143" t="str">
        <f t="shared" si="243"/>
        <v>H</v>
      </c>
      <c r="C816" s="143" t="str">
        <f t="shared" si="244"/>
        <v>SALIKAH-BATANG</v>
      </c>
      <c r="D816" s="180" t="s">
        <v>4583</v>
      </c>
      <c r="E816" s="145" t="str">
        <f>IFERROR(__xludf.DUMMYFUNCTION("vlookup(D816,IMPORTRANGE(""https://docs.google.com/spreadsheets/d/1swGwZOEqYlTEUCJLY-eeJM1911Kvaei5oySBIxdgtNo/edit?pli=1#gid=257618397"",""stock FAKTUR!B:C""),2,false)"),"PW KALENG (TIN CASE) KENKO CP-12")</f>
        <v>PW KALENG (TIN CASE) KENKO CP-12</v>
      </c>
      <c r="F816" s="53" t="str">
        <f>IFERROR(__xludf.DUMMYFUNCTION("vlookup($D816,IMPORTRANGE(""https://docs.google.com/spreadsheets/d/1swGwZOEqYlTEUCJLY-eeJM1911Kvaei5oySBIxdgtNo/edit?pli=1#gid=257618397"",""stock FAKTUR!B:d""),3,false)"),"")</f>
        <v/>
      </c>
      <c r="G816" s="53" t="str">
        <f>IFERROR(__xludf.DUMMYFUNCTION("vlookup($D816,IMPORTRANGE(""https://docs.google.com/spreadsheets/d/1swGwZOEqYlTEUCJLY-eeJM1911Kvaei5oySBIxdgtNo/edit?pli=1#gid=257618397"",""stock FAKTUR!B:e""),4,false)"),"12W")</f>
        <v>12W</v>
      </c>
      <c r="H816" s="53" t="str">
        <f>IFERROR(__xludf.DUMMYFUNCTION("vlookup($D816,IMPORTRANGE(""https://docs.google.com/spreadsheets/d/1swGwZOEqYlTEUCJLY-eeJM1911Kvaei5oySBIxdgtNo/edit?pli=1#gid=257618397"",""stock FAKTUR!B:F""),5,false)"),"KN")</f>
        <v>KN</v>
      </c>
      <c r="I816" s="53" t="str">
        <f>IFERROR(__xludf.DUMMYFUNCTION("vlookup($D816,IMPORTRANGE(""https://docs.google.com/spreadsheets/d/1swGwZOEqYlTEUCJLY-eeJM1911Kvaei5oySBIxdgtNo/edit?pli=1#gid=257618397"",""stock FAKTUR!B:G""),6,false)"),"CP-12")</f>
        <v>CP-12</v>
      </c>
      <c r="J816" s="120" t="str">
        <f t="shared" si="25"/>
        <v>ADA</v>
      </c>
      <c r="K816" s="142">
        <v>4.0</v>
      </c>
      <c r="L816" s="145" t="str">
        <f>IFERROR(__xludf.DUMMYFUNCTION("vlookup($D816,IMPORTRANGE(""https://docs.google.com/spreadsheets/d/1swGwZOEqYlTEUCJLY-eeJM1911Kvaei5oySBIxdgtNo/edit?pli=1#gid=257618397"",""stock FAKTUR!B:q""),16,false)"),"LSN")</f>
        <v>LSN</v>
      </c>
      <c r="M816" s="147">
        <v>204000.0</v>
      </c>
      <c r="N816" s="152">
        <v>0.125</v>
      </c>
      <c r="O816" s="147">
        <f t="shared" si="232"/>
        <v>714000</v>
      </c>
      <c r="P816" s="147" t="str">
        <f t="shared" si="3"/>
        <v>Rp204,000-4 LSN-12.50%</v>
      </c>
      <c r="Q816" s="149">
        <v>45425.0</v>
      </c>
      <c r="R816" s="150"/>
      <c r="S816" s="149">
        <v>45426.0</v>
      </c>
      <c r="T816" s="151"/>
      <c r="U816" s="151"/>
      <c r="V816" s="151"/>
      <c r="W816" s="151"/>
    </row>
    <row r="817">
      <c r="A817" s="142">
        <v>4911.0</v>
      </c>
      <c r="B817" s="143" t="str">
        <f t="shared" si="243"/>
        <v>H</v>
      </c>
      <c r="C817" s="143" t="str">
        <f t="shared" si="244"/>
        <v>SALIKAH-BATANG</v>
      </c>
      <c r="D817" s="53" t="s">
        <v>4595</v>
      </c>
      <c r="E817" s="145" t="str">
        <f>IFERROR(__xludf.DUMMYFUNCTION("vlookup(D817,IMPORTRANGE(""https://docs.google.com/spreadsheets/d/1swGwZOEqYlTEUCJLY-eeJM1911Kvaei5oySBIxdgtNo/edit?pli=1#gid=257618397"",""stock FAKTUR!B:C""),2,false)"),"STIP KENKO ERW-40SQ PUTIH")</f>
        <v>STIP KENKO ERW-40SQ PUTIH</v>
      </c>
      <c r="F817" s="53" t="str">
        <f>IFERROR(__xludf.DUMMYFUNCTION("vlookup($D817,IMPORTRANGE(""https://docs.google.com/spreadsheets/d/1swGwZOEqYlTEUCJLY-eeJM1911Kvaei5oySBIxdgtNo/edit?pli=1#gid=257618397"",""stock FAKTUR!B:d""),3,false)"),"")</f>
        <v/>
      </c>
      <c r="G817" s="53" t="str">
        <f>IFERROR(__xludf.DUMMYFUNCTION("vlookup($D817,IMPORTRANGE(""https://docs.google.com/spreadsheets/d/1swGwZOEqYlTEUCJLY-eeJM1911Kvaei5oySBIxdgtNo/edit?pli=1#gid=257618397"",""stock FAKTUR!B:e""),4,false)"),"PUTIH")</f>
        <v>PUTIH</v>
      </c>
      <c r="H817" s="53" t="str">
        <f>IFERROR(__xludf.DUMMYFUNCTION("vlookup($D817,IMPORTRANGE(""https://docs.google.com/spreadsheets/d/1swGwZOEqYlTEUCJLY-eeJM1911Kvaei5oySBIxdgtNo/edit?pli=1#gid=257618397"",""stock FAKTUR!B:F""),5,false)"),"KN")</f>
        <v>KN</v>
      </c>
      <c r="I817" s="53" t="str">
        <f>IFERROR(__xludf.DUMMYFUNCTION("vlookup($D817,IMPORTRANGE(""https://docs.google.com/spreadsheets/d/1swGwZOEqYlTEUCJLY-eeJM1911Kvaei5oySBIxdgtNo/edit?pli=1#gid=257618397"",""stock FAKTUR!B:G""),6,false)"),"ERS-005")</f>
        <v>ERS-005</v>
      </c>
      <c r="J817" s="120" t="str">
        <f t="shared" si="25"/>
        <v>ADA</v>
      </c>
      <c r="K817" s="142">
        <v>17.0</v>
      </c>
      <c r="L817" s="145" t="str">
        <f>IFERROR(__xludf.DUMMYFUNCTION("vlookup($D817,IMPORTRANGE(""https://docs.google.com/spreadsheets/d/1swGwZOEqYlTEUCJLY-eeJM1911Kvaei5oySBIxdgtNo/edit?pli=1#gid=257618397"",""stock FAKTUR!B:q""),16,false)"),"BOX")</f>
        <v>BOX</v>
      </c>
      <c r="M817" s="147">
        <v>27500.0</v>
      </c>
      <c r="N817" s="152">
        <v>0.125</v>
      </c>
      <c r="O817" s="147">
        <f t="shared" si="232"/>
        <v>409062.5</v>
      </c>
      <c r="P817" s="147" t="str">
        <f t="shared" si="3"/>
        <v>Rp27,500-17 BOX-12.50%</v>
      </c>
      <c r="Q817" s="149">
        <v>45425.0</v>
      </c>
      <c r="R817" s="150"/>
      <c r="S817" s="149">
        <v>45426.0</v>
      </c>
      <c r="T817" s="151"/>
      <c r="U817" s="151"/>
      <c r="V817" s="151"/>
      <c r="W817" s="151"/>
    </row>
    <row r="818">
      <c r="A818" s="142">
        <v>4911.0</v>
      </c>
      <c r="B818" s="143" t="str">
        <f t="shared" si="243"/>
        <v>H</v>
      </c>
      <c r="C818" s="143" t="str">
        <f t="shared" si="244"/>
        <v>SALIKAH-BATANG</v>
      </c>
      <c r="D818" s="53" t="s">
        <v>4560</v>
      </c>
      <c r="E818" s="145" t="str">
        <f>IFERROR(__xludf.DUMMYFUNCTION("vlookup(D818,IMPORTRANGE(""https://docs.google.com/spreadsheets/d/1swGwZOEqYlTEUCJLY-eeJM1911Kvaei5oySBIxdgtNo/edit?pli=1#gid=257618397"",""stock FAKTUR!B:C""),2,false)"),"BP JK BP-338 VOCUS HITAM")</f>
        <v>BP JK BP-338 VOCUS HITAM</v>
      </c>
      <c r="F818" s="53" t="str">
        <f>IFERROR(__xludf.DUMMYFUNCTION("vlookup($D818,IMPORTRANGE(""https://docs.google.com/spreadsheets/d/1swGwZOEqYlTEUCJLY-eeJM1911Kvaei5oySBIxdgtNo/edit?pli=1#gid=257618397"",""stock FAKTUR!B:d""),3,false)"),"")</f>
        <v/>
      </c>
      <c r="G818" s="53" t="str">
        <f>IFERROR(__xludf.DUMMYFUNCTION("vlookup($D818,IMPORTRANGE(""https://docs.google.com/spreadsheets/d/1swGwZOEqYlTEUCJLY-eeJM1911Kvaei5oySBIxdgtNo/edit?pli=1#gid=257618397"",""stock FAKTUR!B:e""),4,false)"),"")</f>
        <v/>
      </c>
      <c r="H818" s="53" t="str">
        <f>IFERROR(__xludf.DUMMYFUNCTION("vlookup($D818,IMPORTRANGE(""https://docs.google.com/spreadsheets/d/1swGwZOEqYlTEUCJLY-eeJM1911Kvaei5oySBIxdgtNo/edit?pli=1#gid=257618397"",""stock FAKTUR!B:F""),5,false)"),"JK")</f>
        <v>JK</v>
      </c>
      <c r="I818" s="53" t="str">
        <f>IFERROR(__xludf.DUMMYFUNCTION("vlookup($D818,IMPORTRANGE(""https://docs.google.com/spreadsheets/d/1swGwZOEqYlTEUCJLY-eeJM1911Kvaei5oySBIxdgtNo/edit?pli=1#gid=257618397"",""stock FAKTUR!B:G""),6,false)"),"BP-338")</f>
        <v>BP-338</v>
      </c>
      <c r="J818" s="120" t="str">
        <f t="shared" si="25"/>
        <v>ADA</v>
      </c>
      <c r="K818" s="142">
        <v>12.0</v>
      </c>
      <c r="L818" s="145" t="str">
        <f>IFERROR(__xludf.DUMMYFUNCTION("vlookup($D818,IMPORTRANGE(""https://docs.google.com/spreadsheets/d/1swGwZOEqYlTEUCJLY-eeJM1911Kvaei5oySBIxdgtNo/edit?pli=1#gid=257618397"",""stock FAKTUR!B:q""),16,false)"),"LSN")</f>
        <v>LSN</v>
      </c>
      <c r="M818" s="147">
        <v>12600.0</v>
      </c>
      <c r="N818" s="152">
        <v>0.125</v>
      </c>
      <c r="O818" s="147">
        <f t="shared" si="232"/>
        <v>132300</v>
      </c>
      <c r="P818" s="147" t="str">
        <f t="shared" si="3"/>
        <v>Rp12,600-12 LSN-12.50%</v>
      </c>
      <c r="Q818" s="149">
        <v>45425.0</v>
      </c>
      <c r="R818" s="150"/>
      <c r="S818" s="149">
        <v>45426.0</v>
      </c>
      <c r="T818" s="151"/>
      <c r="U818" s="151"/>
      <c r="V818" s="151"/>
      <c r="W818" s="151"/>
    </row>
    <row r="819">
      <c r="A819" s="142">
        <v>4911.0</v>
      </c>
      <c r="B819" s="143" t="str">
        <f t="shared" si="243"/>
        <v>H</v>
      </c>
      <c r="C819" s="143" t="str">
        <f t="shared" si="244"/>
        <v>SALIKAH-BATANG</v>
      </c>
      <c r="D819" s="53" t="s">
        <v>4532</v>
      </c>
      <c r="E819" s="145" t="str">
        <f>IFERROR(__xludf.DUMMYFUNCTION("vlookup(D819,IMPORTRANGE(""https://docs.google.com/spreadsheets/d/1swGwZOEqYlTEUCJLY-eeJM1911Kvaei5oySBIxdgtNo/edit?pli=1#gid=257618397"",""stock FAKTUR!B:C""),2,false)"),"BINDER CLIP KENKO NO. 260")</f>
        <v>BINDER CLIP KENKO NO. 260</v>
      </c>
      <c r="F819" s="53" t="str">
        <f>IFERROR(__xludf.DUMMYFUNCTION("vlookup($D819,IMPORTRANGE(""https://docs.google.com/spreadsheets/d/1swGwZOEqYlTEUCJLY-eeJM1911Kvaei5oySBIxdgtNo/edit?pli=1#gid=257618397"",""stock FAKTUR!B:d""),3,false)"),"")</f>
        <v/>
      </c>
      <c r="G819" s="53" t="str">
        <f>IFERROR(__xludf.DUMMYFUNCTION("vlookup($D819,IMPORTRANGE(""https://docs.google.com/spreadsheets/d/1swGwZOEqYlTEUCJLY-eeJM1911Kvaei5oySBIxdgtNo/edit?pli=1#gid=257618397"",""stock FAKTUR!B:e""),4,false)"),"")</f>
        <v/>
      </c>
      <c r="H819" s="53" t="str">
        <f>IFERROR(__xludf.DUMMYFUNCTION("vlookup($D819,IMPORTRANGE(""https://docs.google.com/spreadsheets/d/1swGwZOEqYlTEUCJLY-eeJM1911Kvaei5oySBIxdgtNo/edit?pli=1#gid=257618397"",""stock FAKTUR!B:F""),5,false)"),"KN")</f>
        <v>KN</v>
      </c>
      <c r="I819" s="53" t="str">
        <f>IFERROR(__xludf.DUMMYFUNCTION("vlookup($D819,IMPORTRANGE(""https://docs.google.com/spreadsheets/d/1swGwZOEqYlTEUCJLY-eeJM1911Kvaei5oySBIxdgtNo/edit?pli=1#gid=257618397"",""stock FAKTUR!B:G""),6,false)"),"BCL-006QH")</f>
        <v>BCL-006QH</v>
      </c>
      <c r="J819" s="120" t="str">
        <f t="shared" si="25"/>
        <v>ADA</v>
      </c>
      <c r="K819" s="142">
        <v>1.0</v>
      </c>
      <c r="L819" s="145" t="str">
        <f>IFERROR(__xludf.DUMMYFUNCTION("vlookup($D819,IMPORTRANGE(""https://docs.google.com/spreadsheets/d/1swGwZOEqYlTEUCJLY-eeJM1911Kvaei5oySBIxdgtNo/edit?pli=1#gid=257618397"",""stock FAKTUR!B:q""),16,false)"),"GRS")</f>
        <v>GRS</v>
      </c>
      <c r="M819" s="147">
        <v>180000.0</v>
      </c>
      <c r="N819" s="152">
        <v>0.125</v>
      </c>
      <c r="O819" s="147">
        <f t="shared" si="232"/>
        <v>157500</v>
      </c>
      <c r="P819" s="147" t="str">
        <f t="shared" si="3"/>
        <v>Rp180,000-1 GRS-12.50%</v>
      </c>
      <c r="Q819" s="149">
        <v>45425.0</v>
      </c>
      <c r="R819" s="150"/>
      <c r="S819" s="149">
        <v>45426.0</v>
      </c>
      <c r="T819" s="151"/>
      <c r="U819" s="151"/>
      <c r="V819" s="151"/>
      <c r="W819" s="151"/>
    </row>
    <row r="820">
      <c r="A820" s="142">
        <v>4911.0</v>
      </c>
      <c r="B820" s="143" t="str">
        <f t="shared" si="243"/>
        <v>H</v>
      </c>
      <c r="C820" s="143" t="str">
        <f t="shared" si="244"/>
        <v>SALIKAH-BATANG</v>
      </c>
      <c r="D820" s="53" t="s">
        <v>4533</v>
      </c>
      <c r="E820" s="145" t="str">
        <f>IFERROR(__xludf.DUMMYFUNCTION("vlookup(D820,IMPORTRANGE(""https://docs.google.com/spreadsheets/d/1swGwZOEqYlTEUCJLY-eeJM1911Kvaei5oySBIxdgtNo/edit?pli=1#gid=257618397"",""stock FAKTUR!B:C""),2,false)"),"BINDER CLIP KENKO NO. 200")</f>
        <v>BINDER CLIP KENKO NO. 200</v>
      </c>
      <c r="F820" s="53" t="str">
        <f>IFERROR(__xludf.DUMMYFUNCTION("vlookup($D820,IMPORTRANGE(""https://docs.google.com/spreadsheets/d/1swGwZOEqYlTEUCJLY-eeJM1911Kvaei5oySBIxdgtNo/edit?pli=1#gid=257618397"",""stock FAKTUR!B:d""),3,false)"),"")</f>
        <v/>
      </c>
      <c r="G820" s="53" t="str">
        <f>IFERROR(__xludf.DUMMYFUNCTION("vlookup($D820,IMPORTRANGE(""https://docs.google.com/spreadsheets/d/1swGwZOEqYlTEUCJLY-eeJM1911Kvaei5oySBIxdgtNo/edit?pli=1#gid=257618397"",""stock FAKTUR!B:e""),4,false)"),"")</f>
        <v/>
      </c>
      <c r="H820" s="53" t="str">
        <f>IFERROR(__xludf.DUMMYFUNCTION("vlookup($D820,IMPORTRANGE(""https://docs.google.com/spreadsheets/d/1swGwZOEqYlTEUCJLY-eeJM1911Kvaei5oySBIxdgtNo/edit?pli=1#gid=257618397"",""stock FAKTUR!B:F""),5,false)"),"KN")</f>
        <v>KN</v>
      </c>
      <c r="I820" s="53" t="str">
        <f>IFERROR(__xludf.DUMMYFUNCTION("vlookup($D820,IMPORTRANGE(""https://docs.google.com/spreadsheets/d/1swGwZOEqYlTEUCJLY-eeJM1911Kvaei5oySBIxdgtNo/edit?pli=1#gid=257618397"",""stock FAKTUR!B:G""),6,false)"),"BCL-005QH")</f>
        <v>BCL-005QH</v>
      </c>
      <c r="J820" s="120" t="str">
        <f t="shared" si="25"/>
        <v>ADA</v>
      </c>
      <c r="K820" s="142">
        <v>1.0</v>
      </c>
      <c r="L820" s="145" t="str">
        <f>IFERROR(__xludf.DUMMYFUNCTION("vlookup($D820,IMPORTRANGE(""https://docs.google.com/spreadsheets/d/1swGwZOEqYlTEUCJLY-eeJM1911Kvaei5oySBIxdgtNo/edit?pli=1#gid=257618397"",""stock FAKTUR!B:q""),16,false)"),"GRS")</f>
        <v>GRS</v>
      </c>
      <c r="M820" s="147">
        <v>120000.0</v>
      </c>
      <c r="N820" s="152">
        <v>0.125</v>
      </c>
      <c r="O820" s="147">
        <f t="shared" si="232"/>
        <v>105000</v>
      </c>
      <c r="P820" s="147" t="str">
        <f t="shared" si="3"/>
        <v>Rp120,000-1 GRS-12.50%</v>
      </c>
      <c r="Q820" s="149">
        <v>45425.0</v>
      </c>
      <c r="R820" s="150"/>
      <c r="S820" s="149">
        <v>45426.0</v>
      </c>
      <c r="T820" s="151"/>
      <c r="U820" s="151"/>
      <c r="V820" s="151"/>
      <c r="W820" s="151"/>
    </row>
    <row r="821">
      <c r="A821" s="142">
        <v>4911.0</v>
      </c>
      <c r="B821" s="143" t="str">
        <f t="shared" si="243"/>
        <v>H</v>
      </c>
      <c r="C821" s="143" t="str">
        <f t="shared" si="244"/>
        <v>SALIKAH-BATANG</v>
      </c>
      <c r="D821" s="53" t="s">
        <v>4708</v>
      </c>
      <c r="E821" s="145" t="str">
        <f>IFERROR(__xludf.DUMMYFUNCTION("vlookup(D821,IMPORTRANGE(""https://docs.google.com/spreadsheets/d/1swGwZOEqYlTEUCJLY-eeJM1911Kvaei5oySBIxdgtNo/edit?pli=1#gid=257618397"",""stock FAKTUR!B:C""),2,false)"),"BINDER CLIP KENKO NO. 155")</f>
        <v>BINDER CLIP KENKO NO. 155</v>
      </c>
      <c r="F821" s="53" t="str">
        <f>IFERROR(__xludf.DUMMYFUNCTION("vlookup($D821,IMPORTRANGE(""https://docs.google.com/spreadsheets/d/1swGwZOEqYlTEUCJLY-eeJM1911Kvaei5oySBIxdgtNo/edit?pli=1#gid=257618397"",""stock FAKTUR!B:d""),3,false)"),"")</f>
        <v/>
      </c>
      <c r="G821" s="53" t="str">
        <f>IFERROR(__xludf.DUMMYFUNCTION("vlookup($D821,IMPORTRANGE(""https://docs.google.com/spreadsheets/d/1swGwZOEqYlTEUCJLY-eeJM1911Kvaei5oySBIxdgtNo/edit?pli=1#gid=257618397"",""stock FAKTUR!B:e""),4,false)"),"")</f>
        <v/>
      </c>
      <c r="H821" s="53" t="str">
        <f>IFERROR(__xludf.DUMMYFUNCTION("vlookup($D821,IMPORTRANGE(""https://docs.google.com/spreadsheets/d/1swGwZOEqYlTEUCJLY-eeJM1911Kvaei5oySBIxdgtNo/edit?pli=1#gid=257618397"",""stock FAKTUR!B:F""),5,false)"),"KN")</f>
        <v>KN</v>
      </c>
      <c r="I821" s="53" t="str">
        <f>IFERROR(__xludf.DUMMYFUNCTION("vlookup($D821,IMPORTRANGE(""https://docs.google.com/spreadsheets/d/1swGwZOEqYlTEUCJLY-eeJM1911Kvaei5oySBIxdgtNo/edit?pli=1#gid=257618397"",""stock FAKTUR!B:G""),6,false)"),"BCL-004QH")</f>
        <v>BCL-004QH</v>
      </c>
      <c r="J821" s="120" t="str">
        <f t="shared" si="25"/>
        <v>ADA</v>
      </c>
      <c r="K821" s="142">
        <v>2.0</v>
      </c>
      <c r="L821" s="145" t="str">
        <f>IFERROR(__xludf.DUMMYFUNCTION("vlookup($D821,IMPORTRANGE(""https://docs.google.com/spreadsheets/d/1swGwZOEqYlTEUCJLY-eeJM1911Kvaei5oySBIxdgtNo/edit?pli=1#gid=257618397"",""stock FAKTUR!B:q""),16,false)"),"BOX")</f>
        <v>BOX</v>
      </c>
      <c r="M821" s="147">
        <v>69000.0</v>
      </c>
      <c r="N821" s="152">
        <v>0.125</v>
      </c>
      <c r="O821" s="147">
        <f t="shared" si="232"/>
        <v>120750</v>
      </c>
      <c r="P821" s="147" t="str">
        <f t="shared" si="3"/>
        <v>Rp69,000-2 BOX-12.50%</v>
      </c>
      <c r="Q821" s="149">
        <v>45425.0</v>
      </c>
      <c r="R821" s="150"/>
      <c r="S821" s="149">
        <v>45426.0</v>
      </c>
      <c r="T821" s="151"/>
      <c r="U821" s="151"/>
      <c r="V821" s="151"/>
      <c r="W821" s="151"/>
    </row>
    <row r="822">
      <c r="A822" s="142">
        <v>4911.0</v>
      </c>
      <c r="B822" s="143" t="str">
        <f t="shared" si="243"/>
        <v>H</v>
      </c>
      <c r="C822" s="143" t="str">
        <f t="shared" si="244"/>
        <v>SALIKAH-BATANG</v>
      </c>
      <c r="D822" s="53" t="s">
        <v>4439</v>
      </c>
      <c r="E822" s="145" t="str">
        <f>IFERROR(__xludf.DUMMYFUNCTION("vlookup(D822,IMPORTRANGE(""https://docs.google.com/spreadsheets/d/1swGwZOEqYlTEUCJLY-eeJM1911Kvaei5oySBIxdgtNo/edit?pli=1#gid=257618397"",""stock FAKTUR!B:C""),2,false)"),"BINDER CLIP KENKO NO. 111")</f>
        <v>BINDER CLIP KENKO NO. 111</v>
      </c>
      <c r="F822" s="53" t="str">
        <f>IFERROR(__xludf.DUMMYFUNCTION("vlookup($D822,IMPORTRANGE(""https://docs.google.com/spreadsheets/d/1swGwZOEqYlTEUCJLY-eeJM1911Kvaei5oySBIxdgtNo/edit?pli=1#gid=257618397"",""stock FAKTUR!B:d""),3,false)"),"")</f>
        <v/>
      </c>
      <c r="G822" s="53" t="str">
        <f>IFERROR(__xludf.DUMMYFUNCTION("vlookup($D822,IMPORTRANGE(""https://docs.google.com/spreadsheets/d/1swGwZOEqYlTEUCJLY-eeJM1911Kvaei5oySBIxdgtNo/edit?pli=1#gid=257618397"",""stock FAKTUR!B:e""),4,false)"),"")</f>
        <v/>
      </c>
      <c r="H822" s="53" t="str">
        <f>IFERROR(__xludf.DUMMYFUNCTION("vlookup($D822,IMPORTRANGE(""https://docs.google.com/spreadsheets/d/1swGwZOEqYlTEUCJLY-eeJM1911Kvaei5oySBIxdgtNo/edit?pli=1#gid=257618397"",""stock FAKTUR!B:F""),5,false)"),"KN")</f>
        <v>KN</v>
      </c>
      <c r="I822" s="53" t="str">
        <f>IFERROR(__xludf.DUMMYFUNCTION("vlookup($D822,IMPORTRANGE(""https://docs.google.com/spreadsheets/d/1swGwZOEqYlTEUCJLY-eeJM1911Kvaei5oySBIxdgtNo/edit?pli=1#gid=257618397"",""stock FAKTUR!B:G""),6,false)"),"BCL-003QH")</f>
        <v>BCL-003QH</v>
      </c>
      <c r="J822" s="120" t="str">
        <f t="shared" si="25"/>
        <v>ADA</v>
      </c>
      <c r="K822" s="142">
        <v>2.0</v>
      </c>
      <c r="L822" s="145" t="str">
        <f>IFERROR(__xludf.DUMMYFUNCTION("vlookup($D822,IMPORTRANGE(""https://docs.google.com/spreadsheets/d/1swGwZOEqYlTEUCJLY-eeJM1911Kvaei5oySBIxdgtNo/edit?pli=1#gid=257618397"",""stock FAKTUR!B:q""),16,false)"),"BOX")</f>
        <v>BOX</v>
      </c>
      <c r="M822" s="147">
        <v>49200.0</v>
      </c>
      <c r="N822" s="152">
        <v>0.125</v>
      </c>
      <c r="O822" s="147">
        <f t="shared" si="232"/>
        <v>86100</v>
      </c>
      <c r="P822" s="147" t="str">
        <f t="shared" si="3"/>
        <v>Rp49,200-2 BOX-12.50%</v>
      </c>
      <c r="Q822" s="149">
        <v>45425.0</v>
      </c>
      <c r="R822" s="150"/>
      <c r="S822" s="149">
        <v>45426.0</v>
      </c>
      <c r="T822" s="151"/>
      <c r="U822" s="151"/>
      <c r="V822" s="151"/>
      <c r="W822" s="151"/>
    </row>
    <row r="823">
      <c r="A823" s="142">
        <v>4911.0</v>
      </c>
      <c r="B823" s="143" t="str">
        <f t="shared" si="243"/>
        <v>H</v>
      </c>
      <c r="C823" s="143" t="str">
        <f t="shared" si="244"/>
        <v>SALIKAH-BATANG</v>
      </c>
      <c r="D823" s="53" t="s">
        <v>4707</v>
      </c>
      <c r="E823" s="145" t="str">
        <f>IFERROR(__xludf.DUMMYFUNCTION("vlookup(D823,IMPORTRANGE(""https://docs.google.com/spreadsheets/d/1swGwZOEqYlTEUCJLY-eeJM1911Kvaei5oySBIxdgtNo/edit?pli=1#gid=257618397"",""stock FAKTUR!B:C""),2,false)"),"BINDER CLIP KENKO NO. 107")</f>
        <v>BINDER CLIP KENKO NO. 107</v>
      </c>
      <c r="F823" s="53" t="str">
        <f>IFERROR(__xludf.DUMMYFUNCTION("vlookup($D823,IMPORTRANGE(""https://docs.google.com/spreadsheets/d/1swGwZOEqYlTEUCJLY-eeJM1911Kvaei5oySBIxdgtNo/edit?pli=1#gid=257618397"",""stock FAKTUR!B:d""),3,false)"),"")</f>
        <v/>
      </c>
      <c r="G823" s="53" t="str">
        <f>IFERROR(__xludf.DUMMYFUNCTION("vlookup($D823,IMPORTRANGE(""https://docs.google.com/spreadsheets/d/1swGwZOEqYlTEUCJLY-eeJM1911Kvaei5oySBIxdgtNo/edit?pli=1#gid=257618397"",""stock FAKTUR!B:e""),4,false)"),"")</f>
        <v/>
      </c>
      <c r="H823" s="53" t="str">
        <f>IFERROR(__xludf.DUMMYFUNCTION("vlookup($D823,IMPORTRANGE(""https://docs.google.com/spreadsheets/d/1swGwZOEqYlTEUCJLY-eeJM1911Kvaei5oySBIxdgtNo/edit?pli=1#gid=257618397"",""stock FAKTUR!B:F""),5,false)"),"KN")</f>
        <v>KN</v>
      </c>
      <c r="I823" s="53" t="str">
        <f>IFERROR(__xludf.DUMMYFUNCTION("vlookup($D823,IMPORTRANGE(""https://docs.google.com/spreadsheets/d/1swGwZOEqYlTEUCJLY-eeJM1911Kvaei5oySBIxdgtNo/edit?pli=1#gid=257618397"",""stock FAKTUR!B:G""),6,false)"),"BCL-002QH")</f>
        <v>BCL-002QH</v>
      </c>
      <c r="J823" s="120" t="str">
        <f t="shared" si="25"/>
        <v>ADA</v>
      </c>
      <c r="K823" s="142">
        <v>2.0</v>
      </c>
      <c r="L823" s="145" t="str">
        <f>IFERROR(__xludf.DUMMYFUNCTION("vlookup($D823,IMPORTRANGE(""https://docs.google.com/spreadsheets/d/1swGwZOEqYlTEUCJLY-eeJM1911Kvaei5oySBIxdgtNo/edit?pli=1#gid=257618397"",""stock FAKTUR!B:q""),16,false)"),"BOX")</f>
        <v>BOX</v>
      </c>
      <c r="M823" s="147">
        <v>31800.0</v>
      </c>
      <c r="N823" s="152">
        <v>0.125</v>
      </c>
      <c r="O823" s="147">
        <f t="shared" si="232"/>
        <v>55650</v>
      </c>
      <c r="P823" s="147" t="str">
        <f t="shared" si="3"/>
        <v>Rp31,800-2 BOX-12.50%</v>
      </c>
      <c r="Q823" s="149">
        <v>45425.0</v>
      </c>
      <c r="R823" s="150"/>
      <c r="S823" s="149">
        <v>45426.0</v>
      </c>
      <c r="T823" s="151"/>
      <c r="U823" s="151"/>
      <c r="V823" s="151"/>
      <c r="W823" s="151"/>
    </row>
    <row r="824">
      <c r="A824" s="142">
        <v>4911.0</v>
      </c>
      <c r="B824" s="143" t="str">
        <f t="shared" si="243"/>
        <v>H</v>
      </c>
      <c r="C824" s="143" t="str">
        <f t="shared" si="244"/>
        <v>SALIKAH-BATANG</v>
      </c>
      <c r="D824" s="53" t="s">
        <v>4766</v>
      </c>
      <c r="E824" s="145" t="str">
        <f>IFERROR(__xludf.DUMMYFUNCTION("vlookup(D824,IMPORTRANGE(""https://docs.google.com/spreadsheets/d/1swGwZOEqYlTEUCJLY-eeJM1911Kvaei5oySBIxdgtNo/edit?pli=1#gid=257618397"",""stock FAKTUR!B:C""),2,false)"),"BINDER CLIP KENKO NO. 105")</f>
        <v>BINDER CLIP KENKO NO. 105</v>
      </c>
      <c r="F824" s="53" t="str">
        <f>IFERROR(__xludf.DUMMYFUNCTION("vlookup($D824,IMPORTRANGE(""https://docs.google.com/spreadsheets/d/1swGwZOEqYlTEUCJLY-eeJM1911Kvaei5oySBIxdgtNo/edit?pli=1#gid=257618397"",""stock FAKTUR!B:d""),3,false)"),"")</f>
        <v/>
      </c>
      <c r="G824" s="53" t="str">
        <f>IFERROR(__xludf.DUMMYFUNCTION("vlookup($D824,IMPORTRANGE(""https://docs.google.com/spreadsheets/d/1swGwZOEqYlTEUCJLY-eeJM1911Kvaei5oySBIxdgtNo/edit?pli=1#gid=257618397"",""stock FAKTUR!B:e""),4,false)"),"")</f>
        <v/>
      </c>
      <c r="H824" s="53" t="str">
        <f>IFERROR(__xludf.DUMMYFUNCTION("vlookup($D824,IMPORTRANGE(""https://docs.google.com/spreadsheets/d/1swGwZOEqYlTEUCJLY-eeJM1911Kvaei5oySBIxdgtNo/edit?pli=1#gid=257618397"",""stock FAKTUR!B:F""),5,false)"),"KN")</f>
        <v>KN</v>
      </c>
      <c r="I824" s="53" t="str">
        <f>IFERROR(__xludf.DUMMYFUNCTION("vlookup($D824,IMPORTRANGE(""https://docs.google.com/spreadsheets/d/1swGwZOEqYlTEUCJLY-eeJM1911Kvaei5oySBIxdgtNo/edit?pli=1#gid=257618397"",""stock FAKTUR!B:G""),6,false)"),"BCL-001QH")</f>
        <v>BCL-001QH</v>
      </c>
      <c r="J824" s="120" t="str">
        <f t="shared" si="25"/>
        <v>ADA</v>
      </c>
      <c r="K824" s="142">
        <v>2.0</v>
      </c>
      <c r="L824" s="145" t="str">
        <f>IFERROR(__xludf.DUMMYFUNCTION("vlookup($D824,IMPORTRANGE(""https://docs.google.com/spreadsheets/d/1swGwZOEqYlTEUCJLY-eeJM1911Kvaei5oySBIxdgtNo/edit?pli=1#gid=257618397"",""stock FAKTUR!B:q""),16,false)"),"BOX")</f>
        <v>BOX</v>
      </c>
      <c r="M824" s="147">
        <v>28800.0</v>
      </c>
      <c r="N824" s="152">
        <v>0.125</v>
      </c>
      <c r="O824" s="147">
        <f t="shared" si="232"/>
        <v>50400</v>
      </c>
      <c r="P824" s="147" t="str">
        <f t="shared" si="3"/>
        <v>Rp28,800-2 BOX-12.50%</v>
      </c>
      <c r="Q824" s="149">
        <v>45425.0</v>
      </c>
      <c r="R824" s="150"/>
      <c r="S824" s="149">
        <v>45426.0</v>
      </c>
      <c r="T824" s="151"/>
      <c r="U824" s="151"/>
      <c r="V824" s="151"/>
      <c r="W824" s="151"/>
    </row>
    <row r="825">
      <c r="A825" s="142">
        <v>4911.0</v>
      </c>
      <c r="B825" s="143" t="str">
        <f t="shared" si="243"/>
        <v>H</v>
      </c>
      <c r="C825" s="143" t="str">
        <f t="shared" si="244"/>
        <v>SALIKAH-BATANG</v>
      </c>
      <c r="D825" s="53" t="s">
        <v>4726</v>
      </c>
      <c r="E825" s="145" t="str">
        <f>IFERROR(__xludf.DUMMYFUNCTION("vlookup(D825,IMPORTRANGE(""https://docs.google.com/spreadsheets/d/1swGwZOEqYlTEUCJLY-eeJM1911Kvaei5oySBIxdgtNo/edit?pli=1#gid=257618397"",""stock FAKTUR!B:C""),2,false)"),"CLIP TRIGONAL KENKO NO. 3")</f>
        <v>CLIP TRIGONAL KENKO NO. 3</v>
      </c>
      <c r="F825" s="53" t="str">
        <f>IFERROR(__xludf.DUMMYFUNCTION("vlookup($D825,IMPORTRANGE(""https://docs.google.com/spreadsheets/d/1swGwZOEqYlTEUCJLY-eeJM1911Kvaei5oySBIxdgtNo/edit?pli=1#gid=257618397"",""stock FAKTUR!B:d""),3,false)"),"")</f>
        <v/>
      </c>
      <c r="G825" s="53" t="str">
        <f>IFERROR(__xludf.DUMMYFUNCTION("vlookup($D825,IMPORTRANGE(""https://docs.google.com/spreadsheets/d/1swGwZOEqYlTEUCJLY-eeJM1911Kvaei5oySBIxdgtNo/edit?pli=1#gid=257618397"",""stock FAKTUR!B:e""),4,false)"),"")</f>
        <v/>
      </c>
      <c r="H825" s="53" t="str">
        <f>IFERROR(__xludf.DUMMYFUNCTION("vlookup($D825,IMPORTRANGE(""https://docs.google.com/spreadsheets/d/1swGwZOEqYlTEUCJLY-eeJM1911Kvaei5oySBIxdgtNo/edit?pli=1#gid=257618397"",""stock FAKTUR!B:F""),5,false)"),"KN")</f>
        <v>KN</v>
      </c>
      <c r="I825" s="53" t="str">
        <f>IFERROR(__xludf.DUMMYFUNCTION("vlookup($D825,IMPORTRANGE(""https://docs.google.com/spreadsheets/d/1swGwZOEqYlTEUCJLY-eeJM1911Kvaei5oySBIxdgtNo/edit?pli=1#gid=257618397"",""stock FAKTUR!B:G""),6,false)"),"CLP-002")</f>
        <v>CLP-002</v>
      </c>
      <c r="J825" s="120" t="str">
        <f t="shared" si="25"/>
        <v>ADA</v>
      </c>
      <c r="K825" s="142">
        <v>6.0</v>
      </c>
      <c r="L825" s="145" t="str">
        <f>IFERROR(__xludf.DUMMYFUNCTION("vlookup($D825,IMPORTRANGE(""https://docs.google.com/spreadsheets/d/1swGwZOEqYlTEUCJLY-eeJM1911Kvaei5oySBIxdgtNo/edit?pli=1#gid=257618397"",""stock FAKTUR!B:q""),16,false)"),"BOX")</f>
        <v>BOX</v>
      </c>
      <c r="M825" s="147">
        <v>16000.0</v>
      </c>
      <c r="N825" s="152">
        <v>0.125</v>
      </c>
      <c r="O825" s="147">
        <f t="shared" si="232"/>
        <v>84000</v>
      </c>
      <c r="P825" s="147" t="str">
        <f t="shared" si="3"/>
        <v>Rp16,000-6 BOX-12.50%</v>
      </c>
      <c r="Q825" s="149">
        <v>45425.0</v>
      </c>
      <c r="R825" s="150"/>
      <c r="S825" s="149">
        <v>45426.0</v>
      </c>
      <c r="T825" s="151"/>
      <c r="U825" s="151"/>
      <c r="V825" s="151"/>
      <c r="W825" s="151"/>
    </row>
    <row r="826">
      <c r="A826" s="142">
        <v>4911.0</v>
      </c>
      <c r="B826" s="143" t="str">
        <f t="shared" si="243"/>
        <v>H</v>
      </c>
      <c r="C826" s="143" t="str">
        <f t="shared" si="244"/>
        <v>SALIKAH-BATANG</v>
      </c>
      <c r="D826" s="53" t="s">
        <v>4719</v>
      </c>
      <c r="E826" s="145" t="str">
        <f>IFERROR(__xludf.DUMMYFUNCTION("vlookup(D826,IMPORTRANGE(""https://docs.google.com/spreadsheets/d/1swGwZOEqYlTEUCJLY-eeJM1911Kvaei5oySBIxdgtNo/edit?pli=1#gid=257618397"",""stock FAKTUR!B:C""),2,false)"),"PC KENKO 0719 FANCY")</f>
        <v>PC KENKO 0719 FANCY</v>
      </c>
      <c r="F826" s="53" t="str">
        <f>IFERROR(__xludf.DUMMYFUNCTION("vlookup($D826,IMPORTRANGE(""https://docs.google.com/spreadsheets/d/1swGwZOEqYlTEUCJLY-eeJM1911Kvaei5oySBIxdgtNo/edit?pli=1#gid=257618397"",""stock FAKTUR!B:d""),3,false)"),"")</f>
        <v/>
      </c>
      <c r="G826" s="53" t="str">
        <f>IFERROR(__xludf.DUMMYFUNCTION("vlookup($D826,IMPORTRANGE(""https://docs.google.com/spreadsheets/d/1swGwZOEqYlTEUCJLY-eeJM1911Kvaei5oySBIxdgtNo/edit?pli=1#gid=257618397"",""stock FAKTUR!B:e""),4,false)"),"")</f>
        <v/>
      </c>
      <c r="H826" s="53" t="str">
        <f>IFERROR(__xludf.DUMMYFUNCTION("vlookup($D826,IMPORTRANGE(""https://docs.google.com/spreadsheets/d/1swGwZOEqYlTEUCJLY-eeJM1911Kvaei5oySBIxdgtNo/edit?pli=1#gid=257618397"",""stock FAKTUR!B:F""),5,false)"),"KN")</f>
        <v>KN</v>
      </c>
      <c r="I826" s="53" t="str">
        <f>IFERROR(__xludf.DUMMYFUNCTION("vlookup($D826,IMPORTRANGE(""https://docs.google.com/spreadsheets/d/1swGwZOEqYlTEUCJLY-eeJM1911Kvaei5oySBIxdgtNo/edit?pli=1#gid=257618397"",""stock FAKTUR!B:G""),6,false)"),"")</f>
        <v/>
      </c>
      <c r="J826" s="120" t="str">
        <f t="shared" si="25"/>
        <v>ADA</v>
      </c>
      <c r="K826" s="142">
        <v>8.0</v>
      </c>
      <c r="L826" s="145" t="str">
        <f>IFERROR(__xludf.DUMMYFUNCTION("vlookup($D826,IMPORTRANGE(""https://docs.google.com/spreadsheets/d/1swGwZOEqYlTEUCJLY-eeJM1911Kvaei5oySBIxdgtNo/edit?pli=1#gid=257618397"",""stock FAKTUR!B:q""),16,false)"),"LSN")</f>
        <v>LSN</v>
      </c>
      <c r="M826" s="147">
        <v>62400.0</v>
      </c>
      <c r="N826" s="152">
        <v>0.125</v>
      </c>
      <c r="O826" s="147">
        <f t="shared" si="232"/>
        <v>436800</v>
      </c>
      <c r="P826" s="147" t="str">
        <f t="shared" si="3"/>
        <v>Rp62,400-8 LSN-12.50%</v>
      </c>
      <c r="Q826" s="149">
        <v>45425.0</v>
      </c>
      <c r="R826" s="150"/>
      <c r="S826" s="149">
        <v>45426.0</v>
      </c>
      <c r="T826" s="151"/>
      <c r="U826" s="151"/>
      <c r="V826" s="151"/>
      <c r="W826" s="151"/>
    </row>
    <row r="827">
      <c r="A827" s="142">
        <v>4911.0</v>
      </c>
      <c r="B827" s="143" t="str">
        <f t="shared" si="243"/>
        <v>H</v>
      </c>
      <c r="C827" s="143" t="str">
        <f t="shared" si="244"/>
        <v>SALIKAH-BATANG</v>
      </c>
      <c r="D827" s="53" t="s">
        <v>4436</v>
      </c>
      <c r="E827" s="145" t="str">
        <f>IFERROR(__xludf.DUMMYFUNCTION("vlookup(D827,IMPORTRANGE(""https://docs.google.com/spreadsheets/d/1swGwZOEqYlTEUCJLY-eeJM1911Kvaei5oySBIxdgtNo/edit?pli=1#gid=257618397"",""stock FAKTUR!B:C""),2,false)"),"STAPLER KENKO HD-50")</f>
        <v>STAPLER KENKO HD-50</v>
      </c>
      <c r="F827" s="53" t="str">
        <f>IFERROR(__xludf.DUMMYFUNCTION("vlookup($D827,IMPORTRANGE(""https://docs.google.com/spreadsheets/d/1swGwZOEqYlTEUCJLY-eeJM1911Kvaei5oySBIxdgtNo/edit?pli=1#gid=257618397"",""stock FAKTUR!B:d""),3,false)"),"")</f>
        <v/>
      </c>
      <c r="G827" s="53" t="str">
        <f>IFERROR(__xludf.DUMMYFUNCTION("vlookup($D827,IMPORTRANGE(""https://docs.google.com/spreadsheets/d/1swGwZOEqYlTEUCJLY-eeJM1911Kvaei5oySBIxdgtNo/edit?pli=1#gid=257618397"",""stock FAKTUR!B:e""),4,false)"),"")</f>
        <v/>
      </c>
      <c r="H827" s="53" t="str">
        <f>IFERROR(__xludf.DUMMYFUNCTION("vlookup($D827,IMPORTRANGE(""https://docs.google.com/spreadsheets/d/1swGwZOEqYlTEUCJLY-eeJM1911Kvaei5oySBIxdgtNo/edit?pli=1#gid=257618397"",""stock FAKTUR!B:F""),5,false)"),"KN")</f>
        <v>KN</v>
      </c>
      <c r="I827" s="53" t="str">
        <f>IFERROR(__xludf.DUMMYFUNCTION("vlookup($D827,IMPORTRANGE(""https://docs.google.com/spreadsheets/d/1swGwZOEqYlTEUCJLY-eeJM1911Kvaei5oySBIxdgtNo/edit?pli=1#gid=257618397"",""stock FAKTUR!B:G""),6,false)"),"HD-50")</f>
        <v>HD-50</v>
      </c>
      <c r="J827" s="120" t="str">
        <f t="shared" si="25"/>
        <v>ADA</v>
      </c>
      <c r="K827" s="142">
        <f>3*12</f>
        <v>36</v>
      </c>
      <c r="L827" s="145" t="str">
        <f>IFERROR(__xludf.DUMMYFUNCTION("vlookup($D827,IMPORTRANGE(""https://docs.google.com/spreadsheets/d/1swGwZOEqYlTEUCJLY-eeJM1911Kvaei5oySBIxdgtNo/edit?pli=1#gid=257618397"",""stock FAKTUR!B:q""),16,false)"),"PCS")</f>
        <v>PCS</v>
      </c>
      <c r="M827" s="147">
        <f>228000/12</f>
        <v>19000</v>
      </c>
      <c r="N827" s="152">
        <v>0.125</v>
      </c>
      <c r="O827" s="147">
        <f t="shared" si="232"/>
        <v>598500</v>
      </c>
      <c r="P827" s="147" t="str">
        <f t="shared" si="3"/>
        <v>Rp19,000-36 PCS-12.50%</v>
      </c>
      <c r="Q827" s="149">
        <v>45425.0</v>
      </c>
      <c r="R827" s="150"/>
      <c r="S827" s="149">
        <v>45426.0</v>
      </c>
      <c r="T827" s="151"/>
      <c r="U827" s="151"/>
      <c r="V827" s="151"/>
      <c r="W827" s="151"/>
    </row>
    <row r="828">
      <c r="A828" s="142">
        <v>4911.0</v>
      </c>
      <c r="B828" s="143" t="str">
        <f t="shared" si="243"/>
        <v>H</v>
      </c>
      <c r="C828" s="143" t="str">
        <f t="shared" si="244"/>
        <v>SALIKAH-BATANG</v>
      </c>
      <c r="D828" s="53" t="s">
        <v>4399</v>
      </c>
      <c r="E828" s="145" t="str">
        <f>IFERROR(__xludf.DUMMYFUNCTION("vlookup(D828,IMPORTRANGE(""https://docs.google.com/spreadsheets/d/1swGwZOEqYlTEUCJLY-eeJM1911Kvaei5oySBIxdgtNo/edit?pli=1#gid=257618397"",""stock FAKTUR!B:C""),2,false)"),"PW KENKO 12W CP-12F CLASSIC PANJANG")</f>
        <v>PW KENKO 12W CP-12F CLASSIC PANJANG</v>
      </c>
      <c r="F828" s="53" t="str">
        <f>IFERROR(__xludf.DUMMYFUNCTION("vlookup($D828,IMPORTRANGE(""https://docs.google.com/spreadsheets/d/1swGwZOEqYlTEUCJLY-eeJM1911Kvaei5oySBIxdgtNo/edit?pli=1#gid=257618397"",""stock FAKTUR!B:d""),3,false)"),"")</f>
        <v/>
      </c>
      <c r="G828" s="53" t="str">
        <f>IFERROR(__xludf.DUMMYFUNCTION("vlookup($D828,IMPORTRANGE(""https://docs.google.com/spreadsheets/d/1swGwZOEqYlTEUCJLY-eeJM1911Kvaei5oySBIxdgtNo/edit?pli=1#gid=257618397"",""stock FAKTUR!B:e""),4,false)"),"12W")</f>
        <v>12W</v>
      </c>
      <c r="H828" s="53" t="str">
        <f>IFERROR(__xludf.DUMMYFUNCTION("vlookup($D828,IMPORTRANGE(""https://docs.google.com/spreadsheets/d/1swGwZOEqYlTEUCJLY-eeJM1911Kvaei5oySBIxdgtNo/edit?pli=1#gid=257618397"",""stock FAKTUR!B:F""),5,false)"),"KN")</f>
        <v>KN</v>
      </c>
      <c r="I828" s="53" t="str">
        <f>IFERROR(__xludf.DUMMYFUNCTION("vlookup($D828,IMPORTRANGE(""https://docs.google.com/spreadsheets/d/1swGwZOEqYlTEUCJLY-eeJM1911Kvaei5oySBIxdgtNo/edit?pli=1#gid=257618397"",""stock FAKTUR!B:G""),6,false)"),"CP-12F")</f>
        <v>CP-12F</v>
      </c>
      <c r="J828" s="120" t="str">
        <f t="shared" si="25"/>
        <v>ADA</v>
      </c>
      <c r="K828" s="142">
        <v>24.0</v>
      </c>
      <c r="L828" s="145" t="str">
        <f>IFERROR(__xludf.DUMMYFUNCTION("vlookup($D828,IMPORTRANGE(""https://docs.google.com/spreadsheets/d/1swGwZOEqYlTEUCJLY-eeJM1911Kvaei5oySBIxdgtNo/edit?pli=1#gid=257618397"",""stock FAKTUR!B:q""),16,false)"),"LSN")</f>
        <v>LSN</v>
      </c>
      <c r="M828" s="147">
        <v>124200.0</v>
      </c>
      <c r="N828" s="152">
        <v>0.125</v>
      </c>
      <c r="O828" s="147">
        <f t="shared" si="232"/>
        <v>2608200</v>
      </c>
      <c r="P828" s="147" t="str">
        <f t="shared" si="3"/>
        <v>Rp124,200-24 LSN-12.50%</v>
      </c>
      <c r="Q828" s="149">
        <v>45425.0</v>
      </c>
      <c r="R828" s="150"/>
      <c r="S828" s="149">
        <v>45426.0</v>
      </c>
      <c r="T828" s="151"/>
      <c r="U828" s="151"/>
      <c r="V828" s="151"/>
      <c r="W828" s="151"/>
    </row>
    <row r="829">
      <c r="A829" s="142">
        <v>4149.0</v>
      </c>
      <c r="B829" s="143" t="s">
        <v>33</v>
      </c>
      <c r="C829" s="143" t="s">
        <v>1447</v>
      </c>
      <c r="D829" s="53" t="s">
        <v>4780</v>
      </c>
      <c r="E829" s="145" t="str">
        <f>IFERROR(__xludf.DUMMYFUNCTION("vlookup(D829,IMPORTRANGE(""https://docs.google.com/spreadsheets/d/1swGwZOEqYlTEUCJLY-eeJM1911Kvaei5oySBIxdgtNo/edit?pli=1#gid=257618397"",""stock FAKTUR!B:C""),2,false)"),"LEM LIQUID KENKO LG-35 (35 ML)")</f>
        <v>LEM LIQUID KENKO LG-35 (35 ML)</v>
      </c>
      <c r="F829" s="53" t="str">
        <f>IFERROR(__xludf.DUMMYFUNCTION("vlookup($D829,IMPORTRANGE(""https://docs.google.com/spreadsheets/d/1swGwZOEqYlTEUCJLY-eeJM1911Kvaei5oySBIxdgtNo/edit?pli=1#gid=257618397"",""stock FAKTUR!B:d""),3,false)"),"35 ML")</f>
        <v>35 ML</v>
      </c>
      <c r="G829" s="53" t="str">
        <f>IFERROR(__xludf.DUMMYFUNCTION("vlookup($D829,IMPORTRANGE(""https://docs.google.com/spreadsheets/d/1swGwZOEqYlTEUCJLY-eeJM1911Kvaei5oySBIxdgtNo/edit?pli=1#gid=257618397"",""stock FAKTUR!B:e""),4,false)"),"")</f>
        <v/>
      </c>
      <c r="H829" s="53" t="str">
        <f>IFERROR(__xludf.DUMMYFUNCTION("vlookup($D829,IMPORTRANGE(""https://docs.google.com/spreadsheets/d/1swGwZOEqYlTEUCJLY-eeJM1911Kvaei5oySBIxdgtNo/edit?pli=1#gid=257618397"",""stock FAKTUR!B:F""),5,false)"),"LG")</f>
        <v>LG</v>
      </c>
      <c r="I829" s="53" t="str">
        <f>IFERROR(__xludf.DUMMYFUNCTION("vlookup($D829,IMPORTRANGE(""https://docs.google.com/spreadsheets/d/1swGwZOEqYlTEUCJLY-eeJM1911Kvaei5oySBIxdgtNo/edit?pli=1#gid=257618397"",""stock FAKTUR!B:G""),6,false)"),"GLQ-001GA")</f>
        <v>GLQ-001GA</v>
      </c>
      <c r="J829" s="120" t="str">
        <f t="shared" si="25"/>
        <v>ADA</v>
      </c>
      <c r="K829" s="142">
        <v>40.0</v>
      </c>
      <c r="L829" s="145" t="str">
        <f>IFERROR(__xludf.DUMMYFUNCTION("vlookup($D829,IMPORTRANGE(""https://docs.google.com/spreadsheets/d/1swGwZOEqYlTEUCJLY-eeJM1911Kvaei5oySBIxdgtNo/edit?pli=1#gid=257618397"",""stock FAKTUR!B:q""),16,false)"),"LSN")</f>
        <v>LSN</v>
      </c>
      <c r="M829" s="147">
        <v>19800.0</v>
      </c>
      <c r="N829" s="152">
        <v>0.125</v>
      </c>
      <c r="O829" s="147">
        <f t="shared" si="232"/>
        <v>693000</v>
      </c>
      <c r="P829" s="147" t="str">
        <f t="shared" si="3"/>
        <v>Rp19,800-40 LSN-12.50%</v>
      </c>
      <c r="Q829" s="149">
        <v>45426.0</v>
      </c>
      <c r="R829" s="149">
        <v>45414.0</v>
      </c>
      <c r="S829" s="149">
        <v>45427.0</v>
      </c>
      <c r="T829" s="151"/>
      <c r="U829" s="151"/>
      <c r="V829" s="151"/>
      <c r="W829" s="151"/>
    </row>
    <row r="830">
      <c r="A830" s="142">
        <v>4149.0</v>
      </c>
      <c r="B830" s="143" t="str">
        <f t="shared" ref="B830:B841" si="245">IF(A830=A829,B829,"")</f>
        <v>H</v>
      </c>
      <c r="C830" s="143" t="str">
        <f t="shared" ref="C830:C841" si="246">IF(A830=A829,C829,"")</f>
        <v>SAHABAT BARU-PARAKAN</v>
      </c>
      <c r="D830" s="53" t="s">
        <v>4399</v>
      </c>
      <c r="E830" s="145" t="str">
        <f>IFERROR(__xludf.DUMMYFUNCTION("vlookup(D830,IMPORTRANGE(""https://docs.google.com/spreadsheets/d/1swGwZOEqYlTEUCJLY-eeJM1911Kvaei5oySBIxdgtNo/edit?pli=1#gid=257618397"",""stock FAKTUR!B:C""),2,false)"),"PW KENKO 12W CP-12F CLASSIC PANJANG")</f>
        <v>PW KENKO 12W CP-12F CLASSIC PANJANG</v>
      </c>
      <c r="F830" s="53" t="str">
        <f>IFERROR(__xludf.DUMMYFUNCTION("vlookup($D830,IMPORTRANGE(""https://docs.google.com/spreadsheets/d/1swGwZOEqYlTEUCJLY-eeJM1911Kvaei5oySBIxdgtNo/edit?pli=1#gid=257618397"",""stock FAKTUR!B:d""),3,false)"),"")</f>
        <v/>
      </c>
      <c r="G830" s="53" t="str">
        <f>IFERROR(__xludf.DUMMYFUNCTION("vlookup($D830,IMPORTRANGE(""https://docs.google.com/spreadsheets/d/1swGwZOEqYlTEUCJLY-eeJM1911Kvaei5oySBIxdgtNo/edit?pli=1#gid=257618397"",""stock FAKTUR!B:e""),4,false)"),"12W")</f>
        <v>12W</v>
      </c>
      <c r="H830" s="53" t="str">
        <f>IFERROR(__xludf.DUMMYFUNCTION("vlookup($D830,IMPORTRANGE(""https://docs.google.com/spreadsheets/d/1swGwZOEqYlTEUCJLY-eeJM1911Kvaei5oySBIxdgtNo/edit?pli=1#gid=257618397"",""stock FAKTUR!B:F""),5,false)"),"KN")</f>
        <v>KN</v>
      </c>
      <c r="I830" s="53" t="str">
        <f>IFERROR(__xludf.DUMMYFUNCTION("vlookup($D830,IMPORTRANGE(""https://docs.google.com/spreadsheets/d/1swGwZOEqYlTEUCJLY-eeJM1911Kvaei5oySBIxdgtNo/edit?pli=1#gid=257618397"",""stock FAKTUR!B:G""),6,false)"),"CP-12F")</f>
        <v>CP-12F</v>
      </c>
      <c r="J830" s="120" t="str">
        <f t="shared" si="25"/>
        <v>ADA</v>
      </c>
      <c r="K830" s="142">
        <v>72.0</v>
      </c>
      <c r="L830" s="145" t="str">
        <f>IFERROR(__xludf.DUMMYFUNCTION("vlookup($D830,IMPORTRANGE(""https://docs.google.com/spreadsheets/d/1swGwZOEqYlTEUCJLY-eeJM1911Kvaei5oySBIxdgtNo/edit?pli=1#gid=257618397"",""stock FAKTUR!B:q""),16,false)"),"LSN")</f>
        <v>LSN</v>
      </c>
      <c r="M830" s="147">
        <v>124200.0</v>
      </c>
      <c r="N830" s="152">
        <v>0.125</v>
      </c>
      <c r="O830" s="147">
        <f t="shared" si="232"/>
        <v>7824600</v>
      </c>
      <c r="P830" s="147" t="str">
        <f t="shared" si="3"/>
        <v>Rp124,200-72 LSN-12.50%</v>
      </c>
      <c r="Q830" s="149">
        <v>45426.0</v>
      </c>
      <c r="R830" s="149">
        <v>45414.0</v>
      </c>
      <c r="S830" s="149">
        <v>45427.0</v>
      </c>
      <c r="T830" s="151"/>
      <c r="U830" s="151"/>
      <c r="V830" s="151"/>
      <c r="W830" s="151"/>
    </row>
    <row r="831">
      <c r="A831" s="142">
        <v>4149.0</v>
      </c>
      <c r="B831" s="143" t="str">
        <f t="shared" si="245"/>
        <v>H</v>
      </c>
      <c r="C831" s="143" t="str">
        <f t="shared" si="246"/>
        <v>SAHABAT BARU-PARAKAN</v>
      </c>
      <c r="D831" s="53" t="s">
        <v>4400</v>
      </c>
      <c r="E831" s="145" t="str">
        <f>IFERROR(__xludf.DUMMYFUNCTION("vlookup(D831,IMPORTRANGE(""https://docs.google.com/spreadsheets/d/1swGwZOEqYlTEUCJLY-eeJM1911Kvaei5oySBIxdgtNo/edit?pli=1#gid=257618397"",""stock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831" s="53" t="str">
        <f>IFERROR(__xludf.DUMMYFUNCTION("vlookup($D831,IMPORTRANGE(""https://docs.google.com/spreadsheets/d/1swGwZOEqYlTEUCJLY-eeJM1911Kvaei5oySBIxdgtNo/edit?pli=1#gid=257618397"",""stock FAKTUR!B:d""),3,false)"),"")</f>
        <v/>
      </c>
      <c r="G831" s="53" t="str">
        <f>IFERROR(__xludf.DUMMYFUNCTION("vlookup($D831,IMPORTRANGE(""https://docs.google.com/spreadsheets/d/1swGwZOEqYlTEUCJLY-eeJM1911Kvaei5oySBIxdgtNo/edit?pli=1#gid=257618397"",""stock FAKTUR!B:e""),4,false)"),"12W")</f>
        <v>12W</v>
      </c>
      <c r="H831" s="53" t="str">
        <f>IFERROR(__xludf.DUMMYFUNCTION("vlookup($D831,IMPORTRANGE(""https://docs.google.com/spreadsheets/d/1swGwZOEqYlTEUCJLY-eeJM1911Kvaei5oySBIxdgtNo/edit?pli=1#gid=257618397"",""stock FAKTUR!B:F""),5,false)"),"KN")</f>
        <v>KN</v>
      </c>
      <c r="I831" s="53" t="str">
        <f>IFERROR(__xludf.DUMMYFUNCTION("vlookup($D831,IMPORTRANGE(""https://docs.google.com/spreadsheets/d/1swGwZOEqYlTEUCJLY-eeJM1911Kvaei5oySBIxdgtNo/edit?pli=1#gid=257618397"",""stock FAKTUR!B:G""),6,false)"),"CP-12")</f>
        <v>CP-12</v>
      </c>
      <c r="J831" s="120" t="str">
        <f t="shared" si="25"/>
        <v>ADA</v>
      </c>
      <c r="K831" s="142">
        <v>96.0</v>
      </c>
      <c r="L831" s="145" t="str">
        <f>IFERROR(__xludf.DUMMYFUNCTION("vlookup($D831,IMPORTRANGE(""https://docs.google.com/spreadsheets/d/1swGwZOEqYlTEUCJLY-eeJM1911Kvaei5oySBIxdgtNo/edit?pli=1#gid=257618397"",""stock FAKTUR!B:q""),16,false)"),"LSN")</f>
        <v>LSN</v>
      </c>
      <c r="M831" s="147">
        <v>79200.0</v>
      </c>
      <c r="N831" s="152">
        <v>0.125</v>
      </c>
      <c r="O831" s="147">
        <f t="shared" si="232"/>
        <v>6652800</v>
      </c>
      <c r="P831" s="147" t="str">
        <f t="shared" si="3"/>
        <v>Rp79,200-96 LSN-12.50%</v>
      </c>
      <c r="Q831" s="149">
        <v>45426.0</v>
      </c>
      <c r="R831" s="150"/>
      <c r="S831" s="149">
        <v>45427.0</v>
      </c>
      <c r="T831" s="151"/>
      <c r="U831" s="151"/>
      <c r="V831" s="151"/>
      <c r="W831" s="151"/>
    </row>
    <row r="832">
      <c r="A832" s="142">
        <v>4149.0</v>
      </c>
      <c r="B832" s="143" t="str">
        <f t="shared" si="245"/>
        <v>H</v>
      </c>
      <c r="C832" s="143" t="str">
        <f t="shared" si="246"/>
        <v>SAHABAT BARU-PARAKAN</v>
      </c>
      <c r="D832" s="53" t="s">
        <v>24</v>
      </c>
      <c r="E832" s="145" t="str">
        <f>IFERROR(__xludf.DUMMYFUNCTION("vlookup(D832,IMPORTRANGE(""https://docs.google.com/spreadsheets/d/1swGwZOEqYlTEUCJLY-eeJM1911Kvaei5oySBIxdgtNo/edit?pli=1#gid=257618397"",""stock FAKTUR!B:C""),2,false)"),"KARTU STOCK KWARTO PINK")</f>
        <v>KARTU STOCK KWARTO PINK</v>
      </c>
      <c r="F832" s="53" t="str">
        <f>IFERROR(__xludf.DUMMYFUNCTION("vlookup($D832,IMPORTRANGE(""https://docs.google.com/spreadsheets/d/1swGwZOEqYlTEUCJLY-eeJM1911Kvaei5oySBIxdgtNo/edit?pli=1#gid=257618397"",""stock FAKTUR!B:d""),3,false)"),"A4")</f>
        <v>A4</v>
      </c>
      <c r="G832" s="53" t="str">
        <f>IFERROR(__xludf.DUMMYFUNCTION("vlookup($D832,IMPORTRANGE(""https://docs.google.com/spreadsheets/d/1swGwZOEqYlTEUCJLY-eeJM1911Kvaei5oySBIxdgtNo/edit?pli=1#gid=257618397"",""stock FAKTUR!B:e""),4,false)"),"PINK")</f>
        <v>PINK</v>
      </c>
      <c r="H832" s="53" t="str">
        <f>IFERROR(__xludf.DUMMYFUNCTION("vlookup($D832,IMPORTRANGE(""https://docs.google.com/spreadsheets/d/1swGwZOEqYlTEUCJLY-eeJM1911Kvaei5oySBIxdgtNo/edit?pli=1#gid=257618397"",""stock FAKTUR!B:F""),5,false)"),"NB")</f>
        <v>NB</v>
      </c>
      <c r="I832" s="53" t="str">
        <f>IFERROR(__xludf.DUMMYFUNCTION("vlookup($D832,IMPORTRANGE(""https://docs.google.com/spreadsheets/d/1swGwZOEqYlTEUCJLY-eeJM1911Kvaei5oySBIxdgtNo/edit?pli=1#gid=257618397"",""stock FAKTUR!B:G""),6,false)"),"")</f>
        <v/>
      </c>
      <c r="J832" s="120" t="str">
        <f t="shared" si="25"/>
        <v>ADA</v>
      </c>
      <c r="K832" s="142">
        <v>6.0</v>
      </c>
      <c r="L832" s="145" t="str">
        <f>IFERROR(__xludf.DUMMYFUNCTION("vlookup($D832,IMPORTRANGE(""https://docs.google.com/spreadsheets/d/1swGwZOEqYlTEUCJLY-eeJM1911Kvaei5oySBIxdgtNo/edit?pli=1#gid=257618397"",""stock FAKTUR!B:q""),16,false)"),"PAK")</f>
        <v>PAK</v>
      </c>
      <c r="M832" s="147">
        <v>19000.0</v>
      </c>
      <c r="N832" s="148"/>
      <c r="O832" s="147">
        <f t="shared" si="232"/>
        <v>114000</v>
      </c>
      <c r="P832" s="147" t="str">
        <f t="shared" si="3"/>
        <v>Rp19,000-6 PAK-0.00%</v>
      </c>
      <c r="Q832" s="149">
        <v>45426.0</v>
      </c>
      <c r="R832" s="149">
        <v>45412.0</v>
      </c>
      <c r="S832" s="149">
        <v>45427.0</v>
      </c>
      <c r="T832" s="151"/>
      <c r="U832" s="151"/>
      <c r="V832" s="151"/>
      <c r="W832" s="151"/>
    </row>
    <row r="833">
      <c r="A833" s="142">
        <v>4149.0</v>
      </c>
      <c r="B833" s="143" t="str">
        <f t="shared" si="245"/>
        <v>H</v>
      </c>
      <c r="C833" s="143" t="str">
        <f t="shared" si="246"/>
        <v>SAHABAT BARU-PARAKAN</v>
      </c>
      <c r="D833" s="53" t="s">
        <v>4407</v>
      </c>
      <c r="E833" s="145" t="str">
        <f>IFERROR(__xludf.DUMMYFUNCTION("vlookup(D833,IMPORTRANGE(""https://docs.google.com/spreadsheets/d/1swGwZOEqYlTEUCJLY-eeJM1911Kvaei5oySBIxdgtNo/edit?pli=1#gid=257618397"",""stock FAKTUR!B:C""),2,false)"),"KARTU STOCK KWARTO HIJAU")</f>
        <v>KARTU STOCK KWARTO HIJAU</v>
      </c>
      <c r="F833" s="53" t="str">
        <f>IFERROR(__xludf.DUMMYFUNCTION("vlookup($D833,IMPORTRANGE(""https://docs.google.com/spreadsheets/d/1swGwZOEqYlTEUCJLY-eeJM1911Kvaei5oySBIxdgtNo/edit?pli=1#gid=257618397"",""stock FAKTUR!B:d""),3,false)"),"A4")</f>
        <v>A4</v>
      </c>
      <c r="G833" s="53" t="str">
        <f>IFERROR(__xludf.DUMMYFUNCTION("vlookup($D833,IMPORTRANGE(""https://docs.google.com/spreadsheets/d/1swGwZOEqYlTEUCJLY-eeJM1911Kvaei5oySBIxdgtNo/edit?pli=1#gid=257618397"",""stock FAKTUR!B:e""),4,false)"),"HIJAU")</f>
        <v>HIJAU</v>
      </c>
      <c r="H833" s="53" t="str">
        <f>IFERROR(__xludf.DUMMYFUNCTION("vlookup($D833,IMPORTRANGE(""https://docs.google.com/spreadsheets/d/1swGwZOEqYlTEUCJLY-eeJM1911Kvaei5oySBIxdgtNo/edit?pli=1#gid=257618397"",""stock FAKTUR!B:F""),5,false)"),"NB")</f>
        <v>NB</v>
      </c>
      <c r="I833" s="53" t="str">
        <f>IFERROR(__xludf.DUMMYFUNCTION("vlookup($D833,IMPORTRANGE(""https://docs.google.com/spreadsheets/d/1swGwZOEqYlTEUCJLY-eeJM1911Kvaei5oySBIxdgtNo/edit?pli=1#gid=257618397"",""stock FAKTUR!B:G""),6,false)"),"")</f>
        <v/>
      </c>
      <c r="J833" s="120" t="str">
        <f t="shared" si="25"/>
        <v>ADA</v>
      </c>
      <c r="K833" s="142">
        <v>6.0</v>
      </c>
      <c r="L833" s="145" t="str">
        <f>IFERROR(__xludf.DUMMYFUNCTION("vlookup($D833,IMPORTRANGE(""https://docs.google.com/spreadsheets/d/1swGwZOEqYlTEUCJLY-eeJM1911Kvaei5oySBIxdgtNo/edit?pli=1#gid=257618397"",""stock FAKTUR!B:q""),16,false)"),"PAK")</f>
        <v>PAK</v>
      </c>
      <c r="M833" s="147">
        <v>19000.0</v>
      </c>
      <c r="N833" s="148"/>
      <c r="O833" s="147">
        <f t="shared" si="232"/>
        <v>114000</v>
      </c>
      <c r="P833" s="147" t="str">
        <f t="shared" si="3"/>
        <v>Rp19,000-6 PAK-0.00%</v>
      </c>
      <c r="Q833" s="149">
        <v>45426.0</v>
      </c>
      <c r="R833" s="149">
        <v>45412.0</v>
      </c>
      <c r="S833" s="149">
        <v>45427.0</v>
      </c>
      <c r="T833" s="151"/>
      <c r="U833" s="151"/>
      <c r="V833" s="151"/>
      <c r="W833" s="151"/>
    </row>
    <row r="834">
      <c r="A834" s="142">
        <v>4149.0</v>
      </c>
      <c r="B834" s="143" t="str">
        <f t="shared" si="245"/>
        <v>H</v>
      </c>
      <c r="C834" s="143" t="str">
        <f t="shared" si="246"/>
        <v>SAHABAT BARU-PARAKAN</v>
      </c>
      <c r="D834" s="53" t="s">
        <v>4408</v>
      </c>
      <c r="E834" s="145" t="str">
        <f>IFERROR(__xludf.DUMMYFUNCTION("vlookup(D834,IMPORTRANGE(""https://docs.google.com/spreadsheets/d/1swGwZOEqYlTEUCJLY-eeJM1911Kvaei5oySBIxdgtNo/edit?pli=1#gid=257618397"",""stock FAKTUR!B:C""),2,false)"),"KARTU STOCK KWARTO KUNING")</f>
        <v>KARTU STOCK KWARTO KUNING</v>
      </c>
      <c r="F834" s="53" t="str">
        <f>IFERROR(__xludf.DUMMYFUNCTION("vlookup($D834,IMPORTRANGE(""https://docs.google.com/spreadsheets/d/1swGwZOEqYlTEUCJLY-eeJM1911Kvaei5oySBIxdgtNo/edit?pli=1#gid=257618397"",""stock FAKTUR!B:d""),3,false)"),"A4")</f>
        <v>A4</v>
      </c>
      <c r="G834" s="53" t="str">
        <f>IFERROR(__xludf.DUMMYFUNCTION("vlookup($D834,IMPORTRANGE(""https://docs.google.com/spreadsheets/d/1swGwZOEqYlTEUCJLY-eeJM1911Kvaei5oySBIxdgtNo/edit?pli=1#gid=257618397"",""stock FAKTUR!B:e""),4,false)"),"KUNING")</f>
        <v>KUNING</v>
      </c>
      <c r="H834" s="53" t="str">
        <f>IFERROR(__xludf.DUMMYFUNCTION("vlookup($D834,IMPORTRANGE(""https://docs.google.com/spreadsheets/d/1swGwZOEqYlTEUCJLY-eeJM1911Kvaei5oySBIxdgtNo/edit?pli=1#gid=257618397"",""stock FAKTUR!B:F""),5,false)"),"NB")</f>
        <v>NB</v>
      </c>
      <c r="I834" s="53" t="str">
        <f>IFERROR(__xludf.DUMMYFUNCTION("vlookup($D834,IMPORTRANGE(""https://docs.google.com/spreadsheets/d/1swGwZOEqYlTEUCJLY-eeJM1911Kvaei5oySBIxdgtNo/edit?pli=1#gid=257618397"",""stock FAKTUR!B:G""),6,false)"),"")</f>
        <v/>
      </c>
      <c r="J834" s="120" t="str">
        <f t="shared" si="25"/>
        <v>ADA</v>
      </c>
      <c r="K834" s="142">
        <v>6.0</v>
      </c>
      <c r="L834" s="145" t="str">
        <f>IFERROR(__xludf.DUMMYFUNCTION("vlookup($D834,IMPORTRANGE(""https://docs.google.com/spreadsheets/d/1swGwZOEqYlTEUCJLY-eeJM1911Kvaei5oySBIxdgtNo/edit?pli=1#gid=257618397"",""stock FAKTUR!B:q""),16,false)"),"PAK")</f>
        <v>PAK</v>
      </c>
      <c r="M834" s="147">
        <v>19000.0</v>
      </c>
      <c r="N834" s="148"/>
      <c r="O834" s="147">
        <f t="shared" si="232"/>
        <v>114000</v>
      </c>
      <c r="P834" s="147" t="str">
        <f t="shared" si="3"/>
        <v>Rp19,000-6 PAK-0.00%</v>
      </c>
      <c r="Q834" s="149">
        <v>45426.0</v>
      </c>
      <c r="R834" s="149">
        <v>45412.0</v>
      </c>
      <c r="S834" s="149">
        <v>45427.0</v>
      </c>
      <c r="T834" s="151"/>
      <c r="U834" s="151"/>
      <c r="V834" s="151"/>
      <c r="W834" s="151"/>
    </row>
    <row r="835">
      <c r="A835" s="142">
        <v>4149.0</v>
      </c>
      <c r="B835" s="143" t="str">
        <f t="shared" si="245"/>
        <v>H</v>
      </c>
      <c r="C835" s="143" t="str">
        <f t="shared" si="246"/>
        <v>SAHABAT BARU-PARAKAN</v>
      </c>
      <c r="D835" s="53" t="s">
        <v>4409</v>
      </c>
      <c r="E835" s="145" t="str">
        <f>IFERROR(__xludf.DUMMYFUNCTION("vlookup(D835,IMPORTRANGE(""https://docs.google.com/spreadsheets/d/1swGwZOEqYlTEUCJLY-eeJM1911Kvaei5oySBIxdgtNo/edit?pli=1#gid=257618397"",""stock FAKTUR!B:C""),2,false)"),"KARTU STOCK KWARTO PUTIH")</f>
        <v>KARTU STOCK KWARTO PUTIH</v>
      </c>
      <c r="F835" s="53" t="str">
        <f>IFERROR(__xludf.DUMMYFUNCTION("vlookup($D835,IMPORTRANGE(""https://docs.google.com/spreadsheets/d/1swGwZOEqYlTEUCJLY-eeJM1911Kvaei5oySBIxdgtNo/edit?pli=1#gid=257618397"",""stock FAKTUR!B:d""),3,false)"),"A4")</f>
        <v>A4</v>
      </c>
      <c r="G835" s="53" t="str">
        <f>IFERROR(__xludf.DUMMYFUNCTION("vlookup($D835,IMPORTRANGE(""https://docs.google.com/spreadsheets/d/1swGwZOEqYlTEUCJLY-eeJM1911Kvaei5oySBIxdgtNo/edit?pli=1#gid=257618397"",""stock FAKTUR!B:e""),4,false)"),"PUTIH")</f>
        <v>PUTIH</v>
      </c>
      <c r="H835" s="53" t="str">
        <f>IFERROR(__xludf.DUMMYFUNCTION("vlookup($D835,IMPORTRANGE(""https://docs.google.com/spreadsheets/d/1swGwZOEqYlTEUCJLY-eeJM1911Kvaei5oySBIxdgtNo/edit?pli=1#gid=257618397"",""stock FAKTUR!B:F""),5,false)"),"NB")</f>
        <v>NB</v>
      </c>
      <c r="I835" s="53" t="str">
        <f>IFERROR(__xludf.DUMMYFUNCTION("vlookup($D835,IMPORTRANGE(""https://docs.google.com/spreadsheets/d/1swGwZOEqYlTEUCJLY-eeJM1911Kvaei5oySBIxdgtNo/edit?pli=1#gid=257618397"",""stock FAKTUR!B:G""),6,false)"),"")</f>
        <v/>
      </c>
      <c r="J835" s="120" t="str">
        <f t="shared" si="25"/>
        <v>ADA</v>
      </c>
      <c r="K835" s="142">
        <v>6.0</v>
      </c>
      <c r="L835" s="145" t="str">
        <f>IFERROR(__xludf.DUMMYFUNCTION("vlookup($D835,IMPORTRANGE(""https://docs.google.com/spreadsheets/d/1swGwZOEqYlTEUCJLY-eeJM1911Kvaei5oySBIxdgtNo/edit?pli=1#gid=257618397"",""stock FAKTUR!B:q""),16,false)"),"PAK")</f>
        <v>PAK</v>
      </c>
      <c r="M835" s="147">
        <v>19000.0</v>
      </c>
      <c r="N835" s="148"/>
      <c r="O835" s="147">
        <f t="shared" si="232"/>
        <v>114000</v>
      </c>
      <c r="P835" s="147" t="str">
        <f t="shared" si="3"/>
        <v>Rp19,000-6 PAK-0.00%</v>
      </c>
      <c r="Q835" s="149">
        <v>45426.0</v>
      </c>
      <c r="R835" s="149">
        <v>45412.0</v>
      </c>
      <c r="S835" s="149">
        <v>45427.0</v>
      </c>
      <c r="T835" s="151"/>
      <c r="U835" s="151"/>
      <c r="V835" s="151"/>
      <c r="W835" s="151"/>
    </row>
    <row r="836">
      <c r="A836" s="142">
        <v>4149.0</v>
      </c>
      <c r="B836" s="143" t="str">
        <f t="shared" si="245"/>
        <v>H</v>
      </c>
      <c r="C836" s="143" t="str">
        <f t="shared" si="246"/>
        <v>SAHABAT BARU-PARAKAN</v>
      </c>
      <c r="D836" s="53" t="s">
        <v>4410</v>
      </c>
      <c r="E836" s="145" t="str">
        <f>IFERROR(__xludf.DUMMYFUNCTION("vlookup(D836,IMPORTRANGE(""https://docs.google.com/spreadsheets/d/1swGwZOEqYlTEUCJLY-eeJM1911Kvaei5oySBIxdgtNo/edit?pli=1#gid=257618397"",""stock FAKTUR!B:C""),2,false)"),"KARTU STOCK KWARTO BIRU")</f>
        <v>KARTU STOCK KWARTO BIRU</v>
      </c>
      <c r="F836" s="53" t="str">
        <f>IFERROR(__xludf.DUMMYFUNCTION("vlookup($D836,IMPORTRANGE(""https://docs.google.com/spreadsheets/d/1swGwZOEqYlTEUCJLY-eeJM1911Kvaei5oySBIxdgtNo/edit?pli=1#gid=257618397"",""stock FAKTUR!B:d""),3,false)"),"A4")</f>
        <v>A4</v>
      </c>
      <c r="G836" s="53" t="str">
        <f>IFERROR(__xludf.DUMMYFUNCTION("vlookup($D836,IMPORTRANGE(""https://docs.google.com/spreadsheets/d/1swGwZOEqYlTEUCJLY-eeJM1911Kvaei5oySBIxdgtNo/edit?pli=1#gid=257618397"",""stock FAKTUR!B:e""),4,false)"),"BIRU")</f>
        <v>BIRU</v>
      </c>
      <c r="H836" s="53" t="str">
        <f>IFERROR(__xludf.DUMMYFUNCTION("vlookup($D836,IMPORTRANGE(""https://docs.google.com/spreadsheets/d/1swGwZOEqYlTEUCJLY-eeJM1911Kvaei5oySBIxdgtNo/edit?pli=1#gid=257618397"",""stock FAKTUR!B:F""),5,false)"),"NB")</f>
        <v>NB</v>
      </c>
      <c r="I836" s="53" t="str">
        <f>IFERROR(__xludf.DUMMYFUNCTION("vlookup($D836,IMPORTRANGE(""https://docs.google.com/spreadsheets/d/1swGwZOEqYlTEUCJLY-eeJM1911Kvaei5oySBIxdgtNo/edit?pli=1#gid=257618397"",""stock FAKTUR!B:G""),6,false)"),"")</f>
        <v/>
      </c>
      <c r="J836" s="120" t="str">
        <f t="shared" si="25"/>
        <v>ADA</v>
      </c>
      <c r="K836" s="142">
        <v>6.0</v>
      </c>
      <c r="L836" s="145" t="str">
        <f>IFERROR(__xludf.DUMMYFUNCTION("vlookup($D836,IMPORTRANGE(""https://docs.google.com/spreadsheets/d/1swGwZOEqYlTEUCJLY-eeJM1911Kvaei5oySBIxdgtNo/edit?pli=1#gid=257618397"",""stock FAKTUR!B:q""),16,false)"),"PAK")</f>
        <v>PAK</v>
      </c>
      <c r="M836" s="147">
        <v>19000.0</v>
      </c>
      <c r="N836" s="148"/>
      <c r="O836" s="147">
        <f t="shared" si="232"/>
        <v>114000</v>
      </c>
      <c r="P836" s="147" t="str">
        <f t="shared" si="3"/>
        <v>Rp19,000-6 PAK-0.00%</v>
      </c>
      <c r="Q836" s="149">
        <v>45426.0</v>
      </c>
      <c r="R836" s="149">
        <v>45412.0</v>
      </c>
      <c r="S836" s="149">
        <v>45427.0</v>
      </c>
      <c r="T836" s="151"/>
      <c r="U836" s="151"/>
      <c r="V836" s="151"/>
      <c r="W836" s="151"/>
    </row>
    <row r="837">
      <c r="A837" s="142">
        <v>4149.0</v>
      </c>
      <c r="B837" s="143" t="str">
        <f t="shared" si="245"/>
        <v>H</v>
      </c>
      <c r="C837" s="143" t="str">
        <f t="shared" si="246"/>
        <v>SAHABAT BARU-PARAKAN</v>
      </c>
      <c r="D837" s="53" t="s">
        <v>4449</v>
      </c>
      <c r="E837" s="145" t="str">
        <f>IFERROR(__xludf.DUMMYFUNCTION("vlookup(D837,IMPORTRANGE(""https://docs.google.com/spreadsheets/d/1swGwZOEqYlTEUCJLY-eeJM1911Kvaei5oySBIxdgtNo/edit?pli=1#gid=257618397"",""stock FAKTUR!B:C""),2,false)"),"KARTU STOCK FOLIO BIRU")</f>
        <v>KARTU STOCK FOLIO BIRU</v>
      </c>
      <c r="F837" s="53" t="str">
        <f>IFERROR(__xludf.DUMMYFUNCTION("vlookup($D837,IMPORTRANGE(""https://docs.google.com/spreadsheets/d/1swGwZOEqYlTEUCJLY-eeJM1911Kvaei5oySBIxdgtNo/edit?pli=1#gid=257618397"",""stock FAKTUR!B:d""),3,false)"),"F4")</f>
        <v>F4</v>
      </c>
      <c r="G837" s="53" t="str">
        <f>IFERROR(__xludf.DUMMYFUNCTION("vlookup($D837,IMPORTRANGE(""https://docs.google.com/spreadsheets/d/1swGwZOEqYlTEUCJLY-eeJM1911Kvaei5oySBIxdgtNo/edit?pli=1#gid=257618397"",""stock FAKTUR!B:e""),4,false)"),"BIRU")</f>
        <v>BIRU</v>
      </c>
      <c r="H837" s="53" t="str">
        <f>IFERROR(__xludf.DUMMYFUNCTION("vlookup($D837,IMPORTRANGE(""https://docs.google.com/spreadsheets/d/1swGwZOEqYlTEUCJLY-eeJM1911Kvaei5oySBIxdgtNo/edit?pli=1#gid=257618397"",""stock FAKTUR!B:F""),5,false)"),"NB")</f>
        <v>NB</v>
      </c>
      <c r="I837" s="53" t="str">
        <f>IFERROR(__xludf.DUMMYFUNCTION("vlookup($D837,IMPORTRANGE(""https://docs.google.com/spreadsheets/d/1swGwZOEqYlTEUCJLY-eeJM1911Kvaei5oySBIxdgtNo/edit?pli=1#gid=257618397"",""stock FAKTUR!B:G""),6,false)"),"")</f>
        <v/>
      </c>
      <c r="J837" s="120" t="str">
        <f t="shared" si="25"/>
        <v>ADA</v>
      </c>
      <c r="K837" s="142">
        <v>3.0</v>
      </c>
      <c r="L837" s="145" t="str">
        <f>IFERROR(__xludf.DUMMYFUNCTION("vlookup($D837,IMPORTRANGE(""https://docs.google.com/spreadsheets/d/1swGwZOEqYlTEUCJLY-eeJM1911Kvaei5oySBIxdgtNo/edit?pli=1#gid=257618397"",""stock FAKTUR!B:q""),16,false)"),"PAK")</f>
        <v>PAK</v>
      </c>
      <c r="M837" s="147">
        <v>37500.0</v>
      </c>
      <c r="N837" s="148"/>
      <c r="O837" s="147">
        <f t="shared" si="232"/>
        <v>112500</v>
      </c>
      <c r="P837" s="147" t="str">
        <f t="shared" si="3"/>
        <v>Rp37,500-3 PAK-0.00%</v>
      </c>
      <c r="Q837" s="149">
        <v>45426.0</v>
      </c>
      <c r="R837" s="149">
        <v>45412.0</v>
      </c>
      <c r="S837" s="149">
        <v>45427.0</v>
      </c>
      <c r="T837" s="151"/>
      <c r="U837" s="151"/>
      <c r="V837" s="151"/>
      <c r="W837" s="151"/>
    </row>
    <row r="838">
      <c r="A838" s="142">
        <v>4149.0</v>
      </c>
      <c r="B838" s="143" t="str">
        <f t="shared" si="245"/>
        <v>H</v>
      </c>
      <c r="C838" s="143" t="str">
        <f t="shared" si="246"/>
        <v>SAHABAT BARU-PARAKAN</v>
      </c>
      <c r="D838" s="53" t="s">
        <v>4450</v>
      </c>
      <c r="E838" s="145" t="str">
        <f>IFERROR(__xludf.DUMMYFUNCTION("vlookup(D838,IMPORTRANGE(""https://docs.google.com/spreadsheets/d/1swGwZOEqYlTEUCJLY-eeJM1911Kvaei5oySBIxdgtNo/edit?pli=1#gid=257618397"",""stock FAKTUR!B:C""),2,false)"),"KARTU STOCK FOLIO HIJAU")</f>
        <v>KARTU STOCK FOLIO HIJAU</v>
      </c>
      <c r="F838" s="53" t="str">
        <f>IFERROR(__xludf.DUMMYFUNCTION("vlookup($D838,IMPORTRANGE(""https://docs.google.com/spreadsheets/d/1swGwZOEqYlTEUCJLY-eeJM1911Kvaei5oySBIxdgtNo/edit?pli=1#gid=257618397"",""stock FAKTUR!B:d""),3,false)"),"F4")</f>
        <v>F4</v>
      </c>
      <c r="G838" s="53" t="str">
        <f>IFERROR(__xludf.DUMMYFUNCTION("vlookup($D838,IMPORTRANGE(""https://docs.google.com/spreadsheets/d/1swGwZOEqYlTEUCJLY-eeJM1911Kvaei5oySBIxdgtNo/edit?pli=1#gid=257618397"",""stock FAKTUR!B:e""),4,false)"),"HIJAU")</f>
        <v>HIJAU</v>
      </c>
      <c r="H838" s="53" t="str">
        <f>IFERROR(__xludf.DUMMYFUNCTION("vlookup($D838,IMPORTRANGE(""https://docs.google.com/spreadsheets/d/1swGwZOEqYlTEUCJLY-eeJM1911Kvaei5oySBIxdgtNo/edit?pli=1#gid=257618397"",""stock FAKTUR!B:F""),5,false)"),"NB")</f>
        <v>NB</v>
      </c>
      <c r="I838" s="53" t="str">
        <f>IFERROR(__xludf.DUMMYFUNCTION("vlookup($D838,IMPORTRANGE(""https://docs.google.com/spreadsheets/d/1swGwZOEqYlTEUCJLY-eeJM1911Kvaei5oySBIxdgtNo/edit?pli=1#gid=257618397"",""stock FAKTUR!B:G""),6,false)"),"")</f>
        <v/>
      </c>
      <c r="J838" s="120" t="str">
        <f t="shared" si="25"/>
        <v>ADA</v>
      </c>
      <c r="K838" s="142">
        <v>3.0</v>
      </c>
      <c r="L838" s="145" t="str">
        <f>IFERROR(__xludf.DUMMYFUNCTION("vlookup($D838,IMPORTRANGE(""https://docs.google.com/spreadsheets/d/1swGwZOEqYlTEUCJLY-eeJM1911Kvaei5oySBIxdgtNo/edit?pli=1#gid=257618397"",""stock FAKTUR!B:q""),16,false)"),"PAK")</f>
        <v>PAK</v>
      </c>
      <c r="M838" s="147">
        <v>37500.0</v>
      </c>
      <c r="N838" s="148"/>
      <c r="O838" s="147">
        <f t="shared" si="232"/>
        <v>112500</v>
      </c>
      <c r="P838" s="147" t="str">
        <f t="shared" si="3"/>
        <v>Rp37,500-3 PAK-0.00%</v>
      </c>
      <c r="Q838" s="149">
        <v>45426.0</v>
      </c>
      <c r="R838" s="149">
        <v>45412.0</v>
      </c>
      <c r="S838" s="149">
        <v>45427.0</v>
      </c>
      <c r="T838" s="151"/>
      <c r="U838" s="151"/>
      <c r="V838" s="151"/>
      <c r="W838" s="151"/>
    </row>
    <row r="839">
      <c r="A839" s="142">
        <v>4149.0</v>
      </c>
      <c r="B839" s="143" t="str">
        <f t="shared" si="245"/>
        <v>H</v>
      </c>
      <c r="C839" s="143" t="str">
        <f t="shared" si="246"/>
        <v>SAHABAT BARU-PARAKAN</v>
      </c>
      <c r="D839" s="53" t="s">
        <v>4451</v>
      </c>
      <c r="E839" s="145" t="str">
        <f>IFERROR(__xludf.DUMMYFUNCTION("vlookup(D839,IMPORTRANGE(""https://docs.google.com/spreadsheets/d/1swGwZOEqYlTEUCJLY-eeJM1911Kvaei5oySBIxdgtNo/edit?pli=1#gid=257618397"",""stock FAKTUR!B:C""),2,false)"),"KARTU STOCK FOLIO KUNING")</f>
        <v>KARTU STOCK FOLIO KUNING</v>
      </c>
      <c r="F839" s="53" t="str">
        <f>IFERROR(__xludf.DUMMYFUNCTION("vlookup($D839,IMPORTRANGE(""https://docs.google.com/spreadsheets/d/1swGwZOEqYlTEUCJLY-eeJM1911Kvaei5oySBIxdgtNo/edit?pli=1#gid=257618397"",""stock FAKTUR!B:d""),3,false)"),"F4")</f>
        <v>F4</v>
      </c>
      <c r="G839" s="53" t="str">
        <f>IFERROR(__xludf.DUMMYFUNCTION("vlookup($D839,IMPORTRANGE(""https://docs.google.com/spreadsheets/d/1swGwZOEqYlTEUCJLY-eeJM1911Kvaei5oySBIxdgtNo/edit?pli=1#gid=257618397"",""stock FAKTUR!B:e""),4,false)"),"KUNING")</f>
        <v>KUNING</v>
      </c>
      <c r="H839" s="53" t="str">
        <f>IFERROR(__xludf.DUMMYFUNCTION("vlookup($D839,IMPORTRANGE(""https://docs.google.com/spreadsheets/d/1swGwZOEqYlTEUCJLY-eeJM1911Kvaei5oySBIxdgtNo/edit?pli=1#gid=257618397"",""stock FAKTUR!B:F""),5,false)"),"NB")</f>
        <v>NB</v>
      </c>
      <c r="I839" s="53" t="str">
        <f>IFERROR(__xludf.DUMMYFUNCTION("vlookup($D839,IMPORTRANGE(""https://docs.google.com/spreadsheets/d/1swGwZOEqYlTEUCJLY-eeJM1911Kvaei5oySBIxdgtNo/edit?pli=1#gid=257618397"",""stock FAKTUR!B:G""),6,false)"),"")</f>
        <v/>
      </c>
      <c r="J839" s="120" t="str">
        <f t="shared" si="25"/>
        <v>ADA</v>
      </c>
      <c r="K839" s="142">
        <v>3.0</v>
      </c>
      <c r="L839" s="145" t="str">
        <f>IFERROR(__xludf.DUMMYFUNCTION("vlookup($D839,IMPORTRANGE(""https://docs.google.com/spreadsheets/d/1swGwZOEqYlTEUCJLY-eeJM1911Kvaei5oySBIxdgtNo/edit?pli=1#gid=257618397"",""stock FAKTUR!B:q""),16,false)"),"PAK")</f>
        <v>PAK</v>
      </c>
      <c r="M839" s="147">
        <v>37500.0</v>
      </c>
      <c r="N839" s="148"/>
      <c r="O839" s="147">
        <f t="shared" si="232"/>
        <v>112500</v>
      </c>
      <c r="P839" s="147" t="str">
        <f t="shared" si="3"/>
        <v>Rp37,500-3 PAK-0.00%</v>
      </c>
      <c r="Q839" s="149">
        <v>45426.0</v>
      </c>
      <c r="R839" s="149">
        <v>45412.0</v>
      </c>
      <c r="S839" s="149">
        <v>45427.0</v>
      </c>
      <c r="T839" s="151"/>
      <c r="U839" s="151"/>
      <c r="V839" s="151"/>
      <c r="W839" s="151"/>
    </row>
    <row r="840">
      <c r="A840" s="142">
        <v>4149.0</v>
      </c>
      <c r="B840" s="143" t="str">
        <f t="shared" si="245"/>
        <v>H</v>
      </c>
      <c r="C840" s="143" t="str">
        <f t="shared" si="246"/>
        <v>SAHABAT BARU-PARAKAN</v>
      </c>
      <c r="D840" s="53" t="s">
        <v>4452</v>
      </c>
      <c r="E840" s="145" t="str">
        <f>IFERROR(__xludf.DUMMYFUNCTION("vlookup(D840,IMPORTRANGE(""https://docs.google.com/spreadsheets/d/1swGwZOEqYlTEUCJLY-eeJM1911Kvaei5oySBIxdgtNo/edit?pli=1#gid=257618397"",""stock FAKTUR!B:C""),2,false)"),"KARTU STOCK FOLIO PINK")</f>
        <v>KARTU STOCK FOLIO PINK</v>
      </c>
      <c r="F840" s="53" t="str">
        <f>IFERROR(__xludf.DUMMYFUNCTION("vlookup($D840,IMPORTRANGE(""https://docs.google.com/spreadsheets/d/1swGwZOEqYlTEUCJLY-eeJM1911Kvaei5oySBIxdgtNo/edit?pli=1#gid=257618397"",""stock FAKTUR!B:d""),3,false)"),"F4")</f>
        <v>F4</v>
      </c>
      <c r="G840" s="53" t="str">
        <f>IFERROR(__xludf.DUMMYFUNCTION("vlookup($D840,IMPORTRANGE(""https://docs.google.com/spreadsheets/d/1swGwZOEqYlTEUCJLY-eeJM1911Kvaei5oySBIxdgtNo/edit?pli=1#gid=257618397"",""stock FAKTUR!B:e""),4,false)"),"PINK")</f>
        <v>PINK</v>
      </c>
      <c r="H840" s="53" t="str">
        <f>IFERROR(__xludf.DUMMYFUNCTION("vlookup($D840,IMPORTRANGE(""https://docs.google.com/spreadsheets/d/1swGwZOEqYlTEUCJLY-eeJM1911Kvaei5oySBIxdgtNo/edit?pli=1#gid=257618397"",""stock FAKTUR!B:F""),5,false)"),"NB")</f>
        <v>NB</v>
      </c>
      <c r="I840" s="53" t="str">
        <f>IFERROR(__xludf.DUMMYFUNCTION("vlookup($D840,IMPORTRANGE(""https://docs.google.com/spreadsheets/d/1swGwZOEqYlTEUCJLY-eeJM1911Kvaei5oySBIxdgtNo/edit?pli=1#gid=257618397"",""stock FAKTUR!B:G""),6,false)"),"")</f>
        <v/>
      </c>
      <c r="J840" s="120" t="str">
        <f t="shared" si="25"/>
        <v>ADA</v>
      </c>
      <c r="K840" s="142">
        <v>3.0</v>
      </c>
      <c r="L840" s="145" t="str">
        <f>IFERROR(__xludf.DUMMYFUNCTION("vlookup($D840,IMPORTRANGE(""https://docs.google.com/spreadsheets/d/1swGwZOEqYlTEUCJLY-eeJM1911Kvaei5oySBIxdgtNo/edit?pli=1#gid=257618397"",""stock FAKTUR!B:q""),16,false)"),"PAK")</f>
        <v>PAK</v>
      </c>
      <c r="M840" s="147">
        <v>37500.0</v>
      </c>
      <c r="N840" s="148"/>
      <c r="O840" s="147">
        <f t="shared" si="232"/>
        <v>112500</v>
      </c>
      <c r="P840" s="147" t="str">
        <f t="shared" si="3"/>
        <v>Rp37,500-3 PAK-0.00%</v>
      </c>
      <c r="Q840" s="149">
        <v>45426.0</v>
      </c>
      <c r="R840" s="149">
        <v>45412.0</v>
      </c>
      <c r="S840" s="149">
        <v>45427.0</v>
      </c>
      <c r="T840" s="151"/>
      <c r="U840" s="151"/>
      <c r="V840" s="151"/>
      <c r="W840" s="151"/>
    </row>
    <row r="841">
      <c r="A841" s="142">
        <v>4149.0</v>
      </c>
      <c r="B841" s="143" t="str">
        <f t="shared" si="245"/>
        <v>H</v>
      </c>
      <c r="C841" s="143" t="str">
        <f t="shared" si="246"/>
        <v>SAHABAT BARU-PARAKAN</v>
      </c>
      <c r="D841" s="53" t="s">
        <v>4453</v>
      </c>
      <c r="E841" s="145" t="str">
        <f>IFERROR(__xludf.DUMMYFUNCTION("vlookup(D841,IMPORTRANGE(""https://docs.google.com/spreadsheets/d/1swGwZOEqYlTEUCJLY-eeJM1911Kvaei5oySBIxdgtNo/edit?pli=1#gid=257618397"",""stock FAKTUR!B:C""),2,false)"),"KARTU STOCK FOLIO PUTIH")</f>
        <v>KARTU STOCK FOLIO PUTIH</v>
      </c>
      <c r="F841" s="53" t="str">
        <f>IFERROR(__xludf.DUMMYFUNCTION("vlookup($D841,IMPORTRANGE(""https://docs.google.com/spreadsheets/d/1swGwZOEqYlTEUCJLY-eeJM1911Kvaei5oySBIxdgtNo/edit?pli=1#gid=257618397"",""stock FAKTUR!B:d""),3,false)"),"F4")</f>
        <v>F4</v>
      </c>
      <c r="G841" s="53" t="str">
        <f>IFERROR(__xludf.DUMMYFUNCTION("vlookup($D841,IMPORTRANGE(""https://docs.google.com/spreadsheets/d/1swGwZOEqYlTEUCJLY-eeJM1911Kvaei5oySBIxdgtNo/edit?pli=1#gid=257618397"",""stock FAKTUR!B:e""),4,false)"),"PUTIH")</f>
        <v>PUTIH</v>
      </c>
      <c r="H841" s="53" t="str">
        <f>IFERROR(__xludf.DUMMYFUNCTION("vlookup($D841,IMPORTRANGE(""https://docs.google.com/spreadsheets/d/1swGwZOEqYlTEUCJLY-eeJM1911Kvaei5oySBIxdgtNo/edit?pli=1#gid=257618397"",""stock FAKTUR!B:F""),5,false)"),"NB")</f>
        <v>NB</v>
      </c>
      <c r="I841" s="53" t="str">
        <f>IFERROR(__xludf.DUMMYFUNCTION("vlookup($D841,IMPORTRANGE(""https://docs.google.com/spreadsheets/d/1swGwZOEqYlTEUCJLY-eeJM1911Kvaei5oySBIxdgtNo/edit?pli=1#gid=257618397"",""stock FAKTUR!B:G""),6,false)"),"")</f>
        <v/>
      </c>
      <c r="J841" s="120" t="str">
        <f t="shared" si="25"/>
        <v>ADA</v>
      </c>
      <c r="K841" s="142">
        <v>3.0</v>
      </c>
      <c r="L841" s="145" t="str">
        <f>IFERROR(__xludf.DUMMYFUNCTION("vlookup($D841,IMPORTRANGE(""https://docs.google.com/spreadsheets/d/1swGwZOEqYlTEUCJLY-eeJM1911Kvaei5oySBIxdgtNo/edit?pli=1#gid=257618397"",""stock FAKTUR!B:q""),16,false)"),"PAK")</f>
        <v>PAK</v>
      </c>
      <c r="M841" s="147">
        <v>37500.0</v>
      </c>
      <c r="N841" s="148"/>
      <c r="O841" s="147">
        <f t="shared" si="232"/>
        <v>112500</v>
      </c>
      <c r="P841" s="147" t="str">
        <f t="shared" si="3"/>
        <v>Rp37,500-3 PAK-0.00%</v>
      </c>
      <c r="Q841" s="149">
        <v>45426.0</v>
      </c>
      <c r="R841" s="149">
        <v>45412.0</v>
      </c>
      <c r="S841" s="149">
        <v>45427.0</v>
      </c>
      <c r="T841" s="151"/>
      <c r="U841" s="151"/>
      <c r="V841" s="151"/>
      <c r="W841" s="151"/>
    </row>
    <row r="842">
      <c r="A842" s="142">
        <v>4150.0</v>
      </c>
      <c r="B842" s="143" t="s">
        <v>33</v>
      </c>
      <c r="C842" s="143" t="s">
        <v>1447</v>
      </c>
      <c r="D842" s="53" t="s">
        <v>4416</v>
      </c>
      <c r="E842" s="145" t="str">
        <f>IFERROR(__xludf.DUMMYFUNCTION("vlookup(D842,IMPORTRANGE(""https://docs.google.com/spreadsheets/d/1swGwZOEqYlTEUCJLY-eeJM1911Kvaei5oySBIxdgtNo/edit?pli=1#gid=257618397"",""stock FAKTUR!B:C""),2,false)"),"BP KENKO KE-303 T-GEL HITAM")</f>
        <v>BP KENKO KE-303 T-GEL HITAM</v>
      </c>
      <c r="F842" s="53" t="str">
        <f>IFERROR(__xludf.DUMMYFUNCTION("vlookup($D842,IMPORTRANGE(""https://docs.google.com/spreadsheets/d/1swGwZOEqYlTEUCJLY-eeJM1911Kvaei5oySBIxdgtNo/edit?pli=1#gid=257618397"",""stock FAKTUR!B:d""),3,false)"),"")</f>
        <v/>
      </c>
      <c r="G842" s="53" t="str">
        <f>IFERROR(__xludf.DUMMYFUNCTION("vlookup($D842,IMPORTRANGE(""https://docs.google.com/spreadsheets/d/1swGwZOEqYlTEUCJLY-eeJM1911Kvaei5oySBIxdgtNo/edit?pli=1#gid=257618397"",""stock FAKTUR!B:e""),4,false)"),"")</f>
        <v/>
      </c>
      <c r="H842" s="53" t="str">
        <f>IFERROR(__xludf.DUMMYFUNCTION("vlookup($D842,IMPORTRANGE(""https://docs.google.com/spreadsheets/d/1swGwZOEqYlTEUCJLY-eeJM1911Kvaei5oySBIxdgtNo/edit?pli=1#gid=257618397"",""stock FAKTUR!B:F""),5,false)"),"KN")</f>
        <v>KN</v>
      </c>
      <c r="I842" s="53" t="str">
        <f>IFERROR(__xludf.DUMMYFUNCTION("vlookup($D842,IMPORTRANGE(""https://docs.google.com/spreadsheets/d/1swGwZOEqYlTEUCJLY-eeJM1911Kvaei5oySBIxdgtNo/edit?pli=1#gid=257618397"",""stock FAKTUR!B:G""),6,false)"),"KE-303")</f>
        <v>KE-303</v>
      </c>
      <c r="J842" s="120" t="str">
        <f t="shared" si="25"/>
        <v>ADA</v>
      </c>
      <c r="K842" s="142">
        <v>288.0</v>
      </c>
      <c r="L842" s="145" t="str">
        <f>IFERROR(__xludf.DUMMYFUNCTION("vlookup($D842,IMPORTRANGE(""https://docs.google.com/spreadsheets/d/1swGwZOEqYlTEUCJLY-eeJM1911Kvaei5oySBIxdgtNo/edit?pli=1#gid=257618397"",""stock FAKTUR!B:q""),16,false)"),"LSN")</f>
        <v>LSN</v>
      </c>
      <c r="M842" s="147">
        <v>21600.0</v>
      </c>
      <c r="N842" s="152">
        <v>0.125</v>
      </c>
      <c r="O842" s="147">
        <f t="shared" si="232"/>
        <v>5443200</v>
      </c>
      <c r="P842" s="147" t="str">
        <f t="shared" si="3"/>
        <v>Rp21,600-288 LSN-12.50%</v>
      </c>
      <c r="Q842" s="149">
        <v>45426.0</v>
      </c>
      <c r="R842" s="149">
        <v>45416.0</v>
      </c>
      <c r="S842" s="149">
        <v>45427.0</v>
      </c>
      <c r="T842" s="151"/>
      <c r="U842" s="151"/>
      <c r="V842" s="151"/>
      <c r="W842" s="151"/>
    </row>
    <row r="843">
      <c r="A843" s="142">
        <v>4150.0</v>
      </c>
      <c r="B843" s="143" t="str">
        <f t="shared" ref="B843:B849" si="247">IF(A843=A842,B842,"")</f>
        <v>H</v>
      </c>
      <c r="C843" s="143" t="str">
        <f t="shared" ref="C843:C849" si="248">IF(A843=A842,C842,"")</f>
        <v>SAHABAT BARU-PARAKAN</v>
      </c>
      <c r="D843" s="53" t="s">
        <v>4781</v>
      </c>
      <c r="E843" s="145" t="str">
        <f>IFERROR(__xludf.DUMMYFUNCTION("vlookup(D843,IMPORTRANGE(""https://docs.google.com/spreadsheets/d/1swGwZOEqYlTEUCJLY-eeJM1911Kvaei5oySBIxdgtNo/edit?pli=1#gid=257618397"",""stock FAKTUR!B:C""),2,false)"),"JANGKA SET JK MS-25")</f>
        <v>JANGKA SET JK MS-25</v>
      </c>
      <c r="F843" s="53" t="str">
        <f>IFERROR(__xludf.DUMMYFUNCTION("vlookup($D843,IMPORTRANGE(""https://docs.google.com/spreadsheets/d/1swGwZOEqYlTEUCJLY-eeJM1911Kvaei5oySBIxdgtNo/edit?pli=1#gid=257618397"",""stock FAKTUR!B:d""),3,false)"),"")</f>
        <v/>
      </c>
      <c r="G843" s="53" t="str">
        <f>IFERROR(__xludf.DUMMYFUNCTION("vlookup($D843,IMPORTRANGE(""https://docs.google.com/spreadsheets/d/1swGwZOEqYlTEUCJLY-eeJM1911Kvaei5oySBIxdgtNo/edit?pli=1#gid=257618397"",""stock FAKTUR!B:e""),4,false)"),"")</f>
        <v/>
      </c>
      <c r="H843" s="53" t="str">
        <f>IFERROR(__xludf.DUMMYFUNCTION("vlookup($D843,IMPORTRANGE(""https://docs.google.com/spreadsheets/d/1swGwZOEqYlTEUCJLY-eeJM1911Kvaei5oySBIxdgtNo/edit?pli=1#gid=257618397"",""stock FAKTUR!B:F""),5,false)"),"JK")</f>
        <v>JK</v>
      </c>
      <c r="I843" s="53" t="str">
        <f>IFERROR(__xludf.DUMMYFUNCTION("vlookup($D843,IMPORTRANGE(""https://docs.google.com/spreadsheets/d/1swGwZOEqYlTEUCJLY-eeJM1911Kvaei5oySBIxdgtNo/edit?pli=1#gid=257618397"",""stock FAKTUR!B:G""),6,false)"),"MS-25")</f>
        <v>MS-25</v>
      </c>
      <c r="J843" s="120" t="str">
        <f t="shared" si="25"/>
        <v>ADA</v>
      </c>
      <c r="K843" s="142">
        <v>9.0</v>
      </c>
      <c r="L843" s="145" t="str">
        <f>IFERROR(__xludf.DUMMYFUNCTION("vlookup($D843,IMPORTRANGE(""https://docs.google.com/spreadsheets/d/1swGwZOEqYlTEUCJLY-eeJM1911Kvaei5oySBIxdgtNo/edit?pli=1#gid=257618397"",""stock FAKTUR!B:q""),16,false)"),"LSN")</f>
        <v>LSN</v>
      </c>
      <c r="M843" s="147">
        <v>89400.0</v>
      </c>
      <c r="N843" s="152">
        <v>0.125</v>
      </c>
      <c r="O843" s="147">
        <f t="shared" si="232"/>
        <v>704025</v>
      </c>
      <c r="P843" s="147" t="str">
        <f t="shared" si="3"/>
        <v>Rp89,400-9 LSN-12.50%</v>
      </c>
      <c r="Q843" s="149">
        <v>45426.0</v>
      </c>
      <c r="R843" s="149">
        <v>45416.0</v>
      </c>
      <c r="S843" s="149">
        <v>45427.0</v>
      </c>
      <c r="T843" s="151"/>
      <c r="U843" s="151"/>
      <c r="V843" s="151"/>
      <c r="W843" s="151"/>
    </row>
    <row r="844">
      <c r="A844" s="142">
        <v>4150.0</v>
      </c>
      <c r="B844" s="143" t="str">
        <f t="shared" si="247"/>
        <v>H</v>
      </c>
      <c r="C844" s="143" t="str">
        <f t="shared" si="248"/>
        <v>SAHABAT BARU-PARAKAN</v>
      </c>
      <c r="D844" s="53" t="s">
        <v>4782</v>
      </c>
      <c r="E844" s="145" t="str">
        <f>IFERROR(__xludf.DUMMYFUNCTION("vlookup(D844,IMPORTRANGE(""https://docs.google.com/spreadsheets/d/1swGwZOEqYlTEUCJLY-eeJM1911Kvaei5oySBIxdgtNo/edit?pli=1#gid=257618397"",""stock FAKTUR!B:C""),2,false)"),"JANGKA SET JK MS-55")</f>
        <v>JANGKA SET JK MS-55</v>
      </c>
      <c r="F844" s="53" t="str">
        <f>IFERROR(__xludf.DUMMYFUNCTION("vlookup($D844,IMPORTRANGE(""https://docs.google.com/spreadsheets/d/1swGwZOEqYlTEUCJLY-eeJM1911Kvaei5oySBIxdgtNo/edit?pli=1#gid=257618397"",""stock FAKTUR!B:d""),3,false)"),"")</f>
        <v/>
      </c>
      <c r="G844" s="53" t="str">
        <f>IFERROR(__xludf.DUMMYFUNCTION("vlookup($D844,IMPORTRANGE(""https://docs.google.com/spreadsheets/d/1swGwZOEqYlTEUCJLY-eeJM1911Kvaei5oySBIxdgtNo/edit?pli=1#gid=257618397"",""stock FAKTUR!B:e""),4,false)"),"")</f>
        <v/>
      </c>
      <c r="H844" s="53" t="str">
        <f>IFERROR(__xludf.DUMMYFUNCTION("vlookup($D844,IMPORTRANGE(""https://docs.google.com/spreadsheets/d/1swGwZOEqYlTEUCJLY-eeJM1911Kvaei5oySBIxdgtNo/edit?pli=1#gid=257618397"",""stock FAKTUR!B:F""),5,false)"),"JK")</f>
        <v>JK</v>
      </c>
      <c r="I844" s="53" t="str">
        <f>IFERROR(__xludf.DUMMYFUNCTION("vlookup($D844,IMPORTRANGE(""https://docs.google.com/spreadsheets/d/1swGwZOEqYlTEUCJLY-eeJM1911Kvaei5oySBIxdgtNo/edit?pli=1#gid=257618397"",""stock FAKTUR!B:G""),6,false)"),"MS-55")</f>
        <v>MS-55</v>
      </c>
      <c r="J844" s="120" t="str">
        <f t="shared" si="25"/>
        <v>ADA</v>
      </c>
      <c r="K844" s="142">
        <v>9.0</v>
      </c>
      <c r="L844" s="145" t="str">
        <f>IFERROR(__xludf.DUMMYFUNCTION("vlookup($D844,IMPORTRANGE(""https://docs.google.com/spreadsheets/d/1swGwZOEqYlTEUCJLY-eeJM1911Kvaei5oySBIxdgtNo/edit?pli=1#gid=257618397"",""stock FAKTUR!B:q""),16,false)"),"LSN")</f>
        <v>LSN</v>
      </c>
      <c r="M844" s="147">
        <v>89400.0</v>
      </c>
      <c r="N844" s="152">
        <v>0.125</v>
      </c>
      <c r="O844" s="147">
        <f t="shared" si="232"/>
        <v>704025</v>
      </c>
      <c r="P844" s="147" t="str">
        <f t="shared" si="3"/>
        <v>Rp89,400-9 LSN-12.50%</v>
      </c>
      <c r="Q844" s="149">
        <v>45426.0</v>
      </c>
      <c r="R844" s="149">
        <v>45416.0</v>
      </c>
      <c r="S844" s="149">
        <v>45427.0</v>
      </c>
      <c r="T844" s="151"/>
      <c r="U844" s="151"/>
      <c r="V844" s="151"/>
      <c r="W844" s="151"/>
    </row>
    <row r="845">
      <c r="A845" s="142">
        <v>4150.0</v>
      </c>
      <c r="B845" s="143" t="str">
        <f t="shared" si="247"/>
        <v>H</v>
      </c>
      <c r="C845" s="143" t="str">
        <f t="shared" si="248"/>
        <v>SAHABAT BARU-PARAKAN</v>
      </c>
      <c r="D845" s="53" t="s">
        <v>4783</v>
      </c>
      <c r="E845" s="145" t="str">
        <f>IFERROR(__xludf.DUMMYFUNCTION("vlookup(D845,IMPORTRANGE(""https://docs.google.com/spreadsheets/d/1swGwZOEqYlTEUCJLY-eeJM1911Kvaei5oySBIxdgtNo/edit?pli=1#gid=257618397"",""stock FAKTUR!B:C""),2,false)"),"BINDER JK TSVY-522 A5 VOYAGE TO THE SEA")</f>
        <v>BINDER JK TSVY-522 A5 VOYAGE TO THE SEA</v>
      </c>
      <c r="F845" s="53" t="str">
        <f>IFERROR(__xludf.DUMMYFUNCTION("vlookup($D845,IMPORTRANGE(""https://docs.google.com/spreadsheets/d/1swGwZOEqYlTEUCJLY-eeJM1911Kvaei5oySBIxdgtNo/edit?pli=1#gid=257618397"",""stock FAKTUR!B:d""),3,false)"),"A5")</f>
        <v>A5</v>
      </c>
      <c r="G845" s="53" t="str">
        <f>IFERROR(__xludf.DUMMYFUNCTION("vlookup($D845,IMPORTRANGE(""https://docs.google.com/spreadsheets/d/1swGwZOEqYlTEUCJLY-eeJM1911Kvaei5oySBIxdgtNo/edit?pli=1#gid=257618397"",""stock FAKTUR!B:e""),4,false)"),"")</f>
        <v/>
      </c>
      <c r="H845" s="53" t="str">
        <f>IFERROR(__xludf.DUMMYFUNCTION("vlookup($D845,IMPORTRANGE(""https://docs.google.com/spreadsheets/d/1swGwZOEqYlTEUCJLY-eeJM1911Kvaei5oySBIxdgtNo/edit?pli=1#gid=257618397"",""stock FAKTUR!B:F""),5,false)"),"JK")</f>
        <v>JK</v>
      </c>
      <c r="I845" s="53" t="str">
        <f>IFERROR(__xludf.DUMMYFUNCTION("vlookup($D845,IMPORTRANGE(""https://docs.google.com/spreadsheets/d/1swGwZOEqYlTEUCJLY-eeJM1911Kvaei5oySBIxdgtNo/edit?pli=1#gid=257618397"",""stock FAKTUR!B:G""),6,false)"),"TSVY-522")</f>
        <v>TSVY-522</v>
      </c>
      <c r="J845" s="120" t="str">
        <f t="shared" si="25"/>
        <v>ADA</v>
      </c>
      <c r="K845" s="142">
        <v>36.0</v>
      </c>
      <c r="L845" s="145" t="str">
        <f>IFERROR(__xludf.DUMMYFUNCTION("vlookup($D845,IMPORTRANGE(""https://docs.google.com/spreadsheets/d/1swGwZOEqYlTEUCJLY-eeJM1911Kvaei5oySBIxdgtNo/edit?pli=1#gid=257618397"",""stock FAKTUR!B:q""),16,false)"),"PCS")</f>
        <v>PCS</v>
      </c>
      <c r="M845" s="147">
        <v>14900.0</v>
      </c>
      <c r="N845" s="152">
        <v>0.125</v>
      </c>
      <c r="O845" s="147">
        <f t="shared" si="232"/>
        <v>469350</v>
      </c>
      <c r="P845" s="147" t="str">
        <f t="shared" si="3"/>
        <v>Rp14,900-36 PCS-12.50%</v>
      </c>
      <c r="Q845" s="149">
        <v>45426.0</v>
      </c>
      <c r="R845" s="149">
        <v>45422.0</v>
      </c>
      <c r="S845" s="149">
        <v>45427.0</v>
      </c>
      <c r="T845" s="151"/>
      <c r="U845" s="151"/>
      <c r="V845" s="151"/>
      <c r="W845" s="151"/>
    </row>
    <row r="846">
      <c r="A846" s="142">
        <v>4150.0</v>
      </c>
      <c r="B846" s="143" t="str">
        <f t="shared" si="247"/>
        <v>H</v>
      </c>
      <c r="C846" s="143" t="str">
        <f t="shared" si="248"/>
        <v>SAHABAT BARU-PARAKAN</v>
      </c>
      <c r="D846" s="53" t="s">
        <v>4784</v>
      </c>
      <c r="E846" s="145" t="str">
        <f>IFERROR(__xludf.DUMMYFUNCTION("vlookup(D846,IMPORTRANGE(""https://docs.google.com/spreadsheets/d/1swGwZOEqYlTEUCJLY-eeJM1911Kvaei5oySBIxdgtNo/edit?pli=1#gid=257618397"",""stock FAKTUR!B:C""),2,false)"),"BINDER JK TSSD-523 A5 SWEET DAY")</f>
        <v>BINDER JK TSSD-523 A5 SWEET DAY</v>
      </c>
      <c r="F846" s="53" t="str">
        <f>IFERROR(__xludf.DUMMYFUNCTION("vlookup($D846,IMPORTRANGE(""https://docs.google.com/spreadsheets/d/1swGwZOEqYlTEUCJLY-eeJM1911Kvaei5oySBIxdgtNo/edit?pli=1#gid=257618397"",""stock FAKTUR!B:d""),3,false)"),"A5")</f>
        <v>A5</v>
      </c>
      <c r="G846" s="53" t="str">
        <f>IFERROR(__xludf.DUMMYFUNCTION("vlookup($D846,IMPORTRANGE(""https://docs.google.com/spreadsheets/d/1swGwZOEqYlTEUCJLY-eeJM1911Kvaei5oySBIxdgtNo/edit?pli=1#gid=257618397"",""stock FAKTUR!B:e""),4,false)"),"")</f>
        <v/>
      </c>
      <c r="H846" s="53" t="str">
        <f>IFERROR(__xludf.DUMMYFUNCTION("vlookup($D846,IMPORTRANGE(""https://docs.google.com/spreadsheets/d/1swGwZOEqYlTEUCJLY-eeJM1911Kvaei5oySBIxdgtNo/edit?pli=1#gid=257618397"",""stock FAKTUR!B:F""),5,false)"),"JK")</f>
        <v>JK</v>
      </c>
      <c r="I846" s="53" t="str">
        <f>IFERROR(__xludf.DUMMYFUNCTION("vlookup($D846,IMPORTRANGE(""https://docs.google.com/spreadsheets/d/1swGwZOEqYlTEUCJLY-eeJM1911Kvaei5oySBIxdgtNo/edit?pli=1#gid=257618397"",""stock FAKTUR!B:G""),6,false)"),"TSSD-523")</f>
        <v>TSSD-523</v>
      </c>
      <c r="J846" s="120" t="str">
        <f t="shared" si="25"/>
        <v>ADA</v>
      </c>
      <c r="K846" s="142">
        <v>36.0</v>
      </c>
      <c r="L846" s="145" t="str">
        <f>IFERROR(__xludf.DUMMYFUNCTION("vlookup($D846,IMPORTRANGE(""https://docs.google.com/spreadsheets/d/1swGwZOEqYlTEUCJLY-eeJM1911Kvaei5oySBIxdgtNo/edit?pli=1#gid=257618397"",""stock FAKTUR!B:q""),16,false)"),"PCS")</f>
        <v>PCS</v>
      </c>
      <c r="M846" s="147">
        <v>14900.0</v>
      </c>
      <c r="N846" s="152">
        <v>0.125</v>
      </c>
      <c r="O846" s="147">
        <f t="shared" si="232"/>
        <v>469350</v>
      </c>
      <c r="P846" s="147" t="str">
        <f t="shared" si="3"/>
        <v>Rp14,900-36 PCS-12.50%</v>
      </c>
      <c r="Q846" s="149">
        <v>45426.0</v>
      </c>
      <c r="R846" s="149">
        <v>45422.0</v>
      </c>
      <c r="S846" s="149">
        <v>45427.0</v>
      </c>
      <c r="T846" s="151"/>
      <c r="U846" s="151"/>
      <c r="V846" s="151"/>
      <c r="W846" s="151"/>
    </row>
    <row r="847">
      <c r="A847" s="142">
        <v>4150.0</v>
      </c>
      <c r="B847" s="143" t="str">
        <f t="shared" si="247"/>
        <v>H</v>
      </c>
      <c r="C847" s="143" t="str">
        <f t="shared" si="248"/>
        <v>SAHABAT BARU-PARAKAN</v>
      </c>
      <c r="D847" s="53" t="s">
        <v>4785</v>
      </c>
      <c r="E847" s="145" t="str">
        <f>IFERROR(__xludf.DUMMYFUNCTION("vlookup(D847,IMPORTRANGE(""https://docs.google.com/spreadsheets/d/1swGwZOEqYlTEUCJLY-eeJM1911Kvaei5oySBIxdgtNo/edit?pli=1#gid=257618397"",""stock FAKTUR!B:C""),2,false)"),"BINDER JK TSAC-524 A5 ANIMAL FACE")</f>
        <v>BINDER JK TSAC-524 A5 ANIMAL FACE</v>
      </c>
      <c r="F847" s="53" t="str">
        <f>IFERROR(__xludf.DUMMYFUNCTION("vlookup($D847,IMPORTRANGE(""https://docs.google.com/spreadsheets/d/1swGwZOEqYlTEUCJLY-eeJM1911Kvaei5oySBIxdgtNo/edit?pli=1#gid=257618397"",""stock FAKTUR!B:d""),3,false)"),"A5")</f>
        <v>A5</v>
      </c>
      <c r="G847" s="53" t="str">
        <f>IFERROR(__xludf.DUMMYFUNCTION("vlookup($D847,IMPORTRANGE(""https://docs.google.com/spreadsheets/d/1swGwZOEqYlTEUCJLY-eeJM1911Kvaei5oySBIxdgtNo/edit?pli=1#gid=257618397"",""stock FAKTUR!B:e""),4,false)"),"")</f>
        <v/>
      </c>
      <c r="H847" s="53" t="str">
        <f>IFERROR(__xludf.DUMMYFUNCTION("vlookup($D847,IMPORTRANGE(""https://docs.google.com/spreadsheets/d/1swGwZOEqYlTEUCJLY-eeJM1911Kvaei5oySBIxdgtNo/edit?pli=1#gid=257618397"",""stock FAKTUR!B:F""),5,false)"),"JK")</f>
        <v>JK</v>
      </c>
      <c r="I847" s="53" t="str">
        <f>IFERROR(__xludf.DUMMYFUNCTION("vlookup($D847,IMPORTRANGE(""https://docs.google.com/spreadsheets/d/1swGwZOEqYlTEUCJLY-eeJM1911Kvaei5oySBIxdgtNo/edit?pli=1#gid=257618397"",""stock FAKTUR!B:G""),6,false)"),"TSAC-524")</f>
        <v>TSAC-524</v>
      </c>
      <c r="J847" s="120" t="str">
        <f t="shared" si="25"/>
        <v>ADA</v>
      </c>
      <c r="K847" s="142">
        <v>36.0</v>
      </c>
      <c r="L847" s="145" t="str">
        <f>IFERROR(__xludf.DUMMYFUNCTION("vlookup($D847,IMPORTRANGE(""https://docs.google.com/spreadsheets/d/1swGwZOEqYlTEUCJLY-eeJM1911Kvaei5oySBIxdgtNo/edit?pli=1#gid=257618397"",""stock FAKTUR!B:q""),16,false)"),"PCS")</f>
        <v>PCS</v>
      </c>
      <c r="M847" s="147">
        <v>14900.0</v>
      </c>
      <c r="N847" s="152">
        <v>0.125</v>
      </c>
      <c r="O847" s="147">
        <f t="shared" si="232"/>
        <v>469350</v>
      </c>
      <c r="P847" s="147" t="str">
        <f t="shared" si="3"/>
        <v>Rp14,900-36 PCS-12.50%</v>
      </c>
      <c r="Q847" s="149">
        <v>45426.0</v>
      </c>
      <c r="R847" s="149">
        <v>45422.0</v>
      </c>
      <c r="S847" s="149">
        <v>45427.0</v>
      </c>
      <c r="T847" s="151"/>
      <c r="U847" s="151"/>
      <c r="V847" s="151"/>
      <c r="W847" s="151"/>
    </row>
    <row r="848">
      <c r="A848" s="142">
        <v>4150.0</v>
      </c>
      <c r="B848" s="143" t="str">
        <f t="shared" si="247"/>
        <v>H</v>
      </c>
      <c r="C848" s="143" t="str">
        <f t="shared" si="248"/>
        <v>SAHABAT BARU-PARAKAN</v>
      </c>
      <c r="D848" s="53" t="s">
        <v>4786</v>
      </c>
      <c r="E848" s="145" t="str">
        <f>IFERROR(__xludf.DUMMYFUNCTION("vlookup(D848,IMPORTRANGE(""https://docs.google.com/spreadsheets/d/1swGwZOEqYlTEUCJLY-eeJM1911Kvaei5oySBIxdgtNo/edit?pli=1#gid=257618397"",""stock FAKTUR!B:C""),2,false)"),"BINDER JK TSAF-F511 A5 ANIMAL FACE")</f>
        <v>BINDER JK TSAF-F511 A5 ANIMAL FACE</v>
      </c>
      <c r="F848" s="53" t="str">
        <f>IFERROR(__xludf.DUMMYFUNCTION("vlookup($D848,IMPORTRANGE(""https://docs.google.com/spreadsheets/d/1swGwZOEqYlTEUCJLY-eeJM1911Kvaei5oySBIxdgtNo/edit?pli=1#gid=257618397"",""stock FAKTUR!B:d""),3,false)"),"A5")</f>
        <v>A5</v>
      </c>
      <c r="G848" s="53" t="str">
        <f>IFERROR(__xludf.DUMMYFUNCTION("vlookup($D848,IMPORTRANGE(""https://docs.google.com/spreadsheets/d/1swGwZOEqYlTEUCJLY-eeJM1911Kvaei5oySBIxdgtNo/edit?pli=1#gid=257618397"",""stock FAKTUR!B:e""),4,false)"),"")</f>
        <v/>
      </c>
      <c r="H848" s="53" t="str">
        <f>IFERROR(__xludf.DUMMYFUNCTION("vlookup($D848,IMPORTRANGE(""https://docs.google.com/spreadsheets/d/1swGwZOEqYlTEUCJLY-eeJM1911Kvaei5oySBIxdgtNo/edit?pli=1#gid=257618397"",""stock FAKTUR!B:F""),5,false)"),"JK")</f>
        <v>JK</v>
      </c>
      <c r="I848" s="53" t="str">
        <f>IFERROR(__xludf.DUMMYFUNCTION("vlookup($D848,IMPORTRANGE(""https://docs.google.com/spreadsheets/d/1swGwZOEqYlTEUCJLY-eeJM1911Kvaei5oySBIxdgtNo/edit?pli=1#gid=257618397"",""stock FAKTUR!B:G""),6,false)"),"TSAF-F511")</f>
        <v>TSAF-F511</v>
      </c>
      <c r="J848" s="120" t="str">
        <f t="shared" si="25"/>
        <v>ADA</v>
      </c>
      <c r="K848" s="142">
        <v>36.0</v>
      </c>
      <c r="L848" s="145" t="str">
        <f>IFERROR(__xludf.DUMMYFUNCTION("vlookup($D848,IMPORTRANGE(""https://docs.google.com/spreadsheets/d/1swGwZOEqYlTEUCJLY-eeJM1911Kvaei5oySBIxdgtNo/edit?pli=1#gid=257618397"",""stock FAKTUR!B:q""),16,false)"),"PCS")</f>
        <v>PCS</v>
      </c>
      <c r="M848" s="147">
        <v>14900.0</v>
      </c>
      <c r="N848" s="152">
        <v>0.125</v>
      </c>
      <c r="O848" s="147">
        <f t="shared" si="232"/>
        <v>469350</v>
      </c>
      <c r="P848" s="147" t="str">
        <f t="shared" si="3"/>
        <v>Rp14,900-36 PCS-12.50%</v>
      </c>
      <c r="Q848" s="149">
        <v>45426.0</v>
      </c>
      <c r="R848" s="149">
        <v>45422.0</v>
      </c>
      <c r="S848" s="149">
        <v>45427.0</v>
      </c>
      <c r="T848" s="151"/>
      <c r="U848" s="151"/>
      <c r="V848" s="151"/>
      <c r="W848" s="151"/>
    </row>
    <row r="849">
      <c r="A849" s="142">
        <v>4150.0</v>
      </c>
      <c r="B849" s="143" t="str">
        <f t="shared" si="247"/>
        <v>H</v>
      </c>
      <c r="C849" s="143" t="str">
        <f t="shared" si="248"/>
        <v>SAHABAT BARU-PARAKAN</v>
      </c>
      <c r="D849" s="53" t="s">
        <v>4434</v>
      </c>
      <c r="E849" s="145" t="str">
        <f>IFERROR(__xludf.DUMMYFUNCTION("vlookup(D849,IMPORTRANGE(""https://docs.google.com/spreadsheets/d/1swGwZOEqYlTEUCJLY-eeJM1911Kvaei5oySBIxdgtNo/edit?pli=1#gid=257618397"",""stock FAKTUR!B:C""),2,false)"),"PW KENKO 24W CP-24F CLASSIC PANJANG")</f>
        <v>PW KENKO 24W CP-24F CLASSIC PANJANG</v>
      </c>
      <c r="F849" s="53" t="str">
        <f>IFERROR(__xludf.DUMMYFUNCTION("vlookup($D849,IMPORTRANGE(""https://docs.google.com/spreadsheets/d/1swGwZOEqYlTEUCJLY-eeJM1911Kvaei5oySBIxdgtNo/edit?pli=1#gid=257618397"",""stock FAKTUR!B:d""),3,false)"),"")</f>
        <v/>
      </c>
      <c r="G849" s="53" t="str">
        <f>IFERROR(__xludf.DUMMYFUNCTION("vlookup($D849,IMPORTRANGE(""https://docs.google.com/spreadsheets/d/1swGwZOEqYlTEUCJLY-eeJM1911Kvaei5oySBIxdgtNo/edit?pli=1#gid=257618397"",""stock FAKTUR!B:e""),4,false)"),"24W")</f>
        <v>24W</v>
      </c>
      <c r="H849" s="53" t="str">
        <f>IFERROR(__xludf.DUMMYFUNCTION("vlookup($D849,IMPORTRANGE(""https://docs.google.com/spreadsheets/d/1swGwZOEqYlTEUCJLY-eeJM1911Kvaei5oySBIxdgtNo/edit?pli=1#gid=257618397"",""stock FAKTUR!B:F""),5,false)"),"KN")</f>
        <v>KN</v>
      </c>
      <c r="I849" s="53" t="str">
        <f>IFERROR(__xludf.DUMMYFUNCTION("vlookup($D849,IMPORTRANGE(""https://docs.google.com/spreadsheets/d/1swGwZOEqYlTEUCJLY-eeJM1911Kvaei5oySBIxdgtNo/edit?pli=1#gid=257618397"",""stock FAKTUR!B:G""),6,false)"),"CP-24F")</f>
        <v>CP-24F</v>
      </c>
      <c r="J849" s="120" t="str">
        <f t="shared" si="25"/>
        <v>ADA</v>
      </c>
      <c r="K849" s="142">
        <f>288/12</f>
        <v>24</v>
      </c>
      <c r="L849" s="145" t="str">
        <f>IFERROR(__xludf.DUMMYFUNCTION("vlookup($D849,IMPORTRANGE(""https://docs.google.com/spreadsheets/d/1swGwZOEqYlTEUCJLY-eeJM1911Kvaei5oySBIxdgtNo/edit?pli=1#gid=257618397"",""stock FAKTUR!B:q""),16,false)"),"LSN")</f>
        <v>LSN</v>
      </c>
      <c r="M849" s="147">
        <f>20700*12</f>
        <v>248400</v>
      </c>
      <c r="N849" s="152">
        <v>0.125</v>
      </c>
      <c r="O849" s="147">
        <f t="shared" si="232"/>
        <v>5216400</v>
      </c>
      <c r="P849" s="147" t="str">
        <f t="shared" si="3"/>
        <v>Rp248,400-24 LSN-12.50%</v>
      </c>
      <c r="Q849" s="149">
        <v>45426.0</v>
      </c>
      <c r="R849" s="150"/>
      <c r="S849" s="149">
        <v>45427.0</v>
      </c>
      <c r="T849" s="151"/>
      <c r="U849" s="151"/>
      <c r="V849" s="151"/>
      <c r="W849" s="151"/>
    </row>
    <row r="850">
      <c r="A850" s="142">
        <v>4915.0</v>
      </c>
      <c r="B850" s="143" t="s">
        <v>33</v>
      </c>
      <c r="C850" s="143" t="s">
        <v>625</v>
      </c>
      <c r="D850" s="53" t="s">
        <v>35</v>
      </c>
      <c r="E850" s="145" t="str">
        <f>IFERROR(__xludf.DUMMYFUNCTION("vlookup(D850,IMPORTRANGE(""https://docs.google.com/spreadsheets/d/1swGwZOEqYlTEUCJLY-eeJM1911Kvaei5oySBIxdgtNo/edit?pli=1#gid=257618397"",""stock FAKTUR!B:C""),2,false)"),"BP TZ 501 HITAM")</f>
        <v>BP TZ 501 HITAM</v>
      </c>
      <c r="F850" s="53" t="str">
        <f>IFERROR(__xludf.DUMMYFUNCTION("vlookup($D850,IMPORTRANGE(""https://docs.google.com/spreadsheets/d/1swGwZOEqYlTEUCJLY-eeJM1911Kvaei5oySBIxdgtNo/edit?pli=1#gid=257618397"",""stock FAKTUR!B:d""),3,false)"),"")</f>
        <v/>
      </c>
      <c r="G850" s="53" t="str">
        <f>IFERROR(__xludf.DUMMYFUNCTION("vlookup($D850,IMPORTRANGE(""https://docs.google.com/spreadsheets/d/1swGwZOEqYlTEUCJLY-eeJM1911Kvaei5oySBIxdgtNo/edit?pli=1#gid=257618397"",""stock FAKTUR!B:e""),4,false)"),"")</f>
        <v/>
      </c>
      <c r="H850" s="53" t="str">
        <f>IFERROR(__xludf.DUMMYFUNCTION("vlookup($D850,IMPORTRANGE(""https://docs.google.com/spreadsheets/d/1swGwZOEqYlTEUCJLY-eeJM1911Kvaei5oySBIxdgtNo/edit?pli=1#gid=257618397"",""stock FAKTUR!B:F""),5,false)"),"TZ")</f>
        <v>TZ</v>
      </c>
      <c r="I850" s="53" t="str">
        <f>IFERROR(__xludf.DUMMYFUNCTION("vlookup($D850,IMPORTRANGE(""https://docs.google.com/spreadsheets/d/1swGwZOEqYlTEUCJLY-eeJM1911Kvaei5oySBIxdgtNo/edit?pli=1#gid=257618397"",""stock FAKTUR!B:G""),6,false)"),"")</f>
        <v/>
      </c>
      <c r="J850" s="120" t="str">
        <f t="shared" si="25"/>
        <v>ADA</v>
      </c>
      <c r="K850" s="142">
        <v>24.0</v>
      </c>
      <c r="L850" s="145" t="str">
        <f>IFERROR(__xludf.DUMMYFUNCTION("vlookup($D850,IMPORTRANGE(""https://docs.google.com/spreadsheets/d/1swGwZOEqYlTEUCJLY-eeJM1911Kvaei5oySBIxdgtNo/edit?pli=1#gid=257618397"",""stock FAKTUR!B:q""),16,false)"),"LSN")</f>
        <v>LSN</v>
      </c>
      <c r="M850" s="147">
        <v>24000.0</v>
      </c>
      <c r="N850" s="148"/>
      <c r="O850" s="147">
        <f t="shared" si="232"/>
        <v>576000</v>
      </c>
      <c r="P850" s="147" t="str">
        <f t="shared" si="3"/>
        <v>Rp24,000-24 LSN-0.00%</v>
      </c>
      <c r="Q850" s="149">
        <v>45425.0</v>
      </c>
      <c r="R850" s="150"/>
      <c r="S850" s="149">
        <v>45427.0</v>
      </c>
      <c r="T850" s="151"/>
      <c r="U850" s="151"/>
      <c r="V850" s="151"/>
      <c r="W850" s="151"/>
    </row>
    <row r="851">
      <c r="A851" s="142">
        <v>4915.0</v>
      </c>
      <c r="B851" s="143" t="str">
        <f t="shared" ref="B851:B856" si="249">IF(A851=A850,B850,"")</f>
        <v>H</v>
      </c>
      <c r="C851" s="143" t="str">
        <f t="shared" ref="C851:C856" si="250">IF(A851=A850,C850,"")</f>
        <v>MEMORY-BATANG</v>
      </c>
      <c r="D851" s="53" t="s">
        <v>4593</v>
      </c>
      <c r="E851" s="145" t="str">
        <f>IFERROR(__xludf.DUMMYFUNCTION("vlookup(D851,IMPORTRANGE(""https://docs.google.com/spreadsheets/d/1swGwZOEqYlTEUCJLY-eeJM1911Kvaei5oySBIxdgtNo/edit?pli=1#gid=257618397"",""stock FAKTUR!B:C""),2,false)"),"ISI PENSIL KENKO PL-05 2B HI-POLYMER")</f>
        <v>ISI PENSIL KENKO PL-05 2B HI-POLYMER</v>
      </c>
      <c r="F851" s="53" t="str">
        <f>IFERROR(__xludf.DUMMYFUNCTION("vlookup($D851,IMPORTRANGE(""https://docs.google.com/spreadsheets/d/1swGwZOEqYlTEUCJLY-eeJM1911Kvaei5oySBIxdgtNo/edit?pli=1#gid=257618397"",""stock FAKTUR!B:d""),3,false)"),"")</f>
        <v/>
      </c>
      <c r="G851" s="53" t="str">
        <f>IFERROR(__xludf.DUMMYFUNCTION("vlookup($D851,IMPORTRANGE(""https://docs.google.com/spreadsheets/d/1swGwZOEqYlTEUCJLY-eeJM1911Kvaei5oySBIxdgtNo/edit?pli=1#gid=257618397"",""stock FAKTUR!B:e""),4,false)"),"")</f>
        <v/>
      </c>
      <c r="H851" s="53" t="str">
        <f>IFERROR(__xludf.DUMMYFUNCTION("vlookup($D851,IMPORTRANGE(""https://docs.google.com/spreadsheets/d/1swGwZOEqYlTEUCJLY-eeJM1911Kvaei5oySBIxdgtNo/edit?pli=1#gid=257618397"",""stock FAKTUR!B:F""),5,false)"),"KN")</f>
        <v>KN</v>
      </c>
      <c r="I851" s="53" t="str">
        <f>IFERROR(__xludf.DUMMYFUNCTION("vlookup($D851,IMPORTRANGE(""https://docs.google.com/spreadsheets/d/1swGwZOEqYlTEUCJLY-eeJM1911Kvaei5oySBIxdgtNo/edit?pli=1#gid=257618397"",""stock FAKTUR!B:G""),6,false)"),"")</f>
        <v/>
      </c>
      <c r="J851" s="120" t="str">
        <f t="shared" si="25"/>
        <v>ADA</v>
      </c>
      <c r="K851" s="142">
        <v>12.0</v>
      </c>
      <c r="L851" s="145" t="str">
        <f>IFERROR(__xludf.DUMMYFUNCTION("vlookup($D851,IMPORTRANGE(""https://docs.google.com/spreadsheets/d/1swGwZOEqYlTEUCJLY-eeJM1911Kvaei5oySBIxdgtNo/edit?pli=1#gid=257618397"",""stock FAKTUR!B:q""),16,false)"),"LSN")</f>
        <v>LSN</v>
      </c>
      <c r="M851" s="147">
        <f>180000/12</f>
        <v>15000</v>
      </c>
      <c r="N851" s="152">
        <v>0.125</v>
      </c>
      <c r="O851" s="147">
        <f t="shared" si="232"/>
        <v>157500</v>
      </c>
      <c r="P851" s="147" t="str">
        <f t="shared" si="3"/>
        <v>Rp15,000-12 LSN-12.50%</v>
      </c>
      <c r="Q851" s="149">
        <v>45425.0</v>
      </c>
      <c r="R851" s="150"/>
      <c r="S851" s="149">
        <v>45427.0</v>
      </c>
      <c r="T851" s="151"/>
      <c r="U851" s="151"/>
      <c r="V851" s="151"/>
      <c r="W851" s="151"/>
    </row>
    <row r="852">
      <c r="A852" s="142">
        <v>4915.0</v>
      </c>
      <c r="B852" s="143" t="str">
        <f t="shared" si="249"/>
        <v>H</v>
      </c>
      <c r="C852" s="143" t="str">
        <f t="shared" si="250"/>
        <v>MEMORY-BATANG</v>
      </c>
      <c r="D852" s="159" t="s">
        <v>4746</v>
      </c>
      <c r="E852" s="145" t="str">
        <f>IFERROR(__xludf.DUMMYFUNCTION("vlookup(D852,IMPORTRANGE(""https://docs.google.com/spreadsheets/d/1swGwZOEqYlTEUCJLY-eeJM1911Kvaei5oySBIxdgtNo/edit?pli=1#gid=257618397"",""stock FAKTUR!B:C""),2,false)"),"BP JK GP-265 HITAM")</f>
        <v>BP JK GP-265 HITAM</v>
      </c>
      <c r="F852" s="53" t="str">
        <f>IFERROR(__xludf.DUMMYFUNCTION("vlookup($D852,IMPORTRANGE(""https://docs.google.com/spreadsheets/d/1swGwZOEqYlTEUCJLY-eeJM1911Kvaei5oySBIxdgtNo/edit?pli=1#gid=257618397"",""stock FAKTUR!B:d""),3,false)"),"")</f>
        <v/>
      </c>
      <c r="G852" s="53" t="str">
        <f>IFERROR(__xludf.DUMMYFUNCTION("vlookup($D852,IMPORTRANGE(""https://docs.google.com/spreadsheets/d/1swGwZOEqYlTEUCJLY-eeJM1911Kvaei5oySBIxdgtNo/edit?pli=1#gid=257618397"",""stock FAKTUR!B:e""),4,false)"),"HITAM")</f>
        <v>HITAM</v>
      </c>
      <c r="H852" s="53" t="str">
        <f>IFERROR(__xludf.DUMMYFUNCTION("vlookup($D852,IMPORTRANGE(""https://docs.google.com/spreadsheets/d/1swGwZOEqYlTEUCJLY-eeJM1911Kvaei5oySBIxdgtNo/edit?pli=1#gid=257618397"",""stock FAKTUR!B:F""),5,false)"),"JK")</f>
        <v>JK</v>
      </c>
      <c r="I852" s="53" t="str">
        <f>IFERROR(__xludf.DUMMYFUNCTION("vlookup($D852,IMPORTRANGE(""https://docs.google.com/spreadsheets/d/1swGwZOEqYlTEUCJLY-eeJM1911Kvaei5oySBIxdgtNo/edit?pli=1#gid=257618397"",""stock FAKTUR!B:G""),6,false)"),"GP-265")</f>
        <v>GP-265</v>
      </c>
      <c r="J852" s="120" t="str">
        <f t="shared" si="25"/>
        <v>ADA</v>
      </c>
      <c r="K852" s="142">
        <v>12.0</v>
      </c>
      <c r="L852" s="145" t="str">
        <f>IFERROR(__xludf.DUMMYFUNCTION("vlookup($D852,IMPORTRANGE(""https://docs.google.com/spreadsheets/d/1swGwZOEqYlTEUCJLY-eeJM1911Kvaei5oySBIxdgtNo/edit?pli=1#gid=257618397"",""stock FAKTUR!B:q""),16,false)"),"LSN")</f>
        <v>LSN</v>
      </c>
      <c r="M852" s="147">
        <v>26400.0</v>
      </c>
      <c r="N852" s="152">
        <v>0.125</v>
      </c>
      <c r="O852" s="147">
        <f t="shared" si="232"/>
        <v>277200</v>
      </c>
      <c r="P852" s="147" t="str">
        <f t="shared" si="3"/>
        <v>Rp26,400-12 LSN-12.50%</v>
      </c>
      <c r="Q852" s="149">
        <v>45425.0</v>
      </c>
      <c r="R852" s="150"/>
      <c r="S852" s="149">
        <v>45427.0</v>
      </c>
      <c r="T852" s="151"/>
      <c r="U852" s="151"/>
      <c r="V852" s="151"/>
      <c r="W852" s="151"/>
    </row>
    <row r="853">
      <c r="A853" s="142">
        <v>4915.0</v>
      </c>
      <c r="B853" s="143" t="str">
        <f t="shared" si="249"/>
        <v>H</v>
      </c>
      <c r="C853" s="143" t="str">
        <f t="shared" si="250"/>
        <v>MEMORY-BATANG</v>
      </c>
      <c r="D853" s="70" t="s">
        <v>4611</v>
      </c>
      <c r="E853" s="145" t="str">
        <f>IFERROR(__xludf.DUMMYFUNCTION("vlookup(D853,IMPORTRANGE(""https://docs.google.com/spreadsheets/d/1swGwZOEqYlTEUCJLY-eeJM1911Kvaei5oySBIxdgtNo/edit?pli=1#gid=257618397"",""stock FAKTUR!B:C""),2,false)"),"PUSH PIN KENKO PN-30 WARNA")</f>
        <v>PUSH PIN KENKO PN-30 WARNA</v>
      </c>
      <c r="F853" s="53" t="str">
        <f>IFERROR(__xludf.DUMMYFUNCTION("vlookup($D853,IMPORTRANGE(""https://docs.google.com/spreadsheets/d/1swGwZOEqYlTEUCJLY-eeJM1911Kvaei5oySBIxdgtNo/edit?pli=1#gid=257618397"",""stock FAKTUR!B:d""),3,false)"),"")</f>
        <v/>
      </c>
      <c r="G853" s="53" t="str">
        <f>IFERROR(__xludf.DUMMYFUNCTION("vlookup($D853,IMPORTRANGE(""https://docs.google.com/spreadsheets/d/1swGwZOEqYlTEUCJLY-eeJM1911Kvaei5oySBIxdgtNo/edit?pli=1#gid=257618397"",""stock FAKTUR!B:e""),4,false)"),"")</f>
        <v/>
      </c>
      <c r="H853" s="53" t="str">
        <f>IFERROR(__xludf.DUMMYFUNCTION("vlookup($D853,IMPORTRANGE(""https://docs.google.com/spreadsheets/d/1swGwZOEqYlTEUCJLY-eeJM1911Kvaei5oySBIxdgtNo/edit?pli=1#gid=257618397"",""stock FAKTUR!B:F""),5,false)"),"KN")</f>
        <v>KN</v>
      </c>
      <c r="I853" s="53" t="str">
        <f>IFERROR(__xludf.DUMMYFUNCTION("vlookup($D853,IMPORTRANGE(""https://docs.google.com/spreadsheets/d/1swGwZOEqYlTEUCJLY-eeJM1911Kvaei5oySBIxdgtNo/edit?pli=1#gid=257618397"",""stock FAKTUR!B:G""),6,false)"),"PN-30")</f>
        <v>PN-30</v>
      </c>
      <c r="J853" s="120" t="str">
        <f t="shared" si="25"/>
        <v>ADA</v>
      </c>
      <c r="K853" s="142">
        <v>2.0</v>
      </c>
      <c r="L853" s="145" t="str">
        <f>IFERROR(__xludf.DUMMYFUNCTION("vlookup($D853,IMPORTRANGE(""https://docs.google.com/spreadsheets/d/1swGwZOEqYlTEUCJLY-eeJM1911Kvaei5oySBIxdgtNo/edit?pli=1#gid=257618397"",""stock FAKTUR!B:q""),16,false)"),"LSN")</f>
        <v>LSN</v>
      </c>
      <c r="M853" s="147">
        <v>33000.0</v>
      </c>
      <c r="N853" s="152">
        <v>0.125</v>
      </c>
      <c r="O853" s="147">
        <f t="shared" si="232"/>
        <v>57750</v>
      </c>
      <c r="P853" s="147" t="str">
        <f t="shared" si="3"/>
        <v>Rp33,000-2 LSN-12.50%</v>
      </c>
      <c r="Q853" s="149">
        <v>45425.0</v>
      </c>
      <c r="R853" s="150"/>
      <c r="S853" s="149">
        <v>45427.0</v>
      </c>
      <c r="T853" s="151"/>
      <c r="U853" s="151"/>
      <c r="V853" s="151"/>
      <c r="W853" s="151"/>
    </row>
    <row r="854">
      <c r="A854" s="142">
        <v>4915.0</v>
      </c>
      <c r="B854" s="143" t="str">
        <f t="shared" si="249"/>
        <v>H</v>
      </c>
      <c r="C854" s="143" t="str">
        <f t="shared" si="250"/>
        <v>MEMORY-BATANG</v>
      </c>
      <c r="D854" s="53" t="s">
        <v>4510</v>
      </c>
      <c r="E854" s="145" t="str">
        <f>IFERROR(__xludf.DUMMYFUNCTION("vlookup(D854,IMPORTRANGE(""https://docs.google.com/spreadsheets/d/1swGwZOEqYlTEUCJLY-eeJM1911Kvaei5oySBIxdgtNo/edit?pli=1#gid=257618397"",""stock FAKTUR!B:C""),2,false)"),"BP JK BP-349-12 VOKUS TRANS HITAM")</f>
        <v>BP JK BP-349-12 VOKUS TRANS HITAM</v>
      </c>
      <c r="F854" s="53" t="str">
        <f>IFERROR(__xludf.DUMMYFUNCTION("vlookup($D854,IMPORTRANGE(""https://docs.google.com/spreadsheets/d/1swGwZOEqYlTEUCJLY-eeJM1911Kvaei5oySBIxdgtNo/edit?pli=1#gid=257618397"",""stock FAKTUR!B:d""),3,false)"),"")</f>
        <v/>
      </c>
      <c r="G854" s="53" t="str">
        <f>IFERROR(__xludf.DUMMYFUNCTION("vlookup($D854,IMPORTRANGE(""https://docs.google.com/spreadsheets/d/1swGwZOEqYlTEUCJLY-eeJM1911Kvaei5oySBIxdgtNo/edit?pli=1#gid=257618397"",""stock FAKTUR!B:e""),4,false)"),"")</f>
        <v/>
      </c>
      <c r="H854" s="53" t="str">
        <f>IFERROR(__xludf.DUMMYFUNCTION("vlookup($D854,IMPORTRANGE(""https://docs.google.com/spreadsheets/d/1swGwZOEqYlTEUCJLY-eeJM1911Kvaei5oySBIxdgtNo/edit?pli=1#gid=257618397"",""stock FAKTUR!B:F""),5,false)"),"JK")</f>
        <v>JK</v>
      </c>
      <c r="I854" s="53" t="str">
        <f>IFERROR(__xludf.DUMMYFUNCTION("vlookup($D854,IMPORTRANGE(""https://docs.google.com/spreadsheets/d/1swGwZOEqYlTEUCJLY-eeJM1911Kvaei5oySBIxdgtNo/edit?pli=1#gid=257618397"",""stock FAKTUR!B:G""),6,false)"),"349-12")</f>
        <v>349-12</v>
      </c>
      <c r="J854" s="120" t="str">
        <f t="shared" si="25"/>
        <v>ADA</v>
      </c>
      <c r="K854" s="142">
        <v>12.0</v>
      </c>
      <c r="L854" s="145" t="str">
        <f>IFERROR(__xludf.DUMMYFUNCTION("vlookup($D854,IMPORTRANGE(""https://docs.google.com/spreadsheets/d/1swGwZOEqYlTEUCJLY-eeJM1911Kvaei5oySBIxdgtNo/edit?pli=1#gid=257618397"",""stock FAKTUR!B:q""),16,false)"),"LSN")</f>
        <v>LSN</v>
      </c>
      <c r="M854" s="147">
        <v>13200.0</v>
      </c>
      <c r="N854" s="152">
        <v>0.125</v>
      </c>
      <c r="O854" s="147">
        <f t="shared" si="232"/>
        <v>138600</v>
      </c>
      <c r="P854" s="147" t="str">
        <f t="shared" si="3"/>
        <v>Rp13,200-12 LSN-12.50%</v>
      </c>
      <c r="Q854" s="149">
        <v>45425.0</v>
      </c>
      <c r="R854" s="150"/>
      <c r="S854" s="149">
        <v>45427.0</v>
      </c>
      <c r="T854" s="151"/>
      <c r="U854" s="151"/>
      <c r="V854" s="151"/>
      <c r="W854" s="151"/>
    </row>
    <row r="855">
      <c r="A855" s="142">
        <v>4915.0</v>
      </c>
      <c r="B855" s="143" t="str">
        <f t="shared" si="249"/>
        <v>H</v>
      </c>
      <c r="C855" s="143" t="str">
        <f t="shared" si="250"/>
        <v>MEMORY-BATANG</v>
      </c>
      <c r="D855" s="53" t="s">
        <v>4417</v>
      </c>
      <c r="E855" s="145" t="str">
        <f>IFERROR(__xludf.DUMMYFUNCTION("vlookup(D855,IMPORTRANGE(""https://docs.google.com/spreadsheets/d/1swGwZOEqYlTEUCJLY-eeJM1911Kvaei5oySBIxdgtNo/edit?pli=1#gid=257618397"",""stock FAKTUR!B:C""),2,false)"),"KUAS SET JK BR-8")</f>
        <v>KUAS SET JK BR-8</v>
      </c>
      <c r="F855" s="53" t="str">
        <f>IFERROR(__xludf.DUMMYFUNCTION("vlookup($D855,IMPORTRANGE(""https://docs.google.com/spreadsheets/d/1swGwZOEqYlTEUCJLY-eeJM1911Kvaei5oySBIxdgtNo/edit?pli=1#gid=257618397"",""stock FAKTUR!B:d""),3,false)"),"")</f>
        <v/>
      </c>
      <c r="G855" s="53" t="str">
        <f>IFERROR(__xludf.DUMMYFUNCTION("vlookup($D855,IMPORTRANGE(""https://docs.google.com/spreadsheets/d/1swGwZOEqYlTEUCJLY-eeJM1911Kvaei5oySBIxdgtNo/edit?pli=1#gid=257618397"",""stock FAKTUR!B:e""),4,false)"),"")</f>
        <v/>
      </c>
      <c r="H855" s="53" t="str">
        <f>IFERROR(__xludf.DUMMYFUNCTION("vlookup($D855,IMPORTRANGE(""https://docs.google.com/spreadsheets/d/1swGwZOEqYlTEUCJLY-eeJM1911Kvaei5oySBIxdgtNo/edit?pli=1#gid=257618397"",""stock FAKTUR!B:F""),5,false)"),"JK")</f>
        <v>JK</v>
      </c>
      <c r="I855" s="53" t="str">
        <f>IFERROR(__xludf.DUMMYFUNCTION("vlookup($D855,IMPORTRANGE(""https://docs.google.com/spreadsheets/d/1swGwZOEqYlTEUCJLY-eeJM1911Kvaei5oySBIxdgtNo/edit?pli=1#gid=257618397"",""stock FAKTUR!B:G""),6,false)"),"BR-8")</f>
        <v>BR-8</v>
      </c>
      <c r="J855" s="120" t="str">
        <f t="shared" si="25"/>
        <v>ADA</v>
      </c>
      <c r="K855" s="142">
        <v>60.0</v>
      </c>
      <c r="L855" s="145" t="str">
        <f>IFERROR(__xludf.DUMMYFUNCTION("vlookup($D855,IMPORTRANGE(""https://docs.google.com/spreadsheets/d/1swGwZOEqYlTEUCJLY-eeJM1911Kvaei5oySBIxdgtNo/edit?pli=1#gid=257618397"",""stock FAKTUR!B:q""),16,false)"),"SET")</f>
        <v>SET</v>
      </c>
      <c r="M855" s="147">
        <v>7800.0</v>
      </c>
      <c r="N855" s="152">
        <v>0.125</v>
      </c>
      <c r="O855" s="147">
        <f t="shared" si="232"/>
        <v>409500</v>
      </c>
      <c r="P855" s="147" t="str">
        <f t="shared" si="3"/>
        <v>Rp7,800-60 SET-12.50%</v>
      </c>
      <c r="Q855" s="149">
        <v>45425.0</v>
      </c>
      <c r="R855" s="150"/>
      <c r="S855" s="149">
        <v>45427.0</v>
      </c>
      <c r="T855" s="151"/>
      <c r="U855" s="151"/>
      <c r="V855" s="151"/>
      <c r="W855" s="151"/>
    </row>
    <row r="856">
      <c r="A856" s="142">
        <v>4915.0</v>
      </c>
      <c r="B856" s="143" t="str">
        <f t="shared" si="249"/>
        <v>H</v>
      </c>
      <c r="C856" s="143" t="str">
        <f t="shared" si="250"/>
        <v>MEMORY-BATANG</v>
      </c>
      <c r="D856" s="53" t="s">
        <v>4532</v>
      </c>
      <c r="E856" s="145" t="str">
        <f>IFERROR(__xludf.DUMMYFUNCTION("vlookup(D856,IMPORTRANGE(""https://docs.google.com/spreadsheets/d/1swGwZOEqYlTEUCJLY-eeJM1911Kvaei5oySBIxdgtNo/edit?pli=1#gid=257618397"",""stock FAKTUR!B:C""),2,false)"),"BINDER CLIP KENKO NO. 260")</f>
        <v>BINDER CLIP KENKO NO. 260</v>
      </c>
      <c r="F856" s="53" t="str">
        <f>IFERROR(__xludf.DUMMYFUNCTION("vlookup($D856,IMPORTRANGE(""https://docs.google.com/spreadsheets/d/1swGwZOEqYlTEUCJLY-eeJM1911Kvaei5oySBIxdgtNo/edit?pli=1#gid=257618397"",""stock FAKTUR!B:d""),3,false)"),"")</f>
        <v/>
      </c>
      <c r="G856" s="53" t="str">
        <f>IFERROR(__xludf.DUMMYFUNCTION("vlookup($D856,IMPORTRANGE(""https://docs.google.com/spreadsheets/d/1swGwZOEqYlTEUCJLY-eeJM1911Kvaei5oySBIxdgtNo/edit?pli=1#gid=257618397"",""stock FAKTUR!B:e""),4,false)"),"")</f>
        <v/>
      </c>
      <c r="H856" s="53" t="str">
        <f>IFERROR(__xludf.DUMMYFUNCTION("vlookup($D856,IMPORTRANGE(""https://docs.google.com/spreadsheets/d/1swGwZOEqYlTEUCJLY-eeJM1911Kvaei5oySBIxdgtNo/edit?pli=1#gid=257618397"",""stock FAKTUR!B:F""),5,false)"),"KN")</f>
        <v>KN</v>
      </c>
      <c r="I856" s="53" t="str">
        <f>IFERROR(__xludf.DUMMYFUNCTION("vlookup($D856,IMPORTRANGE(""https://docs.google.com/spreadsheets/d/1swGwZOEqYlTEUCJLY-eeJM1911Kvaei5oySBIxdgtNo/edit?pli=1#gid=257618397"",""stock FAKTUR!B:G""),6,false)"),"BCL-006QH")</f>
        <v>BCL-006QH</v>
      </c>
      <c r="J856" s="120" t="str">
        <f t="shared" si="25"/>
        <v>ADA</v>
      </c>
      <c r="K856" s="142">
        <v>5.0</v>
      </c>
      <c r="L856" s="145" t="str">
        <f>IFERROR(__xludf.DUMMYFUNCTION("vlookup($D856,IMPORTRANGE(""https://docs.google.com/spreadsheets/d/1swGwZOEqYlTEUCJLY-eeJM1911Kvaei5oySBIxdgtNo/edit?pli=1#gid=257618397"",""stock FAKTUR!B:q""),16,false)"),"GRS")</f>
        <v>GRS</v>
      </c>
      <c r="M856" s="147">
        <v>180000.0</v>
      </c>
      <c r="N856" s="152">
        <v>0.125</v>
      </c>
      <c r="O856" s="147">
        <f t="shared" si="232"/>
        <v>787500</v>
      </c>
      <c r="P856" s="147" t="str">
        <f t="shared" si="3"/>
        <v>Rp180,000-5 GRS-12.50%</v>
      </c>
      <c r="Q856" s="149">
        <v>45425.0</v>
      </c>
      <c r="R856" s="150"/>
      <c r="S856" s="149">
        <v>45427.0</v>
      </c>
      <c r="T856" s="151"/>
      <c r="U856" s="151"/>
      <c r="V856" s="151"/>
      <c r="W856" s="151"/>
    </row>
    <row r="857">
      <c r="A857" s="142">
        <v>137.0</v>
      </c>
      <c r="B857" s="143" t="s">
        <v>65</v>
      </c>
      <c r="C857" s="143" t="s">
        <v>70</v>
      </c>
      <c r="D857" s="53" t="s">
        <v>4406</v>
      </c>
      <c r="E857" s="145" t="str">
        <f>IFERROR(__xludf.DUMMYFUNCTION("vlookup(D857,IMPORTRANGE(""https://docs.google.com/spreadsheets/d/1swGwZOEqYlTEUCJLY-eeJM1911Kvaei5oySBIxdgtNo/edit?pli=1#gid=257618397"",""stock FAKTUR!B:C""),2,false)"),"BK KAS FOLIO")</f>
        <v>BK KAS FOLIO</v>
      </c>
      <c r="F857" s="53" t="str">
        <f>IFERROR(__xludf.DUMMYFUNCTION("vlookup($D857,IMPORTRANGE(""https://docs.google.com/spreadsheets/d/1swGwZOEqYlTEUCJLY-eeJM1911Kvaei5oySBIxdgtNo/edit?pli=1#gid=257618397"",""stock FAKTUR!B:d""),3,false)"),"F4")</f>
        <v>F4</v>
      </c>
      <c r="G857" s="53" t="str">
        <f>IFERROR(__xludf.DUMMYFUNCTION("vlookup($D857,IMPORTRANGE(""https://docs.google.com/spreadsheets/d/1swGwZOEqYlTEUCJLY-eeJM1911Kvaei5oySBIxdgtNo/edit?pli=1#gid=257618397"",""stock FAKTUR!B:e""),4,false)"),"")</f>
        <v/>
      </c>
      <c r="H857" s="53" t="str">
        <f>IFERROR(__xludf.DUMMYFUNCTION("vlookup($D857,IMPORTRANGE(""https://docs.google.com/spreadsheets/d/1swGwZOEqYlTEUCJLY-eeJM1911Kvaei5oySBIxdgtNo/edit?pli=1#gid=257618397"",""stock FAKTUR!B:F""),5,false)"),"NB")</f>
        <v>NB</v>
      </c>
      <c r="I857" s="53" t="str">
        <f>IFERROR(__xludf.DUMMYFUNCTION("vlookup($D857,IMPORTRANGE(""https://docs.google.com/spreadsheets/d/1swGwZOEqYlTEUCJLY-eeJM1911Kvaei5oySBIxdgtNo/edit?pli=1#gid=257618397"",""stock FAKTUR!B:G""),6,false)"),"")</f>
        <v/>
      </c>
      <c r="J857" s="120" t="str">
        <f t="shared" si="25"/>
        <v>ADA</v>
      </c>
      <c r="K857" s="142">
        <v>25.0</v>
      </c>
      <c r="L857" s="145" t="str">
        <f>IFERROR(__xludf.DUMMYFUNCTION("vlookup($D857,IMPORTRANGE(""https://docs.google.com/spreadsheets/d/1swGwZOEqYlTEUCJLY-eeJM1911Kvaei5oySBIxdgtNo/edit?pli=1#gid=257618397"",""stock FAKTUR!B:q""),16,false)"),"PCS")</f>
        <v>PCS</v>
      </c>
      <c r="M857" s="147">
        <v>17500.0</v>
      </c>
      <c r="N857" s="148"/>
      <c r="O857" s="147">
        <f t="shared" si="232"/>
        <v>437500</v>
      </c>
      <c r="P857" s="147" t="str">
        <f t="shared" si="3"/>
        <v>Rp17,500-25 PCS-0.00%</v>
      </c>
      <c r="Q857" s="149">
        <v>45426.0</v>
      </c>
      <c r="R857" s="150"/>
      <c r="S857" s="149">
        <v>45427.0</v>
      </c>
      <c r="T857" s="151"/>
      <c r="U857" s="151"/>
      <c r="V857" s="151"/>
      <c r="W857" s="151"/>
    </row>
    <row r="858">
      <c r="A858" s="142">
        <v>137.0</v>
      </c>
      <c r="B858" s="143" t="str">
        <f>IF(A858=A857,B857,"")</f>
        <v>A</v>
      </c>
      <c r="C858" s="143" t="str">
        <f>IF(A858=A857,C857,"")</f>
        <v>SULUNG-SEMARANG</v>
      </c>
      <c r="D858" s="53" t="s">
        <v>4405</v>
      </c>
      <c r="E858" s="145" t="str">
        <f>IFERROR(__xludf.DUMMYFUNCTION("vlookup(D858,IMPORTRANGE(""https://docs.google.com/spreadsheets/d/1swGwZOEqYlTEUCJLY-eeJM1911Kvaei5oySBIxdgtNo/edit?pli=1#gid=257618397"",""stock FAKTUR!B:C""),2,false)"),"BK KAS KWARTO")</f>
        <v>BK KAS KWARTO</v>
      </c>
      <c r="F858" s="53" t="str">
        <f>IFERROR(__xludf.DUMMYFUNCTION("vlookup($D858,IMPORTRANGE(""https://docs.google.com/spreadsheets/d/1swGwZOEqYlTEUCJLY-eeJM1911Kvaei5oySBIxdgtNo/edit?pli=1#gid=257618397"",""stock FAKTUR!B:d""),3,false)"),"A4")</f>
        <v>A4</v>
      </c>
      <c r="G858" s="53" t="str">
        <f>IFERROR(__xludf.DUMMYFUNCTION("vlookup($D858,IMPORTRANGE(""https://docs.google.com/spreadsheets/d/1swGwZOEqYlTEUCJLY-eeJM1911Kvaei5oySBIxdgtNo/edit?pli=1#gid=257618397"",""stock FAKTUR!B:e""),4,false)"),"")</f>
        <v/>
      </c>
      <c r="H858" s="53" t="str">
        <f>IFERROR(__xludf.DUMMYFUNCTION("vlookup($D858,IMPORTRANGE(""https://docs.google.com/spreadsheets/d/1swGwZOEqYlTEUCJLY-eeJM1911Kvaei5oySBIxdgtNo/edit?pli=1#gid=257618397"",""stock FAKTUR!B:F""),5,false)"),"NB")</f>
        <v>NB</v>
      </c>
      <c r="I858" s="53" t="str">
        <f>IFERROR(__xludf.DUMMYFUNCTION("vlookup($D858,IMPORTRANGE(""https://docs.google.com/spreadsheets/d/1swGwZOEqYlTEUCJLY-eeJM1911Kvaei5oySBIxdgtNo/edit?pli=1#gid=257618397"",""stock FAKTUR!B:G""),6,false)"),"")</f>
        <v/>
      </c>
      <c r="J858" s="120" t="str">
        <f t="shared" si="25"/>
        <v>ADA</v>
      </c>
      <c r="K858" s="142">
        <v>25.0</v>
      </c>
      <c r="L858" s="145" t="str">
        <f>IFERROR(__xludf.DUMMYFUNCTION("vlookup($D858,IMPORTRANGE(""https://docs.google.com/spreadsheets/d/1swGwZOEqYlTEUCJLY-eeJM1911Kvaei5oySBIxdgtNo/edit?pli=1#gid=257618397"",""stock FAKTUR!B:q""),16,false)"),"PCS")</f>
        <v>PCS</v>
      </c>
      <c r="M858" s="147">
        <v>10500.0</v>
      </c>
      <c r="N858" s="148"/>
      <c r="O858" s="147">
        <f t="shared" si="232"/>
        <v>262500</v>
      </c>
      <c r="P858" s="147" t="str">
        <f t="shared" si="3"/>
        <v>Rp10,500-25 PCS-0.00%</v>
      </c>
      <c r="Q858" s="149">
        <v>45426.0</v>
      </c>
      <c r="R858" s="150"/>
      <c r="S858" s="149">
        <v>45427.0</v>
      </c>
      <c r="T858" s="151"/>
      <c r="U858" s="151"/>
      <c r="V858" s="151"/>
      <c r="W858" s="151"/>
    </row>
    <row r="859">
      <c r="A859" s="142">
        <v>4916.0</v>
      </c>
      <c r="B859" s="143" t="s">
        <v>58</v>
      </c>
      <c r="C859" s="143" t="s">
        <v>4787</v>
      </c>
      <c r="D859" s="53" t="s">
        <v>4393</v>
      </c>
      <c r="E859" s="145" t="str">
        <f>IFERROR(__xludf.DUMMYFUNCTION("vlookup(D859,IMPORTRANGE(""https://docs.google.com/spreadsheets/d/1swGwZOEqYlTEUCJLY-eeJM1911Kvaei5oySBIxdgtNo/edit?pli=1#gid=257618397"",""stock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859" s="53" t="str">
        <f>IFERROR(__xludf.DUMMYFUNCTION("vlookup($D859,IMPORTRANGE(""https://docs.google.com/spreadsheets/d/1swGwZOEqYlTEUCJLY-eeJM1911Kvaei5oySBIxdgtNo/edit?pli=1#gid=257618397"",""stock FAKTUR!B:d""),3,false)"),"")</f>
        <v/>
      </c>
      <c r="G859" s="53" t="str">
        <f>IFERROR(__xludf.DUMMYFUNCTION("vlookup($D859,IMPORTRANGE(""https://docs.google.com/spreadsheets/d/1swGwZOEqYlTEUCJLY-eeJM1911Kvaei5oySBIxdgtNo/edit?pli=1#gid=257618397"",""stock FAKTUR!B:e""),4,false)"),"36W")</f>
        <v>36W</v>
      </c>
      <c r="H859" s="53" t="str">
        <f>IFERROR(__xludf.DUMMYFUNCTION("vlookup($D859,IMPORTRANGE(""https://docs.google.com/spreadsheets/d/1swGwZOEqYlTEUCJLY-eeJM1911Kvaei5oySBIxdgtNo/edit?pli=1#gid=257618397"",""stock FAKTUR!B:F""),5,false)"),"JK")</f>
        <v>JK</v>
      </c>
      <c r="I859" s="53" t="str">
        <f>IFERROR(__xludf.DUMMYFUNCTION("vlookup($D859,IMPORTRANGE(""https://docs.google.com/spreadsheets/d/1swGwZOEqYlTEUCJLY-eeJM1911Kvaei5oySBIxdgtNo/edit?pli=1#gid=257618397"",""stock FAKTUR!B:G""),6,false)"),"OP-36S")</f>
        <v>OP-36S</v>
      </c>
      <c r="J859" s="120" t="str">
        <f t="shared" si="25"/>
        <v>ADA</v>
      </c>
      <c r="K859" s="142">
        <v>36.0</v>
      </c>
      <c r="L859" s="145" t="str">
        <f>IFERROR(__xludf.DUMMYFUNCTION("vlookup($D859,IMPORTRANGE(""https://docs.google.com/spreadsheets/d/1swGwZOEqYlTEUCJLY-eeJM1911Kvaei5oySBIxdgtNo/edit?pli=1#gid=257618397"",""stock FAKTUR!B:q""),16,false)"),"PCS")</f>
        <v>PCS</v>
      </c>
      <c r="M859" s="147">
        <v>42700.0</v>
      </c>
      <c r="N859" s="152">
        <v>0.125</v>
      </c>
      <c r="O859" s="147">
        <f t="shared" si="232"/>
        <v>1345050</v>
      </c>
      <c r="P859" s="147" t="str">
        <f t="shared" si="3"/>
        <v>Rp42,700-36 PCS-12.50%</v>
      </c>
      <c r="Q859" s="149">
        <v>45426.0</v>
      </c>
      <c r="R859" s="150"/>
      <c r="S859" s="149">
        <v>45427.0</v>
      </c>
      <c r="T859" s="151"/>
      <c r="U859" s="151"/>
      <c r="V859" s="151"/>
      <c r="W859" s="151"/>
    </row>
    <row r="860">
      <c r="A860" s="142">
        <v>4916.0</v>
      </c>
      <c r="B860" s="143" t="str">
        <f>IF(A860=A859,B859,"")</f>
        <v>G</v>
      </c>
      <c r="C860" s="143" t="str">
        <f>IF(A860=A859,C859,"")</f>
        <v>ATLANTIK-PONOROGO</v>
      </c>
      <c r="D860" s="188" t="s">
        <v>4478</v>
      </c>
      <c r="E860" s="145" t="str">
        <f>IFERROR(__xludf.DUMMYFUNCTION("vlookup(D860,IMPORTRANGE(""https://docs.google.com/spreadsheets/d/1swGwZOEqYlTEUCJLY-eeJM1911Kvaei5oySBIxdgtNo/edit?pli=1#gid=257618397"",""stock FAKTUR!B:C""),2,false)"),"OIL PASTEL TITI 36W TI-P-36 S")</f>
        <v>OIL PASTEL TITI 36W TI-P-36 S</v>
      </c>
      <c r="F860" s="53" t="str">
        <f>IFERROR(__xludf.DUMMYFUNCTION("vlookup($D860,IMPORTRANGE(""https://docs.google.com/spreadsheets/d/1swGwZOEqYlTEUCJLY-eeJM1911Kvaei5oySBIxdgtNo/edit?pli=1#gid=257618397"",""stock FAKTUR!B:d""),3,false)"),"")</f>
        <v/>
      </c>
      <c r="G860" s="53" t="str">
        <f>IFERROR(__xludf.DUMMYFUNCTION("vlookup($D860,IMPORTRANGE(""https://docs.google.com/spreadsheets/d/1swGwZOEqYlTEUCJLY-eeJM1911Kvaei5oySBIxdgtNo/edit?pli=1#gid=257618397"",""stock FAKTUR!B:e""),4,false)"),"36W")</f>
        <v>36W</v>
      </c>
      <c r="H860" s="53" t="str">
        <f>IFERROR(__xludf.DUMMYFUNCTION("vlookup($D860,IMPORTRANGE(""https://docs.google.com/spreadsheets/d/1swGwZOEqYlTEUCJLY-eeJM1911Kvaei5oySBIxdgtNo/edit?pli=1#gid=257618397"",""stock FAKTUR!B:F""),5,false)"),"TT")</f>
        <v>TT</v>
      </c>
      <c r="I860" s="53" t="str">
        <f>IFERROR(__xludf.DUMMYFUNCTION("vlookup($D860,IMPORTRANGE(""https://docs.google.com/spreadsheets/d/1swGwZOEqYlTEUCJLY-eeJM1911Kvaei5oySBIxdgtNo/edit?pli=1#gid=257618397"",""stock FAKTUR!B:G""),6,false)"),"")</f>
        <v/>
      </c>
      <c r="J860" s="120" t="str">
        <f t="shared" si="25"/>
        <v>ADA</v>
      </c>
      <c r="K860" s="142">
        <v>144.0</v>
      </c>
      <c r="L860" s="145" t="str">
        <f>IFERROR(__xludf.DUMMYFUNCTION("vlookup($D860,IMPORTRANGE(""https://docs.google.com/spreadsheets/d/1swGwZOEqYlTEUCJLY-eeJM1911Kvaei5oySBIxdgtNo/edit?pli=1#gid=257618397"",""stock FAKTUR!B:q""),16,false)"),"PCS")</f>
        <v>PCS</v>
      </c>
      <c r="M860" s="147">
        <v>47500.0</v>
      </c>
      <c r="N860" s="152">
        <v>0.125</v>
      </c>
      <c r="O860" s="147">
        <f t="shared" si="232"/>
        <v>5985000</v>
      </c>
      <c r="P860" s="147" t="str">
        <f t="shared" si="3"/>
        <v>Rp47,500-144 PCS-12.50%</v>
      </c>
      <c r="Q860" s="149">
        <v>45426.0</v>
      </c>
      <c r="R860" s="150"/>
      <c r="S860" s="149">
        <v>45427.0</v>
      </c>
      <c r="T860" s="151"/>
      <c r="U860" s="151"/>
      <c r="V860" s="151"/>
      <c r="W860" s="151"/>
    </row>
    <row r="861">
      <c r="A861" s="142">
        <v>4918.0</v>
      </c>
      <c r="B861" s="143" t="s">
        <v>33</v>
      </c>
      <c r="C861" s="143" t="s">
        <v>3766</v>
      </c>
      <c r="D861" s="53" t="s">
        <v>4788</v>
      </c>
      <c r="E861" s="145" t="str">
        <f>IFERROR(__xludf.DUMMYFUNCTION("vlookup(D861,IMPORTRANGE(""https://docs.google.com/spreadsheets/d/1swGwZOEqYlTEUCJLY-eeJM1911Kvaei5oySBIxdgtNo/edit?pli=1#gid=257618397"",""stock FAKTUR!B:C""),2,false)"),"MAP DOC BAG+HANDLE 9381")</f>
        <v>MAP DOC BAG+HANDLE 9381</v>
      </c>
      <c r="F861" s="53" t="str">
        <f>IFERROR(__xludf.DUMMYFUNCTION("vlookup($D861,IMPORTRANGE(""https://docs.google.com/spreadsheets/d/1swGwZOEqYlTEUCJLY-eeJM1911Kvaei5oySBIxdgtNo/edit?pli=1#gid=257618397"",""stock FAKTUR!B:d""),3,false)"),"")</f>
        <v/>
      </c>
      <c r="G861" s="53" t="str">
        <f>IFERROR(__xludf.DUMMYFUNCTION("vlookup($D861,IMPORTRANGE(""https://docs.google.com/spreadsheets/d/1swGwZOEqYlTEUCJLY-eeJM1911Kvaei5oySBIxdgtNo/edit?pli=1#gid=257618397"",""stock FAKTUR!B:e""),4,false)"),"")</f>
        <v/>
      </c>
      <c r="H861" s="53" t="str">
        <f>IFERROR(__xludf.DUMMYFUNCTION("vlookup($D861,IMPORTRANGE(""https://docs.google.com/spreadsheets/d/1swGwZOEqYlTEUCJLY-eeJM1911Kvaei5oySBIxdgtNo/edit?pli=1#gid=257618397"",""stock FAKTUR!B:F""),5,false)"),"NB")</f>
        <v>NB</v>
      </c>
      <c r="I861" s="53" t="str">
        <f>IFERROR(__xludf.DUMMYFUNCTION("vlookup($D861,IMPORTRANGE(""https://docs.google.com/spreadsheets/d/1swGwZOEqYlTEUCJLY-eeJM1911Kvaei5oySBIxdgtNo/edit?pli=1#gid=257618397"",""stock FAKTUR!B:G""),6,false)"),"9381")</f>
        <v>9381</v>
      </c>
      <c r="J861" s="120" t="str">
        <f t="shared" si="25"/>
        <v>ADA</v>
      </c>
      <c r="K861" s="142">
        <v>4.0</v>
      </c>
      <c r="L861" s="145" t="str">
        <f>IFERROR(__xludf.DUMMYFUNCTION("vlookup($D861,IMPORTRANGE(""https://docs.google.com/spreadsheets/d/1swGwZOEqYlTEUCJLY-eeJM1911Kvaei5oySBIxdgtNo/edit?pli=1#gid=257618397"",""stock FAKTUR!B:q""),16,false)"),"PCS")</f>
        <v>PCS</v>
      </c>
      <c r="M861" s="147">
        <v>37500.0</v>
      </c>
      <c r="N861" s="148"/>
      <c r="O861" s="147">
        <f t="shared" si="232"/>
        <v>150000</v>
      </c>
      <c r="P861" s="147" t="str">
        <f t="shared" si="3"/>
        <v>Rp37,500-4 PCS-0.00%</v>
      </c>
      <c r="Q861" s="149">
        <v>45426.0</v>
      </c>
      <c r="R861" s="150"/>
      <c r="S861" s="149">
        <v>45427.0</v>
      </c>
      <c r="T861" s="151"/>
      <c r="U861" s="151"/>
      <c r="V861" s="151"/>
      <c r="W861" s="151"/>
    </row>
    <row r="862">
      <c r="A862" s="142">
        <v>4918.0</v>
      </c>
      <c r="B862" s="143" t="str">
        <f t="shared" ref="B862:B865" si="251">IF(A862=A861,B861,"")</f>
        <v>H</v>
      </c>
      <c r="C862" s="143" t="str">
        <f t="shared" ref="C862:C865" si="252">IF(A862=A861,C861,"")</f>
        <v>IKA-PURBALINGGA</v>
      </c>
      <c r="D862" s="53" t="s">
        <v>4789</v>
      </c>
      <c r="E862" s="145" t="str">
        <f>IFERROR(__xludf.DUMMYFUNCTION("vlookup(D862,IMPORTRANGE(""https://docs.google.com/spreadsheets/d/1swGwZOEqYlTEUCJLY-eeJM1911Kvaei5oySBIxdgtNo/edit?pli=1#gid=257618397"",""stock FAKTUR!B:C""),2,false)"),"CALCULATOR JK CC-800 CH")</f>
        <v>CALCULATOR JK CC-800 CH</v>
      </c>
      <c r="F862" s="53" t="str">
        <f>IFERROR(__xludf.DUMMYFUNCTION("vlookup($D862,IMPORTRANGE(""https://docs.google.com/spreadsheets/d/1swGwZOEqYlTEUCJLY-eeJM1911Kvaei5oySBIxdgtNo/edit?pli=1#gid=257618397"",""stock FAKTUR!B:d""),3,false)"),"")</f>
        <v/>
      </c>
      <c r="G862" s="53" t="str">
        <f>IFERROR(__xludf.DUMMYFUNCTION("vlookup($D862,IMPORTRANGE(""https://docs.google.com/spreadsheets/d/1swGwZOEqYlTEUCJLY-eeJM1911Kvaei5oySBIxdgtNo/edit?pli=1#gid=257618397"",""stock FAKTUR!B:e""),4,false)"),"")</f>
        <v/>
      </c>
      <c r="H862" s="53" t="str">
        <f>IFERROR(__xludf.DUMMYFUNCTION("vlookup($D862,IMPORTRANGE(""https://docs.google.com/spreadsheets/d/1swGwZOEqYlTEUCJLY-eeJM1911Kvaei5oySBIxdgtNo/edit?pli=1#gid=257618397"",""stock FAKTUR!B:F""),5,false)"),"JK")</f>
        <v>JK</v>
      </c>
      <c r="I862" s="53" t="str">
        <f>IFERROR(__xludf.DUMMYFUNCTION("vlookup($D862,IMPORTRANGE(""https://docs.google.com/spreadsheets/d/1swGwZOEqYlTEUCJLY-eeJM1911Kvaei5oySBIxdgtNo/edit?pli=1#gid=257618397"",""stock FAKTUR!B:G""),6,false)"),"CC-800")</f>
        <v>CC-800</v>
      </c>
      <c r="J862" s="120" t="str">
        <f t="shared" si="25"/>
        <v>ADA</v>
      </c>
      <c r="K862" s="142">
        <v>1.0</v>
      </c>
      <c r="L862" s="145" t="str">
        <f>IFERROR(__xludf.DUMMYFUNCTION("vlookup($D862,IMPORTRANGE(""https://docs.google.com/spreadsheets/d/1swGwZOEqYlTEUCJLY-eeJM1911Kvaei5oySBIxdgtNo/edit?pli=1#gid=257618397"",""stock FAKTUR!B:q""),16,false)"),"PCS")</f>
        <v>PCS</v>
      </c>
      <c r="M862" s="147">
        <v>80000.0</v>
      </c>
      <c r="N862" s="148"/>
      <c r="O862" s="147">
        <f t="shared" si="232"/>
        <v>80000</v>
      </c>
      <c r="P862" s="147" t="str">
        <f t="shared" si="3"/>
        <v>Rp80,000-1 PCS-0.00%</v>
      </c>
      <c r="Q862" s="149">
        <v>45426.0</v>
      </c>
      <c r="R862" s="150"/>
      <c r="S862" s="149">
        <v>45427.0</v>
      </c>
      <c r="T862" s="151"/>
      <c r="U862" s="151"/>
      <c r="V862" s="151"/>
      <c r="W862" s="151"/>
    </row>
    <row r="863">
      <c r="A863" s="142">
        <v>4918.0</v>
      </c>
      <c r="B863" s="143" t="str">
        <f t="shared" si="251"/>
        <v>H</v>
      </c>
      <c r="C863" s="143" t="str">
        <f t="shared" si="252"/>
        <v>IKA-PURBALINGGA</v>
      </c>
      <c r="D863" s="193" t="s">
        <v>4790</v>
      </c>
      <c r="E863" s="145" t="str">
        <f>IFERROR(__xludf.DUMMYFUNCTION("vlookup(D863,IMPORTRANGE(""https://docs.google.com/spreadsheets/d/1swGwZOEqYlTEUCJLY-eeJM1911Kvaei5oySBIxdgtNo/edit?pli=1#gid=257618397"",""stock FAKTUR!B:C""),2,false)"),"CALCULATOR JK CC 36")</f>
        <v>CALCULATOR JK CC 36</v>
      </c>
      <c r="F863" s="53" t="str">
        <f>IFERROR(__xludf.DUMMYFUNCTION("vlookup($D863,IMPORTRANGE(""https://docs.google.com/spreadsheets/d/1swGwZOEqYlTEUCJLY-eeJM1911Kvaei5oySBIxdgtNo/edit?pli=1#gid=257618397"",""stock FAKTUR!B:d""),3,false)"),"")</f>
        <v/>
      </c>
      <c r="G863" s="53" t="str">
        <f>IFERROR(__xludf.DUMMYFUNCTION("vlookup($D863,IMPORTRANGE(""https://docs.google.com/spreadsheets/d/1swGwZOEqYlTEUCJLY-eeJM1911Kvaei5oySBIxdgtNo/edit?pli=1#gid=257618397"",""stock FAKTUR!B:e""),4,false)"),"")</f>
        <v/>
      </c>
      <c r="H863" s="53" t="str">
        <f>IFERROR(__xludf.DUMMYFUNCTION("vlookup($D863,IMPORTRANGE(""https://docs.google.com/spreadsheets/d/1swGwZOEqYlTEUCJLY-eeJM1911Kvaei5oySBIxdgtNo/edit?pli=1#gid=257618397"",""stock FAKTUR!B:F""),5,false)"),"JK")</f>
        <v>JK</v>
      </c>
      <c r="I863" s="53" t="str">
        <f>IFERROR(__xludf.DUMMYFUNCTION("vlookup($D863,IMPORTRANGE(""https://docs.google.com/spreadsheets/d/1swGwZOEqYlTEUCJLY-eeJM1911Kvaei5oySBIxdgtNo/edit?pli=1#gid=257618397"",""stock FAKTUR!B:G""),6,false)"),"CC-36")</f>
        <v>CC-36</v>
      </c>
      <c r="J863" s="120" t="str">
        <f t="shared" si="25"/>
        <v>ADA</v>
      </c>
      <c r="K863" s="142">
        <v>4.0</v>
      </c>
      <c r="L863" s="145" t="str">
        <f>IFERROR(__xludf.DUMMYFUNCTION("vlookup($D863,IMPORTRANGE(""https://docs.google.com/spreadsheets/d/1swGwZOEqYlTEUCJLY-eeJM1911Kvaei5oySBIxdgtNo/edit?pli=1#gid=257618397"",""stock FAKTUR!B:q""),16,false)"),"PCS")</f>
        <v>PCS</v>
      </c>
      <c r="M863" s="147">
        <v>47500.0</v>
      </c>
      <c r="N863" s="148"/>
      <c r="O863" s="147">
        <f t="shared" si="232"/>
        <v>190000</v>
      </c>
      <c r="P863" s="147" t="str">
        <f t="shared" si="3"/>
        <v>Rp47,500-4 PCS-0.00%</v>
      </c>
      <c r="Q863" s="149">
        <v>45426.0</v>
      </c>
      <c r="R863" s="150"/>
      <c r="S863" s="149">
        <v>45427.0</v>
      </c>
      <c r="T863" s="194" t="s">
        <v>4661</v>
      </c>
      <c r="U863" s="192" t="s">
        <v>4390</v>
      </c>
      <c r="V863" s="151"/>
      <c r="W863" s="151"/>
    </row>
    <row r="864">
      <c r="A864" s="142">
        <v>4918.0</v>
      </c>
      <c r="B864" s="143" t="str">
        <f t="shared" si="251"/>
        <v>H</v>
      </c>
      <c r="C864" s="143" t="str">
        <f t="shared" si="252"/>
        <v>IKA-PURBALINGGA</v>
      </c>
      <c r="D864" s="193" t="s">
        <v>4791</v>
      </c>
      <c r="E864" s="145" t="str">
        <f>IFERROR(__xludf.DUMMYFUNCTION("vlookup(D864,IMPORTRANGE(""https://docs.google.com/spreadsheets/d/1swGwZOEqYlTEUCJLY-eeJM1911Kvaei5oySBIxdgtNo/edit?pli=1#gid=257618397"",""stock FAKTUR!B:C""),2,false)"),"CALCULATOR JK CC-2")</f>
        <v>CALCULATOR JK CC-2</v>
      </c>
      <c r="F864" s="53" t="str">
        <f>IFERROR(__xludf.DUMMYFUNCTION("vlookup($D864,IMPORTRANGE(""https://docs.google.com/spreadsheets/d/1swGwZOEqYlTEUCJLY-eeJM1911Kvaei5oySBIxdgtNo/edit?pli=1#gid=257618397"",""stock FAKTUR!B:d""),3,false)"),"")</f>
        <v/>
      </c>
      <c r="G864" s="53" t="str">
        <f>IFERROR(__xludf.DUMMYFUNCTION("vlookup($D864,IMPORTRANGE(""https://docs.google.com/spreadsheets/d/1swGwZOEqYlTEUCJLY-eeJM1911Kvaei5oySBIxdgtNo/edit?pli=1#gid=257618397"",""stock FAKTUR!B:e""),4,false)"),"")</f>
        <v/>
      </c>
      <c r="H864" s="53" t="str">
        <f>IFERROR(__xludf.DUMMYFUNCTION("vlookup($D864,IMPORTRANGE(""https://docs.google.com/spreadsheets/d/1swGwZOEqYlTEUCJLY-eeJM1911Kvaei5oySBIxdgtNo/edit?pli=1#gid=257618397"",""stock FAKTUR!B:F""),5,false)"),"JK")</f>
        <v>JK</v>
      </c>
      <c r="I864" s="53" t="str">
        <f>IFERROR(__xludf.DUMMYFUNCTION("vlookup($D864,IMPORTRANGE(""https://docs.google.com/spreadsheets/d/1swGwZOEqYlTEUCJLY-eeJM1911Kvaei5oySBIxdgtNo/edit?pli=1#gid=257618397"",""stock FAKTUR!B:G""),6,false)"),"CC-2")</f>
        <v>CC-2</v>
      </c>
      <c r="J864" s="120" t="str">
        <f t="shared" si="25"/>
        <v>ADA</v>
      </c>
      <c r="K864" s="142">
        <v>1.0</v>
      </c>
      <c r="L864" s="145" t="str">
        <f>IFERROR(__xludf.DUMMYFUNCTION("vlookup($D864,IMPORTRANGE(""https://docs.google.com/spreadsheets/d/1swGwZOEqYlTEUCJLY-eeJM1911Kvaei5oySBIxdgtNo/edit?pli=1#gid=257618397"",""stock FAKTUR!B:q""),16,false)"),"PCS")</f>
        <v>PCS</v>
      </c>
      <c r="M864" s="147">
        <v>32500.0</v>
      </c>
      <c r="N864" s="148"/>
      <c r="O864" s="147">
        <f t="shared" si="232"/>
        <v>32500</v>
      </c>
      <c r="P864" s="147" t="str">
        <f t="shared" si="3"/>
        <v>Rp32,500-1 PCS-0.00%</v>
      </c>
      <c r="Q864" s="149">
        <v>45426.0</v>
      </c>
      <c r="R864" s="150"/>
      <c r="S864" s="149">
        <v>45427.0</v>
      </c>
      <c r="T864" s="194" t="s">
        <v>4508</v>
      </c>
      <c r="U864" s="192" t="s">
        <v>4390</v>
      </c>
      <c r="V864" s="151"/>
      <c r="W864" s="151"/>
    </row>
    <row r="865">
      <c r="A865" s="142">
        <v>4918.0</v>
      </c>
      <c r="B865" s="143" t="str">
        <f t="shared" si="251"/>
        <v>H</v>
      </c>
      <c r="C865" s="143" t="str">
        <f t="shared" si="252"/>
        <v>IKA-PURBALINGGA</v>
      </c>
      <c r="D865" s="21" t="s">
        <v>4792</v>
      </c>
      <c r="E865" s="145" t="str">
        <f>IFERROR(__xludf.DUMMYFUNCTION("vlookup(D865,IMPORTRANGE(""https://docs.google.com/spreadsheets/d/1swGwZOEqYlTEUCJLY-eeJM1911Kvaei5oySBIxdgtNo/edit?pli=1#gid=257618397"",""stock FAKTUR!B:C""),2,false)"),"CALCULATOR JK CC-19 A")</f>
        <v>CALCULATOR JK CC-19 A</v>
      </c>
      <c r="F865" s="53" t="str">
        <f>IFERROR(__xludf.DUMMYFUNCTION("vlookup($D865,IMPORTRANGE(""https://docs.google.com/spreadsheets/d/1swGwZOEqYlTEUCJLY-eeJM1911Kvaei5oySBIxdgtNo/edit?pli=1#gid=257618397"",""stock FAKTUR!B:d""),3,false)"),"")</f>
        <v/>
      </c>
      <c r="G865" s="53" t="str">
        <f>IFERROR(__xludf.DUMMYFUNCTION("vlookup($D865,IMPORTRANGE(""https://docs.google.com/spreadsheets/d/1swGwZOEqYlTEUCJLY-eeJM1911Kvaei5oySBIxdgtNo/edit?pli=1#gid=257618397"",""stock FAKTUR!B:e""),4,false)"),"")</f>
        <v/>
      </c>
      <c r="H865" s="53" t="str">
        <f>IFERROR(__xludf.DUMMYFUNCTION("vlookup($D865,IMPORTRANGE(""https://docs.google.com/spreadsheets/d/1swGwZOEqYlTEUCJLY-eeJM1911Kvaei5oySBIxdgtNo/edit?pli=1#gid=257618397"",""stock FAKTUR!B:F""),5,false)"),"JK")</f>
        <v>JK</v>
      </c>
      <c r="I865" s="53" t="str">
        <f>IFERROR(__xludf.DUMMYFUNCTION("vlookup($D865,IMPORTRANGE(""https://docs.google.com/spreadsheets/d/1swGwZOEqYlTEUCJLY-eeJM1911Kvaei5oySBIxdgtNo/edit?pli=1#gid=257618397"",""stock FAKTUR!B:G""),6,false)"),"CC-19 A")</f>
        <v>CC-19 A</v>
      </c>
      <c r="J865" s="120" t="str">
        <f t="shared" si="25"/>
        <v>ADA</v>
      </c>
      <c r="K865" s="142">
        <v>1.0</v>
      </c>
      <c r="L865" s="145" t="str">
        <f>IFERROR(__xludf.DUMMYFUNCTION("vlookup($D865,IMPORTRANGE(""https://docs.google.com/spreadsheets/d/1swGwZOEqYlTEUCJLY-eeJM1911Kvaei5oySBIxdgtNo/edit?pli=1#gid=257618397"",""stock FAKTUR!B:q""),16,false)"),"PCS")</f>
        <v>PCS</v>
      </c>
      <c r="M865" s="147">
        <v>62500.0</v>
      </c>
      <c r="N865" s="148"/>
      <c r="O865" s="147">
        <f t="shared" si="232"/>
        <v>62500</v>
      </c>
      <c r="P865" s="147" t="str">
        <f t="shared" si="3"/>
        <v>Rp62,500-1 PCS-0.00%</v>
      </c>
      <c r="Q865" s="149">
        <v>45426.0</v>
      </c>
      <c r="R865" s="150"/>
      <c r="S865" s="149">
        <v>45427.0</v>
      </c>
      <c r="T865" s="194" t="s">
        <v>4661</v>
      </c>
      <c r="U865" s="192" t="s">
        <v>4390</v>
      </c>
      <c r="V865" s="151"/>
      <c r="W865" s="151"/>
    </row>
    <row r="866">
      <c r="A866" s="142">
        <v>4813.0</v>
      </c>
      <c r="B866" s="143" t="s">
        <v>33</v>
      </c>
      <c r="C866" s="143" t="s">
        <v>4778</v>
      </c>
      <c r="D866" s="180" t="s">
        <v>4583</v>
      </c>
      <c r="E866" s="145" t="str">
        <f>IFERROR(__xludf.DUMMYFUNCTION("vlookup(D866,IMPORTRANGE(""https://docs.google.com/spreadsheets/d/1swGwZOEqYlTEUCJLY-eeJM1911Kvaei5oySBIxdgtNo/edit?pli=1#gid=257618397"",""stock FAKTUR!B:C""),2,false)"),"PW KALENG (TIN CASE) KENKO CP-12")</f>
        <v>PW KALENG (TIN CASE) KENKO CP-12</v>
      </c>
      <c r="F866" s="53" t="str">
        <f>IFERROR(__xludf.DUMMYFUNCTION("vlookup($D866,IMPORTRANGE(""https://docs.google.com/spreadsheets/d/1swGwZOEqYlTEUCJLY-eeJM1911Kvaei5oySBIxdgtNo/edit?pli=1#gid=257618397"",""stock FAKTUR!B:d""),3,false)"),"")</f>
        <v/>
      </c>
      <c r="G866" s="53" t="str">
        <f>IFERROR(__xludf.DUMMYFUNCTION("vlookup($D866,IMPORTRANGE(""https://docs.google.com/spreadsheets/d/1swGwZOEqYlTEUCJLY-eeJM1911Kvaei5oySBIxdgtNo/edit?pli=1#gid=257618397"",""stock FAKTUR!B:e""),4,false)"),"12W")</f>
        <v>12W</v>
      </c>
      <c r="H866" s="53" t="str">
        <f>IFERROR(__xludf.DUMMYFUNCTION("vlookup($D866,IMPORTRANGE(""https://docs.google.com/spreadsheets/d/1swGwZOEqYlTEUCJLY-eeJM1911Kvaei5oySBIxdgtNo/edit?pli=1#gid=257618397"",""stock FAKTUR!B:F""),5,false)"),"KN")</f>
        <v>KN</v>
      </c>
      <c r="I866" s="53" t="str">
        <f>IFERROR(__xludf.DUMMYFUNCTION("vlookup($D866,IMPORTRANGE(""https://docs.google.com/spreadsheets/d/1swGwZOEqYlTEUCJLY-eeJM1911Kvaei5oySBIxdgtNo/edit?pli=1#gid=257618397"",""stock FAKTUR!B:G""),6,false)"),"CP-12")</f>
        <v>CP-12</v>
      </c>
      <c r="J866" s="120" t="str">
        <f t="shared" si="25"/>
        <v>ADA</v>
      </c>
      <c r="K866" s="142">
        <v>12.0</v>
      </c>
      <c r="L866" s="145" t="str">
        <f>IFERROR(__xludf.DUMMYFUNCTION("vlookup($D866,IMPORTRANGE(""https://docs.google.com/spreadsheets/d/1swGwZOEqYlTEUCJLY-eeJM1911Kvaei5oySBIxdgtNo/edit?pli=1#gid=257618397"",""stock FAKTUR!B:q""),16,false)"),"LSN")</f>
        <v>LSN</v>
      </c>
      <c r="M866" s="147">
        <v>204000.0</v>
      </c>
      <c r="N866" s="152">
        <v>0.1</v>
      </c>
      <c r="O866" s="147">
        <f t="shared" si="232"/>
        <v>2203200</v>
      </c>
      <c r="P866" s="147" t="str">
        <f t="shared" si="3"/>
        <v>Rp204,000-12 LSN-10.00%</v>
      </c>
      <c r="Q866" s="149">
        <v>45426.0</v>
      </c>
      <c r="R866" s="150"/>
      <c r="S866" s="149">
        <v>45427.0</v>
      </c>
      <c r="T866" s="151"/>
      <c r="U866" s="151"/>
      <c r="V866" s="151"/>
      <c r="W866" s="151"/>
    </row>
    <row r="867">
      <c r="A867" s="142">
        <v>4925.0</v>
      </c>
      <c r="B867" s="143" t="s">
        <v>33</v>
      </c>
      <c r="C867" s="143" t="s">
        <v>1768</v>
      </c>
      <c r="D867" s="151" t="s">
        <v>4461</v>
      </c>
      <c r="E867" s="145" t="str">
        <f>IFERROR(__xludf.DUMMYFUNCTION("vlookup(D867,IMPORTRANGE(""https://docs.google.com/spreadsheets/d/1swGwZOEqYlTEUCJLY-eeJM1911Kvaei5oySBIxdgtNo/edit?pli=1#gid=257618397"",""stock FAKTUR!B:C""),2,false)"),"GUNTING GUNINDO OLL GR16")</f>
        <v>GUNTING GUNINDO OLL GR16</v>
      </c>
      <c r="F867" s="53" t="str">
        <f>IFERROR(__xludf.DUMMYFUNCTION("vlookup($D867,IMPORTRANGE(""https://docs.google.com/spreadsheets/d/1swGwZOEqYlTEUCJLY-eeJM1911Kvaei5oySBIxdgtNo/edit?pli=1#gid=257618397"",""stock FAKTUR!B:d""),3,false)"),"")</f>
        <v/>
      </c>
      <c r="G867" s="53" t="str">
        <f>IFERROR(__xludf.DUMMYFUNCTION("vlookup($D867,IMPORTRANGE(""https://docs.google.com/spreadsheets/d/1swGwZOEqYlTEUCJLY-eeJM1911Kvaei5oySBIxdgtNo/edit?pli=1#gid=257618397"",""stock FAKTUR!B:e""),4,false)"),"")</f>
        <v/>
      </c>
      <c r="H867" s="53" t="str">
        <f>IFERROR(__xludf.DUMMYFUNCTION("vlookup($D867,IMPORTRANGE(""https://docs.google.com/spreadsheets/d/1swGwZOEqYlTEUCJLY-eeJM1911Kvaei5oySBIxdgtNo/edit?pli=1#gid=257618397"",""stock FAKTUR!B:F""),5,false)"),"GN")</f>
        <v>GN</v>
      </c>
      <c r="I867" s="53" t="str">
        <f>IFERROR(__xludf.DUMMYFUNCTION("vlookup($D867,IMPORTRANGE(""https://docs.google.com/spreadsheets/d/1swGwZOEqYlTEUCJLY-eeJM1911Kvaei5oySBIxdgtNo/edit?pli=1#gid=257618397"",""stock FAKTUR!B:G""),6,false)"),"GR16")</f>
        <v>GR16</v>
      </c>
      <c r="J867" s="120" t="str">
        <f t="shared" si="25"/>
        <v>ADA</v>
      </c>
      <c r="K867" s="142">
        <v>20.0</v>
      </c>
      <c r="L867" s="145" t="str">
        <f>IFERROR(__xludf.DUMMYFUNCTION("vlookup($D867,IMPORTRANGE(""https://docs.google.com/spreadsheets/d/1swGwZOEqYlTEUCJLY-eeJM1911Kvaei5oySBIxdgtNo/edit?pli=1#gid=257618397"",""stock FAKTUR!B:q""),16,false)"),"LSN")</f>
        <v>LSN</v>
      </c>
      <c r="M867" s="147">
        <v>70000.0</v>
      </c>
      <c r="N867" s="152">
        <v>0.1</v>
      </c>
      <c r="O867" s="147">
        <f t="shared" si="232"/>
        <v>1260000</v>
      </c>
      <c r="P867" s="147" t="str">
        <f t="shared" si="3"/>
        <v>Rp70,000-20 LSN-10.00%</v>
      </c>
      <c r="Q867" s="149">
        <v>45427.0</v>
      </c>
      <c r="R867" s="150"/>
      <c r="S867" s="149">
        <v>45427.0</v>
      </c>
      <c r="T867" s="151"/>
      <c r="U867" s="151"/>
      <c r="V867" s="151"/>
      <c r="W867" s="151"/>
    </row>
    <row r="868">
      <c r="A868" s="142">
        <v>4925.0</v>
      </c>
      <c r="B868" s="143" t="str">
        <f t="shared" ref="B868:B869" si="253">IF(A868=A867,B867,"")</f>
        <v>H</v>
      </c>
      <c r="C868" s="143" t="str">
        <f t="shared" ref="C868:C869" si="254">IF(A868=A867,C867,"")</f>
        <v>SISWA-MUNTILAN</v>
      </c>
      <c r="D868" s="151" t="s">
        <v>4462</v>
      </c>
      <c r="E868" s="145" t="str">
        <f>IFERROR(__xludf.DUMMYFUNCTION("vlookup(D868,IMPORTRANGE(""https://docs.google.com/spreadsheets/d/1swGwZOEqYlTEUCJLY-eeJM1911Kvaei5oySBIxdgtNo/edit?pli=1#gid=257618397"",""stock FAKTUR!B:C""),2,false)"),"GUNTING GUNINDO OSS GR15")</f>
        <v>GUNTING GUNINDO OSS GR15</v>
      </c>
      <c r="F868" s="53" t="str">
        <f>IFERROR(__xludf.DUMMYFUNCTION("vlookup($D868,IMPORTRANGE(""https://docs.google.com/spreadsheets/d/1swGwZOEqYlTEUCJLY-eeJM1911Kvaei5oySBIxdgtNo/edit?pli=1#gid=257618397"",""stock FAKTUR!B:d""),3,false)"),"")</f>
        <v/>
      </c>
      <c r="G868" s="53" t="str">
        <f>IFERROR(__xludf.DUMMYFUNCTION("vlookup($D868,IMPORTRANGE(""https://docs.google.com/spreadsheets/d/1swGwZOEqYlTEUCJLY-eeJM1911Kvaei5oySBIxdgtNo/edit?pli=1#gid=257618397"",""stock FAKTUR!B:e""),4,false)"),"")</f>
        <v/>
      </c>
      <c r="H868" s="53" t="str">
        <f>IFERROR(__xludf.DUMMYFUNCTION("vlookup($D868,IMPORTRANGE(""https://docs.google.com/spreadsheets/d/1swGwZOEqYlTEUCJLY-eeJM1911Kvaei5oySBIxdgtNo/edit?pli=1#gid=257618397"",""stock FAKTUR!B:F""),5,false)"),"GN")</f>
        <v>GN</v>
      </c>
      <c r="I868" s="53" t="str">
        <f>IFERROR(__xludf.DUMMYFUNCTION("vlookup($D868,IMPORTRANGE(""https://docs.google.com/spreadsheets/d/1swGwZOEqYlTEUCJLY-eeJM1911Kvaei5oySBIxdgtNo/edit?pli=1#gid=257618397"",""stock FAKTUR!B:G""),6,false)"),"GR15")</f>
        <v>GR15</v>
      </c>
      <c r="J868" s="120" t="str">
        <f t="shared" si="25"/>
        <v>ADA</v>
      </c>
      <c r="K868" s="142">
        <v>20.0</v>
      </c>
      <c r="L868" s="145" t="str">
        <f>IFERROR(__xludf.DUMMYFUNCTION("vlookup($D868,IMPORTRANGE(""https://docs.google.com/spreadsheets/d/1swGwZOEqYlTEUCJLY-eeJM1911Kvaei5oySBIxdgtNo/edit?pli=1#gid=257618397"",""stock FAKTUR!B:q""),16,false)"),"LSN")</f>
        <v>LSN</v>
      </c>
      <c r="M868" s="147">
        <v>49200.0</v>
      </c>
      <c r="N868" s="152">
        <v>0.1</v>
      </c>
      <c r="O868" s="147">
        <f t="shared" si="232"/>
        <v>885600</v>
      </c>
      <c r="P868" s="147" t="str">
        <f t="shared" si="3"/>
        <v>Rp49,200-20 LSN-10.00%</v>
      </c>
      <c r="Q868" s="149">
        <v>45427.0</v>
      </c>
      <c r="R868" s="150"/>
      <c r="S868" s="149">
        <v>45427.0</v>
      </c>
      <c r="T868" s="151"/>
      <c r="U868" s="151"/>
      <c r="V868" s="151"/>
      <c r="W868" s="151"/>
    </row>
    <row r="869">
      <c r="A869" s="142">
        <v>4925.0</v>
      </c>
      <c r="B869" s="143" t="str">
        <f t="shared" si="253"/>
        <v>H</v>
      </c>
      <c r="C869" s="143" t="str">
        <f t="shared" si="254"/>
        <v>SISWA-MUNTILAN</v>
      </c>
      <c r="D869" s="193" t="s">
        <v>4739</v>
      </c>
      <c r="E869" s="145" t="str">
        <f>IFERROR(__xludf.DUMMYFUNCTION("vlookup(D869,IMPORTRANGE(""https://docs.google.com/spreadsheets/d/1swGwZOEqYlTEUCJLY-eeJM1911Kvaei5oySBIxdgtNo/edit?pli=1#gid=257618397"",""stock FAKTUR!B:C""),2,false)"),"GUNTING GUNINDO OMM GR19")</f>
        <v>GUNTING GUNINDO OMM GR19</v>
      </c>
      <c r="F869" s="53" t="str">
        <f>IFERROR(__xludf.DUMMYFUNCTION("vlookup($D869,IMPORTRANGE(""https://docs.google.com/spreadsheets/d/1swGwZOEqYlTEUCJLY-eeJM1911Kvaei5oySBIxdgtNo/edit?pli=1#gid=257618397"",""stock FAKTUR!B:d""),3,false)"),"")</f>
        <v/>
      </c>
      <c r="G869" s="53" t="str">
        <f>IFERROR(__xludf.DUMMYFUNCTION("vlookup($D869,IMPORTRANGE(""https://docs.google.com/spreadsheets/d/1swGwZOEqYlTEUCJLY-eeJM1911Kvaei5oySBIxdgtNo/edit?pli=1#gid=257618397"",""stock FAKTUR!B:e""),4,false)"),"")</f>
        <v/>
      </c>
      <c r="H869" s="53" t="str">
        <f>IFERROR(__xludf.DUMMYFUNCTION("vlookup($D869,IMPORTRANGE(""https://docs.google.com/spreadsheets/d/1swGwZOEqYlTEUCJLY-eeJM1911Kvaei5oySBIxdgtNo/edit?pli=1#gid=257618397"",""stock FAKTUR!B:F""),5,false)"),"GN")</f>
        <v>GN</v>
      </c>
      <c r="I869" s="53" t="str">
        <f>IFERROR(__xludf.DUMMYFUNCTION("vlookup($D869,IMPORTRANGE(""https://docs.google.com/spreadsheets/d/1swGwZOEqYlTEUCJLY-eeJM1911Kvaei5oySBIxdgtNo/edit?pli=1#gid=257618397"",""stock FAKTUR!B:G""),6,false)"),"GR19")</f>
        <v>GR19</v>
      </c>
      <c r="J869" s="120" t="str">
        <f t="shared" si="25"/>
        <v>ADA</v>
      </c>
      <c r="K869" s="142">
        <v>10.0</v>
      </c>
      <c r="L869" s="145" t="str">
        <f>IFERROR(__xludf.DUMMYFUNCTION("vlookup($D869,IMPORTRANGE(""https://docs.google.com/spreadsheets/d/1swGwZOEqYlTEUCJLY-eeJM1911Kvaei5oySBIxdgtNo/edit?pli=1#gid=257618397"",""stock FAKTUR!B:q""),16,false)"),"LSN")</f>
        <v>LSN</v>
      </c>
      <c r="M869" s="147">
        <v>57000.0</v>
      </c>
      <c r="N869" s="152">
        <v>0.1</v>
      </c>
      <c r="O869" s="147">
        <f t="shared" si="232"/>
        <v>513000</v>
      </c>
      <c r="P869" s="147" t="str">
        <f t="shared" si="3"/>
        <v>Rp57,000-10 LSN-10.00%</v>
      </c>
      <c r="Q869" s="149">
        <v>45427.0</v>
      </c>
      <c r="R869" s="150"/>
      <c r="S869" s="149">
        <v>45427.0</v>
      </c>
      <c r="T869" s="194" t="s">
        <v>4793</v>
      </c>
      <c r="U869" s="192" t="s">
        <v>4390</v>
      </c>
      <c r="V869" s="151"/>
      <c r="W869" s="151"/>
    </row>
    <row r="870">
      <c r="A870" s="142">
        <v>4917.0</v>
      </c>
      <c r="B870" s="143" t="s">
        <v>33</v>
      </c>
      <c r="C870" s="143" t="s">
        <v>4794</v>
      </c>
      <c r="D870" s="53" t="s">
        <v>4795</v>
      </c>
      <c r="E870" s="145" t="str">
        <f>IFERROR(__xludf.DUMMYFUNCTION("vlookup(D870,IMPORTRANGE(""https://docs.google.com/spreadsheets/d/1swGwZOEqYlTEUCJLY-eeJM1911Kvaei5oySBIxdgtNo/edit?pli=1#gid=257618397"",""stock FAKTUR!B:C""),2,false)"),"LAMINATING FILM JK LF100-2234 (F4)")</f>
        <v>LAMINATING FILM JK LF100-2234 (F4)</v>
      </c>
      <c r="F870" s="53" t="str">
        <f>IFERROR(__xludf.DUMMYFUNCTION("vlookup($D870,IMPORTRANGE(""https://docs.google.com/spreadsheets/d/1swGwZOEqYlTEUCJLY-eeJM1911Kvaei5oySBIxdgtNo/edit?pli=1#gid=257618397"",""stock FAKTUR!B:d""),3,false)"),"F4")</f>
        <v>F4</v>
      </c>
      <c r="G870" s="53" t="str">
        <f>IFERROR(__xludf.DUMMYFUNCTION("vlookup($D870,IMPORTRANGE(""https://docs.google.com/spreadsheets/d/1swGwZOEqYlTEUCJLY-eeJM1911Kvaei5oySBIxdgtNo/edit?pli=1#gid=257618397"",""stock FAKTUR!B:e""),4,false)"),"")</f>
        <v/>
      </c>
      <c r="H870" s="53" t="str">
        <f>IFERROR(__xludf.DUMMYFUNCTION("vlookup($D870,IMPORTRANGE(""https://docs.google.com/spreadsheets/d/1swGwZOEqYlTEUCJLY-eeJM1911Kvaei5oySBIxdgtNo/edit?pli=1#gid=257618397"",""stock FAKTUR!B:F""),5,false)"),"JK")</f>
        <v>JK</v>
      </c>
      <c r="I870" s="53" t="str">
        <f>IFERROR(__xludf.DUMMYFUNCTION("vlookup($D870,IMPORTRANGE(""https://docs.google.com/spreadsheets/d/1swGwZOEqYlTEUCJLY-eeJM1911Kvaei5oySBIxdgtNo/edit?pli=1#gid=257618397"",""stock FAKTUR!B:G""),6,false)"),"LF100-2234")</f>
        <v>LF100-2234</v>
      </c>
      <c r="J870" s="120" t="str">
        <f t="shared" si="25"/>
        <v>ADA</v>
      </c>
      <c r="K870" s="142">
        <v>10.0</v>
      </c>
      <c r="L870" s="145" t="str">
        <f>IFERROR(__xludf.DUMMYFUNCTION("vlookup($D870,IMPORTRANGE(""https://docs.google.com/spreadsheets/d/1swGwZOEqYlTEUCJLY-eeJM1911Kvaei5oySBIxdgtNo/edit?pli=1#gid=257618397"",""stock FAKTUR!B:q""),16,false)"),"PAK")</f>
        <v>PAK</v>
      </c>
      <c r="M870" s="147">
        <v>83000.0</v>
      </c>
      <c r="N870" s="152">
        <v>0.125</v>
      </c>
      <c r="O870" s="147">
        <f t="shared" si="232"/>
        <v>726250</v>
      </c>
      <c r="P870" s="147" t="str">
        <f t="shared" si="3"/>
        <v>Rp83,000-10 PAK-12.50%</v>
      </c>
      <c r="Q870" s="149">
        <v>45426.0</v>
      </c>
      <c r="R870" s="150"/>
      <c r="S870" s="149">
        <v>45427.0</v>
      </c>
      <c r="T870" s="151"/>
      <c r="U870" s="151"/>
      <c r="V870" s="151"/>
      <c r="W870" s="151"/>
    </row>
    <row r="871">
      <c r="A871" s="142">
        <v>4917.0</v>
      </c>
      <c r="B871" s="143" t="str">
        <f t="shared" ref="B871:B872" si="255">IF(A871=A870,B870,"")</f>
        <v>H</v>
      </c>
      <c r="C871" s="143" t="str">
        <f t="shared" ref="C871:C872" si="256">IF(A871=A870,C870,"")</f>
        <v>UD MEDIA FC-KUDUS</v>
      </c>
      <c r="D871" s="53" t="s">
        <v>4533</v>
      </c>
      <c r="E871" s="145" t="str">
        <f>IFERROR(__xludf.DUMMYFUNCTION("vlookup(D871,IMPORTRANGE(""https://docs.google.com/spreadsheets/d/1swGwZOEqYlTEUCJLY-eeJM1911Kvaei5oySBIxdgtNo/edit?pli=1#gid=257618397"",""stock FAKTUR!B:C""),2,false)"),"BINDER CLIP KENKO NO. 200")</f>
        <v>BINDER CLIP KENKO NO. 200</v>
      </c>
      <c r="F871" s="53" t="str">
        <f>IFERROR(__xludf.DUMMYFUNCTION("vlookup($D871,IMPORTRANGE(""https://docs.google.com/spreadsheets/d/1swGwZOEqYlTEUCJLY-eeJM1911Kvaei5oySBIxdgtNo/edit?pli=1#gid=257618397"",""stock FAKTUR!B:d""),3,false)"),"")</f>
        <v/>
      </c>
      <c r="G871" s="53" t="str">
        <f>IFERROR(__xludf.DUMMYFUNCTION("vlookup($D871,IMPORTRANGE(""https://docs.google.com/spreadsheets/d/1swGwZOEqYlTEUCJLY-eeJM1911Kvaei5oySBIxdgtNo/edit?pli=1#gid=257618397"",""stock FAKTUR!B:e""),4,false)"),"")</f>
        <v/>
      </c>
      <c r="H871" s="53" t="str">
        <f>IFERROR(__xludf.DUMMYFUNCTION("vlookup($D871,IMPORTRANGE(""https://docs.google.com/spreadsheets/d/1swGwZOEqYlTEUCJLY-eeJM1911Kvaei5oySBIxdgtNo/edit?pli=1#gid=257618397"",""stock FAKTUR!B:F""),5,false)"),"KN")</f>
        <v>KN</v>
      </c>
      <c r="I871" s="53" t="str">
        <f>IFERROR(__xludf.DUMMYFUNCTION("vlookup($D871,IMPORTRANGE(""https://docs.google.com/spreadsheets/d/1swGwZOEqYlTEUCJLY-eeJM1911Kvaei5oySBIxdgtNo/edit?pli=1#gid=257618397"",""stock FAKTUR!B:G""),6,false)"),"BCL-005QH")</f>
        <v>BCL-005QH</v>
      </c>
      <c r="J871" s="120" t="str">
        <f t="shared" si="25"/>
        <v>ADA</v>
      </c>
      <c r="K871" s="142">
        <v>10.0</v>
      </c>
      <c r="L871" s="145" t="str">
        <f>IFERROR(__xludf.DUMMYFUNCTION("vlookup($D871,IMPORTRANGE(""https://docs.google.com/spreadsheets/d/1swGwZOEqYlTEUCJLY-eeJM1911Kvaei5oySBIxdgtNo/edit?pli=1#gid=257618397"",""stock FAKTUR!B:q""),16,false)"),"GRS")</f>
        <v>GRS</v>
      </c>
      <c r="M871" s="147">
        <v>120000.0</v>
      </c>
      <c r="N871" s="152">
        <v>0.125</v>
      </c>
      <c r="O871" s="147">
        <f t="shared" si="232"/>
        <v>1050000</v>
      </c>
      <c r="P871" s="147" t="str">
        <f t="shared" si="3"/>
        <v>Rp120,000-10 GRS-12.50%</v>
      </c>
      <c r="Q871" s="149">
        <v>45426.0</v>
      </c>
      <c r="R871" s="150"/>
      <c r="S871" s="149">
        <v>45427.0</v>
      </c>
      <c r="T871" s="151"/>
      <c r="U871" s="151"/>
      <c r="V871" s="151"/>
      <c r="W871" s="151"/>
    </row>
    <row r="872">
      <c r="A872" s="142">
        <v>4917.0</v>
      </c>
      <c r="B872" s="143" t="str">
        <f t="shared" si="255"/>
        <v>H</v>
      </c>
      <c r="C872" s="143" t="str">
        <f t="shared" si="256"/>
        <v>UD MEDIA FC-KUDUS</v>
      </c>
      <c r="D872" s="53" t="s">
        <v>4532</v>
      </c>
      <c r="E872" s="145" t="str">
        <f>IFERROR(__xludf.DUMMYFUNCTION("vlookup(D872,IMPORTRANGE(""https://docs.google.com/spreadsheets/d/1swGwZOEqYlTEUCJLY-eeJM1911Kvaei5oySBIxdgtNo/edit?pli=1#gid=257618397"",""stock FAKTUR!B:C""),2,false)"),"BINDER CLIP KENKO NO. 260")</f>
        <v>BINDER CLIP KENKO NO. 260</v>
      </c>
      <c r="F872" s="53" t="str">
        <f>IFERROR(__xludf.DUMMYFUNCTION("vlookup($D872,IMPORTRANGE(""https://docs.google.com/spreadsheets/d/1swGwZOEqYlTEUCJLY-eeJM1911Kvaei5oySBIxdgtNo/edit?pli=1#gid=257618397"",""stock FAKTUR!B:d""),3,false)"),"")</f>
        <v/>
      </c>
      <c r="G872" s="53" t="str">
        <f>IFERROR(__xludf.DUMMYFUNCTION("vlookup($D872,IMPORTRANGE(""https://docs.google.com/spreadsheets/d/1swGwZOEqYlTEUCJLY-eeJM1911Kvaei5oySBIxdgtNo/edit?pli=1#gid=257618397"",""stock FAKTUR!B:e""),4,false)"),"")</f>
        <v/>
      </c>
      <c r="H872" s="53" t="str">
        <f>IFERROR(__xludf.DUMMYFUNCTION("vlookup($D872,IMPORTRANGE(""https://docs.google.com/spreadsheets/d/1swGwZOEqYlTEUCJLY-eeJM1911Kvaei5oySBIxdgtNo/edit?pli=1#gid=257618397"",""stock FAKTUR!B:F""),5,false)"),"KN")</f>
        <v>KN</v>
      </c>
      <c r="I872" s="53" t="str">
        <f>IFERROR(__xludf.DUMMYFUNCTION("vlookup($D872,IMPORTRANGE(""https://docs.google.com/spreadsheets/d/1swGwZOEqYlTEUCJLY-eeJM1911Kvaei5oySBIxdgtNo/edit?pli=1#gid=257618397"",""stock FAKTUR!B:G""),6,false)"),"BCL-006QH")</f>
        <v>BCL-006QH</v>
      </c>
      <c r="J872" s="120" t="str">
        <f t="shared" si="25"/>
        <v>ADA</v>
      </c>
      <c r="K872" s="142">
        <v>5.0</v>
      </c>
      <c r="L872" s="145" t="str">
        <f>IFERROR(__xludf.DUMMYFUNCTION("vlookup($D872,IMPORTRANGE(""https://docs.google.com/spreadsheets/d/1swGwZOEqYlTEUCJLY-eeJM1911Kvaei5oySBIxdgtNo/edit?pli=1#gid=257618397"",""stock FAKTUR!B:q""),16,false)"),"GRS")</f>
        <v>GRS</v>
      </c>
      <c r="M872" s="147">
        <v>180000.0</v>
      </c>
      <c r="N872" s="152">
        <v>0.125</v>
      </c>
      <c r="O872" s="147">
        <f t="shared" si="232"/>
        <v>787500</v>
      </c>
      <c r="P872" s="147" t="str">
        <f t="shared" si="3"/>
        <v>Rp180,000-5 GRS-12.50%</v>
      </c>
      <c r="Q872" s="149">
        <v>45426.0</v>
      </c>
      <c r="R872" s="150"/>
      <c r="S872" s="149">
        <v>45427.0</v>
      </c>
      <c r="T872" s="151"/>
      <c r="U872" s="151"/>
      <c r="V872" s="151"/>
      <c r="W872" s="151"/>
    </row>
    <row r="873">
      <c r="A873" s="142">
        <v>2933.0</v>
      </c>
      <c r="B873" s="143" t="s">
        <v>33</v>
      </c>
      <c r="C873" s="143" t="s">
        <v>2355</v>
      </c>
      <c r="D873" s="151" t="s">
        <v>4462</v>
      </c>
      <c r="E873" s="145" t="str">
        <f>IFERROR(__xludf.DUMMYFUNCTION("vlookup(D873,IMPORTRANGE(""https://docs.google.com/spreadsheets/d/1swGwZOEqYlTEUCJLY-eeJM1911Kvaei5oySBIxdgtNo/edit?pli=1#gid=257618397"",""stock FAKTUR!B:C""),2,false)"),"GUNTING GUNINDO OSS GR15")</f>
        <v>GUNTING GUNINDO OSS GR15</v>
      </c>
      <c r="F873" s="53" t="str">
        <f>IFERROR(__xludf.DUMMYFUNCTION("vlookup($D873,IMPORTRANGE(""https://docs.google.com/spreadsheets/d/1swGwZOEqYlTEUCJLY-eeJM1911Kvaei5oySBIxdgtNo/edit?pli=1#gid=257618397"",""stock FAKTUR!B:d""),3,false)"),"")</f>
        <v/>
      </c>
      <c r="G873" s="53" t="str">
        <f>IFERROR(__xludf.DUMMYFUNCTION("vlookup($D873,IMPORTRANGE(""https://docs.google.com/spreadsheets/d/1swGwZOEqYlTEUCJLY-eeJM1911Kvaei5oySBIxdgtNo/edit?pli=1#gid=257618397"",""stock FAKTUR!B:e""),4,false)"),"")</f>
        <v/>
      </c>
      <c r="H873" s="53" t="str">
        <f>IFERROR(__xludf.DUMMYFUNCTION("vlookup($D873,IMPORTRANGE(""https://docs.google.com/spreadsheets/d/1swGwZOEqYlTEUCJLY-eeJM1911Kvaei5oySBIxdgtNo/edit?pli=1#gid=257618397"",""stock FAKTUR!B:F""),5,false)"),"GN")</f>
        <v>GN</v>
      </c>
      <c r="I873" s="53" t="str">
        <f>IFERROR(__xludf.DUMMYFUNCTION("vlookup($D873,IMPORTRANGE(""https://docs.google.com/spreadsheets/d/1swGwZOEqYlTEUCJLY-eeJM1911Kvaei5oySBIxdgtNo/edit?pli=1#gid=257618397"",""stock FAKTUR!B:G""),6,false)"),"GR15")</f>
        <v>GR15</v>
      </c>
      <c r="J873" s="120" t="str">
        <f t="shared" si="25"/>
        <v>ADA</v>
      </c>
      <c r="K873" s="142">
        <v>60.0</v>
      </c>
      <c r="L873" s="145" t="str">
        <f>IFERROR(__xludf.DUMMYFUNCTION("vlookup($D873,IMPORTRANGE(""https://docs.google.com/spreadsheets/d/1swGwZOEqYlTEUCJLY-eeJM1911Kvaei5oySBIxdgtNo/edit?pli=1#gid=257618397"",""stock FAKTUR!B:q""),16,false)"),"LSN")</f>
        <v>LSN</v>
      </c>
      <c r="M873" s="147">
        <v>49200.0</v>
      </c>
      <c r="N873" s="152">
        <v>0.1</v>
      </c>
      <c r="O873" s="147">
        <f t="shared" si="232"/>
        <v>2656800</v>
      </c>
      <c r="P873" s="147" t="str">
        <f t="shared" si="3"/>
        <v>Rp49,200-60 LSN-10.00%</v>
      </c>
      <c r="Q873" s="149">
        <v>45427.0</v>
      </c>
      <c r="R873" s="150"/>
      <c r="S873" s="149">
        <v>45427.0</v>
      </c>
      <c r="T873" s="151"/>
      <c r="U873" s="151"/>
      <c r="V873" s="151"/>
      <c r="W873" s="151"/>
    </row>
    <row r="874">
      <c r="A874" s="142">
        <v>4923.0</v>
      </c>
      <c r="B874" s="143" t="s">
        <v>58</v>
      </c>
      <c r="C874" s="143" t="s">
        <v>1338</v>
      </c>
      <c r="D874" s="151" t="s">
        <v>4462</v>
      </c>
      <c r="E874" s="145" t="str">
        <f>IFERROR(__xludf.DUMMYFUNCTION("vlookup(D874,IMPORTRANGE(""https://docs.google.com/spreadsheets/d/1swGwZOEqYlTEUCJLY-eeJM1911Kvaei5oySBIxdgtNo/edit?pli=1#gid=257618397"",""stock FAKTUR!B:C""),2,false)"),"GUNTING GUNINDO OSS GR15")</f>
        <v>GUNTING GUNINDO OSS GR15</v>
      </c>
      <c r="F874" s="53" t="str">
        <f>IFERROR(__xludf.DUMMYFUNCTION("vlookup($D874,IMPORTRANGE(""https://docs.google.com/spreadsheets/d/1swGwZOEqYlTEUCJLY-eeJM1911Kvaei5oySBIxdgtNo/edit?pli=1#gid=257618397"",""stock FAKTUR!B:d""),3,false)"),"")</f>
        <v/>
      </c>
      <c r="G874" s="53" t="str">
        <f>IFERROR(__xludf.DUMMYFUNCTION("vlookup($D874,IMPORTRANGE(""https://docs.google.com/spreadsheets/d/1swGwZOEqYlTEUCJLY-eeJM1911Kvaei5oySBIxdgtNo/edit?pli=1#gid=257618397"",""stock FAKTUR!B:e""),4,false)"),"")</f>
        <v/>
      </c>
      <c r="H874" s="53" t="str">
        <f>IFERROR(__xludf.DUMMYFUNCTION("vlookup($D874,IMPORTRANGE(""https://docs.google.com/spreadsheets/d/1swGwZOEqYlTEUCJLY-eeJM1911Kvaei5oySBIxdgtNo/edit?pli=1#gid=257618397"",""stock FAKTUR!B:F""),5,false)"),"GN")</f>
        <v>GN</v>
      </c>
      <c r="I874" s="53" t="str">
        <f>IFERROR(__xludf.DUMMYFUNCTION("vlookup($D874,IMPORTRANGE(""https://docs.google.com/spreadsheets/d/1swGwZOEqYlTEUCJLY-eeJM1911Kvaei5oySBIxdgtNo/edit?pli=1#gid=257618397"",""stock FAKTUR!B:G""),6,false)"),"GR15")</f>
        <v>GR15</v>
      </c>
      <c r="J874" s="120" t="str">
        <f t="shared" si="25"/>
        <v>ADA</v>
      </c>
      <c r="K874" s="142">
        <v>60.0</v>
      </c>
      <c r="L874" s="145" t="str">
        <f>IFERROR(__xludf.DUMMYFUNCTION("vlookup($D874,IMPORTRANGE(""https://docs.google.com/spreadsheets/d/1swGwZOEqYlTEUCJLY-eeJM1911Kvaei5oySBIxdgtNo/edit?pli=1#gid=257618397"",""stock FAKTUR!B:q""),16,false)"),"LSN")</f>
        <v>LSN</v>
      </c>
      <c r="M874" s="147">
        <v>49200.0</v>
      </c>
      <c r="N874" s="152">
        <v>0.1</v>
      </c>
      <c r="O874" s="147">
        <f t="shared" si="232"/>
        <v>2656800</v>
      </c>
      <c r="P874" s="147" t="str">
        <f t="shared" si="3"/>
        <v>Rp49,200-60 LSN-10.00%</v>
      </c>
      <c r="Q874" s="149">
        <v>45427.0</v>
      </c>
      <c r="R874" s="150"/>
      <c r="S874" s="149">
        <v>45427.0</v>
      </c>
      <c r="T874" s="151"/>
      <c r="U874" s="151"/>
      <c r="V874" s="151"/>
      <c r="W874" s="151"/>
    </row>
    <row r="875">
      <c r="A875" s="142">
        <v>4923.0</v>
      </c>
      <c r="B875" s="143" t="str">
        <f>IF(A875=A874,B874,"")</f>
        <v>G</v>
      </c>
      <c r="C875" s="143" t="str">
        <f>IF(A875=A874,C874,"")</f>
        <v>NABILA-TUBAN</v>
      </c>
      <c r="D875" s="193" t="s">
        <v>4796</v>
      </c>
      <c r="E875" s="145" t="str">
        <f>IFERROR(__xludf.DUMMYFUNCTION("vlookup(D875,IMPORTRANGE(""https://docs.google.com/spreadsheets/d/1swGwZOEqYlTEUCJLY-eeJM1911Kvaei5oySBIxdgtNo/edit?pli=1#gid=257618397"",""stock FAKTUR!B:C""),2,false)"),"GUNTING GUNINDO HB-75")</f>
        <v>GUNTING GUNINDO HB-75</v>
      </c>
      <c r="F875" s="53" t="str">
        <f>IFERROR(__xludf.DUMMYFUNCTION("vlookup($D875,IMPORTRANGE(""https://docs.google.com/spreadsheets/d/1swGwZOEqYlTEUCJLY-eeJM1911Kvaei5oySBIxdgtNo/edit?pli=1#gid=257618397"",""stock FAKTUR!B:d""),3,false)"),"")</f>
        <v/>
      </c>
      <c r="G875" s="53" t="str">
        <f>IFERROR(__xludf.DUMMYFUNCTION("vlookup($D875,IMPORTRANGE(""https://docs.google.com/spreadsheets/d/1swGwZOEqYlTEUCJLY-eeJM1911Kvaei5oySBIxdgtNo/edit?pli=1#gid=257618397"",""stock FAKTUR!B:e""),4,false)"),"")</f>
        <v/>
      </c>
      <c r="H875" s="53" t="str">
        <f>IFERROR(__xludf.DUMMYFUNCTION("vlookup($D875,IMPORTRANGE(""https://docs.google.com/spreadsheets/d/1swGwZOEqYlTEUCJLY-eeJM1911Kvaei5oySBIxdgtNo/edit?pli=1#gid=257618397"",""stock FAKTUR!B:F""),5,false)"),"GN")</f>
        <v>GN</v>
      </c>
      <c r="I875" s="53" t="str">
        <f>IFERROR(__xludf.DUMMYFUNCTION("vlookup($D875,IMPORTRANGE(""https://docs.google.com/spreadsheets/d/1swGwZOEqYlTEUCJLY-eeJM1911Kvaei5oySBIxdgtNo/edit?pli=1#gid=257618397"",""stock FAKTUR!B:G""),6,false)"),"GR11")</f>
        <v>GR11</v>
      </c>
      <c r="J875" s="120" t="str">
        <f t="shared" si="25"/>
        <v>ADA</v>
      </c>
      <c r="K875" s="142">
        <v>20.0</v>
      </c>
      <c r="L875" s="145" t="str">
        <f>IFERROR(__xludf.DUMMYFUNCTION("vlookup($D875,IMPORTRANGE(""https://docs.google.com/spreadsheets/d/1swGwZOEqYlTEUCJLY-eeJM1911Kvaei5oySBIxdgtNo/edit?pli=1#gid=257618397"",""stock FAKTUR!B:q""),16,false)"),"LSN")</f>
        <v>LSN</v>
      </c>
      <c r="M875" s="147">
        <v>138600.0</v>
      </c>
      <c r="N875" s="152">
        <v>0.1</v>
      </c>
      <c r="O875" s="147">
        <f t="shared" si="232"/>
        <v>2494800</v>
      </c>
      <c r="P875" s="147" t="str">
        <f t="shared" si="3"/>
        <v>Rp138,600-20 LSN-10.00%</v>
      </c>
      <c r="Q875" s="149">
        <v>45427.0</v>
      </c>
      <c r="R875" s="150"/>
      <c r="S875" s="149">
        <v>45427.0</v>
      </c>
      <c r="T875" s="194" t="s">
        <v>4508</v>
      </c>
      <c r="U875" s="192" t="s">
        <v>4390</v>
      </c>
      <c r="V875" s="151"/>
      <c r="W875" s="151"/>
    </row>
    <row r="876">
      <c r="A876" s="142">
        <v>4903.0</v>
      </c>
      <c r="B876" s="143" t="s">
        <v>58</v>
      </c>
      <c r="C876" s="143" t="s">
        <v>4797</v>
      </c>
      <c r="D876" s="53" t="s">
        <v>4748</v>
      </c>
      <c r="E876" s="145" t="str">
        <f>IFERROR(__xludf.DUMMYFUNCTION("vlookup(D876,IMPORTRANGE(""https://docs.google.com/spreadsheets/d/1swGwZOEqYlTEUCJLY-eeJM1911Kvaei5oySBIxdgtNo/edit?pli=1#gid=257618397"",""stock FAKTUR!B:C""),2,false)"),"BINDER CLIP KENKO NO. 280 (6PCS/BOX)")</f>
        <v>BINDER CLIP KENKO NO. 280 (6PCS/BOX)</v>
      </c>
      <c r="F876" s="53" t="str">
        <f>IFERROR(__xludf.DUMMYFUNCTION("vlookup($D876,IMPORTRANGE(""https://docs.google.com/spreadsheets/d/1swGwZOEqYlTEUCJLY-eeJM1911Kvaei5oySBIxdgtNo/edit?pli=1#gid=257618397"",""stock FAKTUR!B:d""),3,false)"),"")</f>
        <v/>
      </c>
      <c r="G876" s="53" t="str">
        <f>IFERROR(__xludf.DUMMYFUNCTION("vlookup($D876,IMPORTRANGE(""https://docs.google.com/spreadsheets/d/1swGwZOEqYlTEUCJLY-eeJM1911Kvaei5oySBIxdgtNo/edit?pli=1#gid=257618397"",""stock FAKTUR!B:e""),4,false)"),"")</f>
        <v/>
      </c>
      <c r="H876" s="53" t="str">
        <f>IFERROR(__xludf.DUMMYFUNCTION("vlookup($D876,IMPORTRANGE(""https://docs.google.com/spreadsheets/d/1swGwZOEqYlTEUCJLY-eeJM1911Kvaei5oySBIxdgtNo/edit?pli=1#gid=257618397"",""stock FAKTUR!B:F""),5,false)"),"KN")</f>
        <v>KN</v>
      </c>
      <c r="I876" s="53" t="str">
        <f>IFERROR(__xludf.DUMMYFUNCTION("vlookup($D876,IMPORTRANGE(""https://docs.google.com/spreadsheets/d/1swGwZOEqYlTEUCJLY-eeJM1911Kvaei5oySBIxdgtNo/edit?pli=1#gid=257618397"",""stock FAKTUR!B:G""),6,false)"),"BCL-007")</f>
        <v>BCL-007</v>
      </c>
      <c r="J876" s="120" t="str">
        <f t="shared" si="25"/>
        <v>ADA</v>
      </c>
      <c r="K876" s="142">
        <v>72.0</v>
      </c>
      <c r="L876" s="145" t="str">
        <f>IFERROR(__xludf.DUMMYFUNCTION("vlookup($D876,IMPORTRANGE(""https://docs.google.com/spreadsheets/d/1swGwZOEqYlTEUCJLY-eeJM1911Kvaei5oySBIxdgtNo/edit?pli=1#gid=257618397"",""stock FAKTUR!B:q""),16,false)"),"BOX")</f>
        <v>BOX</v>
      </c>
      <c r="M876" s="147">
        <v>21500.0</v>
      </c>
      <c r="N876" s="152">
        <v>0.125</v>
      </c>
      <c r="O876" s="147">
        <f t="shared" si="232"/>
        <v>1354500</v>
      </c>
      <c r="P876" s="147" t="str">
        <f t="shared" si="3"/>
        <v>Rp21,500-72 BOX-12.50%</v>
      </c>
      <c r="Q876" s="149">
        <v>45426.0</v>
      </c>
      <c r="R876" s="149">
        <v>45423.0</v>
      </c>
      <c r="S876" s="149">
        <v>45427.0</v>
      </c>
      <c r="T876" s="151"/>
      <c r="U876" s="151"/>
      <c r="V876" s="151"/>
      <c r="W876" s="151"/>
    </row>
    <row r="877">
      <c r="A877" s="142">
        <v>4903.0</v>
      </c>
      <c r="B877" s="143" t="str">
        <f t="shared" ref="B877:B879" si="257">IF(A877=A876,B876,"")</f>
        <v>G</v>
      </c>
      <c r="C877" s="143" t="str">
        <f t="shared" ref="C877:C879" si="258">IF(A877=A876,C876,"")</f>
        <v>RINGAN-TULUNGAGUNG</v>
      </c>
      <c r="D877" s="53" t="s">
        <v>4386</v>
      </c>
      <c r="E877" s="145" t="str">
        <f>IFERROR(__xludf.DUMMYFUNCTION("vlookup(D877,IMPORTRANGE(""https://docs.google.com/spreadsheets/d/1swGwZOEqYlTEUCJLY-eeJM1911Kvaei5oySBIxdgtNo/edit?pli=1#gid=257618397"",""stock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877" s="53" t="str">
        <f>IFERROR(__xludf.DUMMYFUNCTION("vlookup($D877,IMPORTRANGE(""https://docs.google.com/spreadsheets/d/1swGwZOEqYlTEUCJLY-eeJM1911Kvaei5oySBIxdgtNo/edit?pli=1#gid=257618397"",""stock FAKTUR!B:d""),3,false)"),"")</f>
        <v/>
      </c>
      <c r="G877" s="53" t="str">
        <f>IFERROR(__xludf.DUMMYFUNCTION("vlookup($D877,IMPORTRANGE(""https://docs.google.com/spreadsheets/d/1swGwZOEqYlTEUCJLY-eeJM1911Kvaei5oySBIxdgtNo/edit?pli=1#gid=257618397"",""stock FAKTUR!B:e""),4,false)"),"12W")</f>
        <v>12W</v>
      </c>
      <c r="H877" s="53" t="str">
        <f>IFERROR(__xludf.DUMMYFUNCTION("vlookup($D877,IMPORTRANGE(""https://docs.google.com/spreadsheets/d/1swGwZOEqYlTEUCJLY-eeJM1911Kvaei5oySBIxdgtNo/edit?pli=1#gid=257618397"",""stock FAKTUR!B:F""),5,false)"),"JK")</f>
        <v>JK</v>
      </c>
      <c r="I877" s="53" t="str">
        <f>IFERROR(__xludf.DUMMYFUNCTION("vlookup($D877,IMPORTRANGE(""https://docs.google.com/spreadsheets/d/1swGwZOEqYlTEUCJLY-eeJM1911Kvaei5oySBIxdgtNo/edit?pli=1#gid=257618397"",""stock FAKTUR!B:G""),6,false)"),"OP-12S")</f>
        <v>OP-12S</v>
      </c>
      <c r="J877" s="120" t="str">
        <f t="shared" si="25"/>
        <v>ADA</v>
      </c>
      <c r="K877" s="142">
        <v>144.0</v>
      </c>
      <c r="L877" s="145" t="str">
        <f>IFERROR(__xludf.DUMMYFUNCTION("vlookup($D877,IMPORTRANGE(""https://docs.google.com/spreadsheets/d/1swGwZOEqYlTEUCJLY-eeJM1911Kvaei5oySBIxdgtNo/edit?pli=1#gid=257618397"",""stock FAKTUR!B:q""),16,false)"),"PCS")</f>
        <v>PCS</v>
      </c>
      <c r="M877" s="147">
        <v>12300.0</v>
      </c>
      <c r="N877" s="152">
        <v>0.125</v>
      </c>
      <c r="O877" s="147">
        <f t="shared" si="232"/>
        <v>1549800</v>
      </c>
      <c r="P877" s="147" t="str">
        <f t="shared" si="3"/>
        <v>Rp12,300-144 PCS-12.50%</v>
      </c>
      <c r="Q877" s="149">
        <v>45426.0</v>
      </c>
      <c r="R877" s="149">
        <v>45426.0</v>
      </c>
      <c r="S877" s="149">
        <v>45427.0</v>
      </c>
      <c r="T877" s="151"/>
      <c r="U877" s="151"/>
      <c r="V877" s="151"/>
      <c r="W877" s="151"/>
    </row>
    <row r="878">
      <c r="A878" s="142">
        <v>4903.0</v>
      </c>
      <c r="B878" s="143" t="str">
        <f t="shared" si="257"/>
        <v>G</v>
      </c>
      <c r="C878" s="143" t="str">
        <f t="shared" si="258"/>
        <v>RINGAN-TULUNGAGUNG</v>
      </c>
      <c r="D878" s="53" t="s">
        <v>4579</v>
      </c>
      <c r="E878" s="145" t="str">
        <f>IFERROR(__xludf.DUMMYFUNCTION("vlookup(D878,IMPORTRANGE(""https://docs.google.com/spreadsheets/d/1swGwZOEqYlTEUCJLY-eeJM1911Kvaei5oySBIxdgtNo/edit?pli=1#gid=257618397"",""stock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878" s="53" t="str">
        <f>IFERROR(__xludf.DUMMYFUNCTION("vlookup($D878,IMPORTRANGE(""https://docs.google.com/spreadsheets/d/1swGwZOEqYlTEUCJLY-eeJM1911Kvaei5oySBIxdgtNo/edit?pli=1#gid=257618397"",""stock FAKTUR!B:d""),3,false)"),"")</f>
        <v/>
      </c>
      <c r="G878" s="53" t="str">
        <f>IFERROR(__xludf.DUMMYFUNCTION("vlookup($D878,IMPORTRANGE(""https://docs.google.com/spreadsheets/d/1swGwZOEqYlTEUCJLY-eeJM1911Kvaei5oySBIxdgtNo/edit?pli=1#gid=257618397"",""stock FAKTUR!B:e""),4,false)"),"48W")</f>
        <v>48W</v>
      </c>
      <c r="H878" s="53" t="str">
        <f>IFERROR(__xludf.DUMMYFUNCTION("vlookup($D878,IMPORTRANGE(""https://docs.google.com/spreadsheets/d/1swGwZOEqYlTEUCJLY-eeJM1911Kvaei5oySBIxdgtNo/edit?pli=1#gid=257618397"",""stock FAKTUR!B:F""),5,false)"),"JK")</f>
        <v>JK</v>
      </c>
      <c r="I878" s="53" t="str">
        <f>IFERROR(__xludf.DUMMYFUNCTION("vlookup($D878,IMPORTRANGE(""https://docs.google.com/spreadsheets/d/1swGwZOEqYlTEUCJLY-eeJM1911Kvaei5oySBIxdgtNo/edit?pli=1#gid=257618397"",""stock FAKTUR!B:G""),6,false)"),"OP-48S")</f>
        <v>OP-48S</v>
      </c>
      <c r="J878" s="120" t="str">
        <f t="shared" si="25"/>
        <v>ADA</v>
      </c>
      <c r="K878" s="142">
        <v>24.0</v>
      </c>
      <c r="L878" s="145" t="str">
        <f>IFERROR(__xludf.DUMMYFUNCTION("vlookup($D878,IMPORTRANGE(""https://docs.google.com/spreadsheets/d/1swGwZOEqYlTEUCJLY-eeJM1911Kvaei5oySBIxdgtNo/edit?pli=1#gid=257618397"",""stock FAKTUR!B:q""),16,false)"),"PCS")</f>
        <v>PCS</v>
      </c>
      <c r="M878" s="147">
        <v>60700.0</v>
      </c>
      <c r="N878" s="152">
        <v>0.125</v>
      </c>
      <c r="O878" s="147">
        <f t="shared" si="232"/>
        <v>1274700</v>
      </c>
      <c r="P878" s="147" t="str">
        <f t="shared" si="3"/>
        <v>Rp60,700-24 PCS-12.50%</v>
      </c>
      <c r="Q878" s="149">
        <v>45426.0</v>
      </c>
      <c r="R878" s="149">
        <v>45426.0</v>
      </c>
      <c r="S878" s="149">
        <v>45427.0</v>
      </c>
      <c r="T878" s="151"/>
      <c r="U878" s="151"/>
      <c r="V878" s="151"/>
      <c r="W878" s="151"/>
    </row>
    <row r="879">
      <c r="A879" s="142">
        <v>4903.0</v>
      </c>
      <c r="B879" s="143" t="str">
        <f t="shared" si="257"/>
        <v>G</v>
      </c>
      <c r="C879" s="143" t="str">
        <f t="shared" si="258"/>
        <v>RINGAN-TULUNGAGUNG</v>
      </c>
      <c r="D879" s="53" t="s">
        <v>4402</v>
      </c>
      <c r="E879" s="145" t="str">
        <f>IFERROR(__xludf.DUMMYFUNCTION("vlookup(D879,IMPORTRANGE(""https://docs.google.com/spreadsheets/d/1swGwZOEqYlTEUCJLY-eeJM1911Kvaei5oySBIxdgtNo/edit?pli=1#gid=257618397"",""stock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879" s="53" t="str">
        <f>IFERROR(__xludf.DUMMYFUNCTION("vlookup($D879,IMPORTRANGE(""https://docs.google.com/spreadsheets/d/1swGwZOEqYlTEUCJLY-eeJM1911Kvaei5oySBIxdgtNo/edit?pli=1#gid=257618397"",""stock FAKTUR!B:d""),3,false)"),"")</f>
        <v/>
      </c>
      <c r="G879" s="53" t="str">
        <f>IFERROR(__xludf.DUMMYFUNCTION("vlookup($D879,IMPORTRANGE(""https://docs.google.com/spreadsheets/d/1swGwZOEqYlTEUCJLY-eeJM1911Kvaei5oySBIxdgtNo/edit?pli=1#gid=257618397"",""stock FAKTUR!B:e""),4,false)"),"55W")</f>
        <v>55W</v>
      </c>
      <c r="H879" s="53" t="str">
        <f>IFERROR(__xludf.DUMMYFUNCTION("vlookup($D879,IMPORTRANGE(""https://docs.google.com/spreadsheets/d/1swGwZOEqYlTEUCJLY-eeJM1911Kvaei5oySBIxdgtNo/edit?pli=1#gid=257618397"",""stock FAKTUR!B:F""),5,false)"),"JK")</f>
        <v>JK</v>
      </c>
      <c r="I879" s="53" t="str">
        <f>IFERROR(__xludf.DUMMYFUNCTION("vlookup($D879,IMPORTRANGE(""https://docs.google.com/spreadsheets/d/1swGwZOEqYlTEUCJLY-eeJM1911Kvaei5oySBIxdgtNo/edit?pli=1#gid=257618397"",""stock FAKTUR!B:G""),6,false)"),"")</f>
        <v/>
      </c>
      <c r="J879" s="120" t="str">
        <f t="shared" si="25"/>
        <v>ADA</v>
      </c>
      <c r="K879" s="142">
        <v>24.0</v>
      </c>
      <c r="L879" s="145" t="str">
        <f>IFERROR(__xludf.DUMMYFUNCTION("vlookup($D879,IMPORTRANGE(""https://docs.google.com/spreadsheets/d/1swGwZOEqYlTEUCJLY-eeJM1911Kvaei5oySBIxdgtNo/edit?pli=1#gid=257618397"",""stock FAKTUR!B:q""),16,false)"),"PCS")</f>
        <v>PCS</v>
      </c>
      <c r="M879" s="147">
        <v>68700.0</v>
      </c>
      <c r="N879" s="152">
        <v>0.125</v>
      </c>
      <c r="O879" s="147">
        <f t="shared" si="232"/>
        <v>1442700</v>
      </c>
      <c r="P879" s="147" t="str">
        <f t="shared" si="3"/>
        <v>Rp68,700-24 PCS-12.50%</v>
      </c>
      <c r="Q879" s="149">
        <v>45426.0</v>
      </c>
      <c r="R879" s="149">
        <v>45426.0</v>
      </c>
      <c r="S879" s="149">
        <v>45427.0</v>
      </c>
      <c r="T879" s="151"/>
      <c r="U879" s="151"/>
      <c r="V879" s="151"/>
      <c r="W879" s="151"/>
    </row>
    <row r="880">
      <c r="A880" s="142">
        <v>4921.0</v>
      </c>
      <c r="B880" s="143" t="s">
        <v>33</v>
      </c>
      <c r="C880" s="143" t="s">
        <v>3283</v>
      </c>
      <c r="D880" s="53" t="s">
        <v>4566</v>
      </c>
      <c r="E880" s="145" t="str">
        <f>IFERROR(__xludf.DUMMYFUNCTION("vlookup(D880,IMPORTRANGE(""https://docs.google.com/spreadsheets/d/1swGwZOEqYlTEUCJLY-eeJM1911Kvaei5oySBIxdgtNo/edit?pli=1#gid=257618397"",""stock FAKTUR!B:C""),2,false)"),"PC MAGNIT FC-5223 3D (23X8.5)")</f>
        <v>PC MAGNIT FC-5223 3D (23X8.5)</v>
      </c>
      <c r="F880" s="53" t="str">
        <f>IFERROR(__xludf.DUMMYFUNCTION("vlookup($D880,IMPORTRANGE(""https://docs.google.com/spreadsheets/d/1swGwZOEqYlTEUCJLY-eeJM1911Kvaei5oySBIxdgtNo/edit?pli=1#gid=257618397"",""stock FAKTUR!B:d""),3,false)"),"")</f>
        <v/>
      </c>
      <c r="G880" s="53" t="str">
        <f>IFERROR(__xludf.DUMMYFUNCTION("vlookup($D880,IMPORTRANGE(""https://docs.google.com/spreadsheets/d/1swGwZOEqYlTEUCJLY-eeJM1911Kvaei5oySBIxdgtNo/edit?pli=1#gid=257618397"",""stock FAKTUR!B:e""),4,false)"),"")</f>
        <v/>
      </c>
      <c r="H880" s="53" t="str">
        <f>IFERROR(__xludf.DUMMYFUNCTION("vlookup($D880,IMPORTRANGE(""https://docs.google.com/spreadsheets/d/1swGwZOEqYlTEUCJLY-eeJM1911Kvaei5oySBIxdgtNo/edit?pli=1#gid=257618397"",""stock FAKTUR!B:F""),5,false)"),"NB")</f>
        <v>NB</v>
      </c>
      <c r="I880" s="53" t="str">
        <f>IFERROR(__xludf.DUMMYFUNCTION("vlookup($D880,IMPORTRANGE(""https://docs.google.com/spreadsheets/d/1swGwZOEqYlTEUCJLY-eeJM1911Kvaei5oySBIxdgtNo/edit?pli=1#gid=257618397"",""stock FAKTUR!B:G""),6,false)"),"")</f>
        <v/>
      </c>
      <c r="J880" s="120" t="str">
        <f t="shared" si="25"/>
        <v>ADA</v>
      </c>
      <c r="K880" s="142">
        <f t="shared" ref="K880:K881" si="259">3*12</f>
        <v>36</v>
      </c>
      <c r="L880" s="145" t="str">
        <f>IFERROR(__xludf.DUMMYFUNCTION("vlookup($D880,IMPORTRANGE(""https://docs.google.com/spreadsheets/d/1swGwZOEqYlTEUCJLY-eeJM1911Kvaei5oySBIxdgtNo/edit?pli=1#gid=257618397"",""stock FAKTUR!B:q""),16,false)"),"PCS")</f>
        <v>PCS</v>
      </c>
      <c r="M880" s="147">
        <f>165000/12</f>
        <v>13750</v>
      </c>
      <c r="N880" s="148"/>
      <c r="O880" s="147">
        <f t="shared" si="232"/>
        <v>495000</v>
      </c>
      <c r="P880" s="147" t="str">
        <f t="shared" si="3"/>
        <v>Rp13,750-36 PCS-0.00%</v>
      </c>
      <c r="Q880" s="149">
        <v>45426.0</v>
      </c>
      <c r="R880" s="150"/>
      <c r="S880" s="149">
        <v>45427.0</v>
      </c>
      <c r="T880" s="151"/>
      <c r="U880" s="151"/>
      <c r="V880" s="151"/>
      <c r="W880" s="151"/>
    </row>
    <row r="881">
      <c r="A881" s="142">
        <v>4921.0</v>
      </c>
      <c r="B881" s="143" t="str">
        <f>IF(A881=A880,B880,"")</f>
        <v>H</v>
      </c>
      <c r="C881" s="143" t="str">
        <f>IF(A881=A880,C880,"")</f>
        <v>TELADAN-TEGAL</v>
      </c>
      <c r="D881" s="53" t="s">
        <v>4411</v>
      </c>
      <c r="E881" s="145" t="str">
        <f>IFERROR(__xludf.DUMMYFUNCTION("vlookup(D881,IMPORTRANGE(""https://docs.google.com/spreadsheets/d/1swGwZOEqYlTEUCJLY-eeJM1911Kvaei5oySBIxdgtNo/edit?pli=1#gid=257618397"",""stock FAKTUR!B:C""),2,false)"),"PC KLG TY-552 MOBIL+ANAK 21X6.5")</f>
        <v>PC KLG TY-552 MOBIL+ANAK 21X6.5</v>
      </c>
      <c r="F881" s="53" t="str">
        <f>IFERROR(__xludf.DUMMYFUNCTION("vlookup($D881,IMPORTRANGE(""https://docs.google.com/spreadsheets/d/1swGwZOEqYlTEUCJLY-eeJM1911Kvaei5oySBIxdgtNo/edit?pli=1#gid=257618397"",""stock FAKTUR!B:d""),3,false)"),"")</f>
        <v/>
      </c>
      <c r="G881" s="53" t="str">
        <f>IFERROR(__xludf.DUMMYFUNCTION("vlookup($D881,IMPORTRANGE(""https://docs.google.com/spreadsheets/d/1swGwZOEqYlTEUCJLY-eeJM1911Kvaei5oySBIxdgtNo/edit?pli=1#gid=257618397"",""stock FAKTUR!B:e""),4,false)"),"")</f>
        <v/>
      </c>
      <c r="H881" s="53" t="str">
        <f>IFERROR(__xludf.DUMMYFUNCTION("vlookup($D881,IMPORTRANGE(""https://docs.google.com/spreadsheets/d/1swGwZOEqYlTEUCJLY-eeJM1911Kvaei5oySBIxdgtNo/edit?pli=1#gid=257618397"",""stock FAKTUR!B:F""),5,false)"),"NB")</f>
        <v>NB</v>
      </c>
      <c r="I881" s="53" t="str">
        <f>IFERROR(__xludf.DUMMYFUNCTION("vlookup($D881,IMPORTRANGE(""https://docs.google.com/spreadsheets/d/1swGwZOEqYlTEUCJLY-eeJM1911Kvaei5oySBIxdgtNo/edit?pli=1#gid=257618397"",""stock FAKTUR!B:G""),6,false)"),"")</f>
        <v/>
      </c>
      <c r="J881" s="120" t="str">
        <f t="shared" si="25"/>
        <v>ADA</v>
      </c>
      <c r="K881" s="142">
        <f t="shared" si="259"/>
        <v>36</v>
      </c>
      <c r="L881" s="145" t="str">
        <f>IFERROR(__xludf.DUMMYFUNCTION("vlookup($D881,IMPORTRANGE(""https://docs.google.com/spreadsheets/d/1swGwZOEqYlTEUCJLY-eeJM1911Kvaei5oySBIxdgtNo/edit?pli=1#gid=257618397"",""stock FAKTUR!B:q""),16,false)"),"PCS")</f>
        <v>PCS</v>
      </c>
      <c r="M881" s="147">
        <f>125000/12</f>
        <v>10416.66667</v>
      </c>
      <c r="N881" s="148"/>
      <c r="O881" s="147">
        <f t="shared" si="232"/>
        <v>375000</v>
      </c>
      <c r="P881" s="147" t="str">
        <f t="shared" si="3"/>
        <v>Rp10,417-36 PCS-0.00%</v>
      </c>
      <c r="Q881" s="149">
        <v>45426.0</v>
      </c>
      <c r="R881" s="150"/>
      <c r="S881" s="149">
        <v>45427.0</v>
      </c>
      <c r="T881" s="151"/>
      <c r="U881" s="151"/>
      <c r="V881" s="151"/>
      <c r="W881" s="151"/>
    </row>
    <row r="882">
      <c r="A882" s="142">
        <v>239.0</v>
      </c>
      <c r="B882" s="143" t="s">
        <v>4798</v>
      </c>
      <c r="C882" s="143" t="s">
        <v>4518</v>
      </c>
      <c r="D882" s="53" t="s">
        <v>4708</v>
      </c>
      <c r="E882" s="145" t="str">
        <f>IFERROR(__xludf.DUMMYFUNCTION("vlookup(D882,IMPORTRANGE(""https://docs.google.com/spreadsheets/d/1swGwZOEqYlTEUCJLY-eeJM1911Kvaei5oySBIxdgtNo/edit?pli=1#gid=257618397"",""stock FAKTUR!B:C""),2,false)"),"BINDER CLIP KENKO NO. 155")</f>
        <v>BINDER CLIP KENKO NO. 155</v>
      </c>
      <c r="F882" s="53" t="str">
        <f>IFERROR(__xludf.DUMMYFUNCTION("vlookup($D882,IMPORTRANGE(""https://docs.google.com/spreadsheets/d/1swGwZOEqYlTEUCJLY-eeJM1911Kvaei5oySBIxdgtNo/edit?pli=1#gid=257618397"",""stock FAKTUR!B:d""),3,false)"),"")</f>
        <v/>
      </c>
      <c r="G882" s="53" t="str">
        <f>IFERROR(__xludf.DUMMYFUNCTION("vlookup($D882,IMPORTRANGE(""https://docs.google.com/spreadsheets/d/1swGwZOEqYlTEUCJLY-eeJM1911Kvaei5oySBIxdgtNo/edit?pli=1#gid=257618397"",""stock FAKTUR!B:e""),4,false)"),"")</f>
        <v/>
      </c>
      <c r="H882" s="53" t="str">
        <f>IFERROR(__xludf.DUMMYFUNCTION("vlookup($D882,IMPORTRANGE(""https://docs.google.com/spreadsheets/d/1swGwZOEqYlTEUCJLY-eeJM1911Kvaei5oySBIxdgtNo/edit?pli=1#gid=257618397"",""stock FAKTUR!B:F""),5,false)"),"KN")</f>
        <v>KN</v>
      </c>
      <c r="I882" s="53" t="str">
        <f>IFERROR(__xludf.DUMMYFUNCTION("vlookup($D882,IMPORTRANGE(""https://docs.google.com/spreadsheets/d/1swGwZOEqYlTEUCJLY-eeJM1911Kvaei5oySBIxdgtNo/edit?pli=1#gid=257618397"",""stock FAKTUR!B:G""),6,false)"),"BCL-004QH")</f>
        <v>BCL-004QH</v>
      </c>
      <c r="J882" s="120" t="str">
        <f t="shared" si="25"/>
        <v>ADA</v>
      </c>
      <c r="K882" s="142">
        <v>3.0</v>
      </c>
      <c r="L882" s="145" t="str">
        <f>IFERROR(__xludf.DUMMYFUNCTION("vlookup($D882,IMPORTRANGE(""https://docs.google.com/spreadsheets/d/1swGwZOEqYlTEUCJLY-eeJM1911Kvaei5oySBIxdgtNo/edit?pli=1#gid=257618397"",""stock FAKTUR!B:q""),16,false)"),"BOX")</f>
        <v>BOX</v>
      </c>
      <c r="M882" s="147">
        <v>5750.0</v>
      </c>
      <c r="N882" s="152">
        <v>0.15</v>
      </c>
      <c r="O882" s="147">
        <f t="shared" si="232"/>
        <v>14662.5</v>
      </c>
      <c r="P882" s="147" t="str">
        <f t="shared" si="3"/>
        <v>Rp5,750-3 BOX-15.00%</v>
      </c>
      <c r="Q882" s="149">
        <v>45426.0</v>
      </c>
      <c r="R882" s="150"/>
      <c r="S882" s="149">
        <v>45427.0</v>
      </c>
      <c r="T882" s="151"/>
      <c r="U882" s="151"/>
      <c r="V882" s="151"/>
      <c r="W882" s="151"/>
    </row>
    <row r="883">
      <c r="A883" s="142">
        <v>239.0</v>
      </c>
      <c r="B883" s="143" t="str">
        <f t="shared" ref="B883:B885" si="260">IF(A883=A882,B882,"")</f>
        <v>-</v>
      </c>
      <c r="C883" s="143" t="str">
        <f t="shared" ref="C883:C885" si="261">IF(A883=A882,C882,"")</f>
        <v>SBM</v>
      </c>
      <c r="D883" s="53" t="s">
        <v>4210</v>
      </c>
      <c r="E883" s="145" t="str">
        <f>IFERROR(__xludf.DUMMYFUNCTION("vlookup(D883,IMPORTRANGE(""https://docs.google.com/spreadsheets/d/1swGwZOEqYlTEUCJLY-eeJM1911Kvaei5oySBIxdgtNo/edit?pli=1#gid=257618397"",""stock FAKTUR!B:C""),2,false)"),"CUTTER KENKO L-500")</f>
        <v>CUTTER KENKO L-500</v>
      </c>
      <c r="F883" s="53" t="str">
        <f>IFERROR(__xludf.DUMMYFUNCTION("vlookup($D883,IMPORTRANGE(""https://docs.google.com/spreadsheets/d/1swGwZOEqYlTEUCJLY-eeJM1911Kvaei5oySBIxdgtNo/edit?pli=1#gid=257618397"",""stock FAKTUR!B:d""),3,false)"),"18 MM")</f>
        <v>18 MM</v>
      </c>
      <c r="G883" s="53" t="str">
        <f>IFERROR(__xludf.DUMMYFUNCTION("vlookup($D883,IMPORTRANGE(""https://docs.google.com/spreadsheets/d/1swGwZOEqYlTEUCJLY-eeJM1911Kvaei5oySBIxdgtNo/edit?pli=1#gid=257618397"",""stock FAKTUR!B:e""),4,false)"),"")</f>
        <v/>
      </c>
      <c r="H883" s="53" t="str">
        <f>IFERROR(__xludf.DUMMYFUNCTION("vlookup($D883,IMPORTRANGE(""https://docs.google.com/spreadsheets/d/1swGwZOEqYlTEUCJLY-eeJM1911Kvaei5oySBIxdgtNo/edit?pli=1#gid=257618397"",""stock FAKTUR!B:F""),5,false)"),"KN")</f>
        <v>KN</v>
      </c>
      <c r="I883" s="53" t="str">
        <f>IFERROR(__xludf.DUMMYFUNCTION("vlookup($D883,IMPORTRANGE(""https://docs.google.com/spreadsheets/d/1swGwZOEqYlTEUCJLY-eeJM1911Kvaei5oySBIxdgtNo/edit?pli=1#gid=257618397"",""stock FAKTUR!B:G""),6,false)"),"CTR-007")</f>
        <v>CTR-007</v>
      </c>
      <c r="J883" s="120" t="str">
        <f t="shared" si="25"/>
        <v>ADA</v>
      </c>
      <c r="K883" s="142">
        <v>1.0</v>
      </c>
      <c r="L883" s="145" t="str">
        <f>IFERROR(__xludf.DUMMYFUNCTION("vlookup($D883,IMPORTRANGE(""https://docs.google.com/spreadsheets/d/1swGwZOEqYlTEUCJLY-eeJM1911Kvaei5oySBIxdgtNo/edit?pli=1#gid=257618397"",""stock FAKTUR!B:q""),16,false)"),"LSN")</f>
        <v>LSN</v>
      </c>
      <c r="M883" s="147">
        <v>147600.0</v>
      </c>
      <c r="N883" s="152">
        <v>0.15</v>
      </c>
      <c r="O883" s="147">
        <f t="shared" si="232"/>
        <v>125460</v>
      </c>
      <c r="P883" s="147" t="str">
        <f t="shared" si="3"/>
        <v>Rp147,600-1 LSN-15.00%</v>
      </c>
      <c r="Q883" s="149">
        <v>45426.0</v>
      </c>
      <c r="R883" s="150"/>
      <c r="S883" s="149">
        <v>45427.0</v>
      </c>
      <c r="T883" s="151"/>
      <c r="U883" s="151"/>
      <c r="V883" s="151"/>
      <c r="W883" s="151"/>
    </row>
    <row r="884">
      <c r="A884" s="142">
        <v>239.0</v>
      </c>
      <c r="B884" s="143" t="str">
        <f t="shared" si="260"/>
        <v>-</v>
      </c>
      <c r="C884" s="143" t="str">
        <f t="shared" si="261"/>
        <v>SBM</v>
      </c>
      <c r="D884" s="53" t="s">
        <v>4430</v>
      </c>
      <c r="E884" s="145" t="str">
        <f>IFERROR(__xludf.DUMMYFUNCTION("vlookup(D884,IMPORTRANGE(""https://docs.google.com/spreadsheets/d/1swGwZOEqYlTEUCJLY-eeJM1911Kvaei5oySBIxdgtNo/edit?pli=1#gid=257618397"",""stock FAKTUR!B:C""),2,false)"),"LEM STICK KENKO 8GR KECIL")</f>
        <v>LEM STICK KENKO 8GR KECIL</v>
      </c>
      <c r="F884" s="53" t="str">
        <f>IFERROR(__xludf.DUMMYFUNCTION("vlookup($D884,IMPORTRANGE(""https://docs.google.com/spreadsheets/d/1swGwZOEqYlTEUCJLY-eeJM1911Kvaei5oySBIxdgtNo/edit?pli=1#gid=257618397"",""stock FAKTUR!B:d""),3,false)"),"K")</f>
        <v>K</v>
      </c>
      <c r="G884" s="53" t="str">
        <f>IFERROR(__xludf.DUMMYFUNCTION("vlookup($D884,IMPORTRANGE(""https://docs.google.com/spreadsheets/d/1swGwZOEqYlTEUCJLY-eeJM1911Kvaei5oySBIxdgtNo/edit?pli=1#gid=257618397"",""stock FAKTUR!B:e""),4,false)"),"")</f>
        <v/>
      </c>
      <c r="H884" s="53" t="str">
        <f>IFERROR(__xludf.DUMMYFUNCTION("vlookup($D884,IMPORTRANGE(""https://docs.google.com/spreadsheets/d/1swGwZOEqYlTEUCJLY-eeJM1911Kvaei5oySBIxdgtNo/edit?pli=1#gid=257618397"",""stock FAKTUR!B:F""),5,false)"),"KN")</f>
        <v>KN</v>
      </c>
      <c r="I884" s="53" t="str">
        <f>IFERROR(__xludf.DUMMYFUNCTION("vlookup($D884,IMPORTRANGE(""https://docs.google.com/spreadsheets/d/1swGwZOEqYlTEUCJLY-eeJM1911Kvaei5oySBIxdgtNo/edit?pli=1#gid=257618397"",""stock FAKTUR!B:G""),6,false)"),"GST-001GA")</f>
        <v>GST-001GA</v>
      </c>
      <c r="J884" s="120" t="str">
        <f t="shared" si="25"/>
        <v>ADA</v>
      </c>
      <c r="K884" s="142">
        <v>1.0</v>
      </c>
      <c r="L884" s="145" t="str">
        <f>IFERROR(__xludf.DUMMYFUNCTION("vlookup($D884,IMPORTRANGE(""https://docs.google.com/spreadsheets/d/1swGwZOEqYlTEUCJLY-eeJM1911Kvaei5oySBIxdgtNo/edit?pli=1#gid=257618397"",""stock FAKTUR!B:q""),16,false)"),"BOX")</f>
        <v>BOX</v>
      </c>
      <c r="M884" s="147">
        <v>66000.0</v>
      </c>
      <c r="N884" s="152">
        <v>0.15</v>
      </c>
      <c r="O884" s="147">
        <f t="shared" si="232"/>
        <v>56100</v>
      </c>
      <c r="P884" s="147" t="str">
        <f t="shared" si="3"/>
        <v>Rp66,000-1 BOX-15.00%</v>
      </c>
      <c r="Q884" s="149">
        <v>45426.0</v>
      </c>
      <c r="R884" s="150"/>
      <c r="S884" s="149">
        <v>45427.0</v>
      </c>
      <c r="T884" s="151"/>
      <c r="U884" s="151"/>
      <c r="V884" s="151"/>
      <c r="W884" s="151"/>
    </row>
    <row r="885">
      <c r="A885" s="142">
        <v>239.0</v>
      </c>
      <c r="B885" s="143" t="str">
        <f t="shared" si="260"/>
        <v>-</v>
      </c>
      <c r="C885" s="143" t="str">
        <f t="shared" si="261"/>
        <v>SBM</v>
      </c>
      <c r="D885" s="53" t="s">
        <v>4405</v>
      </c>
      <c r="E885" s="145" t="str">
        <f>IFERROR(__xludf.DUMMYFUNCTION("vlookup(D885,IMPORTRANGE(""https://docs.google.com/spreadsheets/d/1swGwZOEqYlTEUCJLY-eeJM1911Kvaei5oySBIxdgtNo/edit?pli=1#gid=257618397"",""stock FAKTUR!B:C""),2,false)"),"BK KAS KWARTO")</f>
        <v>BK KAS KWARTO</v>
      </c>
      <c r="F885" s="53" t="str">
        <f>IFERROR(__xludf.DUMMYFUNCTION("vlookup($D885,IMPORTRANGE(""https://docs.google.com/spreadsheets/d/1swGwZOEqYlTEUCJLY-eeJM1911Kvaei5oySBIxdgtNo/edit?pli=1#gid=257618397"",""stock FAKTUR!B:d""),3,false)"),"A4")</f>
        <v>A4</v>
      </c>
      <c r="G885" s="53" t="str">
        <f>IFERROR(__xludf.DUMMYFUNCTION("vlookup($D885,IMPORTRANGE(""https://docs.google.com/spreadsheets/d/1swGwZOEqYlTEUCJLY-eeJM1911Kvaei5oySBIxdgtNo/edit?pli=1#gid=257618397"",""stock FAKTUR!B:e""),4,false)"),"")</f>
        <v/>
      </c>
      <c r="H885" s="53" t="str">
        <f>IFERROR(__xludf.DUMMYFUNCTION("vlookup($D885,IMPORTRANGE(""https://docs.google.com/spreadsheets/d/1swGwZOEqYlTEUCJLY-eeJM1911Kvaei5oySBIxdgtNo/edit?pli=1#gid=257618397"",""stock FAKTUR!B:F""),5,false)"),"NB")</f>
        <v>NB</v>
      </c>
      <c r="I885" s="53" t="str">
        <f>IFERROR(__xludf.DUMMYFUNCTION("vlookup($D885,IMPORTRANGE(""https://docs.google.com/spreadsheets/d/1swGwZOEqYlTEUCJLY-eeJM1911Kvaei5oySBIxdgtNo/edit?pli=1#gid=257618397"",""stock FAKTUR!B:G""),6,false)"),"")</f>
        <v/>
      </c>
      <c r="J885" s="120" t="str">
        <f t="shared" si="25"/>
        <v>ADA</v>
      </c>
      <c r="K885" s="142">
        <f>6*5</f>
        <v>30</v>
      </c>
      <c r="L885" s="145" t="str">
        <f>IFERROR(__xludf.DUMMYFUNCTION("vlookup($D885,IMPORTRANGE(""https://docs.google.com/spreadsheets/d/1swGwZOEqYlTEUCJLY-eeJM1911Kvaei5oySBIxdgtNo/edit?pli=1#gid=257618397"",""stock FAKTUR!B:q""),16,false)"),"PCS")</f>
        <v>PCS</v>
      </c>
      <c r="M885" s="147">
        <v>8500.0</v>
      </c>
      <c r="N885" s="148"/>
      <c r="O885" s="147">
        <f t="shared" si="232"/>
        <v>255000</v>
      </c>
      <c r="P885" s="147" t="str">
        <f t="shared" si="3"/>
        <v>Rp8,500-30 PCS-0.00%</v>
      </c>
      <c r="Q885" s="149">
        <v>45426.0</v>
      </c>
      <c r="R885" s="150"/>
      <c r="S885" s="149">
        <v>45427.0</v>
      </c>
      <c r="T885" s="151"/>
      <c r="U885" s="151"/>
      <c r="V885" s="151"/>
      <c r="W885" s="151"/>
    </row>
    <row r="886">
      <c r="A886" s="142">
        <v>4920.0</v>
      </c>
      <c r="B886" s="143" t="s">
        <v>33</v>
      </c>
      <c r="C886" s="143" t="s">
        <v>1768</v>
      </c>
      <c r="D886" s="53" t="s">
        <v>4416</v>
      </c>
      <c r="E886" s="145" t="str">
        <f>IFERROR(__xludf.DUMMYFUNCTION("vlookup(D886,IMPORTRANGE(""https://docs.google.com/spreadsheets/d/1swGwZOEqYlTEUCJLY-eeJM1911Kvaei5oySBIxdgtNo/edit?pli=1#gid=257618397"",""stock FAKTUR!B:C""),2,false)"),"BP KENKO KE-303 T-GEL HITAM")</f>
        <v>BP KENKO KE-303 T-GEL HITAM</v>
      </c>
      <c r="F886" s="53" t="str">
        <f>IFERROR(__xludf.DUMMYFUNCTION("vlookup($D886,IMPORTRANGE(""https://docs.google.com/spreadsheets/d/1swGwZOEqYlTEUCJLY-eeJM1911Kvaei5oySBIxdgtNo/edit?pli=1#gid=257618397"",""stock FAKTUR!B:d""),3,false)"),"")</f>
        <v/>
      </c>
      <c r="G886" s="53" t="str">
        <f>IFERROR(__xludf.DUMMYFUNCTION("vlookup($D886,IMPORTRANGE(""https://docs.google.com/spreadsheets/d/1swGwZOEqYlTEUCJLY-eeJM1911Kvaei5oySBIxdgtNo/edit?pli=1#gid=257618397"",""stock FAKTUR!B:e""),4,false)"),"")</f>
        <v/>
      </c>
      <c r="H886" s="53" t="str">
        <f>IFERROR(__xludf.DUMMYFUNCTION("vlookup($D886,IMPORTRANGE(""https://docs.google.com/spreadsheets/d/1swGwZOEqYlTEUCJLY-eeJM1911Kvaei5oySBIxdgtNo/edit?pli=1#gid=257618397"",""stock FAKTUR!B:F""),5,false)"),"KN")</f>
        <v>KN</v>
      </c>
      <c r="I886" s="53" t="str">
        <f>IFERROR(__xludf.DUMMYFUNCTION("vlookup($D886,IMPORTRANGE(""https://docs.google.com/spreadsheets/d/1swGwZOEqYlTEUCJLY-eeJM1911Kvaei5oySBIxdgtNo/edit?pli=1#gid=257618397"",""stock FAKTUR!B:G""),6,false)"),"KE-303")</f>
        <v>KE-303</v>
      </c>
      <c r="J886" s="120" t="str">
        <f t="shared" si="25"/>
        <v>ADA</v>
      </c>
      <c r="K886" s="142">
        <v>72.0</v>
      </c>
      <c r="L886" s="145" t="str">
        <f>IFERROR(__xludf.DUMMYFUNCTION("vlookup($D886,IMPORTRANGE(""https://docs.google.com/spreadsheets/d/1swGwZOEqYlTEUCJLY-eeJM1911Kvaei5oySBIxdgtNo/edit?pli=1#gid=257618397"",""stock FAKTUR!B:q""),16,false)"),"LSN")</f>
        <v>LSN</v>
      </c>
      <c r="M886" s="147">
        <v>21600.0</v>
      </c>
      <c r="N886" s="152">
        <v>0.125</v>
      </c>
      <c r="O886" s="147">
        <f t="shared" si="232"/>
        <v>1360800</v>
      </c>
      <c r="P886" s="147" t="str">
        <f t="shared" si="3"/>
        <v>Rp21,600-72 LSN-12.50%</v>
      </c>
      <c r="Q886" s="149">
        <v>45426.0</v>
      </c>
      <c r="R886" s="150"/>
      <c r="S886" s="149">
        <v>45427.0</v>
      </c>
      <c r="T886" s="151"/>
      <c r="U886" s="151"/>
      <c r="V886" s="151"/>
      <c r="W886" s="151"/>
    </row>
    <row r="887">
      <c r="A887" s="142">
        <v>4920.0</v>
      </c>
      <c r="B887" s="143" t="str">
        <f t="shared" ref="B887:B889" si="262">IF(A887=A886,B886,"")</f>
        <v>H</v>
      </c>
      <c r="C887" s="143" t="str">
        <f t="shared" ref="C887:C889" si="263">IF(A887=A886,C886,"")</f>
        <v>SISWA-MUNTILAN</v>
      </c>
      <c r="D887" s="53" t="s">
        <v>4436</v>
      </c>
      <c r="E887" s="145" t="str">
        <f>IFERROR(__xludf.DUMMYFUNCTION("vlookup(D887,IMPORTRANGE(""https://docs.google.com/spreadsheets/d/1swGwZOEqYlTEUCJLY-eeJM1911Kvaei5oySBIxdgtNo/edit?pli=1#gid=257618397"",""stock FAKTUR!B:C""),2,false)"),"STAPLER KENKO HD-50")</f>
        <v>STAPLER KENKO HD-50</v>
      </c>
      <c r="F887" s="53" t="str">
        <f>IFERROR(__xludf.DUMMYFUNCTION("vlookup($D887,IMPORTRANGE(""https://docs.google.com/spreadsheets/d/1swGwZOEqYlTEUCJLY-eeJM1911Kvaei5oySBIxdgtNo/edit?pli=1#gid=257618397"",""stock FAKTUR!B:d""),3,false)"),"")</f>
        <v/>
      </c>
      <c r="G887" s="53" t="str">
        <f>IFERROR(__xludf.DUMMYFUNCTION("vlookup($D887,IMPORTRANGE(""https://docs.google.com/spreadsheets/d/1swGwZOEqYlTEUCJLY-eeJM1911Kvaei5oySBIxdgtNo/edit?pli=1#gid=257618397"",""stock FAKTUR!B:e""),4,false)"),"")</f>
        <v/>
      </c>
      <c r="H887" s="53" t="str">
        <f>IFERROR(__xludf.DUMMYFUNCTION("vlookup($D887,IMPORTRANGE(""https://docs.google.com/spreadsheets/d/1swGwZOEqYlTEUCJLY-eeJM1911Kvaei5oySBIxdgtNo/edit?pli=1#gid=257618397"",""stock FAKTUR!B:F""),5,false)"),"KN")</f>
        <v>KN</v>
      </c>
      <c r="I887" s="53" t="str">
        <f>IFERROR(__xludf.DUMMYFUNCTION("vlookup($D887,IMPORTRANGE(""https://docs.google.com/spreadsheets/d/1swGwZOEqYlTEUCJLY-eeJM1911Kvaei5oySBIxdgtNo/edit?pli=1#gid=257618397"",""stock FAKTUR!B:G""),6,false)"),"HD-50")</f>
        <v>HD-50</v>
      </c>
      <c r="J887" s="120" t="str">
        <f t="shared" si="25"/>
        <v>ADA</v>
      </c>
      <c r="K887" s="142">
        <v>10.0</v>
      </c>
      <c r="L887" s="145" t="str">
        <f>IFERROR(__xludf.DUMMYFUNCTION("vlookup($D887,IMPORTRANGE(""https://docs.google.com/spreadsheets/d/1swGwZOEqYlTEUCJLY-eeJM1911Kvaei5oySBIxdgtNo/edit?pli=1#gid=257618397"",""stock FAKTUR!B:q""),16,false)"),"PCS")</f>
        <v>PCS</v>
      </c>
      <c r="M887" s="147">
        <v>19000.0</v>
      </c>
      <c r="N887" s="152">
        <v>0.125</v>
      </c>
      <c r="O887" s="147">
        <f t="shared" si="232"/>
        <v>166250</v>
      </c>
      <c r="P887" s="147" t="str">
        <f t="shared" si="3"/>
        <v>Rp19,000-10 PCS-12.50%</v>
      </c>
      <c r="Q887" s="149">
        <v>45426.0</v>
      </c>
      <c r="R887" s="150"/>
      <c r="S887" s="149">
        <v>45427.0</v>
      </c>
      <c r="T887" s="151"/>
      <c r="U887" s="151"/>
      <c r="V887" s="151"/>
      <c r="W887" s="151"/>
    </row>
    <row r="888">
      <c r="A888" s="142">
        <v>4920.0</v>
      </c>
      <c r="B888" s="143" t="str">
        <f t="shared" si="262"/>
        <v>H</v>
      </c>
      <c r="C888" s="143" t="str">
        <f t="shared" si="263"/>
        <v>SISWA-MUNTILAN</v>
      </c>
      <c r="D888" s="53" t="s">
        <v>4430</v>
      </c>
      <c r="E888" s="145" t="str">
        <f>IFERROR(__xludf.DUMMYFUNCTION("vlookup(D888,IMPORTRANGE(""https://docs.google.com/spreadsheets/d/1swGwZOEqYlTEUCJLY-eeJM1911Kvaei5oySBIxdgtNo/edit?pli=1#gid=257618397"",""stock FAKTUR!B:C""),2,false)"),"LEM STICK KENKO 8GR KECIL")</f>
        <v>LEM STICK KENKO 8GR KECIL</v>
      </c>
      <c r="F888" s="53" t="str">
        <f>IFERROR(__xludf.DUMMYFUNCTION("vlookup($D888,IMPORTRANGE(""https://docs.google.com/spreadsheets/d/1swGwZOEqYlTEUCJLY-eeJM1911Kvaei5oySBIxdgtNo/edit?pli=1#gid=257618397"",""stock FAKTUR!B:d""),3,false)"),"K")</f>
        <v>K</v>
      </c>
      <c r="G888" s="53" t="str">
        <f>IFERROR(__xludf.DUMMYFUNCTION("vlookup($D888,IMPORTRANGE(""https://docs.google.com/spreadsheets/d/1swGwZOEqYlTEUCJLY-eeJM1911Kvaei5oySBIxdgtNo/edit?pli=1#gid=257618397"",""stock FAKTUR!B:e""),4,false)"),"")</f>
        <v/>
      </c>
      <c r="H888" s="53" t="str">
        <f>IFERROR(__xludf.DUMMYFUNCTION("vlookup($D888,IMPORTRANGE(""https://docs.google.com/spreadsheets/d/1swGwZOEqYlTEUCJLY-eeJM1911Kvaei5oySBIxdgtNo/edit?pli=1#gid=257618397"",""stock FAKTUR!B:F""),5,false)"),"KN")</f>
        <v>KN</v>
      </c>
      <c r="I888" s="53" t="str">
        <f>IFERROR(__xludf.DUMMYFUNCTION("vlookup($D888,IMPORTRANGE(""https://docs.google.com/spreadsheets/d/1swGwZOEqYlTEUCJLY-eeJM1911Kvaei5oySBIxdgtNo/edit?pli=1#gid=257618397"",""stock FAKTUR!B:G""),6,false)"),"GST-001GA")</f>
        <v>GST-001GA</v>
      </c>
      <c r="J888" s="120" t="str">
        <f t="shared" si="25"/>
        <v>ADA</v>
      </c>
      <c r="K888" s="142">
        <v>10.0</v>
      </c>
      <c r="L888" s="145" t="str">
        <f>IFERROR(__xludf.DUMMYFUNCTION("vlookup($D888,IMPORTRANGE(""https://docs.google.com/spreadsheets/d/1swGwZOEqYlTEUCJLY-eeJM1911Kvaei5oySBIxdgtNo/edit?pli=1#gid=257618397"",""stock FAKTUR!B:q""),16,false)"),"BOX")</f>
        <v>BOX</v>
      </c>
      <c r="M888" s="147">
        <v>66000.0</v>
      </c>
      <c r="N888" s="152">
        <v>0.125</v>
      </c>
      <c r="O888" s="147">
        <f t="shared" si="232"/>
        <v>577500</v>
      </c>
      <c r="P888" s="147" t="str">
        <f t="shared" si="3"/>
        <v>Rp66,000-10 BOX-12.50%</v>
      </c>
      <c r="Q888" s="149">
        <v>45426.0</v>
      </c>
      <c r="R888" s="150"/>
      <c r="S888" s="149">
        <v>45427.0</v>
      </c>
      <c r="T888" s="151"/>
      <c r="U888" s="151"/>
      <c r="V888" s="151"/>
      <c r="W888" s="151"/>
    </row>
    <row r="889">
      <c r="A889" s="142">
        <v>4920.0</v>
      </c>
      <c r="B889" s="143" t="str">
        <f t="shared" si="262"/>
        <v>H</v>
      </c>
      <c r="C889" s="143" t="str">
        <f t="shared" si="263"/>
        <v>SISWA-MUNTILAN</v>
      </c>
      <c r="D889" s="53" t="s">
        <v>4401</v>
      </c>
      <c r="E889" s="145" t="str">
        <f>IFERROR(__xludf.DUMMYFUNCTION("vlookup(D889,IMPORTRANGE(""https://docs.google.com/spreadsheets/d/1swGwZOEqYlTEUCJLY-eeJM1911Kvaei5oySBIxdgtNo/edit?pli=1#gid=257618397"",""stock FAKTUR!B:C""),2,false)"),"BP GEL KENKO EASY HITAM")</f>
        <v>BP GEL KENKO EASY HITAM</v>
      </c>
      <c r="F889" s="53" t="str">
        <f>IFERROR(__xludf.DUMMYFUNCTION("vlookup($D889,IMPORTRANGE(""https://docs.google.com/spreadsheets/d/1swGwZOEqYlTEUCJLY-eeJM1911Kvaei5oySBIxdgtNo/edit?pli=1#gid=257618397"",""stock FAKTUR!B:d""),3,false)"),"")</f>
        <v/>
      </c>
      <c r="G889" s="53" t="str">
        <f>IFERROR(__xludf.DUMMYFUNCTION("vlookup($D889,IMPORTRANGE(""https://docs.google.com/spreadsheets/d/1swGwZOEqYlTEUCJLY-eeJM1911Kvaei5oySBIxdgtNo/edit?pli=1#gid=257618397"",""stock FAKTUR!B:e""),4,false)"),"HITAM")</f>
        <v>HITAM</v>
      </c>
      <c r="H889" s="53" t="str">
        <f>IFERROR(__xludf.DUMMYFUNCTION("vlookup($D889,IMPORTRANGE(""https://docs.google.com/spreadsheets/d/1swGwZOEqYlTEUCJLY-eeJM1911Kvaei5oySBIxdgtNo/edit?pli=1#gid=257618397"",""stock FAKTUR!B:F""),5,false)"),"KN")</f>
        <v>KN</v>
      </c>
      <c r="I889" s="53" t="str">
        <f>IFERROR(__xludf.DUMMYFUNCTION("vlookup($D889,IMPORTRANGE(""https://docs.google.com/spreadsheets/d/1swGwZOEqYlTEUCJLY-eeJM1911Kvaei5oySBIxdgtNo/edit?pli=1#gid=257618397"",""stock FAKTUR!B:G""),6,false)"),"GPT-005B")</f>
        <v>GPT-005B</v>
      </c>
      <c r="J889" s="120" t="str">
        <f t="shared" si="25"/>
        <v>ADA</v>
      </c>
      <c r="K889" s="142">
        <v>144.0</v>
      </c>
      <c r="L889" s="145" t="str">
        <f>IFERROR(__xludf.DUMMYFUNCTION("vlookup($D889,IMPORTRANGE(""https://docs.google.com/spreadsheets/d/1swGwZOEqYlTEUCJLY-eeJM1911Kvaei5oySBIxdgtNo/edit?pli=1#gid=257618397"",""stock FAKTUR!B:q""),16,false)"),"LSN")</f>
        <v>LSN</v>
      </c>
      <c r="M889" s="147">
        <v>26100.0</v>
      </c>
      <c r="N889" s="152">
        <v>0.125</v>
      </c>
      <c r="O889" s="147">
        <f t="shared" si="232"/>
        <v>3288600</v>
      </c>
      <c r="P889" s="147" t="str">
        <f t="shared" si="3"/>
        <v>Rp26,100-144 LSN-12.50%</v>
      </c>
      <c r="Q889" s="149">
        <v>45426.0</v>
      </c>
      <c r="R889" s="150"/>
      <c r="S889" s="149">
        <v>45427.0</v>
      </c>
      <c r="T889" s="151"/>
      <c r="U889" s="151"/>
      <c r="V889" s="151"/>
      <c r="W889" s="151"/>
    </row>
    <row r="890">
      <c r="A890" s="142">
        <v>4922.0</v>
      </c>
      <c r="B890" s="143" t="s">
        <v>65</v>
      </c>
      <c r="C890" s="143" t="s">
        <v>3533</v>
      </c>
      <c r="D890" s="145" t="s">
        <v>4446</v>
      </c>
      <c r="E890" s="145" t="str">
        <f>IFERROR(__xludf.DUMMYFUNCTION("vlookup(D890,IMPORTRANGE(""https://docs.google.com/spreadsheets/d/1swGwZOEqYlTEUCJLY-eeJM1911Kvaei5oySBIxdgtNo/edit?pli=1#gid=257618397"",""stock FAKTUR!B:C""),2,false)"),"PC KLG/ STUDY SET K-597 MOBIL 20.5X7")</f>
        <v>PC KLG/ STUDY SET K-597 MOBIL 20.5X7</v>
      </c>
      <c r="F890" s="145" t="str">
        <f>IFERROR(__xludf.DUMMYFUNCTION("vlookup($D890,IMPORTRANGE(""https://docs.google.com/spreadsheets/d/1swGwZOEqYlTEUCJLY-eeJM1911Kvaei5oySBIxdgtNo/edit?pli=1#gid=257618397"",""stock FAKTUR!B:d""),3,false)"),"")</f>
        <v/>
      </c>
      <c r="G890" s="145" t="str">
        <f>IFERROR(__xludf.DUMMYFUNCTION("vlookup($D890,IMPORTRANGE(""https://docs.google.com/spreadsheets/d/1swGwZOEqYlTEUCJLY-eeJM1911Kvaei5oySBIxdgtNo/edit?pli=1#gid=257618397"",""stock FAKTUR!B:e""),4,false)"),"")</f>
        <v/>
      </c>
      <c r="H890" s="145" t="str">
        <f>IFERROR(__xludf.DUMMYFUNCTION("vlookup($D890,IMPORTRANGE(""https://docs.google.com/spreadsheets/d/1swGwZOEqYlTEUCJLY-eeJM1911Kvaei5oySBIxdgtNo/edit?pli=1#gid=257618397"",""stock FAKTUR!B:F""),5,false)"),"NB")</f>
        <v>NB</v>
      </c>
      <c r="I890" s="145" t="str">
        <f>IFERROR(__xludf.DUMMYFUNCTION("vlookup($D890,IMPORTRANGE(""https://docs.google.com/spreadsheets/d/1swGwZOEqYlTEUCJLY-eeJM1911Kvaei5oySBIxdgtNo/edit?pli=1#gid=257618397"",""stock FAKTUR!B:G""),6,false)"),"")</f>
        <v/>
      </c>
      <c r="J890" s="199" t="str">
        <f t="shared" si="25"/>
        <v>ADA</v>
      </c>
      <c r="K890" s="142">
        <v>144.0</v>
      </c>
      <c r="L890" s="145" t="str">
        <f>IFERROR(__xludf.DUMMYFUNCTION("vlookup($D890,IMPORTRANGE(""https://docs.google.com/spreadsheets/d/1swGwZOEqYlTEUCJLY-eeJM1911Kvaei5oySBIxdgtNo/edit?pli=1#gid=257618397"",""stock FAKTUR!B:q""),16,false)"),"PCS")</f>
        <v>PCS</v>
      </c>
      <c r="M890" s="147">
        <v>10000.0</v>
      </c>
      <c r="N890" s="148"/>
      <c r="O890" s="147">
        <f t="shared" si="232"/>
        <v>1440000</v>
      </c>
      <c r="P890" s="147" t="str">
        <f t="shared" si="3"/>
        <v>Rp10,000-144 PCS-0.00%</v>
      </c>
      <c r="Q890" s="149">
        <v>45426.0</v>
      </c>
      <c r="R890" s="150"/>
      <c r="S890" s="149">
        <v>45429.0</v>
      </c>
      <c r="T890" s="151"/>
      <c r="U890" s="151"/>
      <c r="V890" s="151"/>
      <c r="W890" s="151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</row>
    <row r="891">
      <c r="A891" s="142">
        <v>4922.0</v>
      </c>
      <c r="B891" s="143" t="str">
        <f t="shared" ref="B891:B892" si="264">IF(A891=A890,B890,"")</f>
        <v>A</v>
      </c>
      <c r="C891" s="143" t="str">
        <f t="shared" ref="C891:C892" si="265">IF(A891=A890,C890,"")</f>
        <v>GUNUNG JATI-CIREBON</v>
      </c>
      <c r="D891" s="145" t="s">
        <v>4448</v>
      </c>
      <c r="E891" s="145" t="str">
        <f>IFERROR(__xludf.DUMMYFUNCTION("vlookup(D891,IMPORTRANGE(""https://docs.google.com/spreadsheets/d/1swGwZOEqYlTEUCJLY-eeJM1911Kvaei5oySBIxdgtNo/edit?pli=1#gid=257618397"",""stock FAKTUR!B:C""),2,false)"),"PC MAGNIT AC-1762 (22X7.5)")</f>
        <v>PC MAGNIT AC-1762 (22X7.5)</v>
      </c>
      <c r="F891" s="145" t="str">
        <f>IFERROR(__xludf.DUMMYFUNCTION("vlookup($D891,IMPORTRANGE(""https://docs.google.com/spreadsheets/d/1swGwZOEqYlTEUCJLY-eeJM1911Kvaei5oySBIxdgtNo/edit?pli=1#gid=257618397"",""stock FAKTUR!B:d""),3,false)"),"")</f>
        <v/>
      </c>
      <c r="G891" s="145" t="str">
        <f>IFERROR(__xludf.DUMMYFUNCTION("vlookup($D891,IMPORTRANGE(""https://docs.google.com/spreadsheets/d/1swGwZOEqYlTEUCJLY-eeJM1911Kvaei5oySBIxdgtNo/edit?pli=1#gid=257618397"",""stock FAKTUR!B:e""),4,false)"),"")</f>
        <v/>
      </c>
      <c r="H891" s="145" t="str">
        <f>IFERROR(__xludf.DUMMYFUNCTION("vlookup($D891,IMPORTRANGE(""https://docs.google.com/spreadsheets/d/1swGwZOEqYlTEUCJLY-eeJM1911Kvaei5oySBIxdgtNo/edit?pli=1#gid=257618397"",""stock FAKTUR!B:F""),5,false)"),"NB")</f>
        <v>NB</v>
      </c>
      <c r="I891" s="145" t="str">
        <f>IFERROR(__xludf.DUMMYFUNCTION("vlookup($D891,IMPORTRANGE(""https://docs.google.com/spreadsheets/d/1swGwZOEqYlTEUCJLY-eeJM1911Kvaei5oySBIxdgtNo/edit?pli=1#gid=257618397"",""stock FAKTUR!B:G""),6,false)"),"AC-1762")</f>
        <v>AC-1762</v>
      </c>
      <c r="J891" s="199" t="str">
        <f t="shared" si="25"/>
        <v>ADA</v>
      </c>
      <c r="K891" s="142">
        <v>144.0</v>
      </c>
      <c r="L891" s="145" t="str">
        <f>IFERROR(__xludf.DUMMYFUNCTION("vlookup($D891,IMPORTRANGE(""https://docs.google.com/spreadsheets/d/1swGwZOEqYlTEUCJLY-eeJM1911Kvaei5oySBIxdgtNo/edit?pli=1#gid=257618397"",""stock FAKTUR!B:q""),16,false)"),"PCS")</f>
        <v>PCS</v>
      </c>
      <c r="M891" s="147">
        <v>11000.0</v>
      </c>
      <c r="N891" s="148"/>
      <c r="O891" s="147">
        <f t="shared" si="232"/>
        <v>1584000</v>
      </c>
      <c r="P891" s="147" t="str">
        <f t="shared" si="3"/>
        <v>Rp11,000-144 PCS-0.00%</v>
      </c>
      <c r="Q891" s="149">
        <v>45426.0</v>
      </c>
      <c r="R891" s="150"/>
      <c r="S891" s="149">
        <v>45429.0</v>
      </c>
      <c r="T891" s="151"/>
      <c r="U891" s="151"/>
      <c r="V891" s="151"/>
      <c r="W891" s="151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</row>
    <row r="892">
      <c r="A892" s="142">
        <v>4922.0</v>
      </c>
      <c r="B892" s="143" t="str">
        <f t="shared" si="264"/>
        <v>A</v>
      </c>
      <c r="C892" s="143" t="str">
        <f t="shared" si="265"/>
        <v>GUNUNG JATI-CIREBON</v>
      </c>
      <c r="D892" s="145" t="s">
        <v>4447</v>
      </c>
      <c r="E892" s="145" t="str">
        <f>IFERROR(__xludf.DUMMYFUNCTION("vlookup(D892,IMPORTRANGE(""https://docs.google.com/spreadsheets/d/1swGwZOEqYlTEUCJLY-eeJM1911Kvaei5oySBIxdgtNo/edit?pli=1#gid=257618397"",""stock FAKTUR!B:C""),2,false)"),"PC MAGNIT FC-1758 (22X7.5)")</f>
        <v>PC MAGNIT FC-1758 (22X7.5)</v>
      </c>
      <c r="F892" s="145" t="str">
        <f>IFERROR(__xludf.DUMMYFUNCTION("vlookup($D892,IMPORTRANGE(""https://docs.google.com/spreadsheets/d/1swGwZOEqYlTEUCJLY-eeJM1911Kvaei5oySBIxdgtNo/edit?pli=1#gid=257618397"",""stock FAKTUR!B:d""),3,false)"),"")</f>
        <v/>
      </c>
      <c r="G892" s="145" t="str">
        <f>IFERROR(__xludf.DUMMYFUNCTION("vlookup($D892,IMPORTRANGE(""https://docs.google.com/spreadsheets/d/1swGwZOEqYlTEUCJLY-eeJM1911Kvaei5oySBIxdgtNo/edit?pli=1#gid=257618397"",""stock FAKTUR!B:e""),4,false)"),"")</f>
        <v/>
      </c>
      <c r="H892" s="145" t="str">
        <f>IFERROR(__xludf.DUMMYFUNCTION("vlookup($D892,IMPORTRANGE(""https://docs.google.com/spreadsheets/d/1swGwZOEqYlTEUCJLY-eeJM1911Kvaei5oySBIxdgtNo/edit?pli=1#gid=257618397"",""stock FAKTUR!B:F""),5,false)"),"NB")</f>
        <v>NB</v>
      </c>
      <c r="I892" s="145" t="str">
        <f>IFERROR(__xludf.DUMMYFUNCTION("vlookup($D892,IMPORTRANGE(""https://docs.google.com/spreadsheets/d/1swGwZOEqYlTEUCJLY-eeJM1911Kvaei5oySBIxdgtNo/edit?pli=1#gid=257618397"",""stock FAKTUR!B:G""),6,false)"),"")</f>
        <v/>
      </c>
      <c r="J892" s="199" t="str">
        <f t="shared" si="25"/>
        <v>ADA</v>
      </c>
      <c r="K892" s="142">
        <v>144.0</v>
      </c>
      <c r="L892" s="145" t="str">
        <f>IFERROR(__xludf.DUMMYFUNCTION("vlookup($D892,IMPORTRANGE(""https://docs.google.com/spreadsheets/d/1swGwZOEqYlTEUCJLY-eeJM1911Kvaei5oySBIxdgtNo/edit?pli=1#gid=257618397"",""stock FAKTUR!B:q""),16,false)"),"PCS")</f>
        <v>PCS</v>
      </c>
      <c r="M892" s="147">
        <v>11000.0</v>
      </c>
      <c r="N892" s="148"/>
      <c r="O892" s="147">
        <f t="shared" si="232"/>
        <v>1584000</v>
      </c>
      <c r="P892" s="147" t="str">
        <f t="shared" si="3"/>
        <v>Rp11,000-144 PCS-0.00%</v>
      </c>
      <c r="Q892" s="149">
        <v>45426.0</v>
      </c>
      <c r="R892" s="150"/>
      <c r="S892" s="149">
        <v>45429.0</v>
      </c>
      <c r="T892" s="151"/>
      <c r="U892" s="151"/>
      <c r="V892" s="151"/>
      <c r="W892" s="151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</row>
    <row r="893">
      <c r="A893" s="142">
        <v>4930.0</v>
      </c>
      <c r="B893" s="143" t="s">
        <v>58</v>
      </c>
      <c r="C893" s="143" t="s">
        <v>1430</v>
      </c>
      <c r="D893" s="145" t="s">
        <v>4443</v>
      </c>
      <c r="E893" s="145" t="str">
        <f>IFERROR(__xludf.DUMMYFUNCTION("vlookup(D893,IMPORTRANGE(""https://docs.google.com/spreadsheets/d/1swGwZOEqYlTEUCJLY-eeJM1911Kvaei5oySBIxdgtNo/edit?pli=1#gid=257618397"",""stock FAKTUR!B:C""),2,false)"),"CUTTER KENKO K-200")</f>
        <v>CUTTER KENKO K-200</v>
      </c>
      <c r="F893" s="145" t="str">
        <f>IFERROR(__xludf.DUMMYFUNCTION("vlookup($D893,IMPORTRANGE(""https://docs.google.com/spreadsheets/d/1swGwZOEqYlTEUCJLY-eeJM1911Kvaei5oySBIxdgtNo/edit?pli=1#gid=257618397"",""stock FAKTUR!B:d""),3,false)"),"9 MM")</f>
        <v>9 MM</v>
      </c>
      <c r="G893" s="145" t="str">
        <f>IFERROR(__xludf.DUMMYFUNCTION("vlookup($D893,IMPORTRANGE(""https://docs.google.com/spreadsheets/d/1swGwZOEqYlTEUCJLY-eeJM1911Kvaei5oySBIxdgtNo/edit?pli=1#gid=257618397"",""stock FAKTUR!B:e""),4,false)"),"")</f>
        <v/>
      </c>
      <c r="H893" s="145" t="str">
        <f>IFERROR(__xludf.DUMMYFUNCTION("vlookup($D893,IMPORTRANGE(""https://docs.google.com/spreadsheets/d/1swGwZOEqYlTEUCJLY-eeJM1911Kvaei5oySBIxdgtNo/edit?pli=1#gid=257618397"",""stock FAKTUR!B:F""),5,false)"),"KN")</f>
        <v>KN</v>
      </c>
      <c r="I893" s="145" t="str">
        <f>IFERROR(__xludf.DUMMYFUNCTION("vlookup($D893,IMPORTRANGE(""https://docs.google.com/spreadsheets/d/1swGwZOEqYlTEUCJLY-eeJM1911Kvaei5oySBIxdgtNo/edit?pli=1#gid=257618397"",""stock FAKTUR!B:G""),6,false)"),"CTR-003")</f>
        <v>CTR-003</v>
      </c>
      <c r="J893" s="199" t="str">
        <f t="shared" si="25"/>
        <v>ADA</v>
      </c>
      <c r="K893" s="142">
        <v>60.0</v>
      </c>
      <c r="L893" s="145" t="str">
        <f>IFERROR(__xludf.DUMMYFUNCTION("vlookup($D893,IMPORTRANGE(""https://docs.google.com/spreadsheets/d/1swGwZOEqYlTEUCJLY-eeJM1911Kvaei5oySBIxdgtNo/edit?pli=1#gid=257618397"",""stock FAKTUR!B:q""),16,false)"),"LSN")</f>
        <v>LSN</v>
      </c>
      <c r="M893" s="147">
        <v>52200.0</v>
      </c>
      <c r="N893" s="152">
        <v>0.125</v>
      </c>
      <c r="O893" s="147">
        <f t="shared" si="232"/>
        <v>2740500</v>
      </c>
      <c r="P893" s="147" t="str">
        <f t="shared" si="3"/>
        <v>Rp52,200-60 LSN-12.50%</v>
      </c>
      <c r="Q893" s="149">
        <v>45427.0</v>
      </c>
      <c r="R893" s="150"/>
      <c r="S893" s="149">
        <v>45430.0</v>
      </c>
      <c r="T893" s="151"/>
      <c r="U893" s="151"/>
      <c r="V893" s="151"/>
      <c r="W893" s="151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</row>
    <row r="894">
      <c r="A894" s="142">
        <v>4814.0</v>
      </c>
      <c r="B894" s="143" t="s">
        <v>58</v>
      </c>
      <c r="C894" s="143" t="s">
        <v>3808</v>
      </c>
      <c r="D894" s="159" t="s">
        <v>4799</v>
      </c>
      <c r="E894" s="145" t="str">
        <f>IFERROR(__xludf.DUMMYFUNCTION("vlookup(D894,IMPORTRANGE(""https://docs.google.com/spreadsheets/d/1swGwZOEqYlTEUCJLY-eeJM1911Kvaei5oySBIxdgtNo/edit?pli=1#gid=257618397"",""stock FAKTUR!B:C""),2,false)"),"BP GEL TIZO TG31220")</f>
        <v>BP GEL TIZO TG31220</v>
      </c>
      <c r="F894" s="145" t="str">
        <f>IFERROR(__xludf.DUMMYFUNCTION("vlookup($D894,IMPORTRANGE(""https://docs.google.com/spreadsheets/d/1swGwZOEqYlTEUCJLY-eeJM1911Kvaei5oySBIxdgtNo/edit?pli=1#gid=257618397"",""stock FAKTUR!B:d""),3,false)"),"")</f>
        <v/>
      </c>
      <c r="G894" s="145" t="str">
        <f>IFERROR(__xludf.DUMMYFUNCTION("vlookup($D894,IMPORTRANGE(""https://docs.google.com/spreadsheets/d/1swGwZOEqYlTEUCJLY-eeJM1911Kvaei5oySBIxdgtNo/edit?pli=1#gid=257618397"",""stock FAKTUR!B:e""),4,false)"),"")</f>
        <v/>
      </c>
      <c r="H894" s="145" t="str">
        <f>IFERROR(__xludf.DUMMYFUNCTION("vlookup($D894,IMPORTRANGE(""https://docs.google.com/spreadsheets/d/1swGwZOEqYlTEUCJLY-eeJM1911Kvaei5oySBIxdgtNo/edit?pli=1#gid=257618397"",""stock FAKTUR!B:F""),5,false)"),"TZ")</f>
        <v>TZ</v>
      </c>
      <c r="I894" s="145" t="str">
        <f>IFERROR(__xludf.DUMMYFUNCTION("vlookup($D894,IMPORTRANGE(""https://docs.google.com/spreadsheets/d/1swGwZOEqYlTEUCJLY-eeJM1911Kvaei5oySBIxdgtNo/edit?pli=1#gid=257618397"",""stock FAKTUR!B:G""),6,false)"),"TG31220")</f>
        <v>TG31220</v>
      </c>
      <c r="J894" s="199" t="str">
        <f t="shared" si="25"/>
        <v>ADA</v>
      </c>
      <c r="K894" s="142">
        <v>144.0</v>
      </c>
      <c r="L894" s="145" t="str">
        <f>IFERROR(__xludf.DUMMYFUNCTION("vlookup($D894,IMPORTRANGE(""https://docs.google.com/spreadsheets/d/1swGwZOEqYlTEUCJLY-eeJM1911Kvaei5oySBIxdgtNo/edit?pli=1#gid=257618397"",""stock FAKTUR!B:q""),16,false)"),"LSN")</f>
        <v>LSN</v>
      </c>
      <c r="M894" s="147">
        <v>22000.0</v>
      </c>
      <c r="N894" s="148"/>
      <c r="O894" s="147">
        <f t="shared" si="232"/>
        <v>3168000</v>
      </c>
      <c r="P894" s="147" t="str">
        <f t="shared" si="3"/>
        <v>Rp22,000-144 LSN-0.00%</v>
      </c>
      <c r="Q894" s="149">
        <v>45427.0</v>
      </c>
      <c r="R894" s="150"/>
      <c r="S894" s="149">
        <v>45430.0</v>
      </c>
      <c r="T894" s="151"/>
      <c r="U894" s="151"/>
      <c r="V894" s="151"/>
      <c r="W894" s="151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</row>
    <row r="895">
      <c r="A895" s="142">
        <v>4931.0</v>
      </c>
      <c r="B895" s="143" t="s">
        <v>33</v>
      </c>
      <c r="C895" s="143" t="s">
        <v>4607</v>
      </c>
      <c r="D895" s="145" t="s">
        <v>4800</v>
      </c>
      <c r="E895" s="145" t="str">
        <f>IFERROR(__xludf.DUMMYFUNCTION("vlookup(D895,IMPORTRANGE(""https://docs.google.com/spreadsheets/d/1swGwZOEqYlTEUCJLY-eeJM1911Kvaei5oySBIxdgtNo/edit?pli=1#gid=257618397"",""stock FAKTUR!B:C""),2,false)"),"TIPEX KENKO KE 301")</f>
        <v>TIPEX KENKO KE 301</v>
      </c>
      <c r="F895" s="145" t="str">
        <f>IFERROR(__xludf.DUMMYFUNCTION("vlookup($D895,IMPORTRANGE(""https://docs.google.com/spreadsheets/d/1swGwZOEqYlTEUCJLY-eeJM1911Kvaei5oySBIxdgtNo/edit?pli=1#gid=257618397"",""stock FAKTUR!B:d""),3,false)"),"8 M X 5 MM")</f>
        <v>8 M X 5 MM</v>
      </c>
      <c r="G895" s="145" t="str">
        <f>IFERROR(__xludf.DUMMYFUNCTION("vlookup($D895,IMPORTRANGE(""https://docs.google.com/spreadsheets/d/1swGwZOEqYlTEUCJLY-eeJM1911Kvaei5oySBIxdgtNo/edit?pli=1#gid=257618397"",""stock FAKTUR!B:e""),4,false)"),"")</f>
        <v/>
      </c>
      <c r="H895" s="145" t="str">
        <f>IFERROR(__xludf.DUMMYFUNCTION("vlookup($D895,IMPORTRANGE(""https://docs.google.com/spreadsheets/d/1swGwZOEqYlTEUCJLY-eeJM1911Kvaei5oySBIxdgtNo/edit?pli=1#gid=257618397"",""stock FAKTUR!B:F""),5,false)"),"KN")</f>
        <v>KN</v>
      </c>
      <c r="I895" s="145" t="str">
        <f>IFERROR(__xludf.DUMMYFUNCTION("vlookup($D895,IMPORTRANGE(""https://docs.google.com/spreadsheets/d/1swGwZOEqYlTEUCJLY-eeJM1911Kvaei5oySBIxdgtNo/edit?pli=1#gid=257618397"",""stock FAKTUR!B:G""),6,false)"),"KE 301")</f>
        <v>KE 301</v>
      </c>
      <c r="J895" s="199" t="str">
        <f t="shared" si="25"/>
        <v>ADA</v>
      </c>
      <c r="K895" s="142">
        <v>72.0</v>
      </c>
      <c r="L895" s="145" t="str">
        <f>IFERROR(__xludf.DUMMYFUNCTION("vlookup($D895,IMPORTRANGE(""https://docs.google.com/spreadsheets/d/1swGwZOEqYlTEUCJLY-eeJM1911Kvaei5oySBIxdgtNo/edit?pli=1#gid=257618397"",""stock FAKTUR!B:q""),16,false)"),"LSN")</f>
        <v>LSN</v>
      </c>
      <c r="M895" s="147">
        <v>55200.0</v>
      </c>
      <c r="N895" s="152">
        <v>0.135</v>
      </c>
      <c r="O895" s="147">
        <f t="shared" si="232"/>
        <v>3437856</v>
      </c>
      <c r="P895" s="147" t="str">
        <f t="shared" si="3"/>
        <v>Rp55,200-72 LSN-13.50%</v>
      </c>
      <c r="Q895" s="149">
        <v>45427.0</v>
      </c>
      <c r="R895" s="150"/>
      <c r="S895" s="149">
        <v>45430.0</v>
      </c>
      <c r="T895" s="151"/>
      <c r="U895" s="151"/>
      <c r="V895" s="151"/>
      <c r="W895" s="151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</row>
    <row r="896">
      <c r="A896" s="142">
        <v>4931.0</v>
      </c>
      <c r="B896" s="143" t="str">
        <f t="shared" ref="B896:B897" si="266">IF(A896=A895,B895,"")</f>
        <v>H</v>
      </c>
      <c r="C896" s="143" t="str">
        <f t="shared" ref="C896:C897" si="267">IF(A896=A895,C895,"")</f>
        <v>ANUGRAH SEJAHTERA-PURWOKERTO</v>
      </c>
      <c r="D896" s="145" t="s">
        <v>4639</v>
      </c>
      <c r="E896" s="145" t="str">
        <f>IFERROR(__xludf.DUMMYFUNCTION("vlookup(D896,IMPORTRANGE(""https://docs.google.com/spreadsheets/d/1swGwZOEqYlTEUCJLY-eeJM1911Kvaei5oySBIxdgtNo/edit?pli=1#gid=257618397"",""stock FAKTUR!B:C""),2,false)"),"CLIP TRIGONAL KENKO NO. 1")</f>
        <v>CLIP TRIGONAL KENKO NO. 1</v>
      </c>
      <c r="F896" s="145" t="str">
        <f>IFERROR(__xludf.DUMMYFUNCTION("vlookup($D896,IMPORTRANGE(""https://docs.google.com/spreadsheets/d/1swGwZOEqYlTEUCJLY-eeJM1911Kvaei5oySBIxdgtNo/edit?pli=1#gid=257618397"",""stock FAKTUR!B:d""),3,false)"),"")</f>
        <v/>
      </c>
      <c r="G896" s="145" t="str">
        <f>IFERROR(__xludf.DUMMYFUNCTION("vlookup($D896,IMPORTRANGE(""https://docs.google.com/spreadsheets/d/1swGwZOEqYlTEUCJLY-eeJM1911Kvaei5oySBIxdgtNo/edit?pli=1#gid=257618397"",""stock FAKTUR!B:e""),4,false)"),"")</f>
        <v/>
      </c>
      <c r="H896" s="145" t="str">
        <f>IFERROR(__xludf.DUMMYFUNCTION("vlookup($D896,IMPORTRANGE(""https://docs.google.com/spreadsheets/d/1swGwZOEqYlTEUCJLY-eeJM1911Kvaei5oySBIxdgtNo/edit?pli=1#gid=257618397"",""stock FAKTUR!B:F""),5,false)"),"KN")</f>
        <v>KN</v>
      </c>
      <c r="I896" s="145" t="str">
        <f>IFERROR(__xludf.DUMMYFUNCTION("vlookup($D896,IMPORTRANGE(""https://docs.google.com/spreadsheets/d/1swGwZOEqYlTEUCJLY-eeJM1911Kvaei5oySBIxdgtNo/edit?pli=1#gid=257618397"",""stock FAKTUR!B:G""),6,false)"),"CLP-001")</f>
        <v>CLP-001</v>
      </c>
      <c r="J896" s="199" t="str">
        <f t="shared" si="25"/>
        <v>ADA</v>
      </c>
      <c r="K896" s="142">
        <v>500.0</v>
      </c>
      <c r="L896" s="145" t="str">
        <f>IFERROR(__xludf.DUMMYFUNCTION("vlookup($D896,IMPORTRANGE(""https://docs.google.com/spreadsheets/d/1swGwZOEqYlTEUCJLY-eeJM1911Kvaei5oySBIxdgtNo/edit?pli=1#gid=257618397"",""stock FAKTUR!B:q""),16,false)"),"BOX")</f>
        <v>BOX</v>
      </c>
      <c r="M896" s="147">
        <v>1700.0</v>
      </c>
      <c r="N896" s="152">
        <v>0.135</v>
      </c>
      <c r="O896" s="147">
        <f t="shared" si="232"/>
        <v>735250</v>
      </c>
      <c r="P896" s="147" t="str">
        <f t="shared" si="3"/>
        <v>Rp1,700-500 BOX-13.50%</v>
      </c>
      <c r="Q896" s="149">
        <v>45427.0</v>
      </c>
      <c r="R896" s="150"/>
      <c r="S896" s="149">
        <v>45430.0</v>
      </c>
      <c r="T896" s="151"/>
      <c r="U896" s="151"/>
      <c r="V896" s="151"/>
      <c r="W896" s="151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</row>
    <row r="897">
      <c r="A897" s="142">
        <v>4931.0</v>
      </c>
      <c r="B897" s="143" t="str">
        <f t="shared" si="266"/>
        <v>H</v>
      </c>
      <c r="C897" s="143" t="str">
        <f t="shared" si="267"/>
        <v>ANUGRAH SEJAHTERA-PURWOKERTO</v>
      </c>
      <c r="D897" s="145" t="s">
        <v>4748</v>
      </c>
      <c r="E897" s="145" t="str">
        <f>IFERROR(__xludf.DUMMYFUNCTION("vlookup(D897,IMPORTRANGE(""https://docs.google.com/spreadsheets/d/1swGwZOEqYlTEUCJLY-eeJM1911Kvaei5oySBIxdgtNo/edit?pli=1#gid=257618397"",""stock FAKTUR!B:C""),2,false)"),"BINDER CLIP KENKO NO. 280 (6PCS/BOX)")</f>
        <v>BINDER CLIP KENKO NO. 280 (6PCS/BOX)</v>
      </c>
      <c r="F897" s="145" t="str">
        <f>IFERROR(__xludf.DUMMYFUNCTION("vlookup($D897,IMPORTRANGE(""https://docs.google.com/spreadsheets/d/1swGwZOEqYlTEUCJLY-eeJM1911Kvaei5oySBIxdgtNo/edit?pli=1#gid=257618397"",""stock FAKTUR!B:d""),3,false)"),"")</f>
        <v/>
      </c>
      <c r="G897" s="145" t="str">
        <f>IFERROR(__xludf.DUMMYFUNCTION("vlookup($D897,IMPORTRANGE(""https://docs.google.com/spreadsheets/d/1swGwZOEqYlTEUCJLY-eeJM1911Kvaei5oySBIxdgtNo/edit?pli=1#gid=257618397"",""stock FAKTUR!B:e""),4,false)"),"")</f>
        <v/>
      </c>
      <c r="H897" s="145" t="str">
        <f>IFERROR(__xludf.DUMMYFUNCTION("vlookup($D897,IMPORTRANGE(""https://docs.google.com/spreadsheets/d/1swGwZOEqYlTEUCJLY-eeJM1911Kvaei5oySBIxdgtNo/edit?pli=1#gid=257618397"",""stock FAKTUR!B:F""),5,false)"),"KN")</f>
        <v>KN</v>
      </c>
      <c r="I897" s="145" t="str">
        <f>IFERROR(__xludf.DUMMYFUNCTION("vlookup($D897,IMPORTRANGE(""https://docs.google.com/spreadsheets/d/1swGwZOEqYlTEUCJLY-eeJM1911Kvaei5oySBIxdgtNo/edit?pli=1#gid=257618397"",""stock FAKTUR!B:G""),6,false)"),"BCL-007")</f>
        <v>BCL-007</v>
      </c>
      <c r="J897" s="199" t="str">
        <f t="shared" si="25"/>
        <v>ADA</v>
      </c>
      <c r="K897" s="142">
        <v>72.0</v>
      </c>
      <c r="L897" s="145" t="str">
        <f>IFERROR(__xludf.DUMMYFUNCTION("vlookup($D897,IMPORTRANGE(""https://docs.google.com/spreadsheets/d/1swGwZOEqYlTEUCJLY-eeJM1911Kvaei5oySBIxdgtNo/edit?pli=1#gid=257618397"",""stock FAKTUR!B:q""),16,false)"),"BOX")</f>
        <v>BOX</v>
      </c>
      <c r="M897" s="147">
        <v>21500.0</v>
      </c>
      <c r="N897" s="152">
        <v>0.135</v>
      </c>
      <c r="O897" s="147">
        <f t="shared" si="232"/>
        <v>1339020</v>
      </c>
      <c r="P897" s="147" t="str">
        <f t="shared" si="3"/>
        <v>Rp21,500-72 BOX-13.50%</v>
      </c>
      <c r="Q897" s="149">
        <v>45427.0</v>
      </c>
      <c r="R897" s="150"/>
      <c r="S897" s="149">
        <v>45430.0</v>
      </c>
      <c r="T897" s="151"/>
      <c r="U897" s="151"/>
      <c r="V897" s="151"/>
      <c r="W897" s="151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</row>
    <row r="898">
      <c r="A898" s="142">
        <v>4932.0</v>
      </c>
      <c r="B898" s="143" t="s">
        <v>33</v>
      </c>
      <c r="C898" s="143" t="s">
        <v>3684</v>
      </c>
      <c r="D898" s="145" t="s">
        <v>4619</v>
      </c>
      <c r="E898" s="145" t="str">
        <f>IFERROR(__xludf.DUMMYFUNCTION("vlookup(D898,IMPORTRANGE(""https://docs.google.com/spreadsheets/d/1swGwZOEqYlTEUCJLY-eeJM1911Kvaei5oySBIxdgtNo/edit?pli=1#gid=257618397"",""stock FAKTUR!B:C""),2,false)"),"COLOR CLIP KENKO 3100")</f>
        <v>COLOR CLIP KENKO 3100</v>
      </c>
      <c r="F898" s="145" t="str">
        <f>IFERROR(__xludf.DUMMYFUNCTION("vlookup($D898,IMPORTRANGE(""https://docs.google.com/spreadsheets/d/1swGwZOEqYlTEUCJLY-eeJM1911Kvaei5oySBIxdgtNo/edit?pli=1#gid=257618397"",""stock FAKTUR!B:d""),3,false)"),"")</f>
        <v/>
      </c>
      <c r="G898" s="145" t="str">
        <f>IFERROR(__xludf.DUMMYFUNCTION("vlookup($D898,IMPORTRANGE(""https://docs.google.com/spreadsheets/d/1swGwZOEqYlTEUCJLY-eeJM1911Kvaei5oySBIxdgtNo/edit?pli=1#gid=257618397"",""stock FAKTUR!B:e""),4,false)"),"")</f>
        <v/>
      </c>
      <c r="H898" s="145" t="str">
        <f>IFERROR(__xludf.DUMMYFUNCTION("vlookup($D898,IMPORTRANGE(""https://docs.google.com/spreadsheets/d/1swGwZOEqYlTEUCJLY-eeJM1911Kvaei5oySBIxdgtNo/edit?pli=1#gid=257618397"",""stock FAKTUR!B:F""),5,false)"),"KN")</f>
        <v>KN</v>
      </c>
      <c r="I898" s="145" t="str">
        <f>IFERROR(__xludf.DUMMYFUNCTION("vlookup($D898,IMPORTRANGE(""https://docs.google.com/spreadsheets/d/1swGwZOEqYlTEUCJLY-eeJM1911Kvaei5oySBIxdgtNo/edit?pli=1#gid=257618397"",""stock FAKTUR!B:G""),6,false)"),"CLP-004")</f>
        <v>CLP-004</v>
      </c>
      <c r="J898" s="199" t="str">
        <f t="shared" si="25"/>
        <v>ADA</v>
      </c>
      <c r="K898" s="142">
        <v>48.0</v>
      </c>
      <c r="L898" s="145" t="str">
        <f>IFERROR(__xludf.DUMMYFUNCTION("vlookup($D898,IMPORTRANGE(""https://docs.google.com/spreadsheets/d/1swGwZOEqYlTEUCJLY-eeJM1911Kvaei5oySBIxdgtNo/edit?pli=1#gid=257618397"",""stock FAKTUR!B:q""),16,false)"),"LSN")</f>
        <v>LSN</v>
      </c>
      <c r="M898" s="147">
        <v>41400.0</v>
      </c>
      <c r="N898" s="152">
        <v>0.14</v>
      </c>
      <c r="O898" s="147">
        <f t="shared" si="232"/>
        <v>1708992</v>
      </c>
      <c r="P898" s="147" t="str">
        <f t="shared" si="3"/>
        <v>Rp41,400-48 LSN-14.00%</v>
      </c>
      <c r="Q898" s="149">
        <v>45427.0</v>
      </c>
      <c r="R898" s="150"/>
      <c r="S898" s="149">
        <v>45430.0</v>
      </c>
      <c r="T898" s="151"/>
      <c r="U898" s="151"/>
      <c r="V898" s="151"/>
      <c r="W898" s="151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</row>
    <row r="899">
      <c r="A899" s="142">
        <v>4932.0</v>
      </c>
      <c r="B899" s="143" t="str">
        <f>IF(A899=A898,B898,"")</f>
        <v>H</v>
      </c>
      <c r="C899" s="143" t="str">
        <f>IF(A899=A898,C898,"")</f>
        <v>BENDAN-PEKALONGAN</v>
      </c>
      <c r="D899" s="145" t="s">
        <v>4455</v>
      </c>
      <c r="E899" s="145" t="str">
        <f>IFERROR(__xludf.DUMMYFUNCTION("vlookup(D899,IMPORTRANGE(""https://docs.google.com/spreadsheets/d/1swGwZOEqYlTEUCJLY-eeJM1911Kvaei5oySBIxdgtNo/edit?pli=1#gid=257618397"",""stock FAKTUR!B:C""),2,false)"),"OIL PASTEL TITI 24W TI-P-24S")</f>
        <v>OIL PASTEL TITI 24W TI-P-24S</v>
      </c>
      <c r="F899" s="145" t="str">
        <f>IFERROR(__xludf.DUMMYFUNCTION("vlookup($D899,IMPORTRANGE(""https://docs.google.com/spreadsheets/d/1swGwZOEqYlTEUCJLY-eeJM1911Kvaei5oySBIxdgtNo/edit?pli=1#gid=257618397"",""stock FAKTUR!B:d""),3,false)"),"")</f>
        <v/>
      </c>
      <c r="G899" s="145" t="str">
        <f>IFERROR(__xludf.DUMMYFUNCTION("vlookup($D899,IMPORTRANGE(""https://docs.google.com/spreadsheets/d/1swGwZOEqYlTEUCJLY-eeJM1911Kvaei5oySBIxdgtNo/edit?pli=1#gid=257618397"",""stock FAKTUR!B:e""),4,false)"),"24W")</f>
        <v>24W</v>
      </c>
      <c r="H899" s="145" t="str">
        <f>IFERROR(__xludf.DUMMYFUNCTION("vlookup($D899,IMPORTRANGE(""https://docs.google.com/spreadsheets/d/1swGwZOEqYlTEUCJLY-eeJM1911Kvaei5oySBIxdgtNo/edit?pli=1#gid=257618397"",""stock FAKTUR!B:F""),5,false)"),"TT")</f>
        <v>TT</v>
      </c>
      <c r="I899" s="145" t="str">
        <f>IFERROR(__xludf.DUMMYFUNCTION("vlookup($D899,IMPORTRANGE(""https://docs.google.com/spreadsheets/d/1swGwZOEqYlTEUCJLY-eeJM1911Kvaei5oySBIxdgtNo/edit?pli=1#gid=257618397"",""stock FAKTUR!B:G""),6,false)"),"OPS-009")</f>
        <v>OPS-009</v>
      </c>
      <c r="J899" s="199" t="str">
        <f t="shared" si="25"/>
        <v>ADA</v>
      </c>
      <c r="K899" s="142">
        <v>48.0</v>
      </c>
      <c r="L899" s="145" t="str">
        <f>IFERROR(__xludf.DUMMYFUNCTION("vlookup($D899,IMPORTRANGE(""https://docs.google.com/spreadsheets/d/1swGwZOEqYlTEUCJLY-eeJM1911Kvaei5oySBIxdgtNo/edit?pli=1#gid=257618397"",""stock FAKTUR!B:q""),16,false)"),"PCS")</f>
        <v>PCS</v>
      </c>
      <c r="M899" s="147">
        <v>34000.0</v>
      </c>
      <c r="N899" s="152">
        <v>0.14</v>
      </c>
      <c r="O899" s="147">
        <f t="shared" si="232"/>
        <v>1403520</v>
      </c>
      <c r="P899" s="147" t="str">
        <f t="shared" si="3"/>
        <v>Rp34,000-48 PCS-14.00%</v>
      </c>
      <c r="Q899" s="149">
        <v>45427.0</v>
      </c>
      <c r="R899" s="150"/>
      <c r="S899" s="149">
        <v>45430.0</v>
      </c>
      <c r="T899" s="151"/>
      <c r="U899" s="151"/>
      <c r="V899" s="151"/>
      <c r="W899" s="151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</row>
    <row r="900">
      <c r="A900" s="142">
        <v>4926.0</v>
      </c>
      <c r="B900" s="143" t="s">
        <v>33</v>
      </c>
      <c r="C900" s="143" t="s">
        <v>2476</v>
      </c>
      <c r="D900" s="159" t="s">
        <v>4739</v>
      </c>
      <c r="E900" s="145" t="s">
        <v>4801</v>
      </c>
      <c r="F900" s="145" t="str">
        <f>IFERROR(__xludf.DUMMYFUNCTION("vlookup($D900,IMPORTRANGE(""https://docs.google.com/spreadsheets/d/1swGwZOEqYlTEUCJLY-eeJM1911Kvaei5oySBIxdgtNo/edit?pli=1#gid=257618397"",""stock FAKTUR!B:d""),3,false)"),"")</f>
        <v/>
      </c>
      <c r="G900" s="145" t="str">
        <f>IFERROR(__xludf.DUMMYFUNCTION("vlookup($D900,IMPORTRANGE(""https://docs.google.com/spreadsheets/d/1swGwZOEqYlTEUCJLY-eeJM1911Kvaei5oySBIxdgtNo/edit?pli=1#gid=257618397"",""stock FAKTUR!B:e""),4,false)"),"")</f>
        <v/>
      </c>
      <c r="H900" s="145" t="str">
        <f>IFERROR(__xludf.DUMMYFUNCTION("vlookup($D900,IMPORTRANGE(""https://docs.google.com/spreadsheets/d/1swGwZOEqYlTEUCJLY-eeJM1911Kvaei5oySBIxdgtNo/edit?pli=1#gid=257618397"",""stock FAKTUR!B:F""),5,false)"),"GN")</f>
        <v>GN</v>
      </c>
      <c r="I900" s="145" t="str">
        <f>IFERROR(__xludf.DUMMYFUNCTION("vlookup($D900,IMPORTRANGE(""https://docs.google.com/spreadsheets/d/1swGwZOEqYlTEUCJLY-eeJM1911Kvaei5oySBIxdgtNo/edit?pli=1#gid=257618397"",""stock FAKTUR!B:G""),6,false)"),"GR19")</f>
        <v>GR19</v>
      </c>
      <c r="J900" s="199" t="str">
        <f t="shared" si="25"/>
        <v>ADA</v>
      </c>
      <c r="K900" s="142">
        <v>60.0</v>
      </c>
      <c r="L900" s="145" t="str">
        <f>IFERROR(__xludf.DUMMYFUNCTION("vlookup($D900,IMPORTRANGE(""https://docs.google.com/spreadsheets/d/1swGwZOEqYlTEUCJLY-eeJM1911Kvaei5oySBIxdgtNo/edit?pli=1#gid=257618397"",""stock FAKTUR!B:q""),16,false)"),"LSN")</f>
        <v>LSN</v>
      </c>
      <c r="M900" s="147">
        <v>57000.0</v>
      </c>
      <c r="N900" s="152">
        <v>0.125</v>
      </c>
      <c r="O900" s="147">
        <f t="shared" si="232"/>
        <v>2992500</v>
      </c>
      <c r="P900" s="147" t="str">
        <f t="shared" si="3"/>
        <v>Rp57,000-60 LSN-12.50%</v>
      </c>
      <c r="Q900" s="149">
        <v>45427.0</v>
      </c>
      <c r="R900" s="150"/>
      <c r="S900" s="149">
        <v>45430.0</v>
      </c>
      <c r="T900" s="151"/>
      <c r="U900" s="151"/>
      <c r="V900" s="151"/>
      <c r="W900" s="151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</row>
    <row r="901">
      <c r="A901" s="142">
        <v>4926.0</v>
      </c>
      <c r="B901" s="143" t="str">
        <f t="shared" ref="B901:B905" si="268">IF(A901=A900,B900,"")</f>
        <v>H</v>
      </c>
      <c r="C901" s="143" t="str">
        <f t="shared" ref="C901:C905" si="269">IF(A901=A900,C900,"")</f>
        <v>PERDANA-BREBES</v>
      </c>
      <c r="D901" s="145" t="s">
        <v>4458</v>
      </c>
      <c r="E901" s="145" t="str">
        <f>IFERROR(__xludf.DUMMYFUNCTION("vlookup(D901,IMPORTRANGE(""https://docs.google.com/spreadsheets/d/1swGwZOEqYlTEUCJLY-eeJM1911Kvaei5oySBIxdgtNo/edit?pli=1#gid=257618397"",""stock FAKTUR!B:C""),2,false)"),"ISI CUTTER KENKO A-100 KECIL")</f>
        <v>ISI CUTTER KENKO A-100 KECIL</v>
      </c>
      <c r="F901" s="145" t="str">
        <f>IFERROR(__xludf.DUMMYFUNCTION("vlookup($D901,IMPORTRANGE(""https://docs.google.com/spreadsheets/d/1swGwZOEqYlTEUCJLY-eeJM1911Kvaei5oySBIxdgtNo/edit?pli=1#gid=257618397"",""stock FAKTUR!B:d""),3,false)"),"9 MM")</f>
        <v>9 MM</v>
      </c>
      <c r="G901" s="145" t="str">
        <f>IFERROR(__xludf.DUMMYFUNCTION("vlookup($D901,IMPORTRANGE(""https://docs.google.com/spreadsheets/d/1swGwZOEqYlTEUCJLY-eeJM1911Kvaei5oySBIxdgtNo/edit?pli=1#gid=257618397"",""stock FAKTUR!B:e""),4,false)"),"")</f>
        <v/>
      </c>
      <c r="H901" s="145" t="str">
        <f>IFERROR(__xludf.DUMMYFUNCTION("vlookup($D901,IMPORTRANGE(""https://docs.google.com/spreadsheets/d/1swGwZOEqYlTEUCJLY-eeJM1911Kvaei5oySBIxdgtNo/edit?pli=1#gid=257618397"",""stock FAKTUR!B:F""),5,false)"),"KN")</f>
        <v>KN</v>
      </c>
      <c r="I901" s="145" t="str">
        <f>IFERROR(__xludf.DUMMYFUNCTION("vlookup($D901,IMPORTRANGE(""https://docs.google.com/spreadsheets/d/1swGwZOEqYlTEUCJLY-eeJM1911Kvaei5oySBIxdgtNo/edit?pli=1#gid=257618397"",""stock FAKTUR!B:G""),6,false)"),"CTB-001")</f>
        <v>CTB-001</v>
      </c>
      <c r="J901" s="199" t="str">
        <f t="shared" si="25"/>
        <v>ADA</v>
      </c>
      <c r="K901" s="142">
        <v>120.0</v>
      </c>
      <c r="L901" s="145" t="str">
        <f>IFERROR(__xludf.DUMMYFUNCTION("vlookup($D901,IMPORTRANGE(""https://docs.google.com/spreadsheets/d/1swGwZOEqYlTEUCJLY-eeJM1911Kvaei5oySBIxdgtNo/edit?pli=1#gid=257618397"",""stock FAKTUR!B:q""),16,false)"),"LSN")</f>
        <v>LSN</v>
      </c>
      <c r="M901" s="147">
        <v>32400.0</v>
      </c>
      <c r="N901" s="152">
        <v>0.15</v>
      </c>
      <c r="O901" s="147">
        <f t="shared" si="232"/>
        <v>3304800</v>
      </c>
      <c r="P901" s="147" t="str">
        <f t="shared" si="3"/>
        <v>Rp32,400-120 LSN-15.00%</v>
      </c>
      <c r="Q901" s="149">
        <v>45427.0</v>
      </c>
      <c r="R901" s="150"/>
      <c r="S901" s="149">
        <v>45430.0</v>
      </c>
      <c r="T901" s="151"/>
      <c r="U901" s="151"/>
      <c r="V901" s="151"/>
      <c r="W901" s="151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</row>
    <row r="902">
      <c r="A902" s="142">
        <v>4926.0</v>
      </c>
      <c r="B902" s="143" t="str">
        <f t="shared" si="268"/>
        <v>H</v>
      </c>
      <c r="C902" s="143" t="str">
        <f t="shared" si="269"/>
        <v>PERDANA-BREBES</v>
      </c>
      <c r="D902" s="145" t="s">
        <v>4443</v>
      </c>
      <c r="E902" s="145" t="str">
        <f>IFERROR(__xludf.DUMMYFUNCTION("vlookup(D902,IMPORTRANGE(""https://docs.google.com/spreadsheets/d/1swGwZOEqYlTEUCJLY-eeJM1911Kvaei5oySBIxdgtNo/edit?pli=1#gid=257618397"",""stock FAKTUR!B:C""),2,false)"),"CUTTER KENKO K-200")</f>
        <v>CUTTER KENKO K-200</v>
      </c>
      <c r="F902" s="145" t="str">
        <f>IFERROR(__xludf.DUMMYFUNCTION("vlookup($D902,IMPORTRANGE(""https://docs.google.com/spreadsheets/d/1swGwZOEqYlTEUCJLY-eeJM1911Kvaei5oySBIxdgtNo/edit?pli=1#gid=257618397"",""stock FAKTUR!B:d""),3,false)"),"9 MM")</f>
        <v>9 MM</v>
      </c>
      <c r="G902" s="145" t="str">
        <f>IFERROR(__xludf.DUMMYFUNCTION("vlookup($D902,IMPORTRANGE(""https://docs.google.com/spreadsheets/d/1swGwZOEqYlTEUCJLY-eeJM1911Kvaei5oySBIxdgtNo/edit?pli=1#gid=257618397"",""stock FAKTUR!B:e""),4,false)"),"")</f>
        <v/>
      </c>
      <c r="H902" s="145" t="str">
        <f>IFERROR(__xludf.DUMMYFUNCTION("vlookup($D902,IMPORTRANGE(""https://docs.google.com/spreadsheets/d/1swGwZOEqYlTEUCJLY-eeJM1911Kvaei5oySBIxdgtNo/edit?pli=1#gid=257618397"",""stock FAKTUR!B:F""),5,false)"),"KN")</f>
        <v>KN</v>
      </c>
      <c r="I902" s="145" t="str">
        <f>IFERROR(__xludf.DUMMYFUNCTION("vlookup($D902,IMPORTRANGE(""https://docs.google.com/spreadsheets/d/1swGwZOEqYlTEUCJLY-eeJM1911Kvaei5oySBIxdgtNo/edit?pli=1#gid=257618397"",""stock FAKTUR!B:G""),6,false)"),"CTR-003")</f>
        <v>CTR-003</v>
      </c>
      <c r="J902" s="199" t="str">
        <f t="shared" si="25"/>
        <v>ADA</v>
      </c>
      <c r="K902" s="142">
        <v>30.0</v>
      </c>
      <c r="L902" s="145" t="str">
        <f>IFERROR(__xludf.DUMMYFUNCTION("vlookup($D902,IMPORTRANGE(""https://docs.google.com/spreadsheets/d/1swGwZOEqYlTEUCJLY-eeJM1911Kvaei5oySBIxdgtNo/edit?pli=1#gid=257618397"",""stock FAKTUR!B:q""),16,false)"),"LSN")</f>
        <v>LSN</v>
      </c>
      <c r="M902" s="147">
        <v>52200.0</v>
      </c>
      <c r="N902" s="152">
        <v>0.15</v>
      </c>
      <c r="O902" s="147">
        <f t="shared" si="232"/>
        <v>1331100</v>
      </c>
      <c r="P902" s="147" t="str">
        <f t="shared" si="3"/>
        <v>Rp52,200-30 LSN-15.00%</v>
      </c>
      <c r="Q902" s="149">
        <v>45427.0</v>
      </c>
      <c r="R902" s="150"/>
      <c r="S902" s="149">
        <v>45430.0</v>
      </c>
      <c r="T902" s="151"/>
      <c r="U902" s="151"/>
      <c r="V902" s="151"/>
      <c r="W902" s="151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</row>
    <row r="903">
      <c r="A903" s="142">
        <v>4926.0</v>
      </c>
      <c r="B903" s="143" t="str">
        <f t="shared" si="268"/>
        <v>H</v>
      </c>
      <c r="C903" s="143" t="str">
        <f t="shared" si="269"/>
        <v>PERDANA-BREBES</v>
      </c>
      <c r="D903" s="145" t="s">
        <v>4416</v>
      </c>
      <c r="E903" s="145" t="str">
        <f>IFERROR(__xludf.DUMMYFUNCTION("vlookup(D903,IMPORTRANGE(""https://docs.google.com/spreadsheets/d/1swGwZOEqYlTEUCJLY-eeJM1911Kvaei5oySBIxdgtNo/edit?pli=1#gid=257618397"",""stock FAKTUR!B:C""),2,false)"),"BP KENKO KE-303 T-GEL HITAM")</f>
        <v>BP KENKO KE-303 T-GEL HITAM</v>
      </c>
      <c r="F903" s="145" t="str">
        <f>IFERROR(__xludf.DUMMYFUNCTION("vlookup($D903,IMPORTRANGE(""https://docs.google.com/spreadsheets/d/1swGwZOEqYlTEUCJLY-eeJM1911Kvaei5oySBIxdgtNo/edit?pli=1#gid=257618397"",""stock FAKTUR!B:d""),3,false)"),"")</f>
        <v/>
      </c>
      <c r="G903" s="145" t="str">
        <f>IFERROR(__xludf.DUMMYFUNCTION("vlookup($D903,IMPORTRANGE(""https://docs.google.com/spreadsheets/d/1swGwZOEqYlTEUCJLY-eeJM1911Kvaei5oySBIxdgtNo/edit?pli=1#gid=257618397"",""stock FAKTUR!B:e""),4,false)"),"")</f>
        <v/>
      </c>
      <c r="H903" s="145" t="str">
        <f>IFERROR(__xludf.DUMMYFUNCTION("vlookup($D903,IMPORTRANGE(""https://docs.google.com/spreadsheets/d/1swGwZOEqYlTEUCJLY-eeJM1911Kvaei5oySBIxdgtNo/edit?pli=1#gid=257618397"",""stock FAKTUR!B:F""),5,false)"),"KN")</f>
        <v>KN</v>
      </c>
      <c r="I903" s="145" t="str">
        <f>IFERROR(__xludf.DUMMYFUNCTION("vlookup($D903,IMPORTRANGE(""https://docs.google.com/spreadsheets/d/1swGwZOEqYlTEUCJLY-eeJM1911Kvaei5oySBIxdgtNo/edit?pli=1#gid=257618397"",""stock FAKTUR!B:G""),6,false)"),"KE-303")</f>
        <v>KE-303</v>
      </c>
      <c r="J903" s="199" t="str">
        <f t="shared" si="25"/>
        <v>ADA</v>
      </c>
      <c r="K903" s="142">
        <v>288.0</v>
      </c>
      <c r="L903" s="145" t="str">
        <f>IFERROR(__xludf.DUMMYFUNCTION("vlookup($D903,IMPORTRANGE(""https://docs.google.com/spreadsheets/d/1swGwZOEqYlTEUCJLY-eeJM1911Kvaei5oySBIxdgtNo/edit?pli=1#gid=257618397"",""stock FAKTUR!B:q""),16,false)"),"LSN")</f>
        <v>LSN</v>
      </c>
      <c r="M903" s="147">
        <v>21600.0</v>
      </c>
      <c r="N903" s="152">
        <v>0.15</v>
      </c>
      <c r="O903" s="147">
        <f t="shared" si="232"/>
        <v>5287680</v>
      </c>
      <c r="P903" s="147" t="str">
        <f t="shared" si="3"/>
        <v>Rp21,600-288 LSN-15.00%</v>
      </c>
      <c r="Q903" s="149">
        <v>45427.0</v>
      </c>
      <c r="R903" s="150"/>
      <c r="S903" s="149">
        <v>45430.0</v>
      </c>
      <c r="T903" s="151"/>
      <c r="U903" s="151"/>
      <c r="V903" s="151"/>
      <c r="W903" s="151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</row>
    <row r="904">
      <c r="A904" s="142">
        <v>4926.0</v>
      </c>
      <c r="B904" s="143" t="str">
        <f t="shared" si="268"/>
        <v>H</v>
      </c>
      <c r="C904" s="143" t="str">
        <f t="shared" si="269"/>
        <v>PERDANA-BREBES</v>
      </c>
      <c r="D904" s="145" t="s">
        <v>4800</v>
      </c>
      <c r="E904" s="145" t="str">
        <f>IFERROR(__xludf.DUMMYFUNCTION("vlookup(D904,IMPORTRANGE(""https://docs.google.com/spreadsheets/d/1swGwZOEqYlTEUCJLY-eeJM1911Kvaei5oySBIxdgtNo/edit?pli=1#gid=257618397"",""stock FAKTUR!B:C""),2,false)"),"TIPEX KENKO KE 301")</f>
        <v>TIPEX KENKO KE 301</v>
      </c>
      <c r="F904" s="145" t="str">
        <f>IFERROR(__xludf.DUMMYFUNCTION("vlookup($D904,IMPORTRANGE(""https://docs.google.com/spreadsheets/d/1swGwZOEqYlTEUCJLY-eeJM1911Kvaei5oySBIxdgtNo/edit?pli=1#gid=257618397"",""stock FAKTUR!B:d""),3,false)"),"8 M X 5 MM")</f>
        <v>8 M X 5 MM</v>
      </c>
      <c r="G904" s="145" t="str">
        <f>IFERROR(__xludf.DUMMYFUNCTION("vlookup($D904,IMPORTRANGE(""https://docs.google.com/spreadsheets/d/1swGwZOEqYlTEUCJLY-eeJM1911Kvaei5oySBIxdgtNo/edit?pli=1#gid=257618397"",""stock FAKTUR!B:e""),4,false)"),"")</f>
        <v/>
      </c>
      <c r="H904" s="145" t="str">
        <f>IFERROR(__xludf.DUMMYFUNCTION("vlookup($D904,IMPORTRANGE(""https://docs.google.com/spreadsheets/d/1swGwZOEqYlTEUCJLY-eeJM1911Kvaei5oySBIxdgtNo/edit?pli=1#gid=257618397"",""stock FAKTUR!B:F""),5,false)"),"KN")</f>
        <v>KN</v>
      </c>
      <c r="I904" s="145" t="str">
        <f>IFERROR(__xludf.DUMMYFUNCTION("vlookup($D904,IMPORTRANGE(""https://docs.google.com/spreadsheets/d/1swGwZOEqYlTEUCJLY-eeJM1911Kvaei5oySBIxdgtNo/edit?pli=1#gid=257618397"",""stock FAKTUR!B:G""),6,false)"),"KE 301")</f>
        <v>KE 301</v>
      </c>
      <c r="J904" s="199" t="str">
        <f t="shared" si="25"/>
        <v>ADA</v>
      </c>
      <c r="K904" s="142">
        <v>72.0</v>
      </c>
      <c r="L904" s="145" t="str">
        <f>IFERROR(__xludf.DUMMYFUNCTION("vlookup($D904,IMPORTRANGE(""https://docs.google.com/spreadsheets/d/1swGwZOEqYlTEUCJLY-eeJM1911Kvaei5oySBIxdgtNo/edit?pli=1#gid=257618397"",""stock FAKTUR!B:q""),16,false)"),"LSN")</f>
        <v>LSN</v>
      </c>
      <c r="M904" s="147">
        <v>55200.0</v>
      </c>
      <c r="N904" s="152">
        <v>0.15</v>
      </c>
      <c r="O904" s="147">
        <f t="shared" si="232"/>
        <v>3378240</v>
      </c>
      <c r="P904" s="147" t="str">
        <f t="shared" si="3"/>
        <v>Rp55,200-72 LSN-15.00%</v>
      </c>
      <c r="Q904" s="149">
        <v>45427.0</v>
      </c>
      <c r="R904" s="150"/>
      <c r="S904" s="149">
        <v>45430.0</v>
      </c>
      <c r="T904" s="151"/>
      <c r="U904" s="151"/>
      <c r="V904" s="151"/>
      <c r="W904" s="151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</row>
    <row r="905">
      <c r="A905" s="142">
        <v>4926.0</v>
      </c>
      <c r="B905" s="143" t="str">
        <f t="shared" si="268"/>
        <v>H</v>
      </c>
      <c r="C905" s="143" t="str">
        <f t="shared" si="269"/>
        <v>PERDANA-BREBES</v>
      </c>
      <c r="D905" s="145" t="s">
        <v>4621</v>
      </c>
      <c r="E905" s="145" t="str">
        <f>IFERROR(__xludf.DUMMYFUNCTION("vlookup(D905,IMPORTRANGE(""https://docs.google.com/spreadsheets/d/1swGwZOEqYlTEUCJLY-eeJM1911Kvaei5oySBIxdgtNo/edit?pli=1#gid=257618397"",""stock FAKTUR!B:C""),2,false)"),"PUNCH KENKO 30XL")</f>
        <v>PUNCH KENKO 30XL</v>
      </c>
      <c r="F905" s="145" t="str">
        <f>IFERROR(__xludf.DUMMYFUNCTION("vlookup($D905,IMPORTRANGE(""https://docs.google.com/spreadsheets/d/1swGwZOEqYlTEUCJLY-eeJM1911Kvaei5oySBIxdgtNo/edit?pli=1#gid=257618397"",""stock FAKTUR!B:d""),3,false)"),"")</f>
        <v/>
      </c>
      <c r="G905" s="145" t="str">
        <f>IFERROR(__xludf.DUMMYFUNCTION("vlookup($D905,IMPORTRANGE(""https://docs.google.com/spreadsheets/d/1swGwZOEqYlTEUCJLY-eeJM1911Kvaei5oySBIxdgtNo/edit?pli=1#gid=257618397"",""stock FAKTUR!B:e""),4,false)"),"")</f>
        <v/>
      </c>
      <c r="H905" s="145" t="str">
        <f>IFERROR(__xludf.DUMMYFUNCTION("vlookup($D905,IMPORTRANGE(""https://docs.google.com/spreadsheets/d/1swGwZOEqYlTEUCJLY-eeJM1911Kvaei5oySBIxdgtNo/edit?pli=1#gid=257618397"",""stock FAKTUR!B:F""),5,false)"),"KN")</f>
        <v>KN</v>
      </c>
      <c r="I905" s="145" t="str">
        <f>IFERROR(__xludf.DUMMYFUNCTION("vlookup($D905,IMPORTRANGE(""https://docs.google.com/spreadsheets/d/1swGwZOEqYlTEUCJLY-eeJM1911Kvaei5oySBIxdgtNo/edit?pli=1#gid=257618397"",""stock FAKTUR!B:G""),6,false)"),"PNC-006")</f>
        <v>PNC-006</v>
      </c>
      <c r="J905" s="199" t="str">
        <f t="shared" si="25"/>
        <v>ADA</v>
      </c>
      <c r="K905" s="142">
        <f>96/12</f>
        <v>8</v>
      </c>
      <c r="L905" s="145" t="str">
        <f>IFERROR(__xludf.DUMMYFUNCTION("vlookup($D905,IMPORTRANGE(""https://docs.google.com/spreadsheets/d/1swGwZOEqYlTEUCJLY-eeJM1911Kvaei5oySBIxdgtNo/edit?pli=1#gid=257618397"",""stock FAKTUR!B:q""),16,false)"),"LSN")</f>
        <v>LSN</v>
      </c>
      <c r="M905" s="147">
        <f>15000*12</f>
        <v>180000</v>
      </c>
      <c r="N905" s="152">
        <v>0.15</v>
      </c>
      <c r="O905" s="147">
        <f t="shared" si="232"/>
        <v>1224000</v>
      </c>
      <c r="P905" s="147" t="str">
        <f t="shared" si="3"/>
        <v>Rp180,000-8 LSN-15.00%</v>
      </c>
      <c r="Q905" s="149">
        <v>45427.0</v>
      </c>
      <c r="R905" s="150"/>
      <c r="S905" s="149">
        <v>45430.0</v>
      </c>
      <c r="T905" s="151"/>
      <c r="U905" s="151"/>
      <c r="V905" s="151"/>
      <c r="W905" s="151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</row>
    <row r="906">
      <c r="A906" s="142">
        <v>4928.0</v>
      </c>
      <c r="B906" s="143" t="s">
        <v>33</v>
      </c>
      <c r="C906" s="143" t="s">
        <v>4437</v>
      </c>
      <c r="D906" s="145" t="s">
        <v>4455</v>
      </c>
      <c r="E906" s="145" t="str">
        <f>IFERROR(__xludf.DUMMYFUNCTION("vlookup(D906,IMPORTRANGE(""https://docs.google.com/spreadsheets/d/1swGwZOEqYlTEUCJLY-eeJM1911Kvaei5oySBIxdgtNo/edit?pli=1#gid=257618397"",""stock FAKTUR!B:C""),2,false)"),"OIL PASTEL TITI 24W TI-P-24S")</f>
        <v>OIL PASTEL TITI 24W TI-P-24S</v>
      </c>
      <c r="F906" s="145" t="str">
        <f>IFERROR(__xludf.DUMMYFUNCTION("vlookup($D906,IMPORTRANGE(""https://docs.google.com/spreadsheets/d/1swGwZOEqYlTEUCJLY-eeJM1911Kvaei5oySBIxdgtNo/edit?pli=1#gid=257618397"",""stock FAKTUR!B:d""),3,false)"),"")</f>
        <v/>
      </c>
      <c r="G906" s="145" t="str">
        <f>IFERROR(__xludf.DUMMYFUNCTION("vlookup($D906,IMPORTRANGE(""https://docs.google.com/spreadsheets/d/1swGwZOEqYlTEUCJLY-eeJM1911Kvaei5oySBIxdgtNo/edit?pli=1#gid=257618397"",""stock FAKTUR!B:e""),4,false)"),"24W")</f>
        <v>24W</v>
      </c>
      <c r="H906" s="145" t="str">
        <f>IFERROR(__xludf.DUMMYFUNCTION("vlookup($D906,IMPORTRANGE(""https://docs.google.com/spreadsheets/d/1swGwZOEqYlTEUCJLY-eeJM1911Kvaei5oySBIxdgtNo/edit?pli=1#gid=257618397"",""stock FAKTUR!B:F""),5,false)"),"TT")</f>
        <v>TT</v>
      </c>
      <c r="I906" s="145" t="str">
        <f>IFERROR(__xludf.DUMMYFUNCTION("vlookup($D906,IMPORTRANGE(""https://docs.google.com/spreadsheets/d/1swGwZOEqYlTEUCJLY-eeJM1911Kvaei5oySBIxdgtNo/edit?pli=1#gid=257618397"",""stock FAKTUR!B:G""),6,false)"),"OPS-009")</f>
        <v>OPS-009</v>
      </c>
      <c r="J906" s="199" t="str">
        <f t="shared" si="25"/>
        <v>ADA</v>
      </c>
      <c r="K906" s="142">
        <v>48.0</v>
      </c>
      <c r="L906" s="145" t="str">
        <f>IFERROR(__xludf.DUMMYFUNCTION("vlookup($D906,IMPORTRANGE(""https://docs.google.com/spreadsheets/d/1swGwZOEqYlTEUCJLY-eeJM1911Kvaei5oySBIxdgtNo/edit?pli=1#gid=257618397"",""stock FAKTUR!B:q""),16,false)"),"PCS")</f>
        <v>PCS</v>
      </c>
      <c r="M906" s="147">
        <v>34000.0</v>
      </c>
      <c r="N906" s="152">
        <v>0.125</v>
      </c>
      <c r="O906" s="147">
        <f t="shared" si="232"/>
        <v>1428000</v>
      </c>
      <c r="P906" s="147" t="str">
        <f t="shared" si="3"/>
        <v>Rp34,000-48 PCS-12.50%</v>
      </c>
      <c r="Q906" s="149">
        <v>45427.0</v>
      </c>
      <c r="R906" s="150"/>
      <c r="S906" s="149">
        <v>45430.0</v>
      </c>
      <c r="T906" s="151"/>
      <c r="U906" s="151"/>
      <c r="V906" s="151"/>
      <c r="W906" s="151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</row>
    <row r="907">
      <c r="A907" s="142">
        <v>4927.0</v>
      </c>
      <c r="B907" s="143" t="s">
        <v>65</v>
      </c>
      <c r="C907" s="143" t="s">
        <v>3536</v>
      </c>
      <c r="D907" s="145" t="s">
        <v>4543</v>
      </c>
      <c r="E907" s="145" t="str">
        <f>IFERROR(__xludf.DUMMYFUNCTION("vlookup(D907,IMPORTRANGE(""https://docs.google.com/spreadsheets/d/1swGwZOEqYlTEUCJLY-eeJM1911Kvaei5oySBIxdgtNo/edit?pli=1#gid=257618397"",""stock FAKTUR!B:C""),2,false)"),"STABILLO HIGHLIGHTER VANCO HL-521")</f>
        <v>STABILLO HIGHLIGHTER VANCO HL-521</v>
      </c>
      <c r="F907" s="145" t="str">
        <f>IFERROR(__xludf.DUMMYFUNCTION("vlookup($D907,IMPORTRANGE(""https://docs.google.com/spreadsheets/d/1swGwZOEqYlTEUCJLY-eeJM1911Kvaei5oySBIxdgtNo/edit?pli=1#gid=257618397"",""stock FAKTUR!B:d""),3,false)"),"")</f>
        <v/>
      </c>
      <c r="G907" s="145" t="str">
        <f>IFERROR(__xludf.DUMMYFUNCTION("vlookup($D907,IMPORTRANGE(""https://docs.google.com/spreadsheets/d/1swGwZOEqYlTEUCJLY-eeJM1911Kvaei5oySBIxdgtNo/edit?pli=1#gid=257618397"",""stock FAKTUR!B:e""),4,false)"),"")</f>
        <v/>
      </c>
      <c r="H907" s="145" t="str">
        <f>IFERROR(__xludf.DUMMYFUNCTION("vlookup($D907,IMPORTRANGE(""https://docs.google.com/spreadsheets/d/1swGwZOEqYlTEUCJLY-eeJM1911Kvaei5oySBIxdgtNo/edit?pli=1#gid=257618397"",""stock FAKTUR!B:F""),5,false)"),"VN")</f>
        <v>VN</v>
      </c>
      <c r="I907" s="145" t="str">
        <f>IFERROR(__xludf.DUMMYFUNCTION("vlookup($D907,IMPORTRANGE(""https://docs.google.com/spreadsheets/d/1swGwZOEqYlTEUCJLY-eeJM1911Kvaei5oySBIxdgtNo/edit?pli=1#gid=257618397"",""stock FAKTUR!B:G""),6,false)"),"HL-521")</f>
        <v>HL-521</v>
      </c>
      <c r="J907" s="199" t="str">
        <f t="shared" si="25"/>
        <v>ADA</v>
      </c>
      <c r="K907" s="142">
        <v>19.0</v>
      </c>
      <c r="L907" s="145" t="str">
        <f>IFERROR(__xludf.DUMMYFUNCTION("vlookup($D907,IMPORTRANGE(""https://docs.google.com/spreadsheets/d/1swGwZOEqYlTEUCJLY-eeJM1911Kvaei5oySBIxdgtNo/edit?pli=1#gid=257618397"",""stock FAKTUR!B:q""),16,false)"),"LSN")</f>
        <v>LSN</v>
      </c>
      <c r="M907" s="147">
        <v>19500.0</v>
      </c>
      <c r="N907" s="148"/>
      <c r="O907" s="147">
        <f t="shared" si="232"/>
        <v>370500</v>
      </c>
      <c r="P907" s="147" t="str">
        <f t="shared" si="3"/>
        <v>Rp19,500-19 LSN-0.00%</v>
      </c>
      <c r="Q907" s="149">
        <v>45427.0</v>
      </c>
      <c r="R907" s="150"/>
      <c r="S907" s="149">
        <v>45430.0</v>
      </c>
      <c r="T907" s="151"/>
      <c r="U907" s="151"/>
      <c r="V907" s="151"/>
      <c r="W907" s="151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</row>
    <row r="908">
      <c r="A908" s="142">
        <v>4924.0</v>
      </c>
      <c r="B908" s="143" t="s">
        <v>58</v>
      </c>
      <c r="C908" s="143" t="s">
        <v>2639</v>
      </c>
      <c r="D908" s="151" t="s">
        <v>4461</v>
      </c>
      <c r="E908" s="145" t="str">
        <f>IFERROR(__xludf.DUMMYFUNCTION("vlookup(D908,IMPORTRANGE(""https://docs.google.com/spreadsheets/d/1swGwZOEqYlTEUCJLY-eeJM1911Kvaei5oySBIxdgtNo/edit?pli=1#gid=257618397"",""stock FAKTUR!B:C""),2,false)"),"GUNTING GUNINDO OLL GR16")</f>
        <v>GUNTING GUNINDO OLL GR16</v>
      </c>
      <c r="F908" s="145" t="str">
        <f>IFERROR(__xludf.DUMMYFUNCTION("vlookup($D908,IMPORTRANGE(""https://docs.google.com/spreadsheets/d/1swGwZOEqYlTEUCJLY-eeJM1911Kvaei5oySBIxdgtNo/edit?pli=1#gid=257618397"",""stock FAKTUR!B:d""),3,false)"),"")</f>
        <v/>
      </c>
      <c r="G908" s="145" t="str">
        <f>IFERROR(__xludf.DUMMYFUNCTION("vlookup($D908,IMPORTRANGE(""https://docs.google.com/spreadsheets/d/1swGwZOEqYlTEUCJLY-eeJM1911Kvaei5oySBIxdgtNo/edit?pli=1#gid=257618397"",""stock FAKTUR!B:e""),4,false)"),"")</f>
        <v/>
      </c>
      <c r="H908" s="145" t="str">
        <f>IFERROR(__xludf.DUMMYFUNCTION("vlookup($D908,IMPORTRANGE(""https://docs.google.com/spreadsheets/d/1swGwZOEqYlTEUCJLY-eeJM1911Kvaei5oySBIxdgtNo/edit?pli=1#gid=257618397"",""stock FAKTUR!B:F""),5,false)"),"GN")</f>
        <v>GN</v>
      </c>
      <c r="I908" s="145" t="str">
        <f>IFERROR(__xludf.DUMMYFUNCTION("vlookup($D908,IMPORTRANGE(""https://docs.google.com/spreadsheets/d/1swGwZOEqYlTEUCJLY-eeJM1911Kvaei5oySBIxdgtNo/edit?pli=1#gid=257618397"",""stock FAKTUR!B:G""),6,false)"),"GR16")</f>
        <v>GR16</v>
      </c>
      <c r="J908" s="199" t="str">
        <f t="shared" si="25"/>
        <v>ADA</v>
      </c>
      <c r="K908" s="142">
        <v>20.0</v>
      </c>
      <c r="L908" s="145" t="str">
        <f>IFERROR(__xludf.DUMMYFUNCTION("vlookup($D908,IMPORTRANGE(""https://docs.google.com/spreadsheets/d/1swGwZOEqYlTEUCJLY-eeJM1911Kvaei5oySBIxdgtNo/edit?pli=1#gid=257618397"",""stock FAKTUR!B:q""),16,false)"),"LSN")</f>
        <v>LSN</v>
      </c>
      <c r="M908" s="147">
        <v>70000.0</v>
      </c>
      <c r="N908" s="152">
        <v>0.1</v>
      </c>
      <c r="O908" s="147">
        <f t="shared" si="232"/>
        <v>1260000</v>
      </c>
      <c r="P908" s="147" t="str">
        <f t="shared" si="3"/>
        <v>Rp70,000-20 LSN-10.00%</v>
      </c>
      <c r="Q908" s="149">
        <v>45427.0</v>
      </c>
      <c r="R908" s="150"/>
      <c r="S908" s="149">
        <v>45430.0</v>
      </c>
      <c r="T908" s="151"/>
      <c r="U908" s="151"/>
      <c r="V908" s="151"/>
      <c r="W908" s="151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</row>
    <row r="909">
      <c r="A909" s="142">
        <v>4924.0</v>
      </c>
      <c r="B909" s="143" t="str">
        <f>IF(A909=A908,B908,"")</f>
        <v>G</v>
      </c>
      <c r="C909" s="143" t="str">
        <f>IF(A909=A908,C908,"")</f>
        <v>MUBAROK-MRANGGEN</v>
      </c>
      <c r="D909" s="151" t="s">
        <v>4462</v>
      </c>
      <c r="E909" s="145" t="str">
        <f>IFERROR(__xludf.DUMMYFUNCTION("vlookup(D909,IMPORTRANGE(""https://docs.google.com/spreadsheets/d/1swGwZOEqYlTEUCJLY-eeJM1911Kvaei5oySBIxdgtNo/edit?pli=1#gid=257618397"",""stock FAKTUR!B:C""),2,false)"),"GUNTING GUNINDO OSS GR15")</f>
        <v>GUNTING GUNINDO OSS GR15</v>
      </c>
      <c r="F909" s="145" t="str">
        <f>IFERROR(__xludf.DUMMYFUNCTION("vlookup($D909,IMPORTRANGE(""https://docs.google.com/spreadsheets/d/1swGwZOEqYlTEUCJLY-eeJM1911Kvaei5oySBIxdgtNo/edit?pli=1#gid=257618397"",""stock FAKTUR!B:d""),3,false)"),"")</f>
        <v/>
      </c>
      <c r="G909" s="145" t="str">
        <f>IFERROR(__xludf.DUMMYFUNCTION("vlookup($D909,IMPORTRANGE(""https://docs.google.com/spreadsheets/d/1swGwZOEqYlTEUCJLY-eeJM1911Kvaei5oySBIxdgtNo/edit?pli=1#gid=257618397"",""stock FAKTUR!B:e""),4,false)"),"")</f>
        <v/>
      </c>
      <c r="H909" s="145" t="str">
        <f>IFERROR(__xludf.DUMMYFUNCTION("vlookup($D909,IMPORTRANGE(""https://docs.google.com/spreadsheets/d/1swGwZOEqYlTEUCJLY-eeJM1911Kvaei5oySBIxdgtNo/edit?pli=1#gid=257618397"",""stock FAKTUR!B:F""),5,false)"),"GN")</f>
        <v>GN</v>
      </c>
      <c r="I909" s="145" t="str">
        <f>IFERROR(__xludf.DUMMYFUNCTION("vlookup($D909,IMPORTRANGE(""https://docs.google.com/spreadsheets/d/1swGwZOEqYlTEUCJLY-eeJM1911Kvaei5oySBIxdgtNo/edit?pli=1#gid=257618397"",""stock FAKTUR!B:G""),6,false)"),"GR15")</f>
        <v>GR15</v>
      </c>
      <c r="J909" s="199" t="str">
        <f t="shared" si="25"/>
        <v>ADA</v>
      </c>
      <c r="K909" s="142">
        <v>20.0</v>
      </c>
      <c r="L909" s="145" t="str">
        <f>IFERROR(__xludf.DUMMYFUNCTION("vlookup($D909,IMPORTRANGE(""https://docs.google.com/spreadsheets/d/1swGwZOEqYlTEUCJLY-eeJM1911Kvaei5oySBIxdgtNo/edit?pli=1#gid=257618397"",""stock FAKTUR!B:q""),16,false)"),"LSN")</f>
        <v>LSN</v>
      </c>
      <c r="M909" s="147">
        <v>49200.0</v>
      </c>
      <c r="N909" s="152">
        <v>0.1</v>
      </c>
      <c r="O909" s="147">
        <f t="shared" si="232"/>
        <v>885600</v>
      </c>
      <c r="P909" s="147" t="str">
        <f t="shared" si="3"/>
        <v>Rp49,200-20 LSN-10.00%</v>
      </c>
      <c r="Q909" s="149">
        <v>45427.0</v>
      </c>
      <c r="R909" s="150"/>
      <c r="S909" s="149">
        <v>45430.0</v>
      </c>
      <c r="T909" s="151"/>
      <c r="U909" s="151"/>
      <c r="V909" s="151"/>
      <c r="W909" s="151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</row>
    <row r="910">
      <c r="A910" s="142">
        <v>4938.0</v>
      </c>
      <c r="B910" s="143" t="s">
        <v>33</v>
      </c>
      <c r="C910" s="143" t="s">
        <v>3755</v>
      </c>
      <c r="D910" s="145" t="s">
        <v>4599</v>
      </c>
      <c r="E910" s="145" t="str">
        <f>IFERROR(__xludf.DUMMYFUNCTION("vlookup(D910,IMPORTRANGE(""https://docs.google.com/spreadsheets/d/1swGwZOEqYlTEUCJLY-eeJM1911Kvaei5oySBIxdgtNo/edit?pli=1#gid=257618397"",""stock FAKTUR!B:C""),2,false)"),"OIL PASTEL TITI 12W TI-P-12S")</f>
        <v>OIL PASTEL TITI 12W TI-P-12S</v>
      </c>
      <c r="F910" s="145" t="str">
        <f>IFERROR(__xludf.DUMMYFUNCTION("vlookup($D910,IMPORTRANGE(""https://docs.google.com/spreadsheets/d/1swGwZOEqYlTEUCJLY-eeJM1911Kvaei5oySBIxdgtNo/edit?pli=1#gid=257618397"",""stock FAKTUR!B:d""),3,false)"),"")</f>
        <v/>
      </c>
      <c r="G910" s="145" t="str">
        <f>IFERROR(__xludf.DUMMYFUNCTION("vlookup($D910,IMPORTRANGE(""https://docs.google.com/spreadsheets/d/1swGwZOEqYlTEUCJLY-eeJM1911Kvaei5oySBIxdgtNo/edit?pli=1#gid=257618397"",""stock FAKTUR!B:e""),4,false)"),"12W")</f>
        <v>12W</v>
      </c>
      <c r="H910" s="145" t="str">
        <f>IFERROR(__xludf.DUMMYFUNCTION("vlookup($D910,IMPORTRANGE(""https://docs.google.com/spreadsheets/d/1swGwZOEqYlTEUCJLY-eeJM1911Kvaei5oySBIxdgtNo/edit?pli=1#gid=257618397"",""stock FAKTUR!B:F""),5,false)"),"TT")</f>
        <v>TT</v>
      </c>
      <c r="I910" s="145" t="str">
        <f>IFERROR(__xludf.DUMMYFUNCTION("vlookup($D910,IMPORTRANGE(""https://docs.google.com/spreadsheets/d/1swGwZOEqYlTEUCJLY-eeJM1911Kvaei5oySBIxdgtNo/edit?pli=1#gid=257618397"",""stock FAKTUR!B:G""),6,false)"),"OPS-007")</f>
        <v>OPS-007</v>
      </c>
      <c r="J910" s="199" t="str">
        <f t="shared" si="25"/>
        <v>ADA</v>
      </c>
      <c r="K910" s="142">
        <v>144.0</v>
      </c>
      <c r="L910" s="145" t="str">
        <f>IFERROR(__xludf.DUMMYFUNCTION("vlookup($D910,IMPORTRANGE(""https://docs.google.com/spreadsheets/d/1swGwZOEqYlTEUCJLY-eeJM1911Kvaei5oySBIxdgtNo/edit?pli=1#gid=257618397"",""stock FAKTUR!B:q""),16,false)"),"PCS")</f>
        <v>PCS</v>
      </c>
      <c r="M910" s="147">
        <v>14500.0</v>
      </c>
      <c r="N910" s="152">
        <v>0.125</v>
      </c>
      <c r="O910" s="147">
        <f t="shared" si="232"/>
        <v>1827000</v>
      </c>
      <c r="P910" s="147" t="str">
        <f t="shared" si="3"/>
        <v>Rp14,500-144 PCS-12.50%</v>
      </c>
      <c r="Q910" s="149">
        <v>45427.0</v>
      </c>
      <c r="R910" s="150"/>
      <c r="S910" s="149">
        <v>45430.0</v>
      </c>
      <c r="T910" s="151"/>
      <c r="U910" s="151"/>
      <c r="V910" s="151"/>
      <c r="W910" s="151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</row>
    <row r="911">
      <c r="A911" s="142">
        <v>2934.0</v>
      </c>
      <c r="B911" s="143" t="s">
        <v>33</v>
      </c>
      <c r="C911" s="143" t="s">
        <v>4503</v>
      </c>
      <c r="D911" s="145" t="s">
        <v>4467</v>
      </c>
      <c r="E911" s="145" t="str">
        <f>IFERROR(__xludf.DUMMYFUNCTION("vlookup(D911,IMPORTRANGE(""https://docs.google.com/spreadsheets/d/1swGwZOEqYlTEUCJLY-eeJM1911Kvaei5oySBIxdgtNo/edit?pli=1#gid=257618397"",""stock FAKTUR!B:C""),2,false)"),"TAPE CUTTER JK TD-103")</f>
        <v>TAPE CUTTER JK TD-103</v>
      </c>
      <c r="F911" s="145" t="str">
        <f>IFERROR(__xludf.DUMMYFUNCTION("vlookup($D911,IMPORTRANGE(""https://docs.google.com/spreadsheets/d/1swGwZOEqYlTEUCJLY-eeJM1911Kvaei5oySBIxdgtNo/edit?pli=1#gid=257618397"",""stock FAKTUR!B:d""),3,false)"),"")</f>
        <v/>
      </c>
      <c r="G911" s="145" t="str">
        <f>IFERROR(__xludf.DUMMYFUNCTION("vlookup($D911,IMPORTRANGE(""https://docs.google.com/spreadsheets/d/1swGwZOEqYlTEUCJLY-eeJM1911Kvaei5oySBIxdgtNo/edit?pli=1#gid=257618397"",""stock FAKTUR!B:e""),4,false)"),"")</f>
        <v/>
      </c>
      <c r="H911" s="145" t="str">
        <f>IFERROR(__xludf.DUMMYFUNCTION("vlookup($D911,IMPORTRANGE(""https://docs.google.com/spreadsheets/d/1swGwZOEqYlTEUCJLY-eeJM1911Kvaei5oySBIxdgtNo/edit?pli=1#gid=257618397"",""stock FAKTUR!B:F""),5,false)"),"JK")</f>
        <v>JK</v>
      </c>
      <c r="I911" s="145" t="str">
        <f>IFERROR(__xludf.DUMMYFUNCTION("vlookup($D911,IMPORTRANGE(""https://docs.google.com/spreadsheets/d/1swGwZOEqYlTEUCJLY-eeJM1911Kvaei5oySBIxdgtNo/edit?pli=1#gid=257618397"",""stock FAKTUR!B:G""),6,false)"),"TD-103")</f>
        <v>TD-103</v>
      </c>
      <c r="J911" s="199" t="str">
        <f t="shared" si="25"/>
        <v>ADA</v>
      </c>
      <c r="K911" s="142">
        <v>96.0</v>
      </c>
      <c r="L911" s="145" t="str">
        <f>IFERROR(__xludf.DUMMYFUNCTION("vlookup($D911,IMPORTRANGE(""https://docs.google.com/spreadsheets/d/1swGwZOEqYlTEUCJLY-eeJM1911Kvaei5oySBIxdgtNo/edit?pli=1#gid=257618397"",""stock FAKTUR!B:q""),16,false)"),"PCS")</f>
        <v>PCS</v>
      </c>
      <c r="M911" s="147">
        <v>19000.0</v>
      </c>
      <c r="N911" s="152">
        <v>0.125</v>
      </c>
      <c r="O911" s="147">
        <f t="shared" si="232"/>
        <v>1596000</v>
      </c>
      <c r="P911" s="147" t="str">
        <f t="shared" si="3"/>
        <v>Rp19,000-96 PCS-12.50%</v>
      </c>
      <c r="Q911" s="149">
        <v>45427.0</v>
      </c>
      <c r="R911" s="150"/>
      <c r="S911" s="149">
        <v>45430.0</v>
      </c>
      <c r="T911" s="151"/>
      <c r="U911" s="151"/>
      <c r="V911" s="151"/>
      <c r="W911" s="151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</row>
    <row r="912">
      <c r="A912" s="142">
        <v>2934.0</v>
      </c>
      <c r="B912" s="143" t="str">
        <f>IF(A912=A911,B911,"")</f>
        <v>H</v>
      </c>
      <c r="C912" s="143" t="str">
        <f>IF(A912=A911,C911,"")</f>
        <v>MERPATI-MALANG</v>
      </c>
      <c r="D912" s="145" t="s">
        <v>4468</v>
      </c>
      <c r="E912" s="145" t="str">
        <f>IFERROR(__xludf.DUMMYFUNCTION("vlookup(D912,IMPORTRANGE(""https://docs.google.com/spreadsheets/d/1swGwZOEqYlTEUCJLY-eeJM1911Kvaei5oySBIxdgtNo/edit?pli=1#gid=257618397"",""stock FAKTUR!B:C""),2,false)"),"TAPE CUTTER JK TD-102")</f>
        <v>TAPE CUTTER JK TD-102</v>
      </c>
      <c r="F912" s="145" t="str">
        <f>IFERROR(__xludf.DUMMYFUNCTION("vlookup($D912,IMPORTRANGE(""https://docs.google.com/spreadsheets/d/1swGwZOEqYlTEUCJLY-eeJM1911Kvaei5oySBIxdgtNo/edit?pli=1#gid=257618397"",""stock FAKTUR!B:d""),3,false)"),"")</f>
        <v/>
      </c>
      <c r="G912" s="145" t="str">
        <f>IFERROR(__xludf.DUMMYFUNCTION("vlookup($D912,IMPORTRANGE(""https://docs.google.com/spreadsheets/d/1swGwZOEqYlTEUCJLY-eeJM1911Kvaei5oySBIxdgtNo/edit?pli=1#gid=257618397"",""stock FAKTUR!B:e""),4,false)"),"")</f>
        <v/>
      </c>
      <c r="H912" s="145" t="str">
        <f>IFERROR(__xludf.DUMMYFUNCTION("vlookup($D912,IMPORTRANGE(""https://docs.google.com/spreadsheets/d/1swGwZOEqYlTEUCJLY-eeJM1911Kvaei5oySBIxdgtNo/edit?pli=1#gid=257618397"",""stock FAKTUR!B:F""),5,false)"),"JK")</f>
        <v>JK</v>
      </c>
      <c r="I912" s="145" t="str">
        <f>IFERROR(__xludf.DUMMYFUNCTION("vlookup($D912,IMPORTRANGE(""https://docs.google.com/spreadsheets/d/1swGwZOEqYlTEUCJLY-eeJM1911Kvaei5oySBIxdgtNo/edit?pli=1#gid=257618397"",""stock FAKTUR!B:G""),6,false)"),"TD-102")</f>
        <v>TD-102</v>
      </c>
      <c r="J912" s="199" t="str">
        <f t="shared" si="25"/>
        <v>ADA</v>
      </c>
      <c r="K912" s="142">
        <v>96.0</v>
      </c>
      <c r="L912" s="145" t="str">
        <f>IFERROR(__xludf.DUMMYFUNCTION("vlookup($D912,IMPORTRANGE(""https://docs.google.com/spreadsheets/d/1swGwZOEqYlTEUCJLY-eeJM1911Kvaei5oySBIxdgtNo/edit?pli=1#gid=257618397"",""stock FAKTUR!B:q""),16,false)"),"PCS")</f>
        <v>PCS</v>
      </c>
      <c r="M912" s="147">
        <v>11600.0</v>
      </c>
      <c r="N912" s="152">
        <v>0.125</v>
      </c>
      <c r="O912" s="147">
        <f t="shared" si="232"/>
        <v>974400</v>
      </c>
      <c r="P912" s="147" t="str">
        <f t="shared" si="3"/>
        <v>Rp11,600-96 PCS-12.50%</v>
      </c>
      <c r="Q912" s="149">
        <v>45427.0</v>
      </c>
      <c r="R912" s="150"/>
      <c r="S912" s="149">
        <v>45430.0</v>
      </c>
      <c r="T912" s="151"/>
      <c r="U912" s="151"/>
      <c r="V912" s="151"/>
      <c r="W912" s="151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</row>
    <row r="913">
      <c r="A913" s="142">
        <v>4933.0</v>
      </c>
      <c r="B913" s="143" t="s">
        <v>58</v>
      </c>
      <c r="C913" s="143" t="s">
        <v>3821</v>
      </c>
      <c r="D913" s="145" t="s">
        <v>4439</v>
      </c>
      <c r="E913" s="145" t="str">
        <f>IFERROR(__xludf.DUMMYFUNCTION("vlookup(D913,IMPORTRANGE(""https://docs.google.com/spreadsheets/d/1swGwZOEqYlTEUCJLY-eeJM1911Kvaei5oySBIxdgtNo/edit?pli=1#gid=257618397"",""stock FAKTUR!B:C""),2,false)"),"BINDER CLIP KENKO NO. 111")</f>
        <v>BINDER CLIP KENKO NO. 111</v>
      </c>
      <c r="F913" s="145" t="str">
        <f>IFERROR(__xludf.DUMMYFUNCTION("vlookup($D913,IMPORTRANGE(""https://docs.google.com/spreadsheets/d/1swGwZOEqYlTEUCJLY-eeJM1911Kvaei5oySBIxdgtNo/edit?pli=1#gid=257618397"",""stock FAKTUR!B:d""),3,false)"),"")</f>
        <v/>
      </c>
      <c r="G913" s="145" t="str">
        <f>IFERROR(__xludf.DUMMYFUNCTION("vlookup($D913,IMPORTRANGE(""https://docs.google.com/spreadsheets/d/1swGwZOEqYlTEUCJLY-eeJM1911Kvaei5oySBIxdgtNo/edit?pli=1#gid=257618397"",""stock FAKTUR!B:e""),4,false)"),"")</f>
        <v/>
      </c>
      <c r="H913" s="145" t="str">
        <f>IFERROR(__xludf.DUMMYFUNCTION("vlookup($D913,IMPORTRANGE(""https://docs.google.com/spreadsheets/d/1swGwZOEqYlTEUCJLY-eeJM1911Kvaei5oySBIxdgtNo/edit?pli=1#gid=257618397"",""stock FAKTUR!B:F""),5,false)"),"KN")</f>
        <v>KN</v>
      </c>
      <c r="I913" s="145" t="str">
        <f>IFERROR(__xludf.DUMMYFUNCTION("vlookup($D913,IMPORTRANGE(""https://docs.google.com/spreadsheets/d/1swGwZOEqYlTEUCJLY-eeJM1911Kvaei5oySBIxdgtNo/edit?pli=1#gid=257618397"",""stock FAKTUR!B:G""),6,false)"),"BCL-003QH")</f>
        <v>BCL-003QH</v>
      </c>
      <c r="J913" s="199" t="str">
        <f t="shared" si="25"/>
        <v>ADA</v>
      </c>
      <c r="K913" s="142">
        <v>30.0</v>
      </c>
      <c r="L913" s="145" t="str">
        <f>IFERROR(__xludf.DUMMYFUNCTION("vlookup($D913,IMPORTRANGE(""https://docs.google.com/spreadsheets/d/1swGwZOEqYlTEUCJLY-eeJM1911Kvaei5oySBIxdgtNo/edit?pli=1#gid=257618397"",""stock FAKTUR!B:q""),16,false)"),"BOX")</f>
        <v>BOX</v>
      </c>
      <c r="M913" s="147">
        <v>49200.0</v>
      </c>
      <c r="N913" s="152">
        <v>0.125</v>
      </c>
      <c r="O913" s="147">
        <f t="shared" si="232"/>
        <v>1291500</v>
      </c>
      <c r="P913" s="147" t="str">
        <f t="shared" si="3"/>
        <v>Rp49,200-30 BOX-12.50%</v>
      </c>
      <c r="Q913" s="149">
        <v>45427.0</v>
      </c>
      <c r="R913" s="150"/>
      <c r="S913" s="149">
        <v>45430.0</v>
      </c>
      <c r="T913" s="151"/>
      <c r="U913" s="151"/>
      <c r="V913" s="151"/>
      <c r="W913" s="151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</row>
    <row r="914">
      <c r="A914" s="142">
        <v>4933.0</v>
      </c>
      <c r="B914" s="143" t="str">
        <f t="shared" ref="B914:B916" si="270">IF(A914=A913,B913,"")</f>
        <v>G</v>
      </c>
      <c r="C914" s="143" t="str">
        <f t="shared" ref="C914:C916" si="271">IF(A914=A913,C913,"")</f>
        <v>BAHTERA-YOGYA</v>
      </c>
      <c r="D914" s="145" t="s">
        <v>4532</v>
      </c>
      <c r="E914" s="145" t="str">
        <f>IFERROR(__xludf.DUMMYFUNCTION("vlookup(D914,IMPORTRANGE(""https://docs.google.com/spreadsheets/d/1swGwZOEqYlTEUCJLY-eeJM1911Kvaei5oySBIxdgtNo/edit?pli=1#gid=257618397"",""stock FAKTUR!B:C""),2,false)"),"BINDER CLIP KENKO NO. 260")</f>
        <v>BINDER CLIP KENKO NO. 260</v>
      </c>
      <c r="F914" s="145" t="str">
        <f>IFERROR(__xludf.DUMMYFUNCTION("vlookup($D914,IMPORTRANGE(""https://docs.google.com/spreadsheets/d/1swGwZOEqYlTEUCJLY-eeJM1911Kvaei5oySBIxdgtNo/edit?pli=1#gid=257618397"",""stock FAKTUR!B:d""),3,false)"),"")</f>
        <v/>
      </c>
      <c r="G914" s="145" t="str">
        <f>IFERROR(__xludf.DUMMYFUNCTION("vlookup($D914,IMPORTRANGE(""https://docs.google.com/spreadsheets/d/1swGwZOEqYlTEUCJLY-eeJM1911Kvaei5oySBIxdgtNo/edit?pli=1#gid=257618397"",""stock FAKTUR!B:e""),4,false)"),"")</f>
        <v/>
      </c>
      <c r="H914" s="145" t="str">
        <f>IFERROR(__xludf.DUMMYFUNCTION("vlookup($D914,IMPORTRANGE(""https://docs.google.com/spreadsheets/d/1swGwZOEqYlTEUCJLY-eeJM1911Kvaei5oySBIxdgtNo/edit?pli=1#gid=257618397"",""stock FAKTUR!B:F""),5,false)"),"KN")</f>
        <v>KN</v>
      </c>
      <c r="I914" s="145" t="str">
        <f>IFERROR(__xludf.DUMMYFUNCTION("vlookup($D914,IMPORTRANGE(""https://docs.google.com/spreadsheets/d/1swGwZOEqYlTEUCJLY-eeJM1911Kvaei5oySBIxdgtNo/edit?pli=1#gid=257618397"",""stock FAKTUR!B:G""),6,false)"),"BCL-006QH")</f>
        <v>BCL-006QH</v>
      </c>
      <c r="J914" s="199" t="str">
        <f t="shared" si="25"/>
        <v>ADA</v>
      </c>
      <c r="K914" s="142">
        <v>5.0</v>
      </c>
      <c r="L914" s="145" t="str">
        <f>IFERROR(__xludf.DUMMYFUNCTION("vlookup($D914,IMPORTRANGE(""https://docs.google.com/spreadsheets/d/1swGwZOEqYlTEUCJLY-eeJM1911Kvaei5oySBIxdgtNo/edit?pli=1#gid=257618397"",""stock FAKTUR!B:q""),16,false)"),"GRS")</f>
        <v>GRS</v>
      </c>
      <c r="M914" s="147">
        <v>180000.0</v>
      </c>
      <c r="N914" s="152">
        <v>0.125</v>
      </c>
      <c r="O914" s="147">
        <f t="shared" si="232"/>
        <v>787500</v>
      </c>
      <c r="P914" s="147" t="str">
        <f t="shared" si="3"/>
        <v>Rp180,000-5 GRS-12.50%</v>
      </c>
      <c r="Q914" s="149">
        <v>45427.0</v>
      </c>
      <c r="R914" s="150"/>
      <c r="S914" s="149">
        <v>45430.0</v>
      </c>
      <c r="T914" s="151"/>
      <c r="U914" s="151"/>
      <c r="V914" s="151"/>
      <c r="W914" s="151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</row>
    <row r="915">
      <c r="A915" s="142">
        <v>4933.0</v>
      </c>
      <c r="B915" s="143" t="str">
        <f t="shared" si="270"/>
        <v>G</v>
      </c>
      <c r="C915" s="143" t="str">
        <f t="shared" si="271"/>
        <v>BAHTERA-YOGYA</v>
      </c>
      <c r="D915" s="145" t="s">
        <v>4438</v>
      </c>
      <c r="E915" s="145" t="str">
        <f>IFERROR(__xludf.DUMMYFUNCTION("vlookup(D915,IMPORTRANGE(""https://docs.google.com/spreadsheets/d/1swGwZOEqYlTEUCJLY-eeJM1911Kvaei5oySBIxdgtNo/edit?pli=1#gid=257618397"",""stock FAKTUR!B:C""),2,false)"),"STAMP PAD KENKO NO. 0")</f>
        <v>STAMP PAD KENKO NO. 0</v>
      </c>
      <c r="F915" s="145" t="str">
        <f>IFERROR(__xludf.DUMMYFUNCTION("vlookup($D915,IMPORTRANGE(""https://docs.google.com/spreadsheets/d/1swGwZOEqYlTEUCJLY-eeJM1911Kvaei5oySBIxdgtNo/edit?pli=1#gid=257618397"",""stock FAKTUR!B:d""),3,false)"),"")</f>
        <v/>
      </c>
      <c r="G915" s="145" t="str">
        <f>IFERROR(__xludf.DUMMYFUNCTION("vlookup($D915,IMPORTRANGE(""https://docs.google.com/spreadsheets/d/1swGwZOEqYlTEUCJLY-eeJM1911Kvaei5oySBIxdgtNo/edit?pli=1#gid=257618397"",""stock FAKTUR!B:e""),4,false)"),"")</f>
        <v/>
      </c>
      <c r="H915" s="145" t="str">
        <f>IFERROR(__xludf.DUMMYFUNCTION("vlookup($D915,IMPORTRANGE(""https://docs.google.com/spreadsheets/d/1swGwZOEqYlTEUCJLY-eeJM1911Kvaei5oySBIxdgtNo/edit?pli=1#gid=257618397"",""stock FAKTUR!B:F""),5,false)"),"KN")</f>
        <v>KN</v>
      </c>
      <c r="I915" s="145" t="str">
        <f>IFERROR(__xludf.DUMMYFUNCTION("vlookup($D915,IMPORTRANGE(""https://docs.google.com/spreadsheets/d/1swGwZOEqYlTEUCJLY-eeJM1911Kvaei5oySBIxdgtNo/edit?pli=1#gid=257618397"",""stock FAKTUR!B:G""),6,false)"),"STD-001")</f>
        <v>STD-001</v>
      </c>
      <c r="J915" s="199" t="str">
        <f t="shared" si="25"/>
        <v>ADA</v>
      </c>
      <c r="K915" s="142">
        <v>9.0</v>
      </c>
      <c r="L915" s="145" t="str">
        <f>IFERROR(__xludf.DUMMYFUNCTION("vlookup($D915,IMPORTRANGE(""https://docs.google.com/spreadsheets/d/1swGwZOEqYlTEUCJLY-eeJM1911Kvaei5oySBIxdgtNo/edit?pli=1#gid=257618397"",""stock FAKTUR!B:q""),16,false)"),"LSN")</f>
        <v>LSN</v>
      </c>
      <c r="M915" s="147">
        <v>70800.0</v>
      </c>
      <c r="N915" s="152">
        <v>0.1</v>
      </c>
      <c r="O915" s="147">
        <f t="shared" si="232"/>
        <v>573480</v>
      </c>
      <c r="P915" s="147" t="str">
        <f t="shared" si="3"/>
        <v>Rp70,800-9 LSN-10.00%</v>
      </c>
      <c r="Q915" s="149">
        <v>45427.0</v>
      </c>
      <c r="R915" s="150"/>
      <c r="S915" s="149">
        <v>45430.0</v>
      </c>
      <c r="T915" s="151"/>
      <c r="U915" s="151"/>
      <c r="V915" s="151"/>
      <c r="W915" s="151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</row>
    <row r="916">
      <c r="A916" s="142">
        <v>4933.0</v>
      </c>
      <c r="B916" s="143" t="str">
        <f t="shared" si="270"/>
        <v>G</v>
      </c>
      <c r="C916" s="143" t="str">
        <f t="shared" si="271"/>
        <v>BAHTERA-YOGYA</v>
      </c>
      <c r="D916" s="145" t="s">
        <v>4753</v>
      </c>
      <c r="E916" s="145" t="str">
        <f>IFERROR(__xludf.DUMMYFUNCTION("vlookup(D916,IMPORTRANGE(""https://docs.google.com/spreadsheets/d/1swGwZOEqYlTEUCJLY-eeJM1911Kvaei5oySBIxdgtNo/edit?pli=1#gid=257618397"",""stock FAKTUR!B:C""),2,false)"),"STAMP PAD KENKO NO. 1")</f>
        <v>STAMP PAD KENKO NO. 1</v>
      </c>
      <c r="F916" s="145" t="str">
        <f>IFERROR(__xludf.DUMMYFUNCTION("vlookup($D916,IMPORTRANGE(""https://docs.google.com/spreadsheets/d/1swGwZOEqYlTEUCJLY-eeJM1911Kvaei5oySBIxdgtNo/edit?pli=1#gid=257618397"",""stock FAKTUR!B:d""),3,false)"),"")</f>
        <v/>
      </c>
      <c r="G916" s="145" t="str">
        <f>IFERROR(__xludf.DUMMYFUNCTION("vlookup($D916,IMPORTRANGE(""https://docs.google.com/spreadsheets/d/1swGwZOEqYlTEUCJLY-eeJM1911Kvaei5oySBIxdgtNo/edit?pli=1#gid=257618397"",""stock FAKTUR!B:e""),4,false)"),"")</f>
        <v/>
      </c>
      <c r="H916" s="145" t="str">
        <f>IFERROR(__xludf.DUMMYFUNCTION("vlookup($D916,IMPORTRANGE(""https://docs.google.com/spreadsheets/d/1swGwZOEqYlTEUCJLY-eeJM1911Kvaei5oySBIxdgtNo/edit?pli=1#gid=257618397"",""stock FAKTUR!B:F""),5,false)"),"KN")</f>
        <v>KN</v>
      </c>
      <c r="I916" s="145" t="str">
        <f>IFERROR(__xludf.DUMMYFUNCTION("vlookup($D916,IMPORTRANGE(""https://docs.google.com/spreadsheets/d/1swGwZOEqYlTEUCJLY-eeJM1911Kvaei5oySBIxdgtNo/edit?pli=1#gid=257618397"",""stock FAKTUR!B:G""),6,false)"),"STD-002")</f>
        <v>STD-002</v>
      </c>
      <c r="J916" s="199" t="str">
        <f t="shared" si="25"/>
        <v>ADA</v>
      </c>
      <c r="K916" s="142">
        <v>9.0</v>
      </c>
      <c r="L916" s="145" t="str">
        <f>IFERROR(__xludf.DUMMYFUNCTION("vlookup($D916,IMPORTRANGE(""https://docs.google.com/spreadsheets/d/1swGwZOEqYlTEUCJLY-eeJM1911Kvaei5oySBIxdgtNo/edit?pli=1#gid=257618397"",""stock FAKTUR!B:q""),16,false)"),"LSN")</f>
        <v>LSN</v>
      </c>
      <c r="M916" s="147">
        <v>59400.0</v>
      </c>
      <c r="N916" s="152">
        <v>0.1</v>
      </c>
      <c r="O916" s="147">
        <f t="shared" si="232"/>
        <v>481140</v>
      </c>
      <c r="P916" s="147" t="str">
        <f t="shared" si="3"/>
        <v>Rp59,400-9 LSN-10.00%</v>
      </c>
      <c r="Q916" s="149">
        <v>45427.0</v>
      </c>
      <c r="R916" s="150"/>
      <c r="S916" s="149">
        <v>45430.0</v>
      </c>
      <c r="T916" s="151"/>
      <c r="U916" s="151"/>
      <c r="V916" s="151"/>
      <c r="W916" s="151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</row>
    <row r="917">
      <c r="A917" s="142">
        <v>4935.0</v>
      </c>
      <c r="B917" s="143" t="s">
        <v>65</v>
      </c>
      <c r="C917" s="143" t="s">
        <v>2588</v>
      </c>
      <c r="D917" s="145" t="s">
        <v>24</v>
      </c>
      <c r="E917" s="145" t="str">
        <f>IFERROR(__xludf.DUMMYFUNCTION("vlookup(D917,IMPORTRANGE(""https://docs.google.com/spreadsheets/d/1swGwZOEqYlTEUCJLY-eeJM1911Kvaei5oySBIxdgtNo/edit?pli=1#gid=257618397"",""stock FAKTUR!B:C""),2,false)"),"KARTU STOCK KWARTO PINK")</f>
        <v>KARTU STOCK KWARTO PINK</v>
      </c>
      <c r="F917" s="145" t="str">
        <f>IFERROR(__xludf.DUMMYFUNCTION("vlookup($D917,IMPORTRANGE(""https://docs.google.com/spreadsheets/d/1swGwZOEqYlTEUCJLY-eeJM1911Kvaei5oySBIxdgtNo/edit?pli=1#gid=257618397"",""stock FAKTUR!B:d""),3,false)"),"A4")</f>
        <v>A4</v>
      </c>
      <c r="G917" s="145" t="str">
        <f>IFERROR(__xludf.DUMMYFUNCTION("vlookup($D917,IMPORTRANGE(""https://docs.google.com/spreadsheets/d/1swGwZOEqYlTEUCJLY-eeJM1911Kvaei5oySBIxdgtNo/edit?pli=1#gid=257618397"",""stock FAKTUR!B:e""),4,false)"),"PINK")</f>
        <v>PINK</v>
      </c>
      <c r="H917" s="145" t="str">
        <f>IFERROR(__xludf.DUMMYFUNCTION("vlookup($D917,IMPORTRANGE(""https://docs.google.com/spreadsheets/d/1swGwZOEqYlTEUCJLY-eeJM1911Kvaei5oySBIxdgtNo/edit?pli=1#gid=257618397"",""stock FAKTUR!B:F""),5,false)"),"NB")</f>
        <v>NB</v>
      </c>
      <c r="I917" s="145" t="str">
        <f>IFERROR(__xludf.DUMMYFUNCTION("vlookup($D917,IMPORTRANGE(""https://docs.google.com/spreadsheets/d/1swGwZOEqYlTEUCJLY-eeJM1911Kvaei5oySBIxdgtNo/edit?pli=1#gid=257618397"",""stock FAKTUR!B:G""),6,false)"),"")</f>
        <v/>
      </c>
      <c r="J917" s="199" t="str">
        <f t="shared" si="25"/>
        <v>ADA</v>
      </c>
      <c r="K917" s="142">
        <v>20.0</v>
      </c>
      <c r="L917" s="145" t="str">
        <f>IFERROR(__xludf.DUMMYFUNCTION("vlookup($D917,IMPORTRANGE(""https://docs.google.com/spreadsheets/d/1swGwZOEqYlTEUCJLY-eeJM1911Kvaei5oySBIxdgtNo/edit?pli=1#gid=257618397"",""stock FAKTUR!B:q""),16,false)"),"PAK")</f>
        <v>PAK</v>
      </c>
      <c r="M917" s="147">
        <v>19000.0</v>
      </c>
      <c r="N917" s="148"/>
      <c r="O917" s="147">
        <f t="shared" si="232"/>
        <v>380000</v>
      </c>
      <c r="P917" s="147" t="str">
        <f t="shared" si="3"/>
        <v>Rp19,000-20 PAK-0.00%</v>
      </c>
      <c r="Q917" s="149">
        <v>45427.0</v>
      </c>
      <c r="R917" s="150"/>
      <c r="S917" s="149">
        <v>45430.0</v>
      </c>
      <c r="T917" s="151"/>
      <c r="U917" s="151"/>
      <c r="V917" s="151"/>
      <c r="W917" s="151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</row>
    <row r="918">
      <c r="A918" s="142">
        <v>4935.0</v>
      </c>
      <c r="B918" s="143" t="str">
        <f t="shared" ref="B918:B920" si="272">IF(A918=A917,B917,"")</f>
        <v>A</v>
      </c>
      <c r="C918" s="143" t="str">
        <f t="shared" ref="C918:C920" si="273">IF(A918=A917,C917,"")</f>
        <v>IVONE-BUMIAYU</v>
      </c>
      <c r="D918" s="145" t="s">
        <v>4407</v>
      </c>
      <c r="E918" s="145" t="str">
        <f>IFERROR(__xludf.DUMMYFUNCTION("vlookup(D918,IMPORTRANGE(""https://docs.google.com/spreadsheets/d/1swGwZOEqYlTEUCJLY-eeJM1911Kvaei5oySBIxdgtNo/edit?pli=1#gid=257618397"",""stock FAKTUR!B:C""),2,false)"),"KARTU STOCK KWARTO HIJAU")</f>
        <v>KARTU STOCK KWARTO HIJAU</v>
      </c>
      <c r="F918" s="145" t="str">
        <f>IFERROR(__xludf.DUMMYFUNCTION("vlookup($D918,IMPORTRANGE(""https://docs.google.com/spreadsheets/d/1swGwZOEqYlTEUCJLY-eeJM1911Kvaei5oySBIxdgtNo/edit?pli=1#gid=257618397"",""stock FAKTUR!B:d""),3,false)"),"A4")</f>
        <v>A4</v>
      </c>
      <c r="G918" s="145" t="str">
        <f>IFERROR(__xludf.DUMMYFUNCTION("vlookup($D918,IMPORTRANGE(""https://docs.google.com/spreadsheets/d/1swGwZOEqYlTEUCJLY-eeJM1911Kvaei5oySBIxdgtNo/edit?pli=1#gid=257618397"",""stock FAKTUR!B:e""),4,false)"),"HIJAU")</f>
        <v>HIJAU</v>
      </c>
      <c r="H918" s="145" t="str">
        <f>IFERROR(__xludf.DUMMYFUNCTION("vlookup($D918,IMPORTRANGE(""https://docs.google.com/spreadsheets/d/1swGwZOEqYlTEUCJLY-eeJM1911Kvaei5oySBIxdgtNo/edit?pli=1#gid=257618397"",""stock FAKTUR!B:F""),5,false)"),"NB")</f>
        <v>NB</v>
      </c>
      <c r="I918" s="145" t="str">
        <f>IFERROR(__xludf.DUMMYFUNCTION("vlookup($D918,IMPORTRANGE(""https://docs.google.com/spreadsheets/d/1swGwZOEqYlTEUCJLY-eeJM1911Kvaei5oySBIxdgtNo/edit?pli=1#gid=257618397"",""stock FAKTUR!B:G""),6,false)"),"")</f>
        <v/>
      </c>
      <c r="J918" s="199" t="str">
        <f t="shared" si="25"/>
        <v>ADA</v>
      </c>
      <c r="K918" s="142">
        <v>20.0</v>
      </c>
      <c r="L918" s="145" t="str">
        <f>IFERROR(__xludf.DUMMYFUNCTION("vlookup($D918,IMPORTRANGE(""https://docs.google.com/spreadsheets/d/1swGwZOEqYlTEUCJLY-eeJM1911Kvaei5oySBIxdgtNo/edit?pli=1#gid=257618397"",""stock FAKTUR!B:q""),16,false)"),"PAK")</f>
        <v>PAK</v>
      </c>
      <c r="M918" s="147">
        <v>19000.0</v>
      </c>
      <c r="N918" s="148"/>
      <c r="O918" s="147">
        <f t="shared" si="232"/>
        <v>380000</v>
      </c>
      <c r="P918" s="147" t="str">
        <f t="shared" si="3"/>
        <v>Rp19,000-20 PAK-0.00%</v>
      </c>
      <c r="Q918" s="149">
        <v>45427.0</v>
      </c>
      <c r="R918" s="150"/>
      <c r="S918" s="149">
        <v>45430.0</v>
      </c>
      <c r="T918" s="151"/>
      <c r="U918" s="151"/>
      <c r="V918" s="151"/>
      <c r="W918" s="151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</row>
    <row r="919">
      <c r="A919" s="142">
        <v>4935.0</v>
      </c>
      <c r="B919" s="143" t="str">
        <f t="shared" si="272"/>
        <v>A</v>
      </c>
      <c r="C919" s="143" t="str">
        <f t="shared" si="273"/>
        <v>IVONE-BUMIAYU</v>
      </c>
      <c r="D919" s="145" t="s">
        <v>4408</v>
      </c>
      <c r="E919" s="145" t="str">
        <f>IFERROR(__xludf.DUMMYFUNCTION("vlookup(D919,IMPORTRANGE(""https://docs.google.com/spreadsheets/d/1swGwZOEqYlTEUCJLY-eeJM1911Kvaei5oySBIxdgtNo/edit?pli=1#gid=257618397"",""stock FAKTUR!B:C""),2,false)"),"KARTU STOCK KWARTO KUNING")</f>
        <v>KARTU STOCK KWARTO KUNING</v>
      </c>
      <c r="F919" s="145" t="str">
        <f>IFERROR(__xludf.DUMMYFUNCTION("vlookup($D919,IMPORTRANGE(""https://docs.google.com/spreadsheets/d/1swGwZOEqYlTEUCJLY-eeJM1911Kvaei5oySBIxdgtNo/edit?pli=1#gid=257618397"",""stock FAKTUR!B:d""),3,false)"),"A4")</f>
        <v>A4</v>
      </c>
      <c r="G919" s="145" t="str">
        <f>IFERROR(__xludf.DUMMYFUNCTION("vlookup($D919,IMPORTRANGE(""https://docs.google.com/spreadsheets/d/1swGwZOEqYlTEUCJLY-eeJM1911Kvaei5oySBIxdgtNo/edit?pli=1#gid=257618397"",""stock FAKTUR!B:e""),4,false)"),"KUNING")</f>
        <v>KUNING</v>
      </c>
      <c r="H919" s="145" t="str">
        <f>IFERROR(__xludf.DUMMYFUNCTION("vlookup($D919,IMPORTRANGE(""https://docs.google.com/spreadsheets/d/1swGwZOEqYlTEUCJLY-eeJM1911Kvaei5oySBIxdgtNo/edit?pli=1#gid=257618397"",""stock FAKTUR!B:F""),5,false)"),"NB")</f>
        <v>NB</v>
      </c>
      <c r="I919" s="145" t="str">
        <f>IFERROR(__xludf.DUMMYFUNCTION("vlookup($D919,IMPORTRANGE(""https://docs.google.com/spreadsheets/d/1swGwZOEqYlTEUCJLY-eeJM1911Kvaei5oySBIxdgtNo/edit?pli=1#gid=257618397"",""stock FAKTUR!B:G""),6,false)"),"")</f>
        <v/>
      </c>
      <c r="J919" s="199" t="str">
        <f t="shared" si="25"/>
        <v>ADA</v>
      </c>
      <c r="K919" s="142">
        <v>20.0</v>
      </c>
      <c r="L919" s="145" t="str">
        <f>IFERROR(__xludf.DUMMYFUNCTION("vlookup($D919,IMPORTRANGE(""https://docs.google.com/spreadsheets/d/1swGwZOEqYlTEUCJLY-eeJM1911Kvaei5oySBIxdgtNo/edit?pli=1#gid=257618397"",""stock FAKTUR!B:q""),16,false)"),"PAK")</f>
        <v>PAK</v>
      </c>
      <c r="M919" s="147">
        <v>19000.0</v>
      </c>
      <c r="N919" s="148"/>
      <c r="O919" s="147">
        <f t="shared" si="232"/>
        <v>380000</v>
      </c>
      <c r="P919" s="147" t="str">
        <f t="shared" si="3"/>
        <v>Rp19,000-20 PAK-0.00%</v>
      </c>
      <c r="Q919" s="149">
        <v>45427.0</v>
      </c>
      <c r="R919" s="150"/>
      <c r="S919" s="149">
        <v>45430.0</v>
      </c>
      <c r="T919" s="151"/>
      <c r="U919" s="151"/>
      <c r="V919" s="151"/>
      <c r="W919" s="151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</row>
    <row r="920">
      <c r="A920" s="142">
        <v>4935.0</v>
      </c>
      <c r="B920" s="143" t="str">
        <f t="shared" si="272"/>
        <v>A</v>
      </c>
      <c r="C920" s="143" t="str">
        <f t="shared" si="273"/>
        <v>IVONE-BUMIAYU</v>
      </c>
      <c r="D920" s="145" t="s">
        <v>4409</v>
      </c>
      <c r="E920" s="145" t="str">
        <f>IFERROR(__xludf.DUMMYFUNCTION("vlookup(D920,IMPORTRANGE(""https://docs.google.com/spreadsheets/d/1swGwZOEqYlTEUCJLY-eeJM1911Kvaei5oySBIxdgtNo/edit?pli=1#gid=257618397"",""stock FAKTUR!B:C""),2,false)"),"KARTU STOCK KWARTO PUTIH")</f>
        <v>KARTU STOCK KWARTO PUTIH</v>
      </c>
      <c r="F920" s="145" t="str">
        <f>IFERROR(__xludf.DUMMYFUNCTION("vlookup($D920,IMPORTRANGE(""https://docs.google.com/spreadsheets/d/1swGwZOEqYlTEUCJLY-eeJM1911Kvaei5oySBIxdgtNo/edit?pli=1#gid=257618397"",""stock FAKTUR!B:d""),3,false)"),"A4")</f>
        <v>A4</v>
      </c>
      <c r="G920" s="145" t="str">
        <f>IFERROR(__xludf.DUMMYFUNCTION("vlookup($D920,IMPORTRANGE(""https://docs.google.com/spreadsheets/d/1swGwZOEqYlTEUCJLY-eeJM1911Kvaei5oySBIxdgtNo/edit?pli=1#gid=257618397"",""stock FAKTUR!B:e""),4,false)"),"PUTIH")</f>
        <v>PUTIH</v>
      </c>
      <c r="H920" s="145" t="str">
        <f>IFERROR(__xludf.DUMMYFUNCTION("vlookup($D920,IMPORTRANGE(""https://docs.google.com/spreadsheets/d/1swGwZOEqYlTEUCJLY-eeJM1911Kvaei5oySBIxdgtNo/edit?pli=1#gid=257618397"",""stock FAKTUR!B:F""),5,false)"),"NB")</f>
        <v>NB</v>
      </c>
      <c r="I920" s="145" t="str">
        <f>IFERROR(__xludf.DUMMYFUNCTION("vlookup($D920,IMPORTRANGE(""https://docs.google.com/spreadsheets/d/1swGwZOEqYlTEUCJLY-eeJM1911Kvaei5oySBIxdgtNo/edit?pli=1#gid=257618397"",""stock FAKTUR!B:G""),6,false)"),"")</f>
        <v/>
      </c>
      <c r="J920" s="199" t="str">
        <f t="shared" si="25"/>
        <v>ADA</v>
      </c>
      <c r="K920" s="142">
        <v>20.0</v>
      </c>
      <c r="L920" s="145" t="str">
        <f>IFERROR(__xludf.DUMMYFUNCTION("vlookup($D920,IMPORTRANGE(""https://docs.google.com/spreadsheets/d/1swGwZOEqYlTEUCJLY-eeJM1911Kvaei5oySBIxdgtNo/edit?pli=1#gid=257618397"",""stock FAKTUR!B:q""),16,false)"),"PAK")</f>
        <v>PAK</v>
      </c>
      <c r="M920" s="147">
        <v>19000.0</v>
      </c>
      <c r="N920" s="148"/>
      <c r="O920" s="147">
        <f t="shared" si="232"/>
        <v>380000</v>
      </c>
      <c r="P920" s="147" t="str">
        <f t="shared" si="3"/>
        <v>Rp19,000-20 PAK-0.00%</v>
      </c>
      <c r="Q920" s="149">
        <v>45427.0</v>
      </c>
      <c r="R920" s="150"/>
      <c r="S920" s="149">
        <v>45430.0</v>
      </c>
      <c r="T920" s="151"/>
      <c r="U920" s="151"/>
      <c r="V920" s="151"/>
      <c r="W920" s="151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</row>
    <row r="921">
      <c r="A921" s="142">
        <v>4937.0</v>
      </c>
      <c r="B921" s="143" t="s">
        <v>33</v>
      </c>
      <c r="C921" s="143" t="s">
        <v>625</v>
      </c>
      <c r="D921" s="151" t="s">
        <v>4802</v>
      </c>
      <c r="E921" s="145" t="s">
        <v>4803</v>
      </c>
      <c r="F921" s="145" t="str">
        <f>IFERROR(__xludf.DUMMYFUNCTION("vlookup($D921,IMPORTRANGE(""https://docs.google.com/spreadsheets/d/1swGwZOEqYlTEUCJLY-eeJM1911Kvaei5oySBIxdgtNo/edit?pli=1#gid=257618397"",""stock FAKTUR!B:d""),3,false)"),"")</f>
        <v/>
      </c>
      <c r="G921" s="145" t="str">
        <f>IFERROR(__xludf.DUMMYFUNCTION("vlookup($D921,IMPORTRANGE(""https://docs.google.com/spreadsheets/d/1swGwZOEqYlTEUCJLY-eeJM1911Kvaei5oySBIxdgtNo/edit?pli=1#gid=257618397"",""stock FAKTUR!B:e""),4,false)"),"")</f>
        <v/>
      </c>
      <c r="H921" s="145" t="str">
        <f>IFERROR(__xludf.DUMMYFUNCTION("vlookup($D921,IMPORTRANGE(""https://docs.google.com/spreadsheets/d/1swGwZOEqYlTEUCJLY-eeJM1911Kvaei5oySBIxdgtNo/edit?pli=1#gid=257618397"",""stock FAKTUR!B:F""),5,false)"),"JK")</f>
        <v>JK</v>
      </c>
      <c r="I921" s="145" t="str">
        <f>IFERROR(__xludf.DUMMYFUNCTION("vlookup($D921,IMPORTRANGE(""https://docs.google.com/spreadsheets/d/1swGwZOEqYlTEUCJLY-eeJM1911Kvaei5oySBIxdgtNo/edit?pli=1#gid=257618397"",""stock FAKTUR!B:G""),6,false)"),"LSP-09")</f>
        <v>LSP-09</v>
      </c>
      <c r="J921" s="199" t="str">
        <f t="shared" si="25"/>
        <v>ADA</v>
      </c>
      <c r="K921" s="142">
        <v>50.0</v>
      </c>
      <c r="L921" s="145" t="str">
        <f>IFERROR(__xludf.DUMMYFUNCTION("vlookup($D921,IMPORTRANGE(""https://docs.google.com/spreadsheets/d/1swGwZOEqYlTEUCJLY-eeJM1911Kvaei5oySBIxdgtNo/edit?pli=1#gid=257618397"",""stock FAKTUR!B:q""),16,false)"),"PAK")</f>
        <v>PAK</v>
      </c>
      <c r="M921" s="147">
        <v>15500.0</v>
      </c>
      <c r="N921" s="152">
        <v>0.125</v>
      </c>
      <c r="O921" s="147">
        <f t="shared" si="232"/>
        <v>678125</v>
      </c>
      <c r="P921" s="147" t="str">
        <f t="shared" si="3"/>
        <v>Rp15,500-50 PAK-12.50%</v>
      </c>
      <c r="Q921" s="149">
        <v>45427.0</v>
      </c>
      <c r="R921" s="150"/>
      <c r="S921" s="149">
        <v>45430.0</v>
      </c>
      <c r="T921" s="194" t="s">
        <v>4804</v>
      </c>
      <c r="U921" s="151"/>
      <c r="V921" s="151"/>
      <c r="W921" s="151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</row>
    <row r="922">
      <c r="A922" s="142">
        <v>4817.0</v>
      </c>
      <c r="B922" s="143" t="s">
        <v>65</v>
      </c>
      <c r="C922" s="143" t="s">
        <v>3848</v>
      </c>
      <c r="D922" s="145" t="s">
        <v>4401</v>
      </c>
      <c r="E922" s="145" t="str">
        <f>IFERROR(__xludf.DUMMYFUNCTION("vlookup(D922,IMPORTRANGE(""https://docs.google.com/spreadsheets/d/1swGwZOEqYlTEUCJLY-eeJM1911Kvaei5oySBIxdgtNo/edit?pli=1#gid=257618397"",""stock FAKTUR!B:C""),2,false)"),"BP GEL KENKO EASY HITAM")</f>
        <v>BP GEL KENKO EASY HITAM</v>
      </c>
      <c r="F922" s="145" t="str">
        <f>IFERROR(__xludf.DUMMYFUNCTION("vlookup($D922,IMPORTRANGE(""https://docs.google.com/spreadsheets/d/1swGwZOEqYlTEUCJLY-eeJM1911Kvaei5oySBIxdgtNo/edit?pli=1#gid=257618397"",""stock FAKTUR!B:d""),3,false)"),"")</f>
        <v/>
      </c>
      <c r="G922" s="145" t="str">
        <f>IFERROR(__xludf.DUMMYFUNCTION("vlookup($D922,IMPORTRANGE(""https://docs.google.com/spreadsheets/d/1swGwZOEqYlTEUCJLY-eeJM1911Kvaei5oySBIxdgtNo/edit?pli=1#gid=257618397"",""stock FAKTUR!B:e""),4,false)"),"HITAM")</f>
        <v>HITAM</v>
      </c>
      <c r="H922" s="145" t="str">
        <f>IFERROR(__xludf.DUMMYFUNCTION("vlookup($D922,IMPORTRANGE(""https://docs.google.com/spreadsheets/d/1swGwZOEqYlTEUCJLY-eeJM1911Kvaei5oySBIxdgtNo/edit?pli=1#gid=257618397"",""stock FAKTUR!B:F""),5,false)"),"KN")</f>
        <v>KN</v>
      </c>
      <c r="I922" s="145" t="str">
        <f>IFERROR(__xludf.DUMMYFUNCTION("vlookup($D922,IMPORTRANGE(""https://docs.google.com/spreadsheets/d/1swGwZOEqYlTEUCJLY-eeJM1911Kvaei5oySBIxdgtNo/edit?pli=1#gid=257618397"",""stock FAKTUR!B:G""),6,false)"),"GPT-005B")</f>
        <v>GPT-005B</v>
      </c>
      <c r="J922" s="199" t="str">
        <f t="shared" si="25"/>
        <v>ADA</v>
      </c>
      <c r="K922" s="142">
        <v>12.0</v>
      </c>
      <c r="L922" s="145" t="str">
        <f>IFERROR(__xludf.DUMMYFUNCTION("vlookup($D922,IMPORTRANGE(""https://docs.google.com/spreadsheets/d/1swGwZOEqYlTEUCJLY-eeJM1911Kvaei5oySBIxdgtNo/edit?pli=1#gid=257618397"",""stock FAKTUR!B:q""),16,false)"),"LSN")</f>
        <v>LSN</v>
      </c>
      <c r="M922" s="147">
        <v>26100.0</v>
      </c>
      <c r="N922" s="152">
        <v>0.1</v>
      </c>
      <c r="O922" s="147">
        <f t="shared" si="232"/>
        <v>281880</v>
      </c>
      <c r="P922" s="147" t="str">
        <f t="shared" si="3"/>
        <v>Rp26,100-12 LSN-10.00%</v>
      </c>
      <c r="Q922" s="149">
        <v>45428.0</v>
      </c>
      <c r="R922" s="150"/>
      <c r="S922" s="149">
        <v>45430.0</v>
      </c>
      <c r="T922" s="151"/>
      <c r="U922" s="151"/>
      <c r="V922" s="151"/>
      <c r="W922" s="151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</row>
    <row r="923">
      <c r="A923" s="142">
        <v>139.0</v>
      </c>
      <c r="B923" s="143" t="str">
        <f>IF(A923=A922,B922,"")</f>
        <v/>
      </c>
      <c r="C923" s="143" t="str">
        <f>IF(A923=A922,C922,"")</f>
        <v/>
      </c>
      <c r="D923" s="145" t="s">
        <v>4721</v>
      </c>
      <c r="E923" s="145" t="str">
        <f>IFERROR(__xludf.DUMMYFUNCTION("vlookup(D923,IMPORTRANGE(""https://docs.google.com/spreadsheets/d/1swGwZOEqYlTEUCJLY-eeJM1911Kvaei5oySBIxdgtNo/edit?pli=1#gid=257618397"",""stock FAKTUR!B:C""),2,false)"),"PLAKBAN KENKO BENING 48MM PLST MERAH")</f>
        <v>PLAKBAN KENKO BENING 48MM PLST MERAH</v>
      </c>
      <c r="F923" s="145" t="str">
        <f>IFERROR(__xludf.DUMMYFUNCTION("vlookup($D923,IMPORTRANGE(""https://docs.google.com/spreadsheets/d/1swGwZOEqYlTEUCJLY-eeJM1911Kvaei5oySBIxdgtNo/edit?pli=1#gid=257618397"",""stock FAKTUR!B:d""),3,false)"),"")</f>
        <v/>
      </c>
      <c r="G923" s="145" t="str">
        <f>IFERROR(__xludf.DUMMYFUNCTION("vlookup($D923,IMPORTRANGE(""https://docs.google.com/spreadsheets/d/1swGwZOEqYlTEUCJLY-eeJM1911Kvaei5oySBIxdgtNo/edit?pli=1#gid=257618397"",""stock FAKTUR!B:e""),4,false)"),"BENING")</f>
        <v>BENING</v>
      </c>
      <c r="H923" s="145" t="str">
        <f>IFERROR(__xludf.DUMMYFUNCTION("vlookup($D923,IMPORTRANGE(""https://docs.google.com/spreadsheets/d/1swGwZOEqYlTEUCJLY-eeJM1911Kvaei5oySBIxdgtNo/edit?pli=1#gid=257618397"",""stock FAKTUR!B:F""),5,false)"),"KN")</f>
        <v>KN</v>
      </c>
      <c r="I923" s="145" t="str">
        <f>IFERROR(__xludf.DUMMYFUNCTION("vlookup($D923,IMPORTRANGE(""https://docs.google.com/spreadsheets/d/1swGwZOEqYlTEUCJLY-eeJM1911Kvaei5oySBIxdgtNo/edit?pli=1#gid=257618397"",""stock FAKTUR!B:G""),6,false)"),"")</f>
        <v/>
      </c>
      <c r="J923" s="199" t="str">
        <f t="shared" si="25"/>
        <v>ADA</v>
      </c>
      <c r="K923" s="142">
        <v>48.0</v>
      </c>
      <c r="L923" s="145" t="str">
        <f>IFERROR(__xludf.DUMMYFUNCTION("vlookup($D923,IMPORTRANGE(""https://docs.google.com/spreadsheets/d/1swGwZOEqYlTEUCJLY-eeJM1911Kvaei5oySBIxdgtNo/edit?pli=1#gid=257618397"",""stock FAKTUR!B:q""),16,false)"),"PCS")</f>
        <v>PCS</v>
      </c>
      <c r="M923" s="197"/>
      <c r="N923" s="148"/>
      <c r="O923" s="147">
        <f t="shared" si="232"/>
        <v>0</v>
      </c>
      <c r="P923" s="147" t="str">
        <f t="shared" si="3"/>
        <v>Rp0-48 PCS-0.00%</v>
      </c>
      <c r="Q923" s="149">
        <v>45429.0</v>
      </c>
      <c r="R923" s="150"/>
      <c r="S923" s="149">
        <v>45430.0</v>
      </c>
      <c r="T923" s="151"/>
      <c r="U923" s="151"/>
      <c r="V923" s="151"/>
      <c r="W923" s="151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</row>
    <row r="924">
      <c r="A924" s="142">
        <v>4745.0</v>
      </c>
      <c r="B924" s="143" t="s">
        <v>33</v>
      </c>
      <c r="C924" s="143" t="s">
        <v>4590</v>
      </c>
      <c r="D924" s="145" t="s">
        <v>4401</v>
      </c>
      <c r="E924" s="145" t="str">
        <f>IFERROR(__xludf.DUMMYFUNCTION("vlookup(D924,IMPORTRANGE(""https://docs.google.com/spreadsheets/d/1swGwZOEqYlTEUCJLY-eeJM1911Kvaei5oySBIxdgtNo/edit?pli=1#gid=257618397"",""stock FAKTUR!B:C""),2,false)"),"BP GEL KENKO EASY HITAM")</f>
        <v>BP GEL KENKO EASY HITAM</v>
      </c>
      <c r="F924" s="145" t="str">
        <f>IFERROR(__xludf.DUMMYFUNCTION("vlookup($D924,IMPORTRANGE(""https://docs.google.com/spreadsheets/d/1swGwZOEqYlTEUCJLY-eeJM1911Kvaei5oySBIxdgtNo/edit?pli=1#gid=257618397"",""stock FAKTUR!B:d""),3,false)"),"")</f>
        <v/>
      </c>
      <c r="G924" s="145" t="str">
        <f>IFERROR(__xludf.DUMMYFUNCTION("vlookup($D924,IMPORTRANGE(""https://docs.google.com/spreadsheets/d/1swGwZOEqYlTEUCJLY-eeJM1911Kvaei5oySBIxdgtNo/edit?pli=1#gid=257618397"",""stock FAKTUR!B:e""),4,false)"),"HITAM")</f>
        <v>HITAM</v>
      </c>
      <c r="H924" s="145" t="str">
        <f>IFERROR(__xludf.DUMMYFUNCTION("vlookup($D924,IMPORTRANGE(""https://docs.google.com/spreadsheets/d/1swGwZOEqYlTEUCJLY-eeJM1911Kvaei5oySBIxdgtNo/edit?pli=1#gid=257618397"",""stock FAKTUR!B:F""),5,false)"),"KN")</f>
        <v>KN</v>
      </c>
      <c r="I924" s="145" t="str">
        <f>IFERROR(__xludf.DUMMYFUNCTION("vlookup($D924,IMPORTRANGE(""https://docs.google.com/spreadsheets/d/1swGwZOEqYlTEUCJLY-eeJM1911Kvaei5oySBIxdgtNo/edit?pli=1#gid=257618397"",""stock FAKTUR!B:G""),6,false)"),"GPT-005B")</f>
        <v>GPT-005B</v>
      </c>
      <c r="J924" s="199" t="str">
        <f t="shared" si="25"/>
        <v>ADA</v>
      </c>
      <c r="K924" s="142">
        <v>144.0</v>
      </c>
      <c r="L924" s="145" t="str">
        <f>IFERROR(__xludf.DUMMYFUNCTION("vlookup($D924,IMPORTRANGE(""https://docs.google.com/spreadsheets/d/1swGwZOEqYlTEUCJLY-eeJM1911Kvaei5oySBIxdgtNo/edit?pli=1#gid=257618397"",""stock FAKTUR!B:q""),16,false)"),"LSN")</f>
        <v>LSN</v>
      </c>
      <c r="M924" s="147">
        <v>26100.0</v>
      </c>
      <c r="N924" s="152">
        <v>0.13</v>
      </c>
      <c r="O924" s="147">
        <f t="shared" si="232"/>
        <v>3269808</v>
      </c>
      <c r="P924" s="147" t="str">
        <f t="shared" si="3"/>
        <v>Rp26,100-144 LSN-13.00%</v>
      </c>
      <c r="Q924" s="149">
        <v>45429.0</v>
      </c>
      <c r="R924" s="149">
        <v>45423.0</v>
      </c>
      <c r="S924" s="149">
        <v>45430.0</v>
      </c>
      <c r="T924" s="151"/>
      <c r="U924" s="151"/>
      <c r="V924" s="151"/>
      <c r="W924" s="151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</row>
    <row r="925">
      <c r="A925" s="142">
        <v>4745.0</v>
      </c>
      <c r="B925" s="143" t="str">
        <f t="shared" ref="B925:B926" si="274">IF(A925=A924,B924,"")</f>
        <v>H</v>
      </c>
      <c r="C925" s="143" t="str">
        <f t="shared" ref="C925:C926" si="275">IF(A925=A924,C924,"")</f>
        <v>SINKONG-PURWOREJO</v>
      </c>
      <c r="D925" s="151" t="s">
        <v>4461</v>
      </c>
      <c r="E925" s="145" t="str">
        <f>IFERROR(__xludf.DUMMYFUNCTION("vlookup(D925,IMPORTRANGE(""https://docs.google.com/spreadsheets/d/1swGwZOEqYlTEUCJLY-eeJM1911Kvaei5oySBIxdgtNo/edit?pli=1#gid=257618397"",""stock FAKTUR!B:C""),2,false)"),"GUNTING GUNINDO OLL GR16")</f>
        <v>GUNTING GUNINDO OLL GR16</v>
      </c>
      <c r="F925" s="145" t="str">
        <f>IFERROR(__xludf.DUMMYFUNCTION("vlookup($D925,IMPORTRANGE(""https://docs.google.com/spreadsheets/d/1swGwZOEqYlTEUCJLY-eeJM1911Kvaei5oySBIxdgtNo/edit?pli=1#gid=257618397"",""stock FAKTUR!B:d""),3,false)"),"")</f>
        <v/>
      </c>
      <c r="G925" s="145" t="str">
        <f>IFERROR(__xludf.DUMMYFUNCTION("vlookup($D925,IMPORTRANGE(""https://docs.google.com/spreadsheets/d/1swGwZOEqYlTEUCJLY-eeJM1911Kvaei5oySBIxdgtNo/edit?pli=1#gid=257618397"",""stock FAKTUR!B:e""),4,false)"),"")</f>
        <v/>
      </c>
      <c r="H925" s="145" t="str">
        <f>IFERROR(__xludf.DUMMYFUNCTION("vlookup($D925,IMPORTRANGE(""https://docs.google.com/spreadsheets/d/1swGwZOEqYlTEUCJLY-eeJM1911Kvaei5oySBIxdgtNo/edit?pli=1#gid=257618397"",""stock FAKTUR!B:F""),5,false)"),"GN")</f>
        <v>GN</v>
      </c>
      <c r="I925" s="145" t="str">
        <f>IFERROR(__xludf.DUMMYFUNCTION("vlookup($D925,IMPORTRANGE(""https://docs.google.com/spreadsheets/d/1swGwZOEqYlTEUCJLY-eeJM1911Kvaei5oySBIxdgtNo/edit?pli=1#gid=257618397"",""stock FAKTUR!B:G""),6,false)"),"GR16")</f>
        <v>GR16</v>
      </c>
      <c r="J925" s="199" t="str">
        <f t="shared" si="25"/>
        <v>ADA</v>
      </c>
      <c r="K925" s="142">
        <v>30.0</v>
      </c>
      <c r="L925" s="145" t="str">
        <f>IFERROR(__xludf.DUMMYFUNCTION("vlookup($D925,IMPORTRANGE(""https://docs.google.com/spreadsheets/d/1swGwZOEqYlTEUCJLY-eeJM1911Kvaei5oySBIxdgtNo/edit?pli=1#gid=257618397"",""stock FAKTUR!B:q""),16,false)"),"LSN")</f>
        <v>LSN</v>
      </c>
      <c r="M925" s="147">
        <v>70000.0</v>
      </c>
      <c r="N925" s="152">
        <v>0.125</v>
      </c>
      <c r="O925" s="147">
        <f t="shared" si="232"/>
        <v>1837500</v>
      </c>
      <c r="P925" s="147" t="str">
        <f t="shared" si="3"/>
        <v>Rp70,000-30 LSN-12.50%</v>
      </c>
      <c r="Q925" s="149">
        <v>45429.0</v>
      </c>
      <c r="R925" s="149">
        <v>45427.0</v>
      </c>
      <c r="S925" s="149">
        <v>45430.0</v>
      </c>
      <c r="T925" s="151"/>
      <c r="U925" s="151"/>
      <c r="V925" s="151"/>
      <c r="W925" s="151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</row>
    <row r="926">
      <c r="A926" s="142">
        <v>4745.0</v>
      </c>
      <c r="B926" s="143" t="str">
        <f t="shared" si="274"/>
        <v>H</v>
      </c>
      <c r="C926" s="143" t="str">
        <f t="shared" si="275"/>
        <v>SINKONG-PURWOREJO</v>
      </c>
      <c r="D926" s="145" t="s">
        <v>4420</v>
      </c>
      <c r="E926" s="145" t="str">
        <f>IFERROR(__xludf.DUMMYFUNCTION("vlookup(D926,IMPORTRANGE(""https://docs.google.com/spreadsheets/d/1swGwZOEqYlTEUCJLY-eeJM1911Kvaei5oySBIxdgtNo/edit?pli=1#gid=257618397"",""stock FAKTUR!B:C""),2,false)"),"LEM KENKO LG-50")</f>
        <v>LEM KENKO LG-50</v>
      </c>
      <c r="F926" s="145" t="str">
        <f>IFERROR(__xludf.DUMMYFUNCTION("vlookup($D926,IMPORTRANGE(""https://docs.google.com/spreadsheets/d/1swGwZOEqYlTEUCJLY-eeJM1911Kvaei5oySBIxdgtNo/edit?pli=1#gid=257618397"",""stock FAKTUR!B:d""),3,false)"),"")</f>
        <v/>
      </c>
      <c r="G926" s="145" t="str">
        <f>IFERROR(__xludf.DUMMYFUNCTION("vlookup($D926,IMPORTRANGE(""https://docs.google.com/spreadsheets/d/1swGwZOEqYlTEUCJLY-eeJM1911Kvaei5oySBIxdgtNo/edit?pli=1#gid=257618397"",""stock FAKTUR!B:e""),4,false)"),"")</f>
        <v/>
      </c>
      <c r="H926" s="145" t="str">
        <f>IFERROR(__xludf.DUMMYFUNCTION("vlookup($D926,IMPORTRANGE(""https://docs.google.com/spreadsheets/d/1swGwZOEqYlTEUCJLY-eeJM1911Kvaei5oySBIxdgtNo/edit?pli=1#gid=257618397"",""stock FAKTUR!B:F""),5,false)"),"KN")</f>
        <v>KN</v>
      </c>
      <c r="I926" s="145" t="str">
        <f>IFERROR(__xludf.DUMMYFUNCTION("vlookup($D926,IMPORTRANGE(""https://docs.google.com/spreadsheets/d/1swGwZOEqYlTEUCJLY-eeJM1911Kvaei5oySBIxdgtNo/edit?pli=1#gid=257618397"",""stock FAKTUR!B:G""),6,false)"),"LG-50")</f>
        <v>LG-50</v>
      </c>
      <c r="J926" s="199" t="str">
        <f t="shared" si="25"/>
        <v>ADA</v>
      </c>
      <c r="K926" s="142">
        <v>200.0</v>
      </c>
      <c r="L926" s="145" t="str">
        <f>IFERROR(__xludf.DUMMYFUNCTION("vlookup($D926,IMPORTRANGE(""https://docs.google.com/spreadsheets/d/1swGwZOEqYlTEUCJLY-eeJM1911Kvaei5oySBIxdgtNo/edit?pli=1#gid=257618397"",""stock FAKTUR!B:q""),16,false)"),"LSN")</f>
        <v>LSN</v>
      </c>
      <c r="M926" s="147">
        <v>25200.0</v>
      </c>
      <c r="N926" s="152">
        <v>0.13</v>
      </c>
      <c r="O926" s="147">
        <f t="shared" si="232"/>
        <v>4384800</v>
      </c>
      <c r="P926" s="147" t="str">
        <f t="shared" si="3"/>
        <v>Rp25,200-200 LSN-13.00%</v>
      </c>
      <c r="Q926" s="149">
        <v>45429.0</v>
      </c>
      <c r="R926" s="149">
        <v>45429.0</v>
      </c>
      <c r="S926" s="149">
        <v>45430.0</v>
      </c>
      <c r="T926" s="151"/>
      <c r="U926" s="151"/>
      <c r="V926" s="151"/>
      <c r="W926" s="151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</row>
    <row r="927">
      <c r="A927" s="142">
        <v>4947.0</v>
      </c>
      <c r="B927" s="143" t="s">
        <v>58</v>
      </c>
      <c r="C927" s="143" t="s">
        <v>2258</v>
      </c>
      <c r="D927" s="145" t="s">
        <v>4580</v>
      </c>
      <c r="E927" s="145" t="str">
        <f>IFERROR(__xludf.DUMMYFUNCTION("vlookup(D927,IMPORTRANGE(""https://docs.google.com/spreadsheets/d/1swGwZOEqYlTEUCJLY-eeJM1911Kvaei5oySBIxdgtNo/edit?pli=1#gid=257618397"",""stock FAKTUR!B:C""),2,false)"),"OIL PASTEL TITI 55W TI-P-55 S")</f>
        <v>OIL PASTEL TITI 55W TI-P-55 S</v>
      </c>
      <c r="F927" s="145" t="str">
        <f>IFERROR(__xludf.DUMMYFUNCTION("vlookup($D927,IMPORTRANGE(""https://docs.google.com/spreadsheets/d/1swGwZOEqYlTEUCJLY-eeJM1911Kvaei5oySBIxdgtNo/edit?pli=1#gid=257618397"",""stock FAKTUR!B:d""),3,false)"),"")</f>
        <v/>
      </c>
      <c r="G927" s="145" t="str">
        <f>IFERROR(__xludf.DUMMYFUNCTION("vlookup($D927,IMPORTRANGE(""https://docs.google.com/spreadsheets/d/1swGwZOEqYlTEUCJLY-eeJM1911Kvaei5oySBIxdgtNo/edit?pli=1#gid=257618397"",""stock FAKTUR!B:e""),4,false)"),"55W")</f>
        <v>55W</v>
      </c>
      <c r="H927" s="145" t="str">
        <f>IFERROR(__xludf.DUMMYFUNCTION("vlookup($D927,IMPORTRANGE(""https://docs.google.com/spreadsheets/d/1swGwZOEqYlTEUCJLY-eeJM1911Kvaei5oySBIxdgtNo/edit?pli=1#gid=257618397"",""stock FAKTUR!B:F""),5,false)"),"TT")</f>
        <v>TT</v>
      </c>
      <c r="I927" s="145" t="str">
        <f>IFERROR(__xludf.DUMMYFUNCTION("vlookup($D927,IMPORTRANGE(""https://docs.google.com/spreadsheets/d/1swGwZOEqYlTEUCJLY-eeJM1911Kvaei5oySBIxdgtNo/edit?pli=1#gid=257618397"",""stock FAKTUR!B:G""),6,false)"),"")</f>
        <v/>
      </c>
      <c r="J927" s="199" t="str">
        <f t="shared" si="25"/>
        <v>ADA</v>
      </c>
      <c r="K927" s="184">
        <v>4.0</v>
      </c>
      <c r="L927" s="145" t="str">
        <f>IFERROR(__xludf.DUMMYFUNCTION("vlookup($D927,IMPORTRANGE(""https://docs.google.com/spreadsheets/d/1swGwZOEqYlTEUCJLY-eeJM1911Kvaei5oySBIxdgtNo/edit?pli=1#gid=257618397"",""stock FAKTUR!B:q""),16,false)"),"BOX")</f>
        <v>BOX</v>
      </c>
      <c r="M927" s="147">
        <f>6*76000</f>
        <v>456000</v>
      </c>
      <c r="N927" s="152">
        <v>0.125</v>
      </c>
      <c r="O927" s="147">
        <f t="shared" si="232"/>
        <v>1596000</v>
      </c>
      <c r="P927" s="147" t="str">
        <f t="shared" si="3"/>
        <v>Rp456,000-4 BOX-12.50%</v>
      </c>
      <c r="Q927" s="149">
        <v>45429.0</v>
      </c>
      <c r="R927" s="150"/>
      <c r="S927" s="149">
        <v>45430.0</v>
      </c>
      <c r="T927" s="151"/>
      <c r="U927" s="151"/>
      <c r="V927" s="151"/>
      <c r="W927" s="151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</row>
    <row r="928">
      <c r="A928" s="142">
        <v>4947.0</v>
      </c>
      <c r="B928" s="143" t="str">
        <f>IF(A928=A927,B927,"")</f>
        <v>G</v>
      </c>
      <c r="C928" s="143" t="str">
        <f>IF(A928=A927,C927,"")</f>
        <v>ANUGERAH BARU-JEPARA</v>
      </c>
      <c r="D928" s="145" t="s">
        <v>4599</v>
      </c>
      <c r="E928" s="145" t="str">
        <f>IFERROR(__xludf.DUMMYFUNCTION("vlookup(D928,IMPORTRANGE(""https://docs.google.com/spreadsheets/d/1swGwZOEqYlTEUCJLY-eeJM1911Kvaei5oySBIxdgtNo/edit?pli=1#gid=257618397"",""stock FAKTUR!B:C""),2,false)"),"OIL PASTEL TITI 12W TI-P-12S")</f>
        <v>OIL PASTEL TITI 12W TI-P-12S</v>
      </c>
      <c r="F928" s="145" t="str">
        <f>IFERROR(__xludf.DUMMYFUNCTION("vlookup($D928,IMPORTRANGE(""https://docs.google.com/spreadsheets/d/1swGwZOEqYlTEUCJLY-eeJM1911Kvaei5oySBIxdgtNo/edit?pli=1#gid=257618397"",""stock FAKTUR!B:d""),3,false)"),"")</f>
        <v/>
      </c>
      <c r="G928" s="145" t="str">
        <f>IFERROR(__xludf.DUMMYFUNCTION("vlookup($D928,IMPORTRANGE(""https://docs.google.com/spreadsheets/d/1swGwZOEqYlTEUCJLY-eeJM1911Kvaei5oySBIxdgtNo/edit?pli=1#gid=257618397"",""stock FAKTUR!B:e""),4,false)"),"12W")</f>
        <v>12W</v>
      </c>
      <c r="H928" s="145" t="str">
        <f>IFERROR(__xludf.DUMMYFUNCTION("vlookup($D928,IMPORTRANGE(""https://docs.google.com/spreadsheets/d/1swGwZOEqYlTEUCJLY-eeJM1911Kvaei5oySBIxdgtNo/edit?pli=1#gid=257618397"",""stock FAKTUR!B:F""),5,false)"),"TT")</f>
        <v>TT</v>
      </c>
      <c r="I928" s="145" t="str">
        <f>IFERROR(__xludf.DUMMYFUNCTION("vlookup($D928,IMPORTRANGE(""https://docs.google.com/spreadsheets/d/1swGwZOEqYlTEUCJLY-eeJM1911Kvaei5oySBIxdgtNo/edit?pli=1#gid=257618397"",""stock FAKTUR!B:G""),6,false)"),"OPS-007")</f>
        <v>OPS-007</v>
      </c>
      <c r="J928" s="199" t="str">
        <f t="shared" si="25"/>
        <v>ADA</v>
      </c>
      <c r="K928" s="142">
        <v>432.0</v>
      </c>
      <c r="L928" s="145" t="str">
        <f>IFERROR(__xludf.DUMMYFUNCTION("vlookup($D928,IMPORTRANGE(""https://docs.google.com/spreadsheets/d/1swGwZOEqYlTEUCJLY-eeJM1911Kvaei5oySBIxdgtNo/edit?pli=1#gid=257618397"",""stock FAKTUR!B:q""),16,false)"),"PCS")</f>
        <v>PCS</v>
      </c>
      <c r="M928" s="147">
        <v>14500.0</v>
      </c>
      <c r="N928" s="152">
        <v>0.125</v>
      </c>
      <c r="O928" s="147">
        <f t="shared" si="232"/>
        <v>5481000</v>
      </c>
      <c r="P928" s="147" t="str">
        <f t="shared" si="3"/>
        <v>Rp14,500-432 PCS-12.50%</v>
      </c>
      <c r="Q928" s="149">
        <v>45429.0</v>
      </c>
      <c r="R928" s="150"/>
      <c r="S928" s="149">
        <v>45430.0</v>
      </c>
      <c r="T928" s="151"/>
      <c r="U928" s="151"/>
      <c r="V928" s="151"/>
      <c r="W928" s="151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</row>
    <row r="929">
      <c r="A929" s="142">
        <v>4943.0</v>
      </c>
      <c r="B929" s="143" t="s">
        <v>65</v>
      </c>
      <c r="C929" s="143" t="s">
        <v>4805</v>
      </c>
      <c r="D929" s="145" t="s">
        <v>4710</v>
      </c>
      <c r="E929" s="145" t="str">
        <f>IFERROR(__xludf.DUMMYFUNCTION("vlookup(D929,IMPORTRANGE(""https://docs.google.com/spreadsheets/d/1swGwZOEqYlTEUCJLY-eeJM1911Kvaei5oySBIxdgtNo/edit?pli=1#gid=257618397"",""stock FAKTUR!B:C""),2,false)"),"SAMPUL BOXY BATIK")</f>
        <v>SAMPUL BOXY BATIK</v>
      </c>
      <c r="F929" s="145" t="str">
        <f>IFERROR(__xludf.DUMMYFUNCTION("vlookup($D929,IMPORTRANGE(""https://docs.google.com/spreadsheets/d/1swGwZOEqYlTEUCJLY-eeJM1911Kvaei5oySBIxdgtNo/edit?pli=1#gid=257618397"",""stock FAKTUR!B:d""),3,false)"),"")</f>
        <v/>
      </c>
      <c r="G929" s="145" t="str">
        <f>IFERROR(__xludf.DUMMYFUNCTION("vlookup($D929,IMPORTRANGE(""https://docs.google.com/spreadsheets/d/1swGwZOEqYlTEUCJLY-eeJM1911Kvaei5oySBIxdgtNo/edit?pli=1#gid=257618397"",""stock FAKTUR!B:e""),4,false)"),"")</f>
        <v/>
      </c>
      <c r="H929" s="145" t="str">
        <f>IFERROR(__xludf.DUMMYFUNCTION("vlookup($D929,IMPORTRANGE(""https://docs.google.com/spreadsheets/d/1swGwZOEqYlTEUCJLY-eeJM1911Kvaei5oySBIxdgtNo/edit?pli=1#gid=257618397"",""stock FAKTUR!B:F""),5,false)"),"NB")</f>
        <v>NB</v>
      </c>
      <c r="I929" s="145" t="str">
        <f>IFERROR(__xludf.DUMMYFUNCTION("vlookup($D929,IMPORTRANGE(""https://docs.google.com/spreadsheets/d/1swGwZOEqYlTEUCJLY-eeJM1911Kvaei5oySBIxdgtNo/edit?pli=1#gid=257618397"",""stock FAKTUR!B:G""),6,false)"),"")</f>
        <v/>
      </c>
      <c r="J929" s="199" t="str">
        <f t="shared" si="25"/>
        <v>ADA</v>
      </c>
      <c r="K929" s="142">
        <f>72</f>
        <v>72</v>
      </c>
      <c r="L929" s="145" t="str">
        <f>IFERROR(__xludf.DUMMYFUNCTION("vlookup($D929,IMPORTRANGE(""https://docs.google.com/spreadsheets/d/1swGwZOEqYlTEUCJLY-eeJM1911Kvaei5oySBIxdgtNo/edit?pli=1#gid=257618397"",""stock FAKTUR!B:q""),16,false)"),"PCS")</f>
        <v>PCS</v>
      </c>
      <c r="M929" s="147">
        <f>7500</f>
        <v>7500</v>
      </c>
      <c r="N929" s="148"/>
      <c r="O929" s="147">
        <f t="shared" si="232"/>
        <v>540000</v>
      </c>
      <c r="P929" s="147" t="str">
        <f t="shared" si="3"/>
        <v>Rp7,500-72 PCS-0.00%</v>
      </c>
      <c r="Q929" s="149">
        <v>45429.0</v>
      </c>
      <c r="R929" s="150"/>
      <c r="S929" s="149">
        <v>45430.0</v>
      </c>
      <c r="T929" s="151"/>
      <c r="U929" s="151"/>
      <c r="V929" s="151"/>
      <c r="W929" s="151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</row>
    <row r="930">
      <c r="A930" s="142">
        <v>4943.0</v>
      </c>
      <c r="B930" s="143" t="str">
        <f>IF(A930=A929,B929,"")</f>
        <v>A</v>
      </c>
      <c r="C930" s="143" t="str">
        <f>IF(A930=A929,C929,"")</f>
        <v>SUMUR BOTO-TEMBALANG</v>
      </c>
      <c r="D930" s="145" t="s">
        <v>4646</v>
      </c>
      <c r="E930" s="145" t="str">
        <f>IFERROR(__xludf.DUMMYFUNCTION("vlookup(D930,IMPORTRANGE(""https://docs.google.com/spreadsheets/d/1swGwZOEqYlTEUCJLY-eeJM1911Kvaei5oySBIxdgtNo/edit?pli=1#gid=257618397"",""stock FAKTUR!B:C""),2,false)"),"SAMPUL KWARTO BATIK ALFA")</f>
        <v>SAMPUL KWARTO BATIK ALFA</v>
      </c>
      <c r="F930" s="145" t="str">
        <f>IFERROR(__xludf.DUMMYFUNCTION("vlookup($D930,IMPORTRANGE(""https://docs.google.com/spreadsheets/d/1swGwZOEqYlTEUCJLY-eeJM1911Kvaei5oySBIxdgtNo/edit?pli=1#gid=257618397"",""stock FAKTUR!B:d""),3,false)"),"")</f>
        <v/>
      </c>
      <c r="G930" s="145" t="str">
        <f>IFERROR(__xludf.DUMMYFUNCTION("vlookup($D930,IMPORTRANGE(""https://docs.google.com/spreadsheets/d/1swGwZOEqYlTEUCJLY-eeJM1911Kvaei5oySBIxdgtNo/edit?pli=1#gid=257618397"",""stock FAKTUR!B:e""),4,false)"),"")</f>
        <v/>
      </c>
      <c r="H930" s="145" t="str">
        <f>IFERROR(__xludf.DUMMYFUNCTION("vlookup($D930,IMPORTRANGE(""https://docs.google.com/spreadsheets/d/1swGwZOEqYlTEUCJLY-eeJM1911Kvaei5oySBIxdgtNo/edit?pli=1#gid=257618397"",""stock FAKTUR!B:F""),5,false)"),"NB")</f>
        <v>NB</v>
      </c>
      <c r="I930" s="145" t="str">
        <f>IFERROR(__xludf.DUMMYFUNCTION("vlookup($D930,IMPORTRANGE(""https://docs.google.com/spreadsheets/d/1swGwZOEqYlTEUCJLY-eeJM1911Kvaei5oySBIxdgtNo/edit?pli=1#gid=257618397"",""stock FAKTUR!B:G""),6,false)"),"")</f>
        <v/>
      </c>
      <c r="J930" s="199" t="str">
        <f t="shared" si="25"/>
        <v>ADA</v>
      </c>
      <c r="K930" s="142">
        <f>36</f>
        <v>36</v>
      </c>
      <c r="L930" s="145" t="str">
        <f>IFERROR(__xludf.DUMMYFUNCTION("vlookup($D930,IMPORTRANGE(""https://docs.google.com/spreadsheets/d/1swGwZOEqYlTEUCJLY-eeJM1911Kvaei5oySBIxdgtNo/edit?pli=1#gid=257618397"",""stock FAKTUR!B:q""),16,false)"),"PCS")</f>
        <v>PCS</v>
      </c>
      <c r="M930" s="147">
        <f>5500</f>
        <v>5500</v>
      </c>
      <c r="N930" s="148"/>
      <c r="O930" s="147">
        <f t="shared" si="232"/>
        <v>198000</v>
      </c>
      <c r="P930" s="147" t="str">
        <f t="shared" si="3"/>
        <v>Rp5,500-36 PCS-0.00%</v>
      </c>
      <c r="Q930" s="149">
        <v>45428.0</v>
      </c>
      <c r="R930" s="150"/>
      <c r="S930" s="149">
        <v>45430.0</v>
      </c>
      <c r="T930" s="151"/>
      <c r="U930" s="151"/>
      <c r="V930" s="151"/>
      <c r="W930" s="151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</row>
    <row r="931">
      <c r="A931" s="142">
        <v>4944.0</v>
      </c>
      <c r="B931" s="143" t="s">
        <v>58</v>
      </c>
      <c r="C931" s="143" t="s">
        <v>2001</v>
      </c>
      <c r="D931" s="145" t="s">
        <v>4478</v>
      </c>
      <c r="E931" s="145" t="str">
        <f>IFERROR(__xludf.DUMMYFUNCTION("vlookup(D931,IMPORTRANGE(""https://docs.google.com/spreadsheets/d/1swGwZOEqYlTEUCJLY-eeJM1911Kvaei5oySBIxdgtNo/edit?pli=1#gid=257618397"",""stock FAKTUR!B:C""),2,false)"),"OIL PASTEL TITI 36W TI-P-36 S")</f>
        <v>OIL PASTEL TITI 36W TI-P-36 S</v>
      </c>
      <c r="F931" s="145" t="str">
        <f>IFERROR(__xludf.DUMMYFUNCTION("vlookup($D931,IMPORTRANGE(""https://docs.google.com/spreadsheets/d/1swGwZOEqYlTEUCJLY-eeJM1911Kvaei5oySBIxdgtNo/edit?pli=1#gid=257618397"",""stock FAKTUR!B:d""),3,false)"),"")</f>
        <v/>
      </c>
      <c r="G931" s="145" t="str">
        <f>IFERROR(__xludf.DUMMYFUNCTION("vlookup($D931,IMPORTRANGE(""https://docs.google.com/spreadsheets/d/1swGwZOEqYlTEUCJLY-eeJM1911Kvaei5oySBIxdgtNo/edit?pli=1#gid=257618397"",""stock FAKTUR!B:e""),4,false)"),"36W")</f>
        <v>36W</v>
      </c>
      <c r="H931" s="145" t="str">
        <f>IFERROR(__xludf.DUMMYFUNCTION("vlookup($D931,IMPORTRANGE(""https://docs.google.com/spreadsheets/d/1swGwZOEqYlTEUCJLY-eeJM1911Kvaei5oySBIxdgtNo/edit?pli=1#gid=257618397"",""stock FAKTUR!B:F""),5,false)"),"TT")</f>
        <v>TT</v>
      </c>
      <c r="I931" s="145" t="str">
        <f>IFERROR(__xludf.DUMMYFUNCTION("vlookup($D931,IMPORTRANGE(""https://docs.google.com/spreadsheets/d/1swGwZOEqYlTEUCJLY-eeJM1911Kvaei5oySBIxdgtNo/edit?pli=1#gid=257618397"",""stock FAKTUR!B:G""),6,false)"),"")</f>
        <v/>
      </c>
      <c r="J931" s="199" t="str">
        <f t="shared" si="25"/>
        <v>ADA</v>
      </c>
      <c r="K931" s="142">
        <v>12.0</v>
      </c>
      <c r="L931" s="145" t="s">
        <v>69</v>
      </c>
      <c r="M931" s="187">
        <v>47500.0</v>
      </c>
      <c r="N931" s="152">
        <v>0.075</v>
      </c>
      <c r="O931" s="147">
        <f t="shared" si="232"/>
        <v>527250</v>
      </c>
      <c r="P931" s="147" t="str">
        <f t="shared" si="3"/>
        <v>Rp47,500-12 PCS-7.50%</v>
      </c>
      <c r="Q931" s="149">
        <v>45428.0</v>
      </c>
      <c r="R931" s="150"/>
      <c r="S931" s="149">
        <v>45430.0</v>
      </c>
      <c r="T931" s="151"/>
      <c r="U931" s="151"/>
      <c r="V931" s="151"/>
      <c r="W931" s="151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</row>
    <row r="932">
      <c r="A932" s="142">
        <v>4944.0</v>
      </c>
      <c r="B932" s="143" t="str">
        <f>IF(A932=A931,B931,"")</f>
        <v>G</v>
      </c>
      <c r="C932" s="143" t="str">
        <f>IF(A932=A931,C931,"")</f>
        <v>INDRASARI-MRANGGEN</v>
      </c>
      <c r="D932" s="145" t="s">
        <v>4680</v>
      </c>
      <c r="E932" s="145" t="str">
        <f>IFERROR(__xludf.DUMMYFUNCTION("vlookup(D932,IMPORTRANGE(""https://docs.google.com/spreadsheets/d/1swGwZOEqYlTEUCJLY-eeJM1911Kvaei5oySBIxdgtNo/edit?pli=1#gid=257618397"",""stock FAKTUR!B:C""),2,false)"),"OIL PASTEL TITI 48W TI-P-48S")</f>
        <v>OIL PASTEL TITI 48W TI-P-48S</v>
      </c>
      <c r="F932" s="145" t="str">
        <f>IFERROR(__xludf.DUMMYFUNCTION("vlookup($D932,IMPORTRANGE(""https://docs.google.com/spreadsheets/d/1swGwZOEqYlTEUCJLY-eeJM1911Kvaei5oySBIxdgtNo/edit?pli=1#gid=257618397"",""stock FAKTUR!B:d""),3,false)"),"")</f>
        <v/>
      </c>
      <c r="G932" s="145" t="str">
        <f>IFERROR(__xludf.DUMMYFUNCTION("vlookup($D932,IMPORTRANGE(""https://docs.google.com/spreadsheets/d/1swGwZOEqYlTEUCJLY-eeJM1911Kvaei5oySBIxdgtNo/edit?pli=1#gid=257618397"",""stock FAKTUR!B:e""),4,false)"),"48W")</f>
        <v>48W</v>
      </c>
      <c r="H932" s="145" t="str">
        <f>IFERROR(__xludf.DUMMYFUNCTION("vlookup($D932,IMPORTRANGE(""https://docs.google.com/spreadsheets/d/1swGwZOEqYlTEUCJLY-eeJM1911Kvaei5oySBIxdgtNo/edit?pli=1#gid=257618397"",""stock FAKTUR!B:F""),5,false)"),"TT")</f>
        <v>TT</v>
      </c>
      <c r="I932" s="145" t="str">
        <f>IFERROR(__xludf.DUMMYFUNCTION("vlookup($D932,IMPORTRANGE(""https://docs.google.com/spreadsheets/d/1swGwZOEqYlTEUCJLY-eeJM1911Kvaei5oySBIxdgtNo/edit?pli=1#gid=257618397"",""stock FAKTUR!B:G""),6,false)"),"OPS-011")</f>
        <v>OPS-011</v>
      </c>
      <c r="J932" s="199" t="str">
        <f t="shared" si="25"/>
        <v>ADA</v>
      </c>
      <c r="K932" s="184">
        <v>2.0</v>
      </c>
      <c r="L932" s="145" t="str">
        <f>IFERROR(__xludf.DUMMYFUNCTION("vlookup($D932,IMPORTRANGE(""https://docs.google.com/spreadsheets/d/1swGwZOEqYlTEUCJLY-eeJM1911Kvaei5oySBIxdgtNo/edit?pli=1#gid=257618397"",""stock FAKTUR!B:q""),16,false)"),"BOX")</f>
        <v>BOX</v>
      </c>
      <c r="M932" s="147">
        <f>6*69500</f>
        <v>417000</v>
      </c>
      <c r="N932" s="152">
        <v>0.075</v>
      </c>
      <c r="O932" s="147">
        <f t="shared" si="232"/>
        <v>771450</v>
      </c>
      <c r="P932" s="147" t="str">
        <f t="shared" si="3"/>
        <v>Rp417,000-2 BOX-7.50%</v>
      </c>
      <c r="Q932" s="149">
        <v>45428.0</v>
      </c>
      <c r="R932" s="150"/>
      <c r="S932" s="149">
        <v>45430.0</v>
      </c>
      <c r="T932" s="151"/>
      <c r="U932" s="151"/>
      <c r="V932" s="151"/>
      <c r="W932" s="151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</row>
    <row r="933">
      <c r="A933" s="142">
        <v>4945.0</v>
      </c>
      <c r="B933" s="143" t="s">
        <v>65</v>
      </c>
      <c r="C933" s="143" t="s">
        <v>3875</v>
      </c>
      <c r="D933" s="159" t="s">
        <v>4806</v>
      </c>
      <c r="E933" s="145" t="s">
        <v>4807</v>
      </c>
      <c r="F933" s="145" t="str">
        <f>IFERROR(__xludf.DUMMYFUNCTION("vlookup($D933,IMPORTRANGE(""https://docs.google.com/spreadsheets/d/1swGwZOEqYlTEUCJLY-eeJM1911Kvaei5oySBIxdgtNo/edit?pli=1#gid=257618397"",""stock FAKTUR!B:d""),3,false)"),"")</f>
        <v/>
      </c>
      <c r="G933" s="145" t="str">
        <f>IFERROR(__xludf.DUMMYFUNCTION("vlookup($D933,IMPORTRANGE(""https://docs.google.com/spreadsheets/d/1swGwZOEqYlTEUCJLY-eeJM1911Kvaei5oySBIxdgtNo/edit?pli=1#gid=257618397"",""stock FAKTUR!B:e""),4,false)"),"12W")</f>
        <v>12W</v>
      </c>
      <c r="H933" s="145" t="str">
        <f>IFERROR(__xludf.DUMMYFUNCTION("vlookup($D933,IMPORTRANGE(""https://docs.google.com/spreadsheets/d/1swGwZOEqYlTEUCJLY-eeJM1911Kvaei5oySBIxdgtNo/edit?pli=1#gid=257618397"",""stock FAKTUR!B:F""),5,false)"),"KN")</f>
        <v>KN</v>
      </c>
      <c r="I933" s="145" t="str">
        <f>IFERROR(__xludf.DUMMYFUNCTION("vlookup($D933,IMPORTRANGE(""https://docs.google.com/spreadsheets/d/1swGwZOEqYlTEUCJLY-eeJM1911Kvaei5oySBIxdgtNo/edit?pli=1#gid=257618397"",""stock FAKTUR!B:G""),6,false)"),"CP-12FMC")</f>
        <v>CP-12FMC</v>
      </c>
      <c r="J933" s="199" t="str">
        <f t="shared" si="25"/>
        <v>ADA</v>
      </c>
      <c r="K933" s="142">
        <v>6.0</v>
      </c>
      <c r="L933" s="145" t="str">
        <f>IFERROR(__xludf.DUMMYFUNCTION("vlookup($D933,IMPORTRANGE(""https://docs.google.com/spreadsheets/d/1swGwZOEqYlTEUCJLY-eeJM1911Kvaei5oySBIxdgtNo/edit?pli=1#gid=257618397"",""stock FAKTUR!B:q""),16,false)"),"LSN")</f>
        <v>LSN</v>
      </c>
      <c r="M933" s="147">
        <v>150000.0</v>
      </c>
      <c r="N933" s="152">
        <v>0.1</v>
      </c>
      <c r="O933" s="147">
        <f t="shared" si="232"/>
        <v>810000</v>
      </c>
      <c r="P933" s="147" t="str">
        <f t="shared" si="3"/>
        <v>Rp150,000-6 LSN-10.00%</v>
      </c>
      <c r="Q933" s="149">
        <v>45429.0</v>
      </c>
      <c r="R933" s="150"/>
      <c r="S933" s="149">
        <v>45430.0</v>
      </c>
      <c r="T933" s="151" t="s">
        <v>4808</v>
      </c>
      <c r="U933" s="151"/>
      <c r="V933" s="151"/>
      <c r="W933" s="151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</row>
    <row r="934">
      <c r="A934" s="142">
        <v>4945.0</v>
      </c>
      <c r="B934" s="143" t="str">
        <f t="shared" ref="B934:B949" si="276">IF(A934=A933,B933,"")</f>
        <v>A</v>
      </c>
      <c r="C934" s="143" t="str">
        <f t="shared" ref="C934:C948" si="277">IF(A934=A933,C933,"")</f>
        <v>BERKAH-SEMARANG</v>
      </c>
      <c r="D934" s="159" t="s">
        <v>4809</v>
      </c>
      <c r="E934" s="183" t="s">
        <v>4810</v>
      </c>
      <c r="F934" s="145" t="str">
        <f>IFERROR(__xludf.DUMMYFUNCTION("vlookup($D934,IMPORTRANGE(""https://docs.google.com/spreadsheets/d/1swGwZOEqYlTEUCJLY-eeJM1911Kvaei5oySBIxdgtNo/edit?pli=1#gid=257618397"",""stock FAKTUR!B:d""),3,false)"),"")</f>
        <v/>
      </c>
      <c r="G934" s="145" t="str">
        <f>IFERROR(__xludf.DUMMYFUNCTION("vlookup($D934,IMPORTRANGE(""https://docs.google.com/spreadsheets/d/1swGwZOEqYlTEUCJLY-eeJM1911Kvaei5oySBIxdgtNo/edit?pli=1#gid=257618397"",""stock FAKTUR!B:e""),4,false)"),"12W")</f>
        <v>12W</v>
      </c>
      <c r="H934" s="145" t="str">
        <f>IFERROR(__xludf.DUMMYFUNCTION("vlookup($D934,IMPORTRANGE(""https://docs.google.com/spreadsheets/d/1swGwZOEqYlTEUCJLY-eeJM1911Kvaei5oySBIxdgtNo/edit?pli=1#gid=257618397"",""stock FAKTUR!B:F""),5,false)"),"KN")</f>
        <v>KN</v>
      </c>
      <c r="I934" s="145" t="str">
        <f>IFERROR(__xludf.DUMMYFUNCTION("vlookup($D934,IMPORTRANGE(""https://docs.google.com/spreadsheets/d/1swGwZOEqYlTEUCJLY-eeJM1911Kvaei5oySBIxdgtNo/edit?pli=1#gid=257618397"",""stock FAKTUR!B:G""),6,false)"),"NMCP-12FBC")</f>
        <v>NMCP-12FBC</v>
      </c>
      <c r="J934" s="199" t="str">
        <f t="shared" si="25"/>
        <v>ADA</v>
      </c>
      <c r="K934" s="142">
        <v>6.0</v>
      </c>
      <c r="L934" s="145" t="str">
        <f>IFERROR(__xludf.DUMMYFUNCTION("vlookup($D934,IMPORTRANGE(""https://docs.google.com/spreadsheets/d/1swGwZOEqYlTEUCJLY-eeJM1911Kvaei5oySBIxdgtNo/edit?pli=1#gid=257618397"",""stock FAKTUR!B:q""),16,false)"),"LSN")</f>
        <v>LSN</v>
      </c>
      <c r="M934" s="147">
        <v>180000.0</v>
      </c>
      <c r="N934" s="152">
        <v>0.1</v>
      </c>
      <c r="O934" s="147">
        <f t="shared" si="232"/>
        <v>972000</v>
      </c>
      <c r="P934" s="147" t="str">
        <f t="shared" si="3"/>
        <v>Rp180,000-6 LSN-10.00%</v>
      </c>
      <c r="Q934" s="149">
        <v>45429.0</v>
      </c>
      <c r="R934" s="150"/>
      <c r="S934" s="149">
        <v>45430.0</v>
      </c>
      <c r="T934" s="151" t="s">
        <v>4808</v>
      </c>
      <c r="U934" s="151"/>
      <c r="V934" s="151"/>
      <c r="W934" s="151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</row>
    <row r="935">
      <c r="A935" s="142">
        <v>4945.0</v>
      </c>
      <c r="B935" s="143" t="str">
        <f t="shared" si="276"/>
        <v>A</v>
      </c>
      <c r="C935" s="143" t="str">
        <f t="shared" si="277"/>
        <v>BERKAH-SEMARANG</v>
      </c>
      <c r="D935" s="159" t="s">
        <v>4811</v>
      </c>
      <c r="E935" s="183" t="s">
        <v>4812</v>
      </c>
      <c r="F935" s="145" t="str">
        <f>IFERROR(__xludf.DUMMYFUNCTION("vlookup($D935,IMPORTRANGE(""https://docs.google.com/spreadsheets/d/1swGwZOEqYlTEUCJLY-eeJM1911Kvaei5oySBIxdgtNo/edit?pli=1#gid=257618397"",""stock FAKTUR!B:d""),3,false)"),"")</f>
        <v/>
      </c>
      <c r="G935" s="145" t="str">
        <f>IFERROR(__xludf.DUMMYFUNCTION("vlookup($D935,IMPORTRANGE(""https://docs.google.com/spreadsheets/d/1swGwZOEqYlTEUCJLY-eeJM1911Kvaei5oySBIxdgtNo/edit?pli=1#gid=257618397"",""stock FAKTUR!B:e""),4,false)"),"12W")</f>
        <v>12W</v>
      </c>
      <c r="H935" s="145" t="str">
        <f>IFERROR(__xludf.DUMMYFUNCTION("vlookup($D935,IMPORTRANGE(""https://docs.google.com/spreadsheets/d/1swGwZOEqYlTEUCJLY-eeJM1911Kvaei5oySBIxdgtNo/edit?pli=1#gid=257618397"",""stock FAKTUR!B:F""),5,false)"),"KN")</f>
        <v>KN</v>
      </c>
      <c r="I935" s="145" t="str">
        <f>IFERROR(__xludf.DUMMYFUNCTION("vlookup($D935,IMPORTRANGE(""https://docs.google.com/spreadsheets/d/1swGwZOEqYlTEUCJLY-eeJM1911Kvaei5oySBIxdgtNo/edit?pli=1#gid=257618397"",""stock FAKTUR!B:G""),6,false)"),"NCP-12C")</f>
        <v>NCP-12C</v>
      </c>
      <c r="J935" s="199" t="str">
        <f t="shared" si="25"/>
        <v>ADA</v>
      </c>
      <c r="K935" s="142">
        <v>6.0</v>
      </c>
      <c r="L935" s="145" t="str">
        <f>IFERROR(__xludf.DUMMYFUNCTION("vlookup($D935,IMPORTRANGE(""https://docs.google.com/spreadsheets/d/1swGwZOEqYlTEUCJLY-eeJM1911Kvaei5oySBIxdgtNo/edit?pli=1#gid=257618397"",""stock FAKTUR!B:q""),16,false)"),"LSN")</f>
        <v>LSN</v>
      </c>
      <c r="M935" s="147">
        <v>156000.0</v>
      </c>
      <c r="N935" s="152">
        <v>0.1</v>
      </c>
      <c r="O935" s="147">
        <f t="shared" si="232"/>
        <v>842400</v>
      </c>
      <c r="P935" s="147" t="str">
        <f t="shared" si="3"/>
        <v>Rp156,000-6 LSN-10.00%</v>
      </c>
      <c r="Q935" s="149">
        <v>45429.0</v>
      </c>
      <c r="R935" s="150"/>
      <c r="S935" s="149">
        <v>45430.0</v>
      </c>
      <c r="T935" s="151" t="s">
        <v>4808</v>
      </c>
      <c r="U935" s="151"/>
      <c r="V935" s="151"/>
      <c r="W935" s="151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</row>
    <row r="936">
      <c r="A936" s="142">
        <v>4945.0</v>
      </c>
      <c r="B936" s="143" t="str">
        <f t="shared" si="276"/>
        <v>A</v>
      </c>
      <c r="C936" s="143" t="str">
        <f t="shared" si="277"/>
        <v>BERKAH-SEMARANG</v>
      </c>
      <c r="D936" s="159" t="s">
        <v>4779</v>
      </c>
      <c r="E936" s="183" t="s">
        <v>4813</v>
      </c>
      <c r="F936" s="145" t="str">
        <f>IFERROR(__xludf.DUMMYFUNCTION("vlookup($D936,IMPORTRANGE(""https://docs.google.com/spreadsheets/d/1swGwZOEqYlTEUCJLY-eeJM1911Kvaei5oySBIxdgtNo/edit?pli=1#gid=257618397"",""stock FAKTUR!B:d""),3,false)"),"")</f>
        <v/>
      </c>
      <c r="G936" s="145" t="str">
        <f>IFERROR(__xludf.DUMMYFUNCTION("vlookup($D936,IMPORTRANGE(""https://docs.google.com/spreadsheets/d/1swGwZOEqYlTEUCJLY-eeJM1911Kvaei5oySBIxdgtNo/edit?pli=1#gid=257618397"",""stock FAKTUR!B:e""),4,false)"),"12W")</f>
        <v>12W</v>
      </c>
      <c r="H936" s="145" t="str">
        <f>IFERROR(__xludf.DUMMYFUNCTION("vlookup($D936,IMPORTRANGE(""https://docs.google.com/spreadsheets/d/1swGwZOEqYlTEUCJLY-eeJM1911Kvaei5oySBIxdgtNo/edit?pli=1#gid=257618397"",""stock FAKTUR!B:F""),5,false)"),"KN")</f>
        <v>KN</v>
      </c>
      <c r="I936" s="145" t="str">
        <f>IFERROR(__xludf.DUMMYFUNCTION("vlookup($D936,IMPORTRANGE(""https://docs.google.com/spreadsheets/d/1swGwZOEqYlTEUCJLY-eeJM1911Kvaei5oySBIxdgtNo/edit?pli=1#gid=257618397"",""stock FAKTUR!B:G""),6,false)"),"CP-12F")</f>
        <v>CP-12F</v>
      </c>
      <c r="J936" s="199" t="str">
        <f t="shared" si="25"/>
        <v>ADA</v>
      </c>
      <c r="K936" s="142">
        <v>6.0</v>
      </c>
      <c r="L936" s="145" t="str">
        <f>IFERROR(__xludf.DUMMYFUNCTION("vlookup($D936,IMPORTRANGE(""https://docs.google.com/spreadsheets/d/1swGwZOEqYlTEUCJLY-eeJM1911Kvaei5oySBIxdgtNo/edit?pli=1#gid=257618397"",""stock FAKTUR!B:q""),16,false)"),"LSN")</f>
        <v>LSN</v>
      </c>
      <c r="M936" s="147">
        <v>124200.0</v>
      </c>
      <c r="N936" s="152">
        <v>0.1</v>
      </c>
      <c r="O936" s="147">
        <f t="shared" si="232"/>
        <v>670680</v>
      </c>
      <c r="P936" s="147" t="str">
        <f t="shared" si="3"/>
        <v>Rp124,200-6 LSN-10.00%</v>
      </c>
      <c r="Q936" s="149">
        <v>45429.0</v>
      </c>
      <c r="R936" s="150"/>
      <c r="S936" s="149">
        <v>45430.0</v>
      </c>
      <c r="T936" s="151" t="s">
        <v>4808</v>
      </c>
      <c r="U936" s="151"/>
      <c r="V936" s="151"/>
      <c r="W936" s="151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</row>
    <row r="937">
      <c r="A937" s="142">
        <v>4945.0</v>
      </c>
      <c r="B937" s="143" t="str">
        <f t="shared" si="276"/>
        <v>A</v>
      </c>
      <c r="C937" s="143" t="str">
        <f t="shared" si="277"/>
        <v>BERKAH-SEMARANG</v>
      </c>
      <c r="D937" s="159" t="s">
        <v>4814</v>
      </c>
      <c r="E937" s="145" t="str">
        <f>IFERROR(__xludf.DUMMYFUNCTION("vlookup(D937,IMPORTRANGE(""https://docs.google.com/spreadsheets/d/1swGwZOEqYlTEUCJLY-eeJM1911Kvaei5oySBIxdgtNo/edit?pli=1#gid=257618397"",""stock FAKTUR!B:C""),2,false)"),"PW KENKO CP-24F SANDY BEAR PANJANG")</f>
        <v>PW KENKO CP-24F SANDY BEAR PANJANG</v>
      </c>
      <c r="F937" s="145" t="str">
        <f>IFERROR(__xludf.DUMMYFUNCTION("vlookup($D937,IMPORTRANGE(""https://docs.google.com/spreadsheets/d/1swGwZOEqYlTEUCJLY-eeJM1911Kvaei5oySBIxdgtNo/edit?pli=1#gid=257618397"",""stock FAKTUR!B:d""),3,false)"),"")</f>
        <v/>
      </c>
      <c r="G937" s="145" t="str">
        <f>IFERROR(__xludf.DUMMYFUNCTION("vlookup($D937,IMPORTRANGE(""https://docs.google.com/spreadsheets/d/1swGwZOEqYlTEUCJLY-eeJM1911Kvaei5oySBIxdgtNo/edit?pli=1#gid=257618397"",""stock FAKTUR!B:e""),4,false)"),"24W")</f>
        <v>24W</v>
      </c>
      <c r="H937" s="145" t="str">
        <f>IFERROR(__xludf.DUMMYFUNCTION("vlookup($D937,IMPORTRANGE(""https://docs.google.com/spreadsheets/d/1swGwZOEqYlTEUCJLY-eeJM1911Kvaei5oySBIxdgtNo/edit?pli=1#gid=257618397"",""stock FAKTUR!B:F""),5,false)"),"KN")</f>
        <v>KN</v>
      </c>
      <c r="I937" s="145" t="str">
        <f>IFERROR(__xludf.DUMMYFUNCTION("vlookup($D937,IMPORTRANGE(""https://docs.google.com/spreadsheets/d/1swGwZOEqYlTEUCJLY-eeJM1911Kvaei5oySBIxdgtNo/edit?pli=1#gid=257618397"",""stock FAKTUR!B:G""),6,false)"),"CP-24F")</f>
        <v>CP-24F</v>
      </c>
      <c r="J937" s="199" t="str">
        <f t="shared" si="25"/>
        <v>ADA</v>
      </c>
      <c r="K937" s="142">
        <v>3.0</v>
      </c>
      <c r="L937" s="145" t="str">
        <f>IFERROR(__xludf.DUMMYFUNCTION("vlookup($D937,IMPORTRANGE(""https://docs.google.com/spreadsheets/d/1swGwZOEqYlTEUCJLY-eeJM1911Kvaei5oySBIxdgtNo/edit?pli=1#gid=257618397"",""stock FAKTUR!B:q""),16,false)"),"LSN")</f>
        <v>LSN</v>
      </c>
      <c r="M937" s="147">
        <v>248400.0</v>
      </c>
      <c r="N937" s="152">
        <v>0.1</v>
      </c>
      <c r="O937" s="147">
        <f t="shared" si="232"/>
        <v>670680</v>
      </c>
      <c r="P937" s="147" t="str">
        <f t="shared" si="3"/>
        <v>Rp248,400-3 LSN-10.00%</v>
      </c>
      <c r="Q937" s="149">
        <v>45429.0</v>
      </c>
      <c r="R937" s="150"/>
      <c r="S937" s="149">
        <v>45430.0</v>
      </c>
      <c r="T937" s="151"/>
      <c r="U937" s="151"/>
      <c r="V937" s="151"/>
      <c r="W937" s="151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</row>
    <row r="938">
      <c r="A938" s="142">
        <v>4945.0</v>
      </c>
      <c r="B938" s="143" t="str">
        <f t="shared" si="276"/>
        <v>A</v>
      </c>
      <c r="C938" s="143" t="str">
        <f t="shared" si="277"/>
        <v>BERKAH-SEMARANG</v>
      </c>
      <c r="D938" s="159" t="s">
        <v>4815</v>
      </c>
      <c r="E938" s="183" t="s">
        <v>4816</v>
      </c>
      <c r="F938" s="145" t="str">
        <f>IFERROR(__xludf.DUMMYFUNCTION("vlookup($D938,IMPORTRANGE(""https://docs.google.com/spreadsheets/d/1swGwZOEqYlTEUCJLY-eeJM1911Kvaei5oySBIxdgtNo/edit?pli=1#gid=257618397"",""stock FAKTUR!B:d""),3,false)"),"")</f>
        <v/>
      </c>
      <c r="G938" s="145" t="str">
        <f>IFERROR(__xludf.DUMMYFUNCTION("vlookup($D938,IMPORTRANGE(""https://docs.google.com/spreadsheets/d/1swGwZOEqYlTEUCJLY-eeJM1911Kvaei5oySBIxdgtNo/edit?pli=1#gid=257618397"",""stock FAKTUR!B:e""),4,false)"),"24W")</f>
        <v>24W</v>
      </c>
      <c r="H938" s="145" t="str">
        <f>IFERROR(__xludf.DUMMYFUNCTION("vlookup($D938,IMPORTRANGE(""https://docs.google.com/spreadsheets/d/1swGwZOEqYlTEUCJLY-eeJM1911Kvaei5oySBIxdgtNo/edit?pli=1#gid=257618397"",""stock FAKTUR!B:F""),5,false)"),"KN")</f>
        <v>KN</v>
      </c>
      <c r="I938" s="145" t="str">
        <f>IFERROR(__xludf.DUMMYFUNCTION("vlookup($D938,IMPORTRANGE(""https://docs.google.com/spreadsheets/d/1swGwZOEqYlTEUCJLY-eeJM1911Kvaei5oySBIxdgtNo/edit?pli=1#gid=257618397"",""stock FAKTUR!B:G""),6,false)"),"CP-24FBC")</f>
        <v>CP-24FBC</v>
      </c>
      <c r="J938" s="199" t="str">
        <f t="shared" si="25"/>
        <v>ADA</v>
      </c>
      <c r="K938" s="142">
        <v>3.0</v>
      </c>
      <c r="L938" s="145" t="str">
        <f>IFERROR(__xludf.DUMMYFUNCTION("vlookup($D938,IMPORTRANGE(""https://docs.google.com/spreadsheets/d/1swGwZOEqYlTEUCJLY-eeJM1911Kvaei5oySBIxdgtNo/edit?pli=1#gid=257618397"",""stock FAKTUR!B:q""),16,false)"),"LSN")</f>
        <v>LSN</v>
      </c>
      <c r="M938" s="147">
        <v>294000.0</v>
      </c>
      <c r="N938" s="152">
        <v>0.1</v>
      </c>
      <c r="O938" s="147">
        <f t="shared" si="232"/>
        <v>793800</v>
      </c>
      <c r="P938" s="147" t="str">
        <f t="shared" si="3"/>
        <v>Rp294,000-3 LSN-10.00%</v>
      </c>
      <c r="Q938" s="149">
        <v>45429.0</v>
      </c>
      <c r="R938" s="150"/>
      <c r="S938" s="149">
        <v>45430.0</v>
      </c>
      <c r="T938" s="151" t="s">
        <v>4808</v>
      </c>
      <c r="U938" s="151"/>
      <c r="V938" s="151"/>
      <c r="W938" s="151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</row>
    <row r="939">
      <c r="A939" s="142">
        <v>4945.0</v>
      </c>
      <c r="B939" s="143" t="str">
        <f t="shared" si="276"/>
        <v>A</v>
      </c>
      <c r="C939" s="143" t="str">
        <f t="shared" si="277"/>
        <v>BERKAH-SEMARANG</v>
      </c>
      <c r="D939" s="193" t="s">
        <v>4817</v>
      </c>
      <c r="E939" s="145" t="str">
        <f>IFERROR(__xludf.DUMMYFUNCTION("vlookup(D939,IMPORTRANGE(""https://docs.google.com/spreadsheets/d/1swGwZOEqYlTEUCJLY-eeJM1911Kvaei5oySBIxdgtNo/edit?pli=1#gid=257618397"",""stock FAKTUR!B:C""),2,false)"),"BP GEL KENKO K-80 HITAM")</f>
        <v>BP GEL KENKO K-80 HITAM</v>
      </c>
      <c r="F939" s="200" t="str">
        <f>IFERROR(__xludf.DUMMYFUNCTION("vlookup($D939,IMPORTRANGE(""https://docs.google.com/spreadsheets/d/1swGwZOEqYlTEUCJLY-eeJM1911Kvaei5oySBIxdgtNo/edit?pli=1#gid=257618397"",""stock FAKTUR!B:d""),3,false)"),"")</f>
        <v/>
      </c>
      <c r="G939" s="200" t="str">
        <f>IFERROR(__xludf.DUMMYFUNCTION("vlookup($D939,IMPORTRANGE(""https://docs.google.com/spreadsheets/d/1swGwZOEqYlTEUCJLY-eeJM1911Kvaei5oySBIxdgtNo/edit?pli=1#gid=257618397"",""stock FAKTUR!B:e""),4,false)"),"HITAM")</f>
        <v>HITAM</v>
      </c>
      <c r="H939" s="200" t="str">
        <f>IFERROR(__xludf.DUMMYFUNCTION("vlookup($D939,IMPORTRANGE(""https://docs.google.com/spreadsheets/d/1swGwZOEqYlTEUCJLY-eeJM1911Kvaei5oySBIxdgtNo/edit?pli=1#gid=257618397"",""stock FAKTUR!B:F""),5,false)"),"KN")</f>
        <v>KN</v>
      </c>
      <c r="I939" s="200" t="str">
        <f>IFERROR(__xludf.DUMMYFUNCTION("vlookup($D939,IMPORTRANGE(""https://docs.google.com/spreadsheets/d/1swGwZOEqYlTEUCJLY-eeJM1911Kvaei5oySBIxdgtNo/edit?pli=1#gid=257618397"",""stock FAKTUR!B:G""),6,false)"),"K-80")</f>
        <v>K-80</v>
      </c>
      <c r="J939" s="199" t="str">
        <f t="shared" si="25"/>
        <v>ADA</v>
      </c>
      <c r="K939" s="142">
        <v>36.0</v>
      </c>
      <c r="L939" s="145" t="str">
        <f>IFERROR(__xludf.DUMMYFUNCTION("vlookup($D939,IMPORTRANGE(""https://docs.google.com/spreadsheets/d/1swGwZOEqYlTEUCJLY-eeJM1911Kvaei5oySBIxdgtNo/edit?pli=1#gid=257618397"",""stock FAKTUR!B:q""),16,false)"),"LSN")</f>
        <v>LSN</v>
      </c>
      <c r="M939" s="147">
        <v>28200.0</v>
      </c>
      <c r="N939" s="152">
        <v>0.1</v>
      </c>
      <c r="O939" s="147">
        <f t="shared" si="232"/>
        <v>913680</v>
      </c>
      <c r="P939" s="147" t="str">
        <f t="shared" si="3"/>
        <v>Rp28,200-36 LSN-10.00%</v>
      </c>
      <c r="Q939" s="149">
        <v>45429.0</v>
      </c>
      <c r="R939" s="150"/>
      <c r="S939" s="149">
        <v>45430.0</v>
      </c>
      <c r="T939" s="151" t="s">
        <v>4808</v>
      </c>
      <c r="U939" s="192" t="s">
        <v>4390</v>
      </c>
      <c r="V939" s="151"/>
      <c r="W939" s="151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</row>
    <row r="940">
      <c r="A940" s="142">
        <v>4945.0</v>
      </c>
      <c r="B940" s="143" t="str">
        <f t="shared" si="276"/>
        <v>A</v>
      </c>
      <c r="C940" s="143" t="str">
        <f t="shared" si="277"/>
        <v>BERKAH-SEMARANG</v>
      </c>
      <c r="D940" s="145" t="s">
        <v>4448</v>
      </c>
      <c r="E940" s="145" t="str">
        <f>IFERROR(__xludf.DUMMYFUNCTION("vlookup(D940,IMPORTRANGE(""https://docs.google.com/spreadsheets/d/1swGwZOEqYlTEUCJLY-eeJM1911Kvaei5oySBIxdgtNo/edit?pli=1#gid=257618397"",""stock FAKTUR!B:C""),2,false)"),"PC MAGNIT AC-1762 (22X7.5)")</f>
        <v>PC MAGNIT AC-1762 (22X7.5)</v>
      </c>
      <c r="F940" s="145" t="str">
        <f>IFERROR(__xludf.DUMMYFUNCTION("vlookup($D940,IMPORTRANGE(""https://docs.google.com/spreadsheets/d/1swGwZOEqYlTEUCJLY-eeJM1911Kvaei5oySBIxdgtNo/edit?pli=1#gid=257618397"",""stock FAKTUR!B:d""),3,false)"),"")</f>
        <v/>
      </c>
      <c r="G940" s="145" t="str">
        <f>IFERROR(__xludf.DUMMYFUNCTION("vlookup($D940,IMPORTRANGE(""https://docs.google.com/spreadsheets/d/1swGwZOEqYlTEUCJLY-eeJM1911Kvaei5oySBIxdgtNo/edit?pli=1#gid=257618397"",""stock FAKTUR!B:e""),4,false)"),"")</f>
        <v/>
      </c>
      <c r="H940" s="145" t="str">
        <f>IFERROR(__xludf.DUMMYFUNCTION("vlookup($D940,IMPORTRANGE(""https://docs.google.com/spreadsheets/d/1swGwZOEqYlTEUCJLY-eeJM1911Kvaei5oySBIxdgtNo/edit?pli=1#gid=257618397"",""stock FAKTUR!B:F""),5,false)"),"NB")</f>
        <v>NB</v>
      </c>
      <c r="I940" s="145" t="str">
        <f>IFERROR(__xludf.DUMMYFUNCTION("vlookup($D940,IMPORTRANGE(""https://docs.google.com/spreadsheets/d/1swGwZOEqYlTEUCJLY-eeJM1911Kvaei5oySBIxdgtNo/edit?pli=1#gid=257618397"",""stock FAKTUR!B:G""),6,false)"),"AC-1762")</f>
        <v>AC-1762</v>
      </c>
      <c r="J940" s="199" t="str">
        <f t="shared" si="25"/>
        <v>ADA</v>
      </c>
      <c r="K940" s="142">
        <v>12.0</v>
      </c>
      <c r="L940" s="145" t="str">
        <f>IFERROR(__xludf.DUMMYFUNCTION("vlookup($D940,IMPORTRANGE(""https://docs.google.com/spreadsheets/d/1swGwZOEqYlTEUCJLY-eeJM1911Kvaei5oySBIxdgtNo/edit?pli=1#gid=257618397"",""stock FAKTUR!B:q""),16,false)"),"PCS")</f>
        <v>PCS</v>
      </c>
      <c r="M940" s="147">
        <f t="shared" ref="M940:M942" si="278">132000/12</f>
        <v>11000</v>
      </c>
      <c r="N940" s="148"/>
      <c r="O940" s="147">
        <f t="shared" si="232"/>
        <v>132000</v>
      </c>
      <c r="P940" s="147" t="str">
        <f t="shared" si="3"/>
        <v>Rp11,000-12 PCS-0.00%</v>
      </c>
      <c r="Q940" s="149">
        <v>45429.0</v>
      </c>
      <c r="R940" s="150"/>
      <c r="S940" s="149">
        <v>45430.0</v>
      </c>
      <c r="T940" s="151"/>
      <c r="U940" s="151"/>
      <c r="V940" s="151"/>
      <c r="W940" s="151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</row>
    <row r="941">
      <c r="A941" s="142">
        <v>4945.0</v>
      </c>
      <c r="B941" s="143" t="str">
        <f t="shared" si="276"/>
        <v>A</v>
      </c>
      <c r="C941" s="143" t="str">
        <f t="shared" si="277"/>
        <v>BERKAH-SEMARANG</v>
      </c>
      <c r="D941" s="145" t="s">
        <v>4383</v>
      </c>
      <c r="E941" s="145" t="str">
        <f>IFERROR(__xludf.DUMMYFUNCTION("vlookup(D941,IMPORTRANGE(""https://docs.google.com/spreadsheets/d/1swGwZOEqYlTEUCJLY-eeJM1911Kvaei5oySBIxdgtNo/edit?pli=1#gid=257618397"",""stock FAKTUR!B:C""),2,false)"),"PC MAGNIT C-1755-1 (22X7.5)")</f>
        <v>PC MAGNIT C-1755-1 (22X7.5)</v>
      </c>
      <c r="F941" s="145" t="str">
        <f>IFERROR(__xludf.DUMMYFUNCTION("vlookup($D941,IMPORTRANGE(""https://docs.google.com/spreadsheets/d/1swGwZOEqYlTEUCJLY-eeJM1911Kvaei5oySBIxdgtNo/edit?pli=1#gid=257618397"",""stock FAKTUR!B:d""),3,false)"),"")</f>
        <v/>
      </c>
      <c r="G941" s="145" t="str">
        <f>IFERROR(__xludf.DUMMYFUNCTION("vlookup($D941,IMPORTRANGE(""https://docs.google.com/spreadsheets/d/1swGwZOEqYlTEUCJLY-eeJM1911Kvaei5oySBIxdgtNo/edit?pli=1#gid=257618397"",""stock FAKTUR!B:e""),4,false)"),"")</f>
        <v/>
      </c>
      <c r="H941" s="145" t="str">
        <f>IFERROR(__xludf.DUMMYFUNCTION("vlookup($D941,IMPORTRANGE(""https://docs.google.com/spreadsheets/d/1swGwZOEqYlTEUCJLY-eeJM1911Kvaei5oySBIxdgtNo/edit?pli=1#gid=257618397"",""stock FAKTUR!B:F""),5,false)"),"NB")</f>
        <v>NB</v>
      </c>
      <c r="I941" s="145" t="str">
        <f>IFERROR(__xludf.DUMMYFUNCTION("vlookup($D941,IMPORTRANGE(""https://docs.google.com/spreadsheets/d/1swGwZOEqYlTEUCJLY-eeJM1911Kvaei5oySBIxdgtNo/edit?pli=1#gid=257618397"",""stock FAKTUR!B:G""),6,false)"),"")</f>
        <v/>
      </c>
      <c r="J941" s="199" t="str">
        <f t="shared" si="25"/>
        <v>ADA</v>
      </c>
      <c r="K941" s="142">
        <v>12.0</v>
      </c>
      <c r="L941" s="145" t="str">
        <f>IFERROR(__xludf.DUMMYFUNCTION("vlookup($D941,IMPORTRANGE(""https://docs.google.com/spreadsheets/d/1swGwZOEqYlTEUCJLY-eeJM1911Kvaei5oySBIxdgtNo/edit?pli=1#gid=257618397"",""stock FAKTUR!B:q""),16,false)"),"PCS")</f>
        <v>PCS</v>
      </c>
      <c r="M941" s="147">
        <f t="shared" si="278"/>
        <v>11000</v>
      </c>
      <c r="N941" s="148"/>
      <c r="O941" s="147">
        <f t="shared" si="232"/>
        <v>132000</v>
      </c>
      <c r="P941" s="147" t="str">
        <f t="shared" si="3"/>
        <v>Rp11,000-12 PCS-0.00%</v>
      </c>
      <c r="Q941" s="149">
        <v>45429.0</v>
      </c>
      <c r="R941" s="150"/>
      <c r="S941" s="149">
        <v>45430.0</v>
      </c>
      <c r="T941" s="151"/>
      <c r="U941" s="151"/>
      <c r="V941" s="151"/>
      <c r="W941" s="151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</row>
    <row r="942">
      <c r="A942" s="142">
        <v>4945.0</v>
      </c>
      <c r="B942" s="143" t="str">
        <f t="shared" si="276"/>
        <v>A</v>
      </c>
      <c r="C942" s="143" t="str">
        <f t="shared" si="277"/>
        <v>BERKAH-SEMARANG</v>
      </c>
      <c r="D942" s="145" t="s">
        <v>4384</v>
      </c>
      <c r="E942" s="145" t="str">
        <f>IFERROR(__xludf.DUMMYFUNCTION("vlookup(D942,IMPORTRANGE(""https://docs.google.com/spreadsheets/d/1swGwZOEqYlTEUCJLY-eeJM1911Kvaei5oySBIxdgtNo/edit?pli=1#gid=257618397"",""stock FAKTUR!B:C""),2,false)"),"PC MAGNIT FC-1757 (22X7.5)")</f>
        <v>PC MAGNIT FC-1757 (22X7.5)</v>
      </c>
      <c r="F942" s="145" t="str">
        <f>IFERROR(__xludf.DUMMYFUNCTION("vlookup($D942,IMPORTRANGE(""https://docs.google.com/spreadsheets/d/1swGwZOEqYlTEUCJLY-eeJM1911Kvaei5oySBIxdgtNo/edit?pli=1#gid=257618397"",""stock FAKTUR!B:d""),3,false)"),"")</f>
        <v/>
      </c>
      <c r="G942" s="145" t="str">
        <f>IFERROR(__xludf.DUMMYFUNCTION("vlookup($D942,IMPORTRANGE(""https://docs.google.com/spreadsheets/d/1swGwZOEqYlTEUCJLY-eeJM1911Kvaei5oySBIxdgtNo/edit?pli=1#gid=257618397"",""stock FAKTUR!B:e""),4,false)"),"")</f>
        <v/>
      </c>
      <c r="H942" s="145" t="str">
        <f>IFERROR(__xludf.DUMMYFUNCTION("vlookup($D942,IMPORTRANGE(""https://docs.google.com/spreadsheets/d/1swGwZOEqYlTEUCJLY-eeJM1911Kvaei5oySBIxdgtNo/edit?pli=1#gid=257618397"",""stock FAKTUR!B:F""),5,false)"),"NB")</f>
        <v>NB</v>
      </c>
      <c r="I942" s="145" t="str">
        <f>IFERROR(__xludf.DUMMYFUNCTION("vlookup($D942,IMPORTRANGE(""https://docs.google.com/spreadsheets/d/1swGwZOEqYlTEUCJLY-eeJM1911Kvaei5oySBIxdgtNo/edit?pli=1#gid=257618397"",""stock FAKTUR!B:G""),6,false)"),"")</f>
        <v/>
      </c>
      <c r="J942" s="199" t="str">
        <f t="shared" si="25"/>
        <v>ADA</v>
      </c>
      <c r="K942" s="142">
        <v>12.0</v>
      </c>
      <c r="L942" s="145" t="str">
        <f>IFERROR(__xludf.DUMMYFUNCTION("vlookup($D942,IMPORTRANGE(""https://docs.google.com/spreadsheets/d/1swGwZOEqYlTEUCJLY-eeJM1911Kvaei5oySBIxdgtNo/edit?pli=1#gid=257618397"",""stock FAKTUR!B:q""),16,false)"),"PCS")</f>
        <v>PCS</v>
      </c>
      <c r="M942" s="147">
        <f t="shared" si="278"/>
        <v>11000</v>
      </c>
      <c r="N942" s="148"/>
      <c r="O942" s="147">
        <f t="shared" si="232"/>
        <v>132000</v>
      </c>
      <c r="P942" s="147" t="str">
        <f t="shared" si="3"/>
        <v>Rp11,000-12 PCS-0.00%</v>
      </c>
      <c r="Q942" s="149">
        <v>45429.0</v>
      </c>
      <c r="R942" s="150"/>
      <c r="S942" s="149">
        <v>45430.0</v>
      </c>
      <c r="T942" s="151"/>
      <c r="U942" s="151"/>
      <c r="V942" s="151"/>
      <c r="W942" s="151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</row>
    <row r="943">
      <c r="A943" s="142">
        <v>4945.0</v>
      </c>
      <c r="B943" s="143" t="str">
        <f t="shared" si="276"/>
        <v>A</v>
      </c>
      <c r="C943" s="143" t="str">
        <f t="shared" si="277"/>
        <v>BERKAH-SEMARANG</v>
      </c>
      <c r="D943" s="145" t="s">
        <v>4567</v>
      </c>
      <c r="E943" s="145" t="str">
        <f>IFERROR(__xludf.DUMMYFUNCTION("vlookup(D943,IMPORTRANGE(""https://docs.google.com/spreadsheets/d/1swGwZOEqYlTEUCJLY-eeJM1911Kvaei5oySBIxdgtNo/edit?pli=1#gid=257618397"",""stock FAKTUR!B:C""),2,false)"),"PC MAGNIT FX-2275 (22X7.5) METALIK")</f>
        <v>PC MAGNIT FX-2275 (22X7.5) METALIK</v>
      </c>
      <c r="F943" s="145" t="str">
        <f>IFERROR(__xludf.DUMMYFUNCTION("vlookup($D943,IMPORTRANGE(""https://docs.google.com/spreadsheets/d/1swGwZOEqYlTEUCJLY-eeJM1911Kvaei5oySBIxdgtNo/edit?pli=1#gid=257618397"",""stock FAKTUR!B:d""),3,false)"),"")</f>
        <v/>
      </c>
      <c r="G943" s="145" t="str">
        <f>IFERROR(__xludf.DUMMYFUNCTION("vlookup($D943,IMPORTRANGE(""https://docs.google.com/spreadsheets/d/1swGwZOEqYlTEUCJLY-eeJM1911Kvaei5oySBIxdgtNo/edit?pli=1#gid=257618397"",""stock FAKTUR!B:e""),4,false)"),"")</f>
        <v/>
      </c>
      <c r="H943" s="145" t="str">
        <f>IFERROR(__xludf.DUMMYFUNCTION("vlookup($D943,IMPORTRANGE(""https://docs.google.com/spreadsheets/d/1swGwZOEqYlTEUCJLY-eeJM1911Kvaei5oySBIxdgtNo/edit?pli=1#gid=257618397"",""stock FAKTUR!B:F""),5,false)"),"NB")</f>
        <v>NB</v>
      </c>
      <c r="I943" s="145" t="str">
        <f>IFERROR(__xludf.DUMMYFUNCTION("vlookup($D943,IMPORTRANGE(""https://docs.google.com/spreadsheets/d/1swGwZOEqYlTEUCJLY-eeJM1911Kvaei5oySBIxdgtNo/edit?pli=1#gid=257618397"",""stock FAKTUR!B:G""),6,false)"),"FX-2275")</f>
        <v>FX-2275</v>
      </c>
      <c r="J943" s="199" t="str">
        <f t="shared" si="25"/>
        <v>ADA</v>
      </c>
      <c r="K943" s="142">
        <v>12.0</v>
      </c>
      <c r="L943" s="145" t="str">
        <f>IFERROR(__xludf.DUMMYFUNCTION("vlookup($D943,IMPORTRANGE(""https://docs.google.com/spreadsheets/d/1swGwZOEqYlTEUCJLY-eeJM1911Kvaei5oySBIxdgtNo/edit?pli=1#gid=257618397"",""stock FAKTUR!B:q""),16,false)"),"PCS")</f>
        <v>PCS</v>
      </c>
      <c r="M943" s="147">
        <f t="shared" ref="M943:M944" si="279">162000/12</f>
        <v>13500</v>
      </c>
      <c r="N943" s="148"/>
      <c r="O943" s="147">
        <f t="shared" si="232"/>
        <v>162000</v>
      </c>
      <c r="P943" s="147" t="str">
        <f t="shared" si="3"/>
        <v>Rp13,500-12 PCS-0.00%</v>
      </c>
      <c r="Q943" s="149">
        <v>45429.0</v>
      </c>
      <c r="R943" s="150"/>
      <c r="S943" s="149">
        <v>45430.0</v>
      </c>
      <c r="T943" s="151"/>
      <c r="U943" s="151"/>
      <c r="V943" s="151"/>
      <c r="W943" s="151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</row>
    <row r="944">
      <c r="A944" s="142">
        <v>4945.0</v>
      </c>
      <c r="B944" s="143" t="str">
        <f t="shared" si="276"/>
        <v>A</v>
      </c>
      <c r="C944" s="143" t="str">
        <f t="shared" si="277"/>
        <v>BERKAH-SEMARANG</v>
      </c>
      <c r="D944" s="145" t="s">
        <v>4566</v>
      </c>
      <c r="E944" s="145" t="str">
        <f>IFERROR(__xludf.DUMMYFUNCTION("vlookup(D944,IMPORTRANGE(""https://docs.google.com/spreadsheets/d/1swGwZOEqYlTEUCJLY-eeJM1911Kvaei5oySBIxdgtNo/edit?pli=1#gid=257618397"",""stock FAKTUR!B:C""),2,false)"),"PC MAGNIT FC-5223 3D (23X8.5)")</f>
        <v>PC MAGNIT FC-5223 3D (23X8.5)</v>
      </c>
      <c r="F944" s="145" t="str">
        <f>IFERROR(__xludf.DUMMYFUNCTION("vlookup($D944,IMPORTRANGE(""https://docs.google.com/spreadsheets/d/1swGwZOEqYlTEUCJLY-eeJM1911Kvaei5oySBIxdgtNo/edit?pli=1#gid=257618397"",""stock FAKTUR!B:d""),3,false)"),"")</f>
        <v/>
      </c>
      <c r="G944" s="145" t="str">
        <f>IFERROR(__xludf.DUMMYFUNCTION("vlookup($D944,IMPORTRANGE(""https://docs.google.com/spreadsheets/d/1swGwZOEqYlTEUCJLY-eeJM1911Kvaei5oySBIxdgtNo/edit?pli=1#gid=257618397"",""stock FAKTUR!B:e""),4,false)"),"")</f>
        <v/>
      </c>
      <c r="H944" s="145" t="str">
        <f>IFERROR(__xludf.DUMMYFUNCTION("vlookup($D944,IMPORTRANGE(""https://docs.google.com/spreadsheets/d/1swGwZOEqYlTEUCJLY-eeJM1911Kvaei5oySBIxdgtNo/edit?pli=1#gid=257618397"",""stock FAKTUR!B:F""),5,false)"),"NB")</f>
        <v>NB</v>
      </c>
      <c r="I944" s="145" t="str">
        <f>IFERROR(__xludf.DUMMYFUNCTION("vlookup($D944,IMPORTRANGE(""https://docs.google.com/spreadsheets/d/1swGwZOEqYlTEUCJLY-eeJM1911Kvaei5oySBIxdgtNo/edit?pli=1#gid=257618397"",""stock FAKTUR!B:G""),6,false)"),"")</f>
        <v/>
      </c>
      <c r="J944" s="199" t="str">
        <f t="shared" si="25"/>
        <v>ADA</v>
      </c>
      <c r="K944" s="142">
        <v>12.0</v>
      </c>
      <c r="L944" s="145" t="str">
        <f>IFERROR(__xludf.DUMMYFUNCTION("vlookup($D944,IMPORTRANGE(""https://docs.google.com/spreadsheets/d/1swGwZOEqYlTEUCJLY-eeJM1911Kvaei5oySBIxdgtNo/edit?pli=1#gid=257618397"",""stock FAKTUR!B:q""),16,false)"),"PCS")</f>
        <v>PCS</v>
      </c>
      <c r="M944" s="147">
        <f t="shared" si="279"/>
        <v>13500</v>
      </c>
      <c r="N944" s="148"/>
      <c r="O944" s="147">
        <f t="shared" si="232"/>
        <v>162000</v>
      </c>
      <c r="P944" s="147" t="str">
        <f t="shared" si="3"/>
        <v>Rp13,500-12 PCS-0.00%</v>
      </c>
      <c r="Q944" s="149">
        <v>45429.0</v>
      </c>
      <c r="R944" s="150"/>
      <c r="S944" s="149">
        <v>45430.0</v>
      </c>
      <c r="T944" s="151"/>
      <c r="U944" s="151"/>
      <c r="V944" s="151"/>
      <c r="W944" s="151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</row>
    <row r="945">
      <c r="A945" s="142">
        <v>4945.0</v>
      </c>
      <c r="B945" s="143" t="str">
        <f t="shared" si="276"/>
        <v>A</v>
      </c>
      <c r="C945" s="143" t="str">
        <f t="shared" si="277"/>
        <v>BERKAH-SEMARANG</v>
      </c>
      <c r="D945" s="145" t="s">
        <v>4447</v>
      </c>
      <c r="E945" s="145" t="str">
        <f>IFERROR(__xludf.DUMMYFUNCTION("vlookup(D945,IMPORTRANGE(""https://docs.google.com/spreadsheets/d/1swGwZOEqYlTEUCJLY-eeJM1911Kvaei5oySBIxdgtNo/edit?pli=1#gid=257618397"",""stock FAKTUR!B:C""),2,false)"),"PC MAGNIT FC-1758 (22X7.5)")</f>
        <v>PC MAGNIT FC-1758 (22X7.5)</v>
      </c>
      <c r="F945" s="145" t="str">
        <f>IFERROR(__xludf.DUMMYFUNCTION("vlookup($D945,IMPORTRANGE(""https://docs.google.com/spreadsheets/d/1swGwZOEqYlTEUCJLY-eeJM1911Kvaei5oySBIxdgtNo/edit?pli=1#gid=257618397"",""stock FAKTUR!B:d""),3,false)"),"")</f>
        <v/>
      </c>
      <c r="G945" s="145" t="str">
        <f>IFERROR(__xludf.DUMMYFUNCTION("vlookup($D945,IMPORTRANGE(""https://docs.google.com/spreadsheets/d/1swGwZOEqYlTEUCJLY-eeJM1911Kvaei5oySBIxdgtNo/edit?pli=1#gid=257618397"",""stock FAKTUR!B:e""),4,false)"),"")</f>
        <v/>
      </c>
      <c r="H945" s="145" t="str">
        <f>IFERROR(__xludf.DUMMYFUNCTION("vlookup($D945,IMPORTRANGE(""https://docs.google.com/spreadsheets/d/1swGwZOEqYlTEUCJLY-eeJM1911Kvaei5oySBIxdgtNo/edit?pli=1#gid=257618397"",""stock FAKTUR!B:F""),5,false)"),"NB")</f>
        <v>NB</v>
      </c>
      <c r="I945" s="145" t="str">
        <f>IFERROR(__xludf.DUMMYFUNCTION("vlookup($D945,IMPORTRANGE(""https://docs.google.com/spreadsheets/d/1swGwZOEqYlTEUCJLY-eeJM1911Kvaei5oySBIxdgtNo/edit?pli=1#gid=257618397"",""stock FAKTUR!B:G""),6,false)"),"")</f>
        <v/>
      </c>
      <c r="J945" s="199" t="str">
        <f t="shared" si="25"/>
        <v>ADA</v>
      </c>
      <c r="K945" s="142">
        <v>12.0</v>
      </c>
      <c r="L945" s="145" t="str">
        <f>IFERROR(__xludf.DUMMYFUNCTION("vlookup($D945,IMPORTRANGE(""https://docs.google.com/spreadsheets/d/1swGwZOEqYlTEUCJLY-eeJM1911Kvaei5oySBIxdgtNo/edit?pli=1#gid=257618397"",""stock FAKTUR!B:q""),16,false)"),"PCS")</f>
        <v>PCS</v>
      </c>
      <c r="M945" s="147">
        <f>132000/12</f>
        <v>11000</v>
      </c>
      <c r="N945" s="148"/>
      <c r="O945" s="147">
        <f t="shared" si="232"/>
        <v>132000</v>
      </c>
      <c r="P945" s="147" t="str">
        <f t="shared" si="3"/>
        <v>Rp11,000-12 PCS-0.00%</v>
      </c>
      <c r="Q945" s="149">
        <v>45429.0</v>
      </c>
      <c r="R945" s="150"/>
      <c r="S945" s="149">
        <v>45430.0</v>
      </c>
      <c r="T945" s="151"/>
      <c r="U945" s="151"/>
      <c r="V945" s="151"/>
      <c r="W945" s="151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</row>
    <row r="946">
      <c r="A946" s="142">
        <v>4945.0</v>
      </c>
      <c r="B946" s="143" t="str">
        <f t="shared" si="276"/>
        <v>A</v>
      </c>
      <c r="C946" s="143" t="str">
        <f t="shared" si="277"/>
        <v>BERKAH-SEMARANG</v>
      </c>
      <c r="D946" s="145" t="s">
        <v>4535</v>
      </c>
      <c r="E946" s="145" t="str">
        <f>IFERROR(__xludf.DUMMYFUNCTION("vlookup(D946,IMPORTRANGE(""https://docs.google.com/spreadsheets/d/1swGwZOEqYlTEUCJLY-eeJM1911Kvaei5oySBIxdgtNo/edit?pli=1#gid=257618397"",""stock FAKTUR!B:C""),2,false)"),"PC MAGNIT C-5212 3D (23X8.5)")</f>
        <v>PC MAGNIT C-5212 3D (23X8.5)</v>
      </c>
      <c r="F946" s="145" t="str">
        <f>IFERROR(__xludf.DUMMYFUNCTION("vlookup($D946,IMPORTRANGE(""https://docs.google.com/spreadsheets/d/1swGwZOEqYlTEUCJLY-eeJM1911Kvaei5oySBIxdgtNo/edit?pli=1#gid=257618397"",""stock FAKTUR!B:d""),3,false)"),"")</f>
        <v/>
      </c>
      <c r="G946" s="145" t="str">
        <f>IFERROR(__xludf.DUMMYFUNCTION("vlookup($D946,IMPORTRANGE(""https://docs.google.com/spreadsheets/d/1swGwZOEqYlTEUCJLY-eeJM1911Kvaei5oySBIxdgtNo/edit?pli=1#gid=257618397"",""stock FAKTUR!B:e""),4,false)"),"")</f>
        <v/>
      </c>
      <c r="H946" s="145" t="str">
        <f>IFERROR(__xludf.DUMMYFUNCTION("vlookup($D946,IMPORTRANGE(""https://docs.google.com/spreadsheets/d/1swGwZOEqYlTEUCJLY-eeJM1911Kvaei5oySBIxdgtNo/edit?pli=1#gid=257618397"",""stock FAKTUR!B:F""),5,false)"),"NB")</f>
        <v>NB</v>
      </c>
      <c r="I946" s="145" t="str">
        <f>IFERROR(__xludf.DUMMYFUNCTION("vlookup($D946,IMPORTRANGE(""https://docs.google.com/spreadsheets/d/1swGwZOEqYlTEUCJLY-eeJM1911Kvaei5oySBIxdgtNo/edit?pli=1#gid=257618397"",""stock FAKTUR!B:G""),6,false)"),"")</f>
        <v/>
      </c>
      <c r="J946" s="199" t="str">
        <f t="shared" si="25"/>
        <v>ADA</v>
      </c>
      <c r="K946" s="142">
        <v>12.0</v>
      </c>
      <c r="L946" s="145" t="str">
        <f>IFERROR(__xludf.DUMMYFUNCTION("vlookup($D946,IMPORTRANGE(""https://docs.google.com/spreadsheets/d/1swGwZOEqYlTEUCJLY-eeJM1911Kvaei5oySBIxdgtNo/edit?pli=1#gid=257618397"",""stock FAKTUR!B:q""),16,false)"),"PCS")</f>
        <v>PCS</v>
      </c>
      <c r="M946" s="147">
        <f>162000/12</f>
        <v>13500</v>
      </c>
      <c r="N946" s="148"/>
      <c r="O946" s="147">
        <f t="shared" si="232"/>
        <v>162000</v>
      </c>
      <c r="P946" s="147" t="str">
        <f t="shared" si="3"/>
        <v>Rp13,500-12 PCS-0.00%</v>
      </c>
      <c r="Q946" s="149">
        <v>45429.0</v>
      </c>
      <c r="R946" s="150"/>
      <c r="S946" s="149">
        <v>45430.0</v>
      </c>
      <c r="T946" s="151"/>
      <c r="U946" s="151"/>
      <c r="V946" s="151"/>
      <c r="W946" s="151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</row>
    <row r="947">
      <c r="A947" s="142">
        <v>4945.0</v>
      </c>
      <c r="B947" s="143" t="str">
        <f t="shared" si="276"/>
        <v>A</v>
      </c>
      <c r="C947" s="143" t="str">
        <f t="shared" si="277"/>
        <v>BERKAH-SEMARANG</v>
      </c>
      <c r="D947" s="145" t="s">
        <v>4396</v>
      </c>
      <c r="E947" s="145" t="str">
        <f>IFERROR(__xludf.DUMMYFUNCTION("vlookup(D947,IMPORTRANGE(""https://docs.google.com/spreadsheets/d/1swGwZOEqYlTEUCJLY-eeJM1911Kvaei5oySBIxdgtNo/edit?pli=1#gid=257618397"",""stock FAKTUR!B:C""),2,false)"),"STAPLER KENKO HD-10")</f>
        <v>STAPLER KENKO HD-10</v>
      </c>
      <c r="F947" s="145" t="str">
        <f>IFERROR(__xludf.DUMMYFUNCTION("vlookup($D947,IMPORTRANGE(""https://docs.google.com/spreadsheets/d/1swGwZOEqYlTEUCJLY-eeJM1911Kvaei5oySBIxdgtNo/edit?pli=1#gid=257618397"",""stock FAKTUR!B:d""),3,false)"),"")</f>
        <v/>
      </c>
      <c r="G947" s="145" t="str">
        <f>IFERROR(__xludf.DUMMYFUNCTION("vlookup($D947,IMPORTRANGE(""https://docs.google.com/spreadsheets/d/1swGwZOEqYlTEUCJLY-eeJM1911Kvaei5oySBIxdgtNo/edit?pli=1#gid=257618397"",""stock FAKTUR!B:e""),4,false)"),"")</f>
        <v/>
      </c>
      <c r="H947" s="145" t="str">
        <f>IFERROR(__xludf.DUMMYFUNCTION("vlookup($D947,IMPORTRANGE(""https://docs.google.com/spreadsheets/d/1swGwZOEqYlTEUCJLY-eeJM1911Kvaei5oySBIxdgtNo/edit?pli=1#gid=257618397"",""stock FAKTUR!B:F""),5,false)"),"KN")</f>
        <v>KN</v>
      </c>
      <c r="I947" s="145" t="str">
        <f>IFERROR(__xludf.DUMMYFUNCTION("vlookup($D947,IMPORTRANGE(""https://docs.google.com/spreadsheets/d/1swGwZOEqYlTEUCJLY-eeJM1911Kvaei5oySBIxdgtNo/edit?pli=1#gid=257618397"",""stock FAKTUR!B:G""),6,false)"),"HD-10")</f>
        <v>HD-10</v>
      </c>
      <c r="J947" s="199" t="str">
        <f t="shared" si="25"/>
        <v>ADA</v>
      </c>
      <c r="K947" s="142">
        <v>20.0</v>
      </c>
      <c r="L947" s="145" t="str">
        <f>IFERROR(__xludf.DUMMYFUNCTION("vlookup($D947,IMPORTRANGE(""https://docs.google.com/spreadsheets/d/1swGwZOEqYlTEUCJLY-eeJM1911Kvaei5oySBIxdgtNo/edit?pli=1#gid=257618397"",""stock FAKTUR!B:q""),16,false)"),"LSN")</f>
        <v>LSN</v>
      </c>
      <c r="M947" s="147">
        <v>93000.0</v>
      </c>
      <c r="N947" s="152">
        <v>0.125</v>
      </c>
      <c r="O947" s="147">
        <f t="shared" si="232"/>
        <v>1627500</v>
      </c>
      <c r="P947" s="147" t="str">
        <f t="shared" si="3"/>
        <v>Rp93,000-20 LSN-12.50%</v>
      </c>
      <c r="Q947" s="149">
        <v>45429.0</v>
      </c>
      <c r="R947" s="150"/>
      <c r="S947" s="149">
        <v>45430.0</v>
      </c>
      <c r="T947" s="151"/>
      <c r="U947" s="151"/>
      <c r="V947" s="151"/>
      <c r="W947" s="151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</row>
    <row r="948">
      <c r="A948" s="142">
        <v>4945.0</v>
      </c>
      <c r="B948" s="143" t="str">
        <f t="shared" si="276"/>
        <v>A</v>
      </c>
      <c r="C948" s="143" t="str">
        <f t="shared" si="277"/>
        <v>BERKAH-SEMARANG</v>
      </c>
      <c r="D948" s="159" t="s">
        <v>4703</v>
      </c>
      <c r="E948" s="145" t="str">
        <f>IFERROR(__xludf.DUMMYFUNCTION("vlookup(D948,IMPORTRANGE(""https://docs.google.com/spreadsheets/d/1swGwZOEqYlTEUCJLY-eeJM1911Kvaei5oySBIxdgtNo/edit?pli=1#gid=257618397"",""stock FAKTUR!B:C""),2,false)"),"ASAHAN KENKO SP-71 S KECIL")</f>
        <v>ASAHAN KENKO SP-71 S KECIL</v>
      </c>
      <c r="F948" s="145" t="str">
        <f>IFERROR(__xludf.DUMMYFUNCTION("vlookup($D948,IMPORTRANGE(""https://docs.google.com/spreadsheets/d/1swGwZOEqYlTEUCJLY-eeJM1911Kvaei5oySBIxdgtNo/edit?pli=1#gid=257618397"",""stock FAKTUR!B:d""),3,false)"),"K")</f>
        <v>K</v>
      </c>
      <c r="G948" s="145" t="str">
        <f>IFERROR(__xludf.DUMMYFUNCTION("vlookup($D948,IMPORTRANGE(""https://docs.google.com/spreadsheets/d/1swGwZOEqYlTEUCJLY-eeJM1911Kvaei5oySBIxdgtNo/edit?pli=1#gid=257618397"",""stock FAKTUR!B:e""),4,false)"),"")</f>
        <v/>
      </c>
      <c r="H948" s="145" t="str">
        <f>IFERROR(__xludf.DUMMYFUNCTION("vlookup($D948,IMPORTRANGE(""https://docs.google.com/spreadsheets/d/1swGwZOEqYlTEUCJLY-eeJM1911Kvaei5oySBIxdgtNo/edit?pli=1#gid=257618397"",""stock FAKTUR!B:F""),5,false)"),"KN")</f>
        <v>KN</v>
      </c>
      <c r="I948" s="145" t="str">
        <f>IFERROR(__xludf.DUMMYFUNCTION("vlookup($D948,IMPORTRANGE(""https://docs.google.com/spreadsheets/d/1swGwZOEqYlTEUCJLY-eeJM1911Kvaei5oySBIxdgtNo/edit?pli=1#gid=257618397"",""stock FAKTUR!B:G""),6,false)"),"")</f>
        <v/>
      </c>
      <c r="J948" s="199" t="str">
        <f t="shared" si="25"/>
        <v>ADA</v>
      </c>
      <c r="K948" s="142">
        <v>24.0</v>
      </c>
      <c r="L948" s="145" t="str">
        <f>IFERROR(__xludf.DUMMYFUNCTION("vlookup($D948,IMPORTRANGE(""https://docs.google.com/spreadsheets/d/1swGwZOEqYlTEUCJLY-eeJM1911Kvaei5oySBIxdgtNo/edit?pli=1#gid=257618397"",""stock FAKTUR!B:q""),16,false)"),"BOX")</f>
        <v>BOX</v>
      </c>
      <c r="M948" s="147">
        <v>15900.0</v>
      </c>
      <c r="N948" s="152">
        <v>0.1</v>
      </c>
      <c r="O948" s="147">
        <f t="shared" si="232"/>
        <v>343440</v>
      </c>
      <c r="P948" s="147" t="str">
        <f t="shared" si="3"/>
        <v>Rp15,900-24 BOX-10.00%</v>
      </c>
      <c r="Q948" s="149">
        <v>45429.0</v>
      </c>
      <c r="R948" s="150"/>
      <c r="S948" s="149">
        <v>45430.0</v>
      </c>
      <c r="T948" s="151"/>
      <c r="U948" s="151"/>
      <c r="V948" s="151"/>
      <c r="W948" s="151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</row>
    <row r="949">
      <c r="A949" s="142">
        <v>241.0</v>
      </c>
      <c r="B949" s="143" t="str">
        <f t="shared" si="276"/>
        <v/>
      </c>
      <c r="C949" s="143" t="s">
        <v>4518</v>
      </c>
      <c r="D949" s="145" t="s">
        <v>4818</v>
      </c>
      <c r="E949" s="145" t="str">
        <f>IFERROR(__xludf.DUMMYFUNCTION("vlookup(D949,IMPORTRANGE(""https://docs.google.com/spreadsheets/d/1swGwZOEqYlTEUCJLY-eeJM1911Kvaei5oySBIxdgtNo/edit?pli=1#gid=257618397"",""stock FAKTUR!B:C""),2,false)"),"CALCULATOR JK PKC-0711 HC")</f>
        <v>CALCULATOR JK PKC-0711 HC</v>
      </c>
      <c r="F949" s="145" t="str">
        <f>IFERROR(__xludf.DUMMYFUNCTION("vlookup($D949,IMPORTRANGE(""https://docs.google.com/spreadsheets/d/1swGwZOEqYlTEUCJLY-eeJM1911Kvaei5oySBIxdgtNo/edit?pli=1#gid=257618397"",""stock FAKTUR!B:d""),3,false)"),"")</f>
        <v/>
      </c>
      <c r="G949" s="145" t="str">
        <f>IFERROR(__xludf.DUMMYFUNCTION("vlookup($D949,IMPORTRANGE(""https://docs.google.com/spreadsheets/d/1swGwZOEqYlTEUCJLY-eeJM1911Kvaei5oySBIxdgtNo/edit?pli=1#gid=257618397"",""stock FAKTUR!B:e""),4,false)"),"")</f>
        <v/>
      </c>
      <c r="H949" s="145" t="str">
        <f>IFERROR(__xludf.DUMMYFUNCTION("vlookup($D949,IMPORTRANGE(""https://docs.google.com/spreadsheets/d/1swGwZOEqYlTEUCJLY-eeJM1911Kvaei5oySBIxdgtNo/edit?pli=1#gid=257618397"",""stock FAKTUR!B:F""),5,false)"),"JK")</f>
        <v>JK</v>
      </c>
      <c r="I949" s="145" t="str">
        <f>IFERROR(__xludf.DUMMYFUNCTION("vlookup($D949,IMPORTRANGE(""https://docs.google.com/spreadsheets/d/1swGwZOEqYlTEUCJLY-eeJM1911Kvaei5oySBIxdgtNo/edit?pli=1#gid=257618397"",""stock FAKTUR!B:G""),6,false)"),"PKC-0711")</f>
        <v>PKC-0711</v>
      </c>
      <c r="J949" s="199" t="str">
        <f t="shared" si="25"/>
        <v>ADA</v>
      </c>
      <c r="K949" s="142">
        <v>4.0</v>
      </c>
      <c r="L949" s="145" t="str">
        <f>IFERROR(__xludf.DUMMYFUNCTION("vlookup($D949,IMPORTRANGE(""https://docs.google.com/spreadsheets/d/1swGwZOEqYlTEUCJLY-eeJM1911Kvaei5oySBIxdgtNo/edit?pli=1#gid=257618397"",""stock FAKTUR!B:q""),16,false)"),"PCS")</f>
        <v>PCS</v>
      </c>
      <c r="M949" s="147">
        <v>28000.0</v>
      </c>
      <c r="N949" s="152">
        <v>0.125</v>
      </c>
      <c r="O949" s="147">
        <f>(K949*M949)-((M949*K949)*N949)-4900</f>
        <v>93100</v>
      </c>
      <c r="P949" s="147" t="str">
        <f t="shared" si="3"/>
        <v>Rp28,000-4 PCS-12.50%</v>
      </c>
      <c r="Q949" s="149">
        <v>45429.0</v>
      </c>
      <c r="R949" s="150"/>
      <c r="S949" s="149">
        <v>45432.0</v>
      </c>
      <c r="T949" s="151"/>
      <c r="U949" s="151"/>
      <c r="V949" s="151"/>
      <c r="W949" s="151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</row>
    <row r="950">
      <c r="A950" s="142">
        <v>4919.0</v>
      </c>
      <c r="B950" s="143" t="s">
        <v>65</v>
      </c>
      <c r="C950" s="143" t="s">
        <v>4819</v>
      </c>
      <c r="D950" s="145" t="s">
        <v>4618</v>
      </c>
      <c r="E950" s="145" t="str">
        <f>IFERROR(__xludf.DUMMYFUNCTION("vlookup(D950,IMPORTRANGE(""https://docs.google.com/spreadsheets/d/1swGwZOEqYlTEUCJLY-eeJM1911Kvaei5oySBIxdgtNo/edit?pli=1#gid=257618397"",""stock FAKTUR!B:C""),2,false)"),"MIKA LAMINATING VANCO LF-100 FOLIO")</f>
        <v>MIKA LAMINATING VANCO LF-100 FOLIO</v>
      </c>
      <c r="F950" s="145" t="str">
        <f>IFERROR(__xludf.DUMMYFUNCTION("vlookup($D950,IMPORTRANGE(""https://docs.google.com/spreadsheets/d/1swGwZOEqYlTEUCJLY-eeJM1911Kvaei5oySBIxdgtNo/edit?pli=1#gid=257618397"",""stock FAKTUR!B:d""),3,false)"),"")</f>
        <v/>
      </c>
      <c r="G950" s="145" t="str">
        <f>IFERROR(__xludf.DUMMYFUNCTION("vlookup($D950,IMPORTRANGE(""https://docs.google.com/spreadsheets/d/1swGwZOEqYlTEUCJLY-eeJM1911Kvaei5oySBIxdgtNo/edit?pli=1#gid=257618397"",""stock FAKTUR!B:e""),4,false)"),"")</f>
        <v/>
      </c>
      <c r="H950" s="145" t="str">
        <f>IFERROR(__xludf.DUMMYFUNCTION("vlookup($D950,IMPORTRANGE(""https://docs.google.com/spreadsheets/d/1swGwZOEqYlTEUCJLY-eeJM1911Kvaei5oySBIxdgtNo/edit?pli=1#gid=257618397"",""stock FAKTUR!B:F""),5,false)"),"VN")</f>
        <v>VN</v>
      </c>
      <c r="I950" s="145" t="str">
        <f>IFERROR(__xludf.DUMMYFUNCTION("vlookup($D950,IMPORTRANGE(""https://docs.google.com/spreadsheets/d/1swGwZOEqYlTEUCJLY-eeJM1911Kvaei5oySBIxdgtNo/edit?pli=1#gid=257618397"",""stock FAKTUR!B:G""),6,false)"),"LF-100")</f>
        <v>LF-100</v>
      </c>
      <c r="J950" s="199" t="str">
        <f t="shared" si="25"/>
        <v>ADA</v>
      </c>
      <c r="K950" s="142">
        <v>20.0</v>
      </c>
      <c r="L950" s="145" t="str">
        <f>IFERROR(__xludf.DUMMYFUNCTION("vlookup($D950,IMPORTRANGE(""https://docs.google.com/spreadsheets/d/1swGwZOEqYlTEUCJLY-eeJM1911Kvaei5oySBIxdgtNo/edit?pli=1#gid=257618397"",""stock FAKTUR!B:q""),16,false)"),"PAK")</f>
        <v>PAK</v>
      </c>
      <c r="M950" s="147">
        <v>67500.0</v>
      </c>
      <c r="N950" s="148"/>
      <c r="O950" s="147">
        <f t="shared" ref="O950:O1202" si="280">(K950*M950)-((M950*K950)*N950)</f>
        <v>1350000</v>
      </c>
      <c r="P950" s="147" t="str">
        <f t="shared" si="3"/>
        <v>Rp67,500-20 PAK-0.00%</v>
      </c>
      <c r="Q950" s="149">
        <v>45426.0</v>
      </c>
      <c r="R950" s="150"/>
      <c r="S950" s="149">
        <v>45432.0</v>
      </c>
      <c r="T950" s="151"/>
      <c r="U950" s="151"/>
      <c r="V950" s="151"/>
      <c r="W950" s="151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</row>
    <row r="951">
      <c r="A951" s="142">
        <v>4946.0</v>
      </c>
      <c r="B951" s="143" t="s">
        <v>33</v>
      </c>
      <c r="C951" s="143" t="s">
        <v>115</v>
      </c>
      <c r="D951" s="145" t="s">
        <v>4580</v>
      </c>
      <c r="E951" s="145" t="str">
        <f>IFERROR(__xludf.DUMMYFUNCTION("vlookup(D951,IMPORTRANGE(""https://docs.google.com/spreadsheets/d/1swGwZOEqYlTEUCJLY-eeJM1911Kvaei5oySBIxdgtNo/edit?pli=1#gid=257618397"",""stock FAKTUR!B:C""),2,false)"),"OIL PASTEL TITI 55W TI-P-55 S")</f>
        <v>OIL PASTEL TITI 55W TI-P-55 S</v>
      </c>
      <c r="F951" s="145" t="str">
        <f>IFERROR(__xludf.DUMMYFUNCTION("vlookup($D951,IMPORTRANGE(""https://docs.google.com/spreadsheets/d/1swGwZOEqYlTEUCJLY-eeJM1911Kvaei5oySBIxdgtNo/edit?pli=1#gid=257618397"",""stock FAKTUR!B:d""),3,false)"),"")</f>
        <v/>
      </c>
      <c r="G951" s="145" t="str">
        <f>IFERROR(__xludf.DUMMYFUNCTION("vlookup($D951,IMPORTRANGE(""https://docs.google.com/spreadsheets/d/1swGwZOEqYlTEUCJLY-eeJM1911Kvaei5oySBIxdgtNo/edit?pli=1#gid=257618397"",""stock FAKTUR!B:e""),4,false)"),"55W")</f>
        <v>55W</v>
      </c>
      <c r="H951" s="145" t="str">
        <f>IFERROR(__xludf.DUMMYFUNCTION("vlookup($D951,IMPORTRANGE(""https://docs.google.com/spreadsheets/d/1swGwZOEqYlTEUCJLY-eeJM1911Kvaei5oySBIxdgtNo/edit?pli=1#gid=257618397"",""stock FAKTUR!B:F""),5,false)"),"TT")</f>
        <v>TT</v>
      </c>
      <c r="I951" s="145" t="str">
        <f>IFERROR(__xludf.DUMMYFUNCTION("vlookup($D951,IMPORTRANGE(""https://docs.google.com/spreadsheets/d/1swGwZOEqYlTEUCJLY-eeJM1911Kvaei5oySBIxdgtNo/edit?pli=1#gid=257618397"",""stock FAKTUR!B:G""),6,false)"),"")</f>
        <v/>
      </c>
      <c r="J951" s="199" t="str">
        <f t="shared" si="25"/>
        <v>ADA</v>
      </c>
      <c r="K951" s="142">
        <v>4.0</v>
      </c>
      <c r="L951" s="145" t="str">
        <f>IFERROR(__xludf.DUMMYFUNCTION("vlookup($D951,IMPORTRANGE(""https://docs.google.com/spreadsheets/d/1swGwZOEqYlTEUCJLY-eeJM1911Kvaei5oySBIxdgtNo/edit?pli=1#gid=257618397"",""stock FAKTUR!B:q""),16,false)"),"BOX")</f>
        <v>BOX</v>
      </c>
      <c r="M951" s="147">
        <f>76000*6</f>
        <v>456000</v>
      </c>
      <c r="N951" s="152">
        <v>0.1</v>
      </c>
      <c r="O951" s="147">
        <f t="shared" si="280"/>
        <v>1641600</v>
      </c>
      <c r="P951" s="147" t="str">
        <f t="shared" si="3"/>
        <v>Rp456,000-4 BOX-10.00%</v>
      </c>
      <c r="Q951" s="149">
        <v>45429.0</v>
      </c>
      <c r="R951" s="150"/>
      <c r="S951" s="149">
        <v>45432.0</v>
      </c>
      <c r="T951" s="151"/>
      <c r="U951" s="151"/>
      <c r="V951" s="151"/>
      <c r="W951" s="151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</row>
    <row r="952">
      <c r="A952" s="142">
        <v>4952.0</v>
      </c>
      <c r="B952" s="143" t="s">
        <v>33</v>
      </c>
      <c r="C952" s="143" t="s">
        <v>4590</v>
      </c>
      <c r="D952" s="145" t="s">
        <v>4514</v>
      </c>
      <c r="E952" s="145" t="str">
        <f>IFERROR(__xludf.DUMMYFUNCTION("vlookup(D952,IMPORTRANGE(""https://docs.google.com/spreadsheets/d/1swGwZOEqYlTEUCJLY-eeJM1911Kvaei5oySBIxdgtNo/edit?pli=1#gid=257618397"",""stock FAKTUR!B:C""),2,false)"),"TAPE DISPENSER KENKO TD-323")</f>
        <v>TAPE DISPENSER KENKO TD-323</v>
      </c>
      <c r="F952" s="145" t="str">
        <f>IFERROR(__xludf.DUMMYFUNCTION("vlookup($D952,IMPORTRANGE(""https://docs.google.com/spreadsheets/d/1swGwZOEqYlTEUCJLY-eeJM1911Kvaei5oySBIxdgtNo/edit?pli=1#gid=257618397"",""stock FAKTUR!B:d""),3,false)"),"")</f>
        <v/>
      </c>
      <c r="G952" s="145" t="str">
        <f>IFERROR(__xludf.DUMMYFUNCTION("vlookup($D952,IMPORTRANGE(""https://docs.google.com/spreadsheets/d/1swGwZOEqYlTEUCJLY-eeJM1911Kvaei5oySBIxdgtNo/edit?pli=1#gid=257618397"",""stock FAKTUR!B:e""),4,false)"),"")</f>
        <v/>
      </c>
      <c r="H952" s="145" t="str">
        <f>IFERROR(__xludf.DUMMYFUNCTION("vlookup($D952,IMPORTRANGE(""https://docs.google.com/spreadsheets/d/1swGwZOEqYlTEUCJLY-eeJM1911Kvaei5oySBIxdgtNo/edit?pli=1#gid=257618397"",""stock FAKTUR!B:F""),5,false)"),"KN")</f>
        <v>KN</v>
      </c>
      <c r="I952" s="145" t="str">
        <f>IFERROR(__xludf.DUMMYFUNCTION("vlookup($D952,IMPORTRANGE(""https://docs.google.com/spreadsheets/d/1swGwZOEqYlTEUCJLY-eeJM1911Kvaei5oySBIxdgtNo/edit?pli=1#gid=257618397"",""stock FAKTUR!B:G""),6,false)"),"TPD-006")</f>
        <v>TPD-006</v>
      </c>
      <c r="J952" s="199" t="str">
        <f t="shared" si="25"/>
        <v>ADA</v>
      </c>
      <c r="K952" s="142">
        <v>96.0</v>
      </c>
      <c r="L952" s="145" t="str">
        <f>IFERROR(__xludf.DUMMYFUNCTION("vlookup($D952,IMPORTRANGE(""https://docs.google.com/spreadsheets/d/1swGwZOEqYlTEUCJLY-eeJM1911Kvaei5oySBIxdgtNo/edit?pli=1#gid=257618397"",""stock FAKTUR!B:q""),16,false)"),"PCS")</f>
        <v>PCS</v>
      </c>
      <c r="M952" s="147">
        <v>19250.0</v>
      </c>
      <c r="N952" s="152">
        <v>0.13</v>
      </c>
      <c r="O952" s="147">
        <f t="shared" si="280"/>
        <v>1607760</v>
      </c>
      <c r="P952" s="147" t="str">
        <f t="shared" si="3"/>
        <v>Rp19,250-96 PCS-13.00%</v>
      </c>
      <c r="Q952" s="149">
        <v>45430.0</v>
      </c>
      <c r="R952" s="150"/>
      <c r="S952" s="149">
        <v>45432.0</v>
      </c>
      <c r="T952" s="151"/>
      <c r="U952" s="151"/>
      <c r="V952" s="151"/>
      <c r="W952" s="151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</row>
    <row r="953">
      <c r="A953" s="142">
        <v>4936.0</v>
      </c>
      <c r="B953" s="143" t="s">
        <v>33</v>
      </c>
      <c r="C953" s="143" t="s">
        <v>3766</v>
      </c>
      <c r="D953" s="193" t="s">
        <v>4820</v>
      </c>
      <c r="E953" s="145" t="str">
        <f>IFERROR(__xludf.DUMMYFUNCTION("vlookup(D953,IMPORTRANGE(""https://docs.google.com/spreadsheets/d/1swGwZOEqYlTEUCJLY-eeJM1911Kvaei5oySBIxdgtNo/edit?pli=1#gid=257618397"",""stock FAKTUR!B:C""),2,false)"),"STAPLER SDI 1104")</f>
        <v>STAPLER SDI 1104</v>
      </c>
      <c r="F953" s="200" t="str">
        <f>IFERROR(__xludf.DUMMYFUNCTION("vlookup($D953,IMPORTRANGE(""https://docs.google.com/spreadsheets/d/1swGwZOEqYlTEUCJLY-eeJM1911Kvaei5oySBIxdgtNo/edit?pli=1#gid=257618397"",""stock FAKTUR!B:d""),3,false)"),"")</f>
        <v/>
      </c>
      <c r="G953" s="200" t="str">
        <f>IFERROR(__xludf.DUMMYFUNCTION("vlookup($D953,IMPORTRANGE(""https://docs.google.com/spreadsheets/d/1swGwZOEqYlTEUCJLY-eeJM1911Kvaei5oySBIxdgtNo/edit?pli=1#gid=257618397"",""stock FAKTUR!B:e""),4,false)"),"")</f>
        <v/>
      </c>
      <c r="H953" s="200" t="str">
        <f>IFERROR(__xludf.DUMMYFUNCTION("vlookup($D953,IMPORTRANGE(""https://docs.google.com/spreadsheets/d/1swGwZOEqYlTEUCJLY-eeJM1911Kvaei5oySBIxdgtNo/edit?pli=1#gid=257618397"",""stock FAKTUR!B:F""),5,false)"),"SDI")</f>
        <v>SDI</v>
      </c>
      <c r="I953" s="200" t="str">
        <f>IFERROR(__xludf.DUMMYFUNCTION("vlookup($D953,IMPORTRANGE(""https://docs.google.com/spreadsheets/d/1swGwZOEqYlTEUCJLY-eeJM1911Kvaei5oySBIxdgtNo/edit?pli=1#gid=257618397"",""stock FAKTUR!B:G""),6,false)"),"")</f>
        <v/>
      </c>
      <c r="J953" s="199" t="str">
        <f t="shared" si="25"/>
        <v>ADA</v>
      </c>
      <c r="K953" s="142">
        <v>1.0</v>
      </c>
      <c r="L953" s="145" t="str">
        <f>IFERROR(__xludf.DUMMYFUNCTION("vlookup($D953,IMPORTRANGE(""https://docs.google.com/spreadsheets/d/1swGwZOEqYlTEUCJLY-eeJM1911Kvaei5oySBIxdgtNo/edit?pli=1#gid=257618397"",""stock FAKTUR!B:q""),16,false)"),"LSN")</f>
        <v>LSN</v>
      </c>
      <c r="M953" s="147">
        <v>250000.0</v>
      </c>
      <c r="N953" s="148"/>
      <c r="O953" s="147">
        <f t="shared" si="280"/>
        <v>250000</v>
      </c>
      <c r="P953" s="147" t="str">
        <f t="shared" si="3"/>
        <v>Rp250,000-1 LSN-0.00%</v>
      </c>
      <c r="Q953" s="149">
        <v>45430.0</v>
      </c>
      <c r="R953" s="149">
        <v>45427.0</v>
      </c>
      <c r="S953" s="149">
        <v>45432.0</v>
      </c>
      <c r="T953" s="194" t="s">
        <v>4508</v>
      </c>
      <c r="U953" s="192" t="s">
        <v>4390</v>
      </c>
      <c r="V953" s="151"/>
      <c r="W953" s="151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</row>
    <row r="954">
      <c r="A954" s="142">
        <v>4936.0</v>
      </c>
      <c r="B954" s="143" t="str">
        <f t="shared" ref="B954:B955" si="281">IF(A954=A953,B953,"")</f>
        <v>H</v>
      </c>
      <c r="C954" s="143" t="str">
        <f t="shared" ref="C954:C955" si="282">IF(A954=A953,C953,"")</f>
        <v>IKA-PURBALINGGA</v>
      </c>
      <c r="D954" s="193" t="s">
        <v>4821</v>
      </c>
      <c r="E954" s="145" t="str">
        <f>IFERROR(__xludf.DUMMYFUNCTION("vlookup(D954,IMPORTRANGE(""https://docs.google.com/spreadsheets/d/1swGwZOEqYlTEUCJLY-eeJM1911Kvaei5oySBIxdgtNo/edit?pli=1#gid=257618397"",""stock FAKTUR!B:C""),2,false)"),"STAPLER SDI 1105")</f>
        <v>STAPLER SDI 1105</v>
      </c>
      <c r="F954" s="200" t="str">
        <f>IFERROR(__xludf.DUMMYFUNCTION("vlookup($D954,IMPORTRANGE(""https://docs.google.com/spreadsheets/d/1swGwZOEqYlTEUCJLY-eeJM1911Kvaei5oySBIxdgtNo/edit?pli=1#gid=257618397"",""stock FAKTUR!B:d""),3,false)"),"")</f>
        <v/>
      </c>
      <c r="G954" s="200" t="str">
        <f>IFERROR(__xludf.DUMMYFUNCTION("vlookup($D954,IMPORTRANGE(""https://docs.google.com/spreadsheets/d/1swGwZOEqYlTEUCJLY-eeJM1911Kvaei5oySBIxdgtNo/edit?pli=1#gid=257618397"",""stock FAKTUR!B:e""),4,false)"),"")</f>
        <v/>
      </c>
      <c r="H954" s="200" t="str">
        <f>IFERROR(__xludf.DUMMYFUNCTION("vlookup($D954,IMPORTRANGE(""https://docs.google.com/spreadsheets/d/1swGwZOEqYlTEUCJLY-eeJM1911Kvaei5oySBIxdgtNo/edit?pli=1#gid=257618397"",""stock FAKTUR!B:F""),5,false)"),"SDI")</f>
        <v>SDI</v>
      </c>
      <c r="I954" s="200" t="str">
        <f>IFERROR(__xludf.DUMMYFUNCTION("vlookup($D954,IMPORTRANGE(""https://docs.google.com/spreadsheets/d/1swGwZOEqYlTEUCJLY-eeJM1911Kvaei5oySBIxdgtNo/edit?pli=1#gid=257618397"",""stock FAKTUR!B:G""),6,false)"),"")</f>
        <v/>
      </c>
      <c r="J954" s="199" t="str">
        <f t="shared" si="25"/>
        <v>ADA</v>
      </c>
      <c r="K954" s="142">
        <v>1.0</v>
      </c>
      <c r="L954" s="145" t="str">
        <f>IFERROR(__xludf.DUMMYFUNCTION("vlookup($D954,IMPORTRANGE(""https://docs.google.com/spreadsheets/d/1swGwZOEqYlTEUCJLY-eeJM1911Kvaei5oySBIxdgtNo/edit?pli=1#gid=257618397"",""stock FAKTUR!B:q""),16,false)"),"LSN")</f>
        <v>LSN</v>
      </c>
      <c r="M954" s="147">
        <v>240000.0</v>
      </c>
      <c r="N954" s="148"/>
      <c r="O954" s="147">
        <f t="shared" si="280"/>
        <v>240000</v>
      </c>
      <c r="P954" s="147" t="str">
        <f t="shared" si="3"/>
        <v>Rp240,000-1 LSN-0.00%</v>
      </c>
      <c r="Q954" s="149">
        <v>45430.0</v>
      </c>
      <c r="R954" s="149">
        <v>45427.0</v>
      </c>
      <c r="S954" s="149">
        <v>45432.0</v>
      </c>
      <c r="T954" s="194" t="s">
        <v>4508</v>
      </c>
      <c r="U954" s="192" t="s">
        <v>4390</v>
      </c>
      <c r="V954" s="151"/>
      <c r="W954" s="151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</row>
    <row r="955">
      <c r="A955" s="142">
        <v>4936.0</v>
      </c>
      <c r="B955" s="143" t="str">
        <f t="shared" si="281"/>
        <v>H</v>
      </c>
      <c r="C955" s="143" t="str">
        <f t="shared" si="282"/>
        <v>IKA-PURBALINGGA</v>
      </c>
      <c r="D955" s="145" t="s">
        <v>4428</v>
      </c>
      <c r="E955" s="145" t="str">
        <f>IFERROR(__xludf.DUMMYFUNCTION("vlookup(D955,IMPORTRANGE(""https://docs.google.com/spreadsheets/d/1swGwZOEqYlTEUCJLY-eeJM1911Kvaei5oySBIxdgtNo/edit?pli=1#gid=257618397"",""stock FAKTUR!B:C""),2,false)"),"ISI STAPLER GW NO. 10")</f>
        <v>ISI STAPLER GW NO. 10</v>
      </c>
      <c r="F955" s="145" t="str">
        <f>IFERROR(__xludf.DUMMYFUNCTION("vlookup($D955,IMPORTRANGE(""https://docs.google.com/spreadsheets/d/1swGwZOEqYlTEUCJLY-eeJM1911Kvaei5oySBIxdgtNo/edit?pli=1#gid=257618397"",""stock FAKTUR!B:d""),3,false)"),"")</f>
        <v/>
      </c>
      <c r="G955" s="145" t="str">
        <f>IFERROR(__xludf.DUMMYFUNCTION("vlookup($D955,IMPORTRANGE(""https://docs.google.com/spreadsheets/d/1swGwZOEqYlTEUCJLY-eeJM1911Kvaei5oySBIxdgtNo/edit?pli=1#gid=257618397"",""stock FAKTUR!B:e""),4,false)"),"")</f>
        <v/>
      </c>
      <c r="H955" s="145" t="str">
        <f>IFERROR(__xludf.DUMMYFUNCTION("vlookup($D955,IMPORTRANGE(""https://docs.google.com/spreadsheets/d/1swGwZOEqYlTEUCJLY-eeJM1911Kvaei5oySBIxdgtNo/edit?pli=1#gid=257618397"",""stock FAKTUR!B:F""),5,false)"),"GW")</f>
        <v>GW</v>
      </c>
      <c r="I955" s="145" t="str">
        <f>IFERROR(__xludf.DUMMYFUNCTION("vlookup($D955,IMPORTRANGE(""https://docs.google.com/spreadsheets/d/1swGwZOEqYlTEUCJLY-eeJM1911Kvaei5oySBIxdgtNo/edit?pli=1#gid=257618397"",""stock FAKTUR!B:G""),6,false)"),"10")</f>
        <v>10</v>
      </c>
      <c r="J955" s="199" t="str">
        <f t="shared" si="25"/>
        <v>ADA</v>
      </c>
      <c r="K955" s="142">
        <v>100.0</v>
      </c>
      <c r="L955" s="145" t="str">
        <f>IFERROR(__xludf.DUMMYFUNCTION("vlookup($D955,IMPORTRANGE(""https://docs.google.com/spreadsheets/d/1swGwZOEqYlTEUCJLY-eeJM1911Kvaei5oySBIxdgtNo/edit?pli=1#gid=257618397"",""stock FAKTUR!B:q""),16,false)"),"PAK")</f>
        <v>PAK</v>
      </c>
      <c r="M955" s="147">
        <v>14000.0</v>
      </c>
      <c r="N955" s="148"/>
      <c r="O955" s="147">
        <f t="shared" si="280"/>
        <v>1400000</v>
      </c>
      <c r="P955" s="147" t="str">
        <f t="shared" si="3"/>
        <v>Rp14,000-100 PAK-0.00%</v>
      </c>
      <c r="Q955" s="149">
        <v>45430.0</v>
      </c>
      <c r="R955" s="150"/>
      <c r="S955" s="149">
        <v>45432.0</v>
      </c>
      <c r="T955" s="151"/>
      <c r="U955" s="151"/>
      <c r="V955" s="151"/>
      <c r="W955" s="151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</row>
    <row r="956">
      <c r="A956" s="142">
        <v>2935.0</v>
      </c>
      <c r="B956" s="143" t="s">
        <v>33</v>
      </c>
      <c r="C956" s="143" t="s">
        <v>2355</v>
      </c>
      <c r="D956" s="145" t="s">
        <v>4428</v>
      </c>
      <c r="E956" s="145" t="str">
        <f>IFERROR(__xludf.DUMMYFUNCTION("vlookup(D956,IMPORTRANGE(""https://docs.google.com/spreadsheets/d/1swGwZOEqYlTEUCJLY-eeJM1911Kvaei5oySBIxdgtNo/edit?pli=1#gid=257618397"",""stock FAKTUR!B:C""),2,false)"),"ISI STAPLER GW NO. 10")</f>
        <v>ISI STAPLER GW NO. 10</v>
      </c>
      <c r="F956" s="145" t="str">
        <f>IFERROR(__xludf.DUMMYFUNCTION("vlookup($D956,IMPORTRANGE(""https://docs.google.com/spreadsheets/d/1swGwZOEqYlTEUCJLY-eeJM1911Kvaei5oySBIxdgtNo/edit?pli=1#gid=257618397"",""stock FAKTUR!B:d""),3,false)"),"")</f>
        <v/>
      </c>
      <c r="G956" s="145" t="str">
        <f>IFERROR(__xludf.DUMMYFUNCTION("vlookup($D956,IMPORTRANGE(""https://docs.google.com/spreadsheets/d/1swGwZOEqYlTEUCJLY-eeJM1911Kvaei5oySBIxdgtNo/edit?pli=1#gid=257618397"",""stock FAKTUR!B:e""),4,false)"),"")</f>
        <v/>
      </c>
      <c r="H956" s="145" t="str">
        <f>IFERROR(__xludf.DUMMYFUNCTION("vlookup($D956,IMPORTRANGE(""https://docs.google.com/spreadsheets/d/1swGwZOEqYlTEUCJLY-eeJM1911Kvaei5oySBIxdgtNo/edit?pli=1#gid=257618397"",""stock FAKTUR!B:F""),5,false)"),"GW")</f>
        <v>GW</v>
      </c>
      <c r="I956" s="145" t="str">
        <f>IFERROR(__xludf.DUMMYFUNCTION("vlookup($D956,IMPORTRANGE(""https://docs.google.com/spreadsheets/d/1swGwZOEqYlTEUCJLY-eeJM1911Kvaei5oySBIxdgtNo/edit?pli=1#gid=257618397"",""stock FAKTUR!B:G""),6,false)"),"10")</f>
        <v>10</v>
      </c>
      <c r="J956" s="199" t="str">
        <f t="shared" si="25"/>
        <v>ADA</v>
      </c>
      <c r="K956" s="142">
        <v>1000.0</v>
      </c>
      <c r="L956" s="145" t="str">
        <f>IFERROR(__xludf.DUMMYFUNCTION("vlookup($D956,IMPORTRANGE(""https://docs.google.com/spreadsheets/d/1swGwZOEqYlTEUCJLY-eeJM1911Kvaei5oySBIxdgtNo/edit?pli=1#gid=257618397"",""stock FAKTUR!B:q""),16,false)"),"PAK")</f>
        <v>PAK</v>
      </c>
      <c r="M956" s="147">
        <v>13250.0</v>
      </c>
      <c r="N956" s="148"/>
      <c r="O956" s="147">
        <f t="shared" si="280"/>
        <v>13250000</v>
      </c>
      <c r="P956" s="147" t="str">
        <f t="shared" si="3"/>
        <v>Rp13,250-1000 PAK-0.00%</v>
      </c>
      <c r="Q956" s="149">
        <v>45430.0</v>
      </c>
      <c r="R956" s="150"/>
      <c r="S956" s="149">
        <v>45432.0</v>
      </c>
      <c r="T956" s="151"/>
      <c r="U956" s="151"/>
      <c r="V956" s="151"/>
      <c r="W956" s="151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</row>
    <row r="957">
      <c r="A957" s="142">
        <v>140.0</v>
      </c>
      <c r="B957" s="143" t="str">
        <f>IF(A957=A956,B956,"")</f>
        <v/>
      </c>
      <c r="C957" s="143" t="s">
        <v>85</v>
      </c>
      <c r="D957" s="145" t="s">
        <v>4382</v>
      </c>
      <c r="E957" s="145" t="str">
        <f>IFERROR(__xludf.DUMMYFUNCTION("vlookup(D957,IMPORTRANGE(""https://docs.google.com/spreadsheets/d/1swGwZOEqYlTEUCJLY-eeJM1911Kvaei5oySBIxdgtNo/edit?pli=1#gid=257618397"",""stock FAKTUR!B:C""),2,false)"),"PENSIL 2B ZHONG HUA 6925 OVAL")</f>
        <v>PENSIL 2B ZHONG HUA 6925 OVAL</v>
      </c>
      <c r="F957" s="145" t="str">
        <f>IFERROR(__xludf.DUMMYFUNCTION("vlookup($D957,IMPORTRANGE(""https://docs.google.com/spreadsheets/d/1swGwZOEqYlTEUCJLY-eeJM1911Kvaei5oySBIxdgtNo/edit?pli=1#gid=257618397"",""stock FAKTUR!B:d""),3,false)"),"")</f>
        <v/>
      </c>
      <c r="G957" s="145" t="str">
        <f>IFERROR(__xludf.DUMMYFUNCTION("vlookup($D957,IMPORTRANGE(""https://docs.google.com/spreadsheets/d/1swGwZOEqYlTEUCJLY-eeJM1911Kvaei5oySBIxdgtNo/edit?pli=1#gid=257618397"",""stock FAKTUR!B:e""),4,false)"),"")</f>
        <v/>
      </c>
      <c r="H957" s="145" t="str">
        <f>IFERROR(__xludf.DUMMYFUNCTION("vlookup($D957,IMPORTRANGE(""https://docs.google.com/spreadsheets/d/1swGwZOEqYlTEUCJLY-eeJM1911Kvaei5oySBIxdgtNo/edit?pli=1#gid=257618397"",""stock FAKTUR!B:F""),5,false)"),"ZH")</f>
        <v>ZH</v>
      </c>
      <c r="I957" s="145" t="str">
        <f>IFERROR(__xludf.DUMMYFUNCTION("vlookup($D957,IMPORTRANGE(""https://docs.google.com/spreadsheets/d/1swGwZOEqYlTEUCJLY-eeJM1911Kvaei5oySBIxdgtNo/edit?pli=1#gid=257618397"",""stock FAKTUR!B:G""),6,false)"),"6925")</f>
        <v>6925</v>
      </c>
      <c r="J957" s="199" t="str">
        <f t="shared" si="25"/>
        <v>ADA</v>
      </c>
      <c r="K957" s="142">
        <v>20.0</v>
      </c>
      <c r="L957" s="145" t="str">
        <f>IFERROR(__xludf.DUMMYFUNCTION("vlookup($D957,IMPORTRANGE(""https://docs.google.com/spreadsheets/d/1swGwZOEqYlTEUCJLY-eeJM1911Kvaei5oySBIxdgtNo/edit?pli=1#gid=257618397"",""stock FAKTUR!B:q""),16,false)"),"BOX")</f>
        <v>BOX</v>
      </c>
      <c r="M957" s="147">
        <v>75000.0</v>
      </c>
      <c r="N957" s="152">
        <v>0.1</v>
      </c>
      <c r="O957" s="147">
        <f t="shared" si="280"/>
        <v>1350000</v>
      </c>
      <c r="P957" s="147" t="str">
        <f t="shared" si="3"/>
        <v>Rp75,000-20 BOX-10.00%</v>
      </c>
      <c r="Q957" s="149">
        <v>45430.0</v>
      </c>
      <c r="R957" s="150"/>
      <c r="S957" s="149">
        <v>45432.0</v>
      </c>
      <c r="T957" s="151"/>
      <c r="U957" s="151"/>
      <c r="V957" s="151"/>
      <c r="W957" s="151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</row>
    <row r="958">
      <c r="A958" s="142">
        <v>4948.0</v>
      </c>
      <c r="B958" s="143" t="s">
        <v>33</v>
      </c>
      <c r="C958" s="143" t="s">
        <v>625</v>
      </c>
      <c r="D958" s="145" t="s">
        <v>4428</v>
      </c>
      <c r="E958" s="145" t="str">
        <f>IFERROR(__xludf.DUMMYFUNCTION("vlookup(D958,IMPORTRANGE(""https://docs.google.com/spreadsheets/d/1swGwZOEqYlTEUCJLY-eeJM1911Kvaei5oySBIxdgtNo/edit?pli=1#gid=257618397"",""stock FAKTUR!B:C""),2,false)"),"ISI STAPLER GW NO. 10")</f>
        <v>ISI STAPLER GW NO. 10</v>
      </c>
      <c r="F958" s="145" t="str">
        <f>IFERROR(__xludf.DUMMYFUNCTION("vlookup($D958,IMPORTRANGE(""https://docs.google.com/spreadsheets/d/1swGwZOEqYlTEUCJLY-eeJM1911Kvaei5oySBIxdgtNo/edit?pli=1#gid=257618397"",""stock FAKTUR!B:d""),3,false)"),"")</f>
        <v/>
      </c>
      <c r="G958" s="145" t="str">
        <f>IFERROR(__xludf.DUMMYFUNCTION("vlookup($D958,IMPORTRANGE(""https://docs.google.com/spreadsheets/d/1swGwZOEqYlTEUCJLY-eeJM1911Kvaei5oySBIxdgtNo/edit?pli=1#gid=257618397"",""stock FAKTUR!B:e""),4,false)"),"")</f>
        <v/>
      </c>
      <c r="H958" s="145" t="str">
        <f>IFERROR(__xludf.DUMMYFUNCTION("vlookup($D958,IMPORTRANGE(""https://docs.google.com/spreadsheets/d/1swGwZOEqYlTEUCJLY-eeJM1911Kvaei5oySBIxdgtNo/edit?pli=1#gid=257618397"",""stock FAKTUR!B:F""),5,false)"),"GW")</f>
        <v>GW</v>
      </c>
      <c r="I958" s="145" t="str">
        <f>IFERROR(__xludf.DUMMYFUNCTION("vlookup($D958,IMPORTRANGE(""https://docs.google.com/spreadsheets/d/1swGwZOEqYlTEUCJLY-eeJM1911Kvaei5oySBIxdgtNo/edit?pli=1#gid=257618397"",""stock FAKTUR!B:G""),6,false)"),"10")</f>
        <v>10</v>
      </c>
      <c r="J958" s="199" t="str">
        <f t="shared" si="25"/>
        <v>ADA</v>
      </c>
      <c r="K958" s="142">
        <v>100.0</v>
      </c>
      <c r="L958" s="145" t="str">
        <f>IFERROR(__xludf.DUMMYFUNCTION("vlookup($D958,IMPORTRANGE(""https://docs.google.com/spreadsheets/d/1swGwZOEqYlTEUCJLY-eeJM1911Kvaei5oySBIxdgtNo/edit?pli=1#gid=257618397"",""stock FAKTUR!B:q""),16,false)"),"PAK")</f>
        <v>PAK</v>
      </c>
      <c r="M958" s="147">
        <v>13250.0</v>
      </c>
      <c r="N958" s="148"/>
      <c r="O958" s="147">
        <f t="shared" si="280"/>
        <v>1325000</v>
      </c>
      <c r="P958" s="147" t="str">
        <f t="shared" si="3"/>
        <v>Rp13,250-100 PAK-0.00%</v>
      </c>
      <c r="Q958" s="149">
        <v>45430.0</v>
      </c>
      <c r="R958" s="150"/>
      <c r="S958" s="149">
        <v>45432.0</v>
      </c>
      <c r="T958" s="151"/>
      <c r="U958" s="151"/>
      <c r="V958" s="151"/>
      <c r="W958" s="151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</row>
    <row r="959">
      <c r="A959" s="142">
        <v>4950.0</v>
      </c>
      <c r="B959" s="143" t="s">
        <v>33</v>
      </c>
      <c r="C959" s="143" t="s">
        <v>2635</v>
      </c>
      <c r="D959" s="145" t="s">
        <v>4458</v>
      </c>
      <c r="E959" s="145" t="str">
        <f>IFERROR(__xludf.DUMMYFUNCTION("vlookup(D959,IMPORTRANGE(""https://docs.google.com/spreadsheets/d/1swGwZOEqYlTEUCJLY-eeJM1911Kvaei5oySBIxdgtNo/edit?pli=1#gid=257618397"",""stock FAKTUR!B:C""),2,false)"),"ISI CUTTER KENKO A-100 KECIL")</f>
        <v>ISI CUTTER KENKO A-100 KECIL</v>
      </c>
      <c r="F959" s="145" t="str">
        <f>IFERROR(__xludf.DUMMYFUNCTION("vlookup($D959,IMPORTRANGE(""https://docs.google.com/spreadsheets/d/1swGwZOEqYlTEUCJLY-eeJM1911Kvaei5oySBIxdgtNo/edit?pli=1#gid=257618397"",""stock FAKTUR!B:d""),3,false)"),"9 MM")</f>
        <v>9 MM</v>
      </c>
      <c r="G959" s="145" t="str">
        <f>IFERROR(__xludf.DUMMYFUNCTION("vlookup($D959,IMPORTRANGE(""https://docs.google.com/spreadsheets/d/1swGwZOEqYlTEUCJLY-eeJM1911Kvaei5oySBIxdgtNo/edit?pli=1#gid=257618397"",""stock FAKTUR!B:e""),4,false)"),"")</f>
        <v/>
      </c>
      <c r="H959" s="145" t="str">
        <f>IFERROR(__xludf.DUMMYFUNCTION("vlookup($D959,IMPORTRANGE(""https://docs.google.com/spreadsheets/d/1swGwZOEqYlTEUCJLY-eeJM1911Kvaei5oySBIxdgtNo/edit?pli=1#gid=257618397"",""stock FAKTUR!B:F""),5,false)"),"KN")</f>
        <v>KN</v>
      </c>
      <c r="I959" s="145" t="str">
        <f>IFERROR(__xludf.DUMMYFUNCTION("vlookup($D959,IMPORTRANGE(""https://docs.google.com/spreadsheets/d/1swGwZOEqYlTEUCJLY-eeJM1911Kvaei5oySBIxdgtNo/edit?pli=1#gid=257618397"",""stock FAKTUR!B:G""),6,false)"),"CTB-001")</f>
        <v>CTB-001</v>
      </c>
      <c r="J959" s="199" t="str">
        <f t="shared" si="25"/>
        <v>ADA</v>
      </c>
      <c r="K959" s="142">
        <v>120.0</v>
      </c>
      <c r="L959" s="145" t="str">
        <f>IFERROR(__xludf.DUMMYFUNCTION("vlookup($D959,IMPORTRANGE(""https://docs.google.com/spreadsheets/d/1swGwZOEqYlTEUCJLY-eeJM1911Kvaei5oySBIxdgtNo/edit?pli=1#gid=257618397"",""stock FAKTUR!B:q""),16,false)"),"LSN")</f>
        <v>LSN</v>
      </c>
      <c r="M959" s="147">
        <v>32400.0</v>
      </c>
      <c r="N959" s="152">
        <v>0.13</v>
      </c>
      <c r="O959" s="147">
        <f t="shared" si="280"/>
        <v>3382560</v>
      </c>
      <c r="P959" s="147" t="str">
        <f t="shared" si="3"/>
        <v>Rp32,400-120 LSN-13.00%</v>
      </c>
      <c r="Q959" s="149">
        <v>45430.0</v>
      </c>
      <c r="R959" s="150"/>
      <c r="S959" s="149">
        <v>45432.0</v>
      </c>
      <c r="T959" s="151"/>
      <c r="U959" s="151"/>
      <c r="V959" s="151"/>
      <c r="W959" s="151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</row>
    <row r="960">
      <c r="A960" s="142">
        <v>4819.0</v>
      </c>
      <c r="B960" s="143" t="s">
        <v>33</v>
      </c>
      <c r="C960" s="143" t="s">
        <v>3815</v>
      </c>
      <c r="D960" s="145" t="s">
        <v>4428</v>
      </c>
      <c r="E960" s="145" t="str">
        <f>IFERROR(__xludf.DUMMYFUNCTION("vlookup(D960,IMPORTRANGE(""https://docs.google.com/spreadsheets/d/1swGwZOEqYlTEUCJLY-eeJM1911Kvaei5oySBIxdgtNo/edit?pli=1#gid=257618397"",""stock FAKTUR!B:C""),2,false)"),"ISI STAPLER GW NO. 10")</f>
        <v>ISI STAPLER GW NO. 10</v>
      </c>
      <c r="F960" s="145" t="str">
        <f>IFERROR(__xludf.DUMMYFUNCTION("vlookup($D960,IMPORTRANGE(""https://docs.google.com/spreadsheets/d/1swGwZOEqYlTEUCJLY-eeJM1911Kvaei5oySBIxdgtNo/edit?pli=1#gid=257618397"",""stock FAKTUR!B:d""),3,false)"),"")</f>
        <v/>
      </c>
      <c r="G960" s="145" t="str">
        <f>IFERROR(__xludf.DUMMYFUNCTION("vlookup($D960,IMPORTRANGE(""https://docs.google.com/spreadsheets/d/1swGwZOEqYlTEUCJLY-eeJM1911Kvaei5oySBIxdgtNo/edit?pli=1#gid=257618397"",""stock FAKTUR!B:e""),4,false)"),"")</f>
        <v/>
      </c>
      <c r="H960" s="145" t="str">
        <f>IFERROR(__xludf.DUMMYFUNCTION("vlookup($D960,IMPORTRANGE(""https://docs.google.com/spreadsheets/d/1swGwZOEqYlTEUCJLY-eeJM1911Kvaei5oySBIxdgtNo/edit?pli=1#gid=257618397"",""stock FAKTUR!B:F""),5,false)"),"GW")</f>
        <v>GW</v>
      </c>
      <c r="I960" s="145" t="str">
        <f>IFERROR(__xludf.DUMMYFUNCTION("vlookup($D960,IMPORTRANGE(""https://docs.google.com/spreadsheets/d/1swGwZOEqYlTEUCJLY-eeJM1911Kvaei5oySBIxdgtNo/edit?pli=1#gid=257618397"",""stock FAKTUR!B:G""),6,false)"),"10")</f>
        <v>10</v>
      </c>
      <c r="J960" s="199" t="str">
        <f t="shared" si="25"/>
        <v>ADA</v>
      </c>
      <c r="K960" s="142">
        <v>100.0</v>
      </c>
      <c r="L960" s="145" t="str">
        <f>IFERROR(__xludf.DUMMYFUNCTION("vlookup($D960,IMPORTRANGE(""https://docs.google.com/spreadsheets/d/1swGwZOEqYlTEUCJLY-eeJM1911Kvaei5oySBIxdgtNo/edit?pli=1#gid=257618397"",""stock FAKTUR!B:q""),16,false)"),"PAK")</f>
        <v>PAK</v>
      </c>
      <c r="M960" s="147">
        <v>13500.0</v>
      </c>
      <c r="N960" s="148"/>
      <c r="O960" s="147">
        <f t="shared" si="280"/>
        <v>1350000</v>
      </c>
      <c r="P960" s="147" t="str">
        <f t="shared" si="3"/>
        <v>Rp13,500-100 PAK-0.00%</v>
      </c>
      <c r="Q960" s="149">
        <v>45430.0</v>
      </c>
      <c r="R960" s="150"/>
      <c r="S960" s="149">
        <v>45432.0</v>
      </c>
      <c r="T960" s="151"/>
      <c r="U960" s="151"/>
      <c r="V960" s="151"/>
      <c r="W960" s="151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</row>
    <row r="961">
      <c r="A961" s="142">
        <v>4956.0</v>
      </c>
      <c r="B961" s="143" t="s">
        <v>58</v>
      </c>
      <c r="C961" s="143" t="s">
        <v>4025</v>
      </c>
      <c r="D961" s="53" t="s">
        <v>4634</v>
      </c>
      <c r="E961" s="145" t="str">
        <f>IFERROR(__xludf.DUMMYFUNCTION("vlookup(D961,IMPORTRANGE(""https://docs.google.com/spreadsheets/d/1swGwZOEqYlTEUCJLY-eeJM1911Kvaei5oySBIxdgtNo/edit?pli=1#gid=257618397"",""stock FAKTUR!B:C""),2,false)"),"COUNTER HAND TALLY KENKO HT-303")</f>
        <v>COUNTER HAND TALLY KENKO HT-303</v>
      </c>
      <c r="F961" s="145" t="str">
        <f>IFERROR(__xludf.DUMMYFUNCTION("vlookup($D961,IMPORTRANGE(""https://docs.google.com/spreadsheets/d/1swGwZOEqYlTEUCJLY-eeJM1911Kvaei5oySBIxdgtNo/edit?pli=1#gid=257618397"",""stock FAKTUR!B:d""),3,false)"),"")</f>
        <v/>
      </c>
      <c r="G961" s="145" t="str">
        <f>IFERROR(__xludf.DUMMYFUNCTION("vlookup($D961,IMPORTRANGE(""https://docs.google.com/spreadsheets/d/1swGwZOEqYlTEUCJLY-eeJM1911Kvaei5oySBIxdgtNo/edit?pli=1#gid=257618397"",""stock FAKTUR!B:e""),4,false)"),"")</f>
        <v/>
      </c>
      <c r="H961" s="145" t="str">
        <f>IFERROR(__xludf.DUMMYFUNCTION("vlookup($D961,IMPORTRANGE(""https://docs.google.com/spreadsheets/d/1swGwZOEqYlTEUCJLY-eeJM1911Kvaei5oySBIxdgtNo/edit?pli=1#gid=257618397"",""stock FAKTUR!B:F""),5,false)"),"KN")</f>
        <v>KN</v>
      </c>
      <c r="I961" s="145" t="str">
        <f>IFERROR(__xludf.DUMMYFUNCTION("vlookup($D961,IMPORTRANGE(""https://docs.google.com/spreadsheets/d/1swGwZOEqYlTEUCJLY-eeJM1911Kvaei5oySBIxdgtNo/edit?pli=1#gid=257618397"",""stock FAKTUR!B:G""),6,false)"),"")</f>
        <v/>
      </c>
      <c r="J961" s="199" t="str">
        <f t="shared" si="25"/>
        <v>ADA</v>
      </c>
      <c r="K961" s="142">
        <v>1.0</v>
      </c>
      <c r="L961" s="145" t="str">
        <f>IFERROR(__xludf.DUMMYFUNCTION("vlookup($D961,IMPORTRANGE(""https://docs.google.com/spreadsheets/d/1swGwZOEqYlTEUCJLY-eeJM1911Kvaei5oySBIxdgtNo/edit?pli=1#gid=257618397"",""stock FAKTUR!B:q""),16,false)"),"LSN")</f>
        <v>LSN</v>
      </c>
      <c r="M961" s="147">
        <v>156000.0</v>
      </c>
      <c r="N961" s="152">
        <v>0.1</v>
      </c>
      <c r="O961" s="147">
        <f t="shared" si="280"/>
        <v>140400</v>
      </c>
      <c r="P961" s="147" t="str">
        <f t="shared" si="3"/>
        <v>Rp156,000-1 LSN-10.00%</v>
      </c>
      <c r="Q961" s="149">
        <v>45432.0</v>
      </c>
      <c r="R961" s="150"/>
      <c r="S961" s="149">
        <v>45433.0</v>
      </c>
      <c r="T961" s="151"/>
      <c r="U961" s="151"/>
      <c r="V961" s="151"/>
      <c r="W961" s="151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</row>
    <row r="962">
      <c r="A962" s="142">
        <v>4954.0</v>
      </c>
      <c r="B962" s="143" t="s">
        <v>58</v>
      </c>
      <c r="C962" s="143" t="s">
        <v>4005</v>
      </c>
      <c r="D962" s="53" t="s">
        <v>4382</v>
      </c>
      <c r="E962" s="145" t="str">
        <f>IFERROR(__xludf.DUMMYFUNCTION("vlookup(D962,IMPORTRANGE(""https://docs.google.com/spreadsheets/d/1swGwZOEqYlTEUCJLY-eeJM1911Kvaei5oySBIxdgtNo/edit?pli=1#gid=257618397"",""stock FAKTUR!B:C""),2,false)"),"PENSIL 2B ZHONG HUA 6925 OVAL")</f>
        <v>PENSIL 2B ZHONG HUA 6925 OVAL</v>
      </c>
      <c r="F962" s="145" t="str">
        <f>IFERROR(__xludf.DUMMYFUNCTION("vlookup($D962,IMPORTRANGE(""https://docs.google.com/spreadsheets/d/1swGwZOEqYlTEUCJLY-eeJM1911Kvaei5oySBIxdgtNo/edit?pli=1#gid=257618397"",""stock FAKTUR!B:d""),3,false)"),"")</f>
        <v/>
      </c>
      <c r="G962" s="145" t="str">
        <f>IFERROR(__xludf.DUMMYFUNCTION("vlookup($D962,IMPORTRANGE(""https://docs.google.com/spreadsheets/d/1swGwZOEqYlTEUCJLY-eeJM1911Kvaei5oySBIxdgtNo/edit?pli=1#gid=257618397"",""stock FAKTUR!B:e""),4,false)"),"")</f>
        <v/>
      </c>
      <c r="H962" s="145" t="str">
        <f>IFERROR(__xludf.DUMMYFUNCTION("vlookup($D962,IMPORTRANGE(""https://docs.google.com/spreadsheets/d/1swGwZOEqYlTEUCJLY-eeJM1911Kvaei5oySBIxdgtNo/edit?pli=1#gid=257618397"",""stock FAKTUR!B:F""),5,false)"),"ZH")</f>
        <v>ZH</v>
      </c>
      <c r="I962" s="145" t="str">
        <f>IFERROR(__xludf.DUMMYFUNCTION("vlookup($D962,IMPORTRANGE(""https://docs.google.com/spreadsheets/d/1swGwZOEqYlTEUCJLY-eeJM1911Kvaei5oySBIxdgtNo/edit?pli=1#gid=257618397"",""stock FAKTUR!B:G""),6,false)"),"6925")</f>
        <v>6925</v>
      </c>
      <c r="J962" s="199" t="str">
        <f t="shared" si="25"/>
        <v>ADA</v>
      </c>
      <c r="K962" s="142">
        <v>2.0</v>
      </c>
      <c r="L962" s="145" t="str">
        <f>IFERROR(__xludf.DUMMYFUNCTION("vlookup($D962,IMPORTRANGE(""https://docs.google.com/spreadsheets/d/1swGwZOEqYlTEUCJLY-eeJM1911Kvaei5oySBIxdgtNo/edit?pli=1#gid=257618397"",""stock FAKTUR!B:q""),16,false)"),"BOX")</f>
        <v>BOX</v>
      </c>
      <c r="M962" s="147">
        <v>77500.0</v>
      </c>
      <c r="N962" s="152">
        <v>0.1</v>
      </c>
      <c r="O962" s="147">
        <f t="shared" si="280"/>
        <v>139500</v>
      </c>
      <c r="P962" s="147" t="str">
        <f t="shared" si="3"/>
        <v>Rp77,500-2 BOX-10.00%</v>
      </c>
      <c r="Q962" s="149">
        <v>45432.0</v>
      </c>
      <c r="R962" s="150"/>
      <c r="S962" s="149">
        <v>45433.0</v>
      </c>
      <c r="T962" s="151"/>
      <c r="U962" s="151"/>
      <c r="V962" s="151"/>
      <c r="W962" s="151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</row>
    <row r="963">
      <c r="A963" s="142">
        <v>2939.0</v>
      </c>
      <c r="B963" s="143" t="s">
        <v>33</v>
      </c>
      <c r="C963" s="143" t="s">
        <v>2371</v>
      </c>
      <c r="D963" s="70" t="s">
        <v>4811</v>
      </c>
      <c r="E963" s="145" t="str">
        <f>IFERROR(__xludf.DUMMYFUNCTION("vlookup(D963,IMPORTRANGE(""https://docs.google.com/spreadsheets/d/1swGwZOEqYlTEUCJLY-eeJM1911Kvaei5oySBIxdgtNo/edit?pli=1#gid=257618397"",""stock FAKTUR!B:C""),2,false)"),"PW KENKO NEON COLOR PENCIL 12W NCP-12C")</f>
        <v>PW KENKO NEON COLOR PENCIL 12W NCP-12C</v>
      </c>
      <c r="F963" s="145" t="str">
        <f>IFERROR(__xludf.DUMMYFUNCTION("vlookup($D963,IMPORTRANGE(""https://docs.google.com/spreadsheets/d/1swGwZOEqYlTEUCJLY-eeJM1911Kvaei5oySBIxdgtNo/edit?pli=1#gid=257618397"",""stock FAKTUR!B:d""),3,false)"),"")</f>
        <v/>
      </c>
      <c r="G963" s="145" t="str">
        <f>IFERROR(__xludf.DUMMYFUNCTION("vlookup($D963,IMPORTRANGE(""https://docs.google.com/spreadsheets/d/1swGwZOEqYlTEUCJLY-eeJM1911Kvaei5oySBIxdgtNo/edit?pli=1#gid=257618397"",""stock FAKTUR!B:e""),4,false)"),"12W")</f>
        <v>12W</v>
      </c>
      <c r="H963" s="145" t="str">
        <f>IFERROR(__xludf.DUMMYFUNCTION("vlookup($D963,IMPORTRANGE(""https://docs.google.com/spreadsheets/d/1swGwZOEqYlTEUCJLY-eeJM1911Kvaei5oySBIxdgtNo/edit?pli=1#gid=257618397"",""stock FAKTUR!B:F""),5,false)"),"KN")</f>
        <v>KN</v>
      </c>
      <c r="I963" s="145" t="str">
        <f>IFERROR(__xludf.DUMMYFUNCTION("vlookup($D963,IMPORTRANGE(""https://docs.google.com/spreadsheets/d/1swGwZOEqYlTEUCJLY-eeJM1911Kvaei5oySBIxdgtNo/edit?pli=1#gid=257618397"",""stock FAKTUR!B:G""),6,false)"),"NCP-12C")</f>
        <v>NCP-12C</v>
      </c>
      <c r="J963" s="199" t="str">
        <f t="shared" si="25"/>
        <v>ADA</v>
      </c>
      <c r="K963" s="142">
        <v>24.0</v>
      </c>
      <c r="L963" s="145" t="str">
        <f>IFERROR(__xludf.DUMMYFUNCTION("vlookup($D963,IMPORTRANGE(""https://docs.google.com/spreadsheets/d/1swGwZOEqYlTEUCJLY-eeJM1911Kvaei5oySBIxdgtNo/edit?pli=1#gid=257618397"",""stock FAKTUR!B:q""),16,false)"),"LSN")</f>
        <v>LSN</v>
      </c>
      <c r="M963" s="147">
        <v>156000.0</v>
      </c>
      <c r="N963" s="152">
        <v>0.1</v>
      </c>
      <c r="O963" s="147">
        <f t="shared" si="280"/>
        <v>3369600</v>
      </c>
      <c r="P963" s="147" t="str">
        <f t="shared" si="3"/>
        <v>Rp156,000-24 LSN-10.00%</v>
      </c>
      <c r="Q963" s="149">
        <v>45433.0</v>
      </c>
      <c r="R963" s="150"/>
      <c r="S963" s="149">
        <v>45433.0</v>
      </c>
      <c r="T963" s="151"/>
      <c r="U963" s="151"/>
      <c r="V963" s="151"/>
      <c r="W963" s="151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</row>
    <row r="964">
      <c r="A964" s="142">
        <v>2939.0</v>
      </c>
      <c r="B964" s="143" t="str">
        <f t="shared" ref="B964:B975" si="283">IF(A964=A963,B963,"")</f>
        <v>H</v>
      </c>
      <c r="C964" s="143" t="str">
        <f t="shared" ref="C964:C975" si="284">IF(A964=A963,C963,"")</f>
        <v>DIAN ILMU-MALANG</v>
      </c>
      <c r="D964" s="70" t="s">
        <v>4814</v>
      </c>
      <c r="E964" s="145" t="str">
        <f>IFERROR(__xludf.DUMMYFUNCTION("vlookup(D964,IMPORTRANGE(""https://docs.google.com/spreadsheets/d/1swGwZOEqYlTEUCJLY-eeJM1911Kvaei5oySBIxdgtNo/edit?pli=1#gid=257618397"",""stock FAKTUR!B:C""),2,false)"),"PW KENKO CP-24F SANDY BEAR PANJANG")</f>
        <v>PW KENKO CP-24F SANDY BEAR PANJANG</v>
      </c>
      <c r="F964" s="145" t="str">
        <f>IFERROR(__xludf.DUMMYFUNCTION("vlookup($D964,IMPORTRANGE(""https://docs.google.com/spreadsheets/d/1swGwZOEqYlTEUCJLY-eeJM1911Kvaei5oySBIxdgtNo/edit?pli=1#gid=257618397"",""stock FAKTUR!B:d""),3,false)"),"")</f>
        <v/>
      </c>
      <c r="G964" s="145" t="str">
        <f>IFERROR(__xludf.DUMMYFUNCTION("vlookup($D964,IMPORTRANGE(""https://docs.google.com/spreadsheets/d/1swGwZOEqYlTEUCJLY-eeJM1911Kvaei5oySBIxdgtNo/edit?pli=1#gid=257618397"",""stock FAKTUR!B:e""),4,false)"),"24W")</f>
        <v>24W</v>
      </c>
      <c r="H964" s="145" t="str">
        <f>IFERROR(__xludf.DUMMYFUNCTION("vlookup($D964,IMPORTRANGE(""https://docs.google.com/spreadsheets/d/1swGwZOEqYlTEUCJLY-eeJM1911Kvaei5oySBIxdgtNo/edit?pli=1#gid=257618397"",""stock FAKTUR!B:F""),5,false)"),"KN")</f>
        <v>KN</v>
      </c>
      <c r="I964" s="145" t="str">
        <f>IFERROR(__xludf.DUMMYFUNCTION("vlookup($D964,IMPORTRANGE(""https://docs.google.com/spreadsheets/d/1swGwZOEqYlTEUCJLY-eeJM1911Kvaei5oySBIxdgtNo/edit?pli=1#gid=257618397"",""stock FAKTUR!B:G""),6,false)"),"CP-24F")</f>
        <v>CP-24F</v>
      </c>
      <c r="J964" s="199" t="str">
        <f t="shared" si="25"/>
        <v>ADA</v>
      </c>
      <c r="K964" s="142">
        <v>12.0</v>
      </c>
      <c r="L964" s="145" t="str">
        <f>IFERROR(__xludf.DUMMYFUNCTION("vlookup($D964,IMPORTRANGE(""https://docs.google.com/spreadsheets/d/1swGwZOEqYlTEUCJLY-eeJM1911Kvaei5oySBIxdgtNo/edit?pli=1#gid=257618397"",""stock FAKTUR!B:q""),16,false)"),"LSN")</f>
        <v>LSN</v>
      </c>
      <c r="M964" s="147">
        <v>248400.0</v>
      </c>
      <c r="N964" s="152">
        <v>0.1</v>
      </c>
      <c r="O964" s="147">
        <f t="shared" si="280"/>
        <v>2682720</v>
      </c>
      <c r="P964" s="147" t="str">
        <f t="shared" si="3"/>
        <v>Rp248,400-12 LSN-10.00%</v>
      </c>
      <c r="Q964" s="149">
        <v>45433.0</v>
      </c>
      <c r="R964" s="150"/>
      <c r="S964" s="149">
        <v>45433.0</v>
      </c>
      <c r="T964" s="151"/>
      <c r="U964" s="151"/>
      <c r="V964" s="151"/>
      <c r="W964" s="151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</row>
    <row r="965">
      <c r="A965" s="142">
        <v>2939.0</v>
      </c>
      <c r="B965" s="143" t="str">
        <f t="shared" si="283"/>
        <v>H</v>
      </c>
      <c r="C965" s="143" t="str">
        <f t="shared" si="284"/>
        <v>DIAN ILMU-MALANG</v>
      </c>
      <c r="D965" s="53" t="s">
        <v>4430</v>
      </c>
      <c r="E965" s="145" t="str">
        <f>IFERROR(__xludf.DUMMYFUNCTION("vlookup(D965,IMPORTRANGE(""https://docs.google.com/spreadsheets/d/1swGwZOEqYlTEUCJLY-eeJM1911Kvaei5oySBIxdgtNo/edit?pli=1#gid=257618397"",""stock FAKTUR!B:C""),2,false)"),"LEM STICK KENKO 8GR KECIL")</f>
        <v>LEM STICK KENKO 8GR KECIL</v>
      </c>
      <c r="F965" s="145" t="str">
        <f>IFERROR(__xludf.DUMMYFUNCTION("vlookup($D965,IMPORTRANGE(""https://docs.google.com/spreadsheets/d/1swGwZOEqYlTEUCJLY-eeJM1911Kvaei5oySBIxdgtNo/edit?pli=1#gid=257618397"",""stock FAKTUR!B:d""),3,false)"),"K")</f>
        <v>K</v>
      </c>
      <c r="G965" s="145" t="str">
        <f>IFERROR(__xludf.DUMMYFUNCTION("vlookup($D965,IMPORTRANGE(""https://docs.google.com/spreadsheets/d/1swGwZOEqYlTEUCJLY-eeJM1911Kvaei5oySBIxdgtNo/edit?pli=1#gid=257618397"",""stock FAKTUR!B:e""),4,false)"),"")</f>
        <v/>
      </c>
      <c r="H965" s="145" t="str">
        <f>IFERROR(__xludf.DUMMYFUNCTION("vlookup($D965,IMPORTRANGE(""https://docs.google.com/spreadsheets/d/1swGwZOEqYlTEUCJLY-eeJM1911Kvaei5oySBIxdgtNo/edit?pli=1#gid=257618397"",""stock FAKTUR!B:F""),5,false)"),"KN")</f>
        <v>KN</v>
      </c>
      <c r="I965" s="145" t="str">
        <f>IFERROR(__xludf.DUMMYFUNCTION("vlookup($D965,IMPORTRANGE(""https://docs.google.com/spreadsheets/d/1swGwZOEqYlTEUCJLY-eeJM1911Kvaei5oySBIxdgtNo/edit?pli=1#gid=257618397"",""stock FAKTUR!B:G""),6,false)"),"GST-001GA")</f>
        <v>GST-001GA</v>
      </c>
      <c r="J965" s="199" t="str">
        <f t="shared" si="25"/>
        <v>ADA</v>
      </c>
      <c r="K965" s="142">
        <v>36.0</v>
      </c>
      <c r="L965" s="145" t="str">
        <f>IFERROR(__xludf.DUMMYFUNCTION("vlookup($D965,IMPORTRANGE(""https://docs.google.com/spreadsheets/d/1swGwZOEqYlTEUCJLY-eeJM1911Kvaei5oySBIxdgtNo/edit?pli=1#gid=257618397"",""stock FAKTUR!B:q""),16,false)"),"BOX")</f>
        <v>BOX</v>
      </c>
      <c r="M965" s="147">
        <v>66000.0</v>
      </c>
      <c r="N965" s="152">
        <v>0.1</v>
      </c>
      <c r="O965" s="147">
        <f t="shared" si="280"/>
        <v>2138400</v>
      </c>
      <c r="P965" s="147" t="str">
        <f t="shared" si="3"/>
        <v>Rp66,000-36 BOX-10.00%</v>
      </c>
      <c r="Q965" s="149">
        <v>45433.0</v>
      </c>
      <c r="R965" s="150"/>
      <c r="S965" s="149">
        <v>45433.0</v>
      </c>
      <c r="T965" s="151"/>
      <c r="U965" s="151"/>
      <c r="V965" s="151"/>
      <c r="W965" s="151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</row>
    <row r="966">
      <c r="A966" s="142">
        <v>2939.0</v>
      </c>
      <c r="B966" s="143" t="str">
        <f t="shared" si="283"/>
        <v>H</v>
      </c>
      <c r="C966" s="143" t="str">
        <f t="shared" si="284"/>
        <v>DIAN ILMU-MALANG</v>
      </c>
      <c r="D966" s="53" t="s">
        <v>4599</v>
      </c>
      <c r="E966" s="145" t="str">
        <f>IFERROR(__xludf.DUMMYFUNCTION("vlookup(D966,IMPORTRANGE(""https://docs.google.com/spreadsheets/d/1swGwZOEqYlTEUCJLY-eeJM1911Kvaei5oySBIxdgtNo/edit?pli=1#gid=257618397"",""stock FAKTUR!B:C""),2,false)"),"OIL PASTEL TITI 12W TI-P-12S")</f>
        <v>OIL PASTEL TITI 12W TI-P-12S</v>
      </c>
      <c r="F966" s="145" t="str">
        <f>IFERROR(__xludf.DUMMYFUNCTION("vlookup($D966,IMPORTRANGE(""https://docs.google.com/spreadsheets/d/1swGwZOEqYlTEUCJLY-eeJM1911Kvaei5oySBIxdgtNo/edit?pli=1#gid=257618397"",""stock FAKTUR!B:d""),3,false)"),"")</f>
        <v/>
      </c>
      <c r="G966" s="145" t="str">
        <f>IFERROR(__xludf.DUMMYFUNCTION("vlookup($D966,IMPORTRANGE(""https://docs.google.com/spreadsheets/d/1swGwZOEqYlTEUCJLY-eeJM1911Kvaei5oySBIxdgtNo/edit?pli=1#gid=257618397"",""stock FAKTUR!B:e""),4,false)"),"12W")</f>
        <v>12W</v>
      </c>
      <c r="H966" s="145" t="str">
        <f>IFERROR(__xludf.DUMMYFUNCTION("vlookup($D966,IMPORTRANGE(""https://docs.google.com/spreadsheets/d/1swGwZOEqYlTEUCJLY-eeJM1911Kvaei5oySBIxdgtNo/edit?pli=1#gid=257618397"",""stock FAKTUR!B:F""),5,false)"),"TT")</f>
        <v>TT</v>
      </c>
      <c r="I966" s="145" t="str">
        <f>IFERROR(__xludf.DUMMYFUNCTION("vlookup($D966,IMPORTRANGE(""https://docs.google.com/spreadsheets/d/1swGwZOEqYlTEUCJLY-eeJM1911Kvaei5oySBIxdgtNo/edit?pli=1#gid=257618397"",""stock FAKTUR!B:G""),6,false)"),"OPS-007")</f>
        <v>OPS-007</v>
      </c>
      <c r="J966" s="199" t="str">
        <f t="shared" si="25"/>
        <v>ADA</v>
      </c>
      <c r="K966" s="142">
        <v>144.0</v>
      </c>
      <c r="L966" s="145" t="str">
        <f>IFERROR(__xludf.DUMMYFUNCTION("vlookup($D966,IMPORTRANGE(""https://docs.google.com/spreadsheets/d/1swGwZOEqYlTEUCJLY-eeJM1911Kvaei5oySBIxdgtNo/edit?pli=1#gid=257618397"",""stock FAKTUR!B:q""),16,false)"),"PCS")</f>
        <v>PCS</v>
      </c>
      <c r="M966" s="147">
        <v>14500.0</v>
      </c>
      <c r="N966" s="152">
        <v>0.1</v>
      </c>
      <c r="O966" s="147">
        <f t="shared" si="280"/>
        <v>1879200</v>
      </c>
      <c r="P966" s="147" t="str">
        <f t="shared" si="3"/>
        <v>Rp14,500-144 PCS-10.00%</v>
      </c>
      <c r="Q966" s="149">
        <v>45433.0</v>
      </c>
      <c r="R966" s="150"/>
      <c r="S966" s="149">
        <v>45433.0</v>
      </c>
      <c r="T966" s="151"/>
      <c r="U966" s="151"/>
      <c r="V966" s="151"/>
      <c r="W966" s="151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</row>
    <row r="967">
      <c r="A967" s="142">
        <v>2939.0</v>
      </c>
      <c r="B967" s="143" t="str">
        <f t="shared" si="283"/>
        <v>H</v>
      </c>
      <c r="C967" s="143" t="str">
        <f t="shared" si="284"/>
        <v>DIAN ILMU-MALANG</v>
      </c>
      <c r="D967" s="53" t="s">
        <v>4477</v>
      </c>
      <c r="E967" s="145" t="str">
        <f>IFERROR(__xludf.DUMMYFUNCTION("vlookup(D967,IMPORTRANGE(""https://docs.google.com/spreadsheets/d/1swGwZOEqYlTEUCJLY-eeJM1911Kvaei5oySBIxdgtNo/edit?pli=1#gid=257618397"",""stock FAKTUR!B:C""),2,false)"),"OIL PASTEL TITI 18W TI-P-18S")</f>
        <v>OIL PASTEL TITI 18W TI-P-18S</v>
      </c>
      <c r="F967" s="145" t="str">
        <f>IFERROR(__xludf.DUMMYFUNCTION("vlookup($D967,IMPORTRANGE(""https://docs.google.com/spreadsheets/d/1swGwZOEqYlTEUCJLY-eeJM1911Kvaei5oySBIxdgtNo/edit?pli=1#gid=257618397"",""stock FAKTUR!B:d""),3,false)"),"")</f>
        <v/>
      </c>
      <c r="G967" s="145" t="str">
        <f>IFERROR(__xludf.DUMMYFUNCTION("vlookup($D967,IMPORTRANGE(""https://docs.google.com/spreadsheets/d/1swGwZOEqYlTEUCJLY-eeJM1911Kvaei5oySBIxdgtNo/edit?pli=1#gid=257618397"",""stock FAKTUR!B:e""),4,false)"),"18W")</f>
        <v>18W</v>
      </c>
      <c r="H967" s="145" t="str">
        <f>IFERROR(__xludf.DUMMYFUNCTION("vlookup($D967,IMPORTRANGE(""https://docs.google.com/spreadsheets/d/1swGwZOEqYlTEUCJLY-eeJM1911Kvaei5oySBIxdgtNo/edit?pli=1#gid=257618397"",""stock FAKTUR!B:F""),5,false)"),"TT")</f>
        <v>TT</v>
      </c>
      <c r="I967" s="145" t="str">
        <f>IFERROR(__xludf.DUMMYFUNCTION("vlookup($D967,IMPORTRANGE(""https://docs.google.com/spreadsheets/d/1swGwZOEqYlTEUCJLY-eeJM1911Kvaei5oySBIxdgtNo/edit?pli=1#gid=257618397"",""stock FAKTUR!B:G""),6,false)"),"OPS-008")</f>
        <v>OPS-008</v>
      </c>
      <c r="J967" s="199" t="str">
        <f t="shared" si="25"/>
        <v>ADA</v>
      </c>
      <c r="K967" s="142">
        <v>72.0</v>
      </c>
      <c r="L967" s="145" t="str">
        <f>IFERROR(__xludf.DUMMYFUNCTION("vlookup($D967,IMPORTRANGE(""https://docs.google.com/spreadsheets/d/1swGwZOEqYlTEUCJLY-eeJM1911Kvaei5oySBIxdgtNo/edit?pli=1#gid=257618397"",""stock FAKTUR!B:q""),16,false)"),"PCS")</f>
        <v>PCS</v>
      </c>
      <c r="M967" s="147">
        <v>27000.0</v>
      </c>
      <c r="N967" s="152">
        <v>0.1</v>
      </c>
      <c r="O967" s="147">
        <f t="shared" si="280"/>
        <v>1749600</v>
      </c>
      <c r="P967" s="147" t="str">
        <f t="shared" si="3"/>
        <v>Rp27,000-72 PCS-10.00%</v>
      </c>
      <c r="Q967" s="149">
        <v>45433.0</v>
      </c>
      <c r="R967" s="150"/>
      <c r="S967" s="149">
        <v>45433.0</v>
      </c>
      <c r="T967" s="151"/>
      <c r="U967" s="151"/>
      <c r="V967" s="151"/>
      <c r="W967" s="151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</row>
    <row r="968">
      <c r="A968" s="142">
        <v>2939.0</v>
      </c>
      <c r="B968" s="143" t="str">
        <f t="shared" si="283"/>
        <v>H</v>
      </c>
      <c r="C968" s="143" t="str">
        <f t="shared" si="284"/>
        <v>DIAN ILMU-MALANG</v>
      </c>
      <c r="D968" s="53" t="s">
        <v>4478</v>
      </c>
      <c r="E968" s="145" t="str">
        <f>IFERROR(__xludf.DUMMYFUNCTION("vlookup(D968,IMPORTRANGE(""https://docs.google.com/spreadsheets/d/1swGwZOEqYlTEUCJLY-eeJM1911Kvaei5oySBIxdgtNo/edit?pli=1#gid=257618397"",""stock FAKTUR!B:C""),2,false)"),"OIL PASTEL TITI 36W TI-P-36 S")</f>
        <v>OIL PASTEL TITI 36W TI-P-36 S</v>
      </c>
      <c r="F968" s="145" t="str">
        <f>IFERROR(__xludf.DUMMYFUNCTION("vlookup($D968,IMPORTRANGE(""https://docs.google.com/spreadsheets/d/1swGwZOEqYlTEUCJLY-eeJM1911Kvaei5oySBIxdgtNo/edit?pli=1#gid=257618397"",""stock FAKTUR!B:d""),3,false)"),"")</f>
        <v/>
      </c>
      <c r="G968" s="145" t="str">
        <f>IFERROR(__xludf.DUMMYFUNCTION("vlookup($D968,IMPORTRANGE(""https://docs.google.com/spreadsheets/d/1swGwZOEqYlTEUCJLY-eeJM1911Kvaei5oySBIxdgtNo/edit?pli=1#gid=257618397"",""stock FAKTUR!B:e""),4,false)"),"36W")</f>
        <v>36W</v>
      </c>
      <c r="H968" s="145" t="str">
        <f>IFERROR(__xludf.DUMMYFUNCTION("vlookup($D968,IMPORTRANGE(""https://docs.google.com/spreadsheets/d/1swGwZOEqYlTEUCJLY-eeJM1911Kvaei5oySBIxdgtNo/edit?pli=1#gid=257618397"",""stock FAKTUR!B:F""),5,false)"),"TT")</f>
        <v>TT</v>
      </c>
      <c r="I968" s="145" t="str">
        <f>IFERROR(__xludf.DUMMYFUNCTION("vlookup($D968,IMPORTRANGE(""https://docs.google.com/spreadsheets/d/1swGwZOEqYlTEUCJLY-eeJM1911Kvaei5oySBIxdgtNo/edit?pli=1#gid=257618397"",""stock FAKTUR!B:G""),6,false)"),"")</f>
        <v/>
      </c>
      <c r="J968" s="199" t="str">
        <f t="shared" si="25"/>
        <v>ADA</v>
      </c>
      <c r="K968" s="142">
        <v>36.0</v>
      </c>
      <c r="L968" s="145" t="str">
        <f>IFERROR(__xludf.DUMMYFUNCTION("vlookup($D968,IMPORTRANGE(""https://docs.google.com/spreadsheets/d/1swGwZOEqYlTEUCJLY-eeJM1911Kvaei5oySBIxdgtNo/edit?pli=1#gid=257618397"",""stock FAKTUR!B:q""),16,false)"),"PCS")</f>
        <v>PCS</v>
      </c>
      <c r="M968" s="147">
        <v>47500.0</v>
      </c>
      <c r="N968" s="152">
        <v>0.1</v>
      </c>
      <c r="O968" s="147">
        <f t="shared" si="280"/>
        <v>1539000</v>
      </c>
      <c r="P968" s="147" t="str">
        <f t="shared" si="3"/>
        <v>Rp47,500-36 PCS-10.00%</v>
      </c>
      <c r="Q968" s="149">
        <v>45433.0</v>
      </c>
      <c r="R968" s="150"/>
      <c r="S968" s="149">
        <v>45433.0</v>
      </c>
      <c r="T968" s="151"/>
      <c r="U968" s="151"/>
      <c r="V968" s="151"/>
      <c r="W968" s="151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</row>
    <row r="969">
      <c r="A969" s="142">
        <v>2939.0</v>
      </c>
      <c r="B969" s="143" t="str">
        <f t="shared" si="283"/>
        <v>H</v>
      </c>
      <c r="C969" s="143" t="str">
        <f t="shared" si="284"/>
        <v>DIAN ILMU-MALANG</v>
      </c>
      <c r="D969" s="53" t="s">
        <v>4680</v>
      </c>
      <c r="E969" s="145" t="str">
        <f>IFERROR(__xludf.DUMMYFUNCTION("vlookup(D969,IMPORTRANGE(""https://docs.google.com/spreadsheets/d/1swGwZOEqYlTEUCJLY-eeJM1911Kvaei5oySBIxdgtNo/edit?pli=1#gid=257618397"",""stock FAKTUR!B:C""),2,false)"),"OIL PASTEL TITI 48W TI-P-48S")</f>
        <v>OIL PASTEL TITI 48W TI-P-48S</v>
      </c>
      <c r="F969" s="145" t="str">
        <f>IFERROR(__xludf.DUMMYFUNCTION("vlookup($D969,IMPORTRANGE(""https://docs.google.com/spreadsheets/d/1swGwZOEqYlTEUCJLY-eeJM1911Kvaei5oySBIxdgtNo/edit?pli=1#gid=257618397"",""stock FAKTUR!B:d""),3,false)"),"")</f>
        <v/>
      </c>
      <c r="G969" s="145" t="str">
        <f>IFERROR(__xludf.DUMMYFUNCTION("vlookup($D969,IMPORTRANGE(""https://docs.google.com/spreadsheets/d/1swGwZOEqYlTEUCJLY-eeJM1911Kvaei5oySBIxdgtNo/edit?pli=1#gid=257618397"",""stock FAKTUR!B:e""),4,false)"),"48W")</f>
        <v>48W</v>
      </c>
      <c r="H969" s="145" t="str">
        <f>IFERROR(__xludf.DUMMYFUNCTION("vlookup($D969,IMPORTRANGE(""https://docs.google.com/spreadsheets/d/1swGwZOEqYlTEUCJLY-eeJM1911Kvaei5oySBIxdgtNo/edit?pli=1#gid=257618397"",""stock FAKTUR!B:F""),5,false)"),"TT")</f>
        <v>TT</v>
      </c>
      <c r="I969" s="145" t="str">
        <f>IFERROR(__xludf.DUMMYFUNCTION("vlookup($D969,IMPORTRANGE(""https://docs.google.com/spreadsheets/d/1swGwZOEqYlTEUCJLY-eeJM1911Kvaei5oySBIxdgtNo/edit?pli=1#gid=257618397"",""stock FAKTUR!B:G""),6,false)"),"OPS-011")</f>
        <v>OPS-011</v>
      </c>
      <c r="J969" s="199" t="str">
        <f t="shared" si="25"/>
        <v>ADA</v>
      </c>
      <c r="K969" s="184">
        <v>4.0</v>
      </c>
      <c r="L969" s="145" t="str">
        <f>IFERROR(__xludf.DUMMYFUNCTION("vlookup($D969,IMPORTRANGE(""https://docs.google.com/spreadsheets/d/1swGwZOEqYlTEUCJLY-eeJM1911Kvaei5oySBIxdgtNo/edit?pli=1#gid=257618397"",""stock FAKTUR!B:q""),16,false)"),"BOX")</f>
        <v>BOX</v>
      </c>
      <c r="M969" s="147">
        <f>6*69000</f>
        <v>414000</v>
      </c>
      <c r="N969" s="152">
        <v>0.1</v>
      </c>
      <c r="O969" s="147">
        <f t="shared" si="280"/>
        <v>1490400</v>
      </c>
      <c r="P969" s="147" t="str">
        <f t="shared" si="3"/>
        <v>Rp414,000-4 BOX-10.00%</v>
      </c>
      <c r="Q969" s="149">
        <v>45433.0</v>
      </c>
      <c r="R969" s="150"/>
      <c r="S969" s="149">
        <v>45433.0</v>
      </c>
      <c r="T969" s="151"/>
      <c r="U969" s="151"/>
      <c r="V969" s="151"/>
      <c r="W969" s="151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</row>
    <row r="970">
      <c r="A970" s="142">
        <v>2939.0</v>
      </c>
      <c r="B970" s="143" t="str">
        <f t="shared" si="283"/>
        <v>H</v>
      </c>
      <c r="C970" s="143" t="str">
        <f t="shared" si="284"/>
        <v>DIAN ILMU-MALANG</v>
      </c>
      <c r="D970" s="53" t="s">
        <v>4580</v>
      </c>
      <c r="E970" s="145" t="str">
        <f>IFERROR(__xludf.DUMMYFUNCTION("vlookup(D970,IMPORTRANGE(""https://docs.google.com/spreadsheets/d/1swGwZOEqYlTEUCJLY-eeJM1911Kvaei5oySBIxdgtNo/edit?pli=1#gid=257618397"",""stock FAKTUR!B:C""),2,false)"),"OIL PASTEL TITI 55W TI-P-55 S")</f>
        <v>OIL PASTEL TITI 55W TI-P-55 S</v>
      </c>
      <c r="F970" s="145" t="str">
        <f>IFERROR(__xludf.DUMMYFUNCTION("vlookup($D970,IMPORTRANGE(""https://docs.google.com/spreadsheets/d/1swGwZOEqYlTEUCJLY-eeJM1911Kvaei5oySBIxdgtNo/edit?pli=1#gid=257618397"",""stock FAKTUR!B:d""),3,false)"),"")</f>
        <v/>
      </c>
      <c r="G970" s="145" t="str">
        <f>IFERROR(__xludf.DUMMYFUNCTION("vlookup($D970,IMPORTRANGE(""https://docs.google.com/spreadsheets/d/1swGwZOEqYlTEUCJLY-eeJM1911Kvaei5oySBIxdgtNo/edit?pli=1#gid=257618397"",""stock FAKTUR!B:e""),4,false)"),"55W")</f>
        <v>55W</v>
      </c>
      <c r="H970" s="145" t="str">
        <f>IFERROR(__xludf.DUMMYFUNCTION("vlookup($D970,IMPORTRANGE(""https://docs.google.com/spreadsheets/d/1swGwZOEqYlTEUCJLY-eeJM1911Kvaei5oySBIxdgtNo/edit?pli=1#gid=257618397"",""stock FAKTUR!B:F""),5,false)"),"TT")</f>
        <v>TT</v>
      </c>
      <c r="I970" s="145" t="str">
        <f>IFERROR(__xludf.DUMMYFUNCTION("vlookup($D970,IMPORTRANGE(""https://docs.google.com/spreadsheets/d/1swGwZOEqYlTEUCJLY-eeJM1911Kvaei5oySBIxdgtNo/edit?pli=1#gid=257618397"",""stock FAKTUR!B:G""),6,false)"),"")</f>
        <v/>
      </c>
      <c r="J970" s="199" t="str">
        <f t="shared" si="25"/>
        <v>ADA</v>
      </c>
      <c r="K970" s="142">
        <f>24/6</f>
        <v>4</v>
      </c>
      <c r="L970" s="145" t="str">
        <f>IFERROR(__xludf.DUMMYFUNCTION("vlookup($D970,IMPORTRANGE(""https://docs.google.com/spreadsheets/d/1swGwZOEqYlTEUCJLY-eeJM1911Kvaei5oySBIxdgtNo/edit?pli=1#gid=257618397"",""stock FAKTUR!B:q""),16,false)"),"BOX")</f>
        <v>BOX</v>
      </c>
      <c r="M970" s="147">
        <f>76000*6</f>
        <v>456000</v>
      </c>
      <c r="N970" s="152">
        <v>0.1</v>
      </c>
      <c r="O970" s="147">
        <f t="shared" si="280"/>
        <v>1641600</v>
      </c>
      <c r="P970" s="147" t="str">
        <f t="shared" si="3"/>
        <v>Rp456,000-4 BOX-10.00%</v>
      </c>
      <c r="Q970" s="149">
        <v>45433.0</v>
      </c>
      <c r="R970" s="150"/>
      <c r="S970" s="149">
        <v>45433.0</v>
      </c>
      <c r="T970" s="151"/>
      <c r="U970" s="151"/>
      <c r="V970" s="151"/>
      <c r="W970" s="151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</row>
    <row r="971">
      <c r="A971" s="142">
        <v>2939.0</v>
      </c>
      <c r="B971" s="143" t="str">
        <f t="shared" si="283"/>
        <v>H</v>
      </c>
      <c r="C971" s="143" t="str">
        <f t="shared" si="284"/>
        <v>DIAN ILMU-MALANG</v>
      </c>
      <c r="D971" s="70" t="s">
        <v>4513</v>
      </c>
      <c r="E971" s="145" t="str">
        <f>IFERROR(__xludf.DUMMYFUNCTION("vlookup(D971,IMPORTRANGE(""https://docs.google.com/spreadsheets/d/1swGwZOEqYlTEUCJLY-eeJM1911Kvaei5oySBIxdgtNo/edit?pli=1#gid=257618397"",""stock FAKTUR!B:C""),2,false)"),"BP KENKO SG-1 SNOW GEL HITAM")</f>
        <v>BP KENKO SG-1 SNOW GEL HITAM</v>
      </c>
      <c r="F971" s="145" t="str">
        <f>IFERROR(__xludf.DUMMYFUNCTION("vlookup($D971,IMPORTRANGE(""https://docs.google.com/spreadsheets/d/1swGwZOEqYlTEUCJLY-eeJM1911Kvaei5oySBIxdgtNo/edit?pli=1#gid=257618397"",""stock FAKTUR!B:d""),3,false)"),"")</f>
        <v/>
      </c>
      <c r="G971" s="145" t="str">
        <f>IFERROR(__xludf.DUMMYFUNCTION("vlookup($D971,IMPORTRANGE(""https://docs.google.com/spreadsheets/d/1swGwZOEqYlTEUCJLY-eeJM1911Kvaei5oySBIxdgtNo/edit?pli=1#gid=257618397"",""stock FAKTUR!B:e""),4,false)"),"HITAM")</f>
        <v>HITAM</v>
      </c>
      <c r="H971" s="145" t="str">
        <f>IFERROR(__xludf.DUMMYFUNCTION("vlookup($D971,IMPORTRANGE(""https://docs.google.com/spreadsheets/d/1swGwZOEqYlTEUCJLY-eeJM1911Kvaei5oySBIxdgtNo/edit?pli=1#gid=257618397"",""stock FAKTUR!B:F""),5,false)"),"KN")</f>
        <v>KN</v>
      </c>
      <c r="I971" s="145" t="str">
        <f>IFERROR(__xludf.DUMMYFUNCTION("vlookup($D971,IMPORTRANGE(""https://docs.google.com/spreadsheets/d/1swGwZOEqYlTEUCJLY-eeJM1911Kvaei5oySBIxdgtNo/edit?pli=1#gid=257618397"",""stock FAKTUR!B:G""),6,false)"),"SG-1")</f>
        <v>SG-1</v>
      </c>
      <c r="J971" s="199" t="str">
        <f t="shared" si="25"/>
        <v>ADA</v>
      </c>
      <c r="K971" s="142">
        <v>144.0</v>
      </c>
      <c r="L971" s="145" t="str">
        <f>IFERROR(__xludf.DUMMYFUNCTION("vlookup($D971,IMPORTRANGE(""https://docs.google.com/spreadsheets/d/1swGwZOEqYlTEUCJLY-eeJM1911Kvaei5oySBIxdgtNo/edit?pli=1#gid=257618397"",""stock FAKTUR!B:q""),16,false)"),"LSN")</f>
        <v>LSN</v>
      </c>
      <c r="M971" s="147">
        <v>39600.0</v>
      </c>
      <c r="N971" s="152">
        <v>0.1</v>
      </c>
      <c r="O971" s="147">
        <f t="shared" si="280"/>
        <v>5132160</v>
      </c>
      <c r="P971" s="147" t="str">
        <f t="shared" si="3"/>
        <v>Rp39,600-144 LSN-10.00%</v>
      </c>
      <c r="Q971" s="149">
        <v>45433.0</v>
      </c>
      <c r="R971" s="150"/>
      <c r="S971" s="149">
        <v>45433.0</v>
      </c>
      <c r="T971" s="151"/>
      <c r="U971" s="151"/>
      <c r="V971" s="151"/>
      <c r="W971" s="151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</row>
    <row r="972">
      <c r="A972" s="142">
        <v>2939.0</v>
      </c>
      <c r="B972" s="143" t="str">
        <f t="shared" si="283"/>
        <v>H</v>
      </c>
      <c r="C972" s="143" t="str">
        <f t="shared" si="284"/>
        <v>DIAN ILMU-MALANG</v>
      </c>
      <c r="D972" s="49" t="s">
        <v>4817</v>
      </c>
      <c r="E972" s="145" t="str">
        <f>IFERROR(__xludf.DUMMYFUNCTION("vlookup(D972,IMPORTRANGE(""https://docs.google.com/spreadsheets/d/1swGwZOEqYlTEUCJLY-eeJM1911Kvaei5oySBIxdgtNo/edit?pli=1#gid=257618397"",""stock FAKTUR!B:C""),2,false)"),"BP GEL KENKO K-80 HITAM")</f>
        <v>BP GEL KENKO K-80 HITAM</v>
      </c>
      <c r="F972" s="145" t="str">
        <f>IFERROR(__xludf.DUMMYFUNCTION("vlookup($D972,IMPORTRANGE(""https://docs.google.com/spreadsheets/d/1swGwZOEqYlTEUCJLY-eeJM1911Kvaei5oySBIxdgtNo/edit?pli=1#gid=257618397"",""stock FAKTUR!B:d""),3,false)"),"")</f>
        <v/>
      </c>
      <c r="G972" s="145" t="str">
        <f>IFERROR(__xludf.DUMMYFUNCTION("vlookup($D972,IMPORTRANGE(""https://docs.google.com/spreadsheets/d/1swGwZOEqYlTEUCJLY-eeJM1911Kvaei5oySBIxdgtNo/edit?pli=1#gid=257618397"",""stock FAKTUR!B:e""),4,false)"),"HITAM")</f>
        <v>HITAM</v>
      </c>
      <c r="H972" s="145" t="str">
        <f>IFERROR(__xludf.DUMMYFUNCTION("vlookup($D972,IMPORTRANGE(""https://docs.google.com/spreadsheets/d/1swGwZOEqYlTEUCJLY-eeJM1911Kvaei5oySBIxdgtNo/edit?pli=1#gid=257618397"",""stock FAKTUR!B:F""),5,false)"),"KN")</f>
        <v>KN</v>
      </c>
      <c r="I972" s="145" t="str">
        <f>IFERROR(__xludf.DUMMYFUNCTION("vlookup($D972,IMPORTRANGE(""https://docs.google.com/spreadsheets/d/1swGwZOEqYlTEUCJLY-eeJM1911Kvaei5oySBIxdgtNo/edit?pli=1#gid=257618397"",""stock FAKTUR!B:G""),6,false)"),"K-80")</f>
        <v>K-80</v>
      </c>
      <c r="J972" s="199" t="str">
        <f t="shared" si="25"/>
        <v>ADA</v>
      </c>
      <c r="K972" s="142">
        <v>144.0</v>
      </c>
      <c r="L972" s="145" t="str">
        <f>IFERROR(__xludf.DUMMYFUNCTION("vlookup($D972,IMPORTRANGE(""https://docs.google.com/spreadsheets/d/1swGwZOEqYlTEUCJLY-eeJM1911Kvaei5oySBIxdgtNo/edit?pli=1#gid=257618397"",""stock FAKTUR!B:q""),16,false)"),"LSN")</f>
        <v>LSN</v>
      </c>
      <c r="M972" s="147">
        <v>28200.0</v>
      </c>
      <c r="N972" s="152">
        <v>0.1</v>
      </c>
      <c r="O972" s="147">
        <f t="shared" si="280"/>
        <v>3654720</v>
      </c>
      <c r="P972" s="147" t="str">
        <f t="shared" si="3"/>
        <v>Rp28,200-144 LSN-10.00%</v>
      </c>
      <c r="Q972" s="149">
        <v>45433.0</v>
      </c>
      <c r="R972" s="150"/>
      <c r="S972" s="149">
        <v>45433.0</v>
      </c>
      <c r="T972" s="151"/>
      <c r="U972" s="151"/>
      <c r="V972" s="151"/>
      <c r="W972" s="151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</row>
    <row r="973">
      <c r="A973" s="142">
        <v>2939.0</v>
      </c>
      <c r="B973" s="143" t="str">
        <f t="shared" si="283"/>
        <v>H</v>
      </c>
      <c r="C973" s="143" t="str">
        <f t="shared" si="284"/>
        <v>DIAN ILMU-MALANG</v>
      </c>
      <c r="D973" s="53" t="s">
        <v>4630</v>
      </c>
      <c r="E973" s="145" t="str">
        <f>IFERROR(__xludf.DUMMYFUNCTION("vlookup(D973,IMPORTRANGE(""https://docs.google.com/spreadsheets/d/1swGwZOEqYlTEUCJLY-eeJM1911Kvaei5oySBIxdgtNo/edit?pli=1#gid=257618397"",""stock FAKTUR!B:C""),2,false)"),"BP JK GP-330 HITAM")</f>
        <v>BP JK GP-330 HITAM</v>
      </c>
      <c r="F973" s="145" t="str">
        <f>IFERROR(__xludf.DUMMYFUNCTION("vlookup($D973,IMPORTRANGE(""https://docs.google.com/spreadsheets/d/1swGwZOEqYlTEUCJLY-eeJM1911Kvaei5oySBIxdgtNo/edit?pli=1#gid=257618397"",""stock FAKTUR!B:d""),3,false)"),"")</f>
        <v/>
      </c>
      <c r="G973" s="145" t="str">
        <f>IFERROR(__xludf.DUMMYFUNCTION("vlookup($D973,IMPORTRANGE(""https://docs.google.com/spreadsheets/d/1swGwZOEqYlTEUCJLY-eeJM1911Kvaei5oySBIxdgtNo/edit?pli=1#gid=257618397"",""stock FAKTUR!B:e""),4,false)"),"HITAM")</f>
        <v>HITAM</v>
      </c>
      <c r="H973" s="145" t="str">
        <f>IFERROR(__xludf.DUMMYFUNCTION("vlookup($D973,IMPORTRANGE(""https://docs.google.com/spreadsheets/d/1swGwZOEqYlTEUCJLY-eeJM1911Kvaei5oySBIxdgtNo/edit?pli=1#gid=257618397"",""stock FAKTUR!B:F""),5,false)"),"JK")</f>
        <v>JK</v>
      </c>
      <c r="I973" s="145" t="str">
        <f>IFERROR(__xludf.DUMMYFUNCTION("vlookup($D973,IMPORTRANGE(""https://docs.google.com/spreadsheets/d/1swGwZOEqYlTEUCJLY-eeJM1911Kvaei5oySBIxdgtNo/edit?pli=1#gid=257618397"",""stock FAKTUR!B:G""),6,false)"),"GP-330")</f>
        <v>GP-330</v>
      </c>
      <c r="J973" s="199" t="str">
        <f t="shared" si="25"/>
        <v>ADA</v>
      </c>
      <c r="K973" s="142">
        <v>144.0</v>
      </c>
      <c r="L973" s="145" t="str">
        <f>IFERROR(__xludf.DUMMYFUNCTION("vlookup($D973,IMPORTRANGE(""https://docs.google.com/spreadsheets/d/1swGwZOEqYlTEUCJLY-eeJM1911Kvaei5oySBIxdgtNo/edit?pli=1#gid=257618397"",""stock FAKTUR!B:q""),16,false)"),"LSN")</f>
        <v>LSN</v>
      </c>
      <c r="M973" s="147">
        <v>14100.0</v>
      </c>
      <c r="N973" s="152">
        <v>0.1</v>
      </c>
      <c r="O973" s="147">
        <f t="shared" si="280"/>
        <v>1827360</v>
      </c>
      <c r="P973" s="147" t="str">
        <f t="shared" si="3"/>
        <v>Rp14,100-144 LSN-10.00%</v>
      </c>
      <c r="Q973" s="149">
        <v>45433.0</v>
      </c>
      <c r="R973" s="150"/>
      <c r="S973" s="149">
        <v>45433.0</v>
      </c>
      <c r="T973" s="151"/>
      <c r="U973" s="151"/>
      <c r="V973" s="151"/>
      <c r="W973" s="151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</row>
    <row r="974">
      <c r="A974" s="142">
        <v>2939.0</v>
      </c>
      <c r="B974" s="143" t="str">
        <f t="shared" si="283"/>
        <v>H</v>
      </c>
      <c r="C974" s="143" t="str">
        <f t="shared" si="284"/>
        <v>DIAN ILMU-MALANG</v>
      </c>
      <c r="D974" s="53" t="s">
        <v>4409</v>
      </c>
      <c r="E974" s="145" t="str">
        <f>IFERROR(__xludf.DUMMYFUNCTION("vlookup(D974,IMPORTRANGE(""https://docs.google.com/spreadsheets/d/1swGwZOEqYlTEUCJLY-eeJM1911Kvaei5oySBIxdgtNo/edit?pli=1#gid=257618397"",""stock FAKTUR!B:C""),2,false)"),"KARTU STOCK KWARTO PUTIH")</f>
        <v>KARTU STOCK KWARTO PUTIH</v>
      </c>
      <c r="F974" s="145" t="str">
        <f>IFERROR(__xludf.DUMMYFUNCTION("vlookup($D974,IMPORTRANGE(""https://docs.google.com/spreadsheets/d/1swGwZOEqYlTEUCJLY-eeJM1911Kvaei5oySBIxdgtNo/edit?pli=1#gid=257618397"",""stock FAKTUR!B:d""),3,false)"),"A4")</f>
        <v>A4</v>
      </c>
      <c r="G974" s="145" t="str">
        <f>IFERROR(__xludf.DUMMYFUNCTION("vlookup($D974,IMPORTRANGE(""https://docs.google.com/spreadsheets/d/1swGwZOEqYlTEUCJLY-eeJM1911Kvaei5oySBIxdgtNo/edit?pli=1#gid=257618397"",""stock FAKTUR!B:e""),4,false)"),"PUTIH")</f>
        <v>PUTIH</v>
      </c>
      <c r="H974" s="145" t="str">
        <f>IFERROR(__xludf.DUMMYFUNCTION("vlookup($D974,IMPORTRANGE(""https://docs.google.com/spreadsheets/d/1swGwZOEqYlTEUCJLY-eeJM1911Kvaei5oySBIxdgtNo/edit?pli=1#gid=257618397"",""stock FAKTUR!B:F""),5,false)"),"NB")</f>
        <v>NB</v>
      </c>
      <c r="I974" s="145" t="str">
        <f>IFERROR(__xludf.DUMMYFUNCTION("vlookup($D974,IMPORTRANGE(""https://docs.google.com/spreadsheets/d/1swGwZOEqYlTEUCJLY-eeJM1911Kvaei5oySBIxdgtNo/edit?pli=1#gid=257618397"",""stock FAKTUR!B:G""),6,false)"),"")</f>
        <v/>
      </c>
      <c r="J974" s="199" t="str">
        <f t="shared" si="25"/>
        <v>ADA</v>
      </c>
      <c r="K974" s="142">
        <v>40.0</v>
      </c>
      <c r="L974" s="145" t="str">
        <f>IFERROR(__xludf.DUMMYFUNCTION("vlookup($D974,IMPORTRANGE(""https://docs.google.com/spreadsheets/d/1swGwZOEqYlTEUCJLY-eeJM1911Kvaei5oySBIxdgtNo/edit?pli=1#gid=257618397"",""stock FAKTUR!B:q""),16,false)"),"PAK")</f>
        <v>PAK</v>
      </c>
      <c r="M974" s="147">
        <v>19000.0</v>
      </c>
      <c r="N974" s="148"/>
      <c r="O974" s="147">
        <f t="shared" si="280"/>
        <v>760000</v>
      </c>
      <c r="P974" s="147" t="str">
        <f t="shared" si="3"/>
        <v>Rp19,000-40 PAK-0.00%</v>
      </c>
      <c r="Q974" s="149">
        <v>45433.0</v>
      </c>
      <c r="R974" s="150"/>
      <c r="S974" s="149">
        <v>45433.0</v>
      </c>
      <c r="T974" s="151"/>
      <c r="U974" s="151"/>
      <c r="V974" s="151"/>
      <c r="W974" s="151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</row>
    <row r="975">
      <c r="A975" s="142">
        <v>2939.0</v>
      </c>
      <c r="B975" s="143" t="str">
        <f t="shared" si="283"/>
        <v>H</v>
      </c>
      <c r="C975" s="143" t="str">
        <f t="shared" si="284"/>
        <v>DIAN ILMU-MALANG</v>
      </c>
      <c r="D975" s="70" t="s">
        <v>4815</v>
      </c>
      <c r="E975" s="145" t="str">
        <f>IFERROR(__xludf.DUMMYFUNCTION("vlookup(D975,IMPORTRANGE(""https://docs.google.com/spreadsheets/d/1swGwZOEqYlTEUCJLY-eeJM1911Kvaei5oySBIxdgtNo/edit?pli=1#gid=257618397"",""stock FAKTUR!B:C""),2,false)"),"PW KENKO BICOLOR 24W CP-24FBC CLASSIC")</f>
        <v>PW KENKO BICOLOR 24W CP-24FBC CLASSIC</v>
      </c>
      <c r="F975" s="145" t="str">
        <f>IFERROR(__xludf.DUMMYFUNCTION("vlookup($D975,IMPORTRANGE(""https://docs.google.com/spreadsheets/d/1swGwZOEqYlTEUCJLY-eeJM1911Kvaei5oySBIxdgtNo/edit?pli=1#gid=257618397"",""stock FAKTUR!B:d""),3,false)"),"")</f>
        <v/>
      </c>
      <c r="G975" s="145" t="str">
        <f>IFERROR(__xludf.DUMMYFUNCTION("vlookup($D975,IMPORTRANGE(""https://docs.google.com/spreadsheets/d/1swGwZOEqYlTEUCJLY-eeJM1911Kvaei5oySBIxdgtNo/edit?pli=1#gid=257618397"",""stock FAKTUR!B:e""),4,false)"),"24W")</f>
        <v>24W</v>
      </c>
      <c r="H975" s="145" t="str">
        <f>IFERROR(__xludf.DUMMYFUNCTION("vlookup($D975,IMPORTRANGE(""https://docs.google.com/spreadsheets/d/1swGwZOEqYlTEUCJLY-eeJM1911Kvaei5oySBIxdgtNo/edit?pli=1#gid=257618397"",""stock FAKTUR!B:F""),5,false)"),"KN")</f>
        <v>KN</v>
      </c>
      <c r="I975" s="145" t="str">
        <f>IFERROR(__xludf.DUMMYFUNCTION("vlookup($D975,IMPORTRANGE(""https://docs.google.com/spreadsheets/d/1swGwZOEqYlTEUCJLY-eeJM1911Kvaei5oySBIxdgtNo/edit?pli=1#gid=257618397"",""stock FAKTUR!B:G""),6,false)"),"CP-24FBC")</f>
        <v>CP-24FBC</v>
      </c>
      <c r="J975" s="199" t="str">
        <f t="shared" si="25"/>
        <v>ADA</v>
      </c>
      <c r="K975" s="142">
        <f>144/12</f>
        <v>12</v>
      </c>
      <c r="L975" s="145" t="str">
        <f>IFERROR(__xludf.DUMMYFUNCTION("vlookup($D975,IMPORTRANGE(""https://docs.google.com/spreadsheets/d/1swGwZOEqYlTEUCJLY-eeJM1911Kvaei5oySBIxdgtNo/edit?pli=1#gid=257618397"",""stock FAKTUR!B:q""),16,false)"),"LSN")</f>
        <v>LSN</v>
      </c>
      <c r="M975" s="147">
        <f>24500*12</f>
        <v>294000</v>
      </c>
      <c r="N975" s="152">
        <v>0.1</v>
      </c>
      <c r="O975" s="147">
        <f t="shared" si="280"/>
        <v>3175200</v>
      </c>
      <c r="P975" s="147" t="str">
        <f t="shared" si="3"/>
        <v>Rp294,000-12 LSN-10.00%</v>
      </c>
      <c r="Q975" s="149">
        <v>45433.0</v>
      </c>
      <c r="R975" s="150"/>
      <c r="S975" s="149">
        <v>45433.0</v>
      </c>
      <c r="T975" s="151"/>
      <c r="U975" s="151"/>
      <c r="V975" s="151"/>
      <c r="W975" s="151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</row>
    <row r="976">
      <c r="A976" s="142">
        <v>2937.0</v>
      </c>
      <c r="B976" s="143" t="s">
        <v>33</v>
      </c>
      <c r="C976" s="143" t="s">
        <v>4503</v>
      </c>
      <c r="D976" s="53" t="s">
        <v>4509</v>
      </c>
      <c r="E976" s="145" t="str">
        <f>IFERROR(__xludf.DUMMYFUNCTION("vlookup(D976,IMPORTRANGE(""https://docs.google.com/spreadsheets/d/1swGwZOEqYlTEUCJLY-eeJM1911Kvaei5oySBIxdgtNo/edit?pli=1#gid=257618397"",""stock FAKTUR!B:C""),2,false)"),"PW JK 12W CP-103")</f>
        <v>PW JK 12W CP-103</v>
      </c>
      <c r="F976" s="145" t="str">
        <f>IFERROR(__xludf.DUMMYFUNCTION("vlookup($D976,IMPORTRANGE(""https://docs.google.com/spreadsheets/d/1swGwZOEqYlTEUCJLY-eeJM1911Kvaei5oySBIxdgtNo/edit?pli=1#gid=257618397"",""stock FAKTUR!B:d""),3,false)"),"")</f>
        <v/>
      </c>
      <c r="G976" s="145" t="str">
        <f>IFERROR(__xludf.DUMMYFUNCTION("vlookup($D976,IMPORTRANGE(""https://docs.google.com/spreadsheets/d/1swGwZOEqYlTEUCJLY-eeJM1911Kvaei5oySBIxdgtNo/edit?pli=1#gid=257618397"",""stock FAKTUR!B:e""),4,false)"),"12W")</f>
        <v>12W</v>
      </c>
      <c r="H976" s="145" t="str">
        <f>IFERROR(__xludf.DUMMYFUNCTION("vlookup($D976,IMPORTRANGE(""https://docs.google.com/spreadsheets/d/1swGwZOEqYlTEUCJLY-eeJM1911Kvaei5oySBIxdgtNo/edit?pli=1#gid=257618397"",""stock FAKTUR!B:F""),5,false)"),"JK")</f>
        <v>JK</v>
      </c>
      <c r="I976" s="145" t="str">
        <f>IFERROR(__xludf.DUMMYFUNCTION("vlookup($D976,IMPORTRANGE(""https://docs.google.com/spreadsheets/d/1swGwZOEqYlTEUCJLY-eeJM1911Kvaei5oySBIxdgtNo/edit?pli=1#gid=257618397"",""stock FAKTUR!B:G""),6,false)"),"CP-103")</f>
        <v>CP-103</v>
      </c>
      <c r="J976" s="199" t="str">
        <f t="shared" si="25"/>
        <v>ADA</v>
      </c>
      <c r="K976" s="142">
        <f t="shared" ref="K976:K977" si="285">12*12</f>
        <v>144</v>
      </c>
      <c r="L976" s="145" t="str">
        <f>IFERROR(__xludf.DUMMYFUNCTION("vlookup($D976,IMPORTRANGE(""https://docs.google.com/spreadsheets/d/1swGwZOEqYlTEUCJLY-eeJM1911Kvaei5oySBIxdgtNo/edit?pli=1#gid=257618397"",""stock FAKTUR!B:q""),16,false)"),"PCS")</f>
        <v>PCS</v>
      </c>
      <c r="M976" s="147">
        <f>100800/12</f>
        <v>8400</v>
      </c>
      <c r="N976" s="152">
        <v>0.125</v>
      </c>
      <c r="O976" s="147">
        <f t="shared" si="280"/>
        <v>1058400</v>
      </c>
      <c r="P976" s="147" t="str">
        <f t="shared" si="3"/>
        <v>Rp8,400-144 PCS-12.50%</v>
      </c>
      <c r="Q976" s="149">
        <v>45433.0</v>
      </c>
      <c r="R976" s="150"/>
      <c r="S976" s="149">
        <v>45433.0</v>
      </c>
      <c r="T976" s="151"/>
      <c r="U976" s="151"/>
      <c r="V976" s="151"/>
      <c r="W976" s="151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</row>
    <row r="977">
      <c r="A977" s="142">
        <v>2937.0</v>
      </c>
      <c r="B977" s="143" t="str">
        <f t="shared" ref="B977:B978" si="286">IF(A977=A976,B976,"")</f>
        <v>H</v>
      </c>
      <c r="C977" s="143" t="str">
        <f t="shared" ref="C977:C978" si="287">IF(A977=A976,C976,"")</f>
        <v>MERPATI-MALANG</v>
      </c>
      <c r="D977" s="53" t="s">
        <v>4571</v>
      </c>
      <c r="E977" s="145" t="str">
        <f>IFERROR(__xludf.DUMMYFUNCTION("vlookup(D977,IMPORTRANGE(""https://docs.google.com/spreadsheets/d/1swGwZOEqYlTEUCJLY-eeJM1911Kvaei5oySBIxdgtNo/edit?pli=1#gid=257618397"",""stock FAKTUR!B:C""),2,false)"),"PW JK CP-104")</f>
        <v>PW JK CP-104</v>
      </c>
      <c r="F977" s="145" t="str">
        <f>IFERROR(__xludf.DUMMYFUNCTION("vlookup($D977,IMPORTRANGE(""https://docs.google.com/spreadsheets/d/1swGwZOEqYlTEUCJLY-eeJM1911Kvaei5oySBIxdgtNo/edit?pli=1#gid=257618397"",""stock FAKTUR!B:d""),3,false)"),"")</f>
        <v/>
      </c>
      <c r="G977" s="145" t="str">
        <f>IFERROR(__xludf.DUMMYFUNCTION("vlookup($D977,IMPORTRANGE(""https://docs.google.com/spreadsheets/d/1swGwZOEqYlTEUCJLY-eeJM1911Kvaei5oySBIxdgtNo/edit?pli=1#gid=257618397"",""stock FAKTUR!B:e""),4,false)"),"")</f>
        <v/>
      </c>
      <c r="H977" s="145" t="str">
        <f>IFERROR(__xludf.DUMMYFUNCTION("vlookup($D977,IMPORTRANGE(""https://docs.google.com/spreadsheets/d/1swGwZOEqYlTEUCJLY-eeJM1911Kvaei5oySBIxdgtNo/edit?pli=1#gid=257618397"",""stock FAKTUR!B:F""),5,false)"),"JK")</f>
        <v>JK</v>
      </c>
      <c r="I977" s="145" t="str">
        <f>IFERROR(__xludf.DUMMYFUNCTION("vlookup($D977,IMPORTRANGE(""https://docs.google.com/spreadsheets/d/1swGwZOEqYlTEUCJLY-eeJM1911Kvaei5oySBIxdgtNo/edit?pli=1#gid=257618397"",""stock FAKTUR!B:G""),6,false)"),"CP-104")</f>
        <v>CP-104</v>
      </c>
      <c r="J977" s="199" t="str">
        <f t="shared" si="25"/>
        <v>ADA</v>
      </c>
      <c r="K977" s="142">
        <f t="shared" si="285"/>
        <v>144</v>
      </c>
      <c r="L977" s="145" t="str">
        <f>IFERROR(__xludf.DUMMYFUNCTION("vlookup($D977,IMPORTRANGE(""https://docs.google.com/spreadsheets/d/1swGwZOEqYlTEUCJLY-eeJM1911Kvaei5oySBIxdgtNo/edit?pli=1#gid=257618397"",""stock FAKTUR!B:q""),16,false)"),"PCS")</f>
        <v>PCS</v>
      </c>
      <c r="M977" s="147">
        <f>201600/12</f>
        <v>16800</v>
      </c>
      <c r="N977" s="152">
        <v>0.125</v>
      </c>
      <c r="O977" s="147">
        <f t="shared" si="280"/>
        <v>2116800</v>
      </c>
      <c r="P977" s="147" t="str">
        <f t="shared" si="3"/>
        <v>Rp16,800-144 PCS-12.50%</v>
      </c>
      <c r="Q977" s="149">
        <v>45433.0</v>
      </c>
      <c r="R977" s="150"/>
      <c r="S977" s="149">
        <v>45433.0</v>
      </c>
      <c r="T977" s="151"/>
      <c r="U977" s="151"/>
      <c r="V977" s="151"/>
      <c r="W977" s="151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</row>
    <row r="978">
      <c r="A978" s="142">
        <v>2937.0</v>
      </c>
      <c r="B978" s="143" t="str">
        <f t="shared" si="286"/>
        <v>H</v>
      </c>
      <c r="C978" s="143" t="str">
        <f t="shared" si="287"/>
        <v>MERPATI-MALANG</v>
      </c>
      <c r="D978" s="53" t="s">
        <v>4529</v>
      </c>
      <c r="E978" s="145" t="str">
        <f>IFERROR(__xludf.DUMMYFUNCTION("vlookup(D978,IMPORTRANGE(""https://docs.google.com/spreadsheets/d/1swGwZOEqYlTEUCJLY-eeJM1911Kvaei5oySBIxdgtNo/edit?pli=1#gid=257618397"",""stock FAKTUR!B:C""),2,false)"),"PW JK CP-107")</f>
        <v>PW JK CP-107</v>
      </c>
      <c r="F978" s="145" t="str">
        <f>IFERROR(__xludf.DUMMYFUNCTION("vlookup($D978,IMPORTRANGE(""https://docs.google.com/spreadsheets/d/1swGwZOEqYlTEUCJLY-eeJM1911Kvaei5oySBIxdgtNo/edit?pli=1#gid=257618397"",""stock FAKTUR!B:d""),3,false)"),"")</f>
        <v/>
      </c>
      <c r="G978" s="145" t="str">
        <f>IFERROR(__xludf.DUMMYFUNCTION("vlookup($D978,IMPORTRANGE(""https://docs.google.com/spreadsheets/d/1swGwZOEqYlTEUCJLY-eeJM1911Kvaei5oySBIxdgtNo/edit?pli=1#gid=257618397"",""stock FAKTUR!B:e""),4,false)"),"")</f>
        <v/>
      </c>
      <c r="H978" s="145" t="str">
        <f>IFERROR(__xludf.DUMMYFUNCTION("vlookup($D978,IMPORTRANGE(""https://docs.google.com/spreadsheets/d/1swGwZOEqYlTEUCJLY-eeJM1911Kvaei5oySBIxdgtNo/edit?pli=1#gid=257618397"",""stock FAKTUR!B:F""),5,false)"),"JK")</f>
        <v>JK</v>
      </c>
      <c r="I978" s="145" t="str">
        <f>IFERROR(__xludf.DUMMYFUNCTION("vlookup($D978,IMPORTRANGE(""https://docs.google.com/spreadsheets/d/1swGwZOEqYlTEUCJLY-eeJM1911Kvaei5oySBIxdgtNo/edit?pli=1#gid=257618397"",""stock FAKTUR!B:G""),6,false)"),"CP-107")</f>
        <v>CP-107</v>
      </c>
      <c r="J978" s="199" t="str">
        <f t="shared" si="25"/>
        <v>ADA</v>
      </c>
      <c r="K978" s="142">
        <f>48/2</f>
        <v>24</v>
      </c>
      <c r="L978" s="145" t="str">
        <f>IFERROR(__xludf.DUMMYFUNCTION("vlookup($D978,IMPORTRANGE(""https://docs.google.com/spreadsheets/d/1swGwZOEqYlTEUCJLY-eeJM1911Kvaei5oySBIxdgtNo/edit?pli=1#gid=257618397"",""stock FAKTUR!B:q""),16,false)"),"BOX")</f>
        <v>BOX</v>
      </c>
      <c r="M978" s="147">
        <f>64800*2</f>
        <v>129600</v>
      </c>
      <c r="N978" s="152">
        <v>0.125</v>
      </c>
      <c r="O978" s="147">
        <f t="shared" si="280"/>
        <v>2721600</v>
      </c>
      <c r="P978" s="147" t="str">
        <f t="shared" si="3"/>
        <v>Rp129,600-24 BOX-12.50%</v>
      </c>
      <c r="Q978" s="149">
        <v>45433.0</v>
      </c>
      <c r="R978" s="150"/>
      <c r="S978" s="149">
        <v>45433.0</v>
      </c>
      <c r="T978" s="151"/>
      <c r="U978" s="151"/>
      <c r="V978" s="151"/>
      <c r="W978" s="151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</row>
    <row r="979">
      <c r="A979" s="142">
        <v>4957.0</v>
      </c>
      <c r="B979" s="143" t="s">
        <v>33</v>
      </c>
      <c r="C979" s="143" t="s">
        <v>4607</v>
      </c>
      <c r="D979" s="53" t="s">
        <v>4399</v>
      </c>
      <c r="E979" s="145" t="str">
        <f>IFERROR(__xludf.DUMMYFUNCTION("vlookup(D979,IMPORTRANGE(""https://docs.google.com/spreadsheets/d/1swGwZOEqYlTEUCJLY-eeJM1911Kvaei5oySBIxdgtNo/edit?pli=1#gid=257618397"",""stock FAKTUR!B:C""),2,false)"),"PW KENKO 12W CP-12F CLASSIC PANJANG")</f>
        <v>PW KENKO 12W CP-12F CLASSIC PANJANG</v>
      </c>
      <c r="F979" s="145" t="str">
        <f>IFERROR(__xludf.DUMMYFUNCTION("vlookup($D979,IMPORTRANGE(""https://docs.google.com/spreadsheets/d/1swGwZOEqYlTEUCJLY-eeJM1911Kvaei5oySBIxdgtNo/edit?pli=1#gid=257618397"",""stock FAKTUR!B:d""),3,false)"),"")</f>
        <v/>
      </c>
      <c r="G979" s="145" t="str">
        <f>IFERROR(__xludf.DUMMYFUNCTION("vlookup($D979,IMPORTRANGE(""https://docs.google.com/spreadsheets/d/1swGwZOEqYlTEUCJLY-eeJM1911Kvaei5oySBIxdgtNo/edit?pli=1#gid=257618397"",""stock FAKTUR!B:e""),4,false)"),"12W")</f>
        <v>12W</v>
      </c>
      <c r="H979" s="145" t="str">
        <f>IFERROR(__xludf.DUMMYFUNCTION("vlookup($D979,IMPORTRANGE(""https://docs.google.com/spreadsheets/d/1swGwZOEqYlTEUCJLY-eeJM1911Kvaei5oySBIxdgtNo/edit?pli=1#gid=257618397"",""stock FAKTUR!B:F""),5,false)"),"KN")</f>
        <v>KN</v>
      </c>
      <c r="I979" s="145" t="str">
        <f>IFERROR(__xludf.DUMMYFUNCTION("vlookup($D979,IMPORTRANGE(""https://docs.google.com/spreadsheets/d/1swGwZOEqYlTEUCJLY-eeJM1911Kvaei5oySBIxdgtNo/edit?pli=1#gid=257618397"",""stock FAKTUR!B:G""),6,false)"),"CP-12F")</f>
        <v>CP-12F</v>
      </c>
      <c r="J979" s="199" t="str">
        <f t="shared" si="25"/>
        <v>ADA</v>
      </c>
      <c r="K979" s="142">
        <v>48.0</v>
      </c>
      <c r="L979" s="145" t="str">
        <f>IFERROR(__xludf.DUMMYFUNCTION("vlookup($D979,IMPORTRANGE(""https://docs.google.com/spreadsheets/d/1swGwZOEqYlTEUCJLY-eeJM1911Kvaei5oySBIxdgtNo/edit?pli=1#gid=257618397"",""stock FAKTUR!B:q""),16,false)"),"LSN")</f>
        <v>LSN</v>
      </c>
      <c r="M979" s="147">
        <v>124200.0</v>
      </c>
      <c r="N979" s="152">
        <v>0.135</v>
      </c>
      <c r="O979" s="147">
        <f t="shared" si="280"/>
        <v>5156784</v>
      </c>
      <c r="P979" s="147" t="str">
        <f t="shared" si="3"/>
        <v>Rp124,200-48 LSN-13.50%</v>
      </c>
      <c r="Q979" s="149">
        <v>45433.0</v>
      </c>
      <c r="R979" s="150"/>
      <c r="S979" s="149">
        <v>45433.0</v>
      </c>
      <c r="T979" s="151"/>
      <c r="U979" s="151"/>
      <c r="V979" s="151"/>
      <c r="W979" s="151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</row>
    <row r="980">
      <c r="A980" s="142">
        <v>4957.0</v>
      </c>
      <c r="B980" s="143" t="str">
        <f>IF(A980=A979,B979,"")</f>
        <v>H</v>
      </c>
      <c r="C980" s="143" t="str">
        <f>IF(A980=A979,C979,"")</f>
        <v>ANUGRAH SEJAHTERA-PURWOKERTO</v>
      </c>
      <c r="D980" s="53" t="s">
        <v>4433</v>
      </c>
      <c r="E980" s="145" t="str">
        <f>IFERROR(__xludf.DUMMYFUNCTION("vlookup(D980,IMPORTRANGE(""https://docs.google.com/spreadsheets/d/1swGwZOEqYlTEUCJLY-eeJM1911Kvaei5oySBIxdgtNo/edit?pli=1#gid=257618397"",""stock FAKTUR!B:C""),2,false)"),"PW JK CP-12PB PANJANG")</f>
        <v>PW JK CP-12PB PANJANG</v>
      </c>
      <c r="F980" s="145" t="str">
        <f>IFERROR(__xludf.DUMMYFUNCTION("vlookup($D980,IMPORTRANGE(""https://docs.google.com/spreadsheets/d/1swGwZOEqYlTEUCJLY-eeJM1911Kvaei5oySBIxdgtNo/edit?pli=1#gid=257618397"",""stock FAKTUR!B:d""),3,false)"),"")</f>
        <v/>
      </c>
      <c r="G980" s="145" t="str">
        <f>IFERROR(__xludf.DUMMYFUNCTION("vlookup($D980,IMPORTRANGE(""https://docs.google.com/spreadsheets/d/1swGwZOEqYlTEUCJLY-eeJM1911Kvaei5oySBIxdgtNo/edit?pli=1#gid=257618397"",""stock FAKTUR!B:e""),4,false)"),"12W")</f>
        <v>12W</v>
      </c>
      <c r="H980" s="145" t="str">
        <f>IFERROR(__xludf.DUMMYFUNCTION("vlookup($D980,IMPORTRANGE(""https://docs.google.com/spreadsheets/d/1swGwZOEqYlTEUCJLY-eeJM1911Kvaei5oySBIxdgtNo/edit?pli=1#gid=257618397"",""stock FAKTUR!B:F""),5,false)"),"JK")</f>
        <v>JK</v>
      </c>
      <c r="I980" s="145" t="str">
        <f>IFERROR(__xludf.DUMMYFUNCTION("vlookup($D980,IMPORTRANGE(""https://docs.google.com/spreadsheets/d/1swGwZOEqYlTEUCJLY-eeJM1911Kvaei5oySBIxdgtNo/edit?pli=1#gid=257618397"",""stock FAKTUR!B:G""),6,false)"),"CP-12PB")</f>
        <v>CP-12PB</v>
      </c>
      <c r="J980" s="199" t="str">
        <f t="shared" si="25"/>
        <v>ADA</v>
      </c>
      <c r="K980" s="142">
        <f>24*12</f>
        <v>288</v>
      </c>
      <c r="L980" s="145" t="str">
        <f>IFERROR(__xludf.DUMMYFUNCTION("vlookup($D980,IMPORTRANGE(""https://docs.google.com/spreadsheets/d/1swGwZOEqYlTEUCJLY-eeJM1911Kvaei5oySBIxdgtNo/edit?pli=1#gid=257618397"",""stock FAKTUR!B:q""),16,false)"),"PCS")</f>
        <v>PCS</v>
      </c>
      <c r="M980" s="147">
        <f>122400/12</f>
        <v>10200</v>
      </c>
      <c r="N980" s="152">
        <v>0.135</v>
      </c>
      <c r="O980" s="147">
        <f t="shared" si="280"/>
        <v>2541024</v>
      </c>
      <c r="P980" s="147" t="str">
        <f t="shared" si="3"/>
        <v>Rp10,200-288 PCS-13.50%</v>
      </c>
      <c r="Q980" s="149">
        <v>45433.0</v>
      </c>
      <c r="R980" s="150"/>
      <c r="S980" s="149">
        <v>45433.0</v>
      </c>
      <c r="T980" s="151"/>
      <c r="U980" s="151"/>
      <c r="V980" s="151"/>
      <c r="W980" s="151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</row>
    <row r="981">
      <c r="A981" s="142">
        <v>1606.0</v>
      </c>
      <c r="B981" s="143" t="s">
        <v>65</v>
      </c>
      <c r="C981" s="143" t="s">
        <v>3903</v>
      </c>
      <c r="D981" s="53" t="s">
        <v>4396</v>
      </c>
      <c r="E981" s="145" t="str">
        <f>IFERROR(__xludf.DUMMYFUNCTION("vlookup(D981,IMPORTRANGE(""https://docs.google.com/spreadsheets/d/1swGwZOEqYlTEUCJLY-eeJM1911Kvaei5oySBIxdgtNo/edit?pli=1#gid=257618397"",""stock FAKTUR!B:C""),2,false)"),"STAPLER KENKO HD-10")</f>
        <v>STAPLER KENKO HD-10</v>
      </c>
      <c r="F981" s="145" t="str">
        <f>IFERROR(__xludf.DUMMYFUNCTION("vlookup($D981,IMPORTRANGE(""https://docs.google.com/spreadsheets/d/1swGwZOEqYlTEUCJLY-eeJM1911Kvaei5oySBIxdgtNo/edit?pli=1#gid=257618397"",""stock FAKTUR!B:d""),3,false)"),"")</f>
        <v/>
      </c>
      <c r="G981" s="145" t="str">
        <f>IFERROR(__xludf.DUMMYFUNCTION("vlookup($D981,IMPORTRANGE(""https://docs.google.com/spreadsheets/d/1swGwZOEqYlTEUCJLY-eeJM1911Kvaei5oySBIxdgtNo/edit?pli=1#gid=257618397"",""stock FAKTUR!B:e""),4,false)"),"")</f>
        <v/>
      </c>
      <c r="H981" s="145" t="str">
        <f>IFERROR(__xludf.DUMMYFUNCTION("vlookup($D981,IMPORTRANGE(""https://docs.google.com/spreadsheets/d/1swGwZOEqYlTEUCJLY-eeJM1911Kvaei5oySBIxdgtNo/edit?pli=1#gid=257618397"",""stock FAKTUR!B:F""),5,false)"),"KN")</f>
        <v>KN</v>
      </c>
      <c r="I981" s="145" t="str">
        <f>IFERROR(__xludf.DUMMYFUNCTION("vlookup($D981,IMPORTRANGE(""https://docs.google.com/spreadsheets/d/1swGwZOEqYlTEUCJLY-eeJM1911Kvaei5oySBIxdgtNo/edit?pli=1#gid=257618397"",""stock FAKTUR!B:G""),6,false)"),"HD-10")</f>
        <v>HD-10</v>
      </c>
      <c r="J981" s="199" t="str">
        <f t="shared" si="25"/>
        <v>ADA</v>
      </c>
      <c r="K981" s="142">
        <v>1.0</v>
      </c>
      <c r="L981" s="145" t="str">
        <f>IFERROR(__xludf.DUMMYFUNCTION("vlookup($D981,IMPORTRANGE(""https://docs.google.com/spreadsheets/d/1swGwZOEqYlTEUCJLY-eeJM1911Kvaei5oySBIxdgtNo/edit?pli=1#gid=257618397"",""stock FAKTUR!B:q""),16,false)"),"LSN")</f>
        <v>LSN</v>
      </c>
      <c r="M981" s="147">
        <v>93000.0</v>
      </c>
      <c r="N981" s="148"/>
      <c r="O981" s="147">
        <f t="shared" si="280"/>
        <v>93000</v>
      </c>
      <c r="P981" s="147" t="str">
        <f t="shared" si="3"/>
        <v>Rp93,000-1 LSN-0.00%</v>
      </c>
      <c r="Q981" s="149">
        <v>45432.0</v>
      </c>
      <c r="R981" s="150"/>
      <c r="S981" s="149">
        <v>45433.0</v>
      </c>
      <c r="T981" s="151"/>
      <c r="U981" s="151"/>
      <c r="V981" s="151"/>
      <c r="W981" s="151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</row>
    <row r="982">
      <c r="A982" s="142">
        <v>1606.0</v>
      </c>
      <c r="B982" s="143" t="str">
        <f t="shared" ref="B982:B996" si="288">IF(A982=A981,B981,"")</f>
        <v>A</v>
      </c>
      <c r="C982" s="143" t="str">
        <f t="shared" ref="C982:C996" si="289">IF(A982=A981,C981,"")</f>
        <v>BENGAWAN RETAIL MANDIRI (LUWES)-PURWODADI</v>
      </c>
      <c r="D982" s="53" t="s">
        <v>4537</v>
      </c>
      <c r="E982" s="145" t="str">
        <f>IFERROR(__xludf.DUMMYFUNCTION("vlookup(D982,IMPORTRANGE(""https://docs.google.com/spreadsheets/d/1swGwZOEqYlTEUCJLY-eeJM1911Kvaei5oySBIxdgtNo/edit?pli=1#gid=257618397"",""stock FAKTUR!B:C""),2,false)"),"BP VANCO VC-559 0.28 HT")</f>
        <v>BP VANCO VC-559 0.28 HT</v>
      </c>
      <c r="F982" s="145" t="str">
        <f>IFERROR(__xludf.DUMMYFUNCTION("vlookup($D982,IMPORTRANGE(""https://docs.google.com/spreadsheets/d/1swGwZOEqYlTEUCJLY-eeJM1911Kvaei5oySBIxdgtNo/edit?pli=1#gid=257618397"",""stock FAKTUR!B:d""),3,false)"),"")</f>
        <v/>
      </c>
      <c r="G982" s="145" t="str">
        <f>IFERROR(__xludf.DUMMYFUNCTION("vlookup($D982,IMPORTRANGE(""https://docs.google.com/spreadsheets/d/1swGwZOEqYlTEUCJLY-eeJM1911Kvaei5oySBIxdgtNo/edit?pli=1#gid=257618397"",""stock FAKTUR!B:e""),4,false)"),"")</f>
        <v/>
      </c>
      <c r="H982" s="145" t="str">
        <f>IFERROR(__xludf.DUMMYFUNCTION("vlookup($D982,IMPORTRANGE(""https://docs.google.com/spreadsheets/d/1swGwZOEqYlTEUCJLY-eeJM1911Kvaei5oySBIxdgtNo/edit?pli=1#gid=257618397"",""stock FAKTUR!B:F""),5,false)"),"VN")</f>
        <v>VN</v>
      </c>
      <c r="I982" s="145" t="str">
        <f>IFERROR(__xludf.DUMMYFUNCTION("vlookup($D982,IMPORTRANGE(""https://docs.google.com/spreadsheets/d/1swGwZOEqYlTEUCJLY-eeJM1911Kvaei5oySBIxdgtNo/edit?pli=1#gid=257618397"",""stock FAKTUR!B:G""),6,false)"),"")</f>
        <v/>
      </c>
      <c r="J982" s="199" t="str">
        <f t="shared" si="25"/>
        <v>ADA</v>
      </c>
      <c r="K982" s="142">
        <v>12.0</v>
      </c>
      <c r="L982" s="145" t="str">
        <f>IFERROR(__xludf.DUMMYFUNCTION("vlookup($D982,IMPORTRANGE(""https://docs.google.com/spreadsheets/d/1swGwZOEqYlTEUCJLY-eeJM1911Kvaei5oySBIxdgtNo/edit?pli=1#gid=257618397"",""stock FAKTUR!B:q""),16,false)"),"LSN")</f>
        <v>LSN</v>
      </c>
      <c r="M982" s="147">
        <v>28500.0</v>
      </c>
      <c r="N982" s="148"/>
      <c r="O982" s="147">
        <f t="shared" si="280"/>
        <v>342000</v>
      </c>
      <c r="P982" s="147" t="str">
        <f t="shared" si="3"/>
        <v>Rp28,500-12 LSN-0.00%</v>
      </c>
      <c r="Q982" s="149">
        <v>45432.0</v>
      </c>
      <c r="R982" s="150"/>
      <c r="S982" s="149">
        <v>45433.0</v>
      </c>
      <c r="T982" s="151"/>
      <c r="U982" s="151"/>
      <c r="V982" s="151"/>
      <c r="W982" s="151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</row>
    <row r="983">
      <c r="A983" s="142">
        <v>1606.0</v>
      </c>
      <c r="B983" s="143" t="str">
        <f t="shared" si="288"/>
        <v>A</v>
      </c>
      <c r="C983" s="143" t="str">
        <f t="shared" si="289"/>
        <v>BENGAWAN RETAIL MANDIRI (LUWES)-PURWODADI</v>
      </c>
      <c r="D983" s="53" t="s">
        <v>4569</v>
      </c>
      <c r="E983" s="145" t="str">
        <f>IFERROR(__xludf.DUMMYFUNCTION("vlookup(D983,IMPORTRANGE(""https://docs.google.com/spreadsheets/d/1swGwZOEqYlTEUCJLY-eeJM1911Kvaei5oySBIxdgtNo/edit?pli=1#gid=257618397"",""stock FAKTUR!B:C""),2,false)"),"GARISAN SET PS-9810")</f>
        <v>GARISAN SET PS-9810</v>
      </c>
      <c r="F983" s="145" t="str">
        <f>IFERROR(__xludf.DUMMYFUNCTION("vlookup($D983,IMPORTRANGE(""https://docs.google.com/spreadsheets/d/1swGwZOEqYlTEUCJLY-eeJM1911Kvaei5oySBIxdgtNo/edit?pli=1#gid=257618397"",""stock FAKTUR!B:d""),3,false)"),"")</f>
        <v/>
      </c>
      <c r="G983" s="145" t="str">
        <f>IFERROR(__xludf.DUMMYFUNCTION("vlookup($D983,IMPORTRANGE(""https://docs.google.com/spreadsheets/d/1swGwZOEqYlTEUCJLY-eeJM1911Kvaei5oySBIxdgtNo/edit?pli=1#gid=257618397"",""stock FAKTUR!B:e""),4,false)"),"")</f>
        <v/>
      </c>
      <c r="H983" s="145" t="str">
        <f>IFERROR(__xludf.DUMMYFUNCTION("vlookup($D983,IMPORTRANGE(""https://docs.google.com/spreadsheets/d/1swGwZOEqYlTEUCJLY-eeJM1911Kvaei5oySBIxdgtNo/edit?pli=1#gid=257618397"",""stock FAKTUR!B:F""),5,false)"),"NB")</f>
        <v>NB</v>
      </c>
      <c r="I983" s="145" t="str">
        <f>IFERROR(__xludf.DUMMYFUNCTION("vlookup($D983,IMPORTRANGE(""https://docs.google.com/spreadsheets/d/1swGwZOEqYlTEUCJLY-eeJM1911Kvaei5oySBIxdgtNo/edit?pli=1#gid=257618397"",""stock FAKTUR!B:G""),6,false)"),"9810")</f>
        <v>9810</v>
      </c>
      <c r="J983" s="199" t="str">
        <f t="shared" si="25"/>
        <v>ADA</v>
      </c>
      <c r="K983" s="142">
        <v>40.0</v>
      </c>
      <c r="L983" s="145" t="str">
        <f>IFERROR(__xludf.DUMMYFUNCTION("vlookup($D983,IMPORTRANGE(""https://docs.google.com/spreadsheets/d/1swGwZOEqYlTEUCJLY-eeJM1911Kvaei5oySBIxdgtNo/edit?pli=1#gid=257618397"",""stock FAKTUR!B:q""),16,false)"),"SET")</f>
        <v>SET</v>
      </c>
      <c r="M983" s="147">
        <f t="shared" ref="M983:M987" si="290">180000/40</f>
        <v>4500</v>
      </c>
      <c r="N983" s="148"/>
      <c r="O983" s="147">
        <f t="shared" si="280"/>
        <v>180000</v>
      </c>
      <c r="P983" s="147" t="str">
        <f t="shared" si="3"/>
        <v>Rp4,500-40 SET-0.00%</v>
      </c>
      <c r="Q983" s="149">
        <v>45432.0</v>
      </c>
      <c r="R983" s="150"/>
      <c r="S983" s="149">
        <v>45433.0</v>
      </c>
      <c r="T983" s="151"/>
      <c r="U983" s="151"/>
      <c r="V983" s="151"/>
      <c r="W983" s="151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</row>
    <row r="984">
      <c r="A984" s="142">
        <v>1606.0</v>
      </c>
      <c r="B984" s="143" t="str">
        <f t="shared" si="288"/>
        <v>A</v>
      </c>
      <c r="C984" s="143" t="str">
        <f t="shared" si="289"/>
        <v>BENGAWAN RETAIL MANDIRI (LUWES)-PURWODADI</v>
      </c>
      <c r="D984" s="53" t="s">
        <v>4570</v>
      </c>
      <c r="E984" s="145" t="str">
        <f>IFERROR(__xludf.DUMMYFUNCTION("vlookup(D984,IMPORTRANGE(""https://docs.google.com/spreadsheets/d/1swGwZOEqYlTEUCJLY-eeJM1911Kvaei5oySBIxdgtNo/edit?pli=1#gid=257618397"",""stock FAKTUR!B:C""),2,false)"),"GARISAN SET HZ-5012")</f>
        <v>GARISAN SET HZ-5012</v>
      </c>
      <c r="F984" s="145" t="str">
        <f>IFERROR(__xludf.DUMMYFUNCTION("vlookup($D984,IMPORTRANGE(""https://docs.google.com/spreadsheets/d/1swGwZOEqYlTEUCJLY-eeJM1911Kvaei5oySBIxdgtNo/edit?pli=1#gid=257618397"",""stock FAKTUR!B:d""),3,false)"),"")</f>
        <v/>
      </c>
      <c r="G984" s="145" t="str">
        <f>IFERROR(__xludf.DUMMYFUNCTION("vlookup($D984,IMPORTRANGE(""https://docs.google.com/spreadsheets/d/1swGwZOEqYlTEUCJLY-eeJM1911Kvaei5oySBIxdgtNo/edit?pli=1#gid=257618397"",""stock FAKTUR!B:e""),4,false)"),"")</f>
        <v/>
      </c>
      <c r="H984" s="145" t="str">
        <f>IFERROR(__xludf.DUMMYFUNCTION("vlookup($D984,IMPORTRANGE(""https://docs.google.com/spreadsheets/d/1swGwZOEqYlTEUCJLY-eeJM1911Kvaei5oySBIxdgtNo/edit?pli=1#gid=257618397"",""stock FAKTUR!B:F""),5,false)"),"NB")</f>
        <v>NB</v>
      </c>
      <c r="I984" s="145" t="str">
        <f>IFERROR(__xludf.DUMMYFUNCTION("vlookup($D984,IMPORTRANGE(""https://docs.google.com/spreadsheets/d/1swGwZOEqYlTEUCJLY-eeJM1911Kvaei5oySBIxdgtNo/edit?pli=1#gid=257618397"",""stock FAKTUR!B:G""),6,false)"),"HZ-5012")</f>
        <v>HZ-5012</v>
      </c>
      <c r="J984" s="199" t="str">
        <f t="shared" si="25"/>
        <v>ADA</v>
      </c>
      <c r="K984" s="142">
        <v>40.0</v>
      </c>
      <c r="L984" s="145" t="str">
        <f>IFERROR(__xludf.DUMMYFUNCTION("vlookup($D984,IMPORTRANGE(""https://docs.google.com/spreadsheets/d/1swGwZOEqYlTEUCJLY-eeJM1911Kvaei5oySBIxdgtNo/edit?pli=1#gid=257618397"",""stock FAKTUR!B:q""),16,false)"),"SET")</f>
        <v>SET</v>
      </c>
      <c r="M984" s="147">
        <f t="shared" si="290"/>
        <v>4500</v>
      </c>
      <c r="N984" s="148"/>
      <c r="O984" s="147">
        <f t="shared" si="280"/>
        <v>180000</v>
      </c>
      <c r="P984" s="147" t="str">
        <f t="shared" si="3"/>
        <v>Rp4,500-40 SET-0.00%</v>
      </c>
      <c r="Q984" s="149">
        <v>45432.0</v>
      </c>
      <c r="R984" s="150"/>
      <c r="S984" s="149">
        <v>45433.0</v>
      </c>
      <c r="T984" s="151"/>
      <c r="U984" s="151"/>
      <c r="V984" s="151"/>
      <c r="W984" s="151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</row>
    <row r="985">
      <c r="A985" s="142">
        <v>1606.0</v>
      </c>
      <c r="B985" s="143" t="str">
        <f t="shared" si="288"/>
        <v>A</v>
      </c>
      <c r="C985" s="143" t="str">
        <f t="shared" si="289"/>
        <v>BENGAWAN RETAIL MANDIRI (LUWES)-PURWODADI</v>
      </c>
      <c r="D985" s="53" t="s">
        <v>4756</v>
      </c>
      <c r="E985" s="145" t="str">
        <f>IFERROR(__xludf.DUMMYFUNCTION("vlookup(D985,IMPORTRANGE(""https://docs.google.com/spreadsheets/d/1swGwZOEqYlTEUCJLY-eeJM1911Kvaei5oySBIxdgtNo/edit?pli=1#gid=257618397"",""stock FAKTUR!B:C""),2,false)"),"GARISAN SET HZ-5013")</f>
        <v>GARISAN SET HZ-5013</v>
      </c>
      <c r="F985" s="145" t="str">
        <f>IFERROR(__xludf.DUMMYFUNCTION("vlookup($D985,IMPORTRANGE(""https://docs.google.com/spreadsheets/d/1swGwZOEqYlTEUCJLY-eeJM1911Kvaei5oySBIxdgtNo/edit?pli=1#gid=257618397"",""stock FAKTUR!B:d""),3,false)"),"")</f>
        <v/>
      </c>
      <c r="G985" s="145" t="str">
        <f>IFERROR(__xludf.DUMMYFUNCTION("vlookup($D985,IMPORTRANGE(""https://docs.google.com/spreadsheets/d/1swGwZOEqYlTEUCJLY-eeJM1911Kvaei5oySBIxdgtNo/edit?pli=1#gid=257618397"",""stock FAKTUR!B:e""),4,false)"),"")</f>
        <v/>
      </c>
      <c r="H985" s="145" t="str">
        <f>IFERROR(__xludf.DUMMYFUNCTION("vlookup($D985,IMPORTRANGE(""https://docs.google.com/spreadsheets/d/1swGwZOEqYlTEUCJLY-eeJM1911Kvaei5oySBIxdgtNo/edit?pli=1#gid=257618397"",""stock FAKTUR!B:F""),5,false)"),"NB")</f>
        <v>NB</v>
      </c>
      <c r="I985" s="145" t="str">
        <f>IFERROR(__xludf.DUMMYFUNCTION("vlookup($D985,IMPORTRANGE(""https://docs.google.com/spreadsheets/d/1swGwZOEqYlTEUCJLY-eeJM1911Kvaei5oySBIxdgtNo/edit?pli=1#gid=257618397"",""stock FAKTUR!B:G""),6,false)"),"HZ-5013")</f>
        <v>HZ-5013</v>
      </c>
      <c r="J985" s="199" t="str">
        <f t="shared" si="25"/>
        <v>ADA</v>
      </c>
      <c r="K985" s="142">
        <v>40.0</v>
      </c>
      <c r="L985" s="145" t="str">
        <f>IFERROR(__xludf.DUMMYFUNCTION("vlookup($D985,IMPORTRANGE(""https://docs.google.com/spreadsheets/d/1swGwZOEqYlTEUCJLY-eeJM1911Kvaei5oySBIxdgtNo/edit?pli=1#gid=257618397"",""stock FAKTUR!B:q""),16,false)"),"SET")</f>
        <v>SET</v>
      </c>
      <c r="M985" s="147">
        <f t="shared" si="290"/>
        <v>4500</v>
      </c>
      <c r="N985" s="148"/>
      <c r="O985" s="147">
        <f t="shared" si="280"/>
        <v>180000</v>
      </c>
      <c r="P985" s="147" t="str">
        <f t="shared" si="3"/>
        <v>Rp4,500-40 SET-0.00%</v>
      </c>
      <c r="Q985" s="149">
        <v>45432.0</v>
      </c>
      <c r="R985" s="150"/>
      <c r="S985" s="149">
        <v>45433.0</v>
      </c>
      <c r="T985" s="151"/>
      <c r="U985" s="151"/>
      <c r="V985" s="151"/>
      <c r="W985" s="151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</row>
    <row r="986">
      <c r="A986" s="142">
        <v>1606.0</v>
      </c>
      <c r="B986" s="143" t="str">
        <f t="shared" si="288"/>
        <v>A</v>
      </c>
      <c r="C986" s="143" t="str">
        <f t="shared" si="289"/>
        <v>BENGAWAN RETAIL MANDIRI (LUWES)-PURWODADI</v>
      </c>
      <c r="D986" s="53" t="s">
        <v>4553</v>
      </c>
      <c r="E986" s="145" t="str">
        <f>IFERROR(__xludf.DUMMYFUNCTION("vlookup(D986,IMPORTRANGE(""https://docs.google.com/spreadsheets/d/1swGwZOEqYlTEUCJLY-eeJM1911Kvaei5oySBIxdgtNo/edit?pli=1#gid=257618397"",""stock FAKTUR!B:C""),2,false)"),"GARISAN SET ZX 6116")</f>
        <v>GARISAN SET ZX 6116</v>
      </c>
      <c r="F986" s="145" t="str">
        <f>IFERROR(__xludf.DUMMYFUNCTION("vlookup($D986,IMPORTRANGE(""https://docs.google.com/spreadsheets/d/1swGwZOEqYlTEUCJLY-eeJM1911Kvaei5oySBIxdgtNo/edit?pli=1#gid=257618397"",""stock FAKTUR!B:d""),3,false)"),"")</f>
        <v/>
      </c>
      <c r="G986" s="145" t="str">
        <f>IFERROR(__xludf.DUMMYFUNCTION("vlookup($D986,IMPORTRANGE(""https://docs.google.com/spreadsheets/d/1swGwZOEqYlTEUCJLY-eeJM1911Kvaei5oySBIxdgtNo/edit?pli=1#gid=257618397"",""stock FAKTUR!B:e""),4,false)"),"")</f>
        <v/>
      </c>
      <c r="H986" s="145" t="str">
        <f>IFERROR(__xludf.DUMMYFUNCTION("vlookup($D986,IMPORTRANGE(""https://docs.google.com/spreadsheets/d/1swGwZOEqYlTEUCJLY-eeJM1911Kvaei5oySBIxdgtNo/edit?pli=1#gid=257618397"",""stock FAKTUR!B:F""),5,false)"),"ZX")</f>
        <v>ZX</v>
      </c>
      <c r="I986" s="145" t="str">
        <f>IFERROR(__xludf.DUMMYFUNCTION("vlookup($D986,IMPORTRANGE(""https://docs.google.com/spreadsheets/d/1swGwZOEqYlTEUCJLY-eeJM1911Kvaei5oySBIxdgtNo/edit?pli=1#gid=257618397"",""stock FAKTUR!B:G""),6,false)"),"6116")</f>
        <v>6116</v>
      </c>
      <c r="J986" s="199" t="str">
        <f t="shared" si="25"/>
        <v>ADA</v>
      </c>
      <c r="K986" s="142">
        <v>40.0</v>
      </c>
      <c r="L986" s="145" t="str">
        <f>IFERROR(__xludf.DUMMYFUNCTION("vlookup($D986,IMPORTRANGE(""https://docs.google.com/spreadsheets/d/1swGwZOEqYlTEUCJLY-eeJM1911Kvaei5oySBIxdgtNo/edit?pli=1#gid=257618397"",""stock FAKTUR!B:q""),16,false)"),"SET")</f>
        <v>SET</v>
      </c>
      <c r="M986" s="147">
        <f t="shared" si="290"/>
        <v>4500</v>
      </c>
      <c r="N986" s="148"/>
      <c r="O986" s="147">
        <f t="shared" si="280"/>
        <v>180000</v>
      </c>
      <c r="P986" s="147" t="str">
        <f t="shared" si="3"/>
        <v>Rp4,500-40 SET-0.00%</v>
      </c>
      <c r="Q986" s="149">
        <v>45432.0</v>
      </c>
      <c r="R986" s="150"/>
      <c r="S986" s="149">
        <v>45433.0</v>
      </c>
      <c r="T986" s="151"/>
      <c r="U986" s="151"/>
      <c r="V986" s="151"/>
      <c r="W986" s="151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</row>
    <row r="987">
      <c r="A987" s="142">
        <v>1606.0</v>
      </c>
      <c r="B987" s="143" t="str">
        <f t="shared" si="288"/>
        <v>A</v>
      </c>
      <c r="C987" s="143" t="str">
        <f t="shared" si="289"/>
        <v>BENGAWAN RETAIL MANDIRI (LUWES)-PURWODADI</v>
      </c>
      <c r="D987" s="53" t="s">
        <v>4695</v>
      </c>
      <c r="E987" s="145" t="str">
        <f>IFERROR(__xludf.DUMMYFUNCTION("vlookup(D987,IMPORTRANGE(""https://docs.google.com/spreadsheets/d/1swGwZOEqYlTEUCJLY-eeJM1911Kvaei5oySBIxdgtNo/edit?pli=1#gid=257618397"",""stock FAKTUR!B:C""),2,false)"),"GARISAN SET ZO-239")</f>
        <v>GARISAN SET ZO-239</v>
      </c>
      <c r="F987" s="145" t="str">
        <f>IFERROR(__xludf.DUMMYFUNCTION("vlookup($D987,IMPORTRANGE(""https://docs.google.com/spreadsheets/d/1swGwZOEqYlTEUCJLY-eeJM1911Kvaei5oySBIxdgtNo/edit?pli=1#gid=257618397"",""stock FAKTUR!B:d""),3,false)"),"")</f>
        <v/>
      </c>
      <c r="G987" s="145" t="str">
        <f>IFERROR(__xludf.DUMMYFUNCTION("vlookup($D987,IMPORTRANGE(""https://docs.google.com/spreadsheets/d/1swGwZOEqYlTEUCJLY-eeJM1911Kvaei5oySBIxdgtNo/edit?pli=1#gid=257618397"",""stock FAKTUR!B:e""),4,false)"),"")</f>
        <v/>
      </c>
      <c r="H987" s="145" t="str">
        <f>IFERROR(__xludf.DUMMYFUNCTION("vlookup($D987,IMPORTRANGE(""https://docs.google.com/spreadsheets/d/1swGwZOEqYlTEUCJLY-eeJM1911Kvaei5oySBIxdgtNo/edit?pli=1#gid=257618397"",""stock FAKTUR!B:F""),5,false)"),"NB")</f>
        <v>NB</v>
      </c>
      <c r="I987" s="145" t="str">
        <f>IFERROR(__xludf.DUMMYFUNCTION("vlookup($D987,IMPORTRANGE(""https://docs.google.com/spreadsheets/d/1swGwZOEqYlTEUCJLY-eeJM1911Kvaei5oySBIxdgtNo/edit?pli=1#gid=257618397"",""stock FAKTUR!B:G""),6,false)"),"ZO-239")</f>
        <v>ZO-239</v>
      </c>
      <c r="J987" s="199" t="str">
        <f t="shared" si="25"/>
        <v>ADA</v>
      </c>
      <c r="K987" s="142">
        <v>40.0</v>
      </c>
      <c r="L987" s="145" t="str">
        <f>IFERROR(__xludf.DUMMYFUNCTION("vlookup($D987,IMPORTRANGE(""https://docs.google.com/spreadsheets/d/1swGwZOEqYlTEUCJLY-eeJM1911Kvaei5oySBIxdgtNo/edit?pli=1#gid=257618397"",""stock FAKTUR!B:q""),16,false)"),"SET")</f>
        <v>SET</v>
      </c>
      <c r="M987" s="147">
        <f t="shared" si="290"/>
        <v>4500</v>
      </c>
      <c r="N987" s="148"/>
      <c r="O987" s="147">
        <f t="shared" si="280"/>
        <v>180000</v>
      </c>
      <c r="P987" s="147" t="str">
        <f t="shared" si="3"/>
        <v>Rp4,500-40 SET-0.00%</v>
      </c>
      <c r="Q987" s="149">
        <v>45432.0</v>
      </c>
      <c r="R987" s="150"/>
      <c r="S987" s="149">
        <v>45433.0</v>
      </c>
      <c r="T987" s="151"/>
      <c r="U987" s="151"/>
      <c r="V987" s="151"/>
      <c r="W987" s="151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</row>
    <row r="988">
      <c r="A988" s="142">
        <v>1606.0</v>
      </c>
      <c r="B988" s="143" t="str">
        <f t="shared" si="288"/>
        <v>A</v>
      </c>
      <c r="C988" s="143" t="str">
        <f t="shared" si="289"/>
        <v>BENGAWAN RETAIL MANDIRI (LUWES)-PURWODADI</v>
      </c>
      <c r="D988" s="53" t="s">
        <v>4646</v>
      </c>
      <c r="E988" s="145" t="str">
        <f>IFERROR(__xludf.DUMMYFUNCTION("vlookup(D988,IMPORTRANGE(""https://docs.google.com/spreadsheets/d/1swGwZOEqYlTEUCJLY-eeJM1911Kvaei5oySBIxdgtNo/edit?pli=1#gid=257618397"",""stock FAKTUR!B:C""),2,false)"),"SAMPUL KWARTO BATIK ALFA")</f>
        <v>SAMPUL KWARTO BATIK ALFA</v>
      </c>
      <c r="F988" s="145" t="str">
        <f>IFERROR(__xludf.DUMMYFUNCTION("vlookup($D988,IMPORTRANGE(""https://docs.google.com/spreadsheets/d/1swGwZOEqYlTEUCJLY-eeJM1911Kvaei5oySBIxdgtNo/edit?pli=1#gid=257618397"",""stock FAKTUR!B:d""),3,false)"),"")</f>
        <v/>
      </c>
      <c r="G988" s="145" t="str">
        <f>IFERROR(__xludf.DUMMYFUNCTION("vlookup($D988,IMPORTRANGE(""https://docs.google.com/spreadsheets/d/1swGwZOEqYlTEUCJLY-eeJM1911Kvaei5oySBIxdgtNo/edit?pli=1#gid=257618397"",""stock FAKTUR!B:e""),4,false)"),"")</f>
        <v/>
      </c>
      <c r="H988" s="145" t="str">
        <f>IFERROR(__xludf.DUMMYFUNCTION("vlookup($D988,IMPORTRANGE(""https://docs.google.com/spreadsheets/d/1swGwZOEqYlTEUCJLY-eeJM1911Kvaei5oySBIxdgtNo/edit?pli=1#gid=257618397"",""stock FAKTUR!B:F""),5,false)"),"NB")</f>
        <v>NB</v>
      </c>
      <c r="I988" s="145" t="str">
        <f>IFERROR(__xludf.DUMMYFUNCTION("vlookup($D988,IMPORTRANGE(""https://docs.google.com/spreadsheets/d/1swGwZOEqYlTEUCJLY-eeJM1911Kvaei5oySBIxdgtNo/edit?pli=1#gid=257618397"",""stock FAKTUR!B:G""),6,false)"),"")</f>
        <v/>
      </c>
      <c r="J988" s="199" t="str">
        <f t="shared" si="25"/>
        <v>ADA</v>
      </c>
      <c r="K988" s="142">
        <f>100</f>
        <v>100</v>
      </c>
      <c r="L988" s="145" t="str">
        <f>IFERROR(__xludf.DUMMYFUNCTION("vlookup($D988,IMPORTRANGE(""https://docs.google.com/spreadsheets/d/1swGwZOEqYlTEUCJLY-eeJM1911Kvaei5oySBIxdgtNo/edit?pli=1#gid=257618397"",""stock FAKTUR!B:q""),16,false)"),"PCS")</f>
        <v>PCS</v>
      </c>
      <c r="M988" s="147">
        <f>8500</f>
        <v>8500</v>
      </c>
      <c r="N988" s="148"/>
      <c r="O988" s="147">
        <f t="shared" si="280"/>
        <v>850000</v>
      </c>
      <c r="P988" s="147" t="str">
        <f t="shared" si="3"/>
        <v>Rp8,500-100 PCS-0.00%</v>
      </c>
      <c r="Q988" s="149">
        <v>45432.0</v>
      </c>
      <c r="R988" s="150"/>
      <c r="S988" s="149">
        <v>45433.0</v>
      </c>
      <c r="T988" s="151"/>
      <c r="U988" s="151"/>
      <c r="V988" s="151"/>
      <c r="W988" s="151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</row>
    <row r="989">
      <c r="A989" s="142">
        <v>1606.0</v>
      </c>
      <c r="B989" s="143" t="str">
        <f t="shared" si="288"/>
        <v>A</v>
      </c>
      <c r="C989" s="143" t="str">
        <f t="shared" si="289"/>
        <v>BENGAWAN RETAIL MANDIRI (LUWES)-PURWODADI</v>
      </c>
      <c r="D989" s="53" t="s">
        <v>4710</v>
      </c>
      <c r="E989" s="145" t="str">
        <f>IFERROR(__xludf.DUMMYFUNCTION("vlookup(D989,IMPORTRANGE(""https://docs.google.com/spreadsheets/d/1swGwZOEqYlTEUCJLY-eeJM1911Kvaei5oySBIxdgtNo/edit?pli=1#gid=257618397"",""stock FAKTUR!B:C""),2,false)"),"SAMPUL BOXY BATIK")</f>
        <v>SAMPUL BOXY BATIK</v>
      </c>
      <c r="F989" s="145" t="str">
        <f>IFERROR(__xludf.DUMMYFUNCTION("vlookup($D989,IMPORTRANGE(""https://docs.google.com/spreadsheets/d/1swGwZOEqYlTEUCJLY-eeJM1911Kvaei5oySBIxdgtNo/edit?pli=1#gid=257618397"",""stock FAKTUR!B:d""),3,false)"),"")</f>
        <v/>
      </c>
      <c r="G989" s="145" t="str">
        <f>IFERROR(__xludf.DUMMYFUNCTION("vlookup($D989,IMPORTRANGE(""https://docs.google.com/spreadsheets/d/1swGwZOEqYlTEUCJLY-eeJM1911Kvaei5oySBIxdgtNo/edit?pli=1#gid=257618397"",""stock FAKTUR!B:e""),4,false)"),"")</f>
        <v/>
      </c>
      <c r="H989" s="145" t="str">
        <f>IFERROR(__xludf.DUMMYFUNCTION("vlookup($D989,IMPORTRANGE(""https://docs.google.com/spreadsheets/d/1swGwZOEqYlTEUCJLY-eeJM1911Kvaei5oySBIxdgtNo/edit?pli=1#gid=257618397"",""stock FAKTUR!B:F""),5,false)"),"NB")</f>
        <v>NB</v>
      </c>
      <c r="I989" s="145" t="str">
        <f>IFERROR(__xludf.DUMMYFUNCTION("vlookup($D989,IMPORTRANGE(""https://docs.google.com/spreadsheets/d/1swGwZOEqYlTEUCJLY-eeJM1911Kvaei5oySBIxdgtNo/edit?pli=1#gid=257618397"",""stock FAKTUR!B:G""),6,false)"),"")</f>
        <v/>
      </c>
      <c r="J989" s="199" t="str">
        <f t="shared" si="25"/>
        <v>ADA</v>
      </c>
      <c r="K989" s="184">
        <v>100.0</v>
      </c>
      <c r="L989" s="145" t="str">
        <f>IFERROR(__xludf.DUMMYFUNCTION("vlookup($D989,IMPORTRANGE(""https://docs.google.com/spreadsheets/d/1swGwZOEqYlTEUCJLY-eeJM1911Kvaei5oySBIxdgtNo/edit?pli=1#gid=257618397"",""stock FAKTUR!B:q""),16,false)"),"PCS")</f>
        <v>PCS</v>
      </c>
      <c r="M989" s="147">
        <f>11000</f>
        <v>11000</v>
      </c>
      <c r="N989" s="148"/>
      <c r="O989" s="147">
        <f t="shared" si="280"/>
        <v>1100000</v>
      </c>
      <c r="P989" s="147" t="str">
        <f t="shared" si="3"/>
        <v>Rp11,000-100 PCS-0.00%</v>
      </c>
      <c r="Q989" s="149">
        <v>45432.0</v>
      </c>
      <c r="R989" s="150"/>
      <c r="S989" s="149">
        <v>45433.0</v>
      </c>
      <c r="T989" s="151"/>
      <c r="U989" s="151"/>
      <c r="V989" s="151"/>
      <c r="W989" s="151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</row>
    <row r="990">
      <c r="A990" s="142">
        <v>1606.0</v>
      </c>
      <c r="B990" s="143" t="str">
        <f t="shared" si="288"/>
        <v>A</v>
      </c>
      <c r="C990" s="143" t="str">
        <f t="shared" si="289"/>
        <v>BENGAWAN RETAIL MANDIRI (LUWES)-PURWODADI</v>
      </c>
      <c r="D990" s="53" t="s">
        <v>4755</v>
      </c>
      <c r="E990" s="145" t="str">
        <f>IFERROR(__xludf.DUMMYFUNCTION("vlookup(D990,IMPORTRANGE(""https://docs.google.com/spreadsheets/d/1swGwZOEqYlTEUCJLY-eeJM1911Kvaei5oySBIxdgtNo/edit?pli=1#gid=257618397"",""stock FAKTUR!B:C""),2,false)"),"LOOSE LEAF A5/ 40 POLOS ")</f>
        <v>LOOSE LEAF A5/ 40 POLOS </v>
      </c>
      <c r="F990" s="145" t="str">
        <f>IFERROR(__xludf.DUMMYFUNCTION("vlookup($D990,IMPORTRANGE(""https://docs.google.com/spreadsheets/d/1swGwZOEqYlTEUCJLY-eeJM1911Kvaei5oySBIxdgtNo/edit?pli=1#gid=257618397"",""stock FAKTUR!B:d""),3,false)"),"A5")</f>
        <v>A5</v>
      </c>
      <c r="G990" s="145" t="str">
        <f>IFERROR(__xludf.DUMMYFUNCTION("vlookup($D990,IMPORTRANGE(""https://docs.google.com/spreadsheets/d/1swGwZOEqYlTEUCJLY-eeJM1911Kvaei5oySBIxdgtNo/edit?pli=1#gid=257618397"",""stock FAKTUR!B:e""),4,false)"),"")</f>
        <v/>
      </c>
      <c r="H990" s="145" t="str">
        <f>IFERROR(__xludf.DUMMYFUNCTION("vlookup($D990,IMPORTRANGE(""https://docs.google.com/spreadsheets/d/1swGwZOEqYlTEUCJLY-eeJM1911Kvaei5oySBIxdgtNo/edit?pli=1#gid=257618397"",""stock FAKTUR!B:F""),5,false)"),"NB")</f>
        <v>NB</v>
      </c>
      <c r="I990" s="145" t="str">
        <f>IFERROR(__xludf.DUMMYFUNCTION("vlookup($D990,IMPORTRANGE(""https://docs.google.com/spreadsheets/d/1swGwZOEqYlTEUCJLY-eeJM1911Kvaei5oySBIxdgtNo/edit?pli=1#gid=257618397"",""stock FAKTUR!B:G""),6,false)"),"")</f>
        <v/>
      </c>
      <c r="J990" s="199" t="str">
        <f t="shared" si="25"/>
        <v>ADA</v>
      </c>
      <c r="K990" s="142">
        <v>36.0</v>
      </c>
      <c r="L990" s="145" t="str">
        <f>IFERROR(__xludf.DUMMYFUNCTION("vlookup($D990,IMPORTRANGE(""https://docs.google.com/spreadsheets/d/1swGwZOEqYlTEUCJLY-eeJM1911Kvaei5oySBIxdgtNo/edit?pli=1#gid=257618397"",""stock FAKTUR!B:q""),16,false)"),"PAK")</f>
        <v>PAK</v>
      </c>
      <c r="M990" s="147">
        <v>4000.0</v>
      </c>
      <c r="N990" s="148"/>
      <c r="O990" s="147">
        <f t="shared" si="280"/>
        <v>144000</v>
      </c>
      <c r="P990" s="147" t="str">
        <f t="shared" si="3"/>
        <v>Rp4,000-36 PAK-0.00%</v>
      </c>
      <c r="Q990" s="149">
        <v>45432.0</v>
      </c>
      <c r="R990" s="150"/>
      <c r="S990" s="149">
        <v>45433.0</v>
      </c>
      <c r="T990" s="151"/>
      <c r="U990" s="151"/>
      <c r="V990" s="151"/>
      <c r="W990" s="151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</row>
    <row r="991">
      <c r="A991" s="142">
        <v>1606.0</v>
      </c>
      <c r="B991" s="143" t="str">
        <f t="shared" si="288"/>
        <v>A</v>
      </c>
      <c r="C991" s="143" t="str">
        <f t="shared" si="289"/>
        <v>BENGAWAN RETAIL MANDIRI (LUWES)-PURWODADI</v>
      </c>
      <c r="D991" s="53" t="s">
        <v>4822</v>
      </c>
      <c r="E991" s="145" t="str">
        <f>IFERROR(__xludf.DUMMYFUNCTION("vlookup(D991,IMPORTRANGE(""https://docs.google.com/spreadsheets/d/1swGwZOEqYlTEUCJLY-eeJM1911Kvaei5oySBIxdgtNo/edit?pli=1#gid=257618397"",""stock FAKTUR!B:C""),2,false)"),"LOOSE LEAF B5/ 40 POLOS ")</f>
        <v>LOOSE LEAF B5/ 40 POLOS </v>
      </c>
      <c r="F991" s="145" t="str">
        <f>IFERROR(__xludf.DUMMYFUNCTION("vlookup($D991,IMPORTRANGE(""https://docs.google.com/spreadsheets/d/1swGwZOEqYlTEUCJLY-eeJM1911Kvaei5oySBIxdgtNo/edit?pli=1#gid=257618397"",""stock FAKTUR!B:d""),3,false)"),"B5")</f>
        <v>B5</v>
      </c>
      <c r="G991" s="145" t="str">
        <f>IFERROR(__xludf.DUMMYFUNCTION("vlookup($D991,IMPORTRANGE(""https://docs.google.com/spreadsheets/d/1swGwZOEqYlTEUCJLY-eeJM1911Kvaei5oySBIxdgtNo/edit?pli=1#gid=257618397"",""stock FAKTUR!B:e""),4,false)"),"")</f>
        <v/>
      </c>
      <c r="H991" s="145" t="str">
        <f>IFERROR(__xludf.DUMMYFUNCTION("vlookup($D991,IMPORTRANGE(""https://docs.google.com/spreadsheets/d/1swGwZOEqYlTEUCJLY-eeJM1911Kvaei5oySBIxdgtNo/edit?pli=1#gid=257618397"",""stock FAKTUR!B:F""),5,false)"),"NB")</f>
        <v>NB</v>
      </c>
      <c r="I991" s="145" t="str">
        <f>IFERROR(__xludf.DUMMYFUNCTION("vlookup($D991,IMPORTRANGE(""https://docs.google.com/spreadsheets/d/1swGwZOEqYlTEUCJLY-eeJM1911Kvaei5oySBIxdgtNo/edit?pli=1#gid=257618397"",""stock FAKTUR!B:G""),6,false)"),"")</f>
        <v/>
      </c>
      <c r="J991" s="199" t="str">
        <f t="shared" si="25"/>
        <v>ADA</v>
      </c>
      <c r="K991" s="142">
        <v>36.0</v>
      </c>
      <c r="L991" s="145" t="str">
        <f>IFERROR(__xludf.DUMMYFUNCTION("vlookup($D991,IMPORTRANGE(""https://docs.google.com/spreadsheets/d/1swGwZOEqYlTEUCJLY-eeJM1911Kvaei5oySBIxdgtNo/edit?pli=1#gid=257618397"",""stock FAKTUR!B:q""),16,false)"),"PCS")</f>
        <v>PCS</v>
      </c>
      <c r="M991" s="147">
        <v>6000.0</v>
      </c>
      <c r="N991" s="148"/>
      <c r="O991" s="147">
        <f t="shared" si="280"/>
        <v>216000</v>
      </c>
      <c r="P991" s="147" t="str">
        <f t="shared" si="3"/>
        <v>Rp6,000-36 PCS-0.00%</v>
      </c>
      <c r="Q991" s="149">
        <v>45432.0</v>
      </c>
      <c r="R991" s="150"/>
      <c r="S991" s="149">
        <v>45433.0</v>
      </c>
      <c r="T991" s="151"/>
      <c r="U991" s="151"/>
      <c r="V991" s="151"/>
      <c r="W991" s="151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</row>
    <row r="992">
      <c r="A992" s="142">
        <v>1606.0</v>
      </c>
      <c r="B992" s="143" t="str">
        <f t="shared" si="288"/>
        <v>A</v>
      </c>
      <c r="C992" s="143" t="str">
        <f t="shared" si="289"/>
        <v>BENGAWAN RETAIL MANDIRI (LUWES)-PURWODADI</v>
      </c>
      <c r="D992" s="49" t="s">
        <v>4591</v>
      </c>
      <c r="E992" s="145" t="str">
        <f>IFERROR(__xludf.DUMMYFUNCTION("vlookup(D992,IMPORTRANGE(""https://docs.google.com/spreadsheets/d/1swGwZOEqYlTEUCJLY-eeJM1911Kvaei5oySBIxdgtNo/edit?pli=1#gid=257618397"",""stock FAKTUR!B:C""),2,false)"),"LOOSE LEAF KENKO A5 50")</f>
        <v>LOOSE LEAF KENKO A5 50</v>
      </c>
      <c r="F992" s="145" t="str">
        <f>IFERROR(__xludf.DUMMYFUNCTION("vlookup($D992,IMPORTRANGE(""https://docs.google.com/spreadsheets/d/1swGwZOEqYlTEUCJLY-eeJM1911Kvaei5oySBIxdgtNo/edit?pli=1#gid=257618397"",""stock FAKTUR!B:d""),3,false)"),"")</f>
        <v/>
      </c>
      <c r="G992" s="145" t="str">
        <f>IFERROR(__xludf.DUMMYFUNCTION("vlookup($D992,IMPORTRANGE(""https://docs.google.com/spreadsheets/d/1swGwZOEqYlTEUCJLY-eeJM1911Kvaei5oySBIxdgtNo/edit?pli=1#gid=257618397"",""stock FAKTUR!B:e""),4,false)"),"")</f>
        <v/>
      </c>
      <c r="H992" s="145" t="str">
        <f>IFERROR(__xludf.DUMMYFUNCTION("vlookup($D992,IMPORTRANGE(""https://docs.google.com/spreadsheets/d/1swGwZOEqYlTEUCJLY-eeJM1911Kvaei5oySBIxdgtNo/edit?pli=1#gid=257618397"",""stock FAKTUR!B:F""),5,false)"),"KN")</f>
        <v>KN</v>
      </c>
      <c r="I992" s="145" t="str">
        <f>IFERROR(__xludf.DUMMYFUNCTION("vlookup($D992,IMPORTRANGE(""https://docs.google.com/spreadsheets/d/1swGwZOEqYlTEUCJLY-eeJM1911Kvaei5oySBIxdgtNo/edit?pli=1#gid=257618397"",""stock FAKTUR!B:G""),6,false)"),"50-2070")</f>
        <v>50-2070</v>
      </c>
      <c r="J992" s="199" t="str">
        <f t="shared" si="25"/>
        <v>ADA</v>
      </c>
      <c r="K992" s="142">
        <v>36.0</v>
      </c>
      <c r="L992" s="145" t="str">
        <f>IFERROR(__xludf.DUMMYFUNCTION("vlookup($D992,IMPORTRANGE(""https://docs.google.com/spreadsheets/d/1swGwZOEqYlTEUCJLY-eeJM1911Kvaei5oySBIxdgtNo/edit?pli=1#gid=257618397"",""stock FAKTUR!B:q""),16,false)"),"PCS")</f>
        <v>PCS</v>
      </c>
      <c r="M992" s="147">
        <v>4500.0</v>
      </c>
      <c r="N992" s="148"/>
      <c r="O992" s="147">
        <f t="shared" si="280"/>
        <v>162000</v>
      </c>
      <c r="P992" s="147" t="str">
        <f t="shared" si="3"/>
        <v>Rp4,500-36 PCS-0.00%</v>
      </c>
      <c r="Q992" s="149">
        <v>45432.0</v>
      </c>
      <c r="R992" s="150"/>
      <c r="S992" s="149">
        <v>45433.0</v>
      </c>
      <c r="T992" s="151"/>
      <c r="U992" s="151"/>
      <c r="V992" s="151"/>
      <c r="W992" s="151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</row>
    <row r="993">
      <c r="A993" s="142">
        <v>1606.0</v>
      </c>
      <c r="B993" s="143" t="str">
        <f t="shared" si="288"/>
        <v>A</v>
      </c>
      <c r="C993" s="143" t="str">
        <f t="shared" si="289"/>
        <v>BENGAWAN RETAIL MANDIRI (LUWES)-PURWODADI</v>
      </c>
      <c r="D993" s="53" t="s">
        <v>4684</v>
      </c>
      <c r="E993" s="145" t="str">
        <f>IFERROR(__xludf.DUMMYFUNCTION("vlookup(D993,IMPORTRANGE(""https://docs.google.com/spreadsheets/d/1swGwZOEqYlTEUCJLY-eeJM1911Kvaei5oySBIxdgtNo/edit?pli=1#gid=257618397"",""stock FAKTUR!B:C""),2,false)"),"LOOSE LEAF JA B5 50")</f>
        <v>LOOSE LEAF JA B5 50</v>
      </c>
      <c r="F993" s="145" t="str">
        <f>IFERROR(__xludf.DUMMYFUNCTION("vlookup($D993,IMPORTRANGE(""https://docs.google.com/spreadsheets/d/1swGwZOEqYlTEUCJLY-eeJM1911Kvaei5oySBIxdgtNo/edit?pli=1#gid=257618397"",""stock FAKTUR!B:d""),3,false)"),"B5")</f>
        <v>B5</v>
      </c>
      <c r="G993" s="145" t="str">
        <f>IFERROR(__xludf.DUMMYFUNCTION("vlookup($D993,IMPORTRANGE(""https://docs.google.com/spreadsheets/d/1swGwZOEqYlTEUCJLY-eeJM1911Kvaei5oySBIxdgtNo/edit?pli=1#gid=257618397"",""stock FAKTUR!B:e""),4,false)"),"")</f>
        <v/>
      </c>
      <c r="H993" s="145" t="str">
        <f>IFERROR(__xludf.DUMMYFUNCTION("vlookup($D993,IMPORTRANGE(""https://docs.google.com/spreadsheets/d/1swGwZOEqYlTEUCJLY-eeJM1911Kvaei5oySBIxdgtNo/edit?pli=1#gid=257618397"",""stock FAKTUR!B:F""),5,false)"),"JA")</f>
        <v>JA</v>
      </c>
      <c r="I993" s="145" t="str">
        <f>IFERROR(__xludf.DUMMYFUNCTION("vlookup($D993,IMPORTRANGE(""https://docs.google.com/spreadsheets/d/1swGwZOEqYlTEUCJLY-eeJM1911Kvaei5oySBIxdgtNo/edit?pli=1#gid=257618397"",""stock FAKTUR!B:G""),6,false)"),"")</f>
        <v/>
      </c>
      <c r="J993" s="199" t="str">
        <f t="shared" si="25"/>
        <v>ADA</v>
      </c>
      <c r="K993" s="142">
        <v>36.0</v>
      </c>
      <c r="L993" s="145" t="str">
        <f>IFERROR(__xludf.DUMMYFUNCTION("vlookup($D993,IMPORTRANGE(""https://docs.google.com/spreadsheets/d/1swGwZOEqYlTEUCJLY-eeJM1911Kvaei5oySBIxdgtNo/edit?pli=1#gid=257618397"",""stock FAKTUR!B:q""),16,false)"),"PCS")</f>
        <v>PCS</v>
      </c>
      <c r="M993" s="147">
        <v>5700.0</v>
      </c>
      <c r="N993" s="148"/>
      <c r="O993" s="147">
        <f t="shared" si="280"/>
        <v>205200</v>
      </c>
      <c r="P993" s="147" t="str">
        <f t="shared" si="3"/>
        <v>Rp5,700-36 PCS-0.00%</v>
      </c>
      <c r="Q993" s="149">
        <v>45432.0</v>
      </c>
      <c r="R993" s="150"/>
      <c r="S993" s="149">
        <v>45433.0</v>
      </c>
      <c r="T993" s="151"/>
      <c r="U993" s="151"/>
      <c r="V993" s="151"/>
      <c r="W993" s="151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</row>
    <row r="994">
      <c r="A994" s="142">
        <v>1606.0</v>
      </c>
      <c r="B994" s="143" t="str">
        <f t="shared" si="288"/>
        <v>A</v>
      </c>
      <c r="C994" s="143" t="str">
        <f t="shared" si="289"/>
        <v>BENGAWAN RETAIL MANDIRI (LUWES)-PURWODADI</v>
      </c>
      <c r="D994" s="53" t="s">
        <v>4823</v>
      </c>
      <c r="E994" s="145" t="str">
        <f>IFERROR(__xludf.DUMMYFUNCTION("vlookup(D994,IMPORTRANGE(""https://docs.google.com/spreadsheets/d/1swGwZOEqYlTEUCJLY-eeJM1911Kvaei5oySBIxdgtNo/edit?pli=1#gid=257618397"",""stock FAKTUR!B:C""),2,false)"),"LABEL JK LB-P2LN 2 LINE PUTIH")</f>
        <v>LABEL JK LB-P2LN 2 LINE PUTIH</v>
      </c>
      <c r="F994" s="145" t="str">
        <f>IFERROR(__xludf.DUMMYFUNCTION("vlookup($D994,IMPORTRANGE(""https://docs.google.com/spreadsheets/d/1swGwZOEqYlTEUCJLY-eeJM1911Kvaei5oySBIxdgtNo/edit?pli=1#gid=257618397"",""stock FAKTUR!B:d""),3,false)"),"")</f>
        <v/>
      </c>
      <c r="G994" s="145" t="str">
        <f>IFERROR(__xludf.DUMMYFUNCTION("vlookup($D994,IMPORTRANGE(""https://docs.google.com/spreadsheets/d/1swGwZOEqYlTEUCJLY-eeJM1911Kvaei5oySBIxdgtNo/edit?pli=1#gid=257618397"",""stock FAKTUR!B:e""),4,false)"),"")</f>
        <v/>
      </c>
      <c r="H994" s="145" t="str">
        <f>IFERROR(__xludf.DUMMYFUNCTION("vlookup($D994,IMPORTRANGE(""https://docs.google.com/spreadsheets/d/1swGwZOEqYlTEUCJLY-eeJM1911Kvaei5oySBIxdgtNo/edit?pli=1#gid=257618397"",""stock FAKTUR!B:F""),5,false)"),"JK")</f>
        <v>JK</v>
      </c>
      <c r="I994" s="145" t="str">
        <f>IFERROR(__xludf.DUMMYFUNCTION("vlookup($D994,IMPORTRANGE(""https://docs.google.com/spreadsheets/d/1swGwZOEqYlTEUCJLY-eeJM1911Kvaei5oySBIxdgtNo/edit?pli=1#gid=257618397"",""stock FAKTUR!B:G""),6,false)"),"")</f>
        <v/>
      </c>
      <c r="J994" s="199" t="str">
        <f t="shared" si="25"/>
        <v>ADA</v>
      </c>
      <c r="K994" s="142">
        <v>2.0</v>
      </c>
      <c r="L994" s="145" t="str">
        <f>IFERROR(__xludf.DUMMYFUNCTION("vlookup($D994,IMPORTRANGE(""https://docs.google.com/spreadsheets/d/1swGwZOEqYlTEUCJLY-eeJM1911Kvaei5oySBIxdgtNo/edit?pli=1#gid=257618397"",""stock FAKTUR!B:q""),16,false)"),"PAK")</f>
        <v>PAK</v>
      </c>
      <c r="M994" s="147">
        <f>3050*10</f>
        <v>30500</v>
      </c>
      <c r="N994" s="148"/>
      <c r="O994" s="147">
        <f t="shared" si="280"/>
        <v>61000</v>
      </c>
      <c r="P994" s="147" t="str">
        <f t="shared" si="3"/>
        <v>Rp30,500-2 PAK-0.00%</v>
      </c>
      <c r="Q994" s="149">
        <v>45432.0</v>
      </c>
      <c r="R994" s="150"/>
      <c r="S994" s="149">
        <v>45433.0</v>
      </c>
      <c r="T994" s="151"/>
      <c r="U994" s="151"/>
      <c r="V994" s="151"/>
      <c r="W994" s="151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</row>
    <row r="995">
      <c r="A995" s="142">
        <v>1606.0</v>
      </c>
      <c r="B995" s="143" t="str">
        <f t="shared" si="288"/>
        <v>A</v>
      </c>
      <c r="C995" s="143" t="str">
        <f t="shared" si="289"/>
        <v>BENGAWAN RETAIL MANDIRI (LUWES)-PURWODADI</v>
      </c>
      <c r="D995" s="53" t="s">
        <v>4824</v>
      </c>
      <c r="E995" s="145" t="str">
        <f>IFERROR(__xludf.DUMMYFUNCTION("vlookup(D995,IMPORTRANGE(""https://docs.google.com/spreadsheets/d/1swGwZOEqYlTEUCJLY-eeJM1911Kvaei5oySBIxdgtNo/edit?pli=1#gid=257618397"",""stock FAKTUR!B:C""),2,false)"),"BINDER CLIP JK 300")</f>
        <v>BINDER CLIP JK 300</v>
      </c>
      <c r="F995" s="145" t="str">
        <f>IFERROR(__xludf.DUMMYFUNCTION("vlookup($D995,IMPORTRANGE(""https://docs.google.com/spreadsheets/d/1swGwZOEqYlTEUCJLY-eeJM1911Kvaei5oySBIxdgtNo/edit?pli=1#gid=257618397"",""stock FAKTUR!B:d""),3,false)"),"")</f>
        <v/>
      </c>
      <c r="G995" s="145" t="str">
        <f>IFERROR(__xludf.DUMMYFUNCTION("vlookup($D995,IMPORTRANGE(""https://docs.google.com/spreadsheets/d/1swGwZOEqYlTEUCJLY-eeJM1911Kvaei5oySBIxdgtNo/edit?pli=1#gid=257618397"",""stock FAKTUR!B:e""),4,false)"),"")</f>
        <v/>
      </c>
      <c r="H995" s="145" t="str">
        <f>IFERROR(__xludf.DUMMYFUNCTION("vlookup($D995,IMPORTRANGE(""https://docs.google.com/spreadsheets/d/1swGwZOEqYlTEUCJLY-eeJM1911Kvaei5oySBIxdgtNo/edit?pli=1#gid=257618397"",""stock FAKTUR!B:F""),5,false)"),"JK")</f>
        <v>JK</v>
      </c>
      <c r="I995" s="145" t="str">
        <f>IFERROR(__xludf.DUMMYFUNCTION("vlookup($D995,IMPORTRANGE(""https://docs.google.com/spreadsheets/d/1swGwZOEqYlTEUCJLY-eeJM1911Kvaei5oySBIxdgtNo/edit?pli=1#gid=257618397"",""stock FAKTUR!B:G""),6,false)"),"300")</f>
        <v>300</v>
      </c>
      <c r="J995" s="199" t="str">
        <f t="shared" si="25"/>
        <v>ADA</v>
      </c>
      <c r="K995" s="142">
        <f>0.5/12</f>
        <v>0.04166666667</v>
      </c>
      <c r="L995" s="145" t="str">
        <f>IFERROR(__xludf.DUMMYFUNCTION("vlookup($D995,IMPORTRANGE(""https://docs.google.com/spreadsheets/d/1swGwZOEqYlTEUCJLY-eeJM1911Kvaei5oySBIxdgtNo/edit?pli=1#gid=257618397"",""stock FAKTUR!B:q""),16,false)"),"GRS")</f>
        <v>GRS</v>
      </c>
      <c r="M995" s="147">
        <f>85800*12</f>
        <v>1029600</v>
      </c>
      <c r="N995" s="148"/>
      <c r="O995" s="147">
        <f t="shared" si="280"/>
        <v>42900</v>
      </c>
      <c r="P995" s="147" t="str">
        <f t="shared" si="3"/>
        <v>Rp1,029,600-0.0416666666666667 GRS-0.00%</v>
      </c>
      <c r="Q995" s="149">
        <v>45432.0</v>
      </c>
      <c r="R995" s="150"/>
      <c r="S995" s="149">
        <v>45433.0</v>
      </c>
      <c r="T995" s="151"/>
      <c r="U995" s="151"/>
      <c r="V995" s="151"/>
      <c r="W995" s="151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</row>
    <row r="996">
      <c r="A996" s="142">
        <v>1606.0</v>
      </c>
      <c r="B996" s="143" t="str">
        <f t="shared" si="288"/>
        <v>A</v>
      </c>
      <c r="C996" s="143" t="str">
        <f t="shared" si="289"/>
        <v>BENGAWAN RETAIL MANDIRI (LUWES)-PURWODADI</v>
      </c>
      <c r="D996" s="53" t="s">
        <v>4411</v>
      </c>
      <c r="E996" s="145" t="str">
        <f>IFERROR(__xludf.DUMMYFUNCTION("vlookup(D996,IMPORTRANGE(""https://docs.google.com/spreadsheets/d/1swGwZOEqYlTEUCJLY-eeJM1911Kvaei5oySBIxdgtNo/edit?pli=1#gid=257618397"",""stock FAKTUR!B:C""),2,false)"),"PC KLG TY-552 MOBIL+ANAK 21X6.5")</f>
        <v>PC KLG TY-552 MOBIL+ANAK 21X6.5</v>
      </c>
      <c r="F996" s="145" t="str">
        <f>IFERROR(__xludf.DUMMYFUNCTION("vlookup($D996,IMPORTRANGE(""https://docs.google.com/spreadsheets/d/1swGwZOEqYlTEUCJLY-eeJM1911Kvaei5oySBIxdgtNo/edit?pli=1#gid=257618397"",""stock FAKTUR!B:d""),3,false)"),"")</f>
        <v/>
      </c>
      <c r="G996" s="145" t="str">
        <f>IFERROR(__xludf.DUMMYFUNCTION("vlookup($D996,IMPORTRANGE(""https://docs.google.com/spreadsheets/d/1swGwZOEqYlTEUCJLY-eeJM1911Kvaei5oySBIxdgtNo/edit?pli=1#gid=257618397"",""stock FAKTUR!B:e""),4,false)"),"")</f>
        <v/>
      </c>
      <c r="H996" s="145" t="str">
        <f>IFERROR(__xludf.DUMMYFUNCTION("vlookup($D996,IMPORTRANGE(""https://docs.google.com/spreadsheets/d/1swGwZOEqYlTEUCJLY-eeJM1911Kvaei5oySBIxdgtNo/edit?pli=1#gid=257618397"",""stock FAKTUR!B:F""),5,false)"),"NB")</f>
        <v>NB</v>
      </c>
      <c r="I996" s="145" t="str">
        <f>IFERROR(__xludf.DUMMYFUNCTION("vlookup($D996,IMPORTRANGE(""https://docs.google.com/spreadsheets/d/1swGwZOEqYlTEUCJLY-eeJM1911Kvaei5oySBIxdgtNo/edit?pli=1#gid=257618397"",""stock FAKTUR!B:G""),6,false)"),"")</f>
        <v/>
      </c>
      <c r="J996" s="199" t="str">
        <f t="shared" si="25"/>
        <v>ADA</v>
      </c>
      <c r="K996" s="142">
        <v>20.0</v>
      </c>
      <c r="L996" s="145" t="str">
        <f>IFERROR(__xludf.DUMMYFUNCTION("vlookup($D996,IMPORTRANGE(""https://docs.google.com/spreadsheets/d/1swGwZOEqYlTEUCJLY-eeJM1911Kvaei5oySBIxdgtNo/edit?pli=1#gid=257618397"",""stock FAKTUR!B:q""),16,false)"),"PCS")</f>
        <v>PCS</v>
      </c>
      <c r="M996" s="147">
        <f t="shared" ref="M996:M997" si="291">160000/12</f>
        <v>13333.33333</v>
      </c>
      <c r="N996" s="148"/>
      <c r="O996" s="147">
        <f t="shared" si="280"/>
        <v>266666.6667</v>
      </c>
      <c r="P996" s="147" t="str">
        <f t="shared" si="3"/>
        <v>Rp13,333-20 PCS-0.00%</v>
      </c>
      <c r="Q996" s="149">
        <v>45432.0</v>
      </c>
      <c r="R996" s="150"/>
      <c r="S996" s="149">
        <v>45433.0</v>
      </c>
      <c r="T996" s="151"/>
      <c r="U996" s="151"/>
      <c r="V996" s="151"/>
      <c r="W996" s="151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</row>
    <row r="997">
      <c r="A997" s="142">
        <v>1607.0</v>
      </c>
      <c r="B997" s="143" t="s">
        <v>65</v>
      </c>
      <c r="C997" s="143" t="s">
        <v>3903</v>
      </c>
      <c r="D997" s="53" t="s">
        <v>4446</v>
      </c>
      <c r="E997" s="145" t="str">
        <f>IFERROR(__xludf.DUMMYFUNCTION("vlookup(D997,IMPORTRANGE(""https://docs.google.com/spreadsheets/d/1swGwZOEqYlTEUCJLY-eeJM1911Kvaei5oySBIxdgtNo/edit?pli=1#gid=257618397"",""stock FAKTUR!B:C""),2,false)"),"PC KLG/ STUDY SET K-597 MOBIL 20.5X7")</f>
        <v>PC KLG/ STUDY SET K-597 MOBIL 20.5X7</v>
      </c>
      <c r="F997" s="145" t="str">
        <f>IFERROR(__xludf.DUMMYFUNCTION("vlookup($D997,IMPORTRANGE(""https://docs.google.com/spreadsheets/d/1swGwZOEqYlTEUCJLY-eeJM1911Kvaei5oySBIxdgtNo/edit?pli=1#gid=257618397"",""stock FAKTUR!B:d""),3,false)"),"")</f>
        <v/>
      </c>
      <c r="G997" s="145" t="str">
        <f>IFERROR(__xludf.DUMMYFUNCTION("vlookup($D997,IMPORTRANGE(""https://docs.google.com/spreadsheets/d/1swGwZOEqYlTEUCJLY-eeJM1911Kvaei5oySBIxdgtNo/edit?pli=1#gid=257618397"",""stock FAKTUR!B:e""),4,false)"),"")</f>
        <v/>
      </c>
      <c r="H997" s="145" t="str">
        <f>IFERROR(__xludf.DUMMYFUNCTION("vlookup($D997,IMPORTRANGE(""https://docs.google.com/spreadsheets/d/1swGwZOEqYlTEUCJLY-eeJM1911Kvaei5oySBIxdgtNo/edit?pli=1#gid=257618397"",""stock FAKTUR!B:F""),5,false)"),"NB")</f>
        <v>NB</v>
      </c>
      <c r="I997" s="145" t="str">
        <f>IFERROR(__xludf.DUMMYFUNCTION("vlookup($D997,IMPORTRANGE(""https://docs.google.com/spreadsheets/d/1swGwZOEqYlTEUCJLY-eeJM1911Kvaei5oySBIxdgtNo/edit?pli=1#gid=257618397"",""stock FAKTUR!B:G""),6,false)"),"")</f>
        <v/>
      </c>
      <c r="J997" s="199" t="str">
        <f t="shared" si="25"/>
        <v>ADA</v>
      </c>
      <c r="K997" s="142">
        <v>12.0</v>
      </c>
      <c r="L997" s="145" t="str">
        <f>IFERROR(__xludf.DUMMYFUNCTION("vlookup($D997,IMPORTRANGE(""https://docs.google.com/spreadsheets/d/1swGwZOEqYlTEUCJLY-eeJM1911Kvaei5oySBIxdgtNo/edit?pli=1#gid=257618397"",""stock FAKTUR!B:q""),16,false)"),"PCS")</f>
        <v>PCS</v>
      </c>
      <c r="M997" s="147">
        <f t="shared" si="291"/>
        <v>13333.33333</v>
      </c>
      <c r="N997" s="148"/>
      <c r="O997" s="147">
        <f t="shared" si="280"/>
        <v>160000</v>
      </c>
      <c r="P997" s="147" t="str">
        <f t="shared" si="3"/>
        <v>Rp13,333-12 PCS-0.00%</v>
      </c>
      <c r="Q997" s="149">
        <v>45432.0</v>
      </c>
      <c r="R997" s="150"/>
      <c r="S997" s="149">
        <v>45433.0</v>
      </c>
      <c r="T997" s="151"/>
      <c r="U997" s="151"/>
      <c r="V997" s="151"/>
      <c r="W997" s="151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</row>
    <row r="998">
      <c r="A998" s="142">
        <v>1607.0</v>
      </c>
      <c r="B998" s="143" t="str">
        <f t="shared" ref="B998:B1008" si="292">IF(A998=A997,B997,"")</f>
        <v>A</v>
      </c>
      <c r="C998" s="143" t="str">
        <f t="shared" ref="C998:C1005" si="293">IF(A998=A997,C997,"")</f>
        <v>BENGAWAN RETAIL MANDIRI (LUWES)-PURWODADI</v>
      </c>
      <c r="D998" s="53" t="s">
        <v>4567</v>
      </c>
      <c r="E998" s="145" t="str">
        <f>IFERROR(__xludf.DUMMYFUNCTION("vlookup(D998,IMPORTRANGE(""https://docs.google.com/spreadsheets/d/1swGwZOEqYlTEUCJLY-eeJM1911Kvaei5oySBIxdgtNo/edit?pli=1#gid=257618397"",""stock FAKTUR!B:C""),2,false)"),"PC MAGNIT FX-2275 (22X7.5) METALIK")</f>
        <v>PC MAGNIT FX-2275 (22X7.5) METALIK</v>
      </c>
      <c r="F998" s="145" t="str">
        <f>IFERROR(__xludf.DUMMYFUNCTION("vlookup($D998,IMPORTRANGE(""https://docs.google.com/spreadsheets/d/1swGwZOEqYlTEUCJLY-eeJM1911Kvaei5oySBIxdgtNo/edit?pli=1#gid=257618397"",""stock FAKTUR!B:d""),3,false)"),"")</f>
        <v/>
      </c>
      <c r="G998" s="145" t="str">
        <f>IFERROR(__xludf.DUMMYFUNCTION("vlookup($D998,IMPORTRANGE(""https://docs.google.com/spreadsheets/d/1swGwZOEqYlTEUCJLY-eeJM1911Kvaei5oySBIxdgtNo/edit?pli=1#gid=257618397"",""stock FAKTUR!B:e""),4,false)"),"")</f>
        <v/>
      </c>
      <c r="H998" s="145" t="str">
        <f>IFERROR(__xludf.DUMMYFUNCTION("vlookup($D998,IMPORTRANGE(""https://docs.google.com/spreadsheets/d/1swGwZOEqYlTEUCJLY-eeJM1911Kvaei5oySBIxdgtNo/edit?pli=1#gid=257618397"",""stock FAKTUR!B:F""),5,false)"),"NB")</f>
        <v>NB</v>
      </c>
      <c r="I998" s="145" t="str">
        <f>IFERROR(__xludf.DUMMYFUNCTION("vlookup($D998,IMPORTRANGE(""https://docs.google.com/spreadsheets/d/1swGwZOEqYlTEUCJLY-eeJM1911Kvaei5oySBIxdgtNo/edit?pli=1#gid=257618397"",""stock FAKTUR!B:G""),6,false)"),"FX-2275")</f>
        <v>FX-2275</v>
      </c>
      <c r="J998" s="199" t="str">
        <f t="shared" si="25"/>
        <v>ADA</v>
      </c>
      <c r="K998" s="142">
        <v>24.0</v>
      </c>
      <c r="L998" s="145" t="str">
        <f>IFERROR(__xludf.DUMMYFUNCTION("vlookup($D998,IMPORTRANGE(""https://docs.google.com/spreadsheets/d/1swGwZOEqYlTEUCJLY-eeJM1911Kvaei5oySBIxdgtNo/edit?pli=1#gid=257618397"",""stock FAKTUR!B:q""),16,false)"),"PCS")</f>
        <v>PCS</v>
      </c>
      <c r="M998" s="147">
        <f t="shared" ref="M998:M999" si="294">200000/12</f>
        <v>16666.66667</v>
      </c>
      <c r="N998" s="148"/>
      <c r="O998" s="147">
        <f t="shared" si="280"/>
        <v>400000</v>
      </c>
      <c r="P998" s="147" t="str">
        <f t="shared" si="3"/>
        <v>Rp16,667-24 PCS-0.00%</v>
      </c>
      <c r="Q998" s="149">
        <v>45432.0</v>
      </c>
      <c r="R998" s="150"/>
      <c r="S998" s="149">
        <v>45433.0</v>
      </c>
      <c r="T998" s="151"/>
      <c r="U998" s="151"/>
      <c r="V998" s="151"/>
      <c r="W998" s="151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</row>
    <row r="999">
      <c r="A999" s="142">
        <v>1607.0</v>
      </c>
      <c r="B999" s="143" t="str">
        <f t="shared" si="292"/>
        <v>A</v>
      </c>
      <c r="C999" s="196" t="str">
        <f t="shared" si="293"/>
        <v>BENGAWAN RETAIL MANDIRI (LUWES)-PURWODADI</v>
      </c>
      <c r="D999" s="193" t="s">
        <v>4715</v>
      </c>
      <c r="E999" s="145" t="str">
        <f>IFERROR(__xludf.DUMMYFUNCTION("vlookup(D999,IMPORTRANGE(""https://docs.google.com/spreadsheets/d/1swGwZOEqYlTEUCJLY-eeJM1911Kvaei5oySBIxdgtNo/edit?pli=1#gid=257618397"",""stock FAKTUR!B:C""),2,false)"),"PC MAGNIT FY-6823")</f>
        <v>PC MAGNIT FY-6823</v>
      </c>
      <c r="F999" s="200" t="str">
        <f>IFERROR(__xludf.DUMMYFUNCTION("vlookup($D999,IMPORTRANGE(""https://docs.google.com/spreadsheets/d/1swGwZOEqYlTEUCJLY-eeJM1911Kvaei5oySBIxdgtNo/edit?pli=1#gid=257618397"",""stock FAKTUR!B:d""),3,false)"),"")</f>
        <v/>
      </c>
      <c r="G999" s="200" t="str">
        <f>IFERROR(__xludf.DUMMYFUNCTION("vlookup($D999,IMPORTRANGE(""https://docs.google.com/spreadsheets/d/1swGwZOEqYlTEUCJLY-eeJM1911Kvaei5oySBIxdgtNo/edit?pli=1#gid=257618397"",""stock FAKTUR!B:e""),4,false)"),"")</f>
        <v/>
      </c>
      <c r="H999" s="200" t="str">
        <f>IFERROR(__xludf.DUMMYFUNCTION("vlookup($D999,IMPORTRANGE(""https://docs.google.com/spreadsheets/d/1swGwZOEqYlTEUCJLY-eeJM1911Kvaei5oySBIxdgtNo/edit?pli=1#gid=257618397"",""stock FAKTUR!B:F""),5,false)"),"NB")</f>
        <v>NB</v>
      </c>
      <c r="I999" s="200" t="str">
        <f>IFERROR(__xludf.DUMMYFUNCTION("vlookup($D999,IMPORTRANGE(""https://docs.google.com/spreadsheets/d/1swGwZOEqYlTEUCJLY-eeJM1911Kvaei5oySBIxdgtNo/edit?pli=1#gid=257618397"",""stock FAKTUR!B:G""),6,false)"),"FY-6823")</f>
        <v>FY-6823</v>
      </c>
      <c r="J999" s="199" t="str">
        <f t="shared" si="25"/>
        <v>ADA</v>
      </c>
      <c r="K999" s="142">
        <v>24.0</v>
      </c>
      <c r="L999" s="145" t="str">
        <f>IFERROR(__xludf.DUMMYFUNCTION("vlookup($D999,IMPORTRANGE(""https://docs.google.com/spreadsheets/d/1swGwZOEqYlTEUCJLY-eeJM1911Kvaei5oySBIxdgtNo/edit?pli=1#gid=257618397"",""stock FAKTUR!B:q""),16,false)"),"PCS")</f>
        <v>PCS</v>
      </c>
      <c r="M999" s="147">
        <f t="shared" si="294"/>
        <v>16666.66667</v>
      </c>
      <c r="N999" s="148"/>
      <c r="O999" s="147">
        <f t="shared" si="280"/>
        <v>400000</v>
      </c>
      <c r="P999" s="147" t="str">
        <f t="shared" si="3"/>
        <v>Rp16,667-24 PCS-0.00%</v>
      </c>
      <c r="Q999" s="149">
        <v>45432.0</v>
      </c>
      <c r="R999" s="150"/>
      <c r="S999" s="149">
        <v>45433.0</v>
      </c>
      <c r="T999" s="151"/>
      <c r="U999" s="151"/>
      <c r="V999" s="151"/>
      <c r="W999" s="151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</row>
    <row r="1000">
      <c r="A1000" s="142">
        <v>1607.0</v>
      </c>
      <c r="B1000" s="143" t="str">
        <f t="shared" si="292"/>
        <v>A</v>
      </c>
      <c r="C1000" s="143" t="str">
        <f t="shared" si="293"/>
        <v>BENGAWAN RETAIL MANDIRI (LUWES)-PURWODADI</v>
      </c>
      <c r="D1000" s="53" t="s">
        <v>4717</v>
      </c>
      <c r="E1000" s="145" t="str">
        <f>IFERROR(__xludf.DUMMYFUNCTION("vlookup(D1000,IMPORTRANGE(""https://docs.google.com/spreadsheets/d/1swGwZOEqYlTEUCJLY-eeJM1911Kvaei5oySBIxdgtNo/edit?pli=1#gid=257618397"",""stock FAKTUR!B:C""),2,false)"),"PC MAGNIT JH-220 A (22X8.5)")</f>
        <v>PC MAGNIT JH-220 A (22X8.5)</v>
      </c>
      <c r="F1000" s="145" t="str">
        <f>IFERROR(__xludf.DUMMYFUNCTION("vlookup($D1000,IMPORTRANGE(""https://docs.google.com/spreadsheets/d/1swGwZOEqYlTEUCJLY-eeJM1911Kvaei5oySBIxdgtNo/edit?pli=1#gid=257618397"",""stock FAKTUR!B:d""),3,false)"),"")</f>
        <v/>
      </c>
      <c r="G1000" s="145" t="str">
        <f>IFERROR(__xludf.DUMMYFUNCTION("vlookup($D1000,IMPORTRANGE(""https://docs.google.com/spreadsheets/d/1swGwZOEqYlTEUCJLY-eeJM1911Kvaei5oySBIxdgtNo/edit?pli=1#gid=257618397"",""stock FAKTUR!B:e""),4,false)"),"")</f>
        <v/>
      </c>
      <c r="H1000" s="145" t="str">
        <f>IFERROR(__xludf.DUMMYFUNCTION("vlookup($D1000,IMPORTRANGE(""https://docs.google.com/spreadsheets/d/1swGwZOEqYlTEUCJLY-eeJM1911Kvaei5oySBIxdgtNo/edit?pli=1#gid=257618397"",""stock FAKTUR!B:F""),5,false)"),"NB")</f>
        <v>NB</v>
      </c>
      <c r="I1000" s="145" t="str">
        <f>IFERROR(__xludf.DUMMYFUNCTION("vlookup($D1000,IMPORTRANGE(""https://docs.google.com/spreadsheets/d/1swGwZOEqYlTEUCJLY-eeJM1911Kvaei5oySBIxdgtNo/edit?pli=1#gid=257618397"",""stock FAKTUR!B:G""),6,false)"),"")</f>
        <v/>
      </c>
      <c r="J1000" s="199" t="str">
        <f t="shared" si="25"/>
        <v>ADA</v>
      </c>
      <c r="K1000" s="142">
        <v>24.0</v>
      </c>
      <c r="L1000" s="145" t="str">
        <f>IFERROR(__xludf.DUMMYFUNCTION("vlookup($D1000,IMPORTRANGE(""https://docs.google.com/spreadsheets/d/1swGwZOEqYlTEUCJLY-eeJM1911Kvaei5oySBIxdgtNo/edit?pli=1#gid=257618397"",""stock FAKTUR!B:q""),16,false)"),"PCS")</f>
        <v>PCS</v>
      </c>
      <c r="M1000" s="147">
        <f>175000/12</f>
        <v>14583.33333</v>
      </c>
      <c r="N1000" s="148"/>
      <c r="O1000" s="147">
        <f t="shared" si="280"/>
        <v>350000</v>
      </c>
      <c r="P1000" s="147" t="str">
        <f t="shared" si="3"/>
        <v>Rp14,583-24 PCS-0.00%</v>
      </c>
      <c r="Q1000" s="149">
        <v>45432.0</v>
      </c>
      <c r="R1000" s="150"/>
      <c r="S1000" s="149">
        <v>45433.0</v>
      </c>
      <c r="T1000" s="151"/>
      <c r="U1000" s="151"/>
      <c r="V1000" s="151"/>
      <c r="W1000" s="151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</row>
    <row r="1001">
      <c r="A1001" s="142">
        <v>1607.0</v>
      </c>
      <c r="B1001" s="143" t="str">
        <f t="shared" si="292"/>
        <v>A</v>
      </c>
      <c r="C1001" s="143" t="str">
        <f t="shared" si="293"/>
        <v>BENGAWAN RETAIL MANDIRI (LUWES)-PURWODADI</v>
      </c>
      <c r="D1001" s="53" t="s">
        <v>4532</v>
      </c>
      <c r="E1001" s="145" t="str">
        <f>IFERROR(__xludf.DUMMYFUNCTION("vlookup(D1001,IMPORTRANGE(""https://docs.google.com/spreadsheets/d/1swGwZOEqYlTEUCJLY-eeJM1911Kvaei5oySBIxdgtNo/edit?pli=1#gid=257618397"",""stock FAKTUR!B:C""),2,false)"),"BINDER CLIP KENKO NO. 260")</f>
        <v>BINDER CLIP KENKO NO. 260</v>
      </c>
      <c r="F1001" s="145" t="str">
        <f>IFERROR(__xludf.DUMMYFUNCTION("vlookup($D1001,IMPORTRANGE(""https://docs.google.com/spreadsheets/d/1swGwZOEqYlTEUCJLY-eeJM1911Kvaei5oySBIxdgtNo/edit?pli=1#gid=257618397"",""stock FAKTUR!B:d""),3,false)"),"")</f>
        <v/>
      </c>
      <c r="G1001" s="145" t="str">
        <f>IFERROR(__xludf.DUMMYFUNCTION("vlookup($D1001,IMPORTRANGE(""https://docs.google.com/spreadsheets/d/1swGwZOEqYlTEUCJLY-eeJM1911Kvaei5oySBIxdgtNo/edit?pli=1#gid=257618397"",""stock FAKTUR!B:e""),4,false)"),"")</f>
        <v/>
      </c>
      <c r="H1001" s="145" t="str">
        <f>IFERROR(__xludf.DUMMYFUNCTION("vlookup($D1001,IMPORTRANGE(""https://docs.google.com/spreadsheets/d/1swGwZOEqYlTEUCJLY-eeJM1911Kvaei5oySBIxdgtNo/edit?pli=1#gid=257618397"",""stock FAKTUR!B:F""),5,false)"),"KN")</f>
        <v>KN</v>
      </c>
      <c r="I1001" s="145" t="str">
        <f>IFERROR(__xludf.DUMMYFUNCTION("vlookup($D1001,IMPORTRANGE(""https://docs.google.com/spreadsheets/d/1swGwZOEqYlTEUCJLY-eeJM1911Kvaei5oySBIxdgtNo/edit?pli=1#gid=257618397"",""stock FAKTUR!B:G""),6,false)"),"BCL-006QH")</f>
        <v>BCL-006QH</v>
      </c>
      <c r="J1001" s="199" t="str">
        <f t="shared" si="25"/>
        <v>ADA</v>
      </c>
      <c r="K1001" s="142">
        <f t="shared" ref="K1001:K1002" si="295">3/12</f>
        <v>0.25</v>
      </c>
      <c r="L1001" s="145" t="str">
        <f>IFERROR(__xludf.DUMMYFUNCTION("vlookup($D1001,IMPORTRANGE(""https://docs.google.com/spreadsheets/d/1swGwZOEqYlTEUCJLY-eeJM1911Kvaei5oySBIxdgtNo/edit?pli=1#gid=257618397"",""stock FAKTUR!B:q""),16,false)"),"GRS")</f>
        <v>GRS</v>
      </c>
      <c r="M1001" s="147">
        <f>15000*12</f>
        <v>180000</v>
      </c>
      <c r="N1001" s="148"/>
      <c r="O1001" s="147">
        <f t="shared" si="280"/>
        <v>45000</v>
      </c>
      <c r="P1001" s="147" t="str">
        <f t="shared" si="3"/>
        <v>Rp180,000-0.25 GRS-0.00%</v>
      </c>
      <c r="Q1001" s="149">
        <v>45432.0</v>
      </c>
      <c r="R1001" s="150"/>
      <c r="S1001" s="149">
        <v>45433.0</v>
      </c>
      <c r="T1001" s="151"/>
      <c r="U1001" s="151"/>
      <c r="V1001" s="151"/>
      <c r="W1001" s="151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</row>
    <row r="1002">
      <c r="A1002" s="142">
        <v>1607.0</v>
      </c>
      <c r="B1002" s="143" t="str">
        <f t="shared" si="292"/>
        <v>A</v>
      </c>
      <c r="C1002" s="143" t="str">
        <f t="shared" si="293"/>
        <v>BENGAWAN RETAIL MANDIRI (LUWES)-PURWODADI</v>
      </c>
      <c r="D1002" s="53" t="s">
        <v>4533</v>
      </c>
      <c r="E1002" s="145" t="str">
        <f>IFERROR(__xludf.DUMMYFUNCTION("vlookup(D1002,IMPORTRANGE(""https://docs.google.com/spreadsheets/d/1swGwZOEqYlTEUCJLY-eeJM1911Kvaei5oySBIxdgtNo/edit?pli=1#gid=257618397"",""stock FAKTUR!B:C""),2,false)"),"BINDER CLIP KENKO NO. 200")</f>
        <v>BINDER CLIP KENKO NO. 200</v>
      </c>
      <c r="F1002" s="145" t="str">
        <f>IFERROR(__xludf.DUMMYFUNCTION("vlookup($D1002,IMPORTRANGE(""https://docs.google.com/spreadsheets/d/1swGwZOEqYlTEUCJLY-eeJM1911Kvaei5oySBIxdgtNo/edit?pli=1#gid=257618397"",""stock FAKTUR!B:d""),3,false)"),"")</f>
        <v/>
      </c>
      <c r="G1002" s="145" t="str">
        <f>IFERROR(__xludf.DUMMYFUNCTION("vlookup($D1002,IMPORTRANGE(""https://docs.google.com/spreadsheets/d/1swGwZOEqYlTEUCJLY-eeJM1911Kvaei5oySBIxdgtNo/edit?pli=1#gid=257618397"",""stock FAKTUR!B:e""),4,false)"),"")</f>
        <v/>
      </c>
      <c r="H1002" s="145" t="str">
        <f>IFERROR(__xludf.DUMMYFUNCTION("vlookup($D1002,IMPORTRANGE(""https://docs.google.com/spreadsheets/d/1swGwZOEqYlTEUCJLY-eeJM1911Kvaei5oySBIxdgtNo/edit?pli=1#gid=257618397"",""stock FAKTUR!B:F""),5,false)"),"KN")</f>
        <v>KN</v>
      </c>
      <c r="I1002" s="145" t="str">
        <f>IFERROR(__xludf.DUMMYFUNCTION("vlookup($D1002,IMPORTRANGE(""https://docs.google.com/spreadsheets/d/1swGwZOEqYlTEUCJLY-eeJM1911Kvaei5oySBIxdgtNo/edit?pli=1#gid=257618397"",""stock FAKTUR!B:G""),6,false)"),"BCL-005QH")</f>
        <v>BCL-005QH</v>
      </c>
      <c r="J1002" s="199" t="str">
        <f t="shared" si="25"/>
        <v>ADA</v>
      </c>
      <c r="K1002" s="142">
        <f t="shared" si="295"/>
        <v>0.25</v>
      </c>
      <c r="L1002" s="145" t="str">
        <f>IFERROR(__xludf.DUMMYFUNCTION("vlookup($D1002,IMPORTRANGE(""https://docs.google.com/spreadsheets/d/1swGwZOEqYlTEUCJLY-eeJM1911Kvaei5oySBIxdgtNo/edit?pli=1#gid=257618397"",""stock FAKTUR!B:q""),16,false)"),"GRS")</f>
        <v>GRS</v>
      </c>
      <c r="M1002" s="147">
        <f>10000*12</f>
        <v>120000</v>
      </c>
      <c r="N1002" s="148"/>
      <c r="O1002" s="147">
        <f t="shared" si="280"/>
        <v>30000</v>
      </c>
      <c r="P1002" s="147" t="str">
        <f t="shared" si="3"/>
        <v>Rp120,000-0.25 GRS-0.00%</v>
      </c>
      <c r="Q1002" s="149">
        <v>45432.0</v>
      </c>
      <c r="R1002" s="150"/>
      <c r="S1002" s="149">
        <v>45433.0</v>
      </c>
      <c r="T1002" s="151"/>
      <c r="U1002" s="151"/>
      <c r="V1002" s="151"/>
      <c r="W1002" s="151"/>
      <c r="X1002" s="49"/>
      <c r="Y1002" s="49"/>
      <c r="Z1002" s="49"/>
      <c r="AA1002" s="49"/>
      <c r="AB1002" s="49"/>
      <c r="AC1002" s="49"/>
      <c r="AD1002" s="49"/>
      <c r="AE1002" s="49"/>
      <c r="AF1002" s="49"/>
      <c r="AG1002" s="49"/>
    </row>
    <row r="1003">
      <c r="A1003" s="142">
        <v>1607.0</v>
      </c>
      <c r="B1003" s="143" t="str">
        <f t="shared" si="292"/>
        <v>A</v>
      </c>
      <c r="C1003" s="143" t="str">
        <f t="shared" si="293"/>
        <v>BENGAWAN RETAIL MANDIRI (LUWES)-PURWODADI</v>
      </c>
      <c r="D1003" s="53" t="s">
        <v>4707</v>
      </c>
      <c r="E1003" s="145" t="str">
        <f>IFERROR(__xludf.DUMMYFUNCTION("vlookup(D1003,IMPORTRANGE(""https://docs.google.com/spreadsheets/d/1swGwZOEqYlTEUCJLY-eeJM1911Kvaei5oySBIxdgtNo/edit?pli=1#gid=257618397"",""stock FAKTUR!B:C""),2,false)"),"BINDER CLIP KENKO NO. 107")</f>
        <v>BINDER CLIP KENKO NO. 107</v>
      </c>
      <c r="F1003" s="145" t="str">
        <f>IFERROR(__xludf.DUMMYFUNCTION("vlookup($D1003,IMPORTRANGE(""https://docs.google.com/spreadsheets/d/1swGwZOEqYlTEUCJLY-eeJM1911Kvaei5oySBIxdgtNo/edit?pli=1#gid=257618397"",""stock FAKTUR!B:d""),3,false)"),"")</f>
        <v/>
      </c>
      <c r="G1003" s="145" t="str">
        <f>IFERROR(__xludf.DUMMYFUNCTION("vlookup($D1003,IMPORTRANGE(""https://docs.google.com/spreadsheets/d/1swGwZOEqYlTEUCJLY-eeJM1911Kvaei5oySBIxdgtNo/edit?pli=1#gid=257618397"",""stock FAKTUR!B:e""),4,false)"),"")</f>
        <v/>
      </c>
      <c r="H1003" s="145" t="str">
        <f>IFERROR(__xludf.DUMMYFUNCTION("vlookup($D1003,IMPORTRANGE(""https://docs.google.com/spreadsheets/d/1swGwZOEqYlTEUCJLY-eeJM1911Kvaei5oySBIxdgtNo/edit?pli=1#gid=257618397"",""stock FAKTUR!B:F""),5,false)"),"KN")</f>
        <v>KN</v>
      </c>
      <c r="I1003" s="145" t="str">
        <f>IFERROR(__xludf.DUMMYFUNCTION("vlookup($D1003,IMPORTRANGE(""https://docs.google.com/spreadsheets/d/1swGwZOEqYlTEUCJLY-eeJM1911Kvaei5oySBIxdgtNo/edit?pli=1#gid=257618397"",""stock FAKTUR!B:G""),6,false)"),"BCL-002QH")</f>
        <v>BCL-002QH</v>
      </c>
      <c r="J1003" s="199" t="str">
        <f t="shared" si="25"/>
        <v>ADA</v>
      </c>
      <c r="K1003" s="142">
        <v>3.0</v>
      </c>
      <c r="L1003" s="145" t="str">
        <f>IFERROR(__xludf.DUMMYFUNCTION("vlookup($D1003,IMPORTRANGE(""https://docs.google.com/spreadsheets/d/1swGwZOEqYlTEUCJLY-eeJM1911Kvaei5oySBIxdgtNo/edit?pli=1#gid=257618397"",""stock FAKTUR!B:q""),16,false)"),"BOX")</f>
        <v>BOX</v>
      </c>
      <c r="M1003" s="147">
        <v>31800.0</v>
      </c>
      <c r="N1003" s="148"/>
      <c r="O1003" s="147">
        <f t="shared" si="280"/>
        <v>95400</v>
      </c>
      <c r="P1003" s="147" t="str">
        <f t="shared" si="3"/>
        <v>Rp31,800-3 BOX-0.00%</v>
      </c>
      <c r="Q1003" s="149">
        <v>45432.0</v>
      </c>
      <c r="R1003" s="150"/>
      <c r="S1003" s="149">
        <v>45433.0</v>
      </c>
      <c r="T1003" s="151"/>
      <c r="U1003" s="151"/>
      <c r="V1003" s="151"/>
      <c r="W1003" s="151"/>
      <c r="X1003" s="49"/>
      <c r="Y1003" s="49"/>
      <c r="Z1003" s="49"/>
      <c r="AA1003" s="49"/>
      <c r="AB1003" s="49"/>
      <c r="AC1003" s="49"/>
      <c r="AD1003" s="49"/>
      <c r="AE1003" s="49"/>
      <c r="AF1003" s="49"/>
      <c r="AG1003" s="49"/>
    </row>
    <row r="1004">
      <c r="A1004" s="142">
        <v>1607.0</v>
      </c>
      <c r="B1004" s="143" t="str">
        <f t="shared" si="292"/>
        <v>A</v>
      </c>
      <c r="C1004" s="143" t="str">
        <f t="shared" si="293"/>
        <v>BENGAWAN RETAIL MANDIRI (LUWES)-PURWODADI</v>
      </c>
      <c r="D1004" s="53" t="s">
        <v>4766</v>
      </c>
      <c r="E1004" s="145" t="str">
        <f>IFERROR(__xludf.DUMMYFUNCTION("vlookup(D1004,IMPORTRANGE(""https://docs.google.com/spreadsheets/d/1swGwZOEqYlTEUCJLY-eeJM1911Kvaei5oySBIxdgtNo/edit?pli=1#gid=257618397"",""stock FAKTUR!B:C""),2,false)"),"BINDER CLIP KENKO NO. 105")</f>
        <v>BINDER CLIP KENKO NO. 105</v>
      </c>
      <c r="F1004" s="145" t="str">
        <f>IFERROR(__xludf.DUMMYFUNCTION("vlookup($D1004,IMPORTRANGE(""https://docs.google.com/spreadsheets/d/1swGwZOEqYlTEUCJLY-eeJM1911Kvaei5oySBIxdgtNo/edit?pli=1#gid=257618397"",""stock FAKTUR!B:d""),3,false)"),"")</f>
        <v/>
      </c>
      <c r="G1004" s="145" t="str">
        <f>IFERROR(__xludf.DUMMYFUNCTION("vlookup($D1004,IMPORTRANGE(""https://docs.google.com/spreadsheets/d/1swGwZOEqYlTEUCJLY-eeJM1911Kvaei5oySBIxdgtNo/edit?pli=1#gid=257618397"",""stock FAKTUR!B:e""),4,false)"),"")</f>
        <v/>
      </c>
      <c r="H1004" s="145" t="str">
        <f>IFERROR(__xludf.DUMMYFUNCTION("vlookup($D1004,IMPORTRANGE(""https://docs.google.com/spreadsheets/d/1swGwZOEqYlTEUCJLY-eeJM1911Kvaei5oySBIxdgtNo/edit?pli=1#gid=257618397"",""stock FAKTUR!B:F""),5,false)"),"KN")</f>
        <v>KN</v>
      </c>
      <c r="I1004" s="145" t="str">
        <f>IFERROR(__xludf.DUMMYFUNCTION("vlookup($D1004,IMPORTRANGE(""https://docs.google.com/spreadsheets/d/1swGwZOEqYlTEUCJLY-eeJM1911Kvaei5oySBIxdgtNo/edit?pli=1#gid=257618397"",""stock FAKTUR!B:G""),6,false)"),"BCL-001QH")</f>
        <v>BCL-001QH</v>
      </c>
      <c r="J1004" s="199" t="str">
        <f t="shared" si="25"/>
        <v>ADA</v>
      </c>
      <c r="K1004" s="142">
        <v>3.0</v>
      </c>
      <c r="L1004" s="145" t="str">
        <f>IFERROR(__xludf.DUMMYFUNCTION("vlookup($D1004,IMPORTRANGE(""https://docs.google.com/spreadsheets/d/1swGwZOEqYlTEUCJLY-eeJM1911Kvaei5oySBIxdgtNo/edit?pli=1#gid=257618397"",""stock FAKTUR!B:q""),16,false)"),"BOX")</f>
        <v>BOX</v>
      </c>
      <c r="M1004" s="147">
        <v>28800.0</v>
      </c>
      <c r="N1004" s="148"/>
      <c r="O1004" s="147">
        <f t="shared" si="280"/>
        <v>86400</v>
      </c>
      <c r="P1004" s="147" t="str">
        <f t="shared" si="3"/>
        <v>Rp28,800-3 BOX-0.00%</v>
      </c>
      <c r="Q1004" s="149">
        <v>45432.0</v>
      </c>
      <c r="R1004" s="150"/>
      <c r="S1004" s="149">
        <v>45433.0</v>
      </c>
      <c r="T1004" s="151"/>
      <c r="U1004" s="151"/>
      <c r="V1004" s="151"/>
      <c r="W1004" s="151"/>
      <c r="X1004" s="49"/>
      <c r="Y1004" s="49"/>
      <c r="Z1004" s="49"/>
      <c r="AA1004" s="49"/>
      <c r="AB1004" s="49"/>
      <c r="AC1004" s="49"/>
      <c r="AD1004" s="49"/>
      <c r="AE1004" s="49"/>
      <c r="AF1004" s="49"/>
      <c r="AG1004" s="49"/>
    </row>
    <row r="1005">
      <c r="A1005" s="142">
        <v>1607.0</v>
      </c>
      <c r="B1005" s="143" t="str">
        <f t="shared" si="292"/>
        <v>A</v>
      </c>
      <c r="C1005" s="143" t="str">
        <f t="shared" si="293"/>
        <v>BENGAWAN RETAIL MANDIRI (LUWES)-PURWODADI</v>
      </c>
      <c r="D1005" s="53" t="s">
        <v>4439</v>
      </c>
      <c r="E1005" s="145" t="str">
        <f>IFERROR(__xludf.DUMMYFUNCTION("vlookup(D1005,IMPORTRANGE(""https://docs.google.com/spreadsheets/d/1swGwZOEqYlTEUCJLY-eeJM1911Kvaei5oySBIxdgtNo/edit?pli=1#gid=257618397"",""stock FAKTUR!B:C""),2,false)"),"BINDER CLIP KENKO NO. 111")</f>
        <v>BINDER CLIP KENKO NO. 111</v>
      </c>
      <c r="F1005" s="145" t="str">
        <f>IFERROR(__xludf.DUMMYFUNCTION("vlookup($D1005,IMPORTRANGE(""https://docs.google.com/spreadsheets/d/1swGwZOEqYlTEUCJLY-eeJM1911Kvaei5oySBIxdgtNo/edit?pli=1#gid=257618397"",""stock FAKTUR!B:d""),3,false)"),"")</f>
        <v/>
      </c>
      <c r="G1005" s="145" t="str">
        <f>IFERROR(__xludf.DUMMYFUNCTION("vlookup($D1005,IMPORTRANGE(""https://docs.google.com/spreadsheets/d/1swGwZOEqYlTEUCJLY-eeJM1911Kvaei5oySBIxdgtNo/edit?pli=1#gid=257618397"",""stock FAKTUR!B:e""),4,false)"),"")</f>
        <v/>
      </c>
      <c r="H1005" s="145" t="str">
        <f>IFERROR(__xludf.DUMMYFUNCTION("vlookup($D1005,IMPORTRANGE(""https://docs.google.com/spreadsheets/d/1swGwZOEqYlTEUCJLY-eeJM1911Kvaei5oySBIxdgtNo/edit?pli=1#gid=257618397"",""stock FAKTUR!B:F""),5,false)"),"KN")</f>
        <v>KN</v>
      </c>
      <c r="I1005" s="145" t="str">
        <f>IFERROR(__xludf.DUMMYFUNCTION("vlookup($D1005,IMPORTRANGE(""https://docs.google.com/spreadsheets/d/1swGwZOEqYlTEUCJLY-eeJM1911Kvaei5oySBIxdgtNo/edit?pli=1#gid=257618397"",""stock FAKTUR!B:G""),6,false)"),"BCL-003QH")</f>
        <v>BCL-003QH</v>
      </c>
      <c r="J1005" s="199" t="str">
        <f t="shared" si="25"/>
        <v>ADA</v>
      </c>
      <c r="K1005" s="142">
        <v>3.0</v>
      </c>
      <c r="L1005" s="145" t="str">
        <f>IFERROR(__xludf.DUMMYFUNCTION("vlookup($D1005,IMPORTRANGE(""https://docs.google.com/spreadsheets/d/1swGwZOEqYlTEUCJLY-eeJM1911Kvaei5oySBIxdgtNo/edit?pli=1#gid=257618397"",""stock FAKTUR!B:q""),16,false)"),"BOX")</f>
        <v>BOX</v>
      </c>
      <c r="M1005" s="147">
        <v>49200.0</v>
      </c>
      <c r="N1005" s="148"/>
      <c r="O1005" s="147">
        <f t="shared" si="280"/>
        <v>147600</v>
      </c>
      <c r="P1005" s="147" t="str">
        <f t="shared" si="3"/>
        <v>Rp49,200-3 BOX-0.00%</v>
      </c>
      <c r="Q1005" s="149">
        <v>45432.0</v>
      </c>
      <c r="R1005" s="150"/>
      <c r="S1005" s="149">
        <v>45433.0</v>
      </c>
      <c r="T1005" s="151"/>
      <c r="U1005" s="151"/>
      <c r="V1005" s="151"/>
      <c r="W1005" s="151"/>
      <c r="X1005" s="49"/>
      <c r="Y1005" s="49"/>
      <c r="Z1005" s="49"/>
      <c r="AA1005" s="49"/>
      <c r="AB1005" s="49"/>
      <c r="AC1005" s="49"/>
      <c r="AD1005" s="49"/>
      <c r="AE1005" s="49"/>
      <c r="AF1005" s="49"/>
      <c r="AG1005" s="49"/>
    </row>
    <row r="1006">
      <c r="A1006" s="142">
        <v>240.0</v>
      </c>
      <c r="B1006" s="143" t="str">
        <f t="shared" si="292"/>
        <v/>
      </c>
      <c r="C1006" s="143" t="s">
        <v>4518</v>
      </c>
      <c r="D1006" s="53" t="s">
        <v>4416</v>
      </c>
      <c r="E1006" s="145" t="str">
        <f>IFERROR(__xludf.DUMMYFUNCTION("vlookup(D1006,IMPORTRANGE(""https://docs.google.com/spreadsheets/d/1swGwZOEqYlTEUCJLY-eeJM1911Kvaei5oySBIxdgtNo/edit?pli=1#gid=257618397"",""stock FAKTUR!B:C""),2,false)"),"BP KENKO KE-303 T-GEL HITAM")</f>
        <v>BP KENKO KE-303 T-GEL HITAM</v>
      </c>
      <c r="F1006" s="145" t="str">
        <f>IFERROR(__xludf.DUMMYFUNCTION("vlookup($D1006,IMPORTRANGE(""https://docs.google.com/spreadsheets/d/1swGwZOEqYlTEUCJLY-eeJM1911Kvaei5oySBIxdgtNo/edit?pli=1#gid=257618397"",""stock FAKTUR!B:d""),3,false)"),"")</f>
        <v/>
      </c>
      <c r="G1006" s="145" t="str">
        <f>IFERROR(__xludf.DUMMYFUNCTION("vlookup($D1006,IMPORTRANGE(""https://docs.google.com/spreadsheets/d/1swGwZOEqYlTEUCJLY-eeJM1911Kvaei5oySBIxdgtNo/edit?pli=1#gid=257618397"",""stock FAKTUR!B:e""),4,false)"),"")</f>
        <v/>
      </c>
      <c r="H1006" s="145" t="str">
        <f>IFERROR(__xludf.DUMMYFUNCTION("vlookup($D1006,IMPORTRANGE(""https://docs.google.com/spreadsheets/d/1swGwZOEqYlTEUCJLY-eeJM1911Kvaei5oySBIxdgtNo/edit?pli=1#gid=257618397"",""stock FAKTUR!B:F""),5,false)"),"KN")</f>
        <v>KN</v>
      </c>
      <c r="I1006" s="145" t="str">
        <f>IFERROR(__xludf.DUMMYFUNCTION("vlookup($D1006,IMPORTRANGE(""https://docs.google.com/spreadsheets/d/1swGwZOEqYlTEUCJLY-eeJM1911Kvaei5oySBIxdgtNo/edit?pli=1#gid=257618397"",""stock FAKTUR!B:G""),6,false)"),"KE-303")</f>
        <v>KE-303</v>
      </c>
      <c r="J1006" s="199" t="str">
        <f t="shared" si="25"/>
        <v>ADA</v>
      </c>
      <c r="K1006" s="142">
        <v>6.0</v>
      </c>
      <c r="L1006" s="145" t="str">
        <f>IFERROR(__xludf.DUMMYFUNCTION("vlookup($D1006,IMPORTRANGE(""https://docs.google.com/spreadsheets/d/1swGwZOEqYlTEUCJLY-eeJM1911Kvaei5oySBIxdgtNo/edit?pli=1#gid=257618397"",""stock FAKTUR!B:q""),16,false)"),"LSN")</f>
        <v>LSN</v>
      </c>
      <c r="M1006" s="147">
        <v>21600.0</v>
      </c>
      <c r="N1006" s="152">
        <v>0.15</v>
      </c>
      <c r="O1006" s="147">
        <f t="shared" si="280"/>
        <v>110160</v>
      </c>
      <c r="P1006" s="147" t="str">
        <f t="shared" si="3"/>
        <v>Rp21,600-6 LSN-15.00%</v>
      </c>
      <c r="Q1006" s="149">
        <v>45427.0</v>
      </c>
      <c r="R1006" s="150"/>
      <c r="S1006" s="149">
        <v>45437.0</v>
      </c>
      <c r="T1006" s="151"/>
      <c r="U1006" s="151"/>
      <c r="V1006" s="151"/>
      <c r="W1006" s="151"/>
      <c r="X1006" s="49"/>
      <c r="Y1006" s="49"/>
      <c r="Z1006" s="49"/>
      <c r="AA1006" s="49"/>
      <c r="AB1006" s="49"/>
      <c r="AC1006" s="49"/>
      <c r="AD1006" s="49"/>
      <c r="AE1006" s="49"/>
      <c r="AF1006" s="49"/>
      <c r="AG1006" s="49"/>
    </row>
    <row r="1007">
      <c r="A1007" s="142">
        <v>240.0</v>
      </c>
      <c r="B1007" s="143" t="str">
        <f t="shared" si="292"/>
        <v/>
      </c>
      <c r="C1007" s="143" t="str">
        <f t="shared" ref="C1007:C1008" si="296">IF(A1007=A1006,C1006,"")</f>
        <v>SBM</v>
      </c>
      <c r="D1007" s="53" t="s">
        <v>4430</v>
      </c>
      <c r="E1007" s="145" t="str">
        <f>IFERROR(__xludf.DUMMYFUNCTION("vlookup(D1007,IMPORTRANGE(""https://docs.google.com/spreadsheets/d/1swGwZOEqYlTEUCJLY-eeJM1911Kvaei5oySBIxdgtNo/edit?pli=1#gid=257618397"",""stock FAKTUR!B:C""),2,false)"),"LEM STICK KENKO 8GR KECIL")</f>
        <v>LEM STICK KENKO 8GR KECIL</v>
      </c>
      <c r="F1007" s="145" t="str">
        <f>IFERROR(__xludf.DUMMYFUNCTION("vlookup($D1007,IMPORTRANGE(""https://docs.google.com/spreadsheets/d/1swGwZOEqYlTEUCJLY-eeJM1911Kvaei5oySBIxdgtNo/edit?pli=1#gid=257618397"",""stock FAKTUR!B:d""),3,false)"),"K")</f>
        <v>K</v>
      </c>
      <c r="G1007" s="145" t="str">
        <f>IFERROR(__xludf.DUMMYFUNCTION("vlookup($D1007,IMPORTRANGE(""https://docs.google.com/spreadsheets/d/1swGwZOEqYlTEUCJLY-eeJM1911Kvaei5oySBIxdgtNo/edit?pli=1#gid=257618397"",""stock FAKTUR!B:e""),4,false)"),"")</f>
        <v/>
      </c>
      <c r="H1007" s="145" t="str">
        <f>IFERROR(__xludf.DUMMYFUNCTION("vlookup($D1007,IMPORTRANGE(""https://docs.google.com/spreadsheets/d/1swGwZOEqYlTEUCJLY-eeJM1911Kvaei5oySBIxdgtNo/edit?pli=1#gid=257618397"",""stock FAKTUR!B:F""),5,false)"),"KN")</f>
        <v>KN</v>
      </c>
      <c r="I1007" s="145" t="str">
        <f>IFERROR(__xludf.DUMMYFUNCTION("vlookup($D1007,IMPORTRANGE(""https://docs.google.com/spreadsheets/d/1swGwZOEqYlTEUCJLY-eeJM1911Kvaei5oySBIxdgtNo/edit?pli=1#gid=257618397"",""stock FAKTUR!B:G""),6,false)"),"GST-001GA")</f>
        <v>GST-001GA</v>
      </c>
      <c r="J1007" s="199" t="str">
        <f t="shared" si="25"/>
        <v>ADA</v>
      </c>
      <c r="K1007" s="142">
        <v>1.0</v>
      </c>
      <c r="L1007" s="145" t="str">
        <f>IFERROR(__xludf.DUMMYFUNCTION("vlookup($D1007,IMPORTRANGE(""https://docs.google.com/spreadsheets/d/1swGwZOEqYlTEUCJLY-eeJM1911Kvaei5oySBIxdgtNo/edit?pli=1#gid=257618397"",""stock FAKTUR!B:q""),16,false)"),"BOX")</f>
        <v>BOX</v>
      </c>
      <c r="M1007" s="147">
        <v>66000.0</v>
      </c>
      <c r="N1007" s="152">
        <v>0.15</v>
      </c>
      <c r="O1007" s="147">
        <f t="shared" si="280"/>
        <v>56100</v>
      </c>
      <c r="P1007" s="147" t="str">
        <f t="shared" si="3"/>
        <v>Rp66,000-1 BOX-15.00%</v>
      </c>
      <c r="Q1007" s="149">
        <v>45427.0</v>
      </c>
      <c r="R1007" s="150"/>
      <c r="S1007" s="149">
        <v>45437.0</v>
      </c>
      <c r="T1007" s="151"/>
      <c r="U1007" s="151"/>
      <c r="V1007" s="151"/>
      <c r="W1007" s="151"/>
      <c r="X1007" s="49"/>
      <c r="Y1007" s="49"/>
      <c r="Z1007" s="49"/>
      <c r="AA1007" s="49"/>
      <c r="AB1007" s="49"/>
      <c r="AC1007" s="49"/>
      <c r="AD1007" s="49"/>
      <c r="AE1007" s="49"/>
      <c r="AF1007" s="49"/>
      <c r="AG1007" s="49"/>
    </row>
    <row r="1008">
      <c r="A1008" s="142">
        <v>240.0</v>
      </c>
      <c r="B1008" s="143" t="str">
        <f t="shared" si="292"/>
        <v/>
      </c>
      <c r="C1008" s="143" t="str">
        <f t="shared" si="296"/>
        <v>SBM</v>
      </c>
      <c r="D1008" s="201" t="s">
        <v>4825</v>
      </c>
      <c r="E1008" s="145" t="str">
        <f>IFERROR(__xludf.DUMMYFUNCTION("vlookup(D1008,IMPORTRANGE(""https://docs.google.com/spreadsheets/d/1swGwZOEqYlTEUCJLY-eeJM1911Kvaei5oySBIxdgtNo/edit?pli=1#gid=257618397"",""stock FAKTUR!B:C""),2,false)"),"GARISAN BESI KENKO 30 CM")</f>
        <v>GARISAN BESI KENKO 30 CM</v>
      </c>
      <c r="F1008" s="145" t="str">
        <f>IFERROR(__xludf.DUMMYFUNCTION("vlookup($D1008,IMPORTRANGE(""https://docs.google.com/spreadsheets/d/1swGwZOEqYlTEUCJLY-eeJM1911Kvaei5oySBIxdgtNo/edit?pli=1#gid=257618397"",""stock FAKTUR!B:d""),3,false)"),"30 CM")</f>
        <v>30 CM</v>
      </c>
      <c r="G1008" s="145" t="str">
        <f>IFERROR(__xludf.DUMMYFUNCTION("vlookup($D1008,IMPORTRANGE(""https://docs.google.com/spreadsheets/d/1swGwZOEqYlTEUCJLY-eeJM1911Kvaei5oySBIxdgtNo/edit?pli=1#gid=257618397"",""stock FAKTUR!B:e""),4,false)"),"")</f>
        <v/>
      </c>
      <c r="H1008" s="145" t="str">
        <f>IFERROR(__xludf.DUMMYFUNCTION("vlookup($D1008,IMPORTRANGE(""https://docs.google.com/spreadsheets/d/1swGwZOEqYlTEUCJLY-eeJM1911Kvaei5oySBIxdgtNo/edit?pli=1#gid=257618397"",""stock FAKTUR!B:F""),5,false)"),"KN")</f>
        <v>KN</v>
      </c>
      <c r="I1008" s="145" t="str">
        <f>IFERROR(__xludf.DUMMYFUNCTION("vlookup($D1008,IMPORTRANGE(""https://docs.google.com/spreadsheets/d/1swGwZOEqYlTEUCJLY-eeJM1911Kvaei5oySBIxdgtNo/edit?pli=1#gid=257618397"",""stock FAKTUR!B:G""),6,false)"),"")</f>
        <v/>
      </c>
      <c r="J1008" s="199" t="str">
        <f t="shared" si="25"/>
        <v>ADA</v>
      </c>
      <c r="K1008" s="142">
        <v>2.0</v>
      </c>
      <c r="L1008" s="145" t="str">
        <f>IFERROR(__xludf.DUMMYFUNCTION("vlookup($D1008,IMPORTRANGE(""https://docs.google.com/spreadsheets/d/1swGwZOEqYlTEUCJLY-eeJM1911Kvaei5oySBIxdgtNo/edit?pli=1#gid=257618397"",""stock FAKTUR!B:q""),16,false)"),"LSN")</f>
        <v>LSN</v>
      </c>
      <c r="M1008" s="147">
        <v>84000.0</v>
      </c>
      <c r="N1008" s="152">
        <v>0.15</v>
      </c>
      <c r="O1008" s="147">
        <f t="shared" si="280"/>
        <v>142800</v>
      </c>
      <c r="P1008" s="147" t="str">
        <f t="shared" si="3"/>
        <v>Rp84,000-2 LSN-15.00%</v>
      </c>
      <c r="Q1008" s="149">
        <v>45427.0</v>
      </c>
      <c r="R1008" s="150"/>
      <c r="S1008" s="149">
        <v>45437.0</v>
      </c>
      <c r="T1008" s="151"/>
      <c r="U1008" s="151"/>
      <c r="V1008" s="151"/>
      <c r="W1008" s="151"/>
      <c r="X1008" s="49"/>
      <c r="Y1008" s="49"/>
      <c r="Z1008" s="49"/>
      <c r="AA1008" s="49"/>
      <c r="AB1008" s="49"/>
      <c r="AC1008" s="49"/>
      <c r="AD1008" s="49"/>
      <c r="AE1008" s="49"/>
      <c r="AF1008" s="49"/>
      <c r="AG1008" s="49"/>
    </row>
    <row r="1009">
      <c r="A1009" s="142">
        <v>4929.0</v>
      </c>
      <c r="B1009" s="143" t="s">
        <v>33</v>
      </c>
      <c r="C1009" s="143" t="s">
        <v>3283</v>
      </c>
      <c r="D1009" s="53" t="s">
        <v>4665</v>
      </c>
      <c r="E1009" s="145" t="str">
        <f>IFERROR(__xludf.DUMMYFUNCTION("vlookup(D1009,IMPORTRANGE(""https://docs.google.com/spreadsheets/d/1swGwZOEqYlTEUCJLY-eeJM1911Kvaei5oySBIxdgtNo/edit?pli=1#gid=257618397"",""stock FAKTUR!B:C""),2,false)"),"STIP JK 526-B40P")</f>
        <v>STIP JK 526-B40P</v>
      </c>
      <c r="F1009" s="145" t="str">
        <f>IFERROR(__xludf.DUMMYFUNCTION("vlookup($D1009,IMPORTRANGE(""https://docs.google.com/spreadsheets/d/1swGwZOEqYlTEUCJLY-eeJM1911Kvaei5oySBIxdgtNo/edit?pli=1#gid=257618397"",""stock FAKTUR!B:d""),3,false)"),"")</f>
        <v/>
      </c>
      <c r="G1009" s="145" t="str">
        <f>IFERROR(__xludf.DUMMYFUNCTION("vlookup($D1009,IMPORTRANGE(""https://docs.google.com/spreadsheets/d/1swGwZOEqYlTEUCJLY-eeJM1911Kvaei5oySBIxdgtNo/edit?pli=1#gid=257618397"",""stock FAKTUR!B:e""),4,false)"),"PUTIH")</f>
        <v>PUTIH</v>
      </c>
      <c r="H1009" s="145" t="str">
        <f>IFERROR(__xludf.DUMMYFUNCTION("vlookup($D1009,IMPORTRANGE(""https://docs.google.com/spreadsheets/d/1swGwZOEqYlTEUCJLY-eeJM1911Kvaei5oySBIxdgtNo/edit?pli=1#gid=257618397"",""stock FAKTUR!B:F""),5,false)"),"JK")</f>
        <v>JK</v>
      </c>
      <c r="I1009" s="145" t="str">
        <f>IFERROR(__xludf.DUMMYFUNCTION("vlookup($D1009,IMPORTRANGE(""https://docs.google.com/spreadsheets/d/1swGwZOEqYlTEUCJLY-eeJM1911Kvaei5oySBIxdgtNo/edit?pli=1#gid=257618397"",""stock FAKTUR!B:G""),6,false)"),"40 P")</f>
        <v>40 P</v>
      </c>
      <c r="J1009" s="199" t="str">
        <f t="shared" si="25"/>
        <v>ADA</v>
      </c>
      <c r="K1009" s="142">
        <v>50.0</v>
      </c>
      <c r="L1009" s="145" t="str">
        <f>IFERROR(__xludf.DUMMYFUNCTION("vlookup($D1009,IMPORTRANGE(""https://docs.google.com/spreadsheets/d/1swGwZOEqYlTEUCJLY-eeJM1911Kvaei5oySBIxdgtNo/edit?pli=1#gid=257618397"",""stock FAKTUR!B:q""),16,false)"),"BOX")</f>
        <v>BOX</v>
      </c>
      <c r="M1009" s="147">
        <v>28300.0</v>
      </c>
      <c r="N1009" s="152">
        <v>0.125</v>
      </c>
      <c r="O1009" s="147">
        <f t="shared" si="280"/>
        <v>1238125</v>
      </c>
      <c r="P1009" s="147" t="str">
        <f t="shared" si="3"/>
        <v>Rp28,300-50 BOX-12.50%</v>
      </c>
      <c r="Q1009" s="149">
        <v>45432.0</v>
      </c>
      <c r="R1009" s="149">
        <v>45427.0</v>
      </c>
      <c r="S1009" s="149">
        <v>45437.0</v>
      </c>
      <c r="T1009" s="151"/>
      <c r="U1009" s="151"/>
      <c r="V1009" s="151"/>
      <c r="W1009" s="151"/>
      <c r="X1009" s="49"/>
      <c r="Y1009" s="49"/>
      <c r="Z1009" s="49"/>
      <c r="AA1009" s="49"/>
      <c r="AB1009" s="49"/>
      <c r="AC1009" s="49"/>
      <c r="AD1009" s="49"/>
      <c r="AE1009" s="49"/>
      <c r="AF1009" s="49"/>
      <c r="AG1009" s="49"/>
    </row>
    <row r="1010">
      <c r="A1010" s="142">
        <v>4929.0</v>
      </c>
      <c r="B1010" s="143" t="str">
        <f t="shared" ref="B1010:B1014" si="297">IF(A1010=A1009,B1009,"")</f>
        <v>H</v>
      </c>
      <c r="C1010" s="143" t="str">
        <f t="shared" ref="C1010:C1012" si="298">IF(A1010=A1009,C1009,"")</f>
        <v>TELADAN-TEGAL</v>
      </c>
      <c r="D1010" s="53" t="s">
        <v>4488</v>
      </c>
      <c r="E1010" s="145" t="str">
        <f>IFERROR(__xludf.DUMMYFUNCTION("vlookup(D1010,IMPORTRANGE(""https://docs.google.com/spreadsheets/d/1swGwZOEqYlTEUCJLY-eeJM1911Kvaei5oySBIxdgtNo/edit?pli=1#gid=257618397"",""stock FAKTUR!B:C""),2,false)"),"LABEL HARGA KENKO 6001-2R (1 LINE)")</f>
        <v>LABEL HARGA KENKO 6001-2R (1 LINE)</v>
      </c>
      <c r="F1010" s="145" t="str">
        <f>IFERROR(__xludf.DUMMYFUNCTION("vlookup($D1010,IMPORTRANGE(""https://docs.google.com/spreadsheets/d/1swGwZOEqYlTEUCJLY-eeJM1911Kvaei5oySBIxdgtNo/edit?pli=1#gid=257618397"",""stock FAKTUR!B:d""),3,false)"),"")</f>
        <v/>
      </c>
      <c r="G1010" s="145" t="str">
        <f>IFERROR(__xludf.DUMMYFUNCTION("vlookup($D1010,IMPORTRANGE(""https://docs.google.com/spreadsheets/d/1swGwZOEqYlTEUCJLY-eeJM1911Kvaei5oySBIxdgtNo/edit?pli=1#gid=257618397"",""stock FAKTUR!B:e""),4,false)"),"")</f>
        <v/>
      </c>
      <c r="H1010" s="145" t="str">
        <f>IFERROR(__xludf.DUMMYFUNCTION("vlookup($D1010,IMPORTRANGE(""https://docs.google.com/spreadsheets/d/1swGwZOEqYlTEUCJLY-eeJM1911Kvaei5oySBIxdgtNo/edit?pli=1#gid=257618397"",""stock FAKTUR!B:F""),5,false)"),"KN")</f>
        <v>KN</v>
      </c>
      <c r="I1010" s="145" t="str">
        <f>IFERROR(__xludf.DUMMYFUNCTION("vlookup($D1010,IMPORTRANGE(""https://docs.google.com/spreadsheets/d/1swGwZOEqYlTEUCJLY-eeJM1911Kvaei5oySBIxdgtNo/edit?pli=1#gid=257618397"",""stock FAKTUR!B:G""),6,false)"),"PLB-001")</f>
        <v>PLB-001</v>
      </c>
      <c r="J1010" s="199" t="str">
        <f t="shared" si="25"/>
        <v>ADA</v>
      </c>
      <c r="K1010" s="142">
        <v>50.0</v>
      </c>
      <c r="L1010" s="145" t="str">
        <f>IFERROR(__xludf.DUMMYFUNCTION("vlookup($D1010,IMPORTRANGE(""https://docs.google.com/spreadsheets/d/1swGwZOEqYlTEUCJLY-eeJM1911Kvaei5oySBIxdgtNo/edit?pli=1#gid=257618397"",""stock FAKTUR!B:q""),16,false)"),"PAK")</f>
        <v>PAK</v>
      </c>
      <c r="M1010" s="147">
        <v>21000.0</v>
      </c>
      <c r="N1010" s="152">
        <v>0.125</v>
      </c>
      <c r="O1010" s="147">
        <f t="shared" si="280"/>
        <v>918750</v>
      </c>
      <c r="P1010" s="147" t="str">
        <f t="shared" si="3"/>
        <v>Rp21,000-50 PAK-12.50%</v>
      </c>
      <c r="Q1010" s="149">
        <v>45432.0</v>
      </c>
      <c r="R1010" s="150"/>
      <c r="S1010" s="149">
        <v>45437.0</v>
      </c>
      <c r="T1010" s="151"/>
      <c r="U1010" s="151"/>
      <c r="V1010" s="151"/>
      <c r="W1010" s="151"/>
      <c r="X1010" s="49"/>
      <c r="Y1010" s="49"/>
      <c r="Z1010" s="49"/>
      <c r="AA1010" s="49"/>
      <c r="AB1010" s="49"/>
      <c r="AC1010" s="49"/>
      <c r="AD1010" s="49"/>
      <c r="AE1010" s="49"/>
      <c r="AF1010" s="49"/>
      <c r="AG1010" s="49"/>
    </row>
    <row r="1011">
      <c r="A1011" s="142">
        <v>4929.0</v>
      </c>
      <c r="B1011" s="143" t="str">
        <f t="shared" si="297"/>
        <v>H</v>
      </c>
      <c r="C1011" s="143" t="str">
        <f t="shared" si="298"/>
        <v>TELADAN-TEGAL</v>
      </c>
      <c r="D1011" s="53" t="s">
        <v>4477</v>
      </c>
      <c r="E1011" s="145" t="str">
        <f>IFERROR(__xludf.DUMMYFUNCTION("vlookup(D1011,IMPORTRANGE(""https://docs.google.com/spreadsheets/d/1swGwZOEqYlTEUCJLY-eeJM1911Kvaei5oySBIxdgtNo/edit?pli=1#gid=257618397"",""stock FAKTUR!B:C""),2,false)"),"OIL PASTEL TITI 18W TI-P-18S")</f>
        <v>OIL PASTEL TITI 18W TI-P-18S</v>
      </c>
      <c r="F1011" s="145" t="str">
        <f>IFERROR(__xludf.DUMMYFUNCTION("vlookup($D1011,IMPORTRANGE(""https://docs.google.com/spreadsheets/d/1swGwZOEqYlTEUCJLY-eeJM1911Kvaei5oySBIxdgtNo/edit?pli=1#gid=257618397"",""stock FAKTUR!B:d""),3,false)"),"")</f>
        <v/>
      </c>
      <c r="G1011" s="145" t="str">
        <f>IFERROR(__xludf.DUMMYFUNCTION("vlookup($D1011,IMPORTRANGE(""https://docs.google.com/spreadsheets/d/1swGwZOEqYlTEUCJLY-eeJM1911Kvaei5oySBIxdgtNo/edit?pli=1#gid=257618397"",""stock FAKTUR!B:e""),4,false)"),"18W")</f>
        <v>18W</v>
      </c>
      <c r="H1011" s="145" t="str">
        <f>IFERROR(__xludf.DUMMYFUNCTION("vlookup($D1011,IMPORTRANGE(""https://docs.google.com/spreadsheets/d/1swGwZOEqYlTEUCJLY-eeJM1911Kvaei5oySBIxdgtNo/edit?pli=1#gid=257618397"",""stock FAKTUR!B:F""),5,false)"),"TT")</f>
        <v>TT</v>
      </c>
      <c r="I1011" s="145" t="str">
        <f>IFERROR(__xludf.DUMMYFUNCTION("vlookup($D1011,IMPORTRANGE(""https://docs.google.com/spreadsheets/d/1swGwZOEqYlTEUCJLY-eeJM1911Kvaei5oySBIxdgtNo/edit?pli=1#gid=257618397"",""stock FAKTUR!B:G""),6,false)"),"OPS-008")</f>
        <v>OPS-008</v>
      </c>
      <c r="J1011" s="199" t="str">
        <f t="shared" si="25"/>
        <v>ADA</v>
      </c>
      <c r="K1011" s="142">
        <v>72.0</v>
      </c>
      <c r="L1011" s="145" t="str">
        <f>IFERROR(__xludf.DUMMYFUNCTION("vlookup($D1011,IMPORTRANGE(""https://docs.google.com/spreadsheets/d/1swGwZOEqYlTEUCJLY-eeJM1911Kvaei5oySBIxdgtNo/edit?pli=1#gid=257618397"",""stock FAKTUR!B:q""),16,false)"),"PCS")</f>
        <v>PCS</v>
      </c>
      <c r="M1011" s="147">
        <v>27000.0</v>
      </c>
      <c r="N1011" s="152">
        <v>0.125</v>
      </c>
      <c r="O1011" s="147">
        <f t="shared" si="280"/>
        <v>1701000</v>
      </c>
      <c r="P1011" s="147" t="str">
        <f t="shared" si="3"/>
        <v>Rp27,000-72 PCS-12.50%</v>
      </c>
      <c r="Q1011" s="149">
        <v>45432.0</v>
      </c>
      <c r="R1011" s="150"/>
      <c r="S1011" s="149">
        <v>45437.0</v>
      </c>
      <c r="T1011" s="151"/>
      <c r="U1011" s="151"/>
      <c r="V1011" s="151"/>
      <c r="W1011" s="151"/>
      <c r="X1011" s="49"/>
      <c r="Y1011" s="49"/>
      <c r="Z1011" s="49"/>
      <c r="AA1011" s="49"/>
      <c r="AB1011" s="49"/>
      <c r="AC1011" s="49"/>
      <c r="AD1011" s="49"/>
      <c r="AE1011" s="49"/>
      <c r="AF1011" s="49"/>
      <c r="AG1011" s="49"/>
    </row>
    <row r="1012">
      <c r="A1012" s="142">
        <v>4929.0</v>
      </c>
      <c r="B1012" s="143" t="str">
        <f t="shared" si="297"/>
        <v>H</v>
      </c>
      <c r="C1012" s="143" t="str">
        <f t="shared" si="298"/>
        <v>TELADAN-TEGAL</v>
      </c>
      <c r="D1012" s="53" t="s">
        <v>4478</v>
      </c>
      <c r="E1012" s="145" t="str">
        <f>IFERROR(__xludf.DUMMYFUNCTION("vlookup(D1012,IMPORTRANGE(""https://docs.google.com/spreadsheets/d/1swGwZOEqYlTEUCJLY-eeJM1911Kvaei5oySBIxdgtNo/edit?pli=1#gid=257618397"",""stock FAKTUR!B:C""),2,false)"),"OIL PASTEL TITI 36W TI-P-36 S")</f>
        <v>OIL PASTEL TITI 36W TI-P-36 S</v>
      </c>
      <c r="F1012" s="145" t="str">
        <f>IFERROR(__xludf.DUMMYFUNCTION("vlookup($D1012,IMPORTRANGE(""https://docs.google.com/spreadsheets/d/1swGwZOEqYlTEUCJLY-eeJM1911Kvaei5oySBIxdgtNo/edit?pli=1#gid=257618397"",""stock FAKTUR!B:d""),3,false)"),"")</f>
        <v/>
      </c>
      <c r="G1012" s="145" t="str">
        <f>IFERROR(__xludf.DUMMYFUNCTION("vlookup($D1012,IMPORTRANGE(""https://docs.google.com/spreadsheets/d/1swGwZOEqYlTEUCJLY-eeJM1911Kvaei5oySBIxdgtNo/edit?pli=1#gid=257618397"",""stock FAKTUR!B:e""),4,false)"),"36W")</f>
        <v>36W</v>
      </c>
      <c r="H1012" s="145" t="str">
        <f>IFERROR(__xludf.DUMMYFUNCTION("vlookup($D1012,IMPORTRANGE(""https://docs.google.com/spreadsheets/d/1swGwZOEqYlTEUCJLY-eeJM1911Kvaei5oySBIxdgtNo/edit?pli=1#gid=257618397"",""stock FAKTUR!B:F""),5,false)"),"TT")</f>
        <v>TT</v>
      </c>
      <c r="I1012" s="145" t="str">
        <f>IFERROR(__xludf.DUMMYFUNCTION("vlookup($D1012,IMPORTRANGE(""https://docs.google.com/spreadsheets/d/1swGwZOEqYlTEUCJLY-eeJM1911Kvaei5oySBIxdgtNo/edit?pli=1#gid=257618397"",""stock FAKTUR!B:G""),6,false)"),"")</f>
        <v/>
      </c>
      <c r="J1012" s="199" t="str">
        <f t="shared" si="25"/>
        <v>ADA</v>
      </c>
      <c r="K1012" s="142">
        <v>36.0</v>
      </c>
      <c r="L1012" s="145" t="str">
        <f>IFERROR(__xludf.DUMMYFUNCTION("vlookup($D1012,IMPORTRANGE(""https://docs.google.com/spreadsheets/d/1swGwZOEqYlTEUCJLY-eeJM1911Kvaei5oySBIxdgtNo/edit?pli=1#gid=257618397"",""stock FAKTUR!B:q""),16,false)"),"PCS")</f>
        <v>PCS</v>
      </c>
      <c r="M1012" s="147">
        <v>47500.0</v>
      </c>
      <c r="N1012" s="152">
        <v>0.125</v>
      </c>
      <c r="O1012" s="147">
        <f t="shared" si="280"/>
        <v>1496250</v>
      </c>
      <c r="P1012" s="147" t="str">
        <f t="shared" si="3"/>
        <v>Rp47,500-36 PCS-12.50%</v>
      </c>
      <c r="Q1012" s="149">
        <v>45432.0</v>
      </c>
      <c r="R1012" s="150"/>
      <c r="S1012" s="149">
        <v>45437.0</v>
      </c>
      <c r="T1012" s="151"/>
      <c r="U1012" s="151"/>
      <c r="V1012" s="151"/>
      <c r="W1012" s="151"/>
      <c r="X1012" s="49"/>
      <c r="Y1012" s="49"/>
      <c r="Z1012" s="49"/>
      <c r="AA1012" s="49"/>
      <c r="AB1012" s="49"/>
      <c r="AC1012" s="49"/>
      <c r="AD1012" s="49"/>
      <c r="AE1012" s="49"/>
      <c r="AF1012" s="49"/>
      <c r="AG1012" s="49"/>
    </row>
    <row r="1013">
      <c r="A1013" s="142">
        <v>242.0</v>
      </c>
      <c r="B1013" s="143" t="str">
        <f t="shared" si="297"/>
        <v/>
      </c>
      <c r="C1013" s="143" t="s">
        <v>4518</v>
      </c>
      <c r="D1013" s="53" t="s">
        <v>4406</v>
      </c>
      <c r="E1013" s="145" t="str">
        <f>IFERROR(__xludf.DUMMYFUNCTION("vlookup(D1013,IMPORTRANGE(""https://docs.google.com/spreadsheets/d/1swGwZOEqYlTEUCJLY-eeJM1911Kvaei5oySBIxdgtNo/edit?pli=1#gid=257618397"",""stock FAKTUR!B:C""),2,false)"),"BK KAS FOLIO")</f>
        <v>BK KAS FOLIO</v>
      </c>
      <c r="F1013" s="145" t="str">
        <f>IFERROR(__xludf.DUMMYFUNCTION("vlookup($D1013,IMPORTRANGE(""https://docs.google.com/spreadsheets/d/1swGwZOEqYlTEUCJLY-eeJM1911Kvaei5oySBIxdgtNo/edit?pli=1#gid=257618397"",""stock FAKTUR!B:d""),3,false)"),"F4")</f>
        <v>F4</v>
      </c>
      <c r="G1013" s="145" t="str">
        <f>IFERROR(__xludf.DUMMYFUNCTION("vlookup($D1013,IMPORTRANGE(""https://docs.google.com/spreadsheets/d/1swGwZOEqYlTEUCJLY-eeJM1911Kvaei5oySBIxdgtNo/edit?pli=1#gid=257618397"",""stock FAKTUR!B:e""),4,false)"),"")</f>
        <v/>
      </c>
      <c r="H1013" s="145" t="str">
        <f>IFERROR(__xludf.DUMMYFUNCTION("vlookup($D1013,IMPORTRANGE(""https://docs.google.com/spreadsheets/d/1swGwZOEqYlTEUCJLY-eeJM1911Kvaei5oySBIxdgtNo/edit?pli=1#gid=257618397"",""stock FAKTUR!B:F""),5,false)"),"NB")</f>
        <v>NB</v>
      </c>
      <c r="I1013" s="145" t="str">
        <f>IFERROR(__xludf.DUMMYFUNCTION("vlookup($D1013,IMPORTRANGE(""https://docs.google.com/spreadsheets/d/1swGwZOEqYlTEUCJLY-eeJM1911Kvaei5oySBIxdgtNo/edit?pli=1#gid=257618397"",""stock FAKTUR!B:G""),6,false)"),"")</f>
        <v/>
      </c>
      <c r="J1013" s="199" t="str">
        <f t="shared" si="25"/>
        <v>ADA</v>
      </c>
      <c r="K1013" s="142">
        <v>20.0</v>
      </c>
      <c r="L1013" s="145" t="str">
        <f>IFERROR(__xludf.DUMMYFUNCTION("vlookup($D1013,IMPORTRANGE(""https://docs.google.com/spreadsheets/d/1swGwZOEqYlTEUCJLY-eeJM1911Kvaei5oySBIxdgtNo/edit?pli=1#gid=257618397"",""stock FAKTUR!B:q""),16,false)"),"PCS")</f>
        <v>PCS</v>
      </c>
      <c r="M1013" s="147">
        <v>16500.0</v>
      </c>
      <c r="N1013" s="148"/>
      <c r="O1013" s="147">
        <f t="shared" si="280"/>
        <v>330000</v>
      </c>
      <c r="P1013" s="147" t="str">
        <f t="shared" si="3"/>
        <v>Rp16,500-20 PCS-0.00%</v>
      </c>
      <c r="Q1013" s="149">
        <v>45433.0</v>
      </c>
      <c r="R1013" s="150"/>
      <c r="S1013" s="149">
        <v>45437.0</v>
      </c>
      <c r="T1013" s="151"/>
      <c r="U1013" s="151"/>
      <c r="V1013" s="151"/>
      <c r="W1013" s="151"/>
      <c r="X1013" s="49"/>
      <c r="Y1013" s="49"/>
      <c r="Z1013" s="49"/>
      <c r="AA1013" s="49"/>
      <c r="AB1013" s="49"/>
      <c r="AC1013" s="49"/>
      <c r="AD1013" s="49"/>
      <c r="AE1013" s="49"/>
      <c r="AF1013" s="49"/>
      <c r="AG1013" s="49"/>
    </row>
    <row r="1014">
      <c r="A1014" s="142">
        <v>242.0</v>
      </c>
      <c r="B1014" s="143" t="str">
        <f t="shared" si="297"/>
        <v/>
      </c>
      <c r="C1014" s="143" t="str">
        <f>IF(A1014=A1013,C1013,"")</f>
        <v>SBM</v>
      </c>
      <c r="D1014" s="53" t="s">
        <v>4405</v>
      </c>
      <c r="E1014" s="145" t="str">
        <f>IFERROR(__xludf.DUMMYFUNCTION("vlookup(D1014,IMPORTRANGE(""https://docs.google.com/spreadsheets/d/1swGwZOEqYlTEUCJLY-eeJM1911Kvaei5oySBIxdgtNo/edit?pli=1#gid=257618397"",""stock FAKTUR!B:C""),2,false)"),"BK KAS KWARTO")</f>
        <v>BK KAS KWARTO</v>
      </c>
      <c r="F1014" s="145" t="str">
        <f>IFERROR(__xludf.DUMMYFUNCTION("vlookup($D1014,IMPORTRANGE(""https://docs.google.com/spreadsheets/d/1swGwZOEqYlTEUCJLY-eeJM1911Kvaei5oySBIxdgtNo/edit?pli=1#gid=257618397"",""stock FAKTUR!B:d""),3,false)"),"A4")</f>
        <v>A4</v>
      </c>
      <c r="G1014" s="145" t="str">
        <f>IFERROR(__xludf.DUMMYFUNCTION("vlookup($D1014,IMPORTRANGE(""https://docs.google.com/spreadsheets/d/1swGwZOEqYlTEUCJLY-eeJM1911Kvaei5oySBIxdgtNo/edit?pli=1#gid=257618397"",""stock FAKTUR!B:e""),4,false)"),"")</f>
        <v/>
      </c>
      <c r="H1014" s="145" t="str">
        <f>IFERROR(__xludf.DUMMYFUNCTION("vlookup($D1014,IMPORTRANGE(""https://docs.google.com/spreadsheets/d/1swGwZOEqYlTEUCJLY-eeJM1911Kvaei5oySBIxdgtNo/edit?pli=1#gid=257618397"",""stock FAKTUR!B:F""),5,false)"),"NB")</f>
        <v>NB</v>
      </c>
      <c r="I1014" s="145" t="str">
        <f>IFERROR(__xludf.DUMMYFUNCTION("vlookup($D1014,IMPORTRANGE(""https://docs.google.com/spreadsheets/d/1swGwZOEqYlTEUCJLY-eeJM1911Kvaei5oySBIxdgtNo/edit?pli=1#gid=257618397"",""stock FAKTUR!B:G""),6,false)"),"")</f>
        <v/>
      </c>
      <c r="J1014" s="199" t="str">
        <f t="shared" si="25"/>
        <v>ADA</v>
      </c>
      <c r="K1014" s="142">
        <v>30.0</v>
      </c>
      <c r="L1014" s="145" t="str">
        <f>IFERROR(__xludf.DUMMYFUNCTION("vlookup($D1014,IMPORTRANGE(""https://docs.google.com/spreadsheets/d/1swGwZOEqYlTEUCJLY-eeJM1911Kvaei5oySBIxdgtNo/edit?pli=1#gid=257618397"",""stock FAKTUR!B:q""),16,false)"),"PCS")</f>
        <v>PCS</v>
      </c>
      <c r="M1014" s="147">
        <v>8500.0</v>
      </c>
      <c r="N1014" s="148"/>
      <c r="O1014" s="147">
        <f t="shared" si="280"/>
        <v>255000</v>
      </c>
      <c r="P1014" s="147" t="str">
        <f t="shared" si="3"/>
        <v>Rp8,500-30 PCS-0.00%</v>
      </c>
      <c r="Q1014" s="149">
        <v>45433.0</v>
      </c>
      <c r="R1014" s="150"/>
      <c r="S1014" s="149">
        <v>45437.0</v>
      </c>
      <c r="T1014" s="151"/>
      <c r="U1014" s="151"/>
      <c r="V1014" s="151"/>
      <c r="W1014" s="151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</row>
    <row r="1015">
      <c r="A1015" s="142">
        <v>2940.0</v>
      </c>
      <c r="B1015" s="143" t="s">
        <v>33</v>
      </c>
      <c r="C1015" s="143" t="s">
        <v>2371</v>
      </c>
      <c r="D1015" s="53" t="s">
        <v>4525</v>
      </c>
      <c r="E1015" s="145" t="str">
        <f>IFERROR(__xludf.DUMMYFUNCTION("vlookup(D1015,IMPORTRANGE(""https://docs.google.com/spreadsheets/d/1swGwZOEqYlTEUCJLY-eeJM1911Kvaei5oySBIxdgtNo/edit?pli=1#gid=257618397"",""stock FAKTUR!B:C""),2,false)"),"DISPENSER MN-305 POLAR BEAR ")</f>
        <v>DISPENSER MN-305 POLAR BEAR </v>
      </c>
      <c r="F1015" s="145" t="str">
        <f>IFERROR(__xludf.DUMMYFUNCTION("vlookup($D1015,IMPORTRANGE(""https://docs.google.com/spreadsheets/d/1swGwZOEqYlTEUCJLY-eeJM1911Kvaei5oySBIxdgtNo/edit?pli=1#gid=257618397"",""stock FAKTUR!B:d""),3,false)"),"")</f>
        <v/>
      </c>
      <c r="G1015" s="145" t="str">
        <f>IFERROR(__xludf.DUMMYFUNCTION("vlookup($D1015,IMPORTRANGE(""https://docs.google.com/spreadsheets/d/1swGwZOEqYlTEUCJLY-eeJM1911Kvaei5oySBIxdgtNo/edit?pli=1#gid=257618397"",""stock FAKTUR!B:e""),4,false)"),"")</f>
        <v/>
      </c>
      <c r="H1015" s="145" t="str">
        <f>IFERROR(__xludf.DUMMYFUNCTION("vlookup($D1015,IMPORTRANGE(""https://docs.google.com/spreadsheets/d/1swGwZOEqYlTEUCJLY-eeJM1911Kvaei5oySBIxdgtNo/edit?pli=1#gid=257618397"",""stock FAKTUR!B:F""),5,false)"),"NB")</f>
        <v>NB</v>
      </c>
      <c r="I1015" s="145" t="str">
        <f>IFERROR(__xludf.DUMMYFUNCTION("vlookup($D1015,IMPORTRANGE(""https://docs.google.com/spreadsheets/d/1swGwZOEqYlTEUCJLY-eeJM1911Kvaei5oySBIxdgtNo/edit?pli=1#gid=257618397"",""stock FAKTUR!B:G""),6,false)"),"MN-305")</f>
        <v>MN-305</v>
      </c>
      <c r="J1015" s="199" t="str">
        <f t="shared" si="25"/>
        <v>ADA</v>
      </c>
      <c r="K1015" s="142">
        <v>24.0</v>
      </c>
      <c r="L1015" s="145" t="str">
        <f>IFERROR(__xludf.DUMMYFUNCTION("vlookup($D1015,IMPORTRANGE(""https://docs.google.com/spreadsheets/d/1swGwZOEqYlTEUCJLY-eeJM1911Kvaei5oySBIxdgtNo/edit?pli=1#gid=257618397"",""stock FAKTUR!B:q""),16,false)"),"LSN")</f>
        <v>LSN</v>
      </c>
      <c r="M1015" s="147">
        <v>110000.0</v>
      </c>
      <c r="N1015" s="148"/>
      <c r="O1015" s="147">
        <f t="shared" si="280"/>
        <v>2640000</v>
      </c>
      <c r="P1015" s="147" t="str">
        <f t="shared" si="3"/>
        <v>Rp110,000-24 LSN-0.00%</v>
      </c>
      <c r="Q1015" s="149">
        <v>45433.0</v>
      </c>
      <c r="R1015" s="150"/>
      <c r="S1015" s="149">
        <v>45437.0</v>
      </c>
      <c r="T1015" s="151"/>
      <c r="U1015" s="151"/>
      <c r="V1015" s="151"/>
      <c r="W1015" s="151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</row>
    <row r="1016">
      <c r="A1016" s="142">
        <v>2940.0</v>
      </c>
      <c r="B1016" s="143" t="str">
        <f t="shared" ref="B1016:B1021" si="299">IF(A1016=A1015,B1015,"")</f>
        <v>H</v>
      </c>
      <c r="C1016" s="143" t="str">
        <f t="shared" ref="C1016:C1021" si="300">IF(A1016=A1015,C1015,"")</f>
        <v>DIAN ILMU-MALANG</v>
      </c>
      <c r="D1016" s="53" t="s">
        <v>4516</v>
      </c>
      <c r="E1016" s="145" t="str">
        <f>IFERROR(__xludf.DUMMYFUNCTION("vlookup(D1016,IMPORTRANGE(""https://docs.google.com/spreadsheets/d/1swGwZOEqYlTEUCJLY-eeJM1911Kvaei5oySBIxdgtNo/edit?pli=1#gid=257618397"",""stock FAKTUR!B:C""),2,false)"),"BP KENKO K-1 ECO HITAM")</f>
        <v>BP KENKO K-1 ECO HITAM</v>
      </c>
      <c r="F1016" s="145" t="str">
        <f>IFERROR(__xludf.DUMMYFUNCTION("vlookup($D1016,IMPORTRANGE(""https://docs.google.com/spreadsheets/d/1swGwZOEqYlTEUCJLY-eeJM1911Kvaei5oySBIxdgtNo/edit?pli=1#gid=257618397"",""stock FAKTUR!B:d""),3,false)"),"")</f>
        <v/>
      </c>
      <c r="G1016" s="145" t="str">
        <f>IFERROR(__xludf.DUMMYFUNCTION("vlookup($D1016,IMPORTRANGE(""https://docs.google.com/spreadsheets/d/1swGwZOEqYlTEUCJLY-eeJM1911Kvaei5oySBIxdgtNo/edit?pli=1#gid=257618397"",""stock FAKTUR!B:e""),4,false)"),"HITAM")</f>
        <v>HITAM</v>
      </c>
      <c r="H1016" s="145" t="str">
        <f>IFERROR(__xludf.DUMMYFUNCTION("vlookup($D1016,IMPORTRANGE(""https://docs.google.com/spreadsheets/d/1swGwZOEqYlTEUCJLY-eeJM1911Kvaei5oySBIxdgtNo/edit?pli=1#gid=257618397"",""stock FAKTUR!B:F""),5,false)"),"KN")</f>
        <v>KN</v>
      </c>
      <c r="I1016" s="145" t="str">
        <f>IFERROR(__xludf.DUMMYFUNCTION("vlookup($D1016,IMPORTRANGE(""https://docs.google.com/spreadsheets/d/1swGwZOEqYlTEUCJLY-eeJM1911Kvaei5oySBIxdgtNo/edit?pli=1#gid=257618397"",""stock FAKTUR!B:G""),6,false)"),"GPR-025B")</f>
        <v>GPR-025B</v>
      </c>
      <c r="J1016" s="199" t="str">
        <f t="shared" si="25"/>
        <v>ADA</v>
      </c>
      <c r="K1016" s="142">
        <v>72.0</v>
      </c>
      <c r="L1016" s="145" t="str">
        <f>IFERROR(__xludf.DUMMYFUNCTION("vlookup($D1016,IMPORTRANGE(""https://docs.google.com/spreadsheets/d/1swGwZOEqYlTEUCJLY-eeJM1911Kvaei5oySBIxdgtNo/edit?pli=1#gid=257618397"",""stock FAKTUR!B:q""),16,false)"),"LSN")</f>
        <v>LSN</v>
      </c>
      <c r="M1016" s="147">
        <v>27000.0</v>
      </c>
      <c r="N1016" s="152">
        <v>0.1</v>
      </c>
      <c r="O1016" s="147">
        <f t="shared" si="280"/>
        <v>1749600</v>
      </c>
      <c r="P1016" s="147" t="str">
        <f t="shared" si="3"/>
        <v>Rp27,000-72 LSN-10.00%</v>
      </c>
      <c r="Q1016" s="149">
        <v>45433.0</v>
      </c>
      <c r="R1016" s="150"/>
      <c r="S1016" s="149">
        <v>45437.0</v>
      </c>
      <c r="T1016" s="151"/>
      <c r="U1016" s="151"/>
      <c r="V1016" s="151"/>
      <c r="W1016" s="151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</row>
    <row r="1017">
      <c r="A1017" s="142">
        <v>2940.0</v>
      </c>
      <c r="B1017" s="143" t="str">
        <f t="shared" si="299"/>
        <v>H</v>
      </c>
      <c r="C1017" s="143" t="str">
        <f t="shared" si="300"/>
        <v>DIAN ILMU-MALANG</v>
      </c>
      <c r="D1017" s="159"/>
      <c r="E1017" s="145" t="s">
        <v>4826</v>
      </c>
      <c r="F1017" s="200" t="str">
        <f>IFERROR(__xludf.DUMMYFUNCTION("vlookup($D1017,IMPORTRANGE(""https://docs.google.com/spreadsheets/d/1swGwZOEqYlTEUCJLY-eeJM1911Kvaei5oySBIxdgtNo/edit?pli=1#gid=257618397"",""stock FAKTUR!B:d""),3,false)"),"#N/A")</f>
        <v>#N/A</v>
      </c>
      <c r="G1017" s="200" t="str">
        <f>IFERROR(__xludf.DUMMYFUNCTION("vlookup($D1017,IMPORTRANGE(""https://docs.google.com/spreadsheets/d/1swGwZOEqYlTEUCJLY-eeJM1911Kvaei5oySBIxdgtNo/edit?pli=1#gid=257618397"",""stock FAKTUR!B:e""),4,false)"),"#N/A")</f>
        <v>#N/A</v>
      </c>
      <c r="H1017" s="200" t="str">
        <f>IFERROR(__xludf.DUMMYFUNCTION("vlookup($D1017,IMPORTRANGE(""https://docs.google.com/spreadsheets/d/1swGwZOEqYlTEUCJLY-eeJM1911Kvaei5oySBIxdgtNo/edit?pli=1#gid=257618397"",""stock FAKTUR!B:F""),5,false)"),"#N/A")</f>
        <v>#N/A</v>
      </c>
      <c r="I1017" s="200" t="str">
        <f>IFERROR(__xludf.DUMMYFUNCTION("vlookup($D1017,IMPORTRANGE(""https://docs.google.com/spreadsheets/d/1swGwZOEqYlTEUCJLY-eeJM1911Kvaei5oySBIxdgtNo/edit?pli=1#gid=257618397"",""stock FAKTUR!B:G""),6,false)"),"#N/A")</f>
        <v>#N/A</v>
      </c>
      <c r="J1017" s="199" t="str">
        <f t="shared" si="25"/>
        <v>TIDAK ADA</v>
      </c>
      <c r="K1017" s="142">
        <v>57.0</v>
      </c>
      <c r="L1017" s="145" t="s">
        <v>62</v>
      </c>
      <c r="M1017" s="147">
        <v>19200.0</v>
      </c>
      <c r="N1017" s="152">
        <v>0.1</v>
      </c>
      <c r="O1017" s="147">
        <f t="shared" si="280"/>
        <v>984960</v>
      </c>
      <c r="P1017" s="147" t="str">
        <f t="shared" si="3"/>
        <v>Rp19,200-57 LSN-10.00%</v>
      </c>
      <c r="Q1017" s="149">
        <v>45433.0</v>
      </c>
      <c r="R1017" s="150"/>
      <c r="S1017" s="149">
        <v>45437.0</v>
      </c>
      <c r="T1017" s="151"/>
      <c r="U1017" s="151"/>
      <c r="V1017" s="151"/>
      <c r="W1017" s="151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</row>
    <row r="1018">
      <c r="A1018" s="142">
        <v>2940.0</v>
      </c>
      <c r="B1018" s="143" t="str">
        <f t="shared" si="299"/>
        <v>H</v>
      </c>
      <c r="C1018" s="143" t="str">
        <f t="shared" si="300"/>
        <v>DIAN ILMU-MALANG</v>
      </c>
      <c r="D1018" s="53" t="s">
        <v>4827</v>
      </c>
      <c r="E1018" s="145" t="str">
        <f>IFERROR(__xludf.DUMMYFUNCTION("vlookup(D1018,IMPORTRANGE(""https://docs.google.com/spreadsheets/d/1swGwZOEqYlTEUCJLY-eeJM1911Kvaei5oySBIxdgtNo/edit?pli=1#gid=257618397"",""stock FAKTUR!B:C""),2,false)"),"BP GEL KENKO 3 IN 1 GP-30")</f>
        <v>BP GEL KENKO 3 IN 1 GP-30</v>
      </c>
      <c r="F1018" s="145" t="str">
        <f>IFERROR(__xludf.DUMMYFUNCTION("vlookup($D1018,IMPORTRANGE(""https://docs.google.com/spreadsheets/d/1swGwZOEqYlTEUCJLY-eeJM1911Kvaei5oySBIxdgtNo/edit?pli=1#gid=257618397"",""stock FAKTUR!B:d""),3,false)"),"")</f>
        <v/>
      </c>
      <c r="G1018" s="145" t="str">
        <f>IFERROR(__xludf.DUMMYFUNCTION("vlookup($D1018,IMPORTRANGE(""https://docs.google.com/spreadsheets/d/1swGwZOEqYlTEUCJLY-eeJM1911Kvaei5oySBIxdgtNo/edit?pli=1#gid=257618397"",""stock FAKTUR!B:e""),4,false)"),"")</f>
        <v/>
      </c>
      <c r="H1018" s="145" t="str">
        <f>IFERROR(__xludf.DUMMYFUNCTION("vlookup($D1018,IMPORTRANGE(""https://docs.google.com/spreadsheets/d/1swGwZOEqYlTEUCJLY-eeJM1911Kvaei5oySBIxdgtNo/edit?pli=1#gid=257618397"",""stock FAKTUR!B:F""),5,false)"),"KN")</f>
        <v>KN</v>
      </c>
      <c r="I1018" s="145" t="str">
        <f>IFERROR(__xludf.DUMMYFUNCTION("vlookup($D1018,IMPORTRANGE(""https://docs.google.com/spreadsheets/d/1swGwZOEqYlTEUCJLY-eeJM1911Kvaei5oySBIxdgtNo/edit?pli=1#gid=257618397"",""stock FAKTUR!B:G""),6,false)"),"GPR-024")</f>
        <v>GPR-024</v>
      </c>
      <c r="J1018" s="199" t="str">
        <f t="shared" si="25"/>
        <v>ADA</v>
      </c>
      <c r="K1018" s="142">
        <v>3.0</v>
      </c>
      <c r="L1018" s="145" t="str">
        <f>IFERROR(__xludf.DUMMYFUNCTION("vlookup($D1018,IMPORTRANGE(""https://docs.google.com/spreadsheets/d/1swGwZOEqYlTEUCJLY-eeJM1911Kvaei5oySBIxdgtNo/edit?pli=1#gid=257618397"",""stock FAKTUR!B:q""),16,false)"),"LSN")</f>
        <v>LSN</v>
      </c>
      <c r="M1018" s="147">
        <v>75600.0</v>
      </c>
      <c r="N1018" s="152">
        <v>0.1</v>
      </c>
      <c r="O1018" s="147">
        <f t="shared" si="280"/>
        <v>204120</v>
      </c>
      <c r="P1018" s="147" t="str">
        <f t="shared" si="3"/>
        <v>Rp75,600-3 LSN-10.00%</v>
      </c>
      <c r="Q1018" s="149">
        <v>45433.0</v>
      </c>
      <c r="R1018" s="150"/>
      <c r="S1018" s="149">
        <v>45437.0</v>
      </c>
      <c r="T1018" s="151"/>
      <c r="U1018" s="151"/>
      <c r="V1018" s="151"/>
      <c r="W1018" s="151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</row>
    <row r="1019">
      <c r="A1019" s="142">
        <v>2940.0</v>
      </c>
      <c r="B1019" s="143" t="str">
        <f t="shared" si="299"/>
        <v>H</v>
      </c>
      <c r="C1019" s="143" t="str">
        <f t="shared" si="300"/>
        <v>DIAN ILMU-MALANG</v>
      </c>
      <c r="D1019" s="53" t="s">
        <v>4687</v>
      </c>
      <c r="E1019" s="145" t="str">
        <f>IFERROR(__xludf.DUMMYFUNCTION("vlookup(D1019,IMPORTRANGE(""https://docs.google.com/spreadsheets/d/1swGwZOEqYlTEUCJLY-eeJM1911Kvaei5oySBIxdgtNo/edit?pli=1#gid=257618397"",""stock FAKTUR!B:C""),2,false)"),"BP JK GP-265 BIRU")</f>
        <v>BP JK GP-265 BIRU</v>
      </c>
      <c r="F1019" s="145" t="str">
        <f>IFERROR(__xludf.DUMMYFUNCTION("vlookup($D1019,IMPORTRANGE(""https://docs.google.com/spreadsheets/d/1swGwZOEqYlTEUCJLY-eeJM1911Kvaei5oySBIxdgtNo/edit?pli=1#gid=257618397"",""stock FAKTUR!B:d""),3,false)"),"")</f>
        <v/>
      </c>
      <c r="G1019" s="145" t="str">
        <f>IFERROR(__xludf.DUMMYFUNCTION("vlookup($D1019,IMPORTRANGE(""https://docs.google.com/spreadsheets/d/1swGwZOEqYlTEUCJLY-eeJM1911Kvaei5oySBIxdgtNo/edit?pli=1#gid=257618397"",""stock FAKTUR!B:e""),4,false)"),"BIRU")</f>
        <v>BIRU</v>
      </c>
      <c r="H1019" s="145" t="str">
        <f>IFERROR(__xludf.DUMMYFUNCTION("vlookup($D1019,IMPORTRANGE(""https://docs.google.com/spreadsheets/d/1swGwZOEqYlTEUCJLY-eeJM1911Kvaei5oySBIxdgtNo/edit?pli=1#gid=257618397"",""stock FAKTUR!B:F""),5,false)"),"JK")</f>
        <v>JK</v>
      </c>
      <c r="I1019" s="145" t="str">
        <f>IFERROR(__xludf.DUMMYFUNCTION("vlookup($D1019,IMPORTRANGE(""https://docs.google.com/spreadsheets/d/1swGwZOEqYlTEUCJLY-eeJM1911Kvaei5oySBIxdgtNo/edit?pli=1#gid=257618397"",""stock FAKTUR!B:G""),6,false)"),"GP-265")</f>
        <v>GP-265</v>
      </c>
      <c r="J1019" s="199" t="str">
        <f t="shared" si="25"/>
        <v>ADA</v>
      </c>
      <c r="K1019" s="142">
        <v>12.0</v>
      </c>
      <c r="L1019" s="145" t="str">
        <f>IFERROR(__xludf.DUMMYFUNCTION("vlookup($D1019,IMPORTRANGE(""https://docs.google.com/spreadsheets/d/1swGwZOEqYlTEUCJLY-eeJM1911Kvaei5oySBIxdgtNo/edit?pli=1#gid=257618397"",""stock FAKTUR!B:q""),16,false)"),"LSN")</f>
        <v>LSN</v>
      </c>
      <c r="M1019" s="147">
        <v>26400.0</v>
      </c>
      <c r="N1019" s="152">
        <v>0.1</v>
      </c>
      <c r="O1019" s="147">
        <f t="shared" si="280"/>
        <v>285120</v>
      </c>
      <c r="P1019" s="147" t="str">
        <f t="shared" si="3"/>
        <v>Rp26,400-12 LSN-10.00%</v>
      </c>
      <c r="Q1019" s="149">
        <v>45433.0</v>
      </c>
      <c r="R1019" s="150"/>
      <c r="S1019" s="149">
        <v>45437.0</v>
      </c>
      <c r="T1019" s="151"/>
      <c r="U1019" s="151"/>
      <c r="V1019" s="151"/>
      <c r="W1019" s="151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</row>
    <row r="1020">
      <c r="A1020" s="142">
        <v>2940.0</v>
      </c>
      <c r="B1020" s="143" t="str">
        <f t="shared" si="299"/>
        <v>H</v>
      </c>
      <c r="C1020" s="143" t="str">
        <f t="shared" si="300"/>
        <v>DIAN ILMU-MALANG</v>
      </c>
      <c r="D1020" s="53"/>
      <c r="E1020" s="145" t="s">
        <v>4828</v>
      </c>
      <c r="F1020" s="200" t="str">
        <f>IFERROR(__xludf.DUMMYFUNCTION("vlookup($D1020,IMPORTRANGE(""https://docs.google.com/spreadsheets/d/1swGwZOEqYlTEUCJLY-eeJM1911Kvaei5oySBIxdgtNo/edit?pli=1#gid=257618397"",""stock FAKTUR!B:d""),3,false)"),"#N/A")</f>
        <v>#N/A</v>
      </c>
      <c r="G1020" s="200" t="str">
        <f>IFERROR(__xludf.DUMMYFUNCTION("vlookup($D1020,IMPORTRANGE(""https://docs.google.com/spreadsheets/d/1swGwZOEqYlTEUCJLY-eeJM1911Kvaei5oySBIxdgtNo/edit?pli=1#gid=257618397"",""stock FAKTUR!B:e""),4,false)"),"#N/A")</f>
        <v>#N/A</v>
      </c>
      <c r="H1020" s="200" t="str">
        <f>IFERROR(__xludf.DUMMYFUNCTION("vlookup($D1020,IMPORTRANGE(""https://docs.google.com/spreadsheets/d/1swGwZOEqYlTEUCJLY-eeJM1911Kvaei5oySBIxdgtNo/edit?pli=1#gid=257618397"",""stock FAKTUR!B:F""),5,false)"),"#N/A")</f>
        <v>#N/A</v>
      </c>
      <c r="I1020" s="200" t="str">
        <f>IFERROR(__xludf.DUMMYFUNCTION("vlookup($D1020,IMPORTRANGE(""https://docs.google.com/spreadsheets/d/1swGwZOEqYlTEUCJLY-eeJM1911Kvaei5oySBIxdgtNo/edit?pli=1#gid=257618397"",""stock FAKTUR!B:G""),6,false)"),"#N/A")</f>
        <v>#N/A</v>
      </c>
      <c r="J1020" s="199" t="str">
        <f t="shared" si="25"/>
        <v>TIDAK ADA</v>
      </c>
      <c r="K1020" s="142">
        <v>33.0</v>
      </c>
      <c r="L1020" s="145" t="s">
        <v>62</v>
      </c>
      <c r="M1020" s="147">
        <v>26400.0</v>
      </c>
      <c r="N1020" s="152">
        <v>0.1</v>
      </c>
      <c r="O1020" s="147">
        <f t="shared" si="280"/>
        <v>784080</v>
      </c>
      <c r="P1020" s="147" t="str">
        <f t="shared" si="3"/>
        <v>Rp26,400-33 LSN-10.00%</v>
      </c>
      <c r="Q1020" s="149">
        <v>45433.0</v>
      </c>
      <c r="R1020" s="150"/>
      <c r="S1020" s="149">
        <v>45437.0</v>
      </c>
      <c r="T1020" s="151"/>
      <c r="U1020" s="151"/>
      <c r="V1020" s="151"/>
      <c r="W1020" s="151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</row>
    <row r="1021">
      <c r="A1021" s="142">
        <v>2940.0</v>
      </c>
      <c r="B1021" s="143" t="str">
        <f t="shared" si="299"/>
        <v>H</v>
      </c>
      <c r="C1021" s="143" t="str">
        <f t="shared" si="300"/>
        <v>DIAN ILMU-MALANG</v>
      </c>
      <c r="D1021" s="53" t="s">
        <v>4829</v>
      </c>
      <c r="E1021" s="145" t="str">
        <f>IFERROR(__xludf.DUMMYFUNCTION("vlookup(D1021,IMPORTRANGE(""https://docs.google.com/spreadsheets/d/1swGwZOEqYlTEUCJLY-eeJM1911Kvaei5oySBIxdgtNo/edit?pli=1#gid=257618397"",""stock FAKTUR!B:C""),2,false)"),"STAPLER YUAN CHANG 414")</f>
        <v>STAPLER YUAN CHANG 414</v>
      </c>
      <c r="F1021" s="145" t="str">
        <f>IFERROR(__xludf.DUMMYFUNCTION("vlookup($D1021,IMPORTRANGE(""https://docs.google.com/spreadsheets/d/1swGwZOEqYlTEUCJLY-eeJM1911Kvaei5oySBIxdgtNo/edit?pli=1#gid=257618397"",""stock FAKTUR!B:d""),3,false)"),"")</f>
        <v/>
      </c>
      <c r="G1021" s="145" t="str">
        <f>IFERROR(__xludf.DUMMYFUNCTION("vlookup($D1021,IMPORTRANGE(""https://docs.google.com/spreadsheets/d/1swGwZOEqYlTEUCJLY-eeJM1911Kvaei5oySBIxdgtNo/edit?pli=1#gid=257618397"",""stock FAKTUR!B:e""),4,false)"),"")</f>
        <v/>
      </c>
      <c r="H1021" s="145" t="str">
        <f>IFERROR(__xludf.DUMMYFUNCTION("vlookup($D1021,IMPORTRANGE(""https://docs.google.com/spreadsheets/d/1swGwZOEqYlTEUCJLY-eeJM1911Kvaei5oySBIxdgtNo/edit?pli=1#gid=257618397"",""stock FAKTUR!B:F""),5,false)"),"NB")</f>
        <v>NB</v>
      </c>
      <c r="I1021" s="145" t="str">
        <f>IFERROR(__xludf.DUMMYFUNCTION("vlookup($D1021,IMPORTRANGE(""https://docs.google.com/spreadsheets/d/1swGwZOEqYlTEUCJLY-eeJM1911Kvaei5oySBIxdgtNo/edit?pli=1#gid=257618397"",""stock FAKTUR!B:G""),6,false)"),"")</f>
        <v/>
      </c>
      <c r="J1021" s="199" t="str">
        <f t="shared" si="25"/>
        <v>ADA</v>
      </c>
      <c r="K1021" s="142">
        <v>2.0</v>
      </c>
      <c r="L1021" s="145" t="str">
        <f>IFERROR(__xludf.DUMMYFUNCTION("vlookup($D1021,IMPORTRANGE(""https://docs.google.com/spreadsheets/d/1swGwZOEqYlTEUCJLY-eeJM1911Kvaei5oySBIxdgtNo/edit?pli=1#gid=257618397"",""stock FAKTUR!B:q""),16,false)"),"LSN")</f>
        <v>LSN</v>
      </c>
      <c r="M1021" s="147">
        <v>350000.0</v>
      </c>
      <c r="N1021" s="148"/>
      <c r="O1021" s="147">
        <f t="shared" si="280"/>
        <v>700000</v>
      </c>
      <c r="P1021" s="147" t="str">
        <f t="shared" si="3"/>
        <v>Rp350,000-2 LSN-0.00%</v>
      </c>
      <c r="Q1021" s="149">
        <v>45433.0</v>
      </c>
      <c r="R1021" s="150"/>
      <c r="S1021" s="149">
        <v>45437.0</v>
      </c>
      <c r="T1021" s="151"/>
      <c r="U1021" s="151"/>
      <c r="V1021" s="151"/>
      <c r="W1021" s="151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</row>
    <row r="1022">
      <c r="A1022" s="142">
        <v>4963.0</v>
      </c>
      <c r="B1022" s="143" t="s">
        <v>33</v>
      </c>
      <c r="C1022" s="143" t="s">
        <v>3040</v>
      </c>
      <c r="D1022" s="53" t="s">
        <v>4585</v>
      </c>
      <c r="E1022" s="145" t="str">
        <f>IFERROR(__xludf.DUMMYFUNCTION("vlookup(D1022,IMPORTRANGE(""https://docs.google.com/spreadsheets/d/1swGwZOEqYlTEUCJLY-eeJM1911Kvaei5oySBIxdgtNo/edit?pli=1#gid=257618397"",""stock FAKTUR!B:C""),2,false)"),"GUNTING KENKO SC-828")</f>
        <v>GUNTING KENKO SC-828</v>
      </c>
      <c r="F1022" s="145" t="str">
        <f>IFERROR(__xludf.DUMMYFUNCTION("vlookup($D1022,IMPORTRANGE(""https://docs.google.com/spreadsheets/d/1swGwZOEqYlTEUCJLY-eeJM1911Kvaei5oySBIxdgtNo/edit?pli=1#gid=257618397"",""stock FAKTUR!B:d""),3,false)"),"")</f>
        <v/>
      </c>
      <c r="G1022" s="145" t="str">
        <f>IFERROR(__xludf.DUMMYFUNCTION("vlookup($D1022,IMPORTRANGE(""https://docs.google.com/spreadsheets/d/1swGwZOEqYlTEUCJLY-eeJM1911Kvaei5oySBIxdgtNo/edit?pli=1#gid=257618397"",""stock FAKTUR!B:e""),4,false)"),"")</f>
        <v/>
      </c>
      <c r="H1022" s="145" t="str">
        <f>IFERROR(__xludf.DUMMYFUNCTION("vlookup($D1022,IMPORTRANGE(""https://docs.google.com/spreadsheets/d/1swGwZOEqYlTEUCJLY-eeJM1911Kvaei5oySBIxdgtNo/edit?pli=1#gid=257618397"",""stock FAKTUR!B:F""),5,false)"),"KN")</f>
        <v>KN</v>
      </c>
      <c r="I1022" s="145" t="str">
        <f>IFERROR(__xludf.DUMMYFUNCTION("vlookup($D1022,IMPORTRANGE(""https://docs.google.com/spreadsheets/d/1swGwZOEqYlTEUCJLY-eeJM1911Kvaei5oySBIxdgtNo/edit?pli=1#gid=257618397"",""stock FAKTUR!B:G""),6,false)"),"SCS-001GO")</f>
        <v>SCS-001GO</v>
      </c>
      <c r="J1022" s="199" t="str">
        <f t="shared" si="25"/>
        <v>ADA</v>
      </c>
      <c r="K1022" s="142">
        <v>50.0</v>
      </c>
      <c r="L1022" s="145" t="str">
        <f>IFERROR(__xludf.DUMMYFUNCTION("vlookup($D1022,IMPORTRANGE(""https://docs.google.com/spreadsheets/d/1swGwZOEqYlTEUCJLY-eeJM1911Kvaei5oySBIxdgtNo/edit?pli=1#gid=257618397"",""stock FAKTUR!B:q""),16,false)"),"LSN")</f>
        <v>LSN</v>
      </c>
      <c r="M1022" s="147">
        <v>56400.0</v>
      </c>
      <c r="N1022" s="152">
        <v>0.125</v>
      </c>
      <c r="O1022" s="147">
        <f t="shared" si="280"/>
        <v>2467500</v>
      </c>
      <c r="P1022" s="147" t="str">
        <f t="shared" si="3"/>
        <v>Rp56,400-50 LSN-12.50%</v>
      </c>
      <c r="Q1022" s="149">
        <v>45434.0</v>
      </c>
      <c r="R1022" s="150"/>
      <c r="S1022" s="149">
        <v>45437.0</v>
      </c>
      <c r="T1022" s="151"/>
      <c r="U1022" s="151"/>
      <c r="V1022" s="151"/>
      <c r="W1022" s="151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</row>
    <row r="1023">
      <c r="A1023" s="142">
        <v>4963.0</v>
      </c>
      <c r="B1023" s="143" t="str">
        <f>IF(A1023=A1022,B1022,"")</f>
        <v>H</v>
      </c>
      <c r="C1023" s="143" t="str">
        <f>IF(A1023=A1022,C1022,"")</f>
        <v>ENAM-CIREBON</v>
      </c>
      <c r="D1023" s="53" t="s">
        <v>4441</v>
      </c>
      <c r="E1023" s="145" t="str">
        <f>IFERROR(__xludf.DUMMYFUNCTION("vlookup(D1023,IMPORTRANGE(""https://docs.google.com/spreadsheets/d/1swGwZOEqYlTEUCJLY-eeJM1911Kvaei5oySBIxdgtNo/edit?pli=1#gid=257618397"",""stock FAKTUR!B:C""),2,false)"),"GUNTING KENKO SC-848N")</f>
        <v>GUNTING KENKO SC-848N</v>
      </c>
      <c r="F1023" s="145" t="str">
        <f>IFERROR(__xludf.DUMMYFUNCTION("vlookup($D1023,IMPORTRANGE(""https://docs.google.com/spreadsheets/d/1swGwZOEqYlTEUCJLY-eeJM1911Kvaei5oySBIxdgtNo/edit?pli=1#gid=257618397"",""stock FAKTUR!B:d""),3,false)"),"")</f>
        <v/>
      </c>
      <c r="G1023" s="145" t="str">
        <f>IFERROR(__xludf.DUMMYFUNCTION("vlookup($D1023,IMPORTRANGE(""https://docs.google.com/spreadsheets/d/1swGwZOEqYlTEUCJLY-eeJM1911Kvaei5oySBIxdgtNo/edit?pli=1#gid=257618397"",""stock FAKTUR!B:e""),4,false)"),"")</f>
        <v/>
      </c>
      <c r="H1023" s="145" t="str">
        <f>IFERROR(__xludf.DUMMYFUNCTION("vlookup($D1023,IMPORTRANGE(""https://docs.google.com/spreadsheets/d/1swGwZOEqYlTEUCJLY-eeJM1911Kvaei5oySBIxdgtNo/edit?pli=1#gid=257618397"",""stock FAKTUR!B:F""),5,false)"),"KN")</f>
        <v>KN</v>
      </c>
      <c r="I1023" s="145" t="str">
        <f>IFERROR(__xludf.DUMMYFUNCTION("vlookup($D1023,IMPORTRANGE(""https://docs.google.com/spreadsheets/d/1swGwZOEqYlTEUCJLY-eeJM1911Kvaei5oySBIxdgtNo/edit?pli=1#gid=257618397"",""stock FAKTUR!B:G""),6,false)"),"SCS-003GO")</f>
        <v>SCS-003GO</v>
      </c>
      <c r="J1023" s="199" t="str">
        <f t="shared" si="25"/>
        <v>ADA</v>
      </c>
      <c r="K1023" s="142">
        <v>10.0</v>
      </c>
      <c r="L1023" s="145" t="str">
        <f>IFERROR(__xludf.DUMMYFUNCTION("vlookup($D1023,IMPORTRANGE(""https://docs.google.com/spreadsheets/d/1swGwZOEqYlTEUCJLY-eeJM1911Kvaei5oySBIxdgtNo/edit?pli=1#gid=257618397"",""stock FAKTUR!B:q""),16,false)"),"LSN")</f>
        <v>LSN</v>
      </c>
      <c r="M1023" s="147">
        <v>118800.0</v>
      </c>
      <c r="N1023" s="152">
        <v>0.125</v>
      </c>
      <c r="O1023" s="147">
        <f t="shared" si="280"/>
        <v>1039500</v>
      </c>
      <c r="P1023" s="147" t="str">
        <f t="shared" si="3"/>
        <v>Rp118,800-10 LSN-12.50%</v>
      </c>
      <c r="Q1023" s="149">
        <v>45434.0</v>
      </c>
      <c r="R1023" s="150"/>
      <c r="S1023" s="149">
        <v>45437.0</v>
      </c>
      <c r="T1023" s="151"/>
      <c r="U1023" s="151"/>
      <c r="V1023" s="151"/>
      <c r="W1023" s="151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</row>
    <row r="1024">
      <c r="A1024" s="142">
        <v>4965.0</v>
      </c>
      <c r="B1024" s="143" t="s">
        <v>33</v>
      </c>
      <c r="C1024" s="143" t="s">
        <v>4607</v>
      </c>
      <c r="D1024" s="53" t="s">
        <v>4830</v>
      </c>
      <c r="E1024" s="145" t="str">
        <f>IFERROR(__xludf.DUMMYFUNCTION("vlookup(D1024,IMPORTRANGE(""https://docs.google.com/spreadsheets/d/1swGwZOEqYlTEUCJLY-eeJM1911Kvaei5oySBIxdgtNo/edit?pli=1#gid=257618397"",""stock FAKTUR!B:C""),2,false)"),"PUNCH KENKO 85XL")</f>
        <v>PUNCH KENKO 85XL</v>
      </c>
      <c r="F1024" s="145" t="str">
        <f>IFERROR(__xludf.DUMMYFUNCTION("vlookup($D1024,IMPORTRANGE(""https://docs.google.com/spreadsheets/d/1swGwZOEqYlTEUCJLY-eeJM1911Kvaei5oySBIxdgtNo/edit?pli=1#gid=257618397"",""stock FAKTUR!B:d""),3,false)"),"")</f>
        <v/>
      </c>
      <c r="G1024" s="145" t="str">
        <f>IFERROR(__xludf.DUMMYFUNCTION("vlookup($D1024,IMPORTRANGE(""https://docs.google.com/spreadsheets/d/1swGwZOEqYlTEUCJLY-eeJM1911Kvaei5oySBIxdgtNo/edit?pli=1#gid=257618397"",""stock FAKTUR!B:e""),4,false)"),"")</f>
        <v/>
      </c>
      <c r="H1024" s="145" t="str">
        <f>IFERROR(__xludf.DUMMYFUNCTION("vlookup($D1024,IMPORTRANGE(""https://docs.google.com/spreadsheets/d/1swGwZOEqYlTEUCJLY-eeJM1911Kvaei5oySBIxdgtNo/edit?pli=1#gid=257618397"",""stock FAKTUR!B:F""),5,false)"),"KN")</f>
        <v>KN</v>
      </c>
      <c r="I1024" s="145" t="str">
        <f>IFERROR(__xludf.DUMMYFUNCTION("vlookup($D1024,IMPORTRANGE(""https://docs.google.com/spreadsheets/d/1swGwZOEqYlTEUCJLY-eeJM1911Kvaei5oySBIxdgtNo/edit?pli=1#gid=257618397"",""stock FAKTUR!B:G""),6,false)"),"")</f>
        <v/>
      </c>
      <c r="J1024" s="199" t="str">
        <f t="shared" si="25"/>
        <v>ADA</v>
      </c>
      <c r="K1024" s="142">
        <v>48.0</v>
      </c>
      <c r="L1024" s="145" t="str">
        <f>IFERROR(__xludf.DUMMYFUNCTION("vlookup($D1024,IMPORTRANGE(""https://docs.google.com/spreadsheets/d/1swGwZOEqYlTEUCJLY-eeJM1911Kvaei5oySBIxdgtNo/edit?pli=1#gid=257618397"",""stock FAKTUR!B:q""),16,false)"),"PCS")</f>
        <v>PCS</v>
      </c>
      <c r="M1024" s="147">
        <v>59000.0</v>
      </c>
      <c r="N1024" s="152">
        <v>0.135</v>
      </c>
      <c r="O1024" s="147">
        <f t="shared" si="280"/>
        <v>2449680</v>
      </c>
      <c r="P1024" s="147" t="str">
        <f t="shared" si="3"/>
        <v>Rp59,000-48 PCS-13.50%</v>
      </c>
      <c r="Q1024" s="149">
        <v>45434.0</v>
      </c>
      <c r="R1024" s="150"/>
      <c r="S1024" s="149">
        <v>45437.0</v>
      </c>
      <c r="T1024" s="151"/>
      <c r="U1024" s="151"/>
      <c r="V1024" s="151"/>
      <c r="W1024" s="151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</row>
    <row r="1025">
      <c r="A1025" s="142">
        <v>4964.0</v>
      </c>
      <c r="B1025" s="143" t="s">
        <v>58</v>
      </c>
      <c r="C1025" s="143" t="s">
        <v>4797</v>
      </c>
      <c r="D1025" s="53" t="s">
        <v>4386</v>
      </c>
      <c r="E1025" s="145" t="str">
        <f>IFERROR(__xludf.DUMMYFUNCTION("vlookup(D1025,IMPORTRANGE(""https://docs.google.com/spreadsheets/d/1swGwZOEqYlTEUCJLY-eeJM1911Kvaei5oySBIxdgtNo/edit?pli=1#gid=257618397"",""stock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1025" s="145" t="str">
        <f>IFERROR(__xludf.DUMMYFUNCTION("vlookup($D1025,IMPORTRANGE(""https://docs.google.com/spreadsheets/d/1swGwZOEqYlTEUCJLY-eeJM1911Kvaei5oySBIxdgtNo/edit?pli=1#gid=257618397"",""stock FAKTUR!B:d""),3,false)"),"")</f>
        <v/>
      </c>
      <c r="G1025" s="145" t="str">
        <f>IFERROR(__xludf.DUMMYFUNCTION("vlookup($D1025,IMPORTRANGE(""https://docs.google.com/spreadsheets/d/1swGwZOEqYlTEUCJLY-eeJM1911Kvaei5oySBIxdgtNo/edit?pli=1#gid=257618397"",""stock FAKTUR!B:e""),4,false)"),"12W")</f>
        <v>12W</v>
      </c>
      <c r="H1025" s="145" t="str">
        <f>IFERROR(__xludf.DUMMYFUNCTION("vlookup($D1025,IMPORTRANGE(""https://docs.google.com/spreadsheets/d/1swGwZOEqYlTEUCJLY-eeJM1911Kvaei5oySBIxdgtNo/edit?pli=1#gid=257618397"",""stock FAKTUR!B:F""),5,false)"),"JK")</f>
        <v>JK</v>
      </c>
      <c r="I1025" s="145" t="str">
        <f>IFERROR(__xludf.DUMMYFUNCTION("vlookup($D1025,IMPORTRANGE(""https://docs.google.com/spreadsheets/d/1swGwZOEqYlTEUCJLY-eeJM1911Kvaei5oySBIxdgtNo/edit?pli=1#gid=257618397"",""stock FAKTUR!B:G""),6,false)"),"OP-12S")</f>
        <v>OP-12S</v>
      </c>
      <c r="J1025" s="199" t="str">
        <f t="shared" si="25"/>
        <v>ADA</v>
      </c>
      <c r="K1025" s="142">
        <v>576.0</v>
      </c>
      <c r="L1025" s="145" t="str">
        <f>IFERROR(__xludf.DUMMYFUNCTION("vlookup($D1025,IMPORTRANGE(""https://docs.google.com/spreadsheets/d/1swGwZOEqYlTEUCJLY-eeJM1911Kvaei5oySBIxdgtNo/edit?pli=1#gid=257618397"",""stock FAKTUR!B:q""),16,false)"),"PCS")</f>
        <v>PCS</v>
      </c>
      <c r="M1025" s="147">
        <v>12300.0</v>
      </c>
      <c r="N1025" s="152">
        <v>0.125</v>
      </c>
      <c r="O1025" s="147">
        <f t="shared" si="280"/>
        <v>6199200</v>
      </c>
      <c r="P1025" s="147" t="str">
        <f t="shared" si="3"/>
        <v>Rp12,300-576 PCS-12.50%</v>
      </c>
      <c r="Q1025" s="149">
        <v>45434.0</v>
      </c>
      <c r="R1025" s="150"/>
      <c r="S1025" s="149">
        <v>45437.0</v>
      </c>
      <c r="T1025" s="151"/>
      <c r="U1025" s="151"/>
      <c r="V1025" s="151"/>
      <c r="W1025" s="151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</row>
    <row r="1026">
      <c r="A1026" s="142">
        <v>4964.0</v>
      </c>
      <c r="B1026" s="143" t="str">
        <f t="shared" ref="B1026:B1027" si="301">IF(A1026=A1025,B1025,"")</f>
        <v>G</v>
      </c>
      <c r="C1026" s="143" t="str">
        <f t="shared" ref="C1026:C1027" si="302">IF(A1026=A1025,C1025,"")</f>
        <v>RINGAN-TULUNGAGUNG</v>
      </c>
      <c r="D1026" s="53" t="s">
        <v>4579</v>
      </c>
      <c r="E1026" s="145" t="str">
        <f>IFERROR(__xludf.DUMMYFUNCTION("vlookup(D1026,IMPORTRANGE(""https://docs.google.com/spreadsheets/d/1swGwZOEqYlTEUCJLY-eeJM1911Kvaei5oySBIxdgtNo/edit?pli=1#gid=257618397"",""stock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1026" s="145" t="str">
        <f>IFERROR(__xludf.DUMMYFUNCTION("vlookup($D1026,IMPORTRANGE(""https://docs.google.com/spreadsheets/d/1swGwZOEqYlTEUCJLY-eeJM1911Kvaei5oySBIxdgtNo/edit?pli=1#gid=257618397"",""stock FAKTUR!B:d""),3,false)"),"")</f>
        <v/>
      </c>
      <c r="G1026" s="145" t="str">
        <f>IFERROR(__xludf.DUMMYFUNCTION("vlookup($D1026,IMPORTRANGE(""https://docs.google.com/spreadsheets/d/1swGwZOEqYlTEUCJLY-eeJM1911Kvaei5oySBIxdgtNo/edit?pli=1#gid=257618397"",""stock FAKTUR!B:e""),4,false)"),"48W")</f>
        <v>48W</v>
      </c>
      <c r="H1026" s="145" t="str">
        <f>IFERROR(__xludf.DUMMYFUNCTION("vlookup($D1026,IMPORTRANGE(""https://docs.google.com/spreadsheets/d/1swGwZOEqYlTEUCJLY-eeJM1911Kvaei5oySBIxdgtNo/edit?pli=1#gid=257618397"",""stock FAKTUR!B:F""),5,false)"),"JK")</f>
        <v>JK</v>
      </c>
      <c r="I1026" s="145" t="str">
        <f>IFERROR(__xludf.DUMMYFUNCTION("vlookup($D1026,IMPORTRANGE(""https://docs.google.com/spreadsheets/d/1swGwZOEqYlTEUCJLY-eeJM1911Kvaei5oySBIxdgtNo/edit?pli=1#gid=257618397"",""stock FAKTUR!B:G""),6,false)"),"OP-48S")</f>
        <v>OP-48S</v>
      </c>
      <c r="J1026" s="199" t="str">
        <f t="shared" si="25"/>
        <v>ADA</v>
      </c>
      <c r="K1026" s="142">
        <v>24.0</v>
      </c>
      <c r="L1026" s="145" t="str">
        <f>IFERROR(__xludf.DUMMYFUNCTION("vlookup($D1026,IMPORTRANGE(""https://docs.google.com/spreadsheets/d/1swGwZOEqYlTEUCJLY-eeJM1911Kvaei5oySBIxdgtNo/edit?pli=1#gid=257618397"",""stock FAKTUR!B:q""),16,false)"),"PCS")</f>
        <v>PCS</v>
      </c>
      <c r="M1026" s="147">
        <v>60700.0</v>
      </c>
      <c r="N1026" s="152">
        <v>0.125</v>
      </c>
      <c r="O1026" s="147">
        <f t="shared" si="280"/>
        <v>1274700</v>
      </c>
      <c r="P1026" s="147" t="str">
        <f t="shared" si="3"/>
        <v>Rp60,700-24 PCS-12.50%</v>
      </c>
      <c r="Q1026" s="149">
        <v>45434.0</v>
      </c>
      <c r="R1026" s="150"/>
      <c r="S1026" s="149">
        <v>45437.0</v>
      </c>
      <c r="T1026" s="151"/>
      <c r="U1026" s="151"/>
      <c r="V1026" s="151"/>
      <c r="W1026" s="151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</row>
    <row r="1027">
      <c r="A1027" s="142">
        <v>4964.0</v>
      </c>
      <c r="B1027" s="143" t="str">
        <f t="shared" si="301"/>
        <v>G</v>
      </c>
      <c r="C1027" s="143" t="str">
        <f t="shared" si="302"/>
        <v>RINGAN-TULUNGAGUNG</v>
      </c>
      <c r="D1027" s="53" t="s">
        <v>4402</v>
      </c>
      <c r="E1027" s="145" t="str">
        <f>IFERROR(__xludf.DUMMYFUNCTION("vlookup(D1027,IMPORTRANGE(""https://docs.google.com/spreadsheets/d/1swGwZOEqYlTEUCJLY-eeJM1911Kvaei5oySBIxdgtNo/edit?pli=1#gid=257618397"",""stock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1027" s="145" t="str">
        <f>IFERROR(__xludf.DUMMYFUNCTION("vlookup($D1027,IMPORTRANGE(""https://docs.google.com/spreadsheets/d/1swGwZOEqYlTEUCJLY-eeJM1911Kvaei5oySBIxdgtNo/edit?pli=1#gid=257618397"",""stock FAKTUR!B:d""),3,false)"),"")</f>
        <v/>
      </c>
      <c r="G1027" s="145" t="str">
        <f>IFERROR(__xludf.DUMMYFUNCTION("vlookup($D1027,IMPORTRANGE(""https://docs.google.com/spreadsheets/d/1swGwZOEqYlTEUCJLY-eeJM1911Kvaei5oySBIxdgtNo/edit?pli=1#gid=257618397"",""stock FAKTUR!B:e""),4,false)"),"55W")</f>
        <v>55W</v>
      </c>
      <c r="H1027" s="145" t="str">
        <f>IFERROR(__xludf.DUMMYFUNCTION("vlookup($D1027,IMPORTRANGE(""https://docs.google.com/spreadsheets/d/1swGwZOEqYlTEUCJLY-eeJM1911Kvaei5oySBIxdgtNo/edit?pli=1#gid=257618397"",""stock FAKTUR!B:F""),5,false)"),"JK")</f>
        <v>JK</v>
      </c>
      <c r="I1027" s="145" t="str">
        <f>IFERROR(__xludf.DUMMYFUNCTION("vlookup($D1027,IMPORTRANGE(""https://docs.google.com/spreadsheets/d/1swGwZOEqYlTEUCJLY-eeJM1911Kvaei5oySBIxdgtNo/edit?pli=1#gid=257618397"",""stock FAKTUR!B:G""),6,false)"),"")</f>
        <v/>
      </c>
      <c r="J1027" s="199" t="str">
        <f t="shared" si="25"/>
        <v>ADA</v>
      </c>
      <c r="K1027" s="142">
        <v>24.0</v>
      </c>
      <c r="L1027" s="145" t="str">
        <f>IFERROR(__xludf.DUMMYFUNCTION("vlookup($D1027,IMPORTRANGE(""https://docs.google.com/spreadsheets/d/1swGwZOEqYlTEUCJLY-eeJM1911Kvaei5oySBIxdgtNo/edit?pli=1#gid=257618397"",""stock FAKTUR!B:q""),16,false)"),"PCS")</f>
        <v>PCS</v>
      </c>
      <c r="M1027" s="147">
        <v>68700.0</v>
      </c>
      <c r="N1027" s="152">
        <v>0.125</v>
      </c>
      <c r="O1027" s="147">
        <f t="shared" si="280"/>
        <v>1442700</v>
      </c>
      <c r="P1027" s="147" t="str">
        <f t="shared" si="3"/>
        <v>Rp68,700-24 PCS-12.50%</v>
      </c>
      <c r="Q1027" s="149">
        <v>45434.0</v>
      </c>
      <c r="R1027" s="150"/>
      <c r="S1027" s="149">
        <v>45437.0</v>
      </c>
      <c r="T1027" s="151"/>
      <c r="U1027" s="151"/>
      <c r="V1027" s="151"/>
      <c r="W1027" s="151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</row>
    <row r="1028">
      <c r="A1028" s="142">
        <v>4961.0</v>
      </c>
      <c r="B1028" s="143" t="s">
        <v>58</v>
      </c>
      <c r="C1028" s="143" t="s">
        <v>2061</v>
      </c>
      <c r="D1028" s="53" t="s">
        <v>4468</v>
      </c>
      <c r="E1028" s="145" t="str">
        <f>IFERROR(__xludf.DUMMYFUNCTION("vlookup(D1028,IMPORTRANGE(""https://docs.google.com/spreadsheets/d/1swGwZOEqYlTEUCJLY-eeJM1911Kvaei5oySBIxdgtNo/edit?pli=1#gid=257618397"",""stock FAKTUR!B:C""),2,false)"),"TAPE CUTTER JK TD-102")</f>
        <v>TAPE CUTTER JK TD-102</v>
      </c>
      <c r="F1028" s="145" t="str">
        <f>IFERROR(__xludf.DUMMYFUNCTION("vlookup($D1028,IMPORTRANGE(""https://docs.google.com/spreadsheets/d/1swGwZOEqYlTEUCJLY-eeJM1911Kvaei5oySBIxdgtNo/edit?pli=1#gid=257618397"",""stock FAKTUR!B:d""),3,false)"),"")</f>
        <v/>
      </c>
      <c r="G1028" s="145" t="str">
        <f>IFERROR(__xludf.DUMMYFUNCTION("vlookup($D1028,IMPORTRANGE(""https://docs.google.com/spreadsheets/d/1swGwZOEqYlTEUCJLY-eeJM1911Kvaei5oySBIxdgtNo/edit?pli=1#gid=257618397"",""stock FAKTUR!B:e""),4,false)"),"")</f>
        <v/>
      </c>
      <c r="H1028" s="145" t="str">
        <f>IFERROR(__xludf.DUMMYFUNCTION("vlookup($D1028,IMPORTRANGE(""https://docs.google.com/spreadsheets/d/1swGwZOEqYlTEUCJLY-eeJM1911Kvaei5oySBIxdgtNo/edit?pli=1#gid=257618397"",""stock FAKTUR!B:F""),5,false)"),"JK")</f>
        <v>JK</v>
      </c>
      <c r="I1028" s="145" t="str">
        <f>IFERROR(__xludf.DUMMYFUNCTION("vlookup($D1028,IMPORTRANGE(""https://docs.google.com/spreadsheets/d/1swGwZOEqYlTEUCJLY-eeJM1911Kvaei5oySBIxdgtNo/edit?pli=1#gid=257618397"",""stock FAKTUR!B:G""),6,false)"),"TD-102")</f>
        <v>TD-102</v>
      </c>
      <c r="J1028" s="199" t="str">
        <f t="shared" si="25"/>
        <v>ADA</v>
      </c>
      <c r="K1028" s="142">
        <v>24.0</v>
      </c>
      <c r="L1028" s="145" t="str">
        <f>IFERROR(__xludf.DUMMYFUNCTION("vlookup($D1028,IMPORTRANGE(""https://docs.google.com/spreadsheets/d/1swGwZOEqYlTEUCJLY-eeJM1911Kvaei5oySBIxdgtNo/edit?pli=1#gid=257618397"",""stock FAKTUR!B:q""),16,false)"),"PCS")</f>
        <v>PCS</v>
      </c>
      <c r="M1028" s="147">
        <v>11600.0</v>
      </c>
      <c r="N1028" s="152">
        <v>0.125</v>
      </c>
      <c r="O1028" s="147">
        <f t="shared" si="280"/>
        <v>243600</v>
      </c>
      <c r="P1028" s="147" t="str">
        <f t="shared" si="3"/>
        <v>Rp11,600-24 PCS-12.50%</v>
      </c>
      <c r="Q1028" s="149">
        <v>45434.0</v>
      </c>
      <c r="R1028" s="150"/>
      <c r="S1028" s="149">
        <v>45437.0</v>
      </c>
      <c r="T1028" s="151"/>
      <c r="U1028" s="151"/>
      <c r="V1028" s="151"/>
      <c r="W1028" s="151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</row>
    <row r="1029">
      <c r="A1029" s="142">
        <v>4961.0</v>
      </c>
      <c r="B1029" s="143" t="str">
        <f t="shared" ref="B1029:B1040" si="303">IF(A1029=A1028,B1028,"")</f>
        <v>G</v>
      </c>
      <c r="C1029" s="143" t="str">
        <f t="shared" ref="C1029:C1040" si="304">IF(A1029=A1028,C1028,"")</f>
        <v>PUAS-PATI</v>
      </c>
      <c r="D1029" s="53" t="s">
        <v>4401</v>
      </c>
      <c r="E1029" s="145" t="str">
        <f>IFERROR(__xludf.DUMMYFUNCTION("vlookup(D1029,IMPORTRANGE(""https://docs.google.com/spreadsheets/d/1swGwZOEqYlTEUCJLY-eeJM1911Kvaei5oySBIxdgtNo/edit?pli=1#gid=257618397"",""stock FAKTUR!B:C""),2,false)"),"BP GEL KENKO EASY HITAM")</f>
        <v>BP GEL KENKO EASY HITAM</v>
      </c>
      <c r="F1029" s="145" t="str">
        <f>IFERROR(__xludf.DUMMYFUNCTION("vlookup($D1029,IMPORTRANGE(""https://docs.google.com/spreadsheets/d/1swGwZOEqYlTEUCJLY-eeJM1911Kvaei5oySBIxdgtNo/edit?pli=1#gid=257618397"",""stock FAKTUR!B:d""),3,false)"),"")</f>
        <v/>
      </c>
      <c r="G1029" s="145" t="str">
        <f>IFERROR(__xludf.DUMMYFUNCTION("vlookup($D1029,IMPORTRANGE(""https://docs.google.com/spreadsheets/d/1swGwZOEqYlTEUCJLY-eeJM1911Kvaei5oySBIxdgtNo/edit?pli=1#gid=257618397"",""stock FAKTUR!B:e""),4,false)"),"HITAM")</f>
        <v>HITAM</v>
      </c>
      <c r="H1029" s="145" t="str">
        <f>IFERROR(__xludf.DUMMYFUNCTION("vlookup($D1029,IMPORTRANGE(""https://docs.google.com/spreadsheets/d/1swGwZOEqYlTEUCJLY-eeJM1911Kvaei5oySBIxdgtNo/edit?pli=1#gid=257618397"",""stock FAKTUR!B:F""),5,false)"),"KN")</f>
        <v>KN</v>
      </c>
      <c r="I1029" s="145" t="str">
        <f>IFERROR(__xludf.DUMMYFUNCTION("vlookup($D1029,IMPORTRANGE(""https://docs.google.com/spreadsheets/d/1swGwZOEqYlTEUCJLY-eeJM1911Kvaei5oySBIxdgtNo/edit?pli=1#gid=257618397"",""stock FAKTUR!B:G""),6,false)"),"GPT-005B")</f>
        <v>GPT-005B</v>
      </c>
      <c r="J1029" s="199" t="str">
        <f t="shared" si="25"/>
        <v>ADA</v>
      </c>
      <c r="K1029" s="142">
        <v>144.0</v>
      </c>
      <c r="L1029" s="145" t="str">
        <f>IFERROR(__xludf.DUMMYFUNCTION("vlookup($D1029,IMPORTRANGE(""https://docs.google.com/spreadsheets/d/1swGwZOEqYlTEUCJLY-eeJM1911Kvaei5oySBIxdgtNo/edit?pli=1#gid=257618397"",""stock FAKTUR!B:q""),16,false)"),"LSN")</f>
        <v>LSN</v>
      </c>
      <c r="M1029" s="147">
        <v>26100.0</v>
      </c>
      <c r="N1029" s="152">
        <v>0.125</v>
      </c>
      <c r="O1029" s="147">
        <f t="shared" si="280"/>
        <v>3288600</v>
      </c>
      <c r="P1029" s="147" t="str">
        <f t="shared" si="3"/>
        <v>Rp26,100-144 LSN-12.50%</v>
      </c>
      <c r="Q1029" s="149">
        <v>45434.0</v>
      </c>
      <c r="R1029" s="150"/>
      <c r="S1029" s="149">
        <v>45437.0</v>
      </c>
      <c r="T1029" s="151"/>
      <c r="U1029" s="151"/>
      <c r="V1029" s="151"/>
      <c r="W1029" s="151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</row>
    <row r="1030">
      <c r="A1030" s="142">
        <v>4961.0</v>
      </c>
      <c r="B1030" s="143" t="str">
        <f t="shared" si="303"/>
        <v>G</v>
      </c>
      <c r="C1030" s="143" t="str">
        <f t="shared" si="304"/>
        <v>PUAS-PATI</v>
      </c>
      <c r="D1030" s="53" t="s">
        <v>4397</v>
      </c>
      <c r="E1030" s="145" t="str">
        <f>IFERROR(__xludf.DUMMYFUNCTION("vlookup(D1030,IMPORTRANGE(""https://docs.google.com/spreadsheets/d/1swGwZOEqYlTEUCJLY-eeJM1911Kvaei5oySBIxdgtNo/edit?pli=1#gid=257618397"",""stock FAKTUR!B:C""),2,false)"),"TIPEX KENKO KE-107M")</f>
        <v>TIPEX KENKO KE-107M</v>
      </c>
      <c r="F1030" s="145" t="str">
        <f>IFERROR(__xludf.DUMMYFUNCTION("vlookup($D1030,IMPORTRANGE(""https://docs.google.com/spreadsheets/d/1swGwZOEqYlTEUCJLY-eeJM1911Kvaei5oySBIxdgtNo/edit?pli=1#gid=257618397"",""stock FAKTUR!B:d""),3,false)"),"")</f>
        <v/>
      </c>
      <c r="G1030" s="145" t="str">
        <f>IFERROR(__xludf.DUMMYFUNCTION("vlookup($D1030,IMPORTRANGE(""https://docs.google.com/spreadsheets/d/1swGwZOEqYlTEUCJLY-eeJM1911Kvaei5oySBIxdgtNo/edit?pli=1#gid=257618397"",""stock FAKTUR!B:e""),4,false)"),"")</f>
        <v/>
      </c>
      <c r="H1030" s="145" t="str">
        <f>IFERROR(__xludf.DUMMYFUNCTION("vlookup($D1030,IMPORTRANGE(""https://docs.google.com/spreadsheets/d/1swGwZOEqYlTEUCJLY-eeJM1911Kvaei5oySBIxdgtNo/edit?pli=1#gid=257618397"",""stock FAKTUR!B:F""),5,false)"),"KN")</f>
        <v>KN</v>
      </c>
      <c r="I1030" s="145" t="str">
        <f>IFERROR(__xludf.DUMMYFUNCTION("vlookup($D1030,IMPORTRANGE(""https://docs.google.com/spreadsheets/d/1swGwZOEqYlTEUCJLY-eeJM1911Kvaei5oySBIxdgtNo/edit?pli=1#gid=257618397"",""stock FAKTUR!B:G""),6,false)"),"CFL-002")</f>
        <v>CFL-002</v>
      </c>
      <c r="J1030" s="199" t="str">
        <f t="shared" si="25"/>
        <v>ADA</v>
      </c>
      <c r="K1030" s="142">
        <v>36.0</v>
      </c>
      <c r="L1030" s="145" t="str">
        <f>IFERROR(__xludf.DUMMYFUNCTION("vlookup($D1030,IMPORTRANGE(""https://docs.google.com/spreadsheets/d/1swGwZOEqYlTEUCJLY-eeJM1911Kvaei5oySBIxdgtNo/edit?pli=1#gid=257618397"",""stock FAKTUR!B:q""),16,false)"),"LSN")</f>
        <v>LSN</v>
      </c>
      <c r="M1030" s="147">
        <v>57600.0</v>
      </c>
      <c r="N1030" s="152">
        <v>0.125</v>
      </c>
      <c r="O1030" s="147">
        <f t="shared" si="280"/>
        <v>1814400</v>
      </c>
      <c r="P1030" s="147" t="str">
        <f t="shared" si="3"/>
        <v>Rp57,600-36 LSN-12.50%</v>
      </c>
      <c r="Q1030" s="149">
        <v>45434.0</v>
      </c>
      <c r="R1030" s="150"/>
      <c r="S1030" s="149">
        <v>45437.0</v>
      </c>
      <c r="T1030" s="151"/>
      <c r="U1030" s="151"/>
      <c r="V1030" s="151"/>
      <c r="W1030" s="151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</row>
    <row r="1031">
      <c r="A1031" s="142">
        <v>4961.0</v>
      </c>
      <c r="B1031" s="143" t="str">
        <f t="shared" si="303"/>
        <v>G</v>
      </c>
      <c r="C1031" s="143" t="str">
        <f t="shared" si="304"/>
        <v>PUAS-PATI</v>
      </c>
      <c r="D1031" s="49" t="s">
        <v>4604</v>
      </c>
      <c r="E1031" s="145" t="str">
        <f>IFERROR(__xludf.DUMMYFUNCTION("vlookup(D1031,IMPORTRANGE(""https://docs.google.com/spreadsheets/d/1swGwZOEqYlTEUCJLY-eeJM1911Kvaei5oySBIxdgtNo/edit?pli=1#gid=257618397"",""stock FAKTUR!B:C""),2,false)"),"POCKET NOTE KENKO PN-501")</f>
        <v>POCKET NOTE KENKO PN-501</v>
      </c>
      <c r="F1031" s="145" t="str">
        <f>IFERROR(__xludf.DUMMYFUNCTION("vlookup($D1031,IMPORTRANGE(""https://docs.google.com/spreadsheets/d/1swGwZOEqYlTEUCJLY-eeJM1911Kvaei5oySBIxdgtNo/edit?pli=1#gid=257618397"",""stock FAKTUR!B:d""),3,false)"),"")</f>
        <v/>
      </c>
      <c r="G1031" s="145" t="str">
        <f>IFERROR(__xludf.DUMMYFUNCTION("vlookup($D1031,IMPORTRANGE(""https://docs.google.com/spreadsheets/d/1swGwZOEqYlTEUCJLY-eeJM1911Kvaei5oySBIxdgtNo/edit?pli=1#gid=257618397"",""stock FAKTUR!B:e""),4,false)"),"")</f>
        <v/>
      </c>
      <c r="H1031" s="145" t="str">
        <f>IFERROR(__xludf.DUMMYFUNCTION("vlookup($D1031,IMPORTRANGE(""https://docs.google.com/spreadsheets/d/1swGwZOEqYlTEUCJLY-eeJM1911Kvaei5oySBIxdgtNo/edit?pli=1#gid=257618397"",""stock FAKTUR!B:F""),5,false)"),"KN")</f>
        <v>KN</v>
      </c>
      <c r="I1031" s="145" t="str">
        <f>IFERROR(__xludf.DUMMYFUNCTION("vlookup($D1031,IMPORTRANGE(""https://docs.google.com/spreadsheets/d/1swGwZOEqYlTEUCJLY-eeJM1911Kvaei5oySBIxdgtNo/edit?pli=1#gid=257618397"",""stock FAKTUR!B:G""),6,false)"),"PN-501")</f>
        <v>PN-501</v>
      </c>
      <c r="J1031" s="199" t="str">
        <f t="shared" si="25"/>
        <v>ADA</v>
      </c>
      <c r="K1031" s="142">
        <v>6.0</v>
      </c>
      <c r="L1031" s="145" t="str">
        <f>IFERROR(__xludf.DUMMYFUNCTION("vlookup($D1031,IMPORTRANGE(""https://docs.google.com/spreadsheets/d/1swGwZOEqYlTEUCJLY-eeJM1911Kvaei5oySBIxdgtNo/edit?pli=1#gid=257618397"",""stock FAKTUR!B:q""),16,false)"),"LSN")</f>
        <v>LSN</v>
      </c>
      <c r="M1031" s="147">
        <v>135000.0</v>
      </c>
      <c r="N1031" s="152">
        <v>0.125</v>
      </c>
      <c r="O1031" s="147">
        <f t="shared" si="280"/>
        <v>708750</v>
      </c>
      <c r="P1031" s="147" t="str">
        <f t="shared" si="3"/>
        <v>Rp135,000-6 LSN-12.50%</v>
      </c>
      <c r="Q1031" s="149">
        <v>45434.0</v>
      </c>
      <c r="R1031" s="150"/>
      <c r="S1031" s="149">
        <v>45437.0</v>
      </c>
      <c r="T1031" s="151"/>
      <c r="U1031" s="151"/>
      <c r="V1031" s="151"/>
      <c r="W1031" s="151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</row>
    <row r="1032">
      <c r="A1032" s="142">
        <v>4961.0</v>
      </c>
      <c r="B1032" s="143" t="str">
        <f t="shared" si="303"/>
        <v>G</v>
      </c>
      <c r="C1032" s="143" t="str">
        <f t="shared" si="304"/>
        <v>PUAS-PATI</v>
      </c>
      <c r="D1032" s="53" t="s">
        <v>4726</v>
      </c>
      <c r="E1032" s="145" t="str">
        <f>IFERROR(__xludf.DUMMYFUNCTION("vlookup(D1032,IMPORTRANGE(""https://docs.google.com/spreadsheets/d/1swGwZOEqYlTEUCJLY-eeJM1911Kvaei5oySBIxdgtNo/edit?pli=1#gid=257618397"",""stock FAKTUR!B:C""),2,false)"),"CLIP TRIGONAL KENKO NO. 3")</f>
        <v>CLIP TRIGONAL KENKO NO. 3</v>
      </c>
      <c r="F1032" s="145" t="str">
        <f>IFERROR(__xludf.DUMMYFUNCTION("vlookup($D1032,IMPORTRANGE(""https://docs.google.com/spreadsheets/d/1swGwZOEqYlTEUCJLY-eeJM1911Kvaei5oySBIxdgtNo/edit?pli=1#gid=257618397"",""stock FAKTUR!B:d""),3,false)"),"")</f>
        <v/>
      </c>
      <c r="G1032" s="145" t="str">
        <f>IFERROR(__xludf.DUMMYFUNCTION("vlookup($D1032,IMPORTRANGE(""https://docs.google.com/spreadsheets/d/1swGwZOEqYlTEUCJLY-eeJM1911Kvaei5oySBIxdgtNo/edit?pli=1#gid=257618397"",""stock FAKTUR!B:e""),4,false)"),"")</f>
        <v/>
      </c>
      <c r="H1032" s="145" t="str">
        <f>IFERROR(__xludf.DUMMYFUNCTION("vlookup($D1032,IMPORTRANGE(""https://docs.google.com/spreadsheets/d/1swGwZOEqYlTEUCJLY-eeJM1911Kvaei5oySBIxdgtNo/edit?pli=1#gid=257618397"",""stock FAKTUR!B:F""),5,false)"),"KN")</f>
        <v>KN</v>
      </c>
      <c r="I1032" s="145" t="str">
        <f>IFERROR(__xludf.DUMMYFUNCTION("vlookup($D1032,IMPORTRANGE(""https://docs.google.com/spreadsheets/d/1swGwZOEqYlTEUCJLY-eeJM1911Kvaei5oySBIxdgtNo/edit?pli=1#gid=257618397"",""stock FAKTUR!B:G""),6,false)"),"CLP-002")</f>
        <v>CLP-002</v>
      </c>
      <c r="J1032" s="199" t="str">
        <f t="shared" si="25"/>
        <v>ADA</v>
      </c>
      <c r="K1032" s="142">
        <v>500.0</v>
      </c>
      <c r="L1032" s="145" t="str">
        <f>IFERROR(__xludf.DUMMYFUNCTION("vlookup($D1032,IMPORTRANGE(""https://docs.google.com/spreadsheets/d/1swGwZOEqYlTEUCJLY-eeJM1911Kvaei5oySBIxdgtNo/edit?pli=1#gid=257618397"",""stock FAKTUR!B:q""),16,false)"),"BOX")</f>
        <v>BOX</v>
      </c>
      <c r="M1032" s="147">
        <v>1600.0</v>
      </c>
      <c r="N1032" s="152">
        <v>0.125</v>
      </c>
      <c r="O1032" s="147">
        <f t="shared" si="280"/>
        <v>700000</v>
      </c>
      <c r="P1032" s="147" t="str">
        <f t="shared" si="3"/>
        <v>Rp1,600-500 BOX-12.50%</v>
      </c>
      <c r="Q1032" s="149">
        <v>45434.0</v>
      </c>
      <c r="R1032" s="150"/>
      <c r="S1032" s="149">
        <v>45437.0</v>
      </c>
      <c r="T1032" s="151"/>
      <c r="U1032" s="151"/>
      <c r="V1032" s="151"/>
      <c r="W1032" s="151"/>
      <c r="X1032" s="49"/>
      <c r="Y1032" s="49"/>
      <c r="Z1032" s="49"/>
      <c r="AA1032" s="49"/>
      <c r="AB1032" s="49"/>
      <c r="AC1032" s="49"/>
      <c r="AD1032" s="49"/>
      <c r="AE1032" s="49"/>
      <c r="AF1032" s="49"/>
      <c r="AG1032" s="49"/>
    </row>
    <row r="1033">
      <c r="A1033" s="142">
        <v>4961.0</v>
      </c>
      <c r="B1033" s="143" t="str">
        <f t="shared" si="303"/>
        <v>G</v>
      </c>
      <c r="C1033" s="143" t="str">
        <f t="shared" si="304"/>
        <v>PUAS-PATI</v>
      </c>
      <c r="D1033" s="53" t="s">
        <v>4398</v>
      </c>
      <c r="E1033" s="145" t="str">
        <f>IFERROR(__xludf.DUMMYFUNCTION("vlookup(D1033,IMPORTRANGE(""https://docs.google.com/spreadsheets/d/1swGwZOEqYlTEUCJLY-eeJM1911Kvaei5oySBIxdgtNo/edit?pli=1#gid=257618397"",""stock FAKTUR!B:C""),2,false)"),"ISI CUTTER KENKO L-150 BESAR")</f>
        <v>ISI CUTTER KENKO L-150 BESAR</v>
      </c>
      <c r="F1033" s="145" t="str">
        <f>IFERROR(__xludf.DUMMYFUNCTION("vlookup($D1033,IMPORTRANGE(""https://docs.google.com/spreadsheets/d/1swGwZOEqYlTEUCJLY-eeJM1911Kvaei5oySBIxdgtNo/edit?pli=1#gid=257618397"",""stock FAKTUR!B:d""),3,false)"),"18 MM")</f>
        <v>18 MM</v>
      </c>
      <c r="G1033" s="145" t="str">
        <f>IFERROR(__xludf.DUMMYFUNCTION("vlookup($D1033,IMPORTRANGE(""https://docs.google.com/spreadsheets/d/1swGwZOEqYlTEUCJLY-eeJM1911Kvaei5oySBIxdgtNo/edit?pli=1#gid=257618397"",""stock FAKTUR!B:e""),4,false)"),"")</f>
        <v/>
      </c>
      <c r="H1033" s="145" t="str">
        <f>IFERROR(__xludf.DUMMYFUNCTION("vlookup($D1033,IMPORTRANGE(""https://docs.google.com/spreadsheets/d/1swGwZOEqYlTEUCJLY-eeJM1911Kvaei5oySBIxdgtNo/edit?pli=1#gid=257618397"",""stock FAKTUR!B:F""),5,false)"),"KN")</f>
        <v>KN</v>
      </c>
      <c r="I1033" s="145" t="str">
        <f>IFERROR(__xludf.DUMMYFUNCTION("vlookup($D1033,IMPORTRANGE(""https://docs.google.com/spreadsheets/d/1swGwZOEqYlTEUCJLY-eeJM1911Kvaei5oySBIxdgtNo/edit?pli=1#gid=257618397"",""stock FAKTUR!B:G""),6,false)"),"CTB-002")</f>
        <v>CTB-002</v>
      </c>
      <c r="J1033" s="199" t="str">
        <f t="shared" si="25"/>
        <v>ADA</v>
      </c>
      <c r="K1033" s="142">
        <v>60.0</v>
      </c>
      <c r="L1033" s="145" t="str">
        <f>IFERROR(__xludf.DUMMYFUNCTION("vlookup($D1033,IMPORTRANGE(""https://docs.google.com/spreadsheets/d/1swGwZOEqYlTEUCJLY-eeJM1911Kvaei5oySBIxdgtNo/edit?pli=1#gid=257618397"",""stock FAKTUR!B:q""),16,false)"),"LSN")</f>
        <v>LSN</v>
      </c>
      <c r="M1033" s="147">
        <v>64800.0</v>
      </c>
      <c r="N1033" s="152">
        <v>0.125</v>
      </c>
      <c r="O1033" s="147">
        <f t="shared" si="280"/>
        <v>3402000</v>
      </c>
      <c r="P1033" s="147" t="str">
        <f t="shared" si="3"/>
        <v>Rp64,800-60 LSN-12.50%</v>
      </c>
      <c r="Q1033" s="149">
        <v>45434.0</v>
      </c>
      <c r="R1033" s="150"/>
      <c r="S1033" s="149">
        <v>45437.0</v>
      </c>
      <c r="T1033" s="151"/>
      <c r="U1033" s="151"/>
      <c r="V1033" s="151"/>
      <c r="W1033" s="151"/>
      <c r="X1033" s="49"/>
      <c r="Y1033" s="49"/>
      <c r="Z1033" s="49"/>
      <c r="AA1033" s="49"/>
      <c r="AB1033" s="49"/>
      <c r="AC1033" s="49"/>
      <c r="AD1033" s="49"/>
      <c r="AE1033" s="49"/>
      <c r="AF1033" s="49"/>
      <c r="AG1033" s="49"/>
    </row>
    <row r="1034">
      <c r="A1034" s="142">
        <v>4961.0</v>
      </c>
      <c r="B1034" s="143" t="str">
        <f t="shared" si="303"/>
        <v>G</v>
      </c>
      <c r="C1034" s="143" t="str">
        <f t="shared" si="304"/>
        <v>PUAS-PATI</v>
      </c>
      <c r="D1034" s="53" t="s">
        <v>4430</v>
      </c>
      <c r="E1034" s="145" t="str">
        <f>IFERROR(__xludf.DUMMYFUNCTION("vlookup(D1034,IMPORTRANGE(""https://docs.google.com/spreadsheets/d/1swGwZOEqYlTEUCJLY-eeJM1911Kvaei5oySBIxdgtNo/edit?pli=1#gid=257618397"",""stock FAKTUR!B:C""),2,false)"),"LEM STICK KENKO 8GR KECIL")</f>
        <v>LEM STICK KENKO 8GR KECIL</v>
      </c>
      <c r="F1034" s="145" t="str">
        <f>IFERROR(__xludf.DUMMYFUNCTION("vlookup($D1034,IMPORTRANGE(""https://docs.google.com/spreadsheets/d/1swGwZOEqYlTEUCJLY-eeJM1911Kvaei5oySBIxdgtNo/edit?pli=1#gid=257618397"",""stock FAKTUR!B:d""),3,false)"),"K")</f>
        <v>K</v>
      </c>
      <c r="G1034" s="145" t="str">
        <f>IFERROR(__xludf.DUMMYFUNCTION("vlookup($D1034,IMPORTRANGE(""https://docs.google.com/spreadsheets/d/1swGwZOEqYlTEUCJLY-eeJM1911Kvaei5oySBIxdgtNo/edit?pli=1#gid=257618397"",""stock FAKTUR!B:e""),4,false)"),"")</f>
        <v/>
      </c>
      <c r="H1034" s="145" t="str">
        <f>IFERROR(__xludf.DUMMYFUNCTION("vlookup($D1034,IMPORTRANGE(""https://docs.google.com/spreadsheets/d/1swGwZOEqYlTEUCJLY-eeJM1911Kvaei5oySBIxdgtNo/edit?pli=1#gid=257618397"",""stock FAKTUR!B:F""),5,false)"),"KN")</f>
        <v>KN</v>
      </c>
      <c r="I1034" s="145" t="str">
        <f>IFERROR(__xludf.DUMMYFUNCTION("vlookup($D1034,IMPORTRANGE(""https://docs.google.com/spreadsheets/d/1swGwZOEqYlTEUCJLY-eeJM1911Kvaei5oySBIxdgtNo/edit?pli=1#gid=257618397"",""stock FAKTUR!B:G""),6,false)"),"GST-001GA")</f>
        <v>GST-001GA</v>
      </c>
      <c r="J1034" s="199" t="str">
        <f t="shared" si="25"/>
        <v>ADA</v>
      </c>
      <c r="K1034" s="142">
        <v>36.0</v>
      </c>
      <c r="L1034" s="145" t="str">
        <f>IFERROR(__xludf.DUMMYFUNCTION("vlookup($D1034,IMPORTRANGE(""https://docs.google.com/spreadsheets/d/1swGwZOEqYlTEUCJLY-eeJM1911Kvaei5oySBIxdgtNo/edit?pli=1#gid=257618397"",""stock FAKTUR!B:q""),16,false)"),"BOX")</f>
        <v>BOX</v>
      </c>
      <c r="M1034" s="147">
        <v>66000.0</v>
      </c>
      <c r="N1034" s="152">
        <v>0.125</v>
      </c>
      <c r="O1034" s="147">
        <f t="shared" si="280"/>
        <v>2079000</v>
      </c>
      <c r="P1034" s="147" t="str">
        <f t="shared" si="3"/>
        <v>Rp66,000-36 BOX-12.50%</v>
      </c>
      <c r="Q1034" s="149">
        <v>45434.0</v>
      </c>
      <c r="R1034" s="150"/>
      <c r="S1034" s="149">
        <v>45437.0</v>
      </c>
      <c r="T1034" s="151"/>
      <c r="U1034" s="151"/>
      <c r="V1034" s="151"/>
      <c r="W1034" s="151"/>
      <c r="X1034" s="49"/>
      <c r="Y1034" s="49"/>
      <c r="Z1034" s="49"/>
      <c r="AA1034" s="49"/>
      <c r="AB1034" s="49"/>
      <c r="AC1034" s="49"/>
      <c r="AD1034" s="49"/>
      <c r="AE1034" s="49"/>
      <c r="AF1034" s="49"/>
      <c r="AG1034" s="49"/>
    </row>
    <row r="1035">
      <c r="A1035" s="142">
        <v>4961.0</v>
      </c>
      <c r="B1035" s="143" t="str">
        <f t="shared" si="303"/>
        <v>G</v>
      </c>
      <c r="C1035" s="143" t="str">
        <f t="shared" si="304"/>
        <v>PUAS-PATI</v>
      </c>
      <c r="D1035" s="53" t="s">
        <v>4586</v>
      </c>
      <c r="E1035" s="145" t="str">
        <f>IFERROR(__xludf.DUMMYFUNCTION("vlookup(D1035,IMPORTRANGE(""https://docs.google.com/spreadsheets/d/1swGwZOEqYlTEUCJLY-eeJM1911Kvaei5oySBIxdgtNo/edit?pli=1#gid=257618397"",""stock FAKTUR!B:C""),2,false)"),"GUNTING KENKO SC 838 N")</f>
        <v>GUNTING KENKO SC 838 N</v>
      </c>
      <c r="F1035" s="145" t="str">
        <f>IFERROR(__xludf.DUMMYFUNCTION("vlookup($D1035,IMPORTRANGE(""https://docs.google.com/spreadsheets/d/1swGwZOEqYlTEUCJLY-eeJM1911Kvaei5oySBIxdgtNo/edit?pli=1#gid=257618397"",""stock FAKTUR!B:d""),3,false)"),"")</f>
        <v/>
      </c>
      <c r="G1035" s="145" t="str">
        <f>IFERROR(__xludf.DUMMYFUNCTION("vlookup($D1035,IMPORTRANGE(""https://docs.google.com/spreadsheets/d/1swGwZOEqYlTEUCJLY-eeJM1911Kvaei5oySBIxdgtNo/edit?pli=1#gid=257618397"",""stock FAKTUR!B:e""),4,false)"),"")</f>
        <v/>
      </c>
      <c r="H1035" s="145" t="str">
        <f>IFERROR(__xludf.DUMMYFUNCTION("vlookup($D1035,IMPORTRANGE(""https://docs.google.com/spreadsheets/d/1swGwZOEqYlTEUCJLY-eeJM1911Kvaei5oySBIxdgtNo/edit?pli=1#gid=257618397"",""stock FAKTUR!B:F""),5,false)"),"KN")</f>
        <v>KN</v>
      </c>
      <c r="I1035" s="145" t="str">
        <f>IFERROR(__xludf.DUMMYFUNCTION("vlookup($D1035,IMPORTRANGE(""https://docs.google.com/spreadsheets/d/1swGwZOEqYlTEUCJLY-eeJM1911Kvaei5oySBIxdgtNo/edit?pli=1#gid=257618397"",""stock FAKTUR!B:G""),6,false)"),"SCS-002GO")</f>
        <v>SCS-002GO</v>
      </c>
      <c r="J1035" s="199" t="str">
        <f t="shared" si="25"/>
        <v>ADA</v>
      </c>
      <c r="K1035" s="142">
        <v>10.0</v>
      </c>
      <c r="L1035" s="145" t="str">
        <f>IFERROR(__xludf.DUMMYFUNCTION("vlookup($D1035,IMPORTRANGE(""https://docs.google.com/spreadsheets/d/1swGwZOEqYlTEUCJLY-eeJM1911Kvaei5oySBIxdgtNo/edit?pli=1#gid=257618397"",""stock FAKTUR!B:q""),16,false)"),"LSN")</f>
        <v>LSN</v>
      </c>
      <c r="M1035" s="147">
        <v>79800.0</v>
      </c>
      <c r="N1035" s="152">
        <v>0.1</v>
      </c>
      <c r="O1035" s="147">
        <f t="shared" si="280"/>
        <v>718200</v>
      </c>
      <c r="P1035" s="147" t="str">
        <f t="shared" si="3"/>
        <v>Rp79,800-10 LSN-10.00%</v>
      </c>
      <c r="Q1035" s="149">
        <v>45434.0</v>
      </c>
      <c r="R1035" s="150"/>
      <c r="S1035" s="149">
        <v>45437.0</v>
      </c>
      <c r="T1035" s="151"/>
      <c r="U1035" s="151"/>
      <c r="V1035" s="151"/>
      <c r="W1035" s="151"/>
      <c r="X1035" s="49"/>
      <c r="Y1035" s="49"/>
      <c r="Z1035" s="49"/>
      <c r="AA1035" s="49"/>
      <c r="AB1035" s="49"/>
      <c r="AC1035" s="49"/>
      <c r="AD1035" s="49"/>
      <c r="AE1035" s="49"/>
      <c r="AF1035" s="49"/>
      <c r="AG1035" s="49"/>
    </row>
    <row r="1036">
      <c r="A1036" s="142">
        <v>4961.0</v>
      </c>
      <c r="B1036" s="143" t="str">
        <f t="shared" si="303"/>
        <v>G</v>
      </c>
      <c r="C1036" s="143" t="str">
        <f t="shared" si="304"/>
        <v>PUAS-PATI</v>
      </c>
      <c r="D1036" s="53" t="s">
        <v>4442</v>
      </c>
      <c r="E1036" s="145" t="str">
        <f>IFERROR(__xludf.DUMMYFUNCTION("vlookup(D1036,IMPORTRANGE(""https://docs.google.com/spreadsheets/d/1swGwZOEqYlTEUCJLY-eeJM1911Kvaei5oySBIxdgtNo/edit?pli=1#gid=257618397"",""stock FAKTUR!B:C""),2,false)"),"CUTTER KENKO A-300")</f>
        <v>CUTTER KENKO A-300</v>
      </c>
      <c r="F1036" s="145" t="str">
        <f>IFERROR(__xludf.DUMMYFUNCTION("vlookup($D1036,IMPORTRANGE(""https://docs.google.com/spreadsheets/d/1swGwZOEqYlTEUCJLY-eeJM1911Kvaei5oySBIxdgtNo/edit?pli=1#gid=257618397"",""stock FAKTUR!B:d""),3,false)"),"9 MM")</f>
        <v>9 MM</v>
      </c>
      <c r="G1036" s="145" t="str">
        <f>IFERROR(__xludf.DUMMYFUNCTION("vlookup($D1036,IMPORTRANGE(""https://docs.google.com/spreadsheets/d/1swGwZOEqYlTEUCJLY-eeJM1911Kvaei5oySBIxdgtNo/edit?pli=1#gid=257618397"",""stock FAKTUR!B:e""),4,false)"),"")</f>
        <v/>
      </c>
      <c r="H1036" s="145" t="str">
        <f>IFERROR(__xludf.DUMMYFUNCTION("vlookup($D1036,IMPORTRANGE(""https://docs.google.com/spreadsheets/d/1swGwZOEqYlTEUCJLY-eeJM1911Kvaei5oySBIxdgtNo/edit?pli=1#gid=257618397"",""stock FAKTUR!B:F""),5,false)"),"KN")</f>
        <v>KN</v>
      </c>
      <c r="I1036" s="145" t="str">
        <f>IFERROR(__xludf.DUMMYFUNCTION("vlookup($D1036,IMPORTRANGE(""https://docs.google.com/spreadsheets/d/1swGwZOEqYlTEUCJLY-eeJM1911Kvaei5oySBIxdgtNo/edit?pli=1#gid=257618397"",""stock FAKTUR!B:G""),6,false)"),"CTR-004")</f>
        <v>CTR-004</v>
      </c>
      <c r="J1036" s="199" t="str">
        <f t="shared" si="25"/>
        <v>ADA</v>
      </c>
      <c r="K1036" s="142">
        <v>6.0</v>
      </c>
      <c r="L1036" s="145" t="str">
        <f>IFERROR(__xludf.DUMMYFUNCTION("vlookup($D1036,IMPORTRANGE(""https://docs.google.com/spreadsheets/d/1swGwZOEqYlTEUCJLY-eeJM1911Kvaei5oySBIxdgtNo/edit?pli=1#gid=257618397"",""stock FAKTUR!B:q""),16,false)"),"LSN")</f>
        <v>LSN</v>
      </c>
      <c r="M1036" s="147">
        <v>57000.0</v>
      </c>
      <c r="N1036" s="152">
        <v>0.1</v>
      </c>
      <c r="O1036" s="147">
        <f t="shared" si="280"/>
        <v>307800</v>
      </c>
      <c r="P1036" s="147" t="str">
        <f t="shared" si="3"/>
        <v>Rp57,000-6 LSN-10.00%</v>
      </c>
      <c r="Q1036" s="149">
        <v>45434.0</v>
      </c>
      <c r="R1036" s="150"/>
      <c r="S1036" s="149">
        <v>45437.0</v>
      </c>
      <c r="T1036" s="151"/>
      <c r="U1036" s="151"/>
      <c r="V1036" s="151"/>
      <c r="W1036" s="151"/>
      <c r="X1036" s="49"/>
      <c r="Y1036" s="49"/>
      <c r="Z1036" s="49"/>
      <c r="AA1036" s="49"/>
      <c r="AB1036" s="49"/>
      <c r="AC1036" s="49"/>
      <c r="AD1036" s="49"/>
      <c r="AE1036" s="49"/>
      <c r="AF1036" s="49"/>
      <c r="AG1036" s="49"/>
    </row>
    <row r="1037">
      <c r="A1037" s="142">
        <v>4961.0</v>
      </c>
      <c r="B1037" s="143" t="str">
        <f t="shared" si="303"/>
        <v>G</v>
      </c>
      <c r="C1037" s="143" t="str">
        <f t="shared" si="304"/>
        <v>PUAS-PATI</v>
      </c>
      <c r="D1037" s="53" t="s">
        <v>4396</v>
      </c>
      <c r="E1037" s="145" t="str">
        <f>IFERROR(__xludf.DUMMYFUNCTION("vlookup(D1037,IMPORTRANGE(""https://docs.google.com/spreadsheets/d/1swGwZOEqYlTEUCJLY-eeJM1911Kvaei5oySBIxdgtNo/edit?pli=1#gid=257618397"",""stock FAKTUR!B:C""),2,false)"),"STAPLER KENKO HD-10")</f>
        <v>STAPLER KENKO HD-10</v>
      </c>
      <c r="F1037" s="145" t="str">
        <f>IFERROR(__xludf.DUMMYFUNCTION("vlookup($D1037,IMPORTRANGE(""https://docs.google.com/spreadsheets/d/1swGwZOEqYlTEUCJLY-eeJM1911Kvaei5oySBIxdgtNo/edit?pli=1#gid=257618397"",""stock FAKTUR!B:d""),3,false)"),"")</f>
        <v/>
      </c>
      <c r="G1037" s="145" t="str">
        <f>IFERROR(__xludf.DUMMYFUNCTION("vlookup($D1037,IMPORTRANGE(""https://docs.google.com/spreadsheets/d/1swGwZOEqYlTEUCJLY-eeJM1911Kvaei5oySBIxdgtNo/edit?pli=1#gid=257618397"",""stock FAKTUR!B:e""),4,false)"),"")</f>
        <v/>
      </c>
      <c r="H1037" s="145" t="str">
        <f>IFERROR(__xludf.DUMMYFUNCTION("vlookup($D1037,IMPORTRANGE(""https://docs.google.com/spreadsheets/d/1swGwZOEqYlTEUCJLY-eeJM1911Kvaei5oySBIxdgtNo/edit?pli=1#gid=257618397"",""stock FAKTUR!B:F""),5,false)"),"KN")</f>
        <v>KN</v>
      </c>
      <c r="I1037" s="145" t="str">
        <f>IFERROR(__xludf.DUMMYFUNCTION("vlookup($D1037,IMPORTRANGE(""https://docs.google.com/spreadsheets/d/1swGwZOEqYlTEUCJLY-eeJM1911Kvaei5oySBIxdgtNo/edit?pli=1#gid=257618397"",""stock FAKTUR!B:G""),6,false)"),"HD-10")</f>
        <v>HD-10</v>
      </c>
      <c r="J1037" s="199" t="str">
        <f t="shared" si="25"/>
        <v>ADA</v>
      </c>
      <c r="K1037" s="142">
        <v>6.0</v>
      </c>
      <c r="L1037" s="145" t="str">
        <f>IFERROR(__xludf.DUMMYFUNCTION("vlookup($D1037,IMPORTRANGE(""https://docs.google.com/spreadsheets/d/1swGwZOEqYlTEUCJLY-eeJM1911Kvaei5oySBIxdgtNo/edit?pli=1#gid=257618397"",""stock FAKTUR!B:q""),16,false)"),"LSN")</f>
        <v>LSN</v>
      </c>
      <c r="M1037" s="147">
        <v>93000.0</v>
      </c>
      <c r="N1037" s="152">
        <v>0.1</v>
      </c>
      <c r="O1037" s="147">
        <f t="shared" si="280"/>
        <v>502200</v>
      </c>
      <c r="P1037" s="147" t="str">
        <f t="shared" si="3"/>
        <v>Rp93,000-6 LSN-10.00%</v>
      </c>
      <c r="Q1037" s="149">
        <v>45434.0</v>
      </c>
      <c r="R1037" s="150"/>
      <c r="S1037" s="149">
        <v>45437.0</v>
      </c>
      <c r="T1037" s="151"/>
      <c r="U1037" s="151"/>
      <c r="V1037" s="151"/>
      <c r="W1037" s="151"/>
      <c r="X1037" s="49"/>
      <c r="Y1037" s="49"/>
      <c r="Z1037" s="49"/>
      <c r="AA1037" s="49"/>
      <c r="AB1037" s="49"/>
      <c r="AC1037" s="49"/>
      <c r="AD1037" s="49"/>
      <c r="AE1037" s="49"/>
      <c r="AF1037" s="49"/>
      <c r="AG1037" s="49"/>
    </row>
    <row r="1038">
      <c r="A1038" s="142">
        <v>4961.0</v>
      </c>
      <c r="B1038" s="143" t="str">
        <f t="shared" si="303"/>
        <v>G</v>
      </c>
      <c r="C1038" s="143" t="str">
        <f t="shared" si="304"/>
        <v>PUAS-PATI</v>
      </c>
      <c r="D1038" s="53" t="s">
        <v>4400</v>
      </c>
      <c r="E1038" s="145" t="str">
        <f>IFERROR(__xludf.DUMMYFUNCTION("vlookup(D1038,IMPORTRANGE(""https://docs.google.com/spreadsheets/d/1swGwZOEqYlTEUCJLY-eeJM1911Kvaei5oySBIxdgtNo/edit?pli=1#gid=257618397"",""stock FAKTUR!B:C""),2,false)"),"PW KENKO 12W CP-12 HALF CLASSIC PENDEK")</f>
        <v>PW KENKO 12W CP-12 HALF CLASSIC PENDEK</v>
      </c>
      <c r="F1038" s="145" t="str">
        <f>IFERROR(__xludf.DUMMYFUNCTION("vlookup($D1038,IMPORTRANGE(""https://docs.google.com/spreadsheets/d/1swGwZOEqYlTEUCJLY-eeJM1911Kvaei5oySBIxdgtNo/edit?pli=1#gid=257618397"",""stock FAKTUR!B:d""),3,false)"),"")</f>
        <v/>
      </c>
      <c r="G1038" s="145" t="str">
        <f>IFERROR(__xludf.DUMMYFUNCTION("vlookup($D1038,IMPORTRANGE(""https://docs.google.com/spreadsheets/d/1swGwZOEqYlTEUCJLY-eeJM1911Kvaei5oySBIxdgtNo/edit?pli=1#gid=257618397"",""stock FAKTUR!B:e""),4,false)"),"12W")</f>
        <v>12W</v>
      </c>
      <c r="H1038" s="145" t="str">
        <f>IFERROR(__xludf.DUMMYFUNCTION("vlookup($D1038,IMPORTRANGE(""https://docs.google.com/spreadsheets/d/1swGwZOEqYlTEUCJLY-eeJM1911Kvaei5oySBIxdgtNo/edit?pli=1#gid=257618397"",""stock FAKTUR!B:F""),5,false)"),"KN")</f>
        <v>KN</v>
      </c>
      <c r="I1038" s="145" t="str">
        <f>IFERROR(__xludf.DUMMYFUNCTION("vlookup($D1038,IMPORTRANGE(""https://docs.google.com/spreadsheets/d/1swGwZOEqYlTEUCJLY-eeJM1911Kvaei5oySBIxdgtNo/edit?pli=1#gid=257618397"",""stock FAKTUR!B:G""),6,false)"),"CP-12")</f>
        <v>CP-12</v>
      </c>
      <c r="J1038" s="199" t="str">
        <f t="shared" si="25"/>
        <v>ADA</v>
      </c>
      <c r="K1038" s="142">
        <v>5.0</v>
      </c>
      <c r="L1038" s="145" t="str">
        <f>IFERROR(__xludf.DUMMYFUNCTION("vlookup($D1038,IMPORTRANGE(""https://docs.google.com/spreadsheets/d/1swGwZOEqYlTEUCJLY-eeJM1911Kvaei5oySBIxdgtNo/edit?pli=1#gid=257618397"",""stock FAKTUR!B:q""),16,false)"),"LSN")</f>
        <v>LSN</v>
      </c>
      <c r="M1038" s="147">
        <v>79200.0</v>
      </c>
      <c r="N1038" s="152">
        <v>0.1</v>
      </c>
      <c r="O1038" s="147">
        <f t="shared" si="280"/>
        <v>356400</v>
      </c>
      <c r="P1038" s="147" t="str">
        <f t="shared" si="3"/>
        <v>Rp79,200-5 LSN-10.00%</v>
      </c>
      <c r="Q1038" s="149">
        <v>45434.0</v>
      </c>
      <c r="R1038" s="150"/>
      <c r="S1038" s="149">
        <v>45437.0</v>
      </c>
      <c r="T1038" s="151"/>
      <c r="U1038" s="151"/>
      <c r="V1038" s="151"/>
      <c r="W1038" s="151"/>
      <c r="X1038" s="49"/>
      <c r="Y1038" s="49"/>
      <c r="Z1038" s="49"/>
      <c r="AA1038" s="49"/>
      <c r="AB1038" s="49"/>
      <c r="AC1038" s="49"/>
      <c r="AD1038" s="49"/>
      <c r="AE1038" s="49"/>
      <c r="AF1038" s="49"/>
      <c r="AG1038" s="49"/>
    </row>
    <row r="1039">
      <c r="A1039" s="142">
        <v>4961.0</v>
      </c>
      <c r="B1039" s="143" t="str">
        <f t="shared" si="303"/>
        <v>G</v>
      </c>
      <c r="C1039" s="143" t="str">
        <f t="shared" si="304"/>
        <v>PUAS-PATI</v>
      </c>
      <c r="D1039" s="53" t="s">
        <v>4416</v>
      </c>
      <c r="E1039" s="145" t="str">
        <f>IFERROR(__xludf.DUMMYFUNCTION("vlookup(D1039,IMPORTRANGE(""https://docs.google.com/spreadsheets/d/1swGwZOEqYlTEUCJLY-eeJM1911Kvaei5oySBIxdgtNo/edit?pli=1#gid=257618397"",""stock FAKTUR!B:C""),2,false)"),"BP KENKO KE-303 T-GEL HITAM")</f>
        <v>BP KENKO KE-303 T-GEL HITAM</v>
      </c>
      <c r="F1039" s="145" t="str">
        <f>IFERROR(__xludf.DUMMYFUNCTION("vlookup($D1039,IMPORTRANGE(""https://docs.google.com/spreadsheets/d/1swGwZOEqYlTEUCJLY-eeJM1911Kvaei5oySBIxdgtNo/edit?pli=1#gid=257618397"",""stock FAKTUR!B:d""),3,false)"),"")</f>
        <v/>
      </c>
      <c r="G1039" s="145" t="str">
        <f>IFERROR(__xludf.DUMMYFUNCTION("vlookup($D1039,IMPORTRANGE(""https://docs.google.com/spreadsheets/d/1swGwZOEqYlTEUCJLY-eeJM1911Kvaei5oySBIxdgtNo/edit?pli=1#gid=257618397"",""stock FAKTUR!B:e""),4,false)"),"")</f>
        <v/>
      </c>
      <c r="H1039" s="145" t="str">
        <f>IFERROR(__xludf.DUMMYFUNCTION("vlookup($D1039,IMPORTRANGE(""https://docs.google.com/spreadsheets/d/1swGwZOEqYlTEUCJLY-eeJM1911Kvaei5oySBIxdgtNo/edit?pli=1#gid=257618397"",""stock FAKTUR!B:F""),5,false)"),"KN")</f>
        <v>KN</v>
      </c>
      <c r="I1039" s="145" t="str">
        <f>IFERROR(__xludf.DUMMYFUNCTION("vlookup($D1039,IMPORTRANGE(""https://docs.google.com/spreadsheets/d/1swGwZOEqYlTEUCJLY-eeJM1911Kvaei5oySBIxdgtNo/edit?pli=1#gid=257618397"",""stock FAKTUR!B:G""),6,false)"),"KE-303")</f>
        <v>KE-303</v>
      </c>
      <c r="J1039" s="199" t="str">
        <f t="shared" si="25"/>
        <v>ADA</v>
      </c>
      <c r="K1039" s="142">
        <v>60.0</v>
      </c>
      <c r="L1039" s="145" t="str">
        <f>IFERROR(__xludf.DUMMYFUNCTION("vlookup($D1039,IMPORTRANGE(""https://docs.google.com/spreadsheets/d/1swGwZOEqYlTEUCJLY-eeJM1911Kvaei5oySBIxdgtNo/edit?pli=1#gid=257618397"",""stock FAKTUR!B:q""),16,false)"),"LSN")</f>
        <v>LSN</v>
      </c>
      <c r="M1039" s="147">
        <v>21600.0</v>
      </c>
      <c r="N1039" s="152">
        <v>0.1</v>
      </c>
      <c r="O1039" s="147">
        <f t="shared" si="280"/>
        <v>1166400</v>
      </c>
      <c r="P1039" s="147" t="str">
        <f t="shared" si="3"/>
        <v>Rp21,600-60 LSN-10.00%</v>
      </c>
      <c r="Q1039" s="149">
        <v>45434.0</v>
      </c>
      <c r="R1039" s="150"/>
      <c r="S1039" s="149">
        <v>45437.0</v>
      </c>
      <c r="T1039" s="151"/>
      <c r="U1039" s="151"/>
      <c r="V1039" s="151"/>
      <c r="W1039" s="151"/>
      <c r="X1039" s="49"/>
      <c r="Y1039" s="49"/>
      <c r="Z1039" s="49"/>
      <c r="AA1039" s="49"/>
      <c r="AB1039" s="49"/>
      <c r="AC1039" s="49"/>
      <c r="AD1039" s="49"/>
      <c r="AE1039" s="49"/>
      <c r="AF1039" s="49"/>
      <c r="AG1039" s="49"/>
    </row>
    <row r="1040">
      <c r="A1040" s="142">
        <v>4961.0</v>
      </c>
      <c r="B1040" s="143" t="str">
        <f t="shared" si="303"/>
        <v>G</v>
      </c>
      <c r="C1040" s="143" t="str">
        <f t="shared" si="304"/>
        <v>PUAS-PATI</v>
      </c>
      <c r="D1040" s="53" t="s">
        <v>4765</v>
      </c>
      <c r="E1040" s="145" t="str">
        <f>IFERROR(__xludf.DUMMYFUNCTION("vlookup(D1040,IMPORTRANGE(""https://docs.google.com/spreadsheets/d/1swGwZOEqYlTEUCJLY-eeJM1911Kvaei5oySBIxdgtNo/edit?pli=1#gid=257618397"",""stock FAKTUR!B:C""),2,false)"),"BP KENKO MICROTEC 0.28 HITAM")</f>
        <v>BP KENKO MICROTEC 0.28 HITAM</v>
      </c>
      <c r="F1040" s="145" t="str">
        <f>IFERROR(__xludf.DUMMYFUNCTION("vlookup($D1040,IMPORTRANGE(""https://docs.google.com/spreadsheets/d/1swGwZOEqYlTEUCJLY-eeJM1911Kvaei5oySBIxdgtNo/edit?pli=1#gid=257618397"",""stock FAKTUR!B:d""),3,false)"),"")</f>
        <v/>
      </c>
      <c r="G1040" s="145" t="str">
        <f>IFERROR(__xludf.DUMMYFUNCTION("vlookup($D1040,IMPORTRANGE(""https://docs.google.com/spreadsheets/d/1swGwZOEqYlTEUCJLY-eeJM1911Kvaei5oySBIxdgtNo/edit?pli=1#gid=257618397"",""stock FAKTUR!B:e""),4,false)"),"")</f>
        <v/>
      </c>
      <c r="H1040" s="145" t="str">
        <f>IFERROR(__xludf.DUMMYFUNCTION("vlookup($D1040,IMPORTRANGE(""https://docs.google.com/spreadsheets/d/1swGwZOEqYlTEUCJLY-eeJM1911Kvaei5oySBIxdgtNo/edit?pli=1#gid=257618397"",""stock FAKTUR!B:F""),5,false)"),"KN")</f>
        <v>KN</v>
      </c>
      <c r="I1040" s="145" t="str">
        <f>IFERROR(__xludf.DUMMYFUNCTION("vlookup($D1040,IMPORTRANGE(""https://docs.google.com/spreadsheets/d/1swGwZOEqYlTEUCJLY-eeJM1911Kvaei5oySBIxdgtNo/edit?pli=1#gid=257618397"",""stock FAKTUR!B:G""),6,false)"),"")</f>
        <v/>
      </c>
      <c r="J1040" s="199" t="str">
        <f t="shared" si="25"/>
        <v>ADA</v>
      </c>
      <c r="K1040" s="142">
        <v>36.0</v>
      </c>
      <c r="L1040" s="145" t="str">
        <f>IFERROR(__xludf.DUMMYFUNCTION("vlookup($D1040,IMPORTRANGE(""https://docs.google.com/spreadsheets/d/1swGwZOEqYlTEUCJLY-eeJM1911Kvaei5oySBIxdgtNo/edit?pli=1#gid=257618397"",""stock FAKTUR!B:q""),16,false)"),"LSN")</f>
        <v>LSN</v>
      </c>
      <c r="M1040" s="147">
        <v>39600.0</v>
      </c>
      <c r="N1040" s="152">
        <v>0.1</v>
      </c>
      <c r="O1040" s="147">
        <f t="shared" si="280"/>
        <v>1283040</v>
      </c>
      <c r="P1040" s="147" t="str">
        <f t="shared" si="3"/>
        <v>Rp39,600-36 LSN-10.00%</v>
      </c>
      <c r="Q1040" s="149">
        <v>45434.0</v>
      </c>
      <c r="R1040" s="150"/>
      <c r="S1040" s="149">
        <v>45437.0</v>
      </c>
      <c r="T1040" s="151"/>
      <c r="U1040" s="151"/>
      <c r="V1040" s="151"/>
      <c r="W1040" s="151"/>
      <c r="X1040" s="49"/>
      <c r="Y1040" s="49"/>
      <c r="Z1040" s="49"/>
      <c r="AA1040" s="49"/>
      <c r="AB1040" s="49"/>
      <c r="AC1040" s="49"/>
      <c r="AD1040" s="49"/>
      <c r="AE1040" s="49"/>
      <c r="AF1040" s="49"/>
      <c r="AG1040" s="49"/>
    </row>
    <row r="1041">
      <c r="A1041" s="142">
        <v>4962.0</v>
      </c>
      <c r="B1041" s="143" t="s">
        <v>58</v>
      </c>
      <c r="C1041" s="143" t="s">
        <v>2061</v>
      </c>
      <c r="D1041" s="49" t="s">
        <v>4767</v>
      </c>
      <c r="E1041" s="145" t="str">
        <f>IFERROR(__xludf.DUMMYFUNCTION("vlookup(D1041,IMPORTRANGE(""https://docs.google.com/spreadsheets/d/1swGwZOEqYlTEUCJLY-eeJM1911Kvaei5oySBIxdgtNo/edit?pli=1#gid=257618397"",""stock FAKTUR!B:C""),2,false)"),"DATE STAMP KENKO D-4 4MM")</f>
        <v>DATE STAMP KENKO D-4 4MM</v>
      </c>
      <c r="F1041" s="145" t="str">
        <f>IFERROR(__xludf.DUMMYFUNCTION("vlookup($D1041,IMPORTRANGE(""https://docs.google.com/spreadsheets/d/1swGwZOEqYlTEUCJLY-eeJM1911Kvaei5oySBIxdgtNo/edit?pli=1#gid=257618397"",""stock FAKTUR!B:d""),3,false)"),"4 MM")</f>
        <v>4 MM</v>
      </c>
      <c r="G1041" s="145" t="str">
        <f>IFERROR(__xludf.DUMMYFUNCTION("vlookup($D1041,IMPORTRANGE(""https://docs.google.com/spreadsheets/d/1swGwZOEqYlTEUCJLY-eeJM1911Kvaei5oySBIxdgtNo/edit?pli=1#gid=257618397"",""stock FAKTUR!B:e""),4,false)"),"")</f>
        <v/>
      </c>
      <c r="H1041" s="145" t="str">
        <f>IFERROR(__xludf.DUMMYFUNCTION("vlookup($D1041,IMPORTRANGE(""https://docs.google.com/spreadsheets/d/1swGwZOEqYlTEUCJLY-eeJM1911Kvaei5oySBIxdgtNo/edit?pli=1#gid=257618397"",""stock FAKTUR!B:F""),5,false)"),"KN")</f>
        <v>KN</v>
      </c>
      <c r="I1041" s="145" t="str">
        <f>IFERROR(__xludf.DUMMYFUNCTION("vlookup($D1041,IMPORTRANGE(""https://docs.google.com/spreadsheets/d/1swGwZOEqYlTEUCJLY-eeJM1911Kvaei5oySBIxdgtNo/edit?pli=1#gid=257618397"",""stock FAKTUR!B:G""),6,false)"),"D-4")</f>
        <v>D-4</v>
      </c>
      <c r="J1041" s="199" t="str">
        <f t="shared" si="25"/>
        <v>ADA</v>
      </c>
      <c r="K1041" s="142">
        <v>2.0</v>
      </c>
      <c r="L1041" s="145" t="str">
        <f>IFERROR(__xludf.DUMMYFUNCTION("vlookup($D1041,IMPORTRANGE(""https://docs.google.com/spreadsheets/d/1swGwZOEqYlTEUCJLY-eeJM1911Kvaei5oySBIxdgtNo/edit?pli=1#gid=257618397"",""stock FAKTUR!B:q""),16,false)"),"LSN")</f>
        <v>LSN</v>
      </c>
      <c r="M1041" s="147">
        <v>74400.0</v>
      </c>
      <c r="N1041" s="152">
        <v>0.1</v>
      </c>
      <c r="O1041" s="147">
        <f t="shared" si="280"/>
        <v>133920</v>
      </c>
      <c r="P1041" s="147" t="str">
        <f t="shared" si="3"/>
        <v>Rp74,400-2 LSN-10.00%</v>
      </c>
      <c r="Q1041" s="149">
        <v>45434.0</v>
      </c>
      <c r="R1041" s="150"/>
      <c r="S1041" s="149">
        <v>45437.0</v>
      </c>
      <c r="T1041" s="151"/>
      <c r="U1041" s="151"/>
      <c r="V1041" s="151"/>
      <c r="W1041" s="151"/>
      <c r="X1041" s="49"/>
      <c r="Y1041" s="49"/>
      <c r="Z1041" s="49"/>
      <c r="AA1041" s="49"/>
      <c r="AB1041" s="49"/>
      <c r="AC1041" s="49"/>
      <c r="AD1041" s="49"/>
      <c r="AE1041" s="49"/>
      <c r="AF1041" s="49"/>
      <c r="AG1041" s="49"/>
    </row>
    <row r="1042">
      <c r="A1042" s="142">
        <v>4962.0</v>
      </c>
      <c r="B1042" s="143" t="str">
        <f t="shared" ref="B1042:B1045" si="305">IF(A1042=A1041,B1041,"")</f>
        <v>G</v>
      </c>
      <c r="C1042" s="143" t="str">
        <f t="shared" ref="C1042:C1045" si="306">IF(A1042=A1041,C1041,"")</f>
        <v>PUAS-PATI</v>
      </c>
      <c r="D1042" s="53" t="s">
        <v>4619</v>
      </c>
      <c r="E1042" s="145" t="str">
        <f>IFERROR(__xludf.DUMMYFUNCTION("vlookup(D1042,IMPORTRANGE(""https://docs.google.com/spreadsheets/d/1swGwZOEqYlTEUCJLY-eeJM1911Kvaei5oySBIxdgtNo/edit?pli=1#gid=257618397"",""stock FAKTUR!B:C""),2,false)"),"COLOR CLIP KENKO 3100")</f>
        <v>COLOR CLIP KENKO 3100</v>
      </c>
      <c r="F1042" s="145" t="str">
        <f>IFERROR(__xludf.DUMMYFUNCTION("vlookup($D1042,IMPORTRANGE(""https://docs.google.com/spreadsheets/d/1swGwZOEqYlTEUCJLY-eeJM1911Kvaei5oySBIxdgtNo/edit?pli=1#gid=257618397"",""stock FAKTUR!B:d""),3,false)"),"")</f>
        <v/>
      </c>
      <c r="G1042" s="145" t="str">
        <f>IFERROR(__xludf.DUMMYFUNCTION("vlookup($D1042,IMPORTRANGE(""https://docs.google.com/spreadsheets/d/1swGwZOEqYlTEUCJLY-eeJM1911Kvaei5oySBIxdgtNo/edit?pli=1#gid=257618397"",""stock FAKTUR!B:e""),4,false)"),"")</f>
        <v/>
      </c>
      <c r="H1042" s="145" t="str">
        <f>IFERROR(__xludf.DUMMYFUNCTION("vlookup($D1042,IMPORTRANGE(""https://docs.google.com/spreadsheets/d/1swGwZOEqYlTEUCJLY-eeJM1911Kvaei5oySBIxdgtNo/edit?pli=1#gid=257618397"",""stock FAKTUR!B:F""),5,false)"),"KN")</f>
        <v>KN</v>
      </c>
      <c r="I1042" s="145" t="str">
        <f>IFERROR(__xludf.DUMMYFUNCTION("vlookup($D1042,IMPORTRANGE(""https://docs.google.com/spreadsheets/d/1swGwZOEqYlTEUCJLY-eeJM1911Kvaei5oySBIxdgtNo/edit?pli=1#gid=257618397"",""stock FAKTUR!B:G""),6,false)"),"CLP-004")</f>
        <v>CLP-004</v>
      </c>
      <c r="J1042" s="199" t="str">
        <f t="shared" si="25"/>
        <v>ADA</v>
      </c>
      <c r="K1042" s="142">
        <v>3.0</v>
      </c>
      <c r="L1042" s="145" t="str">
        <f>IFERROR(__xludf.DUMMYFUNCTION("vlookup($D1042,IMPORTRANGE(""https://docs.google.com/spreadsheets/d/1swGwZOEqYlTEUCJLY-eeJM1911Kvaei5oySBIxdgtNo/edit?pli=1#gid=257618397"",""stock FAKTUR!B:q""),16,false)"),"LSN")</f>
        <v>LSN</v>
      </c>
      <c r="M1042" s="147">
        <v>41400.0</v>
      </c>
      <c r="N1042" s="152">
        <v>0.1</v>
      </c>
      <c r="O1042" s="147">
        <f t="shared" si="280"/>
        <v>111780</v>
      </c>
      <c r="P1042" s="147" t="str">
        <f t="shared" si="3"/>
        <v>Rp41,400-3 LSN-10.00%</v>
      </c>
      <c r="Q1042" s="149">
        <v>45434.0</v>
      </c>
      <c r="R1042" s="150"/>
      <c r="S1042" s="149">
        <v>45437.0</v>
      </c>
      <c r="T1042" s="151"/>
      <c r="U1042" s="151"/>
      <c r="V1042" s="151"/>
      <c r="W1042" s="151"/>
      <c r="X1042" s="49"/>
      <c r="Y1042" s="49"/>
      <c r="Z1042" s="49"/>
      <c r="AA1042" s="49"/>
      <c r="AB1042" s="49"/>
      <c r="AC1042" s="49"/>
      <c r="AD1042" s="49"/>
      <c r="AE1042" s="49"/>
      <c r="AF1042" s="49"/>
      <c r="AG1042" s="49"/>
    </row>
    <row r="1043">
      <c r="A1043" s="142">
        <v>4962.0</v>
      </c>
      <c r="B1043" s="143" t="str">
        <f t="shared" si="305"/>
        <v>G</v>
      </c>
      <c r="C1043" s="143" t="str">
        <f t="shared" si="306"/>
        <v>PUAS-PATI</v>
      </c>
      <c r="D1043" s="53" t="s">
        <v>4399</v>
      </c>
      <c r="E1043" s="145" t="str">
        <f>IFERROR(__xludf.DUMMYFUNCTION("vlookup(D1043,IMPORTRANGE(""https://docs.google.com/spreadsheets/d/1swGwZOEqYlTEUCJLY-eeJM1911Kvaei5oySBIxdgtNo/edit?pli=1#gid=257618397"",""stock FAKTUR!B:C""),2,false)"),"PW KENKO 12W CP-12F CLASSIC PANJANG")</f>
        <v>PW KENKO 12W CP-12F CLASSIC PANJANG</v>
      </c>
      <c r="F1043" s="145" t="str">
        <f>IFERROR(__xludf.DUMMYFUNCTION("vlookup($D1043,IMPORTRANGE(""https://docs.google.com/spreadsheets/d/1swGwZOEqYlTEUCJLY-eeJM1911Kvaei5oySBIxdgtNo/edit?pli=1#gid=257618397"",""stock FAKTUR!B:d""),3,false)"),"")</f>
        <v/>
      </c>
      <c r="G1043" s="145" t="str">
        <f>IFERROR(__xludf.DUMMYFUNCTION("vlookup($D1043,IMPORTRANGE(""https://docs.google.com/spreadsheets/d/1swGwZOEqYlTEUCJLY-eeJM1911Kvaei5oySBIxdgtNo/edit?pli=1#gid=257618397"",""stock FAKTUR!B:e""),4,false)"),"12W")</f>
        <v>12W</v>
      </c>
      <c r="H1043" s="145" t="str">
        <f>IFERROR(__xludf.DUMMYFUNCTION("vlookup($D1043,IMPORTRANGE(""https://docs.google.com/spreadsheets/d/1swGwZOEqYlTEUCJLY-eeJM1911Kvaei5oySBIxdgtNo/edit?pli=1#gid=257618397"",""stock FAKTUR!B:F""),5,false)"),"KN")</f>
        <v>KN</v>
      </c>
      <c r="I1043" s="145" t="str">
        <f>IFERROR(__xludf.DUMMYFUNCTION("vlookup($D1043,IMPORTRANGE(""https://docs.google.com/spreadsheets/d/1swGwZOEqYlTEUCJLY-eeJM1911Kvaei5oySBIxdgtNo/edit?pli=1#gid=257618397"",""stock FAKTUR!B:G""),6,false)"),"CP-12F")</f>
        <v>CP-12F</v>
      </c>
      <c r="J1043" s="199" t="str">
        <f t="shared" si="25"/>
        <v>ADA</v>
      </c>
      <c r="K1043" s="142">
        <v>10.0</v>
      </c>
      <c r="L1043" s="145" t="str">
        <f>IFERROR(__xludf.DUMMYFUNCTION("vlookup($D1043,IMPORTRANGE(""https://docs.google.com/spreadsheets/d/1swGwZOEqYlTEUCJLY-eeJM1911Kvaei5oySBIxdgtNo/edit?pli=1#gid=257618397"",""stock FAKTUR!B:q""),16,false)"),"LSN")</f>
        <v>LSN</v>
      </c>
      <c r="M1043" s="147">
        <v>124200.0</v>
      </c>
      <c r="N1043" s="152">
        <v>0.1</v>
      </c>
      <c r="O1043" s="147">
        <f t="shared" si="280"/>
        <v>1117800</v>
      </c>
      <c r="P1043" s="147" t="str">
        <f t="shared" si="3"/>
        <v>Rp124,200-10 LSN-10.00%</v>
      </c>
      <c r="Q1043" s="149">
        <v>45434.0</v>
      </c>
      <c r="R1043" s="150"/>
      <c r="S1043" s="149">
        <v>45437.0</v>
      </c>
      <c r="T1043" s="151"/>
      <c r="U1043" s="151"/>
      <c r="V1043" s="151"/>
      <c r="W1043" s="151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</row>
    <row r="1044">
      <c r="A1044" s="142">
        <v>4962.0</v>
      </c>
      <c r="B1044" s="143" t="str">
        <f t="shared" si="305"/>
        <v>G</v>
      </c>
      <c r="C1044" s="143" t="str">
        <f t="shared" si="306"/>
        <v>PUAS-PATI</v>
      </c>
      <c r="D1044" s="53" t="s">
        <v>4415</v>
      </c>
      <c r="E1044" s="145" t="str">
        <f>IFERROR(__xludf.DUMMYFUNCTION("vlookup(D1044,IMPORTRANGE(""https://docs.google.com/spreadsheets/d/1swGwZOEqYlTEUCJLY-eeJM1911Kvaei5oySBIxdgtNo/edit?pli=1#gid=257618397"",""stock FAKTUR!B:C""),2,false)"),"BP KENKO K-1 HITAM")</f>
        <v>BP KENKO K-1 HITAM</v>
      </c>
      <c r="F1044" s="145" t="str">
        <f>IFERROR(__xludf.DUMMYFUNCTION("vlookup($D1044,IMPORTRANGE(""https://docs.google.com/spreadsheets/d/1swGwZOEqYlTEUCJLY-eeJM1911Kvaei5oySBIxdgtNo/edit?pli=1#gid=257618397"",""stock FAKTUR!B:d""),3,false)"),"")</f>
        <v/>
      </c>
      <c r="G1044" s="145" t="str">
        <f>IFERROR(__xludf.DUMMYFUNCTION("vlookup($D1044,IMPORTRANGE(""https://docs.google.com/spreadsheets/d/1swGwZOEqYlTEUCJLY-eeJM1911Kvaei5oySBIxdgtNo/edit?pli=1#gid=257618397"",""stock FAKTUR!B:e""),4,false)"),"HITAM")</f>
        <v>HITAM</v>
      </c>
      <c r="H1044" s="145" t="str">
        <f>IFERROR(__xludf.DUMMYFUNCTION("vlookup($D1044,IMPORTRANGE(""https://docs.google.com/spreadsheets/d/1swGwZOEqYlTEUCJLY-eeJM1911Kvaei5oySBIxdgtNo/edit?pli=1#gid=257618397"",""stock FAKTUR!B:F""),5,false)"),"KN")</f>
        <v>KN</v>
      </c>
      <c r="I1044" s="145" t="str">
        <f>IFERROR(__xludf.DUMMYFUNCTION("vlookup($D1044,IMPORTRANGE(""https://docs.google.com/spreadsheets/d/1swGwZOEqYlTEUCJLY-eeJM1911Kvaei5oySBIxdgtNo/edit?pli=1#gid=257618397"",""stock FAKTUR!B:G""),6,false)"),"GPR-003B")</f>
        <v>GPR-003B</v>
      </c>
      <c r="J1044" s="199" t="str">
        <f t="shared" si="25"/>
        <v>ADA</v>
      </c>
      <c r="K1044" s="142">
        <v>60.0</v>
      </c>
      <c r="L1044" s="145" t="str">
        <f>IFERROR(__xludf.DUMMYFUNCTION("vlookup($D1044,IMPORTRANGE(""https://docs.google.com/spreadsheets/d/1swGwZOEqYlTEUCJLY-eeJM1911Kvaei5oySBIxdgtNo/edit?pli=1#gid=257618397"",""stock FAKTUR!B:q""),16,false)"),"LSN")</f>
        <v>LSN</v>
      </c>
      <c r="M1044" s="147">
        <v>39600.0</v>
      </c>
      <c r="N1044" s="152">
        <v>0.1</v>
      </c>
      <c r="O1044" s="147">
        <f t="shared" si="280"/>
        <v>2138400</v>
      </c>
      <c r="P1044" s="147" t="str">
        <f t="shared" si="3"/>
        <v>Rp39,600-60 LSN-10.00%</v>
      </c>
      <c r="Q1044" s="149">
        <v>45434.0</v>
      </c>
      <c r="R1044" s="150"/>
      <c r="S1044" s="149">
        <v>45437.0</v>
      </c>
      <c r="T1044" s="151"/>
      <c r="U1044" s="151"/>
      <c r="V1044" s="151"/>
      <c r="W1044" s="151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</row>
    <row r="1045">
      <c r="A1045" s="142">
        <v>4962.0</v>
      </c>
      <c r="B1045" s="143" t="str">
        <f t="shared" si="305"/>
        <v>G</v>
      </c>
      <c r="C1045" s="143" t="str">
        <f t="shared" si="306"/>
        <v>PUAS-PATI</v>
      </c>
      <c r="D1045" s="53" t="s">
        <v>4585</v>
      </c>
      <c r="E1045" s="145" t="str">
        <f>IFERROR(__xludf.DUMMYFUNCTION("vlookup(D1045,IMPORTRANGE(""https://docs.google.com/spreadsheets/d/1swGwZOEqYlTEUCJLY-eeJM1911Kvaei5oySBIxdgtNo/edit?pli=1#gid=257618397"",""stock FAKTUR!B:C""),2,false)"),"GUNTING KENKO SC-828")</f>
        <v>GUNTING KENKO SC-828</v>
      </c>
      <c r="F1045" s="145" t="str">
        <f>IFERROR(__xludf.DUMMYFUNCTION("vlookup($D1045,IMPORTRANGE(""https://docs.google.com/spreadsheets/d/1swGwZOEqYlTEUCJLY-eeJM1911Kvaei5oySBIxdgtNo/edit?pli=1#gid=257618397"",""stock FAKTUR!B:d""),3,false)"),"")</f>
        <v/>
      </c>
      <c r="G1045" s="145" t="str">
        <f>IFERROR(__xludf.DUMMYFUNCTION("vlookup($D1045,IMPORTRANGE(""https://docs.google.com/spreadsheets/d/1swGwZOEqYlTEUCJLY-eeJM1911Kvaei5oySBIxdgtNo/edit?pli=1#gid=257618397"",""stock FAKTUR!B:e""),4,false)"),"")</f>
        <v/>
      </c>
      <c r="H1045" s="145" t="str">
        <f>IFERROR(__xludf.DUMMYFUNCTION("vlookup($D1045,IMPORTRANGE(""https://docs.google.com/spreadsheets/d/1swGwZOEqYlTEUCJLY-eeJM1911Kvaei5oySBIxdgtNo/edit?pli=1#gid=257618397"",""stock FAKTUR!B:F""),5,false)"),"KN")</f>
        <v>KN</v>
      </c>
      <c r="I1045" s="145" t="str">
        <f>IFERROR(__xludf.DUMMYFUNCTION("vlookup($D1045,IMPORTRANGE(""https://docs.google.com/spreadsheets/d/1swGwZOEqYlTEUCJLY-eeJM1911Kvaei5oySBIxdgtNo/edit?pli=1#gid=257618397"",""stock FAKTUR!B:G""),6,false)"),"SCS-001GO")</f>
        <v>SCS-001GO</v>
      </c>
      <c r="J1045" s="199" t="str">
        <f t="shared" si="25"/>
        <v>ADA</v>
      </c>
      <c r="K1045" s="142">
        <v>10.0</v>
      </c>
      <c r="L1045" s="145" t="str">
        <f>IFERROR(__xludf.DUMMYFUNCTION("vlookup($D1045,IMPORTRANGE(""https://docs.google.com/spreadsheets/d/1swGwZOEqYlTEUCJLY-eeJM1911Kvaei5oySBIxdgtNo/edit?pli=1#gid=257618397"",""stock FAKTUR!B:q""),16,false)"),"LSN")</f>
        <v>LSN</v>
      </c>
      <c r="M1045" s="147">
        <v>56400.0</v>
      </c>
      <c r="N1045" s="152">
        <v>0.1</v>
      </c>
      <c r="O1045" s="147">
        <f t="shared" si="280"/>
        <v>507600</v>
      </c>
      <c r="P1045" s="147" t="str">
        <f t="shared" si="3"/>
        <v>Rp56,400-10 LSN-10.00%</v>
      </c>
      <c r="Q1045" s="149">
        <v>45434.0</v>
      </c>
      <c r="R1045" s="150"/>
      <c r="S1045" s="149">
        <v>45437.0</v>
      </c>
      <c r="T1045" s="151"/>
      <c r="U1045" s="151"/>
      <c r="V1045" s="151"/>
      <c r="W1045" s="151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</row>
    <row r="1046">
      <c r="A1046" s="142">
        <v>2941.0</v>
      </c>
      <c r="B1046" s="143" t="s">
        <v>33</v>
      </c>
      <c r="C1046" s="143" t="s">
        <v>2243</v>
      </c>
      <c r="D1046" s="53" t="s">
        <v>4458</v>
      </c>
      <c r="E1046" s="145" t="str">
        <f>IFERROR(__xludf.DUMMYFUNCTION("vlookup(D1046,IMPORTRANGE(""https://docs.google.com/spreadsheets/d/1swGwZOEqYlTEUCJLY-eeJM1911Kvaei5oySBIxdgtNo/edit?pli=1#gid=257618397"",""stock FAKTUR!B:C""),2,false)"),"ISI CUTTER KENKO A-100 KECIL")</f>
        <v>ISI CUTTER KENKO A-100 KECIL</v>
      </c>
      <c r="F1046" s="145" t="str">
        <f>IFERROR(__xludf.DUMMYFUNCTION("vlookup($D1046,IMPORTRANGE(""https://docs.google.com/spreadsheets/d/1swGwZOEqYlTEUCJLY-eeJM1911Kvaei5oySBIxdgtNo/edit?pli=1#gid=257618397"",""stock FAKTUR!B:d""),3,false)"),"9 MM")</f>
        <v>9 MM</v>
      </c>
      <c r="G1046" s="145" t="str">
        <f>IFERROR(__xludf.DUMMYFUNCTION("vlookup($D1046,IMPORTRANGE(""https://docs.google.com/spreadsheets/d/1swGwZOEqYlTEUCJLY-eeJM1911Kvaei5oySBIxdgtNo/edit?pli=1#gid=257618397"",""stock FAKTUR!B:e""),4,false)"),"")</f>
        <v/>
      </c>
      <c r="H1046" s="145" t="str">
        <f>IFERROR(__xludf.DUMMYFUNCTION("vlookup($D1046,IMPORTRANGE(""https://docs.google.com/spreadsheets/d/1swGwZOEqYlTEUCJLY-eeJM1911Kvaei5oySBIxdgtNo/edit?pli=1#gid=257618397"",""stock FAKTUR!B:F""),5,false)"),"KN")</f>
        <v>KN</v>
      </c>
      <c r="I1046" s="145" t="str">
        <f>IFERROR(__xludf.DUMMYFUNCTION("vlookup($D1046,IMPORTRANGE(""https://docs.google.com/spreadsheets/d/1swGwZOEqYlTEUCJLY-eeJM1911Kvaei5oySBIxdgtNo/edit?pli=1#gid=257618397"",""stock FAKTUR!B:G""),6,false)"),"CTB-001")</f>
        <v>CTB-001</v>
      </c>
      <c r="J1046" s="199" t="str">
        <f t="shared" si="25"/>
        <v>ADA</v>
      </c>
      <c r="K1046" s="142">
        <v>63.0</v>
      </c>
      <c r="L1046" s="145" t="str">
        <f>IFERROR(__xludf.DUMMYFUNCTION("vlookup($D1046,IMPORTRANGE(""https://docs.google.com/spreadsheets/d/1swGwZOEqYlTEUCJLY-eeJM1911Kvaei5oySBIxdgtNo/edit?pli=1#gid=257618397"",""stock FAKTUR!B:q""),16,false)"),"LSN")</f>
        <v>LSN</v>
      </c>
      <c r="M1046" s="147">
        <v>32400.0</v>
      </c>
      <c r="N1046" s="152">
        <v>0.1</v>
      </c>
      <c r="O1046" s="147">
        <f t="shared" si="280"/>
        <v>1837080</v>
      </c>
      <c r="P1046" s="147" t="str">
        <f t="shared" si="3"/>
        <v>Rp32,400-63 LSN-10.00%</v>
      </c>
      <c r="Q1046" s="149">
        <v>45434.0</v>
      </c>
      <c r="R1046" s="150"/>
      <c r="S1046" s="149">
        <v>45437.0</v>
      </c>
      <c r="T1046" s="151"/>
      <c r="U1046" s="151"/>
      <c r="V1046" s="151"/>
      <c r="W1046" s="151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</row>
    <row r="1047">
      <c r="A1047" s="142">
        <v>2941.0</v>
      </c>
      <c r="B1047" s="143" t="str">
        <f t="shared" ref="B1047:B1053" si="307">IF(A1047=A1046,B1046,"")</f>
        <v>H</v>
      </c>
      <c r="C1047" s="143" t="str">
        <f t="shared" ref="C1047:C1053" si="308">IF(A1047=A1046,C1046,"")</f>
        <v>MANGGALA SAKTI-MALANG</v>
      </c>
      <c r="D1047" s="53" t="s">
        <v>4398</v>
      </c>
      <c r="E1047" s="145" t="str">
        <f>IFERROR(__xludf.DUMMYFUNCTION("vlookup(D1047,IMPORTRANGE(""https://docs.google.com/spreadsheets/d/1swGwZOEqYlTEUCJLY-eeJM1911Kvaei5oySBIxdgtNo/edit?pli=1#gid=257618397"",""stock FAKTUR!B:C""),2,false)"),"ISI CUTTER KENKO L-150 BESAR")</f>
        <v>ISI CUTTER KENKO L-150 BESAR</v>
      </c>
      <c r="F1047" s="145" t="str">
        <f>IFERROR(__xludf.DUMMYFUNCTION("vlookup($D1047,IMPORTRANGE(""https://docs.google.com/spreadsheets/d/1swGwZOEqYlTEUCJLY-eeJM1911Kvaei5oySBIxdgtNo/edit?pli=1#gid=257618397"",""stock FAKTUR!B:d""),3,false)"),"18 MM")</f>
        <v>18 MM</v>
      </c>
      <c r="G1047" s="145" t="str">
        <f>IFERROR(__xludf.DUMMYFUNCTION("vlookup($D1047,IMPORTRANGE(""https://docs.google.com/spreadsheets/d/1swGwZOEqYlTEUCJLY-eeJM1911Kvaei5oySBIxdgtNo/edit?pli=1#gid=257618397"",""stock FAKTUR!B:e""),4,false)"),"")</f>
        <v/>
      </c>
      <c r="H1047" s="145" t="str">
        <f>IFERROR(__xludf.DUMMYFUNCTION("vlookup($D1047,IMPORTRANGE(""https://docs.google.com/spreadsheets/d/1swGwZOEqYlTEUCJLY-eeJM1911Kvaei5oySBIxdgtNo/edit?pli=1#gid=257618397"",""stock FAKTUR!B:F""),5,false)"),"KN")</f>
        <v>KN</v>
      </c>
      <c r="I1047" s="145" t="str">
        <f>IFERROR(__xludf.DUMMYFUNCTION("vlookup($D1047,IMPORTRANGE(""https://docs.google.com/spreadsheets/d/1swGwZOEqYlTEUCJLY-eeJM1911Kvaei5oySBIxdgtNo/edit?pli=1#gid=257618397"",""stock FAKTUR!B:G""),6,false)"),"CTB-002")</f>
        <v>CTB-002</v>
      </c>
      <c r="J1047" s="199" t="str">
        <f t="shared" si="25"/>
        <v>ADA</v>
      </c>
      <c r="K1047" s="142">
        <v>60.0</v>
      </c>
      <c r="L1047" s="145" t="str">
        <f>IFERROR(__xludf.DUMMYFUNCTION("vlookup($D1047,IMPORTRANGE(""https://docs.google.com/spreadsheets/d/1swGwZOEqYlTEUCJLY-eeJM1911Kvaei5oySBIxdgtNo/edit?pli=1#gid=257618397"",""stock FAKTUR!B:q""),16,false)"),"LSN")</f>
        <v>LSN</v>
      </c>
      <c r="M1047" s="147">
        <v>64800.0</v>
      </c>
      <c r="N1047" s="152">
        <v>0.1</v>
      </c>
      <c r="O1047" s="147">
        <f t="shared" si="280"/>
        <v>3499200</v>
      </c>
      <c r="P1047" s="147" t="str">
        <f t="shared" si="3"/>
        <v>Rp64,800-60 LSN-10.00%</v>
      </c>
      <c r="Q1047" s="149">
        <v>45434.0</v>
      </c>
      <c r="R1047" s="150"/>
      <c r="S1047" s="149">
        <v>45437.0</v>
      </c>
      <c r="T1047" s="151"/>
      <c r="U1047" s="151"/>
      <c r="V1047" s="151"/>
      <c r="W1047" s="151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</row>
    <row r="1048">
      <c r="A1048" s="142">
        <v>2941.0</v>
      </c>
      <c r="B1048" s="143" t="str">
        <f t="shared" si="307"/>
        <v>H</v>
      </c>
      <c r="C1048" s="143" t="str">
        <f t="shared" si="308"/>
        <v>MANGGALA SAKTI-MALANG</v>
      </c>
      <c r="D1048" s="53" t="s">
        <v>4393</v>
      </c>
      <c r="E1048" s="145" t="str">
        <f>IFERROR(__xludf.DUMMYFUNCTION("vlookup(D1048,IMPORTRANGE(""https://docs.google.com/spreadsheets/d/1swGwZOEqYlTEUCJLY-eeJM1911Kvaei5oySBIxdgtNo/edit?pli=1#gid=257618397"",""stock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1048" s="145" t="str">
        <f>IFERROR(__xludf.DUMMYFUNCTION("vlookup($D1048,IMPORTRANGE(""https://docs.google.com/spreadsheets/d/1swGwZOEqYlTEUCJLY-eeJM1911Kvaei5oySBIxdgtNo/edit?pli=1#gid=257618397"",""stock FAKTUR!B:d""),3,false)"),"")</f>
        <v/>
      </c>
      <c r="G1048" s="145" t="str">
        <f>IFERROR(__xludf.DUMMYFUNCTION("vlookup($D1048,IMPORTRANGE(""https://docs.google.com/spreadsheets/d/1swGwZOEqYlTEUCJLY-eeJM1911Kvaei5oySBIxdgtNo/edit?pli=1#gid=257618397"",""stock FAKTUR!B:e""),4,false)"),"36W")</f>
        <v>36W</v>
      </c>
      <c r="H1048" s="145" t="str">
        <f>IFERROR(__xludf.DUMMYFUNCTION("vlookup($D1048,IMPORTRANGE(""https://docs.google.com/spreadsheets/d/1swGwZOEqYlTEUCJLY-eeJM1911Kvaei5oySBIxdgtNo/edit?pli=1#gid=257618397"",""stock FAKTUR!B:F""),5,false)"),"JK")</f>
        <v>JK</v>
      </c>
      <c r="I1048" s="145" t="str">
        <f>IFERROR(__xludf.DUMMYFUNCTION("vlookup($D1048,IMPORTRANGE(""https://docs.google.com/spreadsheets/d/1swGwZOEqYlTEUCJLY-eeJM1911Kvaei5oySBIxdgtNo/edit?pli=1#gid=257618397"",""stock FAKTUR!B:G""),6,false)"),"OP-36S")</f>
        <v>OP-36S</v>
      </c>
      <c r="J1048" s="199" t="str">
        <f t="shared" si="25"/>
        <v>ADA</v>
      </c>
      <c r="K1048" s="142">
        <v>24.0</v>
      </c>
      <c r="L1048" s="145" t="str">
        <f>IFERROR(__xludf.DUMMYFUNCTION("vlookup($D1048,IMPORTRANGE(""https://docs.google.com/spreadsheets/d/1swGwZOEqYlTEUCJLY-eeJM1911Kvaei5oySBIxdgtNo/edit?pli=1#gid=257618397"",""stock FAKTUR!B:q""),16,false)"),"PCS")</f>
        <v>PCS</v>
      </c>
      <c r="M1048" s="147">
        <v>42700.0</v>
      </c>
      <c r="N1048" s="152">
        <v>0.125</v>
      </c>
      <c r="O1048" s="147">
        <f t="shared" si="280"/>
        <v>896700</v>
      </c>
      <c r="P1048" s="147" t="str">
        <f t="shared" si="3"/>
        <v>Rp42,700-24 PCS-12.50%</v>
      </c>
      <c r="Q1048" s="149">
        <v>45434.0</v>
      </c>
      <c r="R1048" s="150"/>
      <c r="S1048" s="149">
        <v>45437.0</v>
      </c>
      <c r="T1048" s="151"/>
      <c r="U1048" s="151"/>
      <c r="V1048" s="151"/>
      <c r="W1048" s="151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</row>
    <row r="1049">
      <c r="A1049" s="142">
        <v>2941.0</v>
      </c>
      <c r="B1049" s="143" t="str">
        <f t="shared" si="307"/>
        <v>H</v>
      </c>
      <c r="C1049" s="143" t="str">
        <f t="shared" si="308"/>
        <v>MANGGALA SAKTI-MALANG</v>
      </c>
      <c r="D1049" s="53" t="s">
        <v>4579</v>
      </c>
      <c r="E1049" s="145" t="str">
        <f>IFERROR(__xludf.DUMMYFUNCTION("vlookup(D1049,IMPORTRANGE(""https://docs.google.com/spreadsheets/d/1swGwZOEqYlTEUCJLY-eeJM1911Kvaei5oySBIxdgtNo/edit?pli=1#gid=257618397"",""stock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1049" s="145" t="str">
        <f>IFERROR(__xludf.DUMMYFUNCTION("vlookup($D1049,IMPORTRANGE(""https://docs.google.com/spreadsheets/d/1swGwZOEqYlTEUCJLY-eeJM1911Kvaei5oySBIxdgtNo/edit?pli=1#gid=257618397"",""stock FAKTUR!B:d""),3,false)"),"")</f>
        <v/>
      </c>
      <c r="G1049" s="145" t="str">
        <f>IFERROR(__xludf.DUMMYFUNCTION("vlookup($D1049,IMPORTRANGE(""https://docs.google.com/spreadsheets/d/1swGwZOEqYlTEUCJLY-eeJM1911Kvaei5oySBIxdgtNo/edit?pli=1#gid=257618397"",""stock FAKTUR!B:e""),4,false)"),"48W")</f>
        <v>48W</v>
      </c>
      <c r="H1049" s="145" t="str">
        <f>IFERROR(__xludf.DUMMYFUNCTION("vlookup($D1049,IMPORTRANGE(""https://docs.google.com/spreadsheets/d/1swGwZOEqYlTEUCJLY-eeJM1911Kvaei5oySBIxdgtNo/edit?pli=1#gid=257618397"",""stock FAKTUR!B:F""),5,false)"),"JK")</f>
        <v>JK</v>
      </c>
      <c r="I1049" s="145" t="str">
        <f>IFERROR(__xludf.DUMMYFUNCTION("vlookup($D1049,IMPORTRANGE(""https://docs.google.com/spreadsheets/d/1swGwZOEqYlTEUCJLY-eeJM1911Kvaei5oySBIxdgtNo/edit?pli=1#gid=257618397"",""stock FAKTUR!B:G""),6,false)"),"OP-48S")</f>
        <v>OP-48S</v>
      </c>
      <c r="J1049" s="199" t="str">
        <f t="shared" si="25"/>
        <v>ADA</v>
      </c>
      <c r="K1049" s="142">
        <v>6.0</v>
      </c>
      <c r="L1049" s="145" t="str">
        <f>IFERROR(__xludf.DUMMYFUNCTION("vlookup($D1049,IMPORTRANGE(""https://docs.google.com/spreadsheets/d/1swGwZOEqYlTEUCJLY-eeJM1911Kvaei5oySBIxdgtNo/edit?pli=1#gid=257618397"",""stock FAKTUR!B:q""),16,false)"),"PCS")</f>
        <v>PCS</v>
      </c>
      <c r="M1049" s="147">
        <v>60700.0</v>
      </c>
      <c r="N1049" s="152">
        <v>0.125</v>
      </c>
      <c r="O1049" s="147">
        <f t="shared" si="280"/>
        <v>318675</v>
      </c>
      <c r="P1049" s="147" t="str">
        <f t="shared" si="3"/>
        <v>Rp60,700-6 PCS-12.50%</v>
      </c>
      <c r="Q1049" s="149">
        <v>45434.0</v>
      </c>
      <c r="R1049" s="150"/>
      <c r="S1049" s="149">
        <v>45437.0</v>
      </c>
      <c r="T1049" s="151"/>
      <c r="U1049" s="151"/>
      <c r="V1049" s="151"/>
      <c r="W1049" s="151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</row>
    <row r="1050">
      <c r="A1050" s="142">
        <v>2941.0</v>
      </c>
      <c r="B1050" s="143" t="str">
        <f t="shared" si="307"/>
        <v>H</v>
      </c>
      <c r="C1050" s="143" t="str">
        <f t="shared" si="308"/>
        <v>MANGGALA SAKTI-MALANG</v>
      </c>
      <c r="D1050" s="53" t="s">
        <v>4392</v>
      </c>
      <c r="E1050" s="145" t="str">
        <f>IFERROR(__xludf.DUMMYFUNCTION("vlookup(D1050,IMPORTRANGE(""https://docs.google.com/spreadsheets/d/1swGwZOEqYlTEUCJLY-eeJM1911Kvaei5oySBIxdgtNo/edit?pli=1#gid=257618397"",""stock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050" s="145" t="str">
        <f>IFERROR(__xludf.DUMMYFUNCTION("vlookup($D1050,IMPORTRANGE(""https://docs.google.com/spreadsheets/d/1swGwZOEqYlTEUCJLY-eeJM1911Kvaei5oySBIxdgtNo/edit?pli=1#gid=257618397"",""stock FAKTUR!B:d""),3,false)"),"")</f>
        <v/>
      </c>
      <c r="G1050" s="145" t="str">
        <f>IFERROR(__xludf.DUMMYFUNCTION("vlookup($D1050,IMPORTRANGE(""https://docs.google.com/spreadsheets/d/1swGwZOEqYlTEUCJLY-eeJM1911Kvaei5oySBIxdgtNo/edit?pli=1#gid=257618397"",""stock FAKTUR!B:e""),4,false)"),"18W")</f>
        <v>18W</v>
      </c>
      <c r="H1050" s="145" t="str">
        <f>IFERROR(__xludf.DUMMYFUNCTION("vlookup($D1050,IMPORTRANGE(""https://docs.google.com/spreadsheets/d/1swGwZOEqYlTEUCJLY-eeJM1911Kvaei5oySBIxdgtNo/edit?pli=1#gid=257618397"",""stock FAKTUR!B:F""),5,false)"),"JK")</f>
        <v>JK</v>
      </c>
      <c r="I1050" s="145" t="str">
        <f>IFERROR(__xludf.DUMMYFUNCTION("vlookup($D1050,IMPORTRANGE(""https://docs.google.com/spreadsheets/d/1swGwZOEqYlTEUCJLY-eeJM1911Kvaei5oySBIxdgtNo/edit?pli=1#gid=257618397"",""stock FAKTUR!B:G""),6,false)"),"OP-18S")</f>
        <v>OP-18S</v>
      </c>
      <c r="J1050" s="199" t="str">
        <f t="shared" si="25"/>
        <v>ADA</v>
      </c>
      <c r="K1050" s="142">
        <v>71.0</v>
      </c>
      <c r="L1050" s="145" t="str">
        <f>IFERROR(__xludf.DUMMYFUNCTION("vlookup($D1050,IMPORTRANGE(""https://docs.google.com/spreadsheets/d/1swGwZOEqYlTEUCJLY-eeJM1911Kvaei5oySBIxdgtNo/edit?pli=1#gid=257618397"",""stock FAKTUR!B:q""),16,false)"),"PCS")</f>
        <v>PCS</v>
      </c>
      <c r="M1050" s="147">
        <v>23700.0</v>
      </c>
      <c r="N1050" s="152">
        <v>0.125</v>
      </c>
      <c r="O1050" s="147">
        <f t="shared" si="280"/>
        <v>1472362.5</v>
      </c>
      <c r="P1050" s="147" t="str">
        <f t="shared" si="3"/>
        <v>Rp23,700-71 PCS-12.50%</v>
      </c>
      <c r="Q1050" s="149">
        <v>45434.0</v>
      </c>
      <c r="R1050" s="150"/>
      <c r="S1050" s="149">
        <v>45437.0</v>
      </c>
      <c r="T1050" s="151"/>
      <c r="U1050" s="151"/>
      <c r="V1050" s="151"/>
      <c r="W1050" s="151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</row>
    <row r="1051">
      <c r="A1051" s="142">
        <v>2941.0</v>
      </c>
      <c r="B1051" s="143" t="str">
        <f t="shared" si="307"/>
        <v>H</v>
      </c>
      <c r="C1051" s="143" t="str">
        <f t="shared" si="308"/>
        <v>MANGGALA SAKTI-MALANG</v>
      </c>
      <c r="D1051" s="53" t="s">
        <v>4394</v>
      </c>
      <c r="E1051" s="145" t="str">
        <f>IFERROR(__xludf.DUMMYFUNCTION("vlookup(D1051,IMPORTRANGE(""https://docs.google.com/spreadsheets/d/1swGwZOEqYlTEUCJLY-eeJM1911Kvaei5oySBIxdgtNo/edit?pli=1#gid=257618397"",""stock FAKTUR!B:C""),2,false)"),"CRAYON PUTAR JK 12W PANJANG")</f>
        <v>CRAYON PUTAR JK 12W PANJANG</v>
      </c>
      <c r="F1051" s="145" t="str">
        <f>IFERROR(__xludf.DUMMYFUNCTION("vlookup($D1051,IMPORTRANGE(""https://docs.google.com/spreadsheets/d/1swGwZOEqYlTEUCJLY-eeJM1911Kvaei5oySBIxdgtNo/edit?pli=1#gid=257618397"",""stock FAKTUR!B:d""),3,false)"),"")</f>
        <v/>
      </c>
      <c r="G1051" s="145" t="str">
        <f>IFERROR(__xludf.DUMMYFUNCTION("vlookup($D1051,IMPORTRANGE(""https://docs.google.com/spreadsheets/d/1swGwZOEqYlTEUCJLY-eeJM1911Kvaei5oySBIxdgtNo/edit?pli=1#gid=257618397"",""stock FAKTUR!B:e""),4,false)"),"12W")</f>
        <v>12W</v>
      </c>
      <c r="H1051" s="145" t="str">
        <f>IFERROR(__xludf.DUMMYFUNCTION("vlookup($D1051,IMPORTRANGE(""https://docs.google.com/spreadsheets/d/1swGwZOEqYlTEUCJLY-eeJM1911Kvaei5oySBIxdgtNo/edit?pli=1#gid=257618397"",""stock FAKTUR!B:F""),5,false)"),"JK")</f>
        <v>JK</v>
      </c>
      <c r="I1051" s="145" t="str">
        <f>IFERROR(__xludf.DUMMYFUNCTION("vlookup($D1051,IMPORTRANGE(""https://docs.google.com/spreadsheets/d/1swGwZOEqYlTEUCJLY-eeJM1911Kvaei5oySBIxdgtNo/edit?pli=1#gid=257618397"",""stock FAKTUR!B:G""),6,false)"),"")</f>
        <v/>
      </c>
      <c r="J1051" s="199" t="str">
        <f t="shared" si="25"/>
        <v>ADA</v>
      </c>
      <c r="K1051" s="142">
        <f>432/12</f>
        <v>36</v>
      </c>
      <c r="L1051" s="145" t="str">
        <f>IFERROR(__xludf.DUMMYFUNCTION("vlookup($D1051,IMPORTRANGE(""https://docs.google.com/spreadsheets/d/1swGwZOEqYlTEUCJLY-eeJM1911Kvaei5oySBIxdgtNo/edit?pli=1#gid=257618397"",""stock FAKTUR!B:q""),16,false)"),"LSN")</f>
        <v>LSN</v>
      </c>
      <c r="M1051" s="147">
        <f>24650*12</f>
        <v>295800</v>
      </c>
      <c r="N1051" s="152">
        <v>0.125</v>
      </c>
      <c r="O1051" s="147">
        <f t="shared" si="280"/>
        <v>9317700</v>
      </c>
      <c r="P1051" s="147" t="str">
        <f t="shared" si="3"/>
        <v>Rp295,800-36 LSN-12.50%</v>
      </c>
      <c r="Q1051" s="149">
        <v>45434.0</v>
      </c>
      <c r="R1051" s="150"/>
      <c r="S1051" s="149">
        <v>45437.0</v>
      </c>
      <c r="T1051" s="151"/>
      <c r="U1051" s="151"/>
      <c r="V1051" s="151"/>
      <c r="W1051" s="151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</row>
    <row r="1052">
      <c r="A1052" s="142">
        <v>2941.0</v>
      </c>
      <c r="B1052" s="143" t="str">
        <f t="shared" si="307"/>
        <v>H</v>
      </c>
      <c r="C1052" s="143" t="str">
        <f t="shared" si="308"/>
        <v>MANGGALA SAKTI-MALANG</v>
      </c>
      <c r="D1052" s="53" t="s">
        <v>4831</v>
      </c>
      <c r="E1052" s="145" t="str">
        <f>IFERROR(__xludf.DUMMYFUNCTION("vlookup(D1052,IMPORTRANGE(""https://docs.google.com/spreadsheets/d/1swGwZOEqYlTEUCJLY-eeJM1911Kvaei5oySBIxdgtNo/edit?pli=1#gid=257618397"",""stock FAKTUR!B:C""),2,false)"),"CRAYON PUTAR JK 24W PANJANG")</f>
        <v>CRAYON PUTAR JK 24W PANJANG</v>
      </c>
      <c r="F1052" s="145" t="str">
        <f>IFERROR(__xludf.DUMMYFUNCTION("vlookup($D1052,IMPORTRANGE(""https://docs.google.com/spreadsheets/d/1swGwZOEqYlTEUCJLY-eeJM1911Kvaei5oySBIxdgtNo/edit?pli=1#gid=257618397"",""stock FAKTUR!B:d""),3,false)"),"")</f>
        <v/>
      </c>
      <c r="G1052" s="145" t="str">
        <f>IFERROR(__xludf.DUMMYFUNCTION("vlookup($D1052,IMPORTRANGE(""https://docs.google.com/spreadsheets/d/1swGwZOEqYlTEUCJLY-eeJM1911Kvaei5oySBIxdgtNo/edit?pli=1#gid=257618397"",""stock FAKTUR!B:e""),4,false)"),"24W")</f>
        <v>24W</v>
      </c>
      <c r="H1052" s="145" t="str">
        <f>IFERROR(__xludf.DUMMYFUNCTION("vlookup($D1052,IMPORTRANGE(""https://docs.google.com/spreadsheets/d/1swGwZOEqYlTEUCJLY-eeJM1911Kvaei5oySBIxdgtNo/edit?pli=1#gid=257618397"",""stock FAKTUR!B:F""),5,false)"),"JK")</f>
        <v>JK</v>
      </c>
      <c r="I1052" s="145" t="str">
        <f>IFERROR(__xludf.DUMMYFUNCTION("vlookup($D1052,IMPORTRANGE(""https://docs.google.com/spreadsheets/d/1swGwZOEqYlTEUCJLY-eeJM1911Kvaei5oySBIxdgtNo/edit?pli=1#gid=257618397"",""stock FAKTUR!B:G""),6,false)"),"TWCR-24S")</f>
        <v>TWCR-24S</v>
      </c>
      <c r="J1052" s="199" t="str">
        <f t="shared" si="25"/>
        <v>ADA</v>
      </c>
      <c r="K1052" s="142">
        <v>72.0</v>
      </c>
      <c r="L1052" s="145" t="str">
        <f>IFERROR(__xludf.DUMMYFUNCTION("vlookup($D1052,IMPORTRANGE(""https://docs.google.com/spreadsheets/d/1swGwZOEqYlTEUCJLY-eeJM1911Kvaei5oySBIxdgtNo/edit?pli=1#gid=257618397"",""stock FAKTUR!B:q""),16,false)"),"PCS")</f>
        <v>PCS</v>
      </c>
      <c r="M1052" s="147">
        <v>49250.0</v>
      </c>
      <c r="N1052" s="152">
        <v>0.125</v>
      </c>
      <c r="O1052" s="147">
        <f t="shared" si="280"/>
        <v>3102750</v>
      </c>
      <c r="P1052" s="147" t="str">
        <f t="shared" si="3"/>
        <v>Rp49,250-72 PCS-12.50%</v>
      </c>
      <c r="Q1052" s="149">
        <v>45434.0</v>
      </c>
      <c r="R1052" s="150"/>
      <c r="S1052" s="149">
        <v>45437.0</v>
      </c>
      <c r="T1052" s="151"/>
      <c r="U1052" s="151"/>
      <c r="V1052" s="151"/>
      <c r="W1052" s="151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</row>
    <row r="1053">
      <c r="A1053" s="142">
        <v>2941.0</v>
      </c>
      <c r="B1053" s="143" t="str">
        <f t="shared" si="307"/>
        <v>H</v>
      </c>
      <c r="C1053" s="143" t="str">
        <f t="shared" si="308"/>
        <v>MANGGALA SAKTI-MALANG</v>
      </c>
      <c r="D1053" s="53" t="s">
        <v>4428</v>
      </c>
      <c r="E1053" s="145" t="str">
        <f>IFERROR(__xludf.DUMMYFUNCTION("vlookup(D1053,IMPORTRANGE(""https://docs.google.com/spreadsheets/d/1swGwZOEqYlTEUCJLY-eeJM1911Kvaei5oySBIxdgtNo/edit?pli=1#gid=257618397"",""stock FAKTUR!B:C""),2,false)"),"ISI STAPLER GW NO. 10")</f>
        <v>ISI STAPLER GW NO. 10</v>
      </c>
      <c r="F1053" s="145" t="str">
        <f>IFERROR(__xludf.DUMMYFUNCTION("vlookup($D1053,IMPORTRANGE(""https://docs.google.com/spreadsheets/d/1swGwZOEqYlTEUCJLY-eeJM1911Kvaei5oySBIxdgtNo/edit?pli=1#gid=257618397"",""stock FAKTUR!B:d""),3,false)"),"")</f>
        <v/>
      </c>
      <c r="G1053" s="145" t="str">
        <f>IFERROR(__xludf.DUMMYFUNCTION("vlookup($D1053,IMPORTRANGE(""https://docs.google.com/spreadsheets/d/1swGwZOEqYlTEUCJLY-eeJM1911Kvaei5oySBIxdgtNo/edit?pli=1#gid=257618397"",""stock FAKTUR!B:e""),4,false)"),"")</f>
        <v/>
      </c>
      <c r="H1053" s="145" t="str">
        <f>IFERROR(__xludf.DUMMYFUNCTION("vlookup($D1053,IMPORTRANGE(""https://docs.google.com/spreadsheets/d/1swGwZOEqYlTEUCJLY-eeJM1911Kvaei5oySBIxdgtNo/edit?pli=1#gid=257618397"",""stock FAKTUR!B:F""),5,false)"),"GW")</f>
        <v>GW</v>
      </c>
      <c r="I1053" s="145" t="str">
        <f>IFERROR(__xludf.DUMMYFUNCTION("vlookup($D1053,IMPORTRANGE(""https://docs.google.com/spreadsheets/d/1swGwZOEqYlTEUCJLY-eeJM1911Kvaei5oySBIxdgtNo/edit?pli=1#gid=257618397"",""stock FAKTUR!B:G""),6,false)"),"10")</f>
        <v>10</v>
      </c>
      <c r="J1053" s="199" t="str">
        <f t="shared" si="25"/>
        <v>ADA</v>
      </c>
      <c r="K1053" s="142">
        <v>500.0</v>
      </c>
      <c r="L1053" s="145" t="str">
        <f>IFERROR(__xludf.DUMMYFUNCTION("vlookup($D1053,IMPORTRANGE(""https://docs.google.com/spreadsheets/d/1swGwZOEqYlTEUCJLY-eeJM1911Kvaei5oySBIxdgtNo/edit?pli=1#gid=257618397"",""stock FAKTUR!B:q""),16,false)"),"PAK")</f>
        <v>PAK</v>
      </c>
      <c r="M1053" s="147">
        <v>13500.0</v>
      </c>
      <c r="N1053" s="148"/>
      <c r="O1053" s="147">
        <f t="shared" si="280"/>
        <v>6750000</v>
      </c>
      <c r="P1053" s="147" t="str">
        <f t="shared" si="3"/>
        <v>Rp13,500-500 PAK-0.00%</v>
      </c>
      <c r="Q1053" s="149">
        <v>45434.0</v>
      </c>
      <c r="R1053" s="150"/>
      <c r="S1053" s="149">
        <v>45437.0</v>
      </c>
      <c r="T1053" s="151"/>
      <c r="U1053" s="151"/>
      <c r="V1053" s="151"/>
      <c r="W1053" s="151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</row>
    <row r="1054">
      <c r="A1054" s="142">
        <v>4821.0</v>
      </c>
      <c r="B1054" s="143" t="s">
        <v>65</v>
      </c>
      <c r="C1054" s="143" t="s">
        <v>3050</v>
      </c>
      <c r="D1054" s="70" t="s">
        <v>4728</v>
      </c>
      <c r="E1054" s="145" t="str">
        <f>IFERROR(__xludf.DUMMYFUNCTION("vlookup(D1054,IMPORTRANGE(""https://docs.google.com/spreadsheets/d/1swGwZOEqYlTEUCJLY-eeJM1911Kvaei5oySBIxdgtNo/edit?pli=1#gid=257618397"",""stock FAKTUR!B:C""),2,false)"),"CUTTER GUNINDO SC08-C9A PUTIH")</f>
        <v>CUTTER GUNINDO SC08-C9A PUTIH</v>
      </c>
      <c r="F1054" s="145" t="str">
        <f>IFERROR(__xludf.DUMMYFUNCTION("vlookup($D1054,IMPORTRANGE(""https://docs.google.com/spreadsheets/d/1swGwZOEqYlTEUCJLY-eeJM1911Kvaei5oySBIxdgtNo/edit?pli=1#gid=257618397"",""stock FAKTUR!B:d""),3,false)"),"")</f>
        <v/>
      </c>
      <c r="G1054" s="145" t="str">
        <f>IFERROR(__xludf.DUMMYFUNCTION("vlookup($D1054,IMPORTRANGE(""https://docs.google.com/spreadsheets/d/1swGwZOEqYlTEUCJLY-eeJM1911Kvaei5oySBIxdgtNo/edit?pli=1#gid=257618397"",""stock FAKTUR!B:e""),4,false)"),"PUTIH")</f>
        <v>PUTIH</v>
      </c>
      <c r="H1054" s="145" t="str">
        <f>IFERROR(__xludf.DUMMYFUNCTION("vlookup($D1054,IMPORTRANGE(""https://docs.google.com/spreadsheets/d/1swGwZOEqYlTEUCJLY-eeJM1911Kvaei5oySBIxdgtNo/edit?pli=1#gid=257618397"",""stock FAKTUR!B:F""),5,false)"),"NB")</f>
        <v>NB</v>
      </c>
      <c r="I1054" s="145" t="str">
        <f>IFERROR(__xludf.DUMMYFUNCTION("vlookup($D1054,IMPORTRANGE(""https://docs.google.com/spreadsheets/d/1swGwZOEqYlTEUCJLY-eeJM1911Kvaei5oySBIxdgtNo/edit?pli=1#gid=257618397"",""stock FAKTUR!B:G""),6,false)"),"SC08-C9A")</f>
        <v>SC08-C9A</v>
      </c>
      <c r="J1054" s="199" t="str">
        <f t="shared" si="25"/>
        <v>ADA</v>
      </c>
      <c r="K1054" s="142">
        <v>30.0</v>
      </c>
      <c r="L1054" s="145" t="str">
        <f>IFERROR(__xludf.DUMMYFUNCTION("vlookup($D1054,IMPORTRANGE(""https://docs.google.com/spreadsheets/d/1swGwZOEqYlTEUCJLY-eeJM1911Kvaei5oySBIxdgtNo/edit?pli=1#gid=257618397"",""stock FAKTUR!B:q""),16,false)"),"LSN")</f>
        <v>LSN</v>
      </c>
      <c r="M1054" s="147">
        <v>33000.0</v>
      </c>
      <c r="N1054" s="148"/>
      <c r="O1054" s="147">
        <f t="shared" si="280"/>
        <v>990000</v>
      </c>
      <c r="P1054" s="147" t="str">
        <f t="shared" si="3"/>
        <v>Rp33,000-30 LSN-0.00%</v>
      </c>
      <c r="Q1054" s="149">
        <v>45432.0</v>
      </c>
      <c r="R1054" s="150"/>
      <c r="S1054" s="149">
        <v>45439.0</v>
      </c>
      <c r="T1054" s="151"/>
      <c r="U1054" s="151"/>
      <c r="V1054" s="151"/>
      <c r="W1054" s="151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</row>
    <row r="1055">
      <c r="A1055" s="142">
        <v>4821.0</v>
      </c>
      <c r="B1055" s="143" t="str">
        <f>IF(A1055=A1054,B1054,"")</f>
        <v>A</v>
      </c>
      <c r="C1055" s="143" t="str">
        <f>IF(A1055=A1054,C1054,"")</f>
        <v>DUTA ILAHI-LASEM</v>
      </c>
      <c r="D1055" s="70" t="s">
        <v>4814</v>
      </c>
      <c r="E1055" s="145" t="str">
        <f>IFERROR(__xludf.DUMMYFUNCTION("vlookup(D1055,IMPORTRANGE(""https://docs.google.com/spreadsheets/d/1swGwZOEqYlTEUCJLY-eeJM1911Kvaei5oySBIxdgtNo/edit?pli=1#gid=257618397"",""stock FAKTUR!B:C""),2,false)"),"PW KENKO CP-24F SANDY BEAR PANJANG")</f>
        <v>PW KENKO CP-24F SANDY BEAR PANJANG</v>
      </c>
      <c r="F1055" s="145" t="str">
        <f>IFERROR(__xludf.DUMMYFUNCTION("vlookup($D1055,IMPORTRANGE(""https://docs.google.com/spreadsheets/d/1swGwZOEqYlTEUCJLY-eeJM1911Kvaei5oySBIxdgtNo/edit?pli=1#gid=257618397"",""stock FAKTUR!B:d""),3,false)"),"")</f>
        <v/>
      </c>
      <c r="G1055" s="145" t="str">
        <f>IFERROR(__xludf.DUMMYFUNCTION("vlookup($D1055,IMPORTRANGE(""https://docs.google.com/spreadsheets/d/1swGwZOEqYlTEUCJLY-eeJM1911Kvaei5oySBIxdgtNo/edit?pli=1#gid=257618397"",""stock FAKTUR!B:e""),4,false)"),"24W")</f>
        <v>24W</v>
      </c>
      <c r="H1055" s="145" t="str">
        <f>IFERROR(__xludf.DUMMYFUNCTION("vlookup($D1055,IMPORTRANGE(""https://docs.google.com/spreadsheets/d/1swGwZOEqYlTEUCJLY-eeJM1911Kvaei5oySBIxdgtNo/edit?pli=1#gid=257618397"",""stock FAKTUR!B:F""),5,false)"),"KN")</f>
        <v>KN</v>
      </c>
      <c r="I1055" s="145" t="str">
        <f>IFERROR(__xludf.DUMMYFUNCTION("vlookup($D1055,IMPORTRANGE(""https://docs.google.com/spreadsheets/d/1swGwZOEqYlTEUCJLY-eeJM1911Kvaei5oySBIxdgtNo/edit?pli=1#gid=257618397"",""stock FAKTUR!B:G""),6,false)"),"CP-24F")</f>
        <v>CP-24F</v>
      </c>
      <c r="J1055" s="199" t="str">
        <f t="shared" si="25"/>
        <v>ADA</v>
      </c>
      <c r="K1055" s="142">
        <f>144/12</f>
        <v>12</v>
      </c>
      <c r="L1055" s="145" t="str">
        <f>IFERROR(__xludf.DUMMYFUNCTION("vlookup($D1055,IMPORTRANGE(""https://docs.google.com/spreadsheets/d/1swGwZOEqYlTEUCJLY-eeJM1911Kvaei5oySBIxdgtNo/edit?pli=1#gid=257618397"",""stock FAKTUR!B:q""),16,false)"),"LSN")</f>
        <v>LSN</v>
      </c>
      <c r="M1055" s="147">
        <f>20700*12</f>
        <v>248400</v>
      </c>
      <c r="N1055" s="152">
        <v>0.125</v>
      </c>
      <c r="O1055" s="147">
        <f t="shared" si="280"/>
        <v>2608200</v>
      </c>
      <c r="P1055" s="147" t="str">
        <f t="shared" si="3"/>
        <v>Rp248,400-12 LSN-12.50%</v>
      </c>
      <c r="Q1055" s="149">
        <v>45432.0</v>
      </c>
      <c r="R1055" s="150"/>
      <c r="S1055" s="149">
        <v>45439.0</v>
      </c>
      <c r="T1055" s="151"/>
      <c r="U1055" s="151"/>
      <c r="V1055" s="151"/>
      <c r="W1055" s="151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</row>
    <row r="1056">
      <c r="A1056" s="142">
        <v>4953.0</v>
      </c>
      <c r="B1056" s="143" t="s">
        <v>33</v>
      </c>
      <c r="C1056" s="143" t="s">
        <v>761</v>
      </c>
      <c r="D1056" s="53" t="s">
        <v>4488</v>
      </c>
      <c r="E1056" s="145" t="str">
        <f>IFERROR(__xludf.DUMMYFUNCTION("vlookup(D1056,IMPORTRANGE(""https://docs.google.com/spreadsheets/d/1swGwZOEqYlTEUCJLY-eeJM1911Kvaei5oySBIxdgtNo/edit?pli=1#gid=257618397"",""stock FAKTUR!B:C""),2,false)"),"LABEL HARGA KENKO 6001-2R (1 LINE)")</f>
        <v>LABEL HARGA KENKO 6001-2R (1 LINE)</v>
      </c>
      <c r="F1056" s="145" t="str">
        <f>IFERROR(__xludf.DUMMYFUNCTION("vlookup($D1056,IMPORTRANGE(""https://docs.google.com/spreadsheets/d/1swGwZOEqYlTEUCJLY-eeJM1911Kvaei5oySBIxdgtNo/edit?pli=1#gid=257618397"",""stock FAKTUR!B:d""),3,false)"),"")</f>
        <v/>
      </c>
      <c r="G1056" s="145" t="str">
        <f>IFERROR(__xludf.DUMMYFUNCTION("vlookup($D1056,IMPORTRANGE(""https://docs.google.com/spreadsheets/d/1swGwZOEqYlTEUCJLY-eeJM1911Kvaei5oySBIxdgtNo/edit?pli=1#gid=257618397"",""stock FAKTUR!B:e""),4,false)"),"")</f>
        <v/>
      </c>
      <c r="H1056" s="145" t="str">
        <f>IFERROR(__xludf.DUMMYFUNCTION("vlookup($D1056,IMPORTRANGE(""https://docs.google.com/spreadsheets/d/1swGwZOEqYlTEUCJLY-eeJM1911Kvaei5oySBIxdgtNo/edit?pli=1#gid=257618397"",""stock FAKTUR!B:F""),5,false)"),"KN")</f>
        <v>KN</v>
      </c>
      <c r="I1056" s="145" t="str">
        <f>IFERROR(__xludf.DUMMYFUNCTION("vlookup($D1056,IMPORTRANGE(""https://docs.google.com/spreadsheets/d/1swGwZOEqYlTEUCJLY-eeJM1911Kvaei5oySBIxdgtNo/edit?pli=1#gid=257618397"",""stock FAKTUR!B:G""),6,false)"),"PLB-001")</f>
        <v>PLB-001</v>
      </c>
      <c r="J1056" s="199" t="str">
        <f t="shared" si="25"/>
        <v>ADA</v>
      </c>
      <c r="K1056" s="142">
        <v>20.0</v>
      </c>
      <c r="L1056" s="145" t="str">
        <f>IFERROR(__xludf.DUMMYFUNCTION("vlookup($D1056,IMPORTRANGE(""https://docs.google.com/spreadsheets/d/1swGwZOEqYlTEUCJLY-eeJM1911Kvaei5oySBIxdgtNo/edit?pli=1#gid=257618397"",""stock FAKTUR!B:q""),16,false)"),"PAK")</f>
        <v>PAK</v>
      </c>
      <c r="M1056" s="147">
        <v>21000.0</v>
      </c>
      <c r="N1056" s="152">
        <v>0.1</v>
      </c>
      <c r="O1056" s="147">
        <f t="shared" si="280"/>
        <v>378000</v>
      </c>
      <c r="P1056" s="147" t="str">
        <f t="shared" si="3"/>
        <v>Rp21,000-20 PAK-10.00%</v>
      </c>
      <c r="Q1056" s="149">
        <v>45432.0</v>
      </c>
      <c r="R1056" s="150"/>
      <c r="S1056" s="149">
        <v>45439.0</v>
      </c>
      <c r="T1056" s="151"/>
      <c r="U1056" s="151"/>
      <c r="V1056" s="151"/>
      <c r="W1056" s="151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</row>
    <row r="1057">
      <c r="A1057" s="142">
        <v>4953.0</v>
      </c>
      <c r="B1057" s="143" t="str">
        <f t="shared" ref="B1057:B1058" si="309">IF(A1057=A1056,B1056,"")</f>
        <v>H</v>
      </c>
      <c r="C1057" s="143" t="str">
        <f t="shared" ref="C1057:C1058" si="310">IF(A1057=A1056,C1056,"")</f>
        <v>SUMBER BUKIT-SALATIGA</v>
      </c>
      <c r="D1057" s="53" t="s">
        <v>4490</v>
      </c>
      <c r="E1057" s="145" t="str">
        <f>IFERROR(__xludf.DUMMYFUNCTION("vlookup(D1057,IMPORTRANGE(""https://docs.google.com/spreadsheets/d/1swGwZOEqYlTEUCJLY-eeJM1911Kvaei5oySBIxdgtNo/edit?pli=1#gid=257618397"",""stock FAKTUR!B:C""),2,false)"),"LABEL KENKO 5002 (2 LINE)")</f>
        <v>LABEL KENKO 5002 (2 LINE)</v>
      </c>
      <c r="F1057" s="145" t="str">
        <f>IFERROR(__xludf.DUMMYFUNCTION("vlookup($D1057,IMPORTRANGE(""https://docs.google.com/spreadsheets/d/1swGwZOEqYlTEUCJLY-eeJM1911Kvaei5oySBIxdgtNo/edit?pli=1#gid=257618397"",""stock FAKTUR!B:d""),3,false)"),"")</f>
        <v/>
      </c>
      <c r="G1057" s="145" t="str">
        <f>IFERROR(__xludf.DUMMYFUNCTION("vlookup($D1057,IMPORTRANGE(""https://docs.google.com/spreadsheets/d/1swGwZOEqYlTEUCJLY-eeJM1911Kvaei5oySBIxdgtNo/edit?pli=1#gid=257618397"",""stock FAKTUR!B:e""),4,false)"),"")</f>
        <v/>
      </c>
      <c r="H1057" s="145" t="str">
        <f>IFERROR(__xludf.DUMMYFUNCTION("vlookup($D1057,IMPORTRANGE(""https://docs.google.com/spreadsheets/d/1swGwZOEqYlTEUCJLY-eeJM1911Kvaei5oySBIxdgtNo/edit?pli=1#gid=257618397"",""stock FAKTUR!B:F""),5,false)"),"KN")</f>
        <v>KN</v>
      </c>
      <c r="I1057" s="145" t="str">
        <f>IFERROR(__xludf.DUMMYFUNCTION("vlookup($D1057,IMPORTRANGE(""https://docs.google.com/spreadsheets/d/1swGwZOEqYlTEUCJLY-eeJM1911Kvaei5oySBIxdgtNo/edit?pli=1#gid=257618397"",""stock FAKTUR!B:G""),6,false)"),"5002")</f>
        <v>5002</v>
      </c>
      <c r="J1057" s="199" t="str">
        <f t="shared" si="25"/>
        <v>ADA</v>
      </c>
      <c r="K1057" s="142">
        <v>20.0</v>
      </c>
      <c r="L1057" s="145" t="str">
        <f>IFERROR(__xludf.DUMMYFUNCTION("vlookup($D1057,IMPORTRANGE(""https://docs.google.com/spreadsheets/d/1swGwZOEqYlTEUCJLY-eeJM1911Kvaei5oySBIxdgtNo/edit?pli=1#gid=257618397"",""stock FAKTUR!B:q""),16,false)"),"PAK")</f>
        <v>PAK</v>
      </c>
      <c r="M1057" s="147">
        <v>27000.0</v>
      </c>
      <c r="N1057" s="152">
        <v>0.1</v>
      </c>
      <c r="O1057" s="147">
        <f t="shared" si="280"/>
        <v>486000</v>
      </c>
      <c r="P1057" s="147" t="str">
        <f t="shared" si="3"/>
        <v>Rp27,000-20 PAK-10.00%</v>
      </c>
      <c r="Q1057" s="149">
        <v>45432.0</v>
      </c>
      <c r="R1057" s="150"/>
      <c r="S1057" s="149">
        <v>45439.0</v>
      </c>
      <c r="T1057" s="151"/>
      <c r="U1057" s="151"/>
      <c r="V1057" s="151"/>
      <c r="W1057" s="151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</row>
    <row r="1058">
      <c r="A1058" s="142">
        <v>4953.0</v>
      </c>
      <c r="B1058" s="143" t="str">
        <f t="shared" si="309"/>
        <v>H</v>
      </c>
      <c r="C1058" s="143" t="str">
        <f t="shared" si="310"/>
        <v>SUMBER BUKIT-SALATIGA</v>
      </c>
      <c r="D1058" s="53" t="s">
        <v>4473</v>
      </c>
      <c r="E1058" s="145" t="str">
        <f>IFERROR(__xludf.DUMMYFUNCTION("vlookup(D1058,IMPORTRANGE(""https://docs.google.com/spreadsheets/d/1swGwZOEqYlTEUCJLY-eeJM1911Kvaei5oySBIxdgtNo/edit?pli=1#gid=257618397"",""stock FAKTUR!B:C""),2,false)"),"STAMP PLATE DATER KENKO S-68 (LUNAS)")</f>
        <v>STAMP PLATE DATER KENKO S-68 (LUNAS)</v>
      </c>
      <c r="F1058" s="145" t="str">
        <f>IFERROR(__xludf.DUMMYFUNCTION("vlookup($D1058,IMPORTRANGE(""https://docs.google.com/spreadsheets/d/1swGwZOEqYlTEUCJLY-eeJM1911Kvaei5oySBIxdgtNo/edit?pli=1#gid=257618397"",""stock FAKTUR!B:d""),3,false)"),"")</f>
        <v/>
      </c>
      <c r="G1058" s="145" t="str">
        <f>IFERROR(__xludf.DUMMYFUNCTION("vlookup($D1058,IMPORTRANGE(""https://docs.google.com/spreadsheets/d/1swGwZOEqYlTEUCJLY-eeJM1911Kvaei5oySBIxdgtNo/edit?pli=1#gid=257618397"",""stock FAKTUR!B:e""),4,false)"),"")</f>
        <v/>
      </c>
      <c r="H1058" s="145" t="str">
        <f>IFERROR(__xludf.DUMMYFUNCTION("vlookup($D1058,IMPORTRANGE(""https://docs.google.com/spreadsheets/d/1swGwZOEqYlTEUCJLY-eeJM1911Kvaei5oySBIxdgtNo/edit?pli=1#gid=257618397"",""stock FAKTUR!B:F""),5,false)"),"KN")</f>
        <v>KN</v>
      </c>
      <c r="I1058" s="145" t="str">
        <f>IFERROR(__xludf.DUMMYFUNCTION("vlookup($D1058,IMPORTRANGE(""https://docs.google.com/spreadsheets/d/1swGwZOEqYlTEUCJLY-eeJM1911Kvaei5oySBIxdgtNo/edit?pli=1#gid=257618397"",""stock FAKTUR!B:G""),6,false)"),"STM-003")</f>
        <v>STM-003</v>
      </c>
      <c r="J1058" s="199" t="str">
        <f t="shared" si="25"/>
        <v>ADA</v>
      </c>
      <c r="K1058" s="142">
        <v>1.0</v>
      </c>
      <c r="L1058" s="145" t="str">
        <f>IFERROR(__xludf.DUMMYFUNCTION("vlookup($D1058,IMPORTRANGE(""https://docs.google.com/spreadsheets/d/1swGwZOEqYlTEUCJLY-eeJM1911Kvaei5oySBIxdgtNo/edit?pli=1#gid=257618397"",""stock FAKTUR!B:q""),16,false)"),"LSN")</f>
        <v>LSN</v>
      </c>
      <c r="M1058" s="147">
        <v>99600.0</v>
      </c>
      <c r="N1058" s="152">
        <v>0.1</v>
      </c>
      <c r="O1058" s="147">
        <f t="shared" si="280"/>
        <v>89640</v>
      </c>
      <c r="P1058" s="147" t="str">
        <f t="shared" si="3"/>
        <v>Rp99,600-1 LSN-10.00%</v>
      </c>
      <c r="Q1058" s="149">
        <v>45432.0</v>
      </c>
      <c r="R1058" s="150"/>
      <c r="S1058" s="149">
        <v>45439.0</v>
      </c>
      <c r="T1058" s="151"/>
      <c r="U1058" s="151"/>
      <c r="V1058" s="151"/>
      <c r="W1058" s="151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</row>
    <row r="1059">
      <c r="A1059" s="142">
        <v>4959.0</v>
      </c>
      <c r="B1059" s="143" t="s">
        <v>33</v>
      </c>
      <c r="C1059" s="143" t="s">
        <v>1452</v>
      </c>
      <c r="D1059" s="53" t="s">
        <v>4429</v>
      </c>
      <c r="E1059" s="145" t="str">
        <f>IFERROR(__xludf.DUMMYFUNCTION("vlookup(D1059,IMPORTRANGE(""https://docs.google.com/spreadsheets/d/1swGwZOEqYlTEUCJLY-eeJM1911Kvaei5oySBIxdgtNo/edit?pli=1#gid=257618397"",""stock FAKTUR!B:C""),2,false)"),"TIPEX KENKO KE-01")</f>
        <v>TIPEX KENKO KE-01</v>
      </c>
      <c r="F1059" s="145" t="str">
        <f>IFERROR(__xludf.DUMMYFUNCTION("vlookup($D1059,IMPORTRANGE(""https://docs.google.com/spreadsheets/d/1swGwZOEqYlTEUCJLY-eeJM1911Kvaei5oySBIxdgtNo/edit?pli=1#gid=257618397"",""stock FAKTUR!B:d""),3,false)"),"")</f>
        <v/>
      </c>
      <c r="G1059" s="145" t="str">
        <f>IFERROR(__xludf.DUMMYFUNCTION("vlookup($D1059,IMPORTRANGE(""https://docs.google.com/spreadsheets/d/1swGwZOEqYlTEUCJLY-eeJM1911Kvaei5oySBIxdgtNo/edit?pli=1#gid=257618397"",""stock FAKTUR!B:e""),4,false)"),"")</f>
        <v/>
      </c>
      <c r="H1059" s="145" t="str">
        <f>IFERROR(__xludf.DUMMYFUNCTION("vlookup($D1059,IMPORTRANGE(""https://docs.google.com/spreadsheets/d/1swGwZOEqYlTEUCJLY-eeJM1911Kvaei5oySBIxdgtNo/edit?pli=1#gid=257618397"",""stock FAKTUR!B:F""),5,false)"),"KN")</f>
        <v>KN</v>
      </c>
      <c r="I1059" s="145" t="str">
        <f>IFERROR(__xludf.DUMMYFUNCTION("vlookup($D1059,IMPORTRANGE(""https://docs.google.com/spreadsheets/d/1swGwZOEqYlTEUCJLY-eeJM1911Kvaei5oySBIxdgtNo/edit?pli=1#gid=257618397"",""stock FAKTUR!B:G""),6,false)"),"CFL-001")</f>
        <v>CFL-001</v>
      </c>
      <c r="J1059" s="199" t="str">
        <f t="shared" si="25"/>
        <v>ADA</v>
      </c>
      <c r="K1059" s="142">
        <v>19.0</v>
      </c>
      <c r="L1059" s="145" t="str">
        <f>IFERROR(__xludf.DUMMYFUNCTION("vlookup($D1059,IMPORTRANGE(""https://docs.google.com/spreadsheets/d/1swGwZOEqYlTEUCJLY-eeJM1911Kvaei5oySBIxdgtNo/edit?pli=1#gid=257618397"",""stock FAKTUR!B:q""),16,false)"),"LSN")</f>
        <v>LSN</v>
      </c>
      <c r="M1059" s="147">
        <v>56100.0</v>
      </c>
      <c r="N1059" s="152">
        <v>0.14</v>
      </c>
      <c r="O1059" s="147">
        <f t="shared" si="280"/>
        <v>916674</v>
      </c>
      <c r="P1059" s="147" t="str">
        <f t="shared" si="3"/>
        <v>Rp56,100-19 LSN-14.00%</v>
      </c>
      <c r="Q1059" s="149">
        <v>45433.0</v>
      </c>
      <c r="R1059" s="150"/>
      <c r="S1059" s="149">
        <v>45439.0</v>
      </c>
      <c r="T1059" s="151"/>
      <c r="U1059" s="151"/>
      <c r="V1059" s="151"/>
      <c r="W1059" s="151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</row>
    <row r="1060">
      <c r="A1060" s="142">
        <v>4824.0</v>
      </c>
      <c r="B1060" s="143" t="s">
        <v>58</v>
      </c>
      <c r="C1060" s="143" t="s">
        <v>2602</v>
      </c>
      <c r="D1060" s="53" t="s">
        <v>4579</v>
      </c>
      <c r="E1060" s="145" t="str">
        <f>IFERROR(__xludf.DUMMYFUNCTION("vlookup(D1060,IMPORTRANGE(""https://docs.google.com/spreadsheets/d/1swGwZOEqYlTEUCJLY-eeJM1911Kvaei5oySBIxdgtNo/edit?pli=1#gid=257618397"",""stock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1060" s="145" t="str">
        <f>IFERROR(__xludf.DUMMYFUNCTION("vlookup($D1060,IMPORTRANGE(""https://docs.google.com/spreadsheets/d/1swGwZOEqYlTEUCJLY-eeJM1911Kvaei5oySBIxdgtNo/edit?pli=1#gid=257618397"",""stock FAKTUR!B:d""),3,false)"),"")</f>
        <v/>
      </c>
      <c r="G1060" s="145" t="str">
        <f>IFERROR(__xludf.DUMMYFUNCTION("vlookup($D1060,IMPORTRANGE(""https://docs.google.com/spreadsheets/d/1swGwZOEqYlTEUCJLY-eeJM1911Kvaei5oySBIxdgtNo/edit?pli=1#gid=257618397"",""stock FAKTUR!B:e""),4,false)"),"48W")</f>
        <v>48W</v>
      </c>
      <c r="H1060" s="145" t="str">
        <f>IFERROR(__xludf.DUMMYFUNCTION("vlookup($D1060,IMPORTRANGE(""https://docs.google.com/spreadsheets/d/1swGwZOEqYlTEUCJLY-eeJM1911Kvaei5oySBIxdgtNo/edit?pli=1#gid=257618397"",""stock FAKTUR!B:F""),5,false)"),"JK")</f>
        <v>JK</v>
      </c>
      <c r="I1060" s="145" t="str">
        <f>IFERROR(__xludf.DUMMYFUNCTION("vlookup($D1060,IMPORTRANGE(""https://docs.google.com/spreadsheets/d/1swGwZOEqYlTEUCJLY-eeJM1911Kvaei5oySBIxdgtNo/edit?pli=1#gid=257618397"",""stock FAKTUR!B:G""),6,false)"),"OP-48S")</f>
        <v>OP-48S</v>
      </c>
      <c r="J1060" s="199" t="str">
        <f t="shared" si="25"/>
        <v>ADA</v>
      </c>
      <c r="K1060" s="142">
        <v>6.0</v>
      </c>
      <c r="L1060" s="145" t="str">
        <f>IFERROR(__xludf.DUMMYFUNCTION("vlookup($D1060,IMPORTRANGE(""https://docs.google.com/spreadsheets/d/1swGwZOEqYlTEUCJLY-eeJM1911Kvaei5oySBIxdgtNo/edit?pli=1#gid=257618397"",""stock FAKTUR!B:q""),16,false)"),"PCS")</f>
        <v>PCS</v>
      </c>
      <c r="M1060" s="147">
        <v>60700.0</v>
      </c>
      <c r="N1060" s="148"/>
      <c r="O1060" s="147">
        <f t="shared" si="280"/>
        <v>364200</v>
      </c>
      <c r="P1060" s="147" t="str">
        <f t="shared" si="3"/>
        <v>Rp60,700-6 PCS-0.00%</v>
      </c>
      <c r="Q1060" s="149">
        <v>45434.0</v>
      </c>
      <c r="R1060" s="150"/>
      <c r="S1060" s="149">
        <v>45439.0</v>
      </c>
      <c r="T1060" s="151"/>
      <c r="U1060" s="151"/>
      <c r="V1060" s="151"/>
      <c r="W1060" s="151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</row>
    <row r="1061">
      <c r="A1061" s="142">
        <v>4824.0</v>
      </c>
      <c r="B1061" s="143" t="str">
        <f t="shared" ref="B1061:B1063" si="311">IF(A1061=A1060,B1060,"")</f>
        <v>G</v>
      </c>
      <c r="C1061" s="143" t="str">
        <f t="shared" ref="C1061:C1063" si="312">IF(A1061=A1060,C1060,"")</f>
        <v>TRIO PLAZA-MAGELANG</v>
      </c>
      <c r="D1061" s="53" t="s">
        <v>4641</v>
      </c>
      <c r="E1061" s="145" t="str">
        <f>IFERROR(__xludf.DUMMYFUNCTION("vlookup(D1061,IMPORTRANGE(""https://docs.google.com/spreadsheets/d/1swGwZOEqYlTEUCJLY-eeJM1911Kvaei5oySBIxdgtNo/edit?pli=1#gid=257618397"",""stock FAKTUR!B:C""),2,false)"),"TIPEX KENKO CT-1505 FC")</f>
        <v>TIPEX KENKO CT-1505 FC</v>
      </c>
      <c r="F1061" s="145" t="str">
        <f>IFERROR(__xludf.DUMMYFUNCTION("vlookup($D1061,IMPORTRANGE(""https://docs.google.com/spreadsheets/d/1swGwZOEqYlTEUCJLY-eeJM1911Kvaei5oySBIxdgtNo/edit?pli=1#gid=257618397"",""stock FAKTUR!B:d""),3,false)"),"")</f>
        <v/>
      </c>
      <c r="G1061" s="145" t="str">
        <f>IFERROR(__xludf.DUMMYFUNCTION("vlookup($D1061,IMPORTRANGE(""https://docs.google.com/spreadsheets/d/1swGwZOEqYlTEUCJLY-eeJM1911Kvaei5oySBIxdgtNo/edit?pli=1#gid=257618397"",""stock FAKTUR!B:e""),4,false)"),"")</f>
        <v/>
      </c>
      <c r="H1061" s="145" t="str">
        <f>IFERROR(__xludf.DUMMYFUNCTION("vlookup($D1061,IMPORTRANGE(""https://docs.google.com/spreadsheets/d/1swGwZOEqYlTEUCJLY-eeJM1911Kvaei5oySBIxdgtNo/edit?pli=1#gid=257618397"",""stock FAKTUR!B:F""),5,false)"),"KN")</f>
        <v>KN</v>
      </c>
      <c r="I1061" s="145" t="str">
        <f>IFERROR(__xludf.DUMMYFUNCTION("vlookup($D1061,IMPORTRANGE(""https://docs.google.com/spreadsheets/d/1swGwZOEqYlTEUCJLY-eeJM1911Kvaei5oySBIxdgtNo/edit?pli=1#gid=257618397"",""stock FAKTUR!B:G""),6,false)"),"CT-1505")</f>
        <v>CT-1505</v>
      </c>
      <c r="J1061" s="199" t="str">
        <f t="shared" si="25"/>
        <v>ADA</v>
      </c>
      <c r="K1061" s="142">
        <v>2.0</v>
      </c>
      <c r="L1061" s="145" t="str">
        <f>IFERROR(__xludf.DUMMYFUNCTION("vlookup($D1061,IMPORTRANGE(""https://docs.google.com/spreadsheets/d/1swGwZOEqYlTEUCJLY-eeJM1911Kvaei5oySBIxdgtNo/edit?pli=1#gid=257618397"",""stock FAKTUR!B:q""),16,false)"),"LSN")</f>
        <v>LSN</v>
      </c>
      <c r="M1061" s="147">
        <f>5800*12</f>
        <v>69600</v>
      </c>
      <c r="N1061" s="148"/>
      <c r="O1061" s="147">
        <f t="shared" si="280"/>
        <v>139200</v>
      </c>
      <c r="P1061" s="147" t="str">
        <f t="shared" si="3"/>
        <v>Rp69,600-2 LSN-0.00%</v>
      </c>
      <c r="Q1061" s="149">
        <v>45434.0</v>
      </c>
      <c r="R1061" s="150"/>
      <c r="S1061" s="149">
        <v>45439.0</v>
      </c>
      <c r="T1061" s="151"/>
      <c r="U1061" s="151"/>
      <c r="V1061" s="151"/>
      <c r="W1061" s="151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</row>
    <row r="1062">
      <c r="A1062" s="142">
        <v>4824.0</v>
      </c>
      <c r="B1062" s="143" t="str">
        <f t="shared" si="311"/>
        <v>G</v>
      </c>
      <c r="C1062" s="143" t="str">
        <f t="shared" si="312"/>
        <v>TRIO PLAZA-MAGELANG</v>
      </c>
      <c r="D1062" s="53" t="s">
        <v>4393</v>
      </c>
      <c r="E1062" s="145" t="str">
        <f>IFERROR(__xludf.DUMMYFUNCTION("vlookup(D1062,IMPORTRANGE(""https://docs.google.com/spreadsheets/d/1swGwZOEqYlTEUCJLY-eeJM1911Kvaei5oySBIxdgtNo/edit?pli=1#gid=257618397"",""stock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1062" s="145" t="str">
        <f>IFERROR(__xludf.DUMMYFUNCTION("vlookup($D1062,IMPORTRANGE(""https://docs.google.com/spreadsheets/d/1swGwZOEqYlTEUCJLY-eeJM1911Kvaei5oySBIxdgtNo/edit?pli=1#gid=257618397"",""stock FAKTUR!B:d""),3,false)"),"")</f>
        <v/>
      </c>
      <c r="G1062" s="145" t="str">
        <f>IFERROR(__xludf.DUMMYFUNCTION("vlookup($D1062,IMPORTRANGE(""https://docs.google.com/spreadsheets/d/1swGwZOEqYlTEUCJLY-eeJM1911Kvaei5oySBIxdgtNo/edit?pli=1#gid=257618397"",""stock FAKTUR!B:e""),4,false)"),"36W")</f>
        <v>36W</v>
      </c>
      <c r="H1062" s="145" t="str">
        <f>IFERROR(__xludf.DUMMYFUNCTION("vlookup($D1062,IMPORTRANGE(""https://docs.google.com/spreadsheets/d/1swGwZOEqYlTEUCJLY-eeJM1911Kvaei5oySBIxdgtNo/edit?pli=1#gid=257618397"",""stock FAKTUR!B:F""),5,false)"),"JK")</f>
        <v>JK</v>
      </c>
      <c r="I1062" s="145" t="str">
        <f>IFERROR(__xludf.DUMMYFUNCTION("vlookup($D1062,IMPORTRANGE(""https://docs.google.com/spreadsheets/d/1swGwZOEqYlTEUCJLY-eeJM1911Kvaei5oySBIxdgtNo/edit?pli=1#gid=257618397"",""stock FAKTUR!B:G""),6,false)"),"OP-36S")</f>
        <v>OP-36S</v>
      </c>
      <c r="J1062" s="199" t="str">
        <f t="shared" si="25"/>
        <v>ADA</v>
      </c>
      <c r="K1062" s="142">
        <v>6.0</v>
      </c>
      <c r="L1062" s="145" t="str">
        <f>IFERROR(__xludf.DUMMYFUNCTION("vlookup($D1062,IMPORTRANGE(""https://docs.google.com/spreadsheets/d/1swGwZOEqYlTEUCJLY-eeJM1911Kvaei5oySBIxdgtNo/edit?pli=1#gid=257618397"",""stock FAKTUR!B:q""),16,false)"),"PCS")</f>
        <v>PCS</v>
      </c>
      <c r="M1062" s="147">
        <v>42700.0</v>
      </c>
      <c r="N1062" s="148"/>
      <c r="O1062" s="147">
        <f t="shared" si="280"/>
        <v>256200</v>
      </c>
      <c r="P1062" s="147" t="str">
        <f t="shared" si="3"/>
        <v>Rp42,700-6 PCS-0.00%</v>
      </c>
      <c r="Q1062" s="149">
        <v>45434.0</v>
      </c>
      <c r="R1062" s="150"/>
      <c r="S1062" s="149">
        <v>45439.0</v>
      </c>
      <c r="T1062" s="151"/>
      <c r="U1062" s="151"/>
      <c r="V1062" s="151"/>
      <c r="W1062" s="151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</row>
    <row r="1063">
      <c r="A1063" s="142">
        <v>4824.0</v>
      </c>
      <c r="B1063" s="143" t="str">
        <f t="shared" si="311"/>
        <v>G</v>
      </c>
      <c r="C1063" s="143" t="str">
        <f t="shared" si="312"/>
        <v>TRIO PLAZA-MAGELANG</v>
      </c>
      <c r="D1063" s="49" t="s">
        <v>4681</v>
      </c>
      <c r="E1063" s="145" t="str">
        <f>IFERROR(__xludf.DUMMYFUNCTION("vlookup(D1063,IMPORTRANGE(""https://docs.google.com/spreadsheets/d/1swGwZOEqYlTEUCJLY-eeJM1911Kvaei5oySBIxdgtNo/edit?pli=1#gid=257618397"",""stock FAKTUR!B:C""),2,false)"),"BT KENKO BT-2920-BTK 02 BATIK")</f>
        <v>BT KENKO BT-2920-BTK 02 BATIK</v>
      </c>
      <c r="F1063" s="145" t="str">
        <f>IFERROR(__xludf.DUMMYFUNCTION("vlookup($D1063,IMPORTRANGE(""https://docs.google.com/spreadsheets/d/1swGwZOEqYlTEUCJLY-eeJM1911Kvaei5oySBIxdgtNo/edit?pli=1#gid=257618397"",""stock FAKTUR!B:d""),3,false)"),"")</f>
        <v/>
      </c>
      <c r="G1063" s="145" t="str">
        <f>IFERROR(__xludf.DUMMYFUNCTION("vlookup($D1063,IMPORTRANGE(""https://docs.google.com/spreadsheets/d/1swGwZOEqYlTEUCJLY-eeJM1911Kvaei5oySBIxdgtNo/edit?pli=1#gid=257618397"",""stock FAKTUR!B:e""),4,false)"),"BATIK")</f>
        <v>BATIK</v>
      </c>
      <c r="H1063" s="145" t="str">
        <f>IFERROR(__xludf.DUMMYFUNCTION("vlookup($D1063,IMPORTRANGE(""https://docs.google.com/spreadsheets/d/1swGwZOEqYlTEUCJLY-eeJM1911Kvaei5oySBIxdgtNo/edit?pli=1#gid=257618397"",""stock FAKTUR!B:F""),5,false)"),"KN")</f>
        <v>KN</v>
      </c>
      <c r="I1063" s="145" t="str">
        <f>IFERROR(__xludf.DUMMYFUNCTION("vlookup($D1063,IMPORTRANGE(""https://docs.google.com/spreadsheets/d/1swGwZOEqYlTEUCJLY-eeJM1911Kvaei5oySBIxdgtNo/edit?pli=1#gid=257618397"",""stock FAKTUR!B:G""),6,false)"),"2920")</f>
        <v>2920</v>
      </c>
      <c r="J1063" s="199" t="str">
        <f t="shared" si="25"/>
        <v>ADA</v>
      </c>
      <c r="K1063" s="142">
        <v>0.5</v>
      </c>
      <c r="L1063" s="145" t="str">
        <f>IFERROR(__xludf.DUMMYFUNCTION("vlookup($D1063,IMPORTRANGE(""https://docs.google.com/spreadsheets/d/1swGwZOEqYlTEUCJLY-eeJM1911Kvaei5oySBIxdgtNo/edit?pli=1#gid=257618397"",""stock FAKTUR!B:q""),16,false)"),"LSN")</f>
        <v>LSN</v>
      </c>
      <c r="M1063" s="147">
        <f>12800*12</f>
        <v>153600</v>
      </c>
      <c r="N1063" s="148"/>
      <c r="O1063" s="147">
        <f t="shared" si="280"/>
        <v>76800</v>
      </c>
      <c r="P1063" s="147" t="str">
        <f t="shared" si="3"/>
        <v>Rp153,600-0.5 LSN-0.00%</v>
      </c>
      <c r="Q1063" s="149">
        <v>45434.0</v>
      </c>
      <c r="R1063" s="150"/>
      <c r="S1063" s="149">
        <v>45439.0</v>
      </c>
      <c r="T1063" s="151"/>
      <c r="U1063" s="151"/>
      <c r="V1063" s="151"/>
      <c r="W1063" s="151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</row>
    <row r="1064">
      <c r="A1064" s="142">
        <v>4823.0</v>
      </c>
      <c r="B1064" s="143" t="s">
        <v>58</v>
      </c>
      <c r="C1064" s="143" t="s">
        <v>2602</v>
      </c>
      <c r="D1064" s="49" t="s">
        <v>4832</v>
      </c>
      <c r="E1064" s="145" t="str">
        <f>IFERROR(__xludf.DUMMYFUNCTION("vlookup(D1064,IMPORTRANGE(""https://docs.google.com/spreadsheets/d/1swGwZOEqYlTEUCJLY-eeJM1911Kvaei5oySBIxdgtNo/edit?pli=1#gid=257618397"",""stock FAKTUR!B:C""),2,false)"),"BP TIZO TG340 HITAM")</f>
        <v>BP TIZO TG340 HITAM</v>
      </c>
      <c r="F1064" s="145" t="str">
        <f>IFERROR(__xludf.DUMMYFUNCTION("vlookup($D1064,IMPORTRANGE(""https://docs.google.com/spreadsheets/d/1swGwZOEqYlTEUCJLY-eeJM1911Kvaei5oySBIxdgtNo/edit?pli=1#gid=257618397"",""stock FAKTUR!B:d""),3,false)"),"")</f>
        <v/>
      </c>
      <c r="G1064" s="145" t="str">
        <f>IFERROR(__xludf.DUMMYFUNCTION("vlookup($D1064,IMPORTRANGE(""https://docs.google.com/spreadsheets/d/1swGwZOEqYlTEUCJLY-eeJM1911Kvaei5oySBIxdgtNo/edit?pli=1#gid=257618397"",""stock FAKTUR!B:e""),4,false)"),"HITAM")</f>
        <v>HITAM</v>
      </c>
      <c r="H1064" s="145" t="str">
        <f>IFERROR(__xludf.DUMMYFUNCTION("vlookup($D1064,IMPORTRANGE(""https://docs.google.com/spreadsheets/d/1swGwZOEqYlTEUCJLY-eeJM1911Kvaei5oySBIxdgtNo/edit?pli=1#gid=257618397"",""stock FAKTUR!B:F""),5,false)"),"TZ")</f>
        <v>TZ</v>
      </c>
      <c r="I1064" s="145" t="str">
        <f>IFERROR(__xludf.DUMMYFUNCTION("vlookup($D1064,IMPORTRANGE(""https://docs.google.com/spreadsheets/d/1swGwZOEqYlTEUCJLY-eeJM1911Kvaei5oySBIxdgtNo/edit?pli=1#gid=257618397"",""stock FAKTUR!B:G""),6,false)"),"TG340")</f>
        <v>TG340</v>
      </c>
      <c r="J1064" s="199" t="str">
        <f t="shared" si="25"/>
        <v>ADA</v>
      </c>
      <c r="K1064" s="142">
        <v>3.0</v>
      </c>
      <c r="L1064" s="145" t="str">
        <f>IFERROR(__xludf.DUMMYFUNCTION("vlookup($D1064,IMPORTRANGE(""https://docs.google.com/spreadsheets/d/1swGwZOEqYlTEUCJLY-eeJM1911Kvaei5oySBIxdgtNo/edit?pli=1#gid=257618397"",""stock FAKTUR!B:q""),16,false)"),"LSN")</f>
        <v>LSN</v>
      </c>
      <c r="M1064" s="147">
        <f>3150*12</f>
        <v>37800</v>
      </c>
      <c r="N1064" s="148"/>
      <c r="O1064" s="147">
        <f t="shared" si="280"/>
        <v>113400</v>
      </c>
      <c r="P1064" s="147" t="str">
        <f t="shared" si="3"/>
        <v>Rp37,800-3 LSN-0.00%</v>
      </c>
      <c r="Q1064" s="149">
        <v>45434.0</v>
      </c>
      <c r="R1064" s="150"/>
      <c r="S1064" s="149">
        <v>45439.0</v>
      </c>
      <c r="T1064" s="151"/>
      <c r="U1064" s="151"/>
      <c r="V1064" s="151"/>
      <c r="W1064" s="151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</row>
    <row r="1065">
      <c r="A1065" s="142">
        <v>4823.0</v>
      </c>
      <c r="B1065" s="143" t="str">
        <f>IF(A1065=A1064,B1064,"")</f>
        <v>G</v>
      </c>
      <c r="C1065" s="143" t="str">
        <f>IF(A1065=A1064,C1064,"")</f>
        <v>TRIO PLAZA-MAGELANG</v>
      </c>
      <c r="D1065" s="53" t="s">
        <v>4517</v>
      </c>
      <c r="E1065" s="145" t="str">
        <f>IFERROR(__xludf.DUMMYFUNCTION("vlookup(D1065,IMPORTRANGE(""https://docs.google.com/spreadsheets/d/1swGwZOEqYlTEUCJLY-eeJM1911Kvaei5oySBIxdgtNo/edit?pli=1#gid=257618397"",""stock FAKTUR!B:C""),2,false)"),"BP VANCO 1609")</f>
        <v>BP VANCO 1609</v>
      </c>
      <c r="F1065" s="145" t="str">
        <f>IFERROR(__xludf.DUMMYFUNCTION("vlookup($D1065,IMPORTRANGE(""https://docs.google.com/spreadsheets/d/1swGwZOEqYlTEUCJLY-eeJM1911Kvaei5oySBIxdgtNo/edit?pli=1#gid=257618397"",""stock FAKTUR!B:d""),3,false)"),"")</f>
        <v/>
      </c>
      <c r="G1065" s="145" t="str">
        <f>IFERROR(__xludf.DUMMYFUNCTION("vlookup($D1065,IMPORTRANGE(""https://docs.google.com/spreadsheets/d/1swGwZOEqYlTEUCJLY-eeJM1911Kvaei5oySBIxdgtNo/edit?pli=1#gid=257618397"",""stock FAKTUR!B:e""),4,false)"),"")</f>
        <v/>
      </c>
      <c r="H1065" s="145" t="str">
        <f>IFERROR(__xludf.DUMMYFUNCTION("vlookup($D1065,IMPORTRANGE(""https://docs.google.com/spreadsheets/d/1swGwZOEqYlTEUCJLY-eeJM1911Kvaei5oySBIxdgtNo/edit?pli=1#gid=257618397"",""stock FAKTUR!B:F""),5,false)"),"VN")</f>
        <v>VN</v>
      </c>
      <c r="I1065" s="145" t="str">
        <f>IFERROR(__xludf.DUMMYFUNCTION("vlookup($D1065,IMPORTRANGE(""https://docs.google.com/spreadsheets/d/1swGwZOEqYlTEUCJLY-eeJM1911Kvaei5oySBIxdgtNo/edit?pli=1#gid=257618397"",""stock FAKTUR!B:G""),6,false)"),"1609")</f>
        <v>1609</v>
      </c>
      <c r="J1065" s="199" t="str">
        <f t="shared" si="25"/>
        <v>ADA</v>
      </c>
      <c r="K1065" s="142">
        <v>3.0</v>
      </c>
      <c r="L1065" s="145" t="str">
        <f>IFERROR(__xludf.DUMMYFUNCTION("vlookup($D1065,IMPORTRANGE(""https://docs.google.com/spreadsheets/d/1swGwZOEqYlTEUCJLY-eeJM1911Kvaei5oySBIxdgtNo/edit?pli=1#gid=257618397"",""stock FAKTUR!B:q""),16,false)"),"LSN")</f>
        <v>LSN</v>
      </c>
      <c r="M1065" s="147">
        <f>1000*12</f>
        <v>12000</v>
      </c>
      <c r="N1065" s="148"/>
      <c r="O1065" s="147">
        <f t="shared" si="280"/>
        <v>36000</v>
      </c>
      <c r="P1065" s="147" t="str">
        <f t="shared" si="3"/>
        <v>Rp12,000-3 LSN-0.00%</v>
      </c>
      <c r="Q1065" s="149">
        <v>45434.0</v>
      </c>
      <c r="R1065" s="150"/>
      <c r="S1065" s="149">
        <v>45439.0</v>
      </c>
      <c r="T1065" s="151"/>
      <c r="U1065" s="151"/>
      <c r="V1065" s="151"/>
      <c r="W1065" s="151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</row>
    <row r="1066">
      <c r="A1066" s="142">
        <v>4966.0</v>
      </c>
      <c r="B1066" s="143" t="s">
        <v>33</v>
      </c>
      <c r="C1066" s="143" t="s">
        <v>2476</v>
      </c>
      <c r="D1066" s="53" t="s">
        <v>4483</v>
      </c>
      <c r="E1066" s="145" t="str">
        <f>IFERROR(__xludf.DUMMYFUNCTION("vlookup(D1066,IMPORTRANGE(""https://docs.google.com/spreadsheets/d/1swGwZOEqYlTEUCJLY-eeJM1911Kvaei5oySBIxdgtNo/edit?pli=1#gid=257618397"",""stock FAKTUR!B:C""),2,false)"),"LEM STICK KENKO 15GR TANGGUNG")</f>
        <v>LEM STICK KENKO 15GR TANGGUNG</v>
      </c>
      <c r="F1066" s="145" t="str">
        <f>IFERROR(__xludf.DUMMYFUNCTION("vlookup($D1066,IMPORTRANGE(""https://docs.google.com/spreadsheets/d/1swGwZOEqYlTEUCJLY-eeJM1911Kvaei5oySBIxdgtNo/edit?pli=1#gid=257618397"",""stock FAKTUR!B:d""),3,false)"),"T")</f>
        <v>T</v>
      </c>
      <c r="G1066" s="145" t="str">
        <f>IFERROR(__xludf.DUMMYFUNCTION("vlookup($D1066,IMPORTRANGE(""https://docs.google.com/spreadsheets/d/1swGwZOEqYlTEUCJLY-eeJM1911Kvaei5oySBIxdgtNo/edit?pli=1#gid=257618397"",""stock FAKTUR!B:e""),4,false)"),"")</f>
        <v/>
      </c>
      <c r="H1066" s="145" t="str">
        <f>IFERROR(__xludf.DUMMYFUNCTION("vlookup($D1066,IMPORTRANGE(""https://docs.google.com/spreadsheets/d/1swGwZOEqYlTEUCJLY-eeJM1911Kvaei5oySBIxdgtNo/edit?pli=1#gid=257618397"",""stock FAKTUR!B:F""),5,false)"),"KN")</f>
        <v>KN</v>
      </c>
      <c r="I1066" s="145" t="str">
        <f>IFERROR(__xludf.DUMMYFUNCTION("vlookup($D1066,IMPORTRANGE(""https://docs.google.com/spreadsheets/d/1swGwZOEqYlTEUCJLY-eeJM1911Kvaei5oySBIxdgtNo/edit?pli=1#gid=257618397"",""stock FAKTUR!B:G""),6,false)"),"GST-002GA")</f>
        <v>GST-002GA</v>
      </c>
      <c r="J1066" s="199" t="str">
        <f t="shared" si="25"/>
        <v>ADA</v>
      </c>
      <c r="K1066" s="142">
        <v>36.0</v>
      </c>
      <c r="L1066" s="145" t="str">
        <f>IFERROR(__xludf.DUMMYFUNCTION("vlookup($D1066,IMPORTRANGE(""https://docs.google.com/spreadsheets/d/1swGwZOEqYlTEUCJLY-eeJM1911Kvaei5oySBIxdgtNo/edit?pli=1#gid=257618397"",""stock FAKTUR!B:q""),16,false)"),"BOX")</f>
        <v>BOX</v>
      </c>
      <c r="M1066" s="147">
        <v>72000.0</v>
      </c>
      <c r="N1066" s="152">
        <v>0.15</v>
      </c>
      <c r="O1066" s="147">
        <f t="shared" si="280"/>
        <v>2203200</v>
      </c>
      <c r="P1066" s="147" t="str">
        <f t="shared" si="3"/>
        <v>Rp72,000-36 BOX-15.00%</v>
      </c>
      <c r="Q1066" s="149">
        <v>45434.0</v>
      </c>
      <c r="R1066" s="150"/>
      <c r="S1066" s="149">
        <v>45439.0</v>
      </c>
      <c r="T1066" s="151"/>
      <c r="U1066" s="151"/>
      <c r="V1066" s="151"/>
      <c r="W1066" s="151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</row>
    <row r="1067">
      <c r="A1067" s="142">
        <v>4966.0</v>
      </c>
      <c r="B1067" s="143" t="str">
        <f t="shared" ref="B1067:B1068" si="313">IF(A1067=A1066,B1066,"")</f>
        <v>H</v>
      </c>
      <c r="C1067" s="143" t="str">
        <f t="shared" ref="C1067:C1068" si="314">IF(A1067=A1066,C1066,"")</f>
        <v>PERDANA-BREBES</v>
      </c>
      <c r="D1067" s="53" t="s">
        <v>4484</v>
      </c>
      <c r="E1067" s="145" t="str">
        <f>IFERROR(__xludf.DUMMYFUNCTION("vlookup(D1067,IMPORTRANGE(""https://docs.google.com/spreadsheets/d/1swGwZOEqYlTEUCJLY-eeJM1911Kvaei5oySBIxdgtNo/edit?pli=1#gid=257618397"",""stock FAKTUR!B:C""),2,false)"),"LEM STICK KENKO 25GR BESAR")</f>
        <v>LEM STICK KENKO 25GR BESAR</v>
      </c>
      <c r="F1067" s="145" t="str">
        <f>IFERROR(__xludf.DUMMYFUNCTION("vlookup($D1067,IMPORTRANGE(""https://docs.google.com/spreadsheets/d/1swGwZOEqYlTEUCJLY-eeJM1911Kvaei5oySBIxdgtNo/edit?pli=1#gid=257618397"",""stock FAKTUR!B:d""),3,false)"),"B")</f>
        <v>B</v>
      </c>
      <c r="G1067" s="145" t="str">
        <f>IFERROR(__xludf.DUMMYFUNCTION("vlookup($D1067,IMPORTRANGE(""https://docs.google.com/spreadsheets/d/1swGwZOEqYlTEUCJLY-eeJM1911Kvaei5oySBIxdgtNo/edit?pli=1#gid=257618397"",""stock FAKTUR!B:e""),4,false)"),"")</f>
        <v/>
      </c>
      <c r="H1067" s="145" t="str">
        <f>IFERROR(__xludf.DUMMYFUNCTION("vlookup($D1067,IMPORTRANGE(""https://docs.google.com/spreadsheets/d/1swGwZOEqYlTEUCJLY-eeJM1911Kvaei5oySBIxdgtNo/edit?pli=1#gid=257618397"",""stock FAKTUR!B:F""),5,false)"),"KN")</f>
        <v>KN</v>
      </c>
      <c r="I1067" s="145" t="str">
        <f>IFERROR(__xludf.DUMMYFUNCTION("vlookup($D1067,IMPORTRANGE(""https://docs.google.com/spreadsheets/d/1swGwZOEqYlTEUCJLY-eeJM1911Kvaei5oySBIxdgtNo/edit?pli=1#gid=257618397"",""stock FAKTUR!B:G""),6,false)"),"GST-003GA")</f>
        <v>GST-003GA</v>
      </c>
      <c r="J1067" s="199" t="str">
        <f t="shared" si="25"/>
        <v>ADA</v>
      </c>
      <c r="K1067" s="142">
        <v>36.0</v>
      </c>
      <c r="L1067" s="145" t="str">
        <f>IFERROR(__xludf.DUMMYFUNCTION("vlookup($D1067,IMPORTRANGE(""https://docs.google.com/spreadsheets/d/1swGwZOEqYlTEUCJLY-eeJM1911Kvaei5oySBIxdgtNo/edit?pli=1#gid=257618397"",""stock FAKTUR!B:q""),16,false)"),"BOX")</f>
        <v>BOX</v>
      </c>
      <c r="M1067" s="147">
        <v>60000.0</v>
      </c>
      <c r="N1067" s="152">
        <v>0.15</v>
      </c>
      <c r="O1067" s="147">
        <f t="shared" si="280"/>
        <v>1836000</v>
      </c>
      <c r="P1067" s="147" t="str">
        <f t="shared" si="3"/>
        <v>Rp60,000-36 BOX-15.00%</v>
      </c>
      <c r="Q1067" s="149">
        <v>45434.0</v>
      </c>
      <c r="R1067" s="150"/>
      <c r="S1067" s="149">
        <v>45439.0</v>
      </c>
      <c r="T1067" s="151"/>
      <c r="U1067" s="151"/>
      <c r="V1067" s="151"/>
      <c r="W1067" s="151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</row>
    <row r="1068">
      <c r="A1068" s="142">
        <v>4966.0</v>
      </c>
      <c r="B1068" s="143" t="str">
        <f t="shared" si="313"/>
        <v>H</v>
      </c>
      <c r="C1068" s="143" t="str">
        <f t="shared" si="314"/>
        <v>PERDANA-BREBES</v>
      </c>
      <c r="D1068" s="201" t="s">
        <v>4825</v>
      </c>
      <c r="E1068" s="145" t="str">
        <f>IFERROR(__xludf.DUMMYFUNCTION("vlookup(D1068,IMPORTRANGE(""https://docs.google.com/spreadsheets/d/1swGwZOEqYlTEUCJLY-eeJM1911Kvaei5oySBIxdgtNo/edit?pli=1#gid=257618397"",""stock FAKTUR!B:C""),2,false)"),"GARISAN BESI KENKO 30 CM")</f>
        <v>GARISAN BESI KENKO 30 CM</v>
      </c>
      <c r="F1068" s="145" t="str">
        <f>IFERROR(__xludf.DUMMYFUNCTION("vlookup($D1068,IMPORTRANGE(""https://docs.google.com/spreadsheets/d/1swGwZOEqYlTEUCJLY-eeJM1911Kvaei5oySBIxdgtNo/edit?pli=1#gid=257618397"",""stock FAKTUR!B:d""),3,false)"),"30 CM")</f>
        <v>30 CM</v>
      </c>
      <c r="G1068" s="145" t="str">
        <f>IFERROR(__xludf.DUMMYFUNCTION("vlookup($D1068,IMPORTRANGE(""https://docs.google.com/spreadsheets/d/1swGwZOEqYlTEUCJLY-eeJM1911Kvaei5oySBIxdgtNo/edit?pli=1#gid=257618397"",""stock FAKTUR!B:e""),4,false)"),"")</f>
        <v/>
      </c>
      <c r="H1068" s="145" t="str">
        <f>IFERROR(__xludf.DUMMYFUNCTION("vlookup($D1068,IMPORTRANGE(""https://docs.google.com/spreadsheets/d/1swGwZOEqYlTEUCJLY-eeJM1911Kvaei5oySBIxdgtNo/edit?pli=1#gid=257618397"",""stock FAKTUR!B:F""),5,false)"),"KN")</f>
        <v>KN</v>
      </c>
      <c r="I1068" s="145" t="str">
        <f>IFERROR(__xludf.DUMMYFUNCTION("vlookup($D1068,IMPORTRANGE(""https://docs.google.com/spreadsheets/d/1swGwZOEqYlTEUCJLY-eeJM1911Kvaei5oySBIxdgtNo/edit?pli=1#gid=257618397"",""stock FAKTUR!B:G""),6,false)"),"")</f>
        <v/>
      </c>
      <c r="J1068" s="199" t="str">
        <f t="shared" si="25"/>
        <v>ADA</v>
      </c>
      <c r="K1068" s="142">
        <v>25.0</v>
      </c>
      <c r="L1068" s="145" t="str">
        <f>IFERROR(__xludf.DUMMYFUNCTION("vlookup($D1068,IMPORTRANGE(""https://docs.google.com/spreadsheets/d/1swGwZOEqYlTEUCJLY-eeJM1911Kvaei5oySBIxdgtNo/edit?pli=1#gid=257618397"",""stock FAKTUR!B:q""),16,false)"),"LSN")</f>
        <v>LSN</v>
      </c>
      <c r="M1068" s="147">
        <v>84000.0</v>
      </c>
      <c r="N1068" s="152">
        <v>0.15</v>
      </c>
      <c r="O1068" s="147">
        <f t="shared" si="280"/>
        <v>1785000</v>
      </c>
      <c r="P1068" s="147" t="str">
        <f t="shared" si="3"/>
        <v>Rp84,000-25 LSN-15.00%</v>
      </c>
      <c r="Q1068" s="149">
        <v>45434.0</v>
      </c>
      <c r="R1068" s="150"/>
      <c r="S1068" s="149">
        <v>45439.0</v>
      </c>
      <c r="T1068" s="151"/>
      <c r="U1068" s="151"/>
      <c r="V1068" s="151"/>
      <c r="W1068" s="151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</row>
    <row r="1069">
      <c r="A1069" s="142">
        <v>4960.0</v>
      </c>
      <c r="B1069" s="143" t="s">
        <v>65</v>
      </c>
      <c r="C1069" s="143" t="s">
        <v>4104</v>
      </c>
      <c r="D1069" s="53" t="s">
        <v>35</v>
      </c>
      <c r="E1069" s="145" t="str">
        <f>IFERROR(__xludf.DUMMYFUNCTION("vlookup(D1069,IMPORTRANGE(""https://docs.google.com/spreadsheets/d/1swGwZOEqYlTEUCJLY-eeJM1911Kvaei5oySBIxdgtNo/edit?pli=1#gid=257618397"",""stock FAKTUR!B:C""),2,false)"),"BP TZ 501 HITAM")</f>
        <v>BP TZ 501 HITAM</v>
      </c>
      <c r="F1069" s="145" t="str">
        <f>IFERROR(__xludf.DUMMYFUNCTION("vlookup($D1069,IMPORTRANGE(""https://docs.google.com/spreadsheets/d/1swGwZOEqYlTEUCJLY-eeJM1911Kvaei5oySBIxdgtNo/edit?pli=1#gid=257618397"",""stock FAKTUR!B:d""),3,false)"),"")</f>
        <v/>
      </c>
      <c r="G1069" s="145" t="str">
        <f>IFERROR(__xludf.DUMMYFUNCTION("vlookup($D1069,IMPORTRANGE(""https://docs.google.com/spreadsheets/d/1swGwZOEqYlTEUCJLY-eeJM1911Kvaei5oySBIxdgtNo/edit?pli=1#gid=257618397"",""stock FAKTUR!B:e""),4,false)"),"")</f>
        <v/>
      </c>
      <c r="H1069" s="145" t="str">
        <f>IFERROR(__xludf.DUMMYFUNCTION("vlookup($D1069,IMPORTRANGE(""https://docs.google.com/spreadsheets/d/1swGwZOEqYlTEUCJLY-eeJM1911Kvaei5oySBIxdgtNo/edit?pli=1#gid=257618397"",""stock FAKTUR!B:F""),5,false)"),"TZ")</f>
        <v>TZ</v>
      </c>
      <c r="I1069" s="145" t="str">
        <f>IFERROR(__xludf.DUMMYFUNCTION("vlookup($D1069,IMPORTRANGE(""https://docs.google.com/spreadsheets/d/1swGwZOEqYlTEUCJLY-eeJM1911Kvaei5oySBIxdgtNo/edit?pli=1#gid=257618397"",""stock FAKTUR!B:G""),6,false)"),"")</f>
        <v/>
      </c>
      <c r="J1069" s="199" t="str">
        <f t="shared" si="25"/>
        <v>ADA</v>
      </c>
      <c r="K1069" s="142">
        <v>6.0</v>
      </c>
      <c r="L1069" s="145" t="str">
        <f>IFERROR(__xludf.DUMMYFUNCTION("vlookup($D1069,IMPORTRANGE(""https://docs.google.com/spreadsheets/d/1swGwZOEqYlTEUCJLY-eeJM1911Kvaei5oySBIxdgtNo/edit?pli=1#gid=257618397"",""stock FAKTUR!B:q""),16,false)"),"LSN")</f>
        <v>LSN</v>
      </c>
      <c r="M1069" s="147">
        <v>25000.0</v>
      </c>
      <c r="N1069" s="148"/>
      <c r="O1069" s="147">
        <f t="shared" si="280"/>
        <v>150000</v>
      </c>
      <c r="P1069" s="147" t="str">
        <f t="shared" si="3"/>
        <v>Rp25,000-6 LSN-0.00%</v>
      </c>
      <c r="Q1069" s="149">
        <v>45434.0</v>
      </c>
      <c r="R1069" s="150"/>
      <c r="S1069" s="149">
        <v>45439.0</v>
      </c>
      <c r="T1069" s="151"/>
      <c r="U1069" s="151"/>
      <c r="V1069" s="151"/>
      <c r="W1069" s="151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</row>
    <row r="1070">
      <c r="A1070" s="142">
        <v>4960.0</v>
      </c>
      <c r="B1070" s="143" t="str">
        <f t="shared" ref="B1070:B1074" si="315">IF(A1070=A1069,B1069,"")</f>
        <v>A</v>
      </c>
      <c r="C1070" s="143" t="str">
        <f t="shared" ref="C1070:C1074" si="316">IF(A1070=A1069,C1069,"")</f>
        <v>ANEKA-JEPARA</v>
      </c>
      <c r="D1070" s="49" t="s">
        <v>4761</v>
      </c>
      <c r="E1070" s="145" t="str">
        <f>IFERROR(__xludf.DUMMYFUNCTION("vlookup(D1070,IMPORTRANGE(""https://docs.google.com/spreadsheets/d/1swGwZOEqYlTEUCJLY-eeJM1911Kvaei5oySBIxdgtNo/edit?pli=1#gid=257618397"",""stock FAKTUR!B:C""),2,false)"),"JANGKA SET KENKO C-528")</f>
        <v>JANGKA SET KENKO C-528</v>
      </c>
      <c r="F1070" s="145" t="str">
        <f>IFERROR(__xludf.DUMMYFUNCTION("vlookup($D1070,IMPORTRANGE(""https://docs.google.com/spreadsheets/d/1swGwZOEqYlTEUCJLY-eeJM1911Kvaei5oySBIxdgtNo/edit?pli=1#gid=257618397"",""stock FAKTUR!B:d""),3,false)"),"")</f>
        <v/>
      </c>
      <c r="G1070" s="145" t="str">
        <f>IFERROR(__xludf.DUMMYFUNCTION("vlookup($D1070,IMPORTRANGE(""https://docs.google.com/spreadsheets/d/1swGwZOEqYlTEUCJLY-eeJM1911Kvaei5oySBIxdgtNo/edit?pli=1#gid=257618397"",""stock FAKTUR!B:e""),4,false)"),"")</f>
        <v/>
      </c>
      <c r="H1070" s="145" t="str">
        <f>IFERROR(__xludf.DUMMYFUNCTION("vlookup($D1070,IMPORTRANGE(""https://docs.google.com/spreadsheets/d/1swGwZOEqYlTEUCJLY-eeJM1911Kvaei5oySBIxdgtNo/edit?pli=1#gid=257618397"",""stock FAKTUR!B:F""),5,false)"),"KN")</f>
        <v>KN</v>
      </c>
      <c r="I1070" s="145" t="str">
        <f>IFERROR(__xludf.DUMMYFUNCTION("vlookup($D1070,IMPORTRANGE(""https://docs.google.com/spreadsheets/d/1swGwZOEqYlTEUCJLY-eeJM1911Kvaei5oySBIxdgtNo/edit?pli=1#gid=257618397"",""stock FAKTUR!B:G""),6,false)"),"")</f>
        <v/>
      </c>
      <c r="J1070" s="199" t="str">
        <f t="shared" si="25"/>
        <v>ADA</v>
      </c>
      <c r="K1070" s="142">
        <v>1.0</v>
      </c>
      <c r="L1070" s="145" t="str">
        <f>IFERROR(__xludf.DUMMYFUNCTION("vlookup($D1070,IMPORTRANGE(""https://docs.google.com/spreadsheets/d/1swGwZOEqYlTEUCJLY-eeJM1911Kvaei5oySBIxdgtNo/edit?pli=1#gid=257618397"",""stock FAKTUR!B:q""),16,false)"),"LSN")</f>
        <v>LSN</v>
      </c>
      <c r="M1070" s="147">
        <v>90000.0</v>
      </c>
      <c r="N1070" s="152">
        <v>0.1</v>
      </c>
      <c r="O1070" s="147">
        <f t="shared" si="280"/>
        <v>81000</v>
      </c>
      <c r="P1070" s="147" t="str">
        <f t="shared" si="3"/>
        <v>Rp90,000-1 LSN-10.00%</v>
      </c>
      <c r="Q1070" s="149">
        <v>45434.0</v>
      </c>
      <c r="R1070" s="150"/>
      <c r="S1070" s="149">
        <v>45439.0</v>
      </c>
      <c r="T1070" s="151"/>
      <c r="U1070" s="151"/>
      <c r="V1070" s="151"/>
      <c r="W1070" s="151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</row>
    <row r="1071">
      <c r="A1071" s="142">
        <v>4960.0</v>
      </c>
      <c r="B1071" s="143" t="str">
        <f t="shared" si="315"/>
        <v>A</v>
      </c>
      <c r="C1071" s="143" t="str">
        <f t="shared" si="316"/>
        <v>ANEKA-JEPARA</v>
      </c>
      <c r="D1071" s="53" t="s">
        <v>4434</v>
      </c>
      <c r="E1071" s="145" t="str">
        <f>IFERROR(__xludf.DUMMYFUNCTION("vlookup(D1071,IMPORTRANGE(""https://docs.google.com/spreadsheets/d/1swGwZOEqYlTEUCJLY-eeJM1911Kvaei5oySBIxdgtNo/edit?pli=1#gid=257618397"",""stock FAKTUR!B:C""),2,false)"),"PW KENKO 24W CP-24F CLASSIC PANJANG")</f>
        <v>PW KENKO 24W CP-24F CLASSIC PANJANG</v>
      </c>
      <c r="F1071" s="145" t="str">
        <f>IFERROR(__xludf.DUMMYFUNCTION("vlookup($D1071,IMPORTRANGE(""https://docs.google.com/spreadsheets/d/1swGwZOEqYlTEUCJLY-eeJM1911Kvaei5oySBIxdgtNo/edit?pli=1#gid=257618397"",""stock FAKTUR!B:d""),3,false)"),"")</f>
        <v/>
      </c>
      <c r="G1071" s="145" t="str">
        <f>IFERROR(__xludf.DUMMYFUNCTION("vlookup($D1071,IMPORTRANGE(""https://docs.google.com/spreadsheets/d/1swGwZOEqYlTEUCJLY-eeJM1911Kvaei5oySBIxdgtNo/edit?pli=1#gid=257618397"",""stock FAKTUR!B:e""),4,false)"),"24W")</f>
        <v>24W</v>
      </c>
      <c r="H1071" s="145" t="str">
        <f>IFERROR(__xludf.DUMMYFUNCTION("vlookup($D1071,IMPORTRANGE(""https://docs.google.com/spreadsheets/d/1swGwZOEqYlTEUCJLY-eeJM1911Kvaei5oySBIxdgtNo/edit?pli=1#gid=257618397"",""stock FAKTUR!B:F""),5,false)"),"KN")</f>
        <v>KN</v>
      </c>
      <c r="I1071" s="145" t="str">
        <f>IFERROR(__xludf.DUMMYFUNCTION("vlookup($D1071,IMPORTRANGE(""https://docs.google.com/spreadsheets/d/1swGwZOEqYlTEUCJLY-eeJM1911Kvaei5oySBIxdgtNo/edit?pli=1#gid=257618397"",""stock FAKTUR!B:G""),6,false)"),"CP-24F")</f>
        <v>CP-24F</v>
      </c>
      <c r="J1071" s="199" t="str">
        <f t="shared" si="25"/>
        <v>ADA</v>
      </c>
      <c r="K1071" s="142">
        <v>0.5</v>
      </c>
      <c r="L1071" s="145" t="str">
        <f>IFERROR(__xludf.DUMMYFUNCTION("vlookup($D1071,IMPORTRANGE(""https://docs.google.com/spreadsheets/d/1swGwZOEqYlTEUCJLY-eeJM1911Kvaei5oySBIxdgtNo/edit?pli=1#gid=257618397"",""stock FAKTUR!B:q""),16,false)"),"LSN")</f>
        <v>LSN</v>
      </c>
      <c r="M1071" s="147">
        <f>20700*12</f>
        <v>248400</v>
      </c>
      <c r="N1071" s="152">
        <v>0.1</v>
      </c>
      <c r="O1071" s="147">
        <f t="shared" si="280"/>
        <v>111780</v>
      </c>
      <c r="P1071" s="147" t="str">
        <f t="shared" si="3"/>
        <v>Rp248,400-0.5 LSN-10.00%</v>
      </c>
      <c r="Q1071" s="149">
        <v>45434.0</v>
      </c>
      <c r="R1071" s="150"/>
      <c r="S1071" s="149">
        <v>45439.0</v>
      </c>
      <c r="T1071" s="151"/>
      <c r="U1071" s="151"/>
      <c r="V1071" s="151"/>
      <c r="W1071" s="151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</row>
    <row r="1072">
      <c r="A1072" s="142">
        <v>4960.0</v>
      </c>
      <c r="B1072" s="143" t="str">
        <f t="shared" si="315"/>
        <v>A</v>
      </c>
      <c r="C1072" s="143" t="str">
        <f t="shared" si="316"/>
        <v>ANEKA-JEPARA</v>
      </c>
      <c r="D1072" s="53" t="s">
        <v>4399</v>
      </c>
      <c r="E1072" s="145" t="str">
        <f>IFERROR(__xludf.DUMMYFUNCTION("vlookup(D1072,IMPORTRANGE(""https://docs.google.com/spreadsheets/d/1swGwZOEqYlTEUCJLY-eeJM1911Kvaei5oySBIxdgtNo/edit?pli=1#gid=257618397"",""stock FAKTUR!B:C""),2,false)"),"PW KENKO 12W CP-12F CLASSIC PANJANG")</f>
        <v>PW KENKO 12W CP-12F CLASSIC PANJANG</v>
      </c>
      <c r="F1072" s="145" t="str">
        <f>IFERROR(__xludf.DUMMYFUNCTION("vlookup($D1072,IMPORTRANGE(""https://docs.google.com/spreadsheets/d/1swGwZOEqYlTEUCJLY-eeJM1911Kvaei5oySBIxdgtNo/edit?pli=1#gid=257618397"",""stock FAKTUR!B:d""),3,false)"),"")</f>
        <v/>
      </c>
      <c r="G1072" s="145" t="str">
        <f>IFERROR(__xludf.DUMMYFUNCTION("vlookup($D1072,IMPORTRANGE(""https://docs.google.com/spreadsheets/d/1swGwZOEqYlTEUCJLY-eeJM1911Kvaei5oySBIxdgtNo/edit?pli=1#gid=257618397"",""stock FAKTUR!B:e""),4,false)"),"12W")</f>
        <v>12W</v>
      </c>
      <c r="H1072" s="145" t="str">
        <f>IFERROR(__xludf.DUMMYFUNCTION("vlookup($D1072,IMPORTRANGE(""https://docs.google.com/spreadsheets/d/1swGwZOEqYlTEUCJLY-eeJM1911Kvaei5oySBIxdgtNo/edit?pli=1#gid=257618397"",""stock FAKTUR!B:F""),5,false)"),"KN")</f>
        <v>KN</v>
      </c>
      <c r="I1072" s="145" t="str">
        <f>IFERROR(__xludf.DUMMYFUNCTION("vlookup($D1072,IMPORTRANGE(""https://docs.google.com/spreadsheets/d/1swGwZOEqYlTEUCJLY-eeJM1911Kvaei5oySBIxdgtNo/edit?pli=1#gid=257618397"",""stock FAKTUR!B:G""),6,false)"),"CP-12F")</f>
        <v>CP-12F</v>
      </c>
      <c r="J1072" s="199" t="str">
        <f t="shared" si="25"/>
        <v>ADA</v>
      </c>
      <c r="K1072" s="142">
        <v>0.5</v>
      </c>
      <c r="L1072" s="145" t="str">
        <f>IFERROR(__xludf.DUMMYFUNCTION("vlookup($D1072,IMPORTRANGE(""https://docs.google.com/spreadsheets/d/1swGwZOEqYlTEUCJLY-eeJM1911Kvaei5oySBIxdgtNo/edit?pli=1#gid=257618397"",""stock FAKTUR!B:q""),16,false)"),"LSN")</f>
        <v>LSN</v>
      </c>
      <c r="M1072" s="147">
        <f>10350*12</f>
        <v>124200</v>
      </c>
      <c r="N1072" s="152">
        <v>0.1</v>
      </c>
      <c r="O1072" s="147">
        <f t="shared" si="280"/>
        <v>55890</v>
      </c>
      <c r="P1072" s="147" t="str">
        <f t="shared" si="3"/>
        <v>Rp124,200-0.5 LSN-10.00%</v>
      </c>
      <c r="Q1072" s="149">
        <v>45434.0</v>
      </c>
      <c r="R1072" s="150"/>
      <c r="S1072" s="149">
        <v>45439.0</v>
      </c>
      <c r="T1072" s="151"/>
      <c r="U1072" s="151"/>
      <c r="V1072" s="151"/>
      <c r="W1072" s="151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</row>
    <row r="1073">
      <c r="A1073" s="142">
        <v>4960.0</v>
      </c>
      <c r="B1073" s="143" t="str">
        <f t="shared" si="315"/>
        <v>A</v>
      </c>
      <c r="C1073" s="143" t="str">
        <f t="shared" si="316"/>
        <v>ANEKA-JEPARA</v>
      </c>
      <c r="D1073" s="70" t="s">
        <v>4703</v>
      </c>
      <c r="E1073" s="145" t="str">
        <f>IFERROR(__xludf.DUMMYFUNCTION("vlookup(D1073,IMPORTRANGE(""https://docs.google.com/spreadsheets/d/1swGwZOEqYlTEUCJLY-eeJM1911Kvaei5oySBIxdgtNo/edit?pli=1#gid=257618397"",""stock FAKTUR!B:C""),2,false)"),"ASAHAN KENKO SP-71 S KECIL")</f>
        <v>ASAHAN KENKO SP-71 S KECIL</v>
      </c>
      <c r="F1073" s="145" t="str">
        <f>IFERROR(__xludf.DUMMYFUNCTION("vlookup($D1073,IMPORTRANGE(""https://docs.google.com/spreadsheets/d/1swGwZOEqYlTEUCJLY-eeJM1911Kvaei5oySBIxdgtNo/edit?pli=1#gid=257618397"",""stock FAKTUR!B:d""),3,false)"),"K")</f>
        <v>K</v>
      </c>
      <c r="G1073" s="145" t="str">
        <f>IFERROR(__xludf.DUMMYFUNCTION("vlookup($D1073,IMPORTRANGE(""https://docs.google.com/spreadsheets/d/1swGwZOEqYlTEUCJLY-eeJM1911Kvaei5oySBIxdgtNo/edit?pli=1#gid=257618397"",""stock FAKTUR!B:e""),4,false)"),"")</f>
        <v/>
      </c>
      <c r="H1073" s="145" t="str">
        <f>IFERROR(__xludf.DUMMYFUNCTION("vlookup($D1073,IMPORTRANGE(""https://docs.google.com/spreadsheets/d/1swGwZOEqYlTEUCJLY-eeJM1911Kvaei5oySBIxdgtNo/edit?pli=1#gid=257618397"",""stock FAKTUR!B:F""),5,false)"),"KN")</f>
        <v>KN</v>
      </c>
      <c r="I1073" s="145" t="str">
        <f>IFERROR(__xludf.DUMMYFUNCTION("vlookup($D1073,IMPORTRANGE(""https://docs.google.com/spreadsheets/d/1swGwZOEqYlTEUCJLY-eeJM1911Kvaei5oySBIxdgtNo/edit?pli=1#gid=257618397"",""stock FAKTUR!B:G""),6,false)"),"")</f>
        <v/>
      </c>
      <c r="J1073" s="199" t="str">
        <f t="shared" si="25"/>
        <v>ADA</v>
      </c>
      <c r="K1073" s="142">
        <v>3.0</v>
      </c>
      <c r="L1073" s="145" t="str">
        <f>IFERROR(__xludf.DUMMYFUNCTION("vlookup($D1073,IMPORTRANGE(""https://docs.google.com/spreadsheets/d/1swGwZOEqYlTEUCJLY-eeJM1911Kvaei5oySBIxdgtNo/edit?pli=1#gid=257618397"",""stock FAKTUR!B:q""),16,false)"),"BOX")</f>
        <v>BOX</v>
      </c>
      <c r="M1073" s="147">
        <v>15900.0</v>
      </c>
      <c r="N1073" s="152">
        <v>0.1</v>
      </c>
      <c r="O1073" s="147">
        <f t="shared" si="280"/>
        <v>42930</v>
      </c>
      <c r="P1073" s="147" t="str">
        <f t="shared" si="3"/>
        <v>Rp15,900-3 BOX-10.00%</v>
      </c>
      <c r="Q1073" s="149">
        <v>45434.0</v>
      </c>
      <c r="R1073" s="150"/>
      <c r="S1073" s="149">
        <v>45439.0</v>
      </c>
      <c r="T1073" s="151"/>
      <c r="U1073" s="151"/>
      <c r="V1073" s="151"/>
      <c r="W1073" s="151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</row>
    <row r="1074">
      <c r="A1074" s="142">
        <v>4960.0</v>
      </c>
      <c r="B1074" s="143" t="str">
        <f t="shared" si="315"/>
        <v>A</v>
      </c>
      <c r="C1074" s="143" t="str">
        <f t="shared" si="316"/>
        <v>ANEKA-JEPARA</v>
      </c>
      <c r="D1074" s="53" t="s">
        <v>4578</v>
      </c>
      <c r="E1074" s="145" t="str">
        <f>IFERROR(__xludf.DUMMYFUNCTION("vlookup(D1074,IMPORTRANGE(""https://docs.google.com/spreadsheets/d/1swGwZOEqYlTEUCJLY-eeJM1911Kvaei5oySBIxdgtNo/edit?pli=1#gid=257618397"",""stock FAKTUR!B:C""),2,false)"),"OIL PASTEL JK OP-72S PP CASE SEA WORLD")</f>
        <v>OIL PASTEL JK OP-72S PP CASE SEA WORLD</v>
      </c>
      <c r="F1074" s="145" t="str">
        <f>IFERROR(__xludf.DUMMYFUNCTION("vlookup($D1074,IMPORTRANGE(""https://docs.google.com/spreadsheets/d/1swGwZOEqYlTEUCJLY-eeJM1911Kvaei5oySBIxdgtNo/edit?pli=1#gid=257618397"",""stock FAKTUR!B:d""),3,false)"),"")</f>
        <v/>
      </c>
      <c r="G1074" s="145" t="str">
        <f>IFERROR(__xludf.DUMMYFUNCTION("vlookup($D1074,IMPORTRANGE(""https://docs.google.com/spreadsheets/d/1swGwZOEqYlTEUCJLY-eeJM1911Kvaei5oySBIxdgtNo/edit?pli=1#gid=257618397"",""stock FAKTUR!B:e""),4,false)"),"72W")</f>
        <v>72W</v>
      </c>
      <c r="H1074" s="145" t="str">
        <f>IFERROR(__xludf.DUMMYFUNCTION("vlookup($D1074,IMPORTRANGE(""https://docs.google.com/spreadsheets/d/1swGwZOEqYlTEUCJLY-eeJM1911Kvaei5oySBIxdgtNo/edit?pli=1#gid=257618397"",""stock FAKTUR!B:F""),5,false)"),"JK")</f>
        <v>JK</v>
      </c>
      <c r="I1074" s="145" t="str">
        <f>IFERROR(__xludf.DUMMYFUNCTION("vlookup($D1074,IMPORTRANGE(""https://docs.google.com/spreadsheets/d/1swGwZOEqYlTEUCJLY-eeJM1911Kvaei5oySBIxdgtNo/edit?pli=1#gid=257618397"",""stock FAKTUR!B:G""),6,false)"),"OP-72S")</f>
        <v>OP-72S</v>
      </c>
      <c r="J1074" s="199" t="str">
        <f t="shared" si="25"/>
        <v>ADA</v>
      </c>
      <c r="K1074" s="142">
        <v>12.0</v>
      </c>
      <c r="L1074" s="145" t="str">
        <f>IFERROR(__xludf.DUMMYFUNCTION("vlookup($D1074,IMPORTRANGE(""https://docs.google.com/spreadsheets/d/1swGwZOEqYlTEUCJLY-eeJM1911Kvaei5oySBIxdgtNo/edit?pli=1#gid=257618397"",""stock FAKTUR!B:q""),16,false)"),"PCS")</f>
        <v>PCS</v>
      </c>
      <c r="M1074" s="147">
        <v>98400.0</v>
      </c>
      <c r="N1074" s="152">
        <v>0.1</v>
      </c>
      <c r="O1074" s="147">
        <f t="shared" si="280"/>
        <v>1062720</v>
      </c>
      <c r="P1074" s="147" t="str">
        <f t="shared" si="3"/>
        <v>Rp98,400-12 PCS-10.00%</v>
      </c>
      <c r="Q1074" s="149">
        <v>45434.0</v>
      </c>
      <c r="R1074" s="150"/>
      <c r="S1074" s="149">
        <v>45439.0</v>
      </c>
      <c r="T1074" s="151"/>
      <c r="U1074" s="151"/>
      <c r="V1074" s="151"/>
      <c r="W1074" s="151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</row>
    <row r="1075">
      <c r="A1075" s="142">
        <v>4955.0</v>
      </c>
      <c r="B1075" s="143" t="s">
        <v>65</v>
      </c>
      <c r="C1075" s="143" t="s">
        <v>707</v>
      </c>
      <c r="D1075" s="53" t="s">
        <v>4521</v>
      </c>
      <c r="E1075" s="145" t="str">
        <f>IFERROR(__xludf.DUMMYFUNCTION("vlookup(D1075,IMPORTRANGE(""https://docs.google.com/spreadsheets/d/1swGwZOEqYlTEUCJLY-eeJM1911Kvaei5oySBIxdgtNo/edit?pli=1#gid=257618397"",""stock FAKTUR!B:C""),2,false)"),"CALCULATOR JK CC-25")</f>
        <v>CALCULATOR JK CC-25</v>
      </c>
      <c r="F1075" s="145" t="str">
        <f>IFERROR(__xludf.DUMMYFUNCTION("vlookup($D1075,IMPORTRANGE(""https://docs.google.com/spreadsheets/d/1swGwZOEqYlTEUCJLY-eeJM1911Kvaei5oySBIxdgtNo/edit?pli=1#gid=257618397"",""stock FAKTUR!B:d""),3,false)"),"")</f>
        <v/>
      </c>
      <c r="G1075" s="145" t="str">
        <f>IFERROR(__xludf.DUMMYFUNCTION("vlookup($D1075,IMPORTRANGE(""https://docs.google.com/spreadsheets/d/1swGwZOEqYlTEUCJLY-eeJM1911Kvaei5oySBIxdgtNo/edit?pli=1#gid=257618397"",""stock FAKTUR!B:e""),4,false)"),"")</f>
        <v/>
      </c>
      <c r="H1075" s="145" t="str">
        <f>IFERROR(__xludf.DUMMYFUNCTION("vlookup($D1075,IMPORTRANGE(""https://docs.google.com/spreadsheets/d/1swGwZOEqYlTEUCJLY-eeJM1911Kvaei5oySBIxdgtNo/edit?pli=1#gid=257618397"",""stock FAKTUR!B:F""),5,false)"),"JK")</f>
        <v>JK</v>
      </c>
      <c r="I1075" s="145" t="str">
        <f>IFERROR(__xludf.DUMMYFUNCTION("vlookup($D1075,IMPORTRANGE(""https://docs.google.com/spreadsheets/d/1swGwZOEqYlTEUCJLY-eeJM1911Kvaei5oySBIxdgtNo/edit?pli=1#gid=257618397"",""stock FAKTUR!B:G""),6,false)"),"CC-25")</f>
        <v>CC-25</v>
      </c>
      <c r="J1075" s="199" t="str">
        <f t="shared" si="25"/>
        <v>ADA</v>
      </c>
      <c r="K1075" s="142">
        <v>10.0</v>
      </c>
      <c r="L1075" s="145" t="str">
        <f>IFERROR(__xludf.DUMMYFUNCTION("vlookup($D1075,IMPORTRANGE(""https://docs.google.com/spreadsheets/d/1swGwZOEqYlTEUCJLY-eeJM1911Kvaei5oySBIxdgtNo/edit?pli=1#gid=257618397"",""stock FAKTUR!B:q""),16,false)"),"PCS")</f>
        <v>PCS</v>
      </c>
      <c r="M1075" s="147">
        <v>67000.0</v>
      </c>
      <c r="N1075" s="152">
        <v>0.14</v>
      </c>
      <c r="O1075" s="147">
        <f t="shared" si="280"/>
        <v>576200</v>
      </c>
      <c r="P1075" s="147" t="str">
        <f t="shared" si="3"/>
        <v>Rp67,000-10 PCS-14.00%</v>
      </c>
      <c r="Q1075" s="149">
        <v>45434.0</v>
      </c>
      <c r="R1075" s="149">
        <v>45432.0</v>
      </c>
      <c r="S1075" s="149">
        <v>45439.0</v>
      </c>
      <c r="T1075" s="151"/>
      <c r="U1075" s="151"/>
      <c r="V1075" s="151"/>
      <c r="W1075" s="151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</row>
    <row r="1076">
      <c r="A1076" s="142">
        <v>4955.0</v>
      </c>
      <c r="B1076" s="143" t="str">
        <f t="shared" ref="B1076:B1078" si="317">IF(A1076=A1075,B1075,"")</f>
        <v>A</v>
      </c>
      <c r="C1076" s="143" t="str">
        <f t="shared" ref="C1076:C1078" si="318">IF(A1076=A1075,C1075,"")</f>
        <v>SIDU-SALATIGA</v>
      </c>
      <c r="D1076" s="53" t="s">
        <v>4833</v>
      </c>
      <c r="E1076" s="145" t="str">
        <f>IFERROR(__xludf.DUMMYFUNCTION("vlookup(D1076,IMPORTRANGE(""https://docs.google.com/spreadsheets/d/1swGwZOEqYlTEUCJLY-eeJM1911Kvaei5oySBIxdgtNo/edit?pli=1#gid=257618397"",""stock FAKTUR!B:C""),2,false)"),"CALCULATOR JK CC-23 CO")</f>
        <v>CALCULATOR JK CC-23 CO</v>
      </c>
      <c r="F1076" s="145" t="str">
        <f>IFERROR(__xludf.DUMMYFUNCTION("vlookup($D1076,IMPORTRANGE(""https://docs.google.com/spreadsheets/d/1swGwZOEqYlTEUCJLY-eeJM1911Kvaei5oySBIxdgtNo/edit?pli=1#gid=257618397"",""stock FAKTUR!B:d""),3,false)"),"")</f>
        <v/>
      </c>
      <c r="G1076" s="145" t="str">
        <f>IFERROR(__xludf.DUMMYFUNCTION("vlookup($D1076,IMPORTRANGE(""https://docs.google.com/spreadsheets/d/1swGwZOEqYlTEUCJLY-eeJM1911Kvaei5oySBIxdgtNo/edit?pli=1#gid=257618397"",""stock FAKTUR!B:e""),4,false)"),"")</f>
        <v/>
      </c>
      <c r="H1076" s="145" t="str">
        <f>IFERROR(__xludf.DUMMYFUNCTION("vlookup($D1076,IMPORTRANGE(""https://docs.google.com/spreadsheets/d/1swGwZOEqYlTEUCJLY-eeJM1911Kvaei5oySBIxdgtNo/edit?pli=1#gid=257618397"",""stock FAKTUR!B:F""),5,false)"),"JK")</f>
        <v>JK</v>
      </c>
      <c r="I1076" s="145" t="str">
        <f>IFERROR(__xludf.DUMMYFUNCTION("vlookup($D1076,IMPORTRANGE(""https://docs.google.com/spreadsheets/d/1swGwZOEqYlTEUCJLY-eeJM1911Kvaei5oySBIxdgtNo/edit?pli=1#gid=257618397"",""stock FAKTUR!B:G""),6,false)"),"CC-23")</f>
        <v>CC-23</v>
      </c>
      <c r="J1076" s="199" t="str">
        <f t="shared" si="25"/>
        <v>ADA</v>
      </c>
      <c r="K1076" s="142">
        <v>10.0</v>
      </c>
      <c r="L1076" s="145" t="str">
        <f>IFERROR(__xludf.DUMMYFUNCTION("vlookup($D1076,IMPORTRANGE(""https://docs.google.com/spreadsheets/d/1swGwZOEqYlTEUCJLY-eeJM1911Kvaei5oySBIxdgtNo/edit?pli=1#gid=257618397"",""stock FAKTUR!B:q""),16,false)"),"PCS")</f>
        <v>PCS</v>
      </c>
      <c r="M1076" s="147">
        <v>50000.0</v>
      </c>
      <c r="N1076" s="152">
        <v>0.14</v>
      </c>
      <c r="O1076" s="147">
        <f t="shared" si="280"/>
        <v>430000</v>
      </c>
      <c r="P1076" s="147" t="str">
        <f t="shared" si="3"/>
        <v>Rp50,000-10 PCS-14.00%</v>
      </c>
      <c r="Q1076" s="149">
        <v>45434.0</v>
      </c>
      <c r="R1076" s="149">
        <v>45432.0</v>
      </c>
      <c r="S1076" s="149">
        <v>45439.0</v>
      </c>
      <c r="T1076" s="151"/>
      <c r="U1076" s="151"/>
      <c r="V1076" s="151"/>
      <c r="W1076" s="151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</row>
    <row r="1077">
      <c r="A1077" s="142">
        <v>4955.0</v>
      </c>
      <c r="B1077" s="143" t="str">
        <f t="shared" si="317"/>
        <v>A</v>
      </c>
      <c r="C1077" s="143" t="str">
        <f t="shared" si="318"/>
        <v>SIDU-SALATIGA</v>
      </c>
      <c r="D1077" s="53" t="s">
        <v>4704</v>
      </c>
      <c r="E1077" s="145" t="str">
        <f>IFERROR(__xludf.DUMMYFUNCTION("vlookup(D1077,IMPORTRANGE(""https://docs.google.com/spreadsheets/d/1swGwZOEqYlTEUCJLY-eeJM1911Kvaei5oySBIxdgtNo/edit?pli=1#gid=257618397"",""stock FAKTUR!B:C""),2,false)"),"PUNCH KENKO 30")</f>
        <v>PUNCH KENKO 30</v>
      </c>
      <c r="F1077" s="145" t="str">
        <f>IFERROR(__xludf.DUMMYFUNCTION("vlookup($D1077,IMPORTRANGE(""https://docs.google.com/spreadsheets/d/1swGwZOEqYlTEUCJLY-eeJM1911Kvaei5oySBIxdgtNo/edit?pli=1#gid=257618397"",""stock FAKTUR!B:d""),3,false)"),"")</f>
        <v/>
      </c>
      <c r="G1077" s="145" t="str">
        <f>IFERROR(__xludf.DUMMYFUNCTION("vlookup($D1077,IMPORTRANGE(""https://docs.google.com/spreadsheets/d/1swGwZOEqYlTEUCJLY-eeJM1911Kvaei5oySBIxdgtNo/edit?pli=1#gid=257618397"",""stock FAKTUR!B:e""),4,false)"),"")</f>
        <v/>
      </c>
      <c r="H1077" s="145" t="str">
        <f>IFERROR(__xludf.DUMMYFUNCTION("vlookup($D1077,IMPORTRANGE(""https://docs.google.com/spreadsheets/d/1swGwZOEqYlTEUCJLY-eeJM1911Kvaei5oySBIxdgtNo/edit?pli=1#gid=257618397"",""stock FAKTUR!B:F""),5,false)"),"KN")</f>
        <v>KN</v>
      </c>
      <c r="I1077" s="145" t="str">
        <f>IFERROR(__xludf.DUMMYFUNCTION("vlookup($D1077,IMPORTRANGE(""https://docs.google.com/spreadsheets/d/1swGwZOEqYlTEUCJLY-eeJM1911Kvaei5oySBIxdgtNo/edit?pli=1#gid=257618397"",""stock FAKTUR!B:G""),6,false)"),"PNC-002")</f>
        <v>PNC-002</v>
      </c>
      <c r="J1077" s="199" t="str">
        <f t="shared" si="25"/>
        <v>ADA</v>
      </c>
      <c r="K1077" s="142">
        <v>5.0</v>
      </c>
      <c r="L1077" s="145" t="str">
        <f>IFERROR(__xludf.DUMMYFUNCTION("vlookup($D1077,IMPORTRANGE(""https://docs.google.com/spreadsheets/d/1swGwZOEqYlTEUCJLY-eeJM1911Kvaei5oySBIxdgtNo/edit?pli=1#gid=257618397"",""stock FAKTUR!B:q""),16,false)"),"LSN")</f>
        <v>LSN</v>
      </c>
      <c r="M1077" s="147">
        <v>156000.0</v>
      </c>
      <c r="N1077" s="152">
        <v>0.14</v>
      </c>
      <c r="O1077" s="147">
        <f t="shared" si="280"/>
        <v>670800</v>
      </c>
      <c r="P1077" s="147" t="str">
        <f t="shared" si="3"/>
        <v>Rp156,000-5 LSN-14.00%</v>
      </c>
      <c r="Q1077" s="149">
        <v>45434.0</v>
      </c>
      <c r="R1077" s="149">
        <v>45434.0</v>
      </c>
      <c r="S1077" s="149">
        <v>45439.0</v>
      </c>
      <c r="T1077" s="151"/>
      <c r="U1077" s="151"/>
      <c r="V1077" s="151"/>
      <c r="W1077" s="151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</row>
    <row r="1078">
      <c r="A1078" s="142">
        <v>4955.0</v>
      </c>
      <c r="B1078" s="143" t="str">
        <f t="shared" si="317"/>
        <v>A</v>
      </c>
      <c r="C1078" s="143" t="str">
        <f t="shared" si="318"/>
        <v>SIDU-SALATIGA</v>
      </c>
      <c r="D1078" s="53" t="s">
        <v>4514</v>
      </c>
      <c r="E1078" s="145" t="str">
        <f>IFERROR(__xludf.DUMMYFUNCTION("vlookup(D1078,IMPORTRANGE(""https://docs.google.com/spreadsheets/d/1swGwZOEqYlTEUCJLY-eeJM1911Kvaei5oySBIxdgtNo/edit?pli=1#gid=257618397"",""stock FAKTUR!B:C""),2,false)"),"TAPE DISPENSER KENKO TD-323")</f>
        <v>TAPE DISPENSER KENKO TD-323</v>
      </c>
      <c r="F1078" s="145" t="str">
        <f>IFERROR(__xludf.DUMMYFUNCTION("vlookup($D1078,IMPORTRANGE(""https://docs.google.com/spreadsheets/d/1swGwZOEqYlTEUCJLY-eeJM1911Kvaei5oySBIxdgtNo/edit?pli=1#gid=257618397"",""stock FAKTUR!B:d""),3,false)"),"")</f>
        <v/>
      </c>
      <c r="G1078" s="145" t="str">
        <f>IFERROR(__xludf.DUMMYFUNCTION("vlookup($D1078,IMPORTRANGE(""https://docs.google.com/spreadsheets/d/1swGwZOEqYlTEUCJLY-eeJM1911Kvaei5oySBIxdgtNo/edit?pli=1#gid=257618397"",""stock FAKTUR!B:e""),4,false)"),"")</f>
        <v/>
      </c>
      <c r="H1078" s="145" t="str">
        <f>IFERROR(__xludf.DUMMYFUNCTION("vlookup($D1078,IMPORTRANGE(""https://docs.google.com/spreadsheets/d/1swGwZOEqYlTEUCJLY-eeJM1911Kvaei5oySBIxdgtNo/edit?pli=1#gid=257618397"",""stock FAKTUR!B:F""),5,false)"),"KN")</f>
        <v>KN</v>
      </c>
      <c r="I1078" s="145" t="str">
        <f>IFERROR(__xludf.DUMMYFUNCTION("vlookup($D1078,IMPORTRANGE(""https://docs.google.com/spreadsheets/d/1swGwZOEqYlTEUCJLY-eeJM1911Kvaei5oySBIxdgtNo/edit?pli=1#gid=257618397"",""stock FAKTUR!B:G""),6,false)"),"TPD-006")</f>
        <v>TPD-006</v>
      </c>
      <c r="J1078" s="199" t="str">
        <f t="shared" si="25"/>
        <v>ADA</v>
      </c>
      <c r="K1078" s="142">
        <v>96.0</v>
      </c>
      <c r="L1078" s="145" t="str">
        <f>IFERROR(__xludf.DUMMYFUNCTION("vlookup($D1078,IMPORTRANGE(""https://docs.google.com/spreadsheets/d/1swGwZOEqYlTEUCJLY-eeJM1911Kvaei5oySBIxdgtNo/edit?pli=1#gid=257618397"",""stock FAKTUR!B:q""),16,false)"),"PCS")</f>
        <v>PCS</v>
      </c>
      <c r="M1078" s="147">
        <v>19250.0</v>
      </c>
      <c r="N1078" s="152">
        <v>0.14</v>
      </c>
      <c r="O1078" s="147">
        <f t="shared" si="280"/>
        <v>1589280</v>
      </c>
      <c r="P1078" s="147" t="str">
        <f t="shared" si="3"/>
        <v>Rp19,250-96 PCS-14.00%</v>
      </c>
      <c r="Q1078" s="149">
        <v>45434.0</v>
      </c>
      <c r="R1078" s="149">
        <v>45434.0</v>
      </c>
      <c r="S1078" s="149">
        <v>45439.0</v>
      </c>
      <c r="T1078" s="151"/>
      <c r="U1078" s="151"/>
      <c r="V1078" s="151"/>
      <c r="W1078" s="151"/>
      <c r="X1078" s="49"/>
      <c r="Y1078" s="49"/>
      <c r="Z1078" s="49"/>
      <c r="AA1078" s="49"/>
      <c r="AB1078" s="49"/>
      <c r="AC1078" s="49"/>
      <c r="AD1078" s="49"/>
      <c r="AE1078" s="49"/>
      <c r="AF1078" s="49"/>
      <c r="AG1078" s="49"/>
    </row>
    <row r="1079">
      <c r="A1079" s="142">
        <v>4971.0</v>
      </c>
      <c r="B1079" s="143" t="s">
        <v>58</v>
      </c>
      <c r="C1079" s="143" t="s">
        <v>2578</v>
      </c>
      <c r="D1079" s="53" t="s">
        <v>4441</v>
      </c>
      <c r="E1079" s="145" t="str">
        <f>IFERROR(__xludf.DUMMYFUNCTION("vlookup(D1079,IMPORTRANGE(""https://docs.google.com/spreadsheets/d/1swGwZOEqYlTEUCJLY-eeJM1911Kvaei5oySBIxdgtNo/edit?pli=1#gid=257618397"",""stock FAKTUR!B:C""),2,false)"),"GUNTING KENKO SC-848N")</f>
        <v>GUNTING KENKO SC-848N</v>
      </c>
      <c r="F1079" s="145" t="str">
        <f>IFERROR(__xludf.DUMMYFUNCTION("vlookup($D1079,IMPORTRANGE(""https://docs.google.com/spreadsheets/d/1swGwZOEqYlTEUCJLY-eeJM1911Kvaei5oySBIxdgtNo/edit?pli=1#gid=257618397"",""stock FAKTUR!B:d""),3,false)"),"")</f>
        <v/>
      </c>
      <c r="G1079" s="145" t="str">
        <f>IFERROR(__xludf.DUMMYFUNCTION("vlookup($D1079,IMPORTRANGE(""https://docs.google.com/spreadsheets/d/1swGwZOEqYlTEUCJLY-eeJM1911Kvaei5oySBIxdgtNo/edit?pli=1#gid=257618397"",""stock FAKTUR!B:e""),4,false)"),"")</f>
        <v/>
      </c>
      <c r="H1079" s="145" t="str">
        <f>IFERROR(__xludf.DUMMYFUNCTION("vlookup($D1079,IMPORTRANGE(""https://docs.google.com/spreadsheets/d/1swGwZOEqYlTEUCJLY-eeJM1911Kvaei5oySBIxdgtNo/edit?pli=1#gid=257618397"",""stock FAKTUR!B:F""),5,false)"),"KN")</f>
        <v>KN</v>
      </c>
      <c r="I1079" s="145" t="str">
        <f>IFERROR(__xludf.DUMMYFUNCTION("vlookup($D1079,IMPORTRANGE(""https://docs.google.com/spreadsheets/d/1swGwZOEqYlTEUCJLY-eeJM1911Kvaei5oySBIxdgtNo/edit?pli=1#gid=257618397"",""stock FAKTUR!B:G""),6,false)"),"SCS-003GO")</f>
        <v>SCS-003GO</v>
      </c>
      <c r="J1079" s="199" t="str">
        <f t="shared" si="25"/>
        <v>ADA</v>
      </c>
      <c r="K1079" s="142">
        <v>10.0</v>
      </c>
      <c r="L1079" s="145" t="str">
        <f>IFERROR(__xludf.DUMMYFUNCTION("vlookup($D1079,IMPORTRANGE(""https://docs.google.com/spreadsheets/d/1swGwZOEqYlTEUCJLY-eeJM1911Kvaei5oySBIxdgtNo/edit?pli=1#gid=257618397"",""stock FAKTUR!B:q""),16,false)"),"LSN")</f>
        <v>LSN</v>
      </c>
      <c r="M1079" s="147">
        <v>118800.0</v>
      </c>
      <c r="N1079" s="152">
        <v>0.125</v>
      </c>
      <c r="O1079" s="147">
        <f t="shared" si="280"/>
        <v>1039500</v>
      </c>
      <c r="P1079" s="147" t="str">
        <f t="shared" si="3"/>
        <v>Rp118,800-10 LSN-12.50%</v>
      </c>
      <c r="Q1079" s="149">
        <v>45434.0</v>
      </c>
      <c r="R1079" s="150"/>
      <c r="S1079" s="149">
        <v>45439.0</v>
      </c>
      <c r="T1079" s="151"/>
      <c r="U1079" s="151"/>
      <c r="V1079" s="151"/>
      <c r="W1079" s="151"/>
      <c r="X1079" s="49"/>
      <c r="Y1079" s="49"/>
      <c r="Z1079" s="49"/>
      <c r="AA1079" s="49"/>
      <c r="AB1079" s="49"/>
      <c r="AC1079" s="49"/>
      <c r="AD1079" s="49"/>
      <c r="AE1079" s="49"/>
      <c r="AF1079" s="49"/>
      <c r="AG1079" s="49"/>
    </row>
    <row r="1080">
      <c r="A1080" s="142">
        <v>243.0</v>
      </c>
      <c r="B1080" s="143" t="str">
        <f>IF(A1080=A1079,B1079,"")</f>
        <v/>
      </c>
      <c r="C1080" s="143" t="s">
        <v>4518</v>
      </c>
      <c r="D1080" s="53" t="s">
        <v>4405</v>
      </c>
      <c r="E1080" s="145" t="str">
        <f>IFERROR(__xludf.DUMMYFUNCTION("vlookup(D1080,IMPORTRANGE(""https://docs.google.com/spreadsheets/d/1swGwZOEqYlTEUCJLY-eeJM1911Kvaei5oySBIxdgtNo/edit?pli=1#gid=257618397"",""stock FAKTUR!B:C""),2,false)"),"BK KAS KWARTO")</f>
        <v>BK KAS KWARTO</v>
      </c>
      <c r="F1080" s="145" t="str">
        <f>IFERROR(__xludf.DUMMYFUNCTION("vlookup($D1080,IMPORTRANGE(""https://docs.google.com/spreadsheets/d/1swGwZOEqYlTEUCJLY-eeJM1911Kvaei5oySBIxdgtNo/edit?pli=1#gid=257618397"",""stock FAKTUR!B:d""),3,false)"),"A4")</f>
        <v>A4</v>
      </c>
      <c r="G1080" s="145" t="str">
        <f>IFERROR(__xludf.DUMMYFUNCTION("vlookup($D1080,IMPORTRANGE(""https://docs.google.com/spreadsheets/d/1swGwZOEqYlTEUCJLY-eeJM1911Kvaei5oySBIxdgtNo/edit?pli=1#gid=257618397"",""stock FAKTUR!B:e""),4,false)"),"")</f>
        <v/>
      </c>
      <c r="H1080" s="145" t="str">
        <f>IFERROR(__xludf.DUMMYFUNCTION("vlookup($D1080,IMPORTRANGE(""https://docs.google.com/spreadsheets/d/1swGwZOEqYlTEUCJLY-eeJM1911Kvaei5oySBIxdgtNo/edit?pli=1#gid=257618397"",""stock FAKTUR!B:F""),5,false)"),"NB")</f>
        <v>NB</v>
      </c>
      <c r="I1080" s="145" t="str">
        <f>IFERROR(__xludf.DUMMYFUNCTION("vlookup($D1080,IMPORTRANGE(""https://docs.google.com/spreadsheets/d/1swGwZOEqYlTEUCJLY-eeJM1911Kvaei5oySBIxdgtNo/edit?pli=1#gid=257618397"",""stock FAKTUR!B:G""),6,false)"),"")</f>
        <v/>
      </c>
      <c r="J1080" s="199" t="str">
        <f t="shared" si="25"/>
        <v>ADA</v>
      </c>
      <c r="K1080" s="142">
        <v>50.0</v>
      </c>
      <c r="L1080" s="145" t="str">
        <f>IFERROR(__xludf.DUMMYFUNCTION("vlookup($D1080,IMPORTRANGE(""https://docs.google.com/spreadsheets/d/1swGwZOEqYlTEUCJLY-eeJM1911Kvaei5oySBIxdgtNo/edit?pli=1#gid=257618397"",""stock FAKTUR!B:q""),16,false)"),"PCS")</f>
        <v>PCS</v>
      </c>
      <c r="M1080" s="147">
        <v>8500.0</v>
      </c>
      <c r="N1080" s="148"/>
      <c r="O1080" s="147">
        <f t="shared" si="280"/>
        <v>425000</v>
      </c>
      <c r="P1080" s="147" t="str">
        <f t="shared" si="3"/>
        <v>Rp8,500-50 PCS-0.00%</v>
      </c>
      <c r="Q1080" s="149">
        <v>45434.0</v>
      </c>
      <c r="R1080" s="150"/>
      <c r="S1080" s="149">
        <v>45439.0</v>
      </c>
      <c r="T1080" s="151"/>
      <c r="U1080" s="151"/>
      <c r="V1080" s="151"/>
      <c r="W1080" s="151"/>
      <c r="X1080" s="49"/>
      <c r="Y1080" s="49"/>
      <c r="Z1080" s="49"/>
      <c r="AA1080" s="49"/>
      <c r="AB1080" s="49"/>
      <c r="AC1080" s="49"/>
      <c r="AD1080" s="49"/>
      <c r="AE1080" s="49"/>
      <c r="AF1080" s="49"/>
      <c r="AG1080" s="49"/>
    </row>
    <row r="1081">
      <c r="A1081" s="142">
        <v>4822.0</v>
      </c>
      <c r="B1081" s="143" t="s">
        <v>33</v>
      </c>
      <c r="C1081" s="143" t="s">
        <v>1768</v>
      </c>
      <c r="D1081" s="53" t="s">
        <v>4620</v>
      </c>
      <c r="E1081" s="145" t="str">
        <f>IFERROR(__xludf.DUMMYFUNCTION("vlookup(D1081,IMPORTRANGE(""https://docs.google.com/spreadsheets/d/1swGwZOEqYlTEUCJLY-eeJM1911Kvaei5oySBIxdgtNo/edit?pli=1#gid=257618397"",""stock FAKTUR!B:C""),2,false)"),"STIP KENKO ERB-20SQ HITAM")</f>
        <v>STIP KENKO ERB-20SQ HITAM</v>
      </c>
      <c r="F1081" s="145" t="str">
        <f>IFERROR(__xludf.DUMMYFUNCTION("vlookup($D1081,IMPORTRANGE(""https://docs.google.com/spreadsheets/d/1swGwZOEqYlTEUCJLY-eeJM1911Kvaei5oySBIxdgtNo/edit?pli=1#gid=257618397"",""stock FAKTUR!B:d""),3,false)"),"")</f>
        <v/>
      </c>
      <c r="G1081" s="145" t="str">
        <f>IFERROR(__xludf.DUMMYFUNCTION("vlookup($D1081,IMPORTRANGE(""https://docs.google.com/spreadsheets/d/1swGwZOEqYlTEUCJLY-eeJM1911Kvaei5oySBIxdgtNo/edit?pli=1#gid=257618397"",""stock FAKTUR!B:e""),4,false)"),"HITAM")</f>
        <v>HITAM</v>
      </c>
      <c r="H1081" s="145" t="str">
        <f>IFERROR(__xludf.DUMMYFUNCTION("vlookup($D1081,IMPORTRANGE(""https://docs.google.com/spreadsheets/d/1swGwZOEqYlTEUCJLY-eeJM1911Kvaei5oySBIxdgtNo/edit?pli=1#gid=257618397"",""stock FAKTUR!B:F""),5,false)"),"KN")</f>
        <v>KN</v>
      </c>
      <c r="I1081" s="145" t="str">
        <f>IFERROR(__xludf.DUMMYFUNCTION("vlookup($D1081,IMPORTRANGE(""https://docs.google.com/spreadsheets/d/1swGwZOEqYlTEUCJLY-eeJM1911Kvaei5oySBIxdgtNo/edit?pli=1#gid=257618397"",""stock FAKTUR!B:G""),6,false)"),"ERS-001")</f>
        <v>ERS-001</v>
      </c>
      <c r="J1081" s="199" t="str">
        <f t="shared" si="25"/>
        <v>ADA</v>
      </c>
      <c r="K1081" s="142">
        <v>5.0</v>
      </c>
      <c r="L1081" s="145" t="str">
        <f>IFERROR(__xludf.DUMMYFUNCTION("vlookup($D1081,IMPORTRANGE(""https://docs.google.com/spreadsheets/d/1swGwZOEqYlTEUCJLY-eeJM1911Kvaei5oySBIxdgtNo/edit?pli=1#gid=257618397"",""stock FAKTUR!B:q""),16,false)"),"BOX")</f>
        <v>BOX</v>
      </c>
      <c r="M1081" s="147">
        <v>30000.0</v>
      </c>
      <c r="N1081" s="152">
        <v>0.125</v>
      </c>
      <c r="O1081" s="147">
        <f t="shared" si="280"/>
        <v>131250</v>
      </c>
      <c r="P1081" s="147" t="str">
        <f t="shared" si="3"/>
        <v>Rp30,000-5 BOX-12.50%</v>
      </c>
      <c r="Q1081" s="149">
        <v>45434.0</v>
      </c>
      <c r="R1081" s="150"/>
      <c r="S1081" s="149">
        <v>45439.0</v>
      </c>
      <c r="T1081" s="151"/>
      <c r="U1081" s="151"/>
      <c r="V1081" s="151"/>
      <c r="W1081" s="151"/>
      <c r="X1081" s="49"/>
      <c r="Y1081" s="49"/>
      <c r="Z1081" s="49"/>
      <c r="AA1081" s="49"/>
      <c r="AB1081" s="49"/>
      <c r="AC1081" s="49"/>
      <c r="AD1081" s="49"/>
      <c r="AE1081" s="49"/>
      <c r="AF1081" s="49"/>
      <c r="AG1081" s="49"/>
    </row>
    <row r="1082">
      <c r="A1082" s="142">
        <v>4822.0</v>
      </c>
      <c r="B1082" s="143" t="str">
        <f t="shared" ref="B1082:B1086" si="319">IF(A1082=A1081,B1081,"")</f>
        <v>H</v>
      </c>
      <c r="C1082" s="143" t="str">
        <f t="shared" ref="C1082:C1086" si="320">IF(A1082=A1081,C1081,"")</f>
        <v>SISWA-MUNTILAN</v>
      </c>
      <c r="D1082" s="53" t="s">
        <v>4459</v>
      </c>
      <c r="E1082" s="145" t="str">
        <f>IFERROR(__xludf.DUMMYFUNCTION("vlookup(D1082,IMPORTRANGE(""https://docs.google.com/spreadsheets/d/1swGwZOEqYlTEUCJLY-eeJM1911Kvaei5oySBIxdgtNo/edit?pli=1#gid=257618397"",""stock FAKTUR!B:C""),2,false)"),"STIP KENKO ERW-20SQ PUTIH")</f>
        <v>STIP KENKO ERW-20SQ PUTIH</v>
      </c>
      <c r="F1082" s="145" t="str">
        <f>IFERROR(__xludf.DUMMYFUNCTION("vlookup($D1082,IMPORTRANGE(""https://docs.google.com/spreadsheets/d/1swGwZOEqYlTEUCJLY-eeJM1911Kvaei5oySBIxdgtNo/edit?pli=1#gid=257618397"",""stock FAKTUR!B:d""),3,false)"),"")</f>
        <v/>
      </c>
      <c r="G1082" s="145" t="str">
        <f>IFERROR(__xludf.DUMMYFUNCTION("vlookup($D1082,IMPORTRANGE(""https://docs.google.com/spreadsheets/d/1swGwZOEqYlTEUCJLY-eeJM1911Kvaei5oySBIxdgtNo/edit?pli=1#gid=257618397"",""stock FAKTUR!B:e""),4,false)"),"PUTIH")</f>
        <v>PUTIH</v>
      </c>
      <c r="H1082" s="145" t="str">
        <f>IFERROR(__xludf.DUMMYFUNCTION("vlookup($D1082,IMPORTRANGE(""https://docs.google.com/spreadsheets/d/1swGwZOEqYlTEUCJLY-eeJM1911Kvaei5oySBIxdgtNo/edit?pli=1#gid=257618397"",""stock FAKTUR!B:F""),5,false)"),"KN")</f>
        <v>KN</v>
      </c>
      <c r="I1082" s="145" t="str">
        <f>IFERROR(__xludf.DUMMYFUNCTION("vlookup($D1082,IMPORTRANGE(""https://docs.google.com/spreadsheets/d/1swGwZOEqYlTEUCJLY-eeJM1911Kvaei5oySBIxdgtNo/edit?pli=1#gid=257618397"",""stock FAKTUR!B:G""),6,false)"),"ERS-002")</f>
        <v>ERS-002</v>
      </c>
      <c r="J1082" s="199" t="str">
        <f t="shared" si="25"/>
        <v>ADA</v>
      </c>
      <c r="K1082" s="142">
        <v>5.0</v>
      </c>
      <c r="L1082" s="145" t="str">
        <f>IFERROR(__xludf.DUMMYFUNCTION("vlookup($D1082,IMPORTRANGE(""https://docs.google.com/spreadsheets/d/1swGwZOEqYlTEUCJLY-eeJM1911Kvaei5oySBIxdgtNo/edit?pli=1#gid=257618397"",""stock FAKTUR!B:q""),16,false)"),"BOX")</f>
        <v>BOX</v>
      </c>
      <c r="M1082" s="147">
        <v>30000.0</v>
      </c>
      <c r="N1082" s="152">
        <v>0.125</v>
      </c>
      <c r="O1082" s="147">
        <f t="shared" si="280"/>
        <v>131250</v>
      </c>
      <c r="P1082" s="147" t="str">
        <f t="shared" si="3"/>
        <v>Rp30,000-5 BOX-12.50%</v>
      </c>
      <c r="Q1082" s="149">
        <v>45434.0</v>
      </c>
      <c r="R1082" s="150"/>
      <c r="S1082" s="149">
        <v>45439.0</v>
      </c>
      <c r="T1082" s="151"/>
      <c r="U1082" s="151"/>
      <c r="V1082" s="151"/>
      <c r="W1082" s="151"/>
      <c r="X1082" s="49"/>
      <c r="Y1082" s="49"/>
      <c r="Z1082" s="49"/>
      <c r="AA1082" s="49"/>
      <c r="AB1082" s="49"/>
      <c r="AC1082" s="49"/>
      <c r="AD1082" s="49"/>
      <c r="AE1082" s="49"/>
      <c r="AF1082" s="49"/>
      <c r="AG1082" s="49"/>
    </row>
    <row r="1083">
      <c r="A1083" s="142">
        <v>4822.0</v>
      </c>
      <c r="B1083" s="143" t="str">
        <f t="shared" si="319"/>
        <v>H</v>
      </c>
      <c r="C1083" s="143" t="str">
        <f t="shared" si="320"/>
        <v>SISWA-MUNTILAN</v>
      </c>
      <c r="D1083" s="53" t="s">
        <v>4621</v>
      </c>
      <c r="E1083" s="145" t="str">
        <f>IFERROR(__xludf.DUMMYFUNCTION("vlookup(D1083,IMPORTRANGE(""https://docs.google.com/spreadsheets/d/1swGwZOEqYlTEUCJLY-eeJM1911Kvaei5oySBIxdgtNo/edit?pli=1#gid=257618397"",""stock FAKTUR!B:C""),2,false)"),"PUNCH KENKO 30XL")</f>
        <v>PUNCH KENKO 30XL</v>
      </c>
      <c r="F1083" s="145" t="str">
        <f>IFERROR(__xludf.DUMMYFUNCTION("vlookup($D1083,IMPORTRANGE(""https://docs.google.com/spreadsheets/d/1swGwZOEqYlTEUCJLY-eeJM1911Kvaei5oySBIxdgtNo/edit?pli=1#gid=257618397"",""stock FAKTUR!B:d""),3,false)"),"")</f>
        <v/>
      </c>
      <c r="G1083" s="145" t="str">
        <f>IFERROR(__xludf.DUMMYFUNCTION("vlookup($D1083,IMPORTRANGE(""https://docs.google.com/spreadsheets/d/1swGwZOEqYlTEUCJLY-eeJM1911Kvaei5oySBIxdgtNo/edit?pli=1#gid=257618397"",""stock FAKTUR!B:e""),4,false)"),"")</f>
        <v/>
      </c>
      <c r="H1083" s="145" t="str">
        <f>IFERROR(__xludf.DUMMYFUNCTION("vlookup($D1083,IMPORTRANGE(""https://docs.google.com/spreadsheets/d/1swGwZOEqYlTEUCJLY-eeJM1911Kvaei5oySBIxdgtNo/edit?pli=1#gid=257618397"",""stock FAKTUR!B:F""),5,false)"),"KN")</f>
        <v>KN</v>
      </c>
      <c r="I1083" s="145" t="str">
        <f>IFERROR(__xludf.DUMMYFUNCTION("vlookup($D1083,IMPORTRANGE(""https://docs.google.com/spreadsheets/d/1swGwZOEqYlTEUCJLY-eeJM1911Kvaei5oySBIxdgtNo/edit?pli=1#gid=257618397"",""stock FAKTUR!B:G""),6,false)"),"PNC-006")</f>
        <v>PNC-006</v>
      </c>
      <c r="J1083" s="199" t="str">
        <f t="shared" si="25"/>
        <v>ADA</v>
      </c>
      <c r="K1083" s="142">
        <v>2.0</v>
      </c>
      <c r="L1083" s="145" t="str">
        <f>IFERROR(__xludf.DUMMYFUNCTION("vlookup($D1083,IMPORTRANGE(""https://docs.google.com/spreadsheets/d/1swGwZOEqYlTEUCJLY-eeJM1911Kvaei5oySBIxdgtNo/edit?pli=1#gid=257618397"",""stock FAKTUR!B:q""),16,false)"),"LSN")</f>
        <v>LSN</v>
      </c>
      <c r="M1083" s="147">
        <f>15000*12</f>
        <v>180000</v>
      </c>
      <c r="N1083" s="152">
        <v>0.125</v>
      </c>
      <c r="O1083" s="147">
        <f t="shared" si="280"/>
        <v>315000</v>
      </c>
      <c r="P1083" s="147" t="str">
        <f t="shared" si="3"/>
        <v>Rp180,000-2 LSN-12.50%</v>
      </c>
      <c r="Q1083" s="149">
        <v>45434.0</v>
      </c>
      <c r="R1083" s="150"/>
      <c r="S1083" s="149">
        <v>45439.0</v>
      </c>
      <c r="T1083" s="151"/>
      <c r="U1083" s="151"/>
      <c r="V1083" s="151"/>
      <c r="W1083" s="151"/>
      <c r="X1083" s="49"/>
      <c r="Y1083" s="49"/>
      <c r="Z1083" s="49"/>
      <c r="AA1083" s="49"/>
      <c r="AB1083" s="49"/>
      <c r="AC1083" s="49"/>
      <c r="AD1083" s="49"/>
      <c r="AE1083" s="49"/>
      <c r="AF1083" s="49"/>
      <c r="AG1083" s="49"/>
    </row>
    <row r="1084">
      <c r="A1084" s="142">
        <v>4822.0</v>
      </c>
      <c r="B1084" s="143" t="str">
        <f t="shared" si="319"/>
        <v>H</v>
      </c>
      <c r="C1084" s="143" t="str">
        <f t="shared" si="320"/>
        <v>SISWA-MUNTILAN</v>
      </c>
      <c r="D1084" s="53" t="s">
        <v>4431</v>
      </c>
      <c r="E1084" s="145" t="str">
        <f>IFERROR(__xludf.DUMMYFUNCTION("vlookup(D1084,IMPORTRANGE(""https://docs.google.com/spreadsheets/d/1swGwZOEqYlTEUCJLY-eeJM1911Kvaei5oySBIxdgtNo/edit?pli=1#gid=257618397"",""stock FAKTUR!B:C""),2,false)"),"MESIN LABEL HARGA KENKO MX-5500")</f>
        <v>MESIN LABEL HARGA KENKO MX-5500</v>
      </c>
      <c r="F1084" s="145" t="str">
        <f>IFERROR(__xludf.DUMMYFUNCTION("vlookup($D1084,IMPORTRANGE(""https://docs.google.com/spreadsheets/d/1swGwZOEqYlTEUCJLY-eeJM1911Kvaei5oySBIxdgtNo/edit?pli=1#gid=257618397"",""stock FAKTUR!B:d""),3,false)"),"")</f>
        <v/>
      </c>
      <c r="G1084" s="145" t="str">
        <f>IFERROR(__xludf.DUMMYFUNCTION("vlookup($D1084,IMPORTRANGE(""https://docs.google.com/spreadsheets/d/1swGwZOEqYlTEUCJLY-eeJM1911Kvaei5oySBIxdgtNo/edit?pli=1#gid=257618397"",""stock FAKTUR!B:e""),4,false)"),"")</f>
        <v/>
      </c>
      <c r="H1084" s="145" t="str">
        <f>IFERROR(__xludf.DUMMYFUNCTION("vlookup($D1084,IMPORTRANGE(""https://docs.google.com/spreadsheets/d/1swGwZOEqYlTEUCJLY-eeJM1911Kvaei5oySBIxdgtNo/edit?pli=1#gid=257618397"",""stock FAKTUR!B:F""),5,false)"),"KN")</f>
        <v>KN</v>
      </c>
      <c r="I1084" s="145" t="str">
        <f>IFERROR(__xludf.DUMMYFUNCTION("vlookup($D1084,IMPORTRANGE(""https://docs.google.com/spreadsheets/d/1swGwZOEqYlTEUCJLY-eeJM1911Kvaei5oySBIxdgtNo/edit?pli=1#gid=257618397"",""stock FAKTUR!B:G""),6,false)"),"PLR-001")</f>
        <v>PLR-001</v>
      </c>
      <c r="J1084" s="199" t="str">
        <f t="shared" si="25"/>
        <v>ADA</v>
      </c>
      <c r="K1084" s="142">
        <v>6.0</v>
      </c>
      <c r="L1084" s="145" t="str">
        <f>IFERROR(__xludf.DUMMYFUNCTION("vlookup($D1084,IMPORTRANGE(""https://docs.google.com/spreadsheets/d/1swGwZOEqYlTEUCJLY-eeJM1911Kvaei5oySBIxdgtNo/edit?pli=1#gid=257618397"",""stock FAKTUR!B:q""),16,false)"),"PCS")</f>
        <v>PCS</v>
      </c>
      <c r="M1084" s="147">
        <f>45000</f>
        <v>45000</v>
      </c>
      <c r="N1084" s="152">
        <v>0.125</v>
      </c>
      <c r="O1084" s="147">
        <f t="shared" si="280"/>
        <v>236250</v>
      </c>
      <c r="P1084" s="147" t="str">
        <f t="shared" si="3"/>
        <v>Rp45,000-6 PCS-12.50%</v>
      </c>
      <c r="Q1084" s="149">
        <v>45434.0</v>
      </c>
      <c r="R1084" s="150"/>
      <c r="S1084" s="149">
        <v>45439.0</v>
      </c>
      <c r="T1084" s="151"/>
      <c r="U1084" s="151"/>
      <c r="V1084" s="151"/>
      <c r="W1084" s="151"/>
      <c r="X1084" s="49"/>
      <c r="Y1084" s="49"/>
      <c r="Z1084" s="49"/>
      <c r="AA1084" s="49"/>
      <c r="AB1084" s="49"/>
      <c r="AC1084" s="49"/>
      <c r="AD1084" s="49"/>
      <c r="AE1084" s="49"/>
      <c r="AF1084" s="49"/>
      <c r="AG1084" s="49"/>
    </row>
    <row r="1085">
      <c r="A1085" s="142">
        <v>4822.0</v>
      </c>
      <c r="B1085" s="143" t="str">
        <f t="shared" si="319"/>
        <v>H</v>
      </c>
      <c r="C1085" s="143" t="str">
        <f t="shared" si="320"/>
        <v>SISWA-MUNTILAN</v>
      </c>
      <c r="D1085" s="53" t="s">
        <v>4708</v>
      </c>
      <c r="E1085" s="145" t="str">
        <f>IFERROR(__xludf.DUMMYFUNCTION("vlookup(D1085,IMPORTRANGE(""https://docs.google.com/spreadsheets/d/1swGwZOEqYlTEUCJLY-eeJM1911Kvaei5oySBIxdgtNo/edit?pli=1#gid=257618397"",""stock FAKTUR!B:C""),2,false)"),"BINDER CLIP KENKO NO. 155")</f>
        <v>BINDER CLIP KENKO NO. 155</v>
      </c>
      <c r="F1085" s="145" t="str">
        <f>IFERROR(__xludf.DUMMYFUNCTION("vlookup($D1085,IMPORTRANGE(""https://docs.google.com/spreadsheets/d/1swGwZOEqYlTEUCJLY-eeJM1911Kvaei5oySBIxdgtNo/edit?pli=1#gid=257618397"",""stock FAKTUR!B:d""),3,false)"),"")</f>
        <v/>
      </c>
      <c r="G1085" s="145" t="str">
        <f>IFERROR(__xludf.DUMMYFUNCTION("vlookup($D1085,IMPORTRANGE(""https://docs.google.com/spreadsheets/d/1swGwZOEqYlTEUCJLY-eeJM1911Kvaei5oySBIxdgtNo/edit?pli=1#gid=257618397"",""stock FAKTUR!B:e""),4,false)"),"")</f>
        <v/>
      </c>
      <c r="H1085" s="145" t="str">
        <f>IFERROR(__xludf.DUMMYFUNCTION("vlookup($D1085,IMPORTRANGE(""https://docs.google.com/spreadsheets/d/1swGwZOEqYlTEUCJLY-eeJM1911Kvaei5oySBIxdgtNo/edit?pli=1#gid=257618397"",""stock FAKTUR!B:F""),5,false)"),"KN")</f>
        <v>KN</v>
      </c>
      <c r="I1085" s="145" t="str">
        <f>IFERROR(__xludf.DUMMYFUNCTION("vlookup($D1085,IMPORTRANGE(""https://docs.google.com/spreadsheets/d/1swGwZOEqYlTEUCJLY-eeJM1911Kvaei5oySBIxdgtNo/edit?pli=1#gid=257618397"",""stock FAKTUR!B:G""),6,false)"),"BCL-004QH")</f>
        <v>BCL-004QH</v>
      </c>
      <c r="J1085" s="199" t="str">
        <f t="shared" si="25"/>
        <v>ADA</v>
      </c>
      <c r="K1085" s="142">
        <v>5.0</v>
      </c>
      <c r="L1085" s="145" t="str">
        <f>IFERROR(__xludf.DUMMYFUNCTION("vlookup($D1085,IMPORTRANGE(""https://docs.google.com/spreadsheets/d/1swGwZOEqYlTEUCJLY-eeJM1911Kvaei5oySBIxdgtNo/edit?pli=1#gid=257618397"",""stock FAKTUR!B:q""),16,false)"),"BOX")</f>
        <v>BOX</v>
      </c>
      <c r="M1085" s="147">
        <v>69000.0</v>
      </c>
      <c r="N1085" s="152">
        <v>0.125</v>
      </c>
      <c r="O1085" s="147">
        <f t="shared" si="280"/>
        <v>301875</v>
      </c>
      <c r="P1085" s="147" t="str">
        <f t="shared" si="3"/>
        <v>Rp69,000-5 BOX-12.50%</v>
      </c>
      <c r="Q1085" s="149">
        <v>45434.0</v>
      </c>
      <c r="R1085" s="150"/>
      <c r="S1085" s="149">
        <v>45439.0</v>
      </c>
      <c r="T1085" s="151"/>
      <c r="U1085" s="151"/>
      <c r="V1085" s="151"/>
      <c r="W1085" s="151"/>
      <c r="X1085" s="49"/>
      <c r="Y1085" s="49"/>
      <c r="Z1085" s="49"/>
      <c r="AA1085" s="49"/>
      <c r="AB1085" s="49"/>
      <c r="AC1085" s="49"/>
      <c r="AD1085" s="49"/>
      <c r="AE1085" s="49"/>
      <c r="AF1085" s="49"/>
      <c r="AG1085" s="49"/>
    </row>
    <row r="1086">
      <c r="A1086" s="142">
        <v>4822.0</v>
      </c>
      <c r="B1086" s="143" t="str">
        <f t="shared" si="319"/>
        <v>H</v>
      </c>
      <c r="C1086" s="143" t="str">
        <f t="shared" si="320"/>
        <v>SISWA-MUNTILAN</v>
      </c>
      <c r="D1086" s="53" t="s">
        <v>4619</v>
      </c>
      <c r="E1086" s="145" t="str">
        <f>IFERROR(__xludf.DUMMYFUNCTION("vlookup(D1086,IMPORTRANGE(""https://docs.google.com/spreadsheets/d/1swGwZOEqYlTEUCJLY-eeJM1911Kvaei5oySBIxdgtNo/edit?pli=1#gid=257618397"",""stock FAKTUR!B:C""),2,false)"),"COLOR CLIP KENKO 3100")</f>
        <v>COLOR CLIP KENKO 3100</v>
      </c>
      <c r="F1086" s="145" t="str">
        <f>IFERROR(__xludf.DUMMYFUNCTION("vlookup($D1086,IMPORTRANGE(""https://docs.google.com/spreadsheets/d/1swGwZOEqYlTEUCJLY-eeJM1911Kvaei5oySBIxdgtNo/edit?pli=1#gid=257618397"",""stock FAKTUR!B:d""),3,false)"),"")</f>
        <v/>
      </c>
      <c r="G1086" s="145" t="str">
        <f>IFERROR(__xludf.DUMMYFUNCTION("vlookup($D1086,IMPORTRANGE(""https://docs.google.com/spreadsheets/d/1swGwZOEqYlTEUCJLY-eeJM1911Kvaei5oySBIxdgtNo/edit?pli=1#gid=257618397"",""stock FAKTUR!B:e""),4,false)"),"")</f>
        <v/>
      </c>
      <c r="H1086" s="145" t="str">
        <f>IFERROR(__xludf.DUMMYFUNCTION("vlookup($D1086,IMPORTRANGE(""https://docs.google.com/spreadsheets/d/1swGwZOEqYlTEUCJLY-eeJM1911Kvaei5oySBIxdgtNo/edit?pli=1#gid=257618397"",""stock FAKTUR!B:F""),5,false)"),"KN")</f>
        <v>KN</v>
      </c>
      <c r="I1086" s="145" t="str">
        <f>IFERROR(__xludf.DUMMYFUNCTION("vlookup($D1086,IMPORTRANGE(""https://docs.google.com/spreadsheets/d/1swGwZOEqYlTEUCJLY-eeJM1911Kvaei5oySBIxdgtNo/edit?pli=1#gid=257618397"",""stock FAKTUR!B:G""),6,false)"),"CLP-004")</f>
        <v>CLP-004</v>
      </c>
      <c r="J1086" s="199" t="str">
        <f t="shared" si="25"/>
        <v>ADA</v>
      </c>
      <c r="K1086" s="142">
        <v>4.0</v>
      </c>
      <c r="L1086" s="145" t="str">
        <f>IFERROR(__xludf.DUMMYFUNCTION("vlookup($D1086,IMPORTRANGE(""https://docs.google.com/spreadsheets/d/1swGwZOEqYlTEUCJLY-eeJM1911Kvaei5oySBIxdgtNo/edit?pli=1#gid=257618397"",""stock FAKTUR!B:q""),16,false)"),"LSN")</f>
        <v>LSN</v>
      </c>
      <c r="M1086" s="147">
        <v>41400.0</v>
      </c>
      <c r="N1086" s="152">
        <v>0.125</v>
      </c>
      <c r="O1086" s="147">
        <f t="shared" si="280"/>
        <v>144900</v>
      </c>
      <c r="P1086" s="147" t="str">
        <f t="shared" si="3"/>
        <v>Rp41,400-4 LSN-12.50%</v>
      </c>
      <c r="Q1086" s="149">
        <v>45434.0</v>
      </c>
      <c r="R1086" s="150"/>
      <c r="S1086" s="149">
        <v>45439.0</v>
      </c>
      <c r="T1086" s="151"/>
      <c r="U1086" s="151"/>
      <c r="V1086" s="151"/>
      <c r="W1086" s="151"/>
      <c r="X1086" s="49"/>
      <c r="Y1086" s="49"/>
      <c r="Z1086" s="49"/>
      <c r="AA1086" s="49"/>
      <c r="AB1086" s="49"/>
      <c r="AC1086" s="49"/>
      <c r="AD1086" s="49"/>
      <c r="AE1086" s="49"/>
      <c r="AF1086" s="49"/>
      <c r="AG1086" s="49"/>
    </row>
    <row r="1087">
      <c r="A1087" s="142">
        <v>4982.0</v>
      </c>
      <c r="B1087" s="143" t="s">
        <v>65</v>
      </c>
      <c r="C1087" s="143" t="s">
        <v>4834</v>
      </c>
      <c r="D1087" s="53" t="s">
        <v>4693</v>
      </c>
      <c r="E1087" s="145" t="str">
        <f>IFERROR(__xludf.DUMMYFUNCTION("vlookup(D1087,IMPORTRANGE(""https://docs.google.com/spreadsheets/d/1swGwZOEqYlTEUCJLY-eeJM1911Kvaei5oySBIxdgtNo/edit?pli=1#gid=257618397"",""stock FAKTUR!B:C""),2,false)"),"BP GEL TF-1190 0.3MM HIGHTECH (H)")</f>
        <v>BP GEL TF-1190 0.3MM HIGHTECH (H)</v>
      </c>
      <c r="F1087" s="145" t="str">
        <f>IFERROR(__xludf.DUMMYFUNCTION("vlookup($D1087,IMPORTRANGE(""https://docs.google.com/spreadsheets/d/1swGwZOEqYlTEUCJLY-eeJM1911Kvaei5oySBIxdgtNo/edit?pli=1#gid=257618397"",""stock FAKTUR!B:d""),3,false)"),"")</f>
        <v/>
      </c>
      <c r="G1087" s="145" t="str">
        <f>IFERROR(__xludf.DUMMYFUNCTION("vlookup($D1087,IMPORTRANGE(""https://docs.google.com/spreadsheets/d/1swGwZOEqYlTEUCJLY-eeJM1911Kvaei5oySBIxdgtNo/edit?pli=1#gid=257618397"",""stock FAKTUR!B:e""),4,false)"),"HITAM")</f>
        <v>HITAM</v>
      </c>
      <c r="H1087" s="145" t="str">
        <f>IFERROR(__xludf.DUMMYFUNCTION("vlookup($D1087,IMPORTRANGE(""https://docs.google.com/spreadsheets/d/1swGwZOEqYlTEUCJLY-eeJM1911Kvaei5oySBIxdgtNo/edit?pli=1#gid=257618397"",""stock FAKTUR!B:F""),5,false)"),"TF")</f>
        <v>TF</v>
      </c>
      <c r="I1087" s="145" t="str">
        <f>IFERROR(__xludf.DUMMYFUNCTION("vlookup($D1087,IMPORTRANGE(""https://docs.google.com/spreadsheets/d/1swGwZOEqYlTEUCJLY-eeJM1911Kvaei5oySBIxdgtNo/edit?pli=1#gid=257618397"",""stock FAKTUR!B:G""),6,false)"),"TF-1190")</f>
        <v>TF-1190</v>
      </c>
      <c r="J1087" s="199" t="str">
        <f t="shared" si="25"/>
        <v>ADA</v>
      </c>
      <c r="K1087" s="142">
        <v>144.0</v>
      </c>
      <c r="L1087" s="145" t="str">
        <f>IFERROR(__xludf.DUMMYFUNCTION("vlookup($D1087,IMPORTRANGE(""https://docs.google.com/spreadsheets/d/1swGwZOEqYlTEUCJLY-eeJM1911Kvaei5oySBIxdgtNo/edit?pli=1#gid=257618397"",""stock FAKTUR!B:q""),16,false)"),"LSN")</f>
        <v>LSN</v>
      </c>
      <c r="M1087" s="147">
        <v>28500.0</v>
      </c>
      <c r="N1087" s="148"/>
      <c r="O1087" s="147">
        <f t="shared" si="280"/>
        <v>4104000</v>
      </c>
      <c r="P1087" s="147" t="str">
        <f t="shared" si="3"/>
        <v>Rp28,500-144 LSN-0.00%</v>
      </c>
      <c r="Q1087" s="149">
        <v>45436.0</v>
      </c>
      <c r="R1087" s="150"/>
      <c r="S1087" s="149">
        <v>45439.0</v>
      </c>
      <c r="T1087" s="151"/>
      <c r="U1087" s="151"/>
      <c r="V1087" s="151"/>
      <c r="W1087" s="151"/>
      <c r="X1087" s="49"/>
      <c r="Y1087" s="49"/>
      <c r="Z1087" s="49"/>
      <c r="AA1087" s="49"/>
      <c r="AB1087" s="49"/>
      <c r="AC1087" s="49"/>
      <c r="AD1087" s="49"/>
      <c r="AE1087" s="49"/>
      <c r="AF1087" s="49"/>
      <c r="AG1087" s="49"/>
    </row>
    <row r="1088">
      <c r="A1088" s="142">
        <v>4820.0</v>
      </c>
      <c r="B1088" s="143" t="s">
        <v>33</v>
      </c>
      <c r="C1088" s="143" t="s">
        <v>3688</v>
      </c>
      <c r="D1088" s="53" t="s">
        <v>4430</v>
      </c>
      <c r="E1088" s="145" t="str">
        <f>IFERROR(__xludf.DUMMYFUNCTION("vlookup(D1088,IMPORTRANGE(""https://docs.google.com/spreadsheets/d/1swGwZOEqYlTEUCJLY-eeJM1911Kvaei5oySBIxdgtNo/edit?pli=1#gid=257618397"",""stock FAKTUR!B:C""),2,false)"),"LEM STICK KENKO 8GR KECIL")</f>
        <v>LEM STICK KENKO 8GR KECIL</v>
      </c>
      <c r="F1088" s="145" t="str">
        <f>IFERROR(__xludf.DUMMYFUNCTION("vlookup($D1088,IMPORTRANGE(""https://docs.google.com/spreadsheets/d/1swGwZOEqYlTEUCJLY-eeJM1911Kvaei5oySBIxdgtNo/edit?pli=1#gid=257618397"",""stock FAKTUR!B:d""),3,false)"),"K")</f>
        <v>K</v>
      </c>
      <c r="G1088" s="145" t="str">
        <f>IFERROR(__xludf.DUMMYFUNCTION("vlookup($D1088,IMPORTRANGE(""https://docs.google.com/spreadsheets/d/1swGwZOEqYlTEUCJLY-eeJM1911Kvaei5oySBIxdgtNo/edit?pli=1#gid=257618397"",""stock FAKTUR!B:e""),4,false)"),"")</f>
        <v/>
      </c>
      <c r="H1088" s="145" t="str">
        <f>IFERROR(__xludf.DUMMYFUNCTION("vlookup($D1088,IMPORTRANGE(""https://docs.google.com/spreadsheets/d/1swGwZOEqYlTEUCJLY-eeJM1911Kvaei5oySBIxdgtNo/edit?pli=1#gid=257618397"",""stock FAKTUR!B:F""),5,false)"),"KN")</f>
        <v>KN</v>
      </c>
      <c r="I1088" s="145" t="str">
        <f>IFERROR(__xludf.DUMMYFUNCTION("vlookup($D1088,IMPORTRANGE(""https://docs.google.com/spreadsheets/d/1swGwZOEqYlTEUCJLY-eeJM1911Kvaei5oySBIxdgtNo/edit?pli=1#gid=257618397"",""stock FAKTUR!B:G""),6,false)"),"GST-001GA")</f>
        <v>GST-001GA</v>
      </c>
      <c r="J1088" s="199" t="str">
        <f t="shared" si="25"/>
        <v>ADA</v>
      </c>
      <c r="K1088" s="142">
        <v>36.0</v>
      </c>
      <c r="L1088" s="145" t="str">
        <f>IFERROR(__xludf.DUMMYFUNCTION("vlookup($D1088,IMPORTRANGE(""https://docs.google.com/spreadsheets/d/1swGwZOEqYlTEUCJLY-eeJM1911Kvaei5oySBIxdgtNo/edit?pli=1#gid=257618397"",""stock FAKTUR!B:q""),16,false)"),"BOX")</f>
        <v>BOX</v>
      </c>
      <c r="M1088" s="147">
        <v>66000.0</v>
      </c>
      <c r="N1088" s="152">
        <v>0.125</v>
      </c>
      <c r="O1088" s="147">
        <f t="shared" si="280"/>
        <v>2079000</v>
      </c>
      <c r="P1088" s="147" t="str">
        <f t="shared" si="3"/>
        <v>Rp66,000-36 BOX-12.50%</v>
      </c>
      <c r="Q1088" s="149">
        <v>45436.0</v>
      </c>
      <c r="R1088" s="150"/>
      <c r="S1088" s="149">
        <v>45439.0</v>
      </c>
      <c r="T1088" s="151"/>
      <c r="U1088" s="151"/>
      <c r="V1088" s="151"/>
      <c r="W1088" s="151"/>
      <c r="X1088" s="49"/>
      <c r="Y1088" s="49"/>
      <c r="Z1088" s="49"/>
      <c r="AA1088" s="49"/>
      <c r="AB1088" s="49"/>
      <c r="AC1088" s="49"/>
      <c r="AD1088" s="49"/>
      <c r="AE1088" s="49"/>
      <c r="AF1088" s="49"/>
      <c r="AG1088" s="49"/>
    </row>
    <row r="1089">
      <c r="A1089" s="142">
        <v>4820.0</v>
      </c>
      <c r="B1089" s="143" t="str">
        <f>IF(A1089=A1088,B1088,"")</f>
        <v>H</v>
      </c>
      <c r="C1089" s="143" t="str">
        <f>IF(A1089=A1088,C1088,"")</f>
        <v>SISWA-WONOSOBO</v>
      </c>
      <c r="D1089" s="53" t="s">
        <v>4420</v>
      </c>
      <c r="E1089" s="145" t="str">
        <f>IFERROR(__xludf.DUMMYFUNCTION("vlookup(D1089,IMPORTRANGE(""https://docs.google.com/spreadsheets/d/1swGwZOEqYlTEUCJLY-eeJM1911Kvaei5oySBIxdgtNo/edit?pli=1#gid=257618397"",""stock FAKTUR!B:C""),2,false)"),"LEM KENKO LG-50")</f>
        <v>LEM KENKO LG-50</v>
      </c>
      <c r="F1089" s="145" t="str">
        <f>IFERROR(__xludf.DUMMYFUNCTION("vlookup($D1089,IMPORTRANGE(""https://docs.google.com/spreadsheets/d/1swGwZOEqYlTEUCJLY-eeJM1911Kvaei5oySBIxdgtNo/edit?pli=1#gid=257618397"",""stock FAKTUR!B:d""),3,false)"),"")</f>
        <v/>
      </c>
      <c r="G1089" s="145" t="str">
        <f>IFERROR(__xludf.DUMMYFUNCTION("vlookup($D1089,IMPORTRANGE(""https://docs.google.com/spreadsheets/d/1swGwZOEqYlTEUCJLY-eeJM1911Kvaei5oySBIxdgtNo/edit?pli=1#gid=257618397"",""stock FAKTUR!B:e""),4,false)"),"")</f>
        <v/>
      </c>
      <c r="H1089" s="145" t="str">
        <f>IFERROR(__xludf.DUMMYFUNCTION("vlookup($D1089,IMPORTRANGE(""https://docs.google.com/spreadsheets/d/1swGwZOEqYlTEUCJLY-eeJM1911Kvaei5oySBIxdgtNo/edit?pli=1#gid=257618397"",""stock FAKTUR!B:F""),5,false)"),"KN")</f>
        <v>KN</v>
      </c>
      <c r="I1089" s="145" t="str">
        <f>IFERROR(__xludf.DUMMYFUNCTION("vlookup($D1089,IMPORTRANGE(""https://docs.google.com/spreadsheets/d/1swGwZOEqYlTEUCJLY-eeJM1911Kvaei5oySBIxdgtNo/edit?pli=1#gid=257618397"",""stock FAKTUR!B:G""),6,false)"),"LG-50")</f>
        <v>LG-50</v>
      </c>
      <c r="J1089" s="199" t="str">
        <f t="shared" si="25"/>
        <v>ADA</v>
      </c>
      <c r="K1089" s="142">
        <v>100.0</v>
      </c>
      <c r="L1089" s="145" t="str">
        <f>IFERROR(__xludf.DUMMYFUNCTION("vlookup($D1089,IMPORTRANGE(""https://docs.google.com/spreadsheets/d/1swGwZOEqYlTEUCJLY-eeJM1911Kvaei5oySBIxdgtNo/edit?pli=1#gid=257618397"",""stock FAKTUR!B:q""),16,false)"),"LSN")</f>
        <v>LSN</v>
      </c>
      <c r="M1089" s="147">
        <v>25200.0</v>
      </c>
      <c r="N1089" s="152">
        <v>0.125</v>
      </c>
      <c r="O1089" s="147">
        <f t="shared" si="280"/>
        <v>2205000</v>
      </c>
      <c r="P1089" s="147" t="str">
        <f t="shared" si="3"/>
        <v>Rp25,200-100 LSN-12.50%</v>
      </c>
      <c r="Q1089" s="149">
        <v>45436.0</v>
      </c>
      <c r="R1089" s="150"/>
      <c r="S1089" s="149">
        <v>45439.0</v>
      </c>
      <c r="T1089" s="151"/>
      <c r="U1089" s="151"/>
      <c r="V1089" s="151"/>
      <c r="W1089" s="151"/>
      <c r="X1089" s="49"/>
      <c r="Y1089" s="49"/>
      <c r="Z1089" s="49"/>
      <c r="AA1089" s="49"/>
      <c r="AB1089" s="49"/>
      <c r="AC1089" s="49"/>
      <c r="AD1089" s="49"/>
      <c r="AE1089" s="49"/>
      <c r="AF1089" s="49"/>
      <c r="AG1089" s="49"/>
    </row>
    <row r="1090">
      <c r="A1090" s="142">
        <v>4958.0</v>
      </c>
      <c r="B1090" s="143" t="s">
        <v>33</v>
      </c>
      <c r="C1090" s="143" t="s">
        <v>2434</v>
      </c>
      <c r="D1090" s="201" t="s">
        <v>4835</v>
      </c>
      <c r="E1090" s="145" t="str">
        <f>IFERROR(__xludf.DUMMYFUNCTION("vlookup(D1090,IMPORTRANGE(""https://docs.google.com/spreadsheets/d/1swGwZOEqYlTEUCJLY-eeJM1911Kvaei5oySBIxdgtNo/edit?pli=1#gid=257618397"",""stock FAKTUR!B:C""),2,false)"),"CUTTER VANCO V750")</f>
        <v>CUTTER VANCO V750</v>
      </c>
      <c r="F1090" s="145" t="str">
        <f>IFERROR(__xludf.DUMMYFUNCTION("vlookup($D1090,IMPORTRANGE(""https://docs.google.com/spreadsheets/d/1swGwZOEqYlTEUCJLY-eeJM1911Kvaei5oySBIxdgtNo/edit?pli=1#gid=257618397"",""stock FAKTUR!B:d""),3,false)"),"")</f>
        <v/>
      </c>
      <c r="G1090" s="145" t="str">
        <f>IFERROR(__xludf.DUMMYFUNCTION("vlookup($D1090,IMPORTRANGE(""https://docs.google.com/spreadsheets/d/1swGwZOEqYlTEUCJLY-eeJM1911Kvaei5oySBIxdgtNo/edit?pli=1#gid=257618397"",""stock FAKTUR!B:e""),4,false)"),"")</f>
        <v/>
      </c>
      <c r="H1090" s="145" t="str">
        <f>IFERROR(__xludf.DUMMYFUNCTION("vlookup($D1090,IMPORTRANGE(""https://docs.google.com/spreadsheets/d/1swGwZOEqYlTEUCJLY-eeJM1911Kvaei5oySBIxdgtNo/edit?pli=1#gid=257618397"",""stock FAKTUR!B:F""),5,false)"),"VN")</f>
        <v>VN</v>
      </c>
      <c r="I1090" s="145" t="str">
        <f>IFERROR(__xludf.DUMMYFUNCTION("vlookup($D1090,IMPORTRANGE(""https://docs.google.com/spreadsheets/d/1swGwZOEqYlTEUCJLY-eeJM1911Kvaei5oySBIxdgtNo/edit?pli=1#gid=257618397"",""stock FAKTUR!B:G""),6,false)"),"V750")</f>
        <v>V750</v>
      </c>
      <c r="J1090" s="199" t="str">
        <f t="shared" si="25"/>
        <v>ADA</v>
      </c>
      <c r="K1090" s="142">
        <v>1.0</v>
      </c>
      <c r="L1090" s="145" t="str">
        <f>IFERROR(__xludf.DUMMYFUNCTION("vlookup($D1090,IMPORTRANGE(""https://docs.google.com/spreadsheets/d/1swGwZOEqYlTEUCJLY-eeJM1911Kvaei5oySBIxdgtNo/edit?pli=1#gid=257618397"",""stock FAKTUR!B:q""),16,false)"),"LSN")</f>
        <v>LSN</v>
      </c>
      <c r="M1090" s="147">
        <v>75000.0</v>
      </c>
      <c r="N1090" s="148"/>
      <c r="O1090" s="147">
        <f t="shared" si="280"/>
        <v>75000</v>
      </c>
      <c r="P1090" s="147" t="str">
        <f t="shared" si="3"/>
        <v>Rp75,000-1 LSN-0.00%</v>
      </c>
      <c r="Q1090" s="149">
        <v>45436.0</v>
      </c>
      <c r="R1090" s="150"/>
      <c r="S1090" s="149">
        <v>45439.0</v>
      </c>
      <c r="T1090" s="151"/>
      <c r="U1090" s="151"/>
      <c r="V1090" s="151"/>
      <c r="W1090" s="151"/>
      <c r="X1090" s="49"/>
      <c r="Y1090" s="49"/>
      <c r="Z1090" s="49"/>
      <c r="AA1090" s="49"/>
      <c r="AB1090" s="49"/>
      <c r="AC1090" s="49"/>
      <c r="AD1090" s="49"/>
      <c r="AE1090" s="49"/>
      <c r="AF1090" s="49"/>
      <c r="AG1090" s="49"/>
    </row>
    <row r="1091">
      <c r="A1091" s="142">
        <v>4934.0</v>
      </c>
      <c r="B1091" s="143" t="s">
        <v>33</v>
      </c>
      <c r="C1091" s="143" t="s">
        <v>4180</v>
      </c>
      <c r="D1091" s="53" t="s">
        <v>4707</v>
      </c>
      <c r="E1091" s="145" t="str">
        <f>IFERROR(__xludf.DUMMYFUNCTION("vlookup(D1091,IMPORTRANGE(""https://docs.google.com/spreadsheets/d/1swGwZOEqYlTEUCJLY-eeJM1911Kvaei5oySBIxdgtNo/edit?pli=1#gid=257618397"",""stock FAKTUR!B:C""),2,false)"),"BINDER CLIP KENKO NO. 107")</f>
        <v>BINDER CLIP KENKO NO. 107</v>
      </c>
      <c r="F1091" s="145" t="str">
        <f>IFERROR(__xludf.DUMMYFUNCTION("vlookup($D1091,IMPORTRANGE(""https://docs.google.com/spreadsheets/d/1swGwZOEqYlTEUCJLY-eeJM1911Kvaei5oySBIxdgtNo/edit?pli=1#gid=257618397"",""stock FAKTUR!B:d""),3,false)"),"")</f>
        <v/>
      </c>
      <c r="G1091" s="145" t="str">
        <f>IFERROR(__xludf.DUMMYFUNCTION("vlookup($D1091,IMPORTRANGE(""https://docs.google.com/spreadsheets/d/1swGwZOEqYlTEUCJLY-eeJM1911Kvaei5oySBIxdgtNo/edit?pli=1#gid=257618397"",""stock FAKTUR!B:e""),4,false)"),"")</f>
        <v/>
      </c>
      <c r="H1091" s="145" t="str">
        <f>IFERROR(__xludf.DUMMYFUNCTION("vlookup($D1091,IMPORTRANGE(""https://docs.google.com/spreadsheets/d/1swGwZOEqYlTEUCJLY-eeJM1911Kvaei5oySBIxdgtNo/edit?pli=1#gid=257618397"",""stock FAKTUR!B:F""),5,false)"),"KN")</f>
        <v>KN</v>
      </c>
      <c r="I1091" s="145" t="str">
        <f>IFERROR(__xludf.DUMMYFUNCTION("vlookup($D1091,IMPORTRANGE(""https://docs.google.com/spreadsheets/d/1swGwZOEqYlTEUCJLY-eeJM1911Kvaei5oySBIxdgtNo/edit?pli=1#gid=257618397"",""stock FAKTUR!B:G""),6,false)"),"BCL-002QH")</f>
        <v>BCL-002QH</v>
      </c>
      <c r="J1091" s="199" t="str">
        <f t="shared" si="25"/>
        <v>ADA</v>
      </c>
      <c r="K1091" s="142">
        <v>10.0</v>
      </c>
      <c r="L1091" s="145" t="str">
        <f>IFERROR(__xludf.DUMMYFUNCTION("vlookup($D1091,IMPORTRANGE(""https://docs.google.com/spreadsheets/d/1swGwZOEqYlTEUCJLY-eeJM1911Kvaei5oySBIxdgtNo/edit?pli=1#gid=257618397"",""stock FAKTUR!B:q""),16,false)"),"BOX")</f>
        <v>BOX</v>
      </c>
      <c r="M1091" s="147">
        <v>31800.0</v>
      </c>
      <c r="N1091" s="152">
        <v>0.1</v>
      </c>
      <c r="O1091" s="147">
        <f t="shared" si="280"/>
        <v>286200</v>
      </c>
      <c r="P1091" s="147" t="str">
        <f t="shared" si="3"/>
        <v>Rp31,800-10 BOX-10.00%</v>
      </c>
      <c r="Q1091" s="149">
        <v>45436.0</v>
      </c>
      <c r="R1091" s="150"/>
      <c r="S1091" s="149">
        <v>45439.0</v>
      </c>
      <c r="T1091" s="151"/>
      <c r="U1091" s="151"/>
      <c r="V1091" s="151"/>
      <c r="W1091" s="151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</row>
    <row r="1092">
      <c r="A1092" s="142">
        <v>4934.0</v>
      </c>
      <c r="B1092" s="143" t="str">
        <f t="shared" ref="B1092:B1093" si="321">IF(A1092=A1091,B1091,"")</f>
        <v>H</v>
      </c>
      <c r="C1092" s="143" t="str">
        <f t="shared" ref="C1092:C1093" si="322">IF(A1092=A1091,C1091,"")</f>
        <v>GANESHA-WONOSOBO</v>
      </c>
      <c r="D1092" s="53" t="s">
        <v>4439</v>
      </c>
      <c r="E1092" s="145" t="str">
        <f>IFERROR(__xludf.DUMMYFUNCTION("vlookup(D1092,IMPORTRANGE(""https://docs.google.com/spreadsheets/d/1swGwZOEqYlTEUCJLY-eeJM1911Kvaei5oySBIxdgtNo/edit?pli=1#gid=257618397"",""stock FAKTUR!B:C""),2,false)"),"BINDER CLIP KENKO NO. 111")</f>
        <v>BINDER CLIP KENKO NO. 111</v>
      </c>
      <c r="F1092" s="145" t="str">
        <f>IFERROR(__xludf.DUMMYFUNCTION("vlookup($D1092,IMPORTRANGE(""https://docs.google.com/spreadsheets/d/1swGwZOEqYlTEUCJLY-eeJM1911Kvaei5oySBIxdgtNo/edit?pli=1#gid=257618397"",""stock FAKTUR!B:d""),3,false)"),"")</f>
        <v/>
      </c>
      <c r="G1092" s="145" t="str">
        <f>IFERROR(__xludf.DUMMYFUNCTION("vlookup($D1092,IMPORTRANGE(""https://docs.google.com/spreadsheets/d/1swGwZOEqYlTEUCJLY-eeJM1911Kvaei5oySBIxdgtNo/edit?pli=1#gid=257618397"",""stock FAKTUR!B:e""),4,false)"),"")</f>
        <v/>
      </c>
      <c r="H1092" s="145" t="str">
        <f>IFERROR(__xludf.DUMMYFUNCTION("vlookup($D1092,IMPORTRANGE(""https://docs.google.com/spreadsheets/d/1swGwZOEqYlTEUCJLY-eeJM1911Kvaei5oySBIxdgtNo/edit?pli=1#gid=257618397"",""stock FAKTUR!B:F""),5,false)"),"KN")</f>
        <v>KN</v>
      </c>
      <c r="I1092" s="145" t="str">
        <f>IFERROR(__xludf.DUMMYFUNCTION("vlookup($D1092,IMPORTRANGE(""https://docs.google.com/spreadsheets/d/1swGwZOEqYlTEUCJLY-eeJM1911Kvaei5oySBIxdgtNo/edit?pli=1#gid=257618397"",""stock FAKTUR!B:G""),6,false)"),"BCL-003QH")</f>
        <v>BCL-003QH</v>
      </c>
      <c r="J1092" s="199" t="str">
        <f t="shared" si="25"/>
        <v>ADA</v>
      </c>
      <c r="K1092" s="142">
        <v>2.0</v>
      </c>
      <c r="L1092" s="145" t="str">
        <f>IFERROR(__xludf.DUMMYFUNCTION("vlookup($D1092,IMPORTRANGE(""https://docs.google.com/spreadsheets/d/1swGwZOEqYlTEUCJLY-eeJM1911Kvaei5oySBIxdgtNo/edit?pli=1#gid=257618397"",""stock FAKTUR!B:q""),16,false)"),"BOX")</f>
        <v>BOX</v>
      </c>
      <c r="M1092" s="147">
        <v>49200.0</v>
      </c>
      <c r="N1092" s="152">
        <v>0.1</v>
      </c>
      <c r="O1092" s="147">
        <f t="shared" si="280"/>
        <v>88560</v>
      </c>
      <c r="P1092" s="147" t="str">
        <f t="shared" si="3"/>
        <v>Rp49,200-2 BOX-10.00%</v>
      </c>
      <c r="Q1092" s="149">
        <v>45436.0</v>
      </c>
      <c r="R1092" s="150"/>
      <c r="S1092" s="149">
        <v>45439.0</v>
      </c>
      <c r="T1092" s="151"/>
      <c r="U1092" s="151"/>
      <c r="V1092" s="151"/>
      <c r="W1092" s="151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</row>
    <row r="1093">
      <c r="A1093" s="142">
        <v>4934.0</v>
      </c>
      <c r="B1093" s="143" t="str">
        <f t="shared" si="321"/>
        <v>H</v>
      </c>
      <c r="C1093" s="143" t="str">
        <f t="shared" si="322"/>
        <v>GANESHA-WONOSOBO</v>
      </c>
      <c r="D1093" s="53" t="s">
        <v>4618</v>
      </c>
      <c r="E1093" s="145" t="str">
        <f>IFERROR(__xludf.DUMMYFUNCTION("vlookup(D1093,IMPORTRANGE(""https://docs.google.com/spreadsheets/d/1swGwZOEqYlTEUCJLY-eeJM1911Kvaei5oySBIxdgtNo/edit?pli=1#gid=257618397"",""stock FAKTUR!B:C""),2,false)"),"MIKA LAMINATING VANCO LF-100 FOLIO")</f>
        <v>MIKA LAMINATING VANCO LF-100 FOLIO</v>
      </c>
      <c r="F1093" s="145" t="str">
        <f>IFERROR(__xludf.DUMMYFUNCTION("vlookup($D1093,IMPORTRANGE(""https://docs.google.com/spreadsheets/d/1swGwZOEqYlTEUCJLY-eeJM1911Kvaei5oySBIxdgtNo/edit?pli=1#gid=257618397"",""stock FAKTUR!B:d""),3,false)"),"")</f>
        <v/>
      </c>
      <c r="G1093" s="145" t="str">
        <f>IFERROR(__xludf.DUMMYFUNCTION("vlookup($D1093,IMPORTRANGE(""https://docs.google.com/spreadsheets/d/1swGwZOEqYlTEUCJLY-eeJM1911Kvaei5oySBIxdgtNo/edit?pli=1#gid=257618397"",""stock FAKTUR!B:e""),4,false)"),"")</f>
        <v/>
      </c>
      <c r="H1093" s="145" t="str">
        <f>IFERROR(__xludf.DUMMYFUNCTION("vlookup($D1093,IMPORTRANGE(""https://docs.google.com/spreadsheets/d/1swGwZOEqYlTEUCJLY-eeJM1911Kvaei5oySBIxdgtNo/edit?pli=1#gid=257618397"",""stock FAKTUR!B:F""),5,false)"),"VN")</f>
        <v>VN</v>
      </c>
      <c r="I1093" s="145" t="str">
        <f>IFERROR(__xludf.DUMMYFUNCTION("vlookup($D1093,IMPORTRANGE(""https://docs.google.com/spreadsheets/d/1swGwZOEqYlTEUCJLY-eeJM1911Kvaei5oySBIxdgtNo/edit?pli=1#gid=257618397"",""stock FAKTUR!B:G""),6,false)"),"LF-100")</f>
        <v>LF-100</v>
      </c>
      <c r="J1093" s="199" t="str">
        <f t="shared" si="25"/>
        <v>ADA</v>
      </c>
      <c r="K1093" s="142">
        <v>10.0</v>
      </c>
      <c r="L1093" s="145" t="str">
        <f>IFERROR(__xludf.DUMMYFUNCTION("vlookup($D1093,IMPORTRANGE(""https://docs.google.com/spreadsheets/d/1swGwZOEqYlTEUCJLY-eeJM1911Kvaei5oySBIxdgtNo/edit?pli=1#gid=257618397"",""stock FAKTUR!B:q""),16,false)"),"PAK")</f>
        <v>PAK</v>
      </c>
      <c r="M1093" s="147">
        <v>70000.0</v>
      </c>
      <c r="N1093" s="148"/>
      <c r="O1093" s="147">
        <f t="shared" si="280"/>
        <v>700000</v>
      </c>
      <c r="P1093" s="147" t="str">
        <f t="shared" si="3"/>
        <v>Rp70,000-10 PAK-0.00%</v>
      </c>
      <c r="Q1093" s="149">
        <v>45436.0</v>
      </c>
      <c r="R1093" s="150"/>
      <c r="S1093" s="149">
        <v>45439.0</v>
      </c>
      <c r="T1093" s="151"/>
      <c r="U1093" s="151"/>
      <c r="V1093" s="151"/>
      <c r="W1093" s="151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</row>
    <row r="1094">
      <c r="A1094" s="142">
        <v>4979.0</v>
      </c>
      <c r="B1094" s="143" t="s">
        <v>33</v>
      </c>
      <c r="C1094" s="143" t="s">
        <v>2644</v>
      </c>
      <c r="D1094" s="53" t="s">
        <v>4429</v>
      </c>
      <c r="E1094" s="145" t="str">
        <f>IFERROR(__xludf.DUMMYFUNCTION("vlookup(D1094,IMPORTRANGE(""https://docs.google.com/spreadsheets/d/1swGwZOEqYlTEUCJLY-eeJM1911Kvaei5oySBIxdgtNo/edit?pli=1#gid=257618397"",""stock FAKTUR!B:C""),2,false)"),"TIPEX KENKO KE-01")</f>
        <v>TIPEX KENKO KE-01</v>
      </c>
      <c r="F1094" s="145" t="str">
        <f>IFERROR(__xludf.DUMMYFUNCTION("vlookup($D1094,IMPORTRANGE(""https://docs.google.com/spreadsheets/d/1swGwZOEqYlTEUCJLY-eeJM1911Kvaei5oySBIxdgtNo/edit?pli=1#gid=257618397"",""stock FAKTUR!B:d""),3,false)"),"")</f>
        <v/>
      </c>
      <c r="G1094" s="145" t="str">
        <f>IFERROR(__xludf.DUMMYFUNCTION("vlookup($D1094,IMPORTRANGE(""https://docs.google.com/spreadsheets/d/1swGwZOEqYlTEUCJLY-eeJM1911Kvaei5oySBIxdgtNo/edit?pli=1#gid=257618397"",""stock FAKTUR!B:e""),4,false)"),"")</f>
        <v/>
      </c>
      <c r="H1094" s="145" t="str">
        <f>IFERROR(__xludf.DUMMYFUNCTION("vlookup($D1094,IMPORTRANGE(""https://docs.google.com/spreadsheets/d/1swGwZOEqYlTEUCJLY-eeJM1911Kvaei5oySBIxdgtNo/edit?pli=1#gid=257618397"",""stock FAKTUR!B:F""),5,false)"),"KN")</f>
        <v>KN</v>
      </c>
      <c r="I1094" s="145" t="str">
        <f>IFERROR(__xludf.DUMMYFUNCTION("vlookup($D1094,IMPORTRANGE(""https://docs.google.com/spreadsheets/d/1swGwZOEqYlTEUCJLY-eeJM1911Kvaei5oySBIxdgtNo/edit?pli=1#gid=257618397"",""stock FAKTUR!B:G""),6,false)"),"CFL-001")</f>
        <v>CFL-001</v>
      </c>
      <c r="J1094" s="199" t="str">
        <f t="shared" si="25"/>
        <v>ADA</v>
      </c>
      <c r="K1094" s="142">
        <v>36.0</v>
      </c>
      <c r="L1094" s="145" t="str">
        <f>IFERROR(__xludf.DUMMYFUNCTION("vlookup($D1094,IMPORTRANGE(""https://docs.google.com/spreadsheets/d/1swGwZOEqYlTEUCJLY-eeJM1911Kvaei5oySBIxdgtNo/edit?pli=1#gid=257618397"",""stock FAKTUR!B:q""),16,false)"),"LSN")</f>
        <v>LSN</v>
      </c>
      <c r="M1094" s="147">
        <v>56100.0</v>
      </c>
      <c r="N1094" s="152">
        <v>0.1</v>
      </c>
      <c r="O1094" s="147">
        <f t="shared" si="280"/>
        <v>1817640</v>
      </c>
      <c r="P1094" s="147" t="str">
        <f t="shared" si="3"/>
        <v>Rp56,100-36 LSN-10.00%</v>
      </c>
      <c r="Q1094" s="149">
        <v>45436.0</v>
      </c>
      <c r="R1094" s="150"/>
      <c r="S1094" s="149">
        <v>45439.0</v>
      </c>
      <c r="T1094" s="151"/>
      <c r="U1094" s="151"/>
      <c r="V1094" s="151"/>
      <c r="W1094" s="151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</row>
    <row r="1095">
      <c r="A1095" s="142">
        <v>4976.0</v>
      </c>
      <c r="B1095" s="143" t="s">
        <v>33</v>
      </c>
      <c r="C1095" s="143" t="s">
        <v>1452</v>
      </c>
      <c r="D1095" s="53" t="s">
        <v>4429</v>
      </c>
      <c r="E1095" s="145" t="str">
        <f>IFERROR(__xludf.DUMMYFUNCTION("vlookup(D1095,IMPORTRANGE(""https://docs.google.com/spreadsheets/d/1swGwZOEqYlTEUCJLY-eeJM1911Kvaei5oySBIxdgtNo/edit?pli=1#gid=257618397"",""stock FAKTUR!B:C""),2,false)"),"TIPEX KENKO KE-01")</f>
        <v>TIPEX KENKO KE-01</v>
      </c>
      <c r="F1095" s="145" t="str">
        <f>IFERROR(__xludf.DUMMYFUNCTION("vlookup($D1095,IMPORTRANGE(""https://docs.google.com/spreadsheets/d/1swGwZOEqYlTEUCJLY-eeJM1911Kvaei5oySBIxdgtNo/edit?pli=1#gid=257618397"",""stock FAKTUR!B:d""),3,false)"),"")</f>
        <v/>
      </c>
      <c r="G1095" s="145" t="str">
        <f>IFERROR(__xludf.DUMMYFUNCTION("vlookup($D1095,IMPORTRANGE(""https://docs.google.com/spreadsheets/d/1swGwZOEqYlTEUCJLY-eeJM1911Kvaei5oySBIxdgtNo/edit?pli=1#gid=257618397"",""stock FAKTUR!B:e""),4,false)"),"")</f>
        <v/>
      </c>
      <c r="H1095" s="145" t="str">
        <f>IFERROR(__xludf.DUMMYFUNCTION("vlookup($D1095,IMPORTRANGE(""https://docs.google.com/spreadsheets/d/1swGwZOEqYlTEUCJLY-eeJM1911Kvaei5oySBIxdgtNo/edit?pli=1#gid=257618397"",""stock FAKTUR!B:F""),5,false)"),"KN")</f>
        <v>KN</v>
      </c>
      <c r="I1095" s="145" t="str">
        <f>IFERROR(__xludf.DUMMYFUNCTION("vlookup($D1095,IMPORTRANGE(""https://docs.google.com/spreadsheets/d/1swGwZOEqYlTEUCJLY-eeJM1911Kvaei5oySBIxdgtNo/edit?pli=1#gid=257618397"",""stock FAKTUR!B:G""),6,false)"),"CFL-001")</f>
        <v>CFL-001</v>
      </c>
      <c r="J1095" s="199" t="str">
        <f t="shared" si="25"/>
        <v>ADA</v>
      </c>
      <c r="K1095" s="142">
        <v>72.0</v>
      </c>
      <c r="L1095" s="145" t="str">
        <f>IFERROR(__xludf.DUMMYFUNCTION("vlookup($D1095,IMPORTRANGE(""https://docs.google.com/spreadsheets/d/1swGwZOEqYlTEUCJLY-eeJM1911Kvaei5oySBIxdgtNo/edit?pli=1#gid=257618397"",""stock FAKTUR!B:q""),16,false)"),"LSN")</f>
        <v>LSN</v>
      </c>
      <c r="M1095" s="147">
        <v>56100.0</v>
      </c>
      <c r="N1095" s="152">
        <v>0.14</v>
      </c>
      <c r="O1095" s="147">
        <f t="shared" si="280"/>
        <v>3473712</v>
      </c>
      <c r="P1095" s="147" t="str">
        <f t="shared" si="3"/>
        <v>Rp56,100-72 LSN-14.00%</v>
      </c>
      <c r="Q1095" s="149">
        <v>45436.0</v>
      </c>
      <c r="R1095" s="150"/>
      <c r="S1095" s="149">
        <v>45439.0</v>
      </c>
      <c r="T1095" s="151"/>
      <c r="U1095" s="151"/>
      <c r="V1095" s="151"/>
      <c r="W1095" s="151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</row>
    <row r="1096">
      <c r="A1096" s="142">
        <v>4976.0</v>
      </c>
      <c r="B1096" s="143" t="str">
        <f t="shared" ref="B1096:B1099" si="323">IF(A1096=A1095,B1095,"")</f>
        <v>H</v>
      </c>
      <c r="C1096" s="143" t="str">
        <f t="shared" ref="C1096:C1099" si="324">IF(A1096=A1095,C1095,"")</f>
        <v>SUKSES-SALATIGA</v>
      </c>
      <c r="D1096" s="53" t="s">
        <v>4770</v>
      </c>
      <c r="E1096" s="145" t="str">
        <f>IFERROR(__xludf.DUMMYFUNCTION("vlookup(D1096,IMPORTRANGE(""https://docs.google.com/spreadsheets/d/1swGwZOEqYlTEUCJLY-eeJM1911Kvaei5oySBIxdgtNo/edit?pli=1#gid=257618397"",""stock FAKTUR!B:C""),2,false)"),"PAPER FASTENER KENKO PF-508 WARNA")</f>
        <v>PAPER FASTENER KENKO PF-508 WARNA</v>
      </c>
      <c r="F1096" s="145" t="str">
        <f>IFERROR(__xludf.DUMMYFUNCTION("vlookup($D1096,IMPORTRANGE(""https://docs.google.com/spreadsheets/d/1swGwZOEqYlTEUCJLY-eeJM1911Kvaei5oySBIxdgtNo/edit?pli=1#gid=257618397"",""stock FAKTUR!B:d""),3,false)"),"")</f>
        <v/>
      </c>
      <c r="G1096" s="145" t="str">
        <f>IFERROR(__xludf.DUMMYFUNCTION("vlookup($D1096,IMPORTRANGE(""https://docs.google.com/spreadsheets/d/1swGwZOEqYlTEUCJLY-eeJM1911Kvaei5oySBIxdgtNo/edit?pli=1#gid=257618397"",""stock FAKTUR!B:e""),4,false)"),"MIX")</f>
        <v>MIX</v>
      </c>
      <c r="H1096" s="145" t="str">
        <f>IFERROR(__xludf.DUMMYFUNCTION("vlookup($D1096,IMPORTRANGE(""https://docs.google.com/spreadsheets/d/1swGwZOEqYlTEUCJLY-eeJM1911Kvaei5oySBIxdgtNo/edit?pli=1#gid=257618397"",""stock FAKTUR!B:F""),5,false)"),"KN")</f>
        <v>KN</v>
      </c>
      <c r="I1096" s="145" t="str">
        <f>IFERROR(__xludf.DUMMYFUNCTION("vlookup($D1096,IMPORTRANGE(""https://docs.google.com/spreadsheets/d/1swGwZOEqYlTEUCJLY-eeJM1911Kvaei5oySBIxdgtNo/edit?pli=1#gid=257618397"",""stock FAKTUR!B:G""),6,false)"),"FST-002")</f>
        <v>FST-002</v>
      </c>
      <c r="J1096" s="199" t="str">
        <f t="shared" si="25"/>
        <v>ADA</v>
      </c>
      <c r="K1096" s="142">
        <v>30.0</v>
      </c>
      <c r="L1096" s="145" t="str">
        <f>IFERROR(__xludf.DUMMYFUNCTION("vlookup($D1096,IMPORTRANGE(""https://docs.google.com/spreadsheets/d/1swGwZOEqYlTEUCJLY-eeJM1911Kvaei5oySBIxdgtNo/edit?pli=1#gid=257618397"",""stock FAKTUR!B:q""),16,false)"),"BOX")</f>
        <v>BOX</v>
      </c>
      <c r="M1096" s="147">
        <v>9800.0</v>
      </c>
      <c r="N1096" s="152">
        <v>0.14</v>
      </c>
      <c r="O1096" s="147">
        <f t="shared" si="280"/>
        <v>252840</v>
      </c>
      <c r="P1096" s="147" t="str">
        <f t="shared" si="3"/>
        <v>Rp9,800-30 BOX-14.00%</v>
      </c>
      <c r="Q1096" s="149">
        <v>45436.0</v>
      </c>
      <c r="R1096" s="150"/>
      <c r="S1096" s="149">
        <v>45439.0</v>
      </c>
      <c r="T1096" s="151"/>
      <c r="U1096" s="151"/>
      <c r="V1096" s="151"/>
      <c r="W1096" s="151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</row>
    <row r="1097">
      <c r="A1097" s="142">
        <v>4976.0</v>
      </c>
      <c r="B1097" s="143" t="str">
        <f t="shared" si="323"/>
        <v>H</v>
      </c>
      <c r="C1097" s="143" t="str">
        <f t="shared" si="324"/>
        <v>SUKSES-SALATIGA</v>
      </c>
      <c r="D1097" s="70" t="s">
        <v>4836</v>
      </c>
      <c r="E1097" s="145" t="str">
        <f>IFERROR(__xludf.DUMMYFUNCTION("vlookup(D1097,IMPORTRANGE(""https://docs.google.com/spreadsheets/d/1swGwZOEqYlTEUCJLY-eeJM1911Kvaei5oySBIxdgtNo/edit?pli=1#gid=257618397"",""stock FAKTUR!B:C""),2,false)"),"PAPER FASTENER JK PF-50 WARNA")</f>
        <v>PAPER FASTENER JK PF-50 WARNA</v>
      </c>
      <c r="F1097" s="145" t="str">
        <f>IFERROR(__xludf.DUMMYFUNCTION("vlookup($D1097,IMPORTRANGE(""https://docs.google.com/spreadsheets/d/1swGwZOEqYlTEUCJLY-eeJM1911Kvaei5oySBIxdgtNo/edit?pli=1#gid=257618397"",""stock FAKTUR!B:d""),3,false)"),"")</f>
        <v/>
      </c>
      <c r="G1097" s="145" t="str">
        <f>IFERROR(__xludf.DUMMYFUNCTION("vlookup($D1097,IMPORTRANGE(""https://docs.google.com/spreadsheets/d/1swGwZOEqYlTEUCJLY-eeJM1911Kvaei5oySBIxdgtNo/edit?pli=1#gid=257618397"",""stock FAKTUR!B:e""),4,false)"),"WARNA")</f>
        <v>WARNA</v>
      </c>
      <c r="H1097" s="145" t="str">
        <f>IFERROR(__xludf.DUMMYFUNCTION("vlookup($D1097,IMPORTRANGE(""https://docs.google.com/spreadsheets/d/1swGwZOEqYlTEUCJLY-eeJM1911Kvaei5oySBIxdgtNo/edit?pli=1#gid=257618397"",""stock FAKTUR!B:F""),5,false)"),"JK")</f>
        <v>JK</v>
      </c>
      <c r="I1097" s="145" t="str">
        <f>IFERROR(__xludf.DUMMYFUNCTION("vlookup($D1097,IMPORTRANGE(""https://docs.google.com/spreadsheets/d/1swGwZOEqYlTEUCJLY-eeJM1911Kvaei5oySBIxdgtNo/edit?pli=1#gid=257618397"",""stock FAKTUR!B:G""),6,false)"),"PF-50")</f>
        <v>PF-50</v>
      </c>
      <c r="J1097" s="199" t="str">
        <f t="shared" si="25"/>
        <v>ADA</v>
      </c>
      <c r="K1097" s="142">
        <v>10.0</v>
      </c>
      <c r="L1097" s="145" t="str">
        <f>IFERROR(__xludf.DUMMYFUNCTION("vlookup($D1097,IMPORTRANGE(""https://docs.google.com/spreadsheets/d/1swGwZOEqYlTEUCJLY-eeJM1911Kvaei5oySBIxdgtNo/edit?pli=1#gid=257618397"",""stock FAKTUR!B:q""),16,false)"),"PAK")</f>
        <v>PAK</v>
      </c>
      <c r="M1097" s="147">
        <v>7600.0</v>
      </c>
      <c r="N1097" s="152">
        <v>0.14</v>
      </c>
      <c r="O1097" s="147">
        <f t="shared" si="280"/>
        <v>65360</v>
      </c>
      <c r="P1097" s="147" t="str">
        <f t="shared" si="3"/>
        <v>Rp7,600-10 PAK-14.00%</v>
      </c>
      <c r="Q1097" s="149">
        <v>45436.0</v>
      </c>
      <c r="R1097" s="150"/>
      <c r="S1097" s="149">
        <v>45439.0</v>
      </c>
      <c r="T1097" s="151"/>
      <c r="U1097" s="151"/>
      <c r="V1097" s="151"/>
      <c r="W1097" s="151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</row>
    <row r="1098">
      <c r="A1098" s="142">
        <v>4976.0</v>
      </c>
      <c r="B1098" s="143" t="str">
        <f t="shared" si="323"/>
        <v>H</v>
      </c>
      <c r="C1098" s="143" t="str">
        <f t="shared" si="324"/>
        <v>SUKSES-SALATIGA</v>
      </c>
      <c r="D1098" s="53" t="s">
        <v>4837</v>
      </c>
      <c r="E1098" s="145" t="str">
        <f>IFERROR(__xludf.DUMMYFUNCTION("vlookup(D1098,IMPORTRANGE(""https://docs.google.com/spreadsheets/d/1swGwZOEqYlTEUCJLY-eeJM1911Kvaei5oySBIxdgtNo/edit?pli=1#gid=257618397"",""stock FAKTUR!B:C""),2,false)"),"CALCULATOR JK CC-23")</f>
        <v>CALCULATOR JK CC-23</v>
      </c>
      <c r="F1098" s="145" t="str">
        <f>IFERROR(__xludf.DUMMYFUNCTION("vlookup($D1098,IMPORTRANGE(""https://docs.google.com/spreadsheets/d/1swGwZOEqYlTEUCJLY-eeJM1911Kvaei5oySBIxdgtNo/edit?pli=1#gid=257618397"",""stock FAKTUR!B:d""),3,false)"),"")</f>
        <v/>
      </c>
      <c r="G1098" s="145" t="str">
        <f>IFERROR(__xludf.DUMMYFUNCTION("vlookup($D1098,IMPORTRANGE(""https://docs.google.com/spreadsheets/d/1swGwZOEqYlTEUCJLY-eeJM1911Kvaei5oySBIxdgtNo/edit?pli=1#gid=257618397"",""stock FAKTUR!B:e""),4,false)"),"")</f>
        <v/>
      </c>
      <c r="H1098" s="145" t="str">
        <f>IFERROR(__xludf.DUMMYFUNCTION("vlookup($D1098,IMPORTRANGE(""https://docs.google.com/spreadsheets/d/1swGwZOEqYlTEUCJLY-eeJM1911Kvaei5oySBIxdgtNo/edit?pli=1#gid=257618397"",""stock FAKTUR!B:F""),5,false)"),"JK")</f>
        <v>JK</v>
      </c>
      <c r="I1098" s="145" t="str">
        <f>IFERROR(__xludf.DUMMYFUNCTION("vlookup($D1098,IMPORTRANGE(""https://docs.google.com/spreadsheets/d/1swGwZOEqYlTEUCJLY-eeJM1911Kvaei5oySBIxdgtNo/edit?pli=1#gid=257618397"",""stock FAKTUR!B:G""),6,false)"),"CC-23")</f>
        <v>CC-23</v>
      </c>
      <c r="J1098" s="199" t="str">
        <f t="shared" si="25"/>
        <v>ADA</v>
      </c>
      <c r="K1098" s="142">
        <v>20.0</v>
      </c>
      <c r="L1098" s="145" t="str">
        <f>IFERROR(__xludf.DUMMYFUNCTION("vlookup($D1098,IMPORTRANGE(""https://docs.google.com/spreadsheets/d/1swGwZOEqYlTEUCJLY-eeJM1911Kvaei5oySBIxdgtNo/edit?pli=1#gid=257618397"",""stock FAKTUR!B:q""),16,false)"),"PCS")</f>
        <v>PCS</v>
      </c>
      <c r="M1098" s="147">
        <v>50000.0</v>
      </c>
      <c r="N1098" s="152">
        <v>0.14</v>
      </c>
      <c r="O1098" s="147">
        <f t="shared" si="280"/>
        <v>860000</v>
      </c>
      <c r="P1098" s="147" t="str">
        <f t="shared" si="3"/>
        <v>Rp50,000-20 PCS-14.00%</v>
      </c>
      <c r="Q1098" s="149">
        <v>45436.0</v>
      </c>
      <c r="R1098" s="150"/>
      <c r="S1098" s="149">
        <v>45439.0</v>
      </c>
      <c r="T1098" s="151"/>
      <c r="U1098" s="151"/>
      <c r="V1098" s="151"/>
      <c r="W1098" s="151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</row>
    <row r="1099">
      <c r="A1099" s="142">
        <v>4976.0</v>
      </c>
      <c r="B1099" s="143" t="str">
        <f t="shared" si="323"/>
        <v>H</v>
      </c>
      <c r="C1099" s="143" t="str">
        <f t="shared" si="324"/>
        <v>SUKSES-SALATIGA</v>
      </c>
      <c r="D1099" s="49" t="s">
        <v>4832</v>
      </c>
      <c r="E1099" s="145" t="str">
        <f>IFERROR(__xludf.DUMMYFUNCTION("vlookup(D1099,IMPORTRANGE(""https://docs.google.com/spreadsheets/d/1swGwZOEqYlTEUCJLY-eeJM1911Kvaei5oySBIxdgtNo/edit?pli=1#gid=257618397"",""stock FAKTUR!B:C""),2,false)"),"BP TIZO TG340 HITAM")</f>
        <v>BP TIZO TG340 HITAM</v>
      </c>
      <c r="F1099" s="145" t="str">
        <f>IFERROR(__xludf.DUMMYFUNCTION("vlookup($D1099,IMPORTRANGE(""https://docs.google.com/spreadsheets/d/1swGwZOEqYlTEUCJLY-eeJM1911Kvaei5oySBIxdgtNo/edit?pli=1#gid=257618397"",""stock FAKTUR!B:d""),3,false)"),"")</f>
        <v/>
      </c>
      <c r="G1099" s="145" t="str">
        <f>IFERROR(__xludf.DUMMYFUNCTION("vlookup($D1099,IMPORTRANGE(""https://docs.google.com/spreadsheets/d/1swGwZOEqYlTEUCJLY-eeJM1911Kvaei5oySBIxdgtNo/edit?pli=1#gid=257618397"",""stock FAKTUR!B:e""),4,false)"),"HITAM")</f>
        <v>HITAM</v>
      </c>
      <c r="H1099" s="145" t="str">
        <f>IFERROR(__xludf.DUMMYFUNCTION("vlookup($D1099,IMPORTRANGE(""https://docs.google.com/spreadsheets/d/1swGwZOEqYlTEUCJLY-eeJM1911Kvaei5oySBIxdgtNo/edit?pli=1#gid=257618397"",""stock FAKTUR!B:F""),5,false)"),"TZ")</f>
        <v>TZ</v>
      </c>
      <c r="I1099" s="145" t="str">
        <f>IFERROR(__xludf.DUMMYFUNCTION("vlookup($D1099,IMPORTRANGE(""https://docs.google.com/spreadsheets/d/1swGwZOEqYlTEUCJLY-eeJM1911Kvaei5oySBIxdgtNo/edit?pli=1#gid=257618397"",""stock FAKTUR!B:G""),6,false)"),"TG340")</f>
        <v>TG340</v>
      </c>
      <c r="J1099" s="199" t="str">
        <f t="shared" si="25"/>
        <v>ADA</v>
      </c>
      <c r="K1099" s="142">
        <v>24.0</v>
      </c>
      <c r="L1099" s="145" t="str">
        <f>IFERROR(__xludf.DUMMYFUNCTION("vlookup($D1099,IMPORTRANGE(""https://docs.google.com/spreadsheets/d/1swGwZOEqYlTEUCJLY-eeJM1911Kvaei5oySBIxdgtNo/edit?pli=1#gid=257618397"",""stock FAKTUR!B:q""),16,false)"),"LSN")</f>
        <v>LSN</v>
      </c>
      <c r="M1099" s="147">
        <v>32500.0</v>
      </c>
      <c r="N1099" s="148"/>
      <c r="O1099" s="147">
        <f t="shared" si="280"/>
        <v>780000</v>
      </c>
      <c r="P1099" s="147" t="str">
        <f t="shared" si="3"/>
        <v>Rp32,500-24 LSN-0.00%</v>
      </c>
      <c r="Q1099" s="149">
        <v>45436.0</v>
      </c>
      <c r="R1099" s="150"/>
      <c r="S1099" s="149">
        <v>45439.0</v>
      </c>
      <c r="T1099" s="151"/>
      <c r="U1099" s="151"/>
      <c r="V1099" s="151"/>
      <c r="W1099" s="151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</row>
    <row r="1100">
      <c r="A1100" s="142">
        <v>4983.0</v>
      </c>
      <c r="B1100" s="143" t="s">
        <v>33</v>
      </c>
      <c r="C1100" s="143" t="s">
        <v>2476</v>
      </c>
      <c r="D1100" s="70" t="s">
        <v>4838</v>
      </c>
      <c r="E1100" s="145" t="str">
        <f>IFERROR(__xludf.DUMMYFUNCTION("vlookup(D1100,IMPORTRANGE(""https://docs.google.com/spreadsheets/d/1swGwZOEqYlTEUCJLY-eeJM1911Kvaei5oySBIxdgtNo/edit?pli=1#gid=257618397"",""stock FAKTUR!B:C""),2,false)"),"GUNTING GUNINDO SPM COKLAT")</f>
        <v>GUNTING GUNINDO SPM COKLAT</v>
      </c>
      <c r="F1100" s="145" t="str">
        <f>IFERROR(__xludf.DUMMYFUNCTION("vlookup($D1100,IMPORTRANGE(""https://docs.google.com/spreadsheets/d/1swGwZOEqYlTEUCJLY-eeJM1911Kvaei5oySBIxdgtNo/edit?pli=1#gid=257618397"",""stock FAKTUR!B:d""),3,false)"),"")</f>
        <v/>
      </c>
      <c r="G1100" s="145" t="str">
        <f>IFERROR(__xludf.DUMMYFUNCTION("vlookup($D1100,IMPORTRANGE(""https://docs.google.com/spreadsheets/d/1swGwZOEqYlTEUCJLY-eeJM1911Kvaei5oySBIxdgtNo/edit?pli=1#gid=257618397"",""stock FAKTUR!B:e""),4,false)"),"COKLAT")</f>
        <v>COKLAT</v>
      </c>
      <c r="H1100" s="145" t="str">
        <f>IFERROR(__xludf.DUMMYFUNCTION("vlookup($D1100,IMPORTRANGE(""https://docs.google.com/spreadsheets/d/1swGwZOEqYlTEUCJLY-eeJM1911Kvaei5oySBIxdgtNo/edit?pli=1#gid=257618397"",""stock FAKTUR!B:F""),5,false)"),"GN")</f>
        <v>GN</v>
      </c>
      <c r="I1100" s="145" t="str">
        <f>IFERROR(__xludf.DUMMYFUNCTION("vlookup($D1100,IMPORTRANGE(""https://docs.google.com/spreadsheets/d/1swGwZOEqYlTEUCJLY-eeJM1911Kvaei5oySBIxdgtNo/edit?pli=1#gid=257618397"",""stock FAKTUR!B:G""),6,false)"),"SPM")</f>
        <v>SPM</v>
      </c>
      <c r="J1100" s="199" t="str">
        <f t="shared" si="25"/>
        <v>ADA</v>
      </c>
      <c r="K1100" s="142">
        <v>60.0</v>
      </c>
      <c r="L1100" s="145" t="str">
        <f>IFERROR(__xludf.DUMMYFUNCTION("vlookup($D1100,IMPORTRANGE(""https://docs.google.com/spreadsheets/d/1swGwZOEqYlTEUCJLY-eeJM1911Kvaei5oySBIxdgtNo/edit?pli=1#gid=257618397"",""stock FAKTUR!B:q""),16,false)"),"LSN")</f>
        <v>LSN</v>
      </c>
      <c r="M1100" s="147">
        <v>51500.0</v>
      </c>
      <c r="N1100" s="152">
        <v>0.15</v>
      </c>
      <c r="O1100" s="147">
        <f t="shared" si="280"/>
        <v>2626500</v>
      </c>
      <c r="P1100" s="147" t="str">
        <f t="shared" si="3"/>
        <v>Rp51,500-60 LSN-15.00%</v>
      </c>
      <c r="Q1100" s="149">
        <v>45436.0</v>
      </c>
      <c r="R1100" s="150"/>
      <c r="S1100" s="149">
        <v>45440.0</v>
      </c>
      <c r="T1100" s="151"/>
      <c r="U1100" s="151"/>
      <c r="V1100" s="151"/>
      <c r="W1100" s="151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</row>
    <row r="1101">
      <c r="A1101" s="142">
        <v>4983.0</v>
      </c>
      <c r="B1101" s="143" t="str">
        <f>IF(A1101=A1100,B1100,"")</f>
        <v>H</v>
      </c>
      <c r="C1101" s="143" t="str">
        <f>IF(A1101=A1100,C1100,"")</f>
        <v>PERDANA-BREBES</v>
      </c>
      <c r="D1101" s="53" t="s">
        <v>4429</v>
      </c>
      <c r="E1101" s="145" t="str">
        <f>IFERROR(__xludf.DUMMYFUNCTION("vlookup(D1101,IMPORTRANGE(""https://docs.google.com/spreadsheets/d/1swGwZOEqYlTEUCJLY-eeJM1911Kvaei5oySBIxdgtNo/edit?pli=1#gid=257618397"",""stock FAKTUR!B:C""),2,false)"),"TIPEX KENKO KE-01")</f>
        <v>TIPEX KENKO KE-01</v>
      </c>
      <c r="F1101" s="145" t="str">
        <f>IFERROR(__xludf.DUMMYFUNCTION("vlookup($D1101,IMPORTRANGE(""https://docs.google.com/spreadsheets/d/1swGwZOEqYlTEUCJLY-eeJM1911Kvaei5oySBIxdgtNo/edit?pli=1#gid=257618397"",""stock FAKTUR!B:d""),3,false)"),"")</f>
        <v/>
      </c>
      <c r="G1101" s="145" t="str">
        <f>IFERROR(__xludf.DUMMYFUNCTION("vlookup($D1101,IMPORTRANGE(""https://docs.google.com/spreadsheets/d/1swGwZOEqYlTEUCJLY-eeJM1911Kvaei5oySBIxdgtNo/edit?pli=1#gid=257618397"",""stock FAKTUR!B:e""),4,false)"),"")</f>
        <v/>
      </c>
      <c r="H1101" s="145" t="str">
        <f>IFERROR(__xludf.DUMMYFUNCTION("vlookup($D1101,IMPORTRANGE(""https://docs.google.com/spreadsheets/d/1swGwZOEqYlTEUCJLY-eeJM1911Kvaei5oySBIxdgtNo/edit?pli=1#gid=257618397"",""stock FAKTUR!B:F""),5,false)"),"KN")</f>
        <v>KN</v>
      </c>
      <c r="I1101" s="145" t="str">
        <f>IFERROR(__xludf.DUMMYFUNCTION("vlookup($D1101,IMPORTRANGE(""https://docs.google.com/spreadsheets/d/1swGwZOEqYlTEUCJLY-eeJM1911Kvaei5oySBIxdgtNo/edit?pli=1#gid=257618397"",""stock FAKTUR!B:G""),6,false)"),"CFL-001")</f>
        <v>CFL-001</v>
      </c>
      <c r="J1101" s="199" t="str">
        <f t="shared" si="25"/>
        <v>ADA</v>
      </c>
      <c r="K1101" s="142">
        <v>72.0</v>
      </c>
      <c r="L1101" s="145" t="str">
        <f>IFERROR(__xludf.DUMMYFUNCTION("vlookup($D1101,IMPORTRANGE(""https://docs.google.com/spreadsheets/d/1swGwZOEqYlTEUCJLY-eeJM1911Kvaei5oySBIxdgtNo/edit?pli=1#gid=257618397"",""stock FAKTUR!B:q""),16,false)"),"LSN")</f>
        <v>LSN</v>
      </c>
      <c r="M1101" s="147">
        <v>56100.0</v>
      </c>
      <c r="N1101" s="152">
        <v>0.15</v>
      </c>
      <c r="O1101" s="147">
        <f t="shared" si="280"/>
        <v>3433320</v>
      </c>
      <c r="P1101" s="147" t="str">
        <f t="shared" si="3"/>
        <v>Rp56,100-72 LSN-15.00%</v>
      </c>
      <c r="Q1101" s="149">
        <v>45436.0</v>
      </c>
      <c r="R1101" s="150"/>
      <c r="S1101" s="149">
        <v>45440.0</v>
      </c>
      <c r="T1101" s="151"/>
      <c r="U1101" s="151"/>
      <c r="V1101" s="151"/>
      <c r="W1101" s="151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</row>
    <row r="1102">
      <c r="A1102" s="142">
        <v>4951.0</v>
      </c>
      <c r="B1102" s="143" t="s">
        <v>33</v>
      </c>
      <c r="C1102" s="143" t="s">
        <v>115</v>
      </c>
      <c r="D1102" s="53" t="s">
        <v>4839</v>
      </c>
      <c r="E1102" s="145" t="str">
        <f>IFERROR(__xludf.DUMMYFUNCTION("vlookup(D1102,IMPORTRANGE(""https://docs.google.com/spreadsheets/d/1swGwZOEqYlTEUCJLY-eeJM1911Kvaei5oySBIxdgtNo/edit?pli=1#gid=257618397"",""stock FAKTUR!B:C""),2,false)"),"LABEL JK LB-1LY 1 LINE KUNING")</f>
        <v>LABEL JK LB-1LY 1 LINE KUNING</v>
      </c>
      <c r="F1102" s="145" t="str">
        <f>IFERROR(__xludf.DUMMYFUNCTION("vlookup($D1102,IMPORTRANGE(""https://docs.google.com/spreadsheets/d/1swGwZOEqYlTEUCJLY-eeJM1911Kvaei5oySBIxdgtNo/edit?pli=1#gid=257618397"",""stock FAKTUR!B:d""),3,false)"),"")</f>
        <v/>
      </c>
      <c r="G1102" s="145" t="str">
        <f>IFERROR(__xludf.DUMMYFUNCTION("vlookup($D1102,IMPORTRANGE(""https://docs.google.com/spreadsheets/d/1swGwZOEqYlTEUCJLY-eeJM1911Kvaei5oySBIxdgtNo/edit?pli=1#gid=257618397"",""stock FAKTUR!B:e""),4,false)"),"KUNING")</f>
        <v>KUNING</v>
      </c>
      <c r="H1102" s="145" t="str">
        <f>IFERROR(__xludf.DUMMYFUNCTION("vlookup($D1102,IMPORTRANGE(""https://docs.google.com/spreadsheets/d/1swGwZOEqYlTEUCJLY-eeJM1911Kvaei5oySBIxdgtNo/edit?pli=1#gid=257618397"",""stock FAKTUR!B:F""),5,false)"),"JK")</f>
        <v>JK</v>
      </c>
      <c r="I1102" s="145" t="str">
        <f>IFERROR(__xludf.DUMMYFUNCTION("vlookup($D1102,IMPORTRANGE(""https://docs.google.com/spreadsheets/d/1swGwZOEqYlTEUCJLY-eeJM1911Kvaei5oySBIxdgtNo/edit?pli=1#gid=257618397"",""stock FAKTUR!B:G""),6,false)"),"LB-1LY")</f>
        <v>LB-1LY</v>
      </c>
      <c r="J1102" s="199" t="str">
        <f t="shared" si="25"/>
        <v>ADA</v>
      </c>
      <c r="K1102" s="142">
        <v>30.0</v>
      </c>
      <c r="L1102" s="145" t="str">
        <f>IFERROR(__xludf.DUMMYFUNCTION("vlookup($D1102,IMPORTRANGE(""https://docs.google.com/spreadsheets/d/1swGwZOEqYlTEUCJLY-eeJM1911Kvaei5oySBIxdgtNo/edit?pli=1#gid=257618397"",""stock FAKTUR!B:q""),16,false)"),"PAK")</f>
        <v>PAK</v>
      </c>
      <c r="M1102" s="147">
        <v>30000.0</v>
      </c>
      <c r="N1102" s="152">
        <v>0.1</v>
      </c>
      <c r="O1102" s="147">
        <f t="shared" si="280"/>
        <v>810000</v>
      </c>
      <c r="P1102" s="147" t="str">
        <f t="shared" si="3"/>
        <v>Rp30,000-30 PAK-10.00%</v>
      </c>
      <c r="Q1102" s="149">
        <v>45436.0</v>
      </c>
      <c r="R1102" s="150"/>
      <c r="S1102" s="149">
        <v>45440.0</v>
      </c>
      <c r="T1102" s="151"/>
      <c r="U1102" s="151"/>
      <c r="V1102" s="151"/>
      <c r="W1102" s="151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</row>
    <row r="1103">
      <c r="A1103" s="142">
        <v>4951.0</v>
      </c>
      <c r="B1103" s="143" t="str">
        <f t="shared" ref="B1103:B1104" si="325">IF(A1103=A1102,B1102,"")</f>
        <v>H</v>
      </c>
      <c r="C1103" s="143" t="str">
        <f t="shared" ref="C1103:C1104" si="326">IF(A1103=A1102,C1102,"")</f>
        <v>INDOFOTOCOPY-PARAKAN</v>
      </c>
      <c r="D1103" s="53" t="s">
        <v>4685</v>
      </c>
      <c r="E1103" s="145" t="str">
        <f>IFERROR(__xludf.DUMMYFUNCTION("vlookup(D1103,IMPORTRANGE(""https://docs.google.com/spreadsheets/d/1swGwZOEqYlTEUCJLY-eeJM1911Kvaei5oySBIxdgtNo/edit?pli=1#gid=257618397"",""stock FAKTUR!B:C""),2,false)"),"PAPER FASTENER JK PF-50 PUTIH")</f>
        <v>PAPER FASTENER JK PF-50 PUTIH</v>
      </c>
      <c r="F1103" s="145" t="str">
        <f>IFERROR(__xludf.DUMMYFUNCTION("vlookup($D1103,IMPORTRANGE(""https://docs.google.com/spreadsheets/d/1swGwZOEqYlTEUCJLY-eeJM1911Kvaei5oySBIxdgtNo/edit?pli=1#gid=257618397"",""stock FAKTUR!B:d""),3,false)"),"")</f>
        <v/>
      </c>
      <c r="G1103" s="145" t="str">
        <f>IFERROR(__xludf.DUMMYFUNCTION("vlookup($D1103,IMPORTRANGE(""https://docs.google.com/spreadsheets/d/1swGwZOEqYlTEUCJLY-eeJM1911Kvaei5oySBIxdgtNo/edit?pli=1#gid=257618397"",""stock FAKTUR!B:e""),4,false)"),"PUTIH")</f>
        <v>PUTIH</v>
      </c>
      <c r="H1103" s="145" t="str">
        <f>IFERROR(__xludf.DUMMYFUNCTION("vlookup($D1103,IMPORTRANGE(""https://docs.google.com/spreadsheets/d/1swGwZOEqYlTEUCJLY-eeJM1911Kvaei5oySBIxdgtNo/edit?pli=1#gid=257618397"",""stock FAKTUR!B:F""),5,false)"),"JK")</f>
        <v>JK</v>
      </c>
      <c r="I1103" s="145" t="str">
        <f>IFERROR(__xludf.DUMMYFUNCTION("vlookup($D1103,IMPORTRANGE(""https://docs.google.com/spreadsheets/d/1swGwZOEqYlTEUCJLY-eeJM1911Kvaei5oySBIxdgtNo/edit?pli=1#gid=257618397"",""stock FAKTUR!B:G""),6,false)"),"PF-50")</f>
        <v>PF-50</v>
      </c>
      <c r="J1103" s="199" t="str">
        <f t="shared" si="25"/>
        <v>ADA</v>
      </c>
      <c r="K1103" s="142">
        <v>3.0</v>
      </c>
      <c r="L1103" s="145" t="str">
        <f>IFERROR(__xludf.DUMMYFUNCTION("vlookup($D1103,IMPORTRANGE(""https://docs.google.com/spreadsheets/d/1swGwZOEqYlTEUCJLY-eeJM1911Kvaei5oySBIxdgtNo/edit?pli=1#gid=257618397"",""stock FAKTUR!B:q""),16,false)"),"PAK")</f>
        <v>PAK</v>
      </c>
      <c r="M1103" s="147">
        <v>7600.0</v>
      </c>
      <c r="N1103" s="152">
        <v>0.1</v>
      </c>
      <c r="O1103" s="147">
        <f t="shared" si="280"/>
        <v>20520</v>
      </c>
      <c r="P1103" s="147" t="str">
        <f t="shared" si="3"/>
        <v>Rp7,600-3 PAK-10.00%</v>
      </c>
      <c r="Q1103" s="149">
        <v>45436.0</v>
      </c>
      <c r="R1103" s="150"/>
      <c r="S1103" s="149">
        <v>45440.0</v>
      </c>
      <c r="T1103" s="151"/>
      <c r="U1103" s="151"/>
      <c r="V1103" s="151"/>
      <c r="W1103" s="151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</row>
    <row r="1104">
      <c r="A1104" s="142">
        <v>4951.0</v>
      </c>
      <c r="B1104" s="143" t="str">
        <f t="shared" si="325"/>
        <v>H</v>
      </c>
      <c r="C1104" s="143" t="str">
        <f t="shared" si="326"/>
        <v>INDOFOTOCOPY-PARAKAN</v>
      </c>
      <c r="D1104" s="70" t="s">
        <v>4836</v>
      </c>
      <c r="E1104" s="145" t="str">
        <f>IFERROR(__xludf.DUMMYFUNCTION("vlookup(D1104,IMPORTRANGE(""https://docs.google.com/spreadsheets/d/1swGwZOEqYlTEUCJLY-eeJM1911Kvaei5oySBIxdgtNo/edit?pli=1#gid=257618397"",""stock FAKTUR!B:C""),2,false)"),"PAPER FASTENER JK PF-50 WARNA")</f>
        <v>PAPER FASTENER JK PF-50 WARNA</v>
      </c>
      <c r="F1104" s="145" t="str">
        <f>IFERROR(__xludf.DUMMYFUNCTION("vlookup($D1104,IMPORTRANGE(""https://docs.google.com/spreadsheets/d/1swGwZOEqYlTEUCJLY-eeJM1911Kvaei5oySBIxdgtNo/edit?pli=1#gid=257618397"",""stock FAKTUR!B:d""),3,false)"),"")</f>
        <v/>
      </c>
      <c r="G1104" s="145" t="str">
        <f>IFERROR(__xludf.DUMMYFUNCTION("vlookup($D1104,IMPORTRANGE(""https://docs.google.com/spreadsheets/d/1swGwZOEqYlTEUCJLY-eeJM1911Kvaei5oySBIxdgtNo/edit?pli=1#gid=257618397"",""stock FAKTUR!B:e""),4,false)"),"WARNA")</f>
        <v>WARNA</v>
      </c>
      <c r="H1104" s="145" t="str">
        <f>IFERROR(__xludf.DUMMYFUNCTION("vlookup($D1104,IMPORTRANGE(""https://docs.google.com/spreadsheets/d/1swGwZOEqYlTEUCJLY-eeJM1911Kvaei5oySBIxdgtNo/edit?pli=1#gid=257618397"",""stock FAKTUR!B:F""),5,false)"),"JK")</f>
        <v>JK</v>
      </c>
      <c r="I1104" s="145" t="str">
        <f>IFERROR(__xludf.DUMMYFUNCTION("vlookup($D1104,IMPORTRANGE(""https://docs.google.com/spreadsheets/d/1swGwZOEqYlTEUCJLY-eeJM1911Kvaei5oySBIxdgtNo/edit?pli=1#gid=257618397"",""stock FAKTUR!B:G""),6,false)"),"PF-50")</f>
        <v>PF-50</v>
      </c>
      <c r="J1104" s="199" t="str">
        <f t="shared" si="25"/>
        <v>ADA</v>
      </c>
      <c r="K1104" s="142">
        <v>2.0</v>
      </c>
      <c r="L1104" s="145" t="str">
        <f>IFERROR(__xludf.DUMMYFUNCTION("vlookup($D1104,IMPORTRANGE(""https://docs.google.com/spreadsheets/d/1swGwZOEqYlTEUCJLY-eeJM1911Kvaei5oySBIxdgtNo/edit?pli=1#gid=257618397"",""stock FAKTUR!B:q""),16,false)"),"PAK")</f>
        <v>PAK</v>
      </c>
      <c r="M1104" s="147">
        <v>7600.0</v>
      </c>
      <c r="N1104" s="152">
        <v>0.1</v>
      </c>
      <c r="O1104" s="147">
        <f t="shared" si="280"/>
        <v>13680</v>
      </c>
      <c r="P1104" s="147" t="str">
        <f t="shared" si="3"/>
        <v>Rp7,600-2 PAK-10.00%</v>
      </c>
      <c r="Q1104" s="149">
        <v>45436.0</v>
      </c>
      <c r="R1104" s="150"/>
      <c r="S1104" s="149">
        <v>45440.0</v>
      </c>
      <c r="T1104" s="151"/>
      <c r="U1104" s="151"/>
      <c r="V1104" s="151"/>
      <c r="W1104" s="151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</row>
    <row r="1105">
      <c r="A1105" s="142">
        <v>4980.0</v>
      </c>
      <c r="B1105" s="143" t="s">
        <v>58</v>
      </c>
      <c r="C1105" s="143" t="s">
        <v>3808</v>
      </c>
      <c r="D1105" s="49" t="s">
        <v>4832</v>
      </c>
      <c r="E1105" s="145" t="str">
        <f>IFERROR(__xludf.DUMMYFUNCTION("vlookup(D1105,IMPORTRANGE(""https://docs.google.com/spreadsheets/d/1swGwZOEqYlTEUCJLY-eeJM1911Kvaei5oySBIxdgtNo/edit?pli=1#gid=257618397"",""stock FAKTUR!B:C""),2,false)"),"BP TIZO TG340 HITAM")</f>
        <v>BP TIZO TG340 HITAM</v>
      </c>
      <c r="F1105" s="145" t="str">
        <f>IFERROR(__xludf.DUMMYFUNCTION("vlookup($D1105,IMPORTRANGE(""https://docs.google.com/spreadsheets/d/1swGwZOEqYlTEUCJLY-eeJM1911Kvaei5oySBIxdgtNo/edit?pli=1#gid=257618397"",""stock FAKTUR!B:d""),3,false)"),"")</f>
        <v/>
      </c>
      <c r="G1105" s="145" t="str">
        <f>IFERROR(__xludf.DUMMYFUNCTION("vlookup($D1105,IMPORTRANGE(""https://docs.google.com/spreadsheets/d/1swGwZOEqYlTEUCJLY-eeJM1911Kvaei5oySBIxdgtNo/edit?pli=1#gid=257618397"",""stock FAKTUR!B:e""),4,false)"),"HITAM")</f>
        <v>HITAM</v>
      </c>
      <c r="H1105" s="145" t="str">
        <f>IFERROR(__xludf.DUMMYFUNCTION("vlookup($D1105,IMPORTRANGE(""https://docs.google.com/spreadsheets/d/1swGwZOEqYlTEUCJLY-eeJM1911Kvaei5oySBIxdgtNo/edit?pli=1#gid=257618397"",""stock FAKTUR!B:F""),5,false)"),"TZ")</f>
        <v>TZ</v>
      </c>
      <c r="I1105" s="145" t="str">
        <f>IFERROR(__xludf.DUMMYFUNCTION("vlookup($D1105,IMPORTRANGE(""https://docs.google.com/spreadsheets/d/1swGwZOEqYlTEUCJLY-eeJM1911Kvaei5oySBIxdgtNo/edit?pli=1#gid=257618397"",""stock FAKTUR!B:G""),6,false)"),"TG340")</f>
        <v>TG340</v>
      </c>
      <c r="J1105" s="199" t="str">
        <f t="shared" si="25"/>
        <v>ADA</v>
      </c>
      <c r="K1105" s="142">
        <v>96.0</v>
      </c>
      <c r="L1105" s="145" t="str">
        <f>IFERROR(__xludf.DUMMYFUNCTION("vlookup($D1105,IMPORTRANGE(""https://docs.google.com/spreadsheets/d/1swGwZOEqYlTEUCJLY-eeJM1911Kvaei5oySBIxdgtNo/edit?pli=1#gid=257618397"",""stock FAKTUR!B:q""),16,false)"),"LSN")</f>
        <v>LSN</v>
      </c>
      <c r="M1105" s="147">
        <v>33000.0</v>
      </c>
      <c r="N1105" s="148"/>
      <c r="O1105" s="147">
        <f t="shared" si="280"/>
        <v>3168000</v>
      </c>
      <c r="P1105" s="147" t="str">
        <f t="shared" si="3"/>
        <v>Rp33,000-96 LSN-0.00%</v>
      </c>
      <c r="Q1105" s="149">
        <v>45436.0</v>
      </c>
      <c r="R1105" s="150"/>
      <c r="S1105" s="149">
        <v>45440.0</v>
      </c>
      <c r="T1105" s="151"/>
      <c r="U1105" s="151"/>
      <c r="V1105" s="151"/>
      <c r="W1105" s="151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</row>
    <row r="1106">
      <c r="A1106" s="142">
        <v>2942.0</v>
      </c>
      <c r="B1106" s="143" t="s">
        <v>33</v>
      </c>
      <c r="C1106" s="143" t="s">
        <v>2243</v>
      </c>
      <c r="D1106" s="53" t="s">
        <v>4467</v>
      </c>
      <c r="E1106" s="145" t="str">
        <f>IFERROR(__xludf.DUMMYFUNCTION("vlookup(D1106,IMPORTRANGE(""https://docs.google.com/spreadsheets/d/1swGwZOEqYlTEUCJLY-eeJM1911Kvaei5oySBIxdgtNo/edit?pli=1#gid=257618397"",""stock FAKTUR!B:C""),2,false)"),"TAPE CUTTER JK TD-103")</f>
        <v>TAPE CUTTER JK TD-103</v>
      </c>
      <c r="F1106" s="145" t="str">
        <f>IFERROR(__xludf.DUMMYFUNCTION("vlookup($D1106,IMPORTRANGE(""https://docs.google.com/spreadsheets/d/1swGwZOEqYlTEUCJLY-eeJM1911Kvaei5oySBIxdgtNo/edit?pli=1#gid=257618397"",""stock FAKTUR!B:d""),3,false)"),"")</f>
        <v/>
      </c>
      <c r="G1106" s="145" t="str">
        <f>IFERROR(__xludf.DUMMYFUNCTION("vlookup($D1106,IMPORTRANGE(""https://docs.google.com/spreadsheets/d/1swGwZOEqYlTEUCJLY-eeJM1911Kvaei5oySBIxdgtNo/edit?pli=1#gid=257618397"",""stock FAKTUR!B:e""),4,false)"),"")</f>
        <v/>
      </c>
      <c r="H1106" s="145" t="str">
        <f>IFERROR(__xludf.DUMMYFUNCTION("vlookup($D1106,IMPORTRANGE(""https://docs.google.com/spreadsheets/d/1swGwZOEqYlTEUCJLY-eeJM1911Kvaei5oySBIxdgtNo/edit?pli=1#gid=257618397"",""stock FAKTUR!B:F""),5,false)"),"JK")</f>
        <v>JK</v>
      </c>
      <c r="I1106" s="145" t="str">
        <f>IFERROR(__xludf.DUMMYFUNCTION("vlookup($D1106,IMPORTRANGE(""https://docs.google.com/spreadsheets/d/1swGwZOEqYlTEUCJLY-eeJM1911Kvaei5oySBIxdgtNo/edit?pli=1#gid=257618397"",""stock FAKTUR!B:G""),6,false)"),"TD-103")</f>
        <v>TD-103</v>
      </c>
      <c r="J1106" s="199" t="str">
        <f t="shared" si="25"/>
        <v>ADA</v>
      </c>
      <c r="K1106" s="142">
        <v>96.0</v>
      </c>
      <c r="L1106" s="145" t="str">
        <f>IFERROR(__xludf.DUMMYFUNCTION("vlookup($D1106,IMPORTRANGE(""https://docs.google.com/spreadsheets/d/1swGwZOEqYlTEUCJLY-eeJM1911Kvaei5oySBIxdgtNo/edit?pli=1#gid=257618397"",""stock FAKTUR!B:q""),16,false)"),"PCS")</f>
        <v>PCS</v>
      </c>
      <c r="M1106" s="147">
        <v>19000.0</v>
      </c>
      <c r="N1106" s="152">
        <v>0.125</v>
      </c>
      <c r="O1106" s="147">
        <f t="shared" si="280"/>
        <v>1596000</v>
      </c>
      <c r="P1106" s="147" t="str">
        <f t="shared" si="3"/>
        <v>Rp19,000-96 PCS-12.50%</v>
      </c>
      <c r="Q1106" s="149">
        <v>45436.0</v>
      </c>
      <c r="R1106" s="150"/>
      <c r="S1106" s="149">
        <v>45440.0</v>
      </c>
      <c r="T1106" s="151"/>
      <c r="U1106" s="151"/>
      <c r="V1106" s="151"/>
      <c r="W1106" s="151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</row>
    <row r="1107">
      <c r="A1107" s="142">
        <v>4974.0</v>
      </c>
      <c r="B1107" s="143" t="s">
        <v>33</v>
      </c>
      <c r="C1107" s="143" t="s">
        <v>625</v>
      </c>
      <c r="D1107" s="53" t="s">
        <v>4708</v>
      </c>
      <c r="E1107" s="145" t="str">
        <f>IFERROR(__xludf.DUMMYFUNCTION("vlookup(D1107,IMPORTRANGE(""https://docs.google.com/spreadsheets/d/1swGwZOEqYlTEUCJLY-eeJM1911Kvaei5oySBIxdgtNo/edit?pli=1#gid=257618397"",""stock FAKTUR!B:C""),2,false)"),"BINDER CLIP KENKO NO. 155")</f>
        <v>BINDER CLIP KENKO NO. 155</v>
      </c>
      <c r="F1107" s="145" t="str">
        <f>IFERROR(__xludf.DUMMYFUNCTION("vlookup($D1107,IMPORTRANGE(""https://docs.google.com/spreadsheets/d/1swGwZOEqYlTEUCJLY-eeJM1911Kvaei5oySBIxdgtNo/edit?pli=1#gid=257618397"",""stock FAKTUR!B:d""),3,false)"),"")</f>
        <v/>
      </c>
      <c r="G1107" s="145" t="str">
        <f>IFERROR(__xludf.DUMMYFUNCTION("vlookup($D1107,IMPORTRANGE(""https://docs.google.com/spreadsheets/d/1swGwZOEqYlTEUCJLY-eeJM1911Kvaei5oySBIxdgtNo/edit?pli=1#gid=257618397"",""stock FAKTUR!B:e""),4,false)"),"")</f>
        <v/>
      </c>
      <c r="H1107" s="145" t="str">
        <f>IFERROR(__xludf.DUMMYFUNCTION("vlookup($D1107,IMPORTRANGE(""https://docs.google.com/spreadsheets/d/1swGwZOEqYlTEUCJLY-eeJM1911Kvaei5oySBIxdgtNo/edit?pli=1#gid=257618397"",""stock FAKTUR!B:F""),5,false)"),"KN")</f>
        <v>KN</v>
      </c>
      <c r="I1107" s="145" t="str">
        <f>IFERROR(__xludf.DUMMYFUNCTION("vlookup($D1107,IMPORTRANGE(""https://docs.google.com/spreadsheets/d/1swGwZOEqYlTEUCJLY-eeJM1911Kvaei5oySBIxdgtNo/edit?pli=1#gid=257618397"",""stock FAKTUR!B:G""),6,false)"),"BCL-004QH")</f>
        <v>BCL-004QH</v>
      </c>
      <c r="J1107" s="199" t="str">
        <f t="shared" si="25"/>
        <v>ADA</v>
      </c>
      <c r="K1107" s="142">
        <v>20.0</v>
      </c>
      <c r="L1107" s="145" t="str">
        <f>IFERROR(__xludf.DUMMYFUNCTION("vlookup($D1107,IMPORTRANGE(""https://docs.google.com/spreadsheets/d/1swGwZOEqYlTEUCJLY-eeJM1911Kvaei5oySBIxdgtNo/edit?pli=1#gid=257618397"",""stock FAKTUR!B:q""),16,false)"),"BOX")</f>
        <v>BOX</v>
      </c>
      <c r="M1107" s="147">
        <v>69000.0</v>
      </c>
      <c r="N1107" s="152">
        <v>0.125</v>
      </c>
      <c r="O1107" s="147">
        <f t="shared" si="280"/>
        <v>1207500</v>
      </c>
      <c r="P1107" s="147" t="str">
        <f t="shared" si="3"/>
        <v>Rp69,000-20 BOX-12.50%</v>
      </c>
      <c r="Q1107" s="149">
        <v>45436.0</v>
      </c>
      <c r="R1107" s="150"/>
      <c r="S1107" s="149">
        <v>45440.0</v>
      </c>
      <c r="T1107" s="151"/>
      <c r="U1107" s="151"/>
      <c r="V1107" s="151"/>
      <c r="W1107" s="151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</row>
    <row r="1108">
      <c r="A1108" s="142">
        <v>4974.0</v>
      </c>
      <c r="B1108" s="143" t="str">
        <f>IF(A1108=A1107,B1107,"")</f>
        <v>H</v>
      </c>
      <c r="C1108" s="143" t="str">
        <f>IF(A1108=A1107,C1107,"")</f>
        <v>MEMORY-BATANG</v>
      </c>
      <c r="D1108" s="53" t="s">
        <v>4514</v>
      </c>
      <c r="E1108" s="145" t="str">
        <f>IFERROR(__xludf.DUMMYFUNCTION("vlookup(D1108,IMPORTRANGE(""https://docs.google.com/spreadsheets/d/1swGwZOEqYlTEUCJLY-eeJM1911Kvaei5oySBIxdgtNo/edit?pli=1#gid=257618397"",""stock FAKTUR!B:C""),2,false)"),"TAPE DISPENSER KENKO TD-323")</f>
        <v>TAPE DISPENSER KENKO TD-323</v>
      </c>
      <c r="F1108" s="145" t="str">
        <f>IFERROR(__xludf.DUMMYFUNCTION("vlookup($D1108,IMPORTRANGE(""https://docs.google.com/spreadsheets/d/1swGwZOEqYlTEUCJLY-eeJM1911Kvaei5oySBIxdgtNo/edit?pli=1#gid=257618397"",""stock FAKTUR!B:d""),3,false)"),"")</f>
        <v/>
      </c>
      <c r="G1108" s="145" t="str">
        <f>IFERROR(__xludf.DUMMYFUNCTION("vlookup($D1108,IMPORTRANGE(""https://docs.google.com/spreadsheets/d/1swGwZOEqYlTEUCJLY-eeJM1911Kvaei5oySBIxdgtNo/edit?pli=1#gid=257618397"",""stock FAKTUR!B:e""),4,false)"),"")</f>
        <v/>
      </c>
      <c r="H1108" s="145" t="str">
        <f>IFERROR(__xludf.DUMMYFUNCTION("vlookup($D1108,IMPORTRANGE(""https://docs.google.com/spreadsheets/d/1swGwZOEqYlTEUCJLY-eeJM1911Kvaei5oySBIxdgtNo/edit?pli=1#gid=257618397"",""stock FAKTUR!B:F""),5,false)"),"KN")</f>
        <v>KN</v>
      </c>
      <c r="I1108" s="145" t="str">
        <f>IFERROR(__xludf.DUMMYFUNCTION("vlookup($D1108,IMPORTRANGE(""https://docs.google.com/spreadsheets/d/1swGwZOEqYlTEUCJLY-eeJM1911Kvaei5oySBIxdgtNo/edit?pli=1#gid=257618397"",""stock FAKTUR!B:G""),6,false)"),"TPD-006")</f>
        <v>TPD-006</v>
      </c>
      <c r="J1108" s="199" t="str">
        <f t="shared" si="25"/>
        <v>ADA</v>
      </c>
      <c r="K1108" s="142">
        <v>5.0</v>
      </c>
      <c r="L1108" s="145" t="str">
        <f>IFERROR(__xludf.DUMMYFUNCTION("vlookup($D1108,IMPORTRANGE(""https://docs.google.com/spreadsheets/d/1swGwZOEqYlTEUCJLY-eeJM1911Kvaei5oySBIxdgtNo/edit?pli=1#gid=257618397"",""stock FAKTUR!B:q""),16,false)"),"PCS")</f>
        <v>PCS</v>
      </c>
      <c r="M1108" s="147">
        <v>19250.0</v>
      </c>
      <c r="N1108" s="152">
        <v>0.125</v>
      </c>
      <c r="O1108" s="147">
        <f t="shared" si="280"/>
        <v>84218.75</v>
      </c>
      <c r="P1108" s="147" t="str">
        <f t="shared" si="3"/>
        <v>Rp19,250-5 PCS-12.50%</v>
      </c>
      <c r="Q1108" s="149">
        <v>45436.0</v>
      </c>
      <c r="R1108" s="150"/>
      <c r="S1108" s="149">
        <v>45440.0</v>
      </c>
      <c r="T1108" s="151"/>
      <c r="U1108" s="151"/>
      <c r="V1108" s="151"/>
      <c r="W1108" s="151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</row>
    <row r="1109">
      <c r="A1109" s="142">
        <v>4973.0</v>
      </c>
      <c r="B1109" s="143" t="s">
        <v>58</v>
      </c>
      <c r="C1109" s="143" t="s">
        <v>643</v>
      </c>
      <c r="D1109" s="53" t="s">
        <v>4396</v>
      </c>
      <c r="E1109" s="145" t="str">
        <f>IFERROR(__xludf.DUMMYFUNCTION("vlookup(D1109,IMPORTRANGE(""https://docs.google.com/spreadsheets/d/1swGwZOEqYlTEUCJLY-eeJM1911Kvaei5oySBIxdgtNo/edit?pli=1#gid=257618397"",""stock FAKTUR!B:C""),2,false)"),"STAPLER KENKO HD-10")</f>
        <v>STAPLER KENKO HD-10</v>
      </c>
      <c r="F1109" s="145" t="str">
        <f>IFERROR(__xludf.DUMMYFUNCTION("vlookup($D1109,IMPORTRANGE(""https://docs.google.com/spreadsheets/d/1swGwZOEqYlTEUCJLY-eeJM1911Kvaei5oySBIxdgtNo/edit?pli=1#gid=257618397"",""stock FAKTUR!B:d""),3,false)"),"")</f>
        <v/>
      </c>
      <c r="G1109" s="145" t="str">
        <f>IFERROR(__xludf.DUMMYFUNCTION("vlookup($D1109,IMPORTRANGE(""https://docs.google.com/spreadsheets/d/1swGwZOEqYlTEUCJLY-eeJM1911Kvaei5oySBIxdgtNo/edit?pli=1#gid=257618397"",""stock FAKTUR!B:e""),4,false)"),"")</f>
        <v/>
      </c>
      <c r="H1109" s="145" t="str">
        <f>IFERROR(__xludf.DUMMYFUNCTION("vlookup($D1109,IMPORTRANGE(""https://docs.google.com/spreadsheets/d/1swGwZOEqYlTEUCJLY-eeJM1911Kvaei5oySBIxdgtNo/edit?pli=1#gid=257618397"",""stock FAKTUR!B:F""),5,false)"),"KN")</f>
        <v>KN</v>
      </c>
      <c r="I1109" s="145" t="str">
        <f>IFERROR(__xludf.DUMMYFUNCTION("vlookup($D1109,IMPORTRANGE(""https://docs.google.com/spreadsheets/d/1swGwZOEqYlTEUCJLY-eeJM1911Kvaei5oySBIxdgtNo/edit?pli=1#gid=257618397"",""stock FAKTUR!B:G""),6,false)"),"HD-10")</f>
        <v>HD-10</v>
      </c>
      <c r="J1109" s="199" t="str">
        <f t="shared" si="25"/>
        <v>ADA</v>
      </c>
      <c r="K1109" s="142">
        <v>20.0</v>
      </c>
      <c r="L1109" s="145" t="str">
        <f>IFERROR(__xludf.DUMMYFUNCTION("vlookup($D1109,IMPORTRANGE(""https://docs.google.com/spreadsheets/d/1swGwZOEqYlTEUCJLY-eeJM1911Kvaei5oySBIxdgtNo/edit?pli=1#gid=257618397"",""stock FAKTUR!B:q""),16,false)"),"LSN")</f>
        <v>LSN</v>
      </c>
      <c r="M1109" s="147">
        <v>93000.0</v>
      </c>
      <c r="N1109" s="152">
        <v>0.125</v>
      </c>
      <c r="O1109" s="147">
        <f t="shared" si="280"/>
        <v>1627500</v>
      </c>
      <c r="P1109" s="147" t="str">
        <f t="shared" si="3"/>
        <v>Rp93,000-20 LSN-12.50%</v>
      </c>
      <c r="Q1109" s="149">
        <v>45436.0</v>
      </c>
      <c r="R1109" s="150"/>
      <c r="S1109" s="149">
        <v>45440.0</v>
      </c>
      <c r="T1109" s="151"/>
      <c r="U1109" s="151"/>
      <c r="V1109" s="151"/>
      <c r="W1109" s="151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</row>
    <row r="1110">
      <c r="A1110" s="142">
        <v>4981.0</v>
      </c>
      <c r="B1110" s="143" t="s">
        <v>58</v>
      </c>
      <c r="C1110" s="143" t="s">
        <v>2061</v>
      </c>
      <c r="D1110" s="53" t="s">
        <v>4429</v>
      </c>
      <c r="E1110" s="145" t="str">
        <f>IFERROR(__xludf.DUMMYFUNCTION("vlookup(D1110,IMPORTRANGE(""https://docs.google.com/spreadsheets/d/1swGwZOEqYlTEUCJLY-eeJM1911Kvaei5oySBIxdgtNo/edit?pli=1#gid=257618397"",""stock FAKTUR!B:C""),2,false)"),"TIPEX KENKO KE-01")</f>
        <v>TIPEX KENKO KE-01</v>
      </c>
      <c r="F1110" s="145" t="str">
        <f>IFERROR(__xludf.DUMMYFUNCTION("vlookup($D1110,IMPORTRANGE(""https://docs.google.com/spreadsheets/d/1swGwZOEqYlTEUCJLY-eeJM1911Kvaei5oySBIxdgtNo/edit?pli=1#gid=257618397"",""stock FAKTUR!B:d""),3,false)"),"")</f>
        <v/>
      </c>
      <c r="G1110" s="145" t="str">
        <f>IFERROR(__xludf.DUMMYFUNCTION("vlookup($D1110,IMPORTRANGE(""https://docs.google.com/spreadsheets/d/1swGwZOEqYlTEUCJLY-eeJM1911Kvaei5oySBIxdgtNo/edit?pli=1#gid=257618397"",""stock FAKTUR!B:e""),4,false)"),"")</f>
        <v/>
      </c>
      <c r="H1110" s="145" t="str">
        <f>IFERROR(__xludf.DUMMYFUNCTION("vlookup($D1110,IMPORTRANGE(""https://docs.google.com/spreadsheets/d/1swGwZOEqYlTEUCJLY-eeJM1911Kvaei5oySBIxdgtNo/edit?pli=1#gid=257618397"",""stock FAKTUR!B:F""),5,false)"),"KN")</f>
        <v>KN</v>
      </c>
      <c r="I1110" s="145" t="str">
        <f>IFERROR(__xludf.DUMMYFUNCTION("vlookup($D1110,IMPORTRANGE(""https://docs.google.com/spreadsheets/d/1swGwZOEqYlTEUCJLY-eeJM1911Kvaei5oySBIxdgtNo/edit?pli=1#gid=257618397"",""stock FAKTUR!B:G""),6,false)"),"CFL-001")</f>
        <v>CFL-001</v>
      </c>
      <c r="J1110" s="199" t="str">
        <f t="shared" si="25"/>
        <v>ADA</v>
      </c>
      <c r="K1110" s="142">
        <v>72.0</v>
      </c>
      <c r="L1110" s="145" t="str">
        <f>IFERROR(__xludf.DUMMYFUNCTION("vlookup($D1110,IMPORTRANGE(""https://docs.google.com/spreadsheets/d/1swGwZOEqYlTEUCJLY-eeJM1911Kvaei5oySBIxdgtNo/edit?pli=1#gid=257618397"",""stock FAKTUR!B:q""),16,false)"),"LSN")</f>
        <v>LSN</v>
      </c>
      <c r="M1110" s="147">
        <v>56100.0</v>
      </c>
      <c r="N1110" s="152">
        <v>0.125</v>
      </c>
      <c r="O1110" s="147">
        <f t="shared" si="280"/>
        <v>3534300</v>
      </c>
      <c r="P1110" s="147" t="str">
        <f t="shared" si="3"/>
        <v>Rp56,100-72 LSN-12.50%</v>
      </c>
      <c r="Q1110" s="149">
        <v>45436.0</v>
      </c>
      <c r="R1110" s="150"/>
      <c r="S1110" s="149">
        <v>45440.0</v>
      </c>
      <c r="T1110" s="151"/>
      <c r="U1110" s="151"/>
      <c r="V1110" s="151"/>
      <c r="W1110" s="151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</row>
    <row r="1111">
      <c r="A1111" s="142">
        <v>4981.0</v>
      </c>
      <c r="B1111" s="143" t="str">
        <f t="shared" ref="B1111:B1112" si="327">IF(A1111=A1110,B1110,"")</f>
        <v>G</v>
      </c>
      <c r="C1111" s="143" t="str">
        <f t="shared" ref="C1111:C1112" si="328">IF(A1111=A1110,C1110,"")</f>
        <v>PUAS-PATI</v>
      </c>
      <c r="D1111" s="53" t="s">
        <v>4443</v>
      </c>
      <c r="E1111" s="145" t="str">
        <f>IFERROR(__xludf.DUMMYFUNCTION("vlookup(D1111,IMPORTRANGE(""https://docs.google.com/spreadsheets/d/1swGwZOEqYlTEUCJLY-eeJM1911Kvaei5oySBIxdgtNo/edit?pli=1#gid=257618397"",""stock FAKTUR!B:C""),2,false)"),"CUTTER KENKO K-200")</f>
        <v>CUTTER KENKO K-200</v>
      </c>
      <c r="F1111" s="145" t="str">
        <f>IFERROR(__xludf.DUMMYFUNCTION("vlookup($D1111,IMPORTRANGE(""https://docs.google.com/spreadsheets/d/1swGwZOEqYlTEUCJLY-eeJM1911Kvaei5oySBIxdgtNo/edit?pli=1#gid=257618397"",""stock FAKTUR!B:d""),3,false)"),"9 MM")</f>
        <v>9 MM</v>
      </c>
      <c r="G1111" s="145" t="str">
        <f>IFERROR(__xludf.DUMMYFUNCTION("vlookup($D1111,IMPORTRANGE(""https://docs.google.com/spreadsheets/d/1swGwZOEqYlTEUCJLY-eeJM1911Kvaei5oySBIxdgtNo/edit?pli=1#gid=257618397"",""stock FAKTUR!B:e""),4,false)"),"")</f>
        <v/>
      </c>
      <c r="H1111" s="145" t="str">
        <f>IFERROR(__xludf.DUMMYFUNCTION("vlookup($D1111,IMPORTRANGE(""https://docs.google.com/spreadsheets/d/1swGwZOEqYlTEUCJLY-eeJM1911Kvaei5oySBIxdgtNo/edit?pli=1#gid=257618397"",""stock FAKTUR!B:F""),5,false)"),"KN")</f>
        <v>KN</v>
      </c>
      <c r="I1111" s="145" t="str">
        <f>IFERROR(__xludf.DUMMYFUNCTION("vlookup($D1111,IMPORTRANGE(""https://docs.google.com/spreadsheets/d/1swGwZOEqYlTEUCJLY-eeJM1911Kvaei5oySBIxdgtNo/edit?pli=1#gid=257618397"",""stock FAKTUR!B:G""),6,false)"),"CTR-003")</f>
        <v>CTR-003</v>
      </c>
      <c r="J1111" s="199" t="str">
        <f t="shared" si="25"/>
        <v>ADA</v>
      </c>
      <c r="K1111" s="142">
        <v>6.0</v>
      </c>
      <c r="L1111" s="145" t="str">
        <f>IFERROR(__xludf.DUMMYFUNCTION("vlookup($D1111,IMPORTRANGE(""https://docs.google.com/spreadsheets/d/1swGwZOEqYlTEUCJLY-eeJM1911Kvaei5oySBIxdgtNo/edit?pli=1#gid=257618397"",""stock FAKTUR!B:q""),16,false)"),"LSN")</f>
        <v>LSN</v>
      </c>
      <c r="M1111" s="147">
        <v>52200.0</v>
      </c>
      <c r="N1111" s="152">
        <v>0.1</v>
      </c>
      <c r="O1111" s="147">
        <f t="shared" si="280"/>
        <v>281880</v>
      </c>
      <c r="P1111" s="147" t="str">
        <f t="shared" si="3"/>
        <v>Rp52,200-6 LSN-10.00%</v>
      </c>
      <c r="Q1111" s="149">
        <v>45436.0</v>
      </c>
      <c r="R1111" s="150"/>
      <c r="S1111" s="149">
        <v>45440.0</v>
      </c>
      <c r="T1111" s="151"/>
      <c r="U1111" s="151"/>
      <c r="V1111" s="151"/>
      <c r="W1111" s="151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</row>
    <row r="1112">
      <c r="A1112" s="142">
        <v>4981.0</v>
      </c>
      <c r="B1112" s="143" t="str">
        <f t="shared" si="327"/>
        <v>G</v>
      </c>
      <c r="C1112" s="143" t="str">
        <f t="shared" si="328"/>
        <v>PUAS-PATI</v>
      </c>
      <c r="D1112" s="53" t="s">
        <v>4840</v>
      </c>
      <c r="E1112" s="145" t="str">
        <f>IFERROR(__xludf.DUMMYFUNCTION("vlookup(D1112,IMPORTRANGE(""https://docs.google.com/spreadsheets/d/1swGwZOEqYlTEUCJLY-eeJM1911Kvaei5oySBIxdgtNo/edit?pli=1#gid=257618397"",""stock FAKTUR!B:C""),2,false)"),"BP KENKO K-1 BIRU")</f>
        <v>BP KENKO K-1 BIRU</v>
      </c>
      <c r="F1112" s="145" t="str">
        <f>IFERROR(__xludf.DUMMYFUNCTION("vlookup($D1112,IMPORTRANGE(""https://docs.google.com/spreadsheets/d/1swGwZOEqYlTEUCJLY-eeJM1911Kvaei5oySBIxdgtNo/edit?pli=1#gid=257618397"",""stock FAKTUR!B:d""),3,false)"),"")</f>
        <v/>
      </c>
      <c r="G1112" s="145" t="str">
        <f>IFERROR(__xludf.DUMMYFUNCTION("vlookup($D1112,IMPORTRANGE(""https://docs.google.com/spreadsheets/d/1swGwZOEqYlTEUCJLY-eeJM1911Kvaei5oySBIxdgtNo/edit?pli=1#gid=257618397"",""stock FAKTUR!B:e""),4,false)"),"BIRU")</f>
        <v>BIRU</v>
      </c>
      <c r="H1112" s="145" t="str">
        <f>IFERROR(__xludf.DUMMYFUNCTION("vlookup($D1112,IMPORTRANGE(""https://docs.google.com/spreadsheets/d/1swGwZOEqYlTEUCJLY-eeJM1911Kvaei5oySBIxdgtNo/edit?pli=1#gid=257618397"",""stock FAKTUR!B:F""),5,false)"),"KN")</f>
        <v>KN</v>
      </c>
      <c r="I1112" s="145" t="str">
        <f>IFERROR(__xludf.DUMMYFUNCTION("vlookup($D1112,IMPORTRANGE(""https://docs.google.com/spreadsheets/d/1swGwZOEqYlTEUCJLY-eeJM1911Kvaei5oySBIxdgtNo/edit?pli=1#gid=257618397"",""stock FAKTUR!B:G""),6,false)"),"GPR-003BL")</f>
        <v>GPR-003BL</v>
      </c>
      <c r="J1112" s="199" t="str">
        <f t="shared" si="25"/>
        <v>ADA</v>
      </c>
      <c r="K1112" s="142">
        <v>24.0</v>
      </c>
      <c r="L1112" s="145" t="str">
        <f>IFERROR(__xludf.DUMMYFUNCTION("vlookup($D1112,IMPORTRANGE(""https://docs.google.com/spreadsheets/d/1swGwZOEqYlTEUCJLY-eeJM1911Kvaei5oySBIxdgtNo/edit?pli=1#gid=257618397"",""stock FAKTUR!B:q""),16,false)"),"LSN")</f>
        <v>LSN</v>
      </c>
      <c r="M1112" s="147">
        <v>39600.0</v>
      </c>
      <c r="N1112" s="152">
        <v>0.1</v>
      </c>
      <c r="O1112" s="147">
        <f t="shared" si="280"/>
        <v>855360</v>
      </c>
      <c r="P1112" s="147" t="str">
        <f t="shared" si="3"/>
        <v>Rp39,600-24 LSN-10.00%</v>
      </c>
      <c r="Q1112" s="149">
        <v>45436.0</v>
      </c>
      <c r="R1112" s="150"/>
      <c r="S1112" s="149">
        <v>45440.0</v>
      </c>
      <c r="T1112" s="151"/>
      <c r="U1112" s="151"/>
      <c r="V1112" s="151"/>
      <c r="W1112" s="151"/>
      <c r="X1112" s="49"/>
      <c r="Y1112" s="49"/>
      <c r="Z1112" s="49"/>
      <c r="AA1112" s="49"/>
      <c r="AB1112" s="49"/>
      <c r="AC1112" s="49"/>
      <c r="AD1112" s="49"/>
      <c r="AE1112" s="49"/>
      <c r="AF1112" s="49"/>
      <c r="AG1112" s="49"/>
    </row>
    <row r="1113">
      <c r="A1113" s="142">
        <v>4970.0</v>
      </c>
      <c r="B1113" s="143" t="s">
        <v>58</v>
      </c>
      <c r="C1113" s="143" t="s">
        <v>1430</v>
      </c>
      <c r="D1113" s="53" t="s">
        <v>4841</v>
      </c>
      <c r="E1113" s="145" t="str">
        <f>IFERROR(__xludf.DUMMYFUNCTION("vlookup(D1113,IMPORTRANGE(""https://docs.google.com/spreadsheets/d/1swGwZOEqYlTEUCJLY-eeJM1911Kvaei5oySBIxdgtNo/edit?pli=1#gid=257618397"",""stock FAKTUR!B:C""),2,false)"),"BINDER JK TSFC-M132 B5 FACULTY")</f>
        <v>BINDER JK TSFC-M132 B5 FACULTY</v>
      </c>
      <c r="F1113" s="145" t="str">
        <f>IFERROR(__xludf.DUMMYFUNCTION("vlookup($D1113,IMPORTRANGE(""https://docs.google.com/spreadsheets/d/1swGwZOEqYlTEUCJLY-eeJM1911Kvaei5oySBIxdgtNo/edit?pli=1#gid=257618397"",""stock FAKTUR!B:d""),3,false)"),"B5")</f>
        <v>B5</v>
      </c>
      <c r="G1113" s="145" t="str">
        <f>IFERROR(__xludf.DUMMYFUNCTION("vlookup($D1113,IMPORTRANGE(""https://docs.google.com/spreadsheets/d/1swGwZOEqYlTEUCJLY-eeJM1911Kvaei5oySBIxdgtNo/edit?pli=1#gid=257618397"",""stock FAKTUR!B:e""),4,false)"),"")</f>
        <v/>
      </c>
      <c r="H1113" s="145" t="str">
        <f>IFERROR(__xludf.DUMMYFUNCTION("vlookup($D1113,IMPORTRANGE(""https://docs.google.com/spreadsheets/d/1swGwZOEqYlTEUCJLY-eeJM1911Kvaei5oySBIxdgtNo/edit?pli=1#gid=257618397"",""stock FAKTUR!B:F""),5,false)"),"JK")</f>
        <v>JK</v>
      </c>
      <c r="I1113" s="145" t="str">
        <f>IFERROR(__xludf.DUMMYFUNCTION("vlookup($D1113,IMPORTRANGE(""https://docs.google.com/spreadsheets/d/1swGwZOEqYlTEUCJLY-eeJM1911Kvaei5oySBIxdgtNo/edit?pli=1#gid=257618397"",""stock FAKTUR!B:G""),6,false)"),"TSFC-M132")</f>
        <v>TSFC-M132</v>
      </c>
      <c r="J1113" s="199" t="str">
        <f t="shared" si="25"/>
        <v>ADA</v>
      </c>
      <c r="K1113" s="142">
        <v>72.0</v>
      </c>
      <c r="L1113" s="145" t="str">
        <f>IFERROR(__xludf.DUMMYFUNCTION("vlookup($D1113,IMPORTRANGE(""https://docs.google.com/spreadsheets/d/1swGwZOEqYlTEUCJLY-eeJM1911Kvaei5oySBIxdgtNo/edit?pli=1#gid=257618397"",""stock FAKTUR!B:q""),16,false)"),"PCS")</f>
        <v>PCS</v>
      </c>
      <c r="M1113" s="147">
        <v>20400.0</v>
      </c>
      <c r="N1113" s="152">
        <v>0.125</v>
      </c>
      <c r="O1113" s="147">
        <f t="shared" si="280"/>
        <v>1285200</v>
      </c>
      <c r="P1113" s="147" t="str">
        <f t="shared" si="3"/>
        <v>Rp20,400-72 PCS-12.50%</v>
      </c>
      <c r="Q1113" s="149">
        <v>45436.0</v>
      </c>
      <c r="R1113" s="150"/>
      <c r="S1113" s="149">
        <v>45440.0</v>
      </c>
      <c r="T1113" s="151"/>
      <c r="U1113" s="151"/>
      <c r="V1113" s="151"/>
      <c r="W1113" s="151"/>
      <c r="X1113" s="49"/>
      <c r="Y1113" s="49"/>
      <c r="Z1113" s="49"/>
      <c r="AA1113" s="49"/>
      <c r="AB1113" s="49"/>
      <c r="AC1113" s="49"/>
      <c r="AD1113" s="49"/>
      <c r="AE1113" s="49"/>
      <c r="AF1113" s="49"/>
      <c r="AG1113" s="49"/>
    </row>
    <row r="1114">
      <c r="A1114" s="142">
        <v>4970.0</v>
      </c>
      <c r="B1114" s="143" t="str">
        <f t="shared" ref="B1114:B1120" si="329">IF(A1114=A1113,B1113,"")</f>
        <v>G</v>
      </c>
      <c r="C1114" s="143" t="str">
        <f t="shared" ref="C1114:C1120" si="330">IF(A1114=A1113,C1113,"")</f>
        <v>REJO AGUNG-JOMBANG</v>
      </c>
      <c r="D1114" s="49" t="s">
        <v>4842</v>
      </c>
      <c r="E1114" s="145" t="str">
        <f>IFERROR(__xludf.DUMMYFUNCTION("vlookup(D1114,IMPORTRANGE(""https://docs.google.com/spreadsheets/d/1swGwZOEqYlTEUCJLY-eeJM1911Kvaei5oySBIxdgtNo/edit?pli=1#gid=257618397"",""stock FAKTUR!B:C""),2,false)"),"BINDER JK TSIM-M114 B5 IMAGE")</f>
        <v>BINDER JK TSIM-M114 B5 IMAGE</v>
      </c>
      <c r="F1114" s="145" t="str">
        <f>IFERROR(__xludf.DUMMYFUNCTION("vlookup($D1114,IMPORTRANGE(""https://docs.google.com/spreadsheets/d/1swGwZOEqYlTEUCJLY-eeJM1911Kvaei5oySBIxdgtNo/edit?pli=1#gid=257618397"",""stock FAKTUR!B:d""),3,false)"),"B5")</f>
        <v>B5</v>
      </c>
      <c r="G1114" s="145" t="str">
        <f>IFERROR(__xludf.DUMMYFUNCTION("vlookup($D1114,IMPORTRANGE(""https://docs.google.com/spreadsheets/d/1swGwZOEqYlTEUCJLY-eeJM1911Kvaei5oySBIxdgtNo/edit?pli=1#gid=257618397"",""stock FAKTUR!B:e""),4,false)"),"")</f>
        <v/>
      </c>
      <c r="H1114" s="145" t="str">
        <f>IFERROR(__xludf.DUMMYFUNCTION("vlookup($D1114,IMPORTRANGE(""https://docs.google.com/spreadsheets/d/1swGwZOEqYlTEUCJLY-eeJM1911Kvaei5oySBIxdgtNo/edit?pli=1#gid=257618397"",""stock FAKTUR!B:F""),5,false)"),"JK")</f>
        <v>JK</v>
      </c>
      <c r="I1114" s="145" t="str">
        <f>IFERROR(__xludf.DUMMYFUNCTION("vlookup($D1114,IMPORTRANGE(""https://docs.google.com/spreadsheets/d/1swGwZOEqYlTEUCJLY-eeJM1911Kvaei5oySBIxdgtNo/edit?pli=1#gid=257618397"",""stock FAKTUR!B:G""),6,false)"),"TSIM-M114")</f>
        <v>TSIM-M114</v>
      </c>
      <c r="J1114" s="199" t="str">
        <f t="shared" si="25"/>
        <v>ADA</v>
      </c>
      <c r="K1114" s="142">
        <v>72.0</v>
      </c>
      <c r="L1114" s="145" t="str">
        <f>IFERROR(__xludf.DUMMYFUNCTION("vlookup($D1114,IMPORTRANGE(""https://docs.google.com/spreadsheets/d/1swGwZOEqYlTEUCJLY-eeJM1911Kvaei5oySBIxdgtNo/edit?pli=1#gid=257618397"",""stock FAKTUR!B:q""),16,false)"),"PCS")</f>
        <v>PCS</v>
      </c>
      <c r="M1114" s="147">
        <v>20400.0</v>
      </c>
      <c r="N1114" s="152">
        <v>0.125</v>
      </c>
      <c r="O1114" s="147">
        <f t="shared" si="280"/>
        <v>1285200</v>
      </c>
      <c r="P1114" s="147" t="str">
        <f t="shared" si="3"/>
        <v>Rp20,400-72 PCS-12.50%</v>
      </c>
      <c r="Q1114" s="149">
        <v>45436.0</v>
      </c>
      <c r="R1114" s="150"/>
      <c r="S1114" s="149">
        <v>45440.0</v>
      </c>
      <c r="T1114" s="151"/>
      <c r="U1114" s="151"/>
      <c r="V1114" s="151"/>
      <c r="W1114" s="151"/>
      <c r="X1114" s="49"/>
      <c r="Y1114" s="49"/>
      <c r="Z1114" s="49"/>
      <c r="AA1114" s="49"/>
      <c r="AB1114" s="49"/>
      <c r="AC1114" s="49"/>
      <c r="AD1114" s="49"/>
      <c r="AE1114" s="49"/>
      <c r="AF1114" s="49"/>
      <c r="AG1114" s="49"/>
    </row>
    <row r="1115">
      <c r="A1115" s="142">
        <v>4970.0</v>
      </c>
      <c r="B1115" s="143" t="str">
        <f t="shared" si="329"/>
        <v>G</v>
      </c>
      <c r="C1115" s="143" t="str">
        <f t="shared" si="330"/>
        <v>REJO AGUNG-JOMBANG</v>
      </c>
      <c r="D1115" s="53" t="s">
        <v>4843</v>
      </c>
      <c r="E1115" s="145" t="str">
        <f>IFERROR(__xludf.DUMMYFUNCTION("vlookup(D1115,IMPORTRANGE(""https://docs.google.com/spreadsheets/d/1swGwZOEqYlTEUCJLY-eeJM1911Kvaei5oySBIxdgtNo/edit?pli=1#gid=257618397"",""stock FAKTUR!B:C""),2,false)"),"BINDER JK TSAC-M129 B5 ACADEMY")</f>
        <v>BINDER JK TSAC-M129 B5 ACADEMY</v>
      </c>
      <c r="F1115" s="145" t="str">
        <f>IFERROR(__xludf.DUMMYFUNCTION("vlookup($D1115,IMPORTRANGE(""https://docs.google.com/spreadsheets/d/1swGwZOEqYlTEUCJLY-eeJM1911Kvaei5oySBIxdgtNo/edit?pli=1#gid=257618397"",""stock FAKTUR!B:d""),3,false)"),"B5")</f>
        <v>B5</v>
      </c>
      <c r="G1115" s="145" t="str">
        <f>IFERROR(__xludf.DUMMYFUNCTION("vlookup($D1115,IMPORTRANGE(""https://docs.google.com/spreadsheets/d/1swGwZOEqYlTEUCJLY-eeJM1911Kvaei5oySBIxdgtNo/edit?pli=1#gid=257618397"",""stock FAKTUR!B:e""),4,false)"),"")</f>
        <v/>
      </c>
      <c r="H1115" s="145" t="str">
        <f>IFERROR(__xludf.DUMMYFUNCTION("vlookup($D1115,IMPORTRANGE(""https://docs.google.com/spreadsheets/d/1swGwZOEqYlTEUCJLY-eeJM1911Kvaei5oySBIxdgtNo/edit?pli=1#gid=257618397"",""stock FAKTUR!B:F""),5,false)"),"JK")</f>
        <v>JK</v>
      </c>
      <c r="I1115" s="145" t="str">
        <f>IFERROR(__xludf.DUMMYFUNCTION("vlookup($D1115,IMPORTRANGE(""https://docs.google.com/spreadsheets/d/1swGwZOEqYlTEUCJLY-eeJM1911Kvaei5oySBIxdgtNo/edit?pli=1#gid=257618397"",""stock FAKTUR!B:G""),6,false)"),"TSAC-M129")</f>
        <v>TSAC-M129</v>
      </c>
      <c r="J1115" s="199" t="str">
        <f t="shared" si="25"/>
        <v>ADA</v>
      </c>
      <c r="K1115" s="142">
        <v>72.0</v>
      </c>
      <c r="L1115" s="145" t="str">
        <f>IFERROR(__xludf.DUMMYFUNCTION("vlookup($D1115,IMPORTRANGE(""https://docs.google.com/spreadsheets/d/1swGwZOEqYlTEUCJLY-eeJM1911Kvaei5oySBIxdgtNo/edit?pli=1#gid=257618397"",""stock FAKTUR!B:q""),16,false)"),"PCS")</f>
        <v>PCS</v>
      </c>
      <c r="M1115" s="147">
        <v>20400.0</v>
      </c>
      <c r="N1115" s="152">
        <v>0.125</v>
      </c>
      <c r="O1115" s="147">
        <f t="shared" si="280"/>
        <v>1285200</v>
      </c>
      <c r="P1115" s="147" t="str">
        <f t="shared" si="3"/>
        <v>Rp20,400-72 PCS-12.50%</v>
      </c>
      <c r="Q1115" s="149">
        <v>45436.0</v>
      </c>
      <c r="R1115" s="150"/>
      <c r="S1115" s="149">
        <v>45440.0</v>
      </c>
      <c r="T1115" s="151"/>
      <c r="U1115" s="151"/>
      <c r="V1115" s="151"/>
      <c r="W1115" s="151"/>
      <c r="X1115" s="49"/>
      <c r="Y1115" s="49"/>
      <c r="Z1115" s="49"/>
      <c r="AA1115" s="49"/>
      <c r="AB1115" s="49"/>
      <c r="AC1115" s="49"/>
      <c r="AD1115" s="49"/>
      <c r="AE1115" s="49"/>
      <c r="AF1115" s="49"/>
      <c r="AG1115" s="49"/>
    </row>
    <row r="1116">
      <c r="A1116" s="142">
        <v>4970.0</v>
      </c>
      <c r="B1116" s="143" t="str">
        <f t="shared" si="329"/>
        <v>G</v>
      </c>
      <c r="C1116" s="143" t="str">
        <f t="shared" si="330"/>
        <v>REJO AGUNG-JOMBANG</v>
      </c>
      <c r="D1116" s="49" t="s">
        <v>4844</v>
      </c>
      <c r="E1116" s="145" t="str">
        <f>IFERROR(__xludf.DUMMYFUNCTION("vlookup(D1116,IMPORTRANGE(""https://docs.google.com/spreadsheets/d/1swGwZOEqYlTEUCJLY-eeJM1911Kvaei5oySBIxdgtNo/edit?pli=1#gid=257618397"",""stock FAKTUR!B:C""),2,false)"),"BINDER JK TSKD-142 B5 KINDNESS")</f>
        <v>BINDER JK TSKD-142 B5 KINDNESS</v>
      </c>
      <c r="F1116" s="145" t="str">
        <f>IFERROR(__xludf.DUMMYFUNCTION("vlookup($D1116,IMPORTRANGE(""https://docs.google.com/spreadsheets/d/1swGwZOEqYlTEUCJLY-eeJM1911Kvaei5oySBIxdgtNo/edit?pli=1#gid=257618397"",""stock FAKTUR!B:d""),3,false)"),"B5")</f>
        <v>B5</v>
      </c>
      <c r="G1116" s="145" t="str">
        <f>IFERROR(__xludf.DUMMYFUNCTION("vlookup($D1116,IMPORTRANGE(""https://docs.google.com/spreadsheets/d/1swGwZOEqYlTEUCJLY-eeJM1911Kvaei5oySBIxdgtNo/edit?pli=1#gid=257618397"",""stock FAKTUR!B:e""),4,false)"),"")</f>
        <v/>
      </c>
      <c r="H1116" s="145" t="str">
        <f>IFERROR(__xludf.DUMMYFUNCTION("vlookup($D1116,IMPORTRANGE(""https://docs.google.com/spreadsheets/d/1swGwZOEqYlTEUCJLY-eeJM1911Kvaei5oySBIxdgtNo/edit?pli=1#gid=257618397"",""stock FAKTUR!B:F""),5,false)"),"JK")</f>
        <v>JK</v>
      </c>
      <c r="I1116" s="145" t="str">
        <f>IFERROR(__xludf.DUMMYFUNCTION("vlookup($D1116,IMPORTRANGE(""https://docs.google.com/spreadsheets/d/1swGwZOEqYlTEUCJLY-eeJM1911Kvaei5oySBIxdgtNo/edit?pli=1#gid=257618397"",""stock FAKTUR!B:G""),6,false)"),"TSKD-142")</f>
        <v>TSKD-142</v>
      </c>
      <c r="J1116" s="199" t="str">
        <f t="shared" si="25"/>
        <v>ADA</v>
      </c>
      <c r="K1116" s="142">
        <v>72.0</v>
      </c>
      <c r="L1116" s="145" t="str">
        <f>IFERROR(__xludf.DUMMYFUNCTION("vlookup($D1116,IMPORTRANGE(""https://docs.google.com/spreadsheets/d/1swGwZOEqYlTEUCJLY-eeJM1911Kvaei5oySBIxdgtNo/edit?pli=1#gid=257618397"",""stock FAKTUR!B:q""),16,false)"),"PCS")</f>
        <v>PCS</v>
      </c>
      <c r="M1116" s="147">
        <v>20400.0</v>
      </c>
      <c r="N1116" s="152">
        <v>0.125</v>
      </c>
      <c r="O1116" s="147">
        <f t="shared" si="280"/>
        <v>1285200</v>
      </c>
      <c r="P1116" s="147" t="str">
        <f t="shared" si="3"/>
        <v>Rp20,400-72 PCS-12.50%</v>
      </c>
      <c r="Q1116" s="149">
        <v>45436.0</v>
      </c>
      <c r="R1116" s="150"/>
      <c r="S1116" s="149">
        <v>45440.0</v>
      </c>
      <c r="T1116" s="151"/>
      <c r="U1116" s="151"/>
      <c r="V1116" s="151"/>
      <c r="W1116" s="151"/>
      <c r="X1116" s="49"/>
      <c r="Y1116" s="49"/>
      <c r="Z1116" s="49"/>
      <c r="AA1116" s="49"/>
      <c r="AB1116" s="49"/>
      <c r="AC1116" s="49"/>
      <c r="AD1116" s="49"/>
      <c r="AE1116" s="49"/>
      <c r="AF1116" s="49"/>
      <c r="AG1116" s="49"/>
    </row>
    <row r="1117">
      <c r="A1117" s="142">
        <v>4970.0</v>
      </c>
      <c r="B1117" s="143" t="str">
        <f t="shared" si="329"/>
        <v>G</v>
      </c>
      <c r="C1117" s="143" t="str">
        <f t="shared" si="330"/>
        <v>REJO AGUNG-JOMBANG</v>
      </c>
      <c r="D1117" s="53" t="s">
        <v>4845</v>
      </c>
      <c r="E1117" s="145" t="str">
        <f>IFERROR(__xludf.DUMMYFUNCTION("vlookup(D1117,IMPORTRANGE(""https://docs.google.com/spreadsheets/d/1swGwZOEqYlTEUCJLY-eeJM1911Kvaei5oySBIxdgtNo/edit?pli=1#gid=257618397"",""stock FAKTUR!B:C""),2,false)"),"BINDER JK TSAT-145 B5")</f>
        <v>BINDER JK TSAT-145 B5</v>
      </c>
      <c r="F1117" s="145" t="str">
        <f>IFERROR(__xludf.DUMMYFUNCTION("vlookup($D1117,IMPORTRANGE(""https://docs.google.com/spreadsheets/d/1swGwZOEqYlTEUCJLY-eeJM1911Kvaei5oySBIxdgtNo/edit?pli=1#gid=257618397"",""stock FAKTUR!B:d""),3,false)"),"B5")</f>
        <v>B5</v>
      </c>
      <c r="G1117" s="145" t="str">
        <f>IFERROR(__xludf.DUMMYFUNCTION("vlookup($D1117,IMPORTRANGE(""https://docs.google.com/spreadsheets/d/1swGwZOEqYlTEUCJLY-eeJM1911Kvaei5oySBIxdgtNo/edit?pli=1#gid=257618397"",""stock FAKTUR!B:e""),4,false)"),"")</f>
        <v/>
      </c>
      <c r="H1117" s="145" t="str">
        <f>IFERROR(__xludf.DUMMYFUNCTION("vlookup($D1117,IMPORTRANGE(""https://docs.google.com/spreadsheets/d/1swGwZOEqYlTEUCJLY-eeJM1911Kvaei5oySBIxdgtNo/edit?pli=1#gid=257618397"",""stock FAKTUR!B:F""),5,false)"),"JK")</f>
        <v>JK</v>
      </c>
      <c r="I1117" s="145" t="str">
        <f>IFERROR(__xludf.DUMMYFUNCTION("vlookup($D1117,IMPORTRANGE(""https://docs.google.com/spreadsheets/d/1swGwZOEqYlTEUCJLY-eeJM1911Kvaei5oySBIxdgtNo/edit?pli=1#gid=257618397"",""stock FAKTUR!B:G""),6,false)"),"TSAT-145")</f>
        <v>TSAT-145</v>
      </c>
      <c r="J1117" s="199" t="str">
        <f t="shared" si="25"/>
        <v>ADA</v>
      </c>
      <c r="K1117" s="142">
        <v>72.0</v>
      </c>
      <c r="L1117" s="145" t="str">
        <f>IFERROR(__xludf.DUMMYFUNCTION("vlookup($D1117,IMPORTRANGE(""https://docs.google.com/spreadsheets/d/1swGwZOEqYlTEUCJLY-eeJM1911Kvaei5oySBIxdgtNo/edit?pli=1#gid=257618397"",""stock FAKTUR!B:q""),16,false)"),"PCS")</f>
        <v>PCS</v>
      </c>
      <c r="M1117" s="147">
        <v>20400.0</v>
      </c>
      <c r="N1117" s="152">
        <v>0.125</v>
      </c>
      <c r="O1117" s="147">
        <f t="shared" si="280"/>
        <v>1285200</v>
      </c>
      <c r="P1117" s="147" t="str">
        <f t="shared" si="3"/>
        <v>Rp20,400-72 PCS-12.50%</v>
      </c>
      <c r="Q1117" s="149">
        <v>45436.0</v>
      </c>
      <c r="R1117" s="150"/>
      <c r="S1117" s="149">
        <v>45440.0</v>
      </c>
      <c r="T1117" s="151"/>
      <c r="U1117" s="151"/>
      <c r="V1117" s="151"/>
      <c r="W1117" s="151"/>
      <c r="X1117" s="49"/>
      <c r="Y1117" s="49"/>
      <c r="Z1117" s="49"/>
      <c r="AA1117" s="49"/>
      <c r="AB1117" s="49"/>
      <c r="AC1117" s="49"/>
      <c r="AD1117" s="49"/>
      <c r="AE1117" s="49"/>
      <c r="AF1117" s="49"/>
      <c r="AG1117" s="49"/>
    </row>
    <row r="1118">
      <c r="A1118" s="142">
        <v>4970.0</v>
      </c>
      <c r="B1118" s="143" t="str">
        <f t="shared" si="329"/>
        <v>G</v>
      </c>
      <c r="C1118" s="143" t="str">
        <f t="shared" si="330"/>
        <v>REJO AGUNG-JOMBANG</v>
      </c>
      <c r="D1118" s="49" t="s">
        <v>4846</v>
      </c>
      <c r="E1118" s="145" t="str">
        <f>IFERROR(__xludf.DUMMYFUNCTION("vlookup(D1118,IMPORTRANGE(""https://docs.google.com/spreadsheets/d/1swGwZOEqYlTEUCJLY-eeJM1911Kvaei5oySBIxdgtNo/edit?pli=1#gid=257618397"",""stock FAKTUR!B:C""),2,false)"),"BP TIZO TG340 BIRU")</f>
        <v>BP TIZO TG340 BIRU</v>
      </c>
      <c r="F1118" s="145" t="str">
        <f>IFERROR(__xludf.DUMMYFUNCTION("vlookup($D1118,IMPORTRANGE(""https://docs.google.com/spreadsheets/d/1swGwZOEqYlTEUCJLY-eeJM1911Kvaei5oySBIxdgtNo/edit?pli=1#gid=257618397"",""stock FAKTUR!B:d""),3,false)"),"")</f>
        <v/>
      </c>
      <c r="G1118" s="145" t="str">
        <f>IFERROR(__xludf.DUMMYFUNCTION("vlookup($D1118,IMPORTRANGE(""https://docs.google.com/spreadsheets/d/1swGwZOEqYlTEUCJLY-eeJM1911Kvaei5oySBIxdgtNo/edit?pli=1#gid=257618397"",""stock FAKTUR!B:e""),4,false)"),"BIRU")</f>
        <v>BIRU</v>
      </c>
      <c r="H1118" s="145" t="str">
        <f>IFERROR(__xludf.DUMMYFUNCTION("vlookup($D1118,IMPORTRANGE(""https://docs.google.com/spreadsheets/d/1swGwZOEqYlTEUCJLY-eeJM1911Kvaei5oySBIxdgtNo/edit?pli=1#gid=257618397"",""stock FAKTUR!B:F""),5,false)"),"TZ")</f>
        <v>TZ</v>
      </c>
      <c r="I1118" s="145" t="str">
        <f>IFERROR(__xludf.DUMMYFUNCTION("vlookup($D1118,IMPORTRANGE(""https://docs.google.com/spreadsheets/d/1swGwZOEqYlTEUCJLY-eeJM1911Kvaei5oySBIxdgtNo/edit?pli=1#gid=257618397"",""stock FAKTUR!B:G""),6,false)"),"TG340")</f>
        <v>TG340</v>
      </c>
      <c r="J1118" s="199" t="str">
        <f t="shared" si="25"/>
        <v>ADA</v>
      </c>
      <c r="K1118" s="142">
        <v>96.0</v>
      </c>
      <c r="L1118" s="145" t="str">
        <f>IFERROR(__xludf.DUMMYFUNCTION("vlookup($D1118,IMPORTRANGE(""https://docs.google.com/spreadsheets/d/1swGwZOEqYlTEUCJLY-eeJM1911Kvaei5oySBIxdgtNo/edit?pli=1#gid=257618397"",""stock FAKTUR!B:q""),16,false)"),"LSN")</f>
        <v>LSN</v>
      </c>
      <c r="M1118" s="147">
        <v>33000.0</v>
      </c>
      <c r="N1118" s="148"/>
      <c r="O1118" s="147">
        <f t="shared" si="280"/>
        <v>3168000</v>
      </c>
      <c r="P1118" s="147" t="str">
        <f t="shared" si="3"/>
        <v>Rp33,000-96 LSN-0.00%</v>
      </c>
      <c r="Q1118" s="149">
        <v>45436.0</v>
      </c>
      <c r="R1118" s="150"/>
      <c r="S1118" s="149">
        <v>45440.0</v>
      </c>
      <c r="T1118" s="151"/>
      <c r="U1118" s="151"/>
      <c r="V1118" s="151"/>
      <c r="W1118" s="151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>
      <c r="A1119" s="142">
        <v>4970.0</v>
      </c>
      <c r="B1119" s="143" t="str">
        <f t="shared" si="329"/>
        <v>G</v>
      </c>
      <c r="C1119" s="143" t="str">
        <f t="shared" si="330"/>
        <v>REJO AGUNG-JOMBANG</v>
      </c>
      <c r="D1119" s="53" t="s">
        <v>4619</v>
      </c>
      <c r="E1119" s="145" t="str">
        <f>IFERROR(__xludf.DUMMYFUNCTION("vlookup(D1119,IMPORTRANGE(""https://docs.google.com/spreadsheets/d/1swGwZOEqYlTEUCJLY-eeJM1911Kvaei5oySBIxdgtNo/edit?pli=1#gid=257618397"",""stock FAKTUR!B:C""),2,false)"),"COLOR CLIP KENKO 3100")</f>
        <v>COLOR CLIP KENKO 3100</v>
      </c>
      <c r="F1119" s="145" t="str">
        <f>IFERROR(__xludf.DUMMYFUNCTION("vlookup($D1119,IMPORTRANGE(""https://docs.google.com/spreadsheets/d/1swGwZOEqYlTEUCJLY-eeJM1911Kvaei5oySBIxdgtNo/edit?pli=1#gid=257618397"",""stock FAKTUR!B:d""),3,false)"),"")</f>
        <v/>
      </c>
      <c r="G1119" s="145" t="str">
        <f>IFERROR(__xludf.DUMMYFUNCTION("vlookup($D1119,IMPORTRANGE(""https://docs.google.com/spreadsheets/d/1swGwZOEqYlTEUCJLY-eeJM1911Kvaei5oySBIxdgtNo/edit?pli=1#gid=257618397"",""stock FAKTUR!B:e""),4,false)"),"")</f>
        <v/>
      </c>
      <c r="H1119" s="145" t="str">
        <f>IFERROR(__xludf.DUMMYFUNCTION("vlookup($D1119,IMPORTRANGE(""https://docs.google.com/spreadsheets/d/1swGwZOEqYlTEUCJLY-eeJM1911Kvaei5oySBIxdgtNo/edit?pli=1#gid=257618397"",""stock FAKTUR!B:F""),5,false)"),"KN")</f>
        <v>KN</v>
      </c>
      <c r="I1119" s="145" t="str">
        <f>IFERROR(__xludf.DUMMYFUNCTION("vlookup($D1119,IMPORTRANGE(""https://docs.google.com/spreadsheets/d/1swGwZOEqYlTEUCJLY-eeJM1911Kvaei5oySBIxdgtNo/edit?pli=1#gid=257618397"",""stock FAKTUR!B:G""),6,false)"),"CLP-004")</f>
        <v>CLP-004</v>
      </c>
      <c r="J1119" s="199" t="str">
        <f t="shared" si="25"/>
        <v>ADA</v>
      </c>
      <c r="K1119" s="142">
        <v>48.0</v>
      </c>
      <c r="L1119" s="145" t="str">
        <f>IFERROR(__xludf.DUMMYFUNCTION("vlookup($D1119,IMPORTRANGE(""https://docs.google.com/spreadsheets/d/1swGwZOEqYlTEUCJLY-eeJM1911Kvaei5oySBIxdgtNo/edit?pli=1#gid=257618397"",""stock FAKTUR!B:q""),16,false)"),"LSN")</f>
        <v>LSN</v>
      </c>
      <c r="M1119" s="147">
        <v>41400.0</v>
      </c>
      <c r="N1119" s="152">
        <v>0.125</v>
      </c>
      <c r="O1119" s="147">
        <f t="shared" si="280"/>
        <v>1738800</v>
      </c>
      <c r="P1119" s="147" t="str">
        <f t="shared" si="3"/>
        <v>Rp41,400-48 LSN-12.50%</v>
      </c>
      <c r="Q1119" s="149">
        <v>45436.0</v>
      </c>
      <c r="R1119" s="150"/>
      <c r="S1119" s="149">
        <v>45440.0</v>
      </c>
      <c r="T1119" s="151"/>
      <c r="U1119" s="151"/>
      <c r="V1119" s="151"/>
      <c r="W1119" s="151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>
      <c r="A1120" s="142">
        <v>4970.0</v>
      </c>
      <c r="B1120" s="143" t="str">
        <f t="shared" si="329"/>
        <v>G</v>
      </c>
      <c r="C1120" s="143" t="str">
        <f t="shared" si="330"/>
        <v>REJO AGUNG-JOMBANG</v>
      </c>
      <c r="D1120" s="49" t="s">
        <v>4832</v>
      </c>
      <c r="E1120" s="145" t="str">
        <f>IFERROR(__xludf.DUMMYFUNCTION("vlookup(D1120,IMPORTRANGE(""https://docs.google.com/spreadsheets/d/1swGwZOEqYlTEUCJLY-eeJM1911Kvaei5oySBIxdgtNo/edit?pli=1#gid=257618397"",""stock FAKTUR!B:C""),2,false)"),"BP TIZO TG340 HITAM")</f>
        <v>BP TIZO TG340 HITAM</v>
      </c>
      <c r="F1120" s="145" t="str">
        <f>IFERROR(__xludf.DUMMYFUNCTION("vlookup($D1120,IMPORTRANGE(""https://docs.google.com/spreadsheets/d/1swGwZOEqYlTEUCJLY-eeJM1911Kvaei5oySBIxdgtNo/edit?pli=1#gid=257618397"",""stock FAKTUR!B:d""),3,false)"),"")</f>
        <v/>
      </c>
      <c r="G1120" s="145" t="str">
        <f>IFERROR(__xludf.DUMMYFUNCTION("vlookup($D1120,IMPORTRANGE(""https://docs.google.com/spreadsheets/d/1swGwZOEqYlTEUCJLY-eeJM1911Kvaei5oySBIxdgtNo/edit?pli=1#gid=257618397"",""stock FAKTUR!B:e""),4,false)"),"HITAM")</f>
        <v>HITAM</v>
      </c>
      <c r="H1120" s="145" t="str">
        <f>IFERROR(__xludf.DUMMYFUNCTION("vlookup($D1120,IMPORTRANGE(""https://docs.google.com/spreadsheets/d/1swGwZOEqYlTEUCJLY-eeJM1911Kvaei5oySBIxdgtNo/edit?pli=1#gid=257618397"",""stock FAKTUR!B:F""),5,false)"),"TZ")</f>
        <v>TZ</v>
      </c>
      <c r="I1120" s="145" t="str">
        <f>IFERROR(__xludf.DUMMYFUNCTION("vlookup($D1120,IMPORTRANGE(""https://docs.google.com/spreadsheets/d/1swGwZOEqYlTEUCJLY-eeJM1911Kvaei5oySBIxdgtNo/edit?pli=1#gid=257618397"",""stock FAKTUR!B:G""),6,false)"),"TG340")</f>
        <v>TG340</v>
      </c>
      <c r="J1120" s="199" t="str">
        <f t="shared" si="25"/>
        <v>ADA</v>
      </c>
      <c r="K1120" s="142">
        <v>96.0</v>
      </c>
      <c r="L1120" s="145" t="str">
        <f>IFERROR(__xludf.DUMMYFUNCTION("vlookup($D1120,IMPORTRANGE(""https://docs.google.com/spreadsheets/d/1swGwZOEqYlTEUCJLY-eeJM1911Kvaei5oySBIxdgtNo/edit?pli=1#gid=257618397"",""stock FAKTUR!B:q""),16,false)"),"LSN")</f>
        <v>LSN</v>
      </c>
      <c r="M1120" s="147">
        <v>33000.0</v>
      </c>
      <c r="N1120" s="148"/>
      <c r="O1120" s="147">
        <f t="shared" si="280"/>
        <v>3168000</v>
      </c>
      <c r="P1120" s="147" t="str">
        <f t="shared" si="3"/>
        <v>Rp33,000-96 LSN-0.00%</v>
      </c>
      <c r="Q1120" s="149">
        <v>45436.0</v>
      </c>
      <c r="R1120" s="150"/>
      <c r="S1120" s="149">
        <v>45440.0</v>
      </c>
      <c r="T1120" s="151"/>
      <c r="U1120" s="151"/>
      <c r="V1120" s="151"/>
      <c r="W1120" s="151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>
      <c r="A1121" s="142">
        <v>4826.0</v>
      </c>
      <c r="B1121" s="143" t="s">
        <v>65</v>
      </c>
      <c r="C1121" s="143" t="s">
        <v>3050</v>
      </c>
      <c r="D1121" s="159" t="s">
        <v>4814</v>
      </c>
      <c r="E1121" s="145" t="str">
        <f>IFERROR(__xludf.DUMMYFUNCTION("vlookup(D1121,IMPORTRANGE(""https://docs.google.com/spreadsheets/d/1swGwZOEqYlTEUCJLY-eeJM1911Kvaei5oySBIxdgtNo/edit?pli=1#gid=257618397"",""stock FAKTUR!B:C""),2,false)"),"PW KENKO CP-24F SANDY BEAR PANJANG")</f>
        <v>PW KENKO CP-24F SANDY BEAR PANJANG</v>
      </c>
      <c r="F1121" s="145" t="str">
        <f>IFERROR(__xludf.DUMMYFUNCTION("vlookup($D1121,IMPORTRANGE(""https://docs.google.com/spreadsheets/d/1swGwZOEqYlTEUCJLY-eeJM1911Kvaei5oySBIxdgtNo/edit?pli=1#gid=257618397"",""stock FAKTUR!B:d""),3,false)"),"")</f>
        <v/>
      </c>
      <c r="G1121" s="145" t="str">
        <f>IFERROR(__xludf.DUMMYFUNCTION("vlookup($D1121,IMPORTRANGE(""https://docs.google.com/spreadsheets/d/1swGwZOEqYlTEUCJLY-eeJM1911Kvaei5oySBIxdgtNo/edit?pli=1#gid=257618397"",""stock FAKTUR!B:e""),4,false)"),"24W")</f>
        <v>24W</v>
      </c>
      <c r="H1121" s="145" t="str">
        <f>IFERROR(__xludf.DUMMYFUNCTION("vlookup($D1121,IMPORTRANGE(""https://docs.google.com/spreadsheets/d/1swGwZOEqYlTEUCJLY-eeJM1911Kvaei5oySBIxdgtNo/edit?pli=1#gid=257618397"",""stock FAKTUR!B:F""),5,false)"),"KN")</f>
        <v>KN</v>
      </c>
      <c r="I1121" s="145" t="str">
        <f>IFERROR(__xludf.DUMMYFUNCTION("vlookup($D1121,IMPORTRANGE(""https://docs.google.com/spreadsheets/d/1swGwZOEqYlTEUCJLY-eeJM1911Kvaei5oySBIxdgtNo/edit?pli=1#gid=257618397"",""stock FAKTUR!B:G""),6,false)"),"CP-24F")</f>
        <v>CP-24F</v>
      </c>
      <c r="J1121" s="199" t="str">
        <f t="shared" si="25"/>
        <v>ADA</v>
      </c>
      <c r="K1121" s="142">
        <v>3.0</v>
      </c>
      <c r="L1121" s="145" t="str">
        <f>IFERROR(__xludf.DUMMYFUNCTION("vlookup($D1121,IMPORTRANGE(""https://docs.google.com/spreadsheets/d/1swGwZOEqYlTEUCJLY-eeJM1911Kvaei5oySBIxdgtNo/edit?pli=1#gid=257618397"",""stock FAKTUR!B:q""),16,false)"),"LSN")</f>
        <v>LSN</v>
      </c>
      <c r="M1121" s="147">
        <f>20700*12</f>
        <v>248400</v>
      </c>
      <c r="N1121" s="152">
        <v>0.125</v>
      </c>
      <c r="O1121" s="147">
        <f t="shared" si="280"/>
        <v>652050</v>
      </c>
      <c r="P1121" s="147" t="str">
        <f t="shared" si="3"/>
        <v>Rp248,400-3 LSN-12.50%</v>
      </c>
      <c r="Q1121" s="149">
        <v>45436.0</v>
      </c>
      <c r="R1121" s="150"/>
      <c r="S1121" s="149">
        <v>45440.0</v>
      </c>
      <c r="T1121" s="151"/>
      <c r="U1121" s="151"/>
      <c r="V1121" s="151"/>
      <c r="W1121" s="151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>
      <c r="A1122" s="142">
        <v>4826.0</v>
      </c>
      <c r="B1122" s="143" t="str">
        <f>IF(A1122=A1121,B1121,"")</f>
        <v>A</v>
      </c>
      <c r="C1122" s="143" t="str">
        <f>IF(A1122=A1121,C1121,"")</f>
        <v>DUTA ILAHI-LASEM</v>
      </c>
      <c r="D1122" s="70" t="s">
        <v>4815</v>
      </c>
      <c r="E1122" s="145" t="str">
        <f>IFERROR(__xludf.DUMMYFUNCTION("vlookup(D1122,IMPORTRANGE(""https://docs.google.com/spreadsheets/d/1swGwZOEqYlTEUCJLY-eeJM1911Kvaei5oySBIxdgtNo/edit?pli=1#gid=257618397"",""stock FAKTUR!B:C""),2,false)"),"PW KENKO BICOLOR 24W CP-24FBC CLASSIC")</f>
        <v>PW KENKO BICOLOR 24W CP-24FBC CLASSIC</v>
      </c>
      <c r="F1122" s="145" t="str">
        <f>IFERROR(__xludf.DUMMYFUNCTION("vlookup($D1122,IMPORTRANGE(""https://docs.google.com/spreadsheets/d/1swGwZOEqYlTEUCJLY-eeJM1911Kvaei5oySBIxdgtNo/edit?pli=1#gid=257618397"",""stock FAKTUR!B:d""),3,false)"),"")</f>
        <v/>
      </c>
      <c r="G1122" s="145" t="str">
        <f>IFERROR(__xludf.DUMMYFUNCTION("vlookup($D1122,IMPORTRANGE(""https://docs.google.com/spreadsheets/d/1swGwZOEqYlTEUCJLY-eeJM1911Kvaei5oySBIxdgtNo/edit?pli=1#gid=257618397"",""stock FAKTUR!B:e""),4,false)"),"24W")</f>
        <v>24W</v>
      </c>
      <c r="H1122" s="145" t="str">
        <f>IFERROR(__xludf.DUMMYFUNCTION("vlookup($D1122,IMPORTRANGE(""https://docs.google.com/spreadsheets/d/1swGwZOEqYlTEUCJLY-eeJM1911Kvaei5oySBIxdgtNo/edit?pli=1#gid=257618397"",""stock FAKTUR!B:F""),5,false)"),"KN")</f>
        <v>KN</v>
      </c>
      <c r="I1122" s="145" t="str">
        <f>IFERROR(__xludf.DUMMYFUNCTION("vlookup($D1122,IMPORTRANGE(""https://docs.google.com/spreadsheets/d/1swGwZOEqYlTEUCJLY-eeJM1911Kvaei5oySBIxdgtNo/edit?pli=1#gid=257618397"",""stock FAKTUR!B:G""),6,false)"),"CP-24FBC")</f>
        <v>CP-24FBC</v>
      </c>
      <c r="J1122" s="199" t="str">
        <f t="shared" si="25"/>
        <v>ADA</v>
      </c>
      <c r="K1122" s="142">
        <v>3.0</v>
      </c>
      <c r="L1122" s="145" t="str">
        <f>IFERROR(__xludf.DUMMYFUNCTION("vlookup($D1122,IMPORTRANGE(""https://docs.google.com/spreadsheets/d/1swGwZOEqYlTEUCJLY-eeJM1911Kvaei5oySBIxdgtNo/edit?pli=1#gid=257618397"",""stock FAKTUR!B:q""),16,false)"),"LSN")</f>
        <v>LSN</v>
      </c>
      <c r="M1122" s="147">
        <f>24500*12</f>
        <v>294000</v>
      </c>
      <c r="N1122" s="152">
        <v>0.125</v>
      </c>
      <c r="O1122" s="147">
        <f t="shared" si="280"/>
        <v>771750</v>
      </c>
      <c r="P1122" s="147" t="str">
        <f t="shared" si="3"/>
        <v>Rp294,000-3 LSN-12.50%</v>
      </c>
      <c r="Q1122" s="149">
        <v>45436.0</v>
      </c>
      <c r="R1122" s="150"/>
      <c r="S1122" s="149">
        <v>45440.0</v>
      </c>
      <c r="T1122" s="151"/>
      <c r="U1122" s="151"/>
      <c r="V1122" s="151"/>
      <c r="W1122" s="151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>
      <c r="A1123" s="142">
        <v>4978.0</v>
      </c>
      <c r="B1123" s="143" t="s">
        <v>65</v>
      </c>
      <c r="C1123" s="143" t="s">
        <v>97</v>
      </c>
      <c r="D1123" s="53" t="s">
        <v>4430</v>
      </c>
      <c r="E1123" s="145" t="str">
        <f>IFERROR(__xludf.DUMMYFUNCTION("vlookup(D1123,IMPORTRANGE(""https://docs.google.com/spreadsheets/d/1swGwZOEqYlTEUCJLY-eeJM1911Kvaei5oySBIxdgtNo/edit?pli=1#gid=257618397"",""stock FAKTUR!B:C""),2,false)"),"LEM STICK KENKO 8GR KECIL")</f>
        <v>LEM STICK KENKO 8GR KECIL</v>
      </c>
      <c r="F1123" s="145" t="str">
        <f>IFERROR(__xludf.DUMMYFUNCTION("vlookup($D1123,IMPORTRANGE(""https://docs.google.com/spreadsheets/d/1swGwZOEqYlTEUCJLY-eeJM1911Kvaei5oySBIxdgtNo/edit?pli=1#gid=257618397"",""stock FAKTUR!B:d""),3,false)"),"K")</f>
        <v>K</v>
      </c>
      <c r="G1123" s="145" t="str">
        <f>IFERROR(__xludf.DUMMYFUNCTION("vlookup($D1123,IMPORTRANGE(""https://docs.google.com/spreadsheets/d/1swGwZOEqYlTEUCJLY-eeJM1911Kvaei5oySBIxdgtNo/edit?pli=1#gid=257618397"",""stock FAKTUR!B:e""),4,false)"),"")</f>
        <v/>
      </c>
      <c r="H1123" s="145" t="str">
        <f>IFERROR(__xludf.DUMMYFUNCTION("vlookup($D1123,IMPORTRANGE(""https://docs.google.com/spreadsheets/d/1swGwZOEqYlTEUCJLY-eeJM1911Kvaei5oySBIxdgtNo/edit?pli=1#gid=257618397"",""stock FAKTUR!B:F""),5,false)"),"KN")</f>
        <v>KN</v>
      </c>
      <c r="I1123" s="145" t="str">
        <f>IFERROR(__xludf.DUMMYFUNCTION("vlookup($D1123,IMPORTRANGE(""https://docs.google.com/spreadsheets/d/1swGwZOEqYlTEUCJLY-eeJM1911Kvaei5oySBIxdgtNo/edit?pli=1#gid=257618397"",""stock FAKTUR!B:G""),6,false)"),"GST-001GA")</f>
        <v>GST-001GA</v>
      </c>
      <c r="J1123" s="199" t="str">
        <f t="shared" si="25"/>
        <v>ADA</v>
      </c>
      <c r="K1123" s="142">
        <v>36.0</v>
      </c>
      <c r="L1123" s="145" t="str">
        <f>IFERROR(__xludf.DUMMYFUNCTION("vlookup($D1123,IMPORTRANGE(""https://docs.google.com/spreadsheets/d/1swGwZOEqYlTEUCJLY-eeJM1911Kvaei5oySBIxdgtNo/edit?pli=1#gid=257618397"",""stock FAKTUR!B:q""),16,false)"),"BOX")</f>
        <v>BOX</v>
      </c>
      <c r="M1123" s="147">
        <v>66000.0</v>
      </c>
      <c r="N1123" s="152">
        <v>0.125</v>
      </c>
      <c r="O1123" s="147">
        <f t="shared" si="280"/>
        <v>2079000</v>
      </c>
      <c r="P1123" s="147" t="str">
        <f t="shared" si="3"/>
        <v>Rp66,000-36 BOX-12.50%</v>
      </c>
      <c r="Q1123" s="149">
        <v>45436.0</v>
      </c>
      <c r="R1123" s="150"/>
      <c r="S1123" s="149">
        <v>45440.0</v>
      </c>
      <c r="T1123" s="151"/>
      <c r="U1123" s="151"/>
      <c r="V1123" s="151"/>
      <c r="W1123" s="151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>
      <c r="A1124" s="142">
        <v>4978.0</v>
      </c>
      <c r="B1124" s="143" t="str">
        <f>IF(A1124=A1123,B1123,"")</f>
        <v>A</v>
      </c>
      <c r="C1124" s="143" t="str">
        <f>IF(A1124=A1123,C1123,"")</f>
        <v>DR-PATI</v>
      </c>
      <c r="D1124" s="53" t="s">
        <v>4382</v>
      </c>
      <c r="E1124" s="145" t="str">
        <f>IFERROR(__xludf.DUMMYFUNCTION("vlookup(D1124,IMPORTRANGE(""https://docs.google.com/spreadsheets/d/1swGwZOEqYlTEUCJLY-eeJM1911Kvaei5oySBIxdgtNo/edit?pli=1#gid=257618397"",""stock FAKTUR!B:C""),2,false)"),"PENSIL 2B ZHONG HUA 6925 OVAL")</f>
        <v>PENSIL 2B ZHONG HUA 6925 OVAL</v>
      </c>
      <c r="F1124" s="145" t="str">
        <f>IFERROR(__xludf.DUMMYFUNCTION("vlookup($D1124,IMPORTRANGE(""https://docs.google.com/spreadsheets/d/1swGwZOEqYlTEUCJLY-eeJM1911Kvaei5oySBIxdgtNo/edit?pli=1#gid=257618397"",""stock FAKTUR!B:d""),3,false)"),"")</f>
        <v/>
      </c>
      <c r="G1124" s="145" t="str">
        <f>IFERROR(__xludf.DUMMYFUNCTION("vlookup($D1124,IMPORTRANGE(""https://docs.google.com/spreadsheets/d/1swGwZOEqYlTEUCJLY-eeJM1911Kvaei5oySBIxdgtNo/edit?pli=1#gid=257618397"",""stock FAKTUR!B:e""),4,false)"),"")</f>
        <v/>
      </c>
      <c r="H1124" s="145" t="str">
        <f>IFERROR(__xludf.DUMMYFUNCTION("vlookup($D1124,IMPORTRANGE(""https://docs.google.com/spreadsheets/d/1swGwZOEqYlTEUCJLY-eeJM1911Kvaei5oySBIxdgtNo/edit?pli=1#gid=257618397"",""stock FAKTUR!B:F""),5,false)"),"ZH")</f>
        <v>ZH</v>
      </c>
      <c r="I1124" s="145" t="str">
        <f>IFERROR(__xludf.DUMMYFUNCTION("vlookup($D1124,IMPORTRANGE(""https://docs.google.com/spreadsheets/d/1swGwZOEqYlTEUCJLY-eeJM1911Kvaei5oySBIxdgtNo/edit?pli=1#gid=257618397"",""stock FAKTUR!B:G""),6,false)"),"6925")</f>
        <v>6925</v>
      </c>
      <c r="J1124" s="199" t="str">
        <f t="shared" si="25"/>
        <v>ADA</v>
      </c>
      <c r="K1124" s="142">
        <v>40.0</v>
      </c>
      <c r="L1124" s="145" t="str">
        <f>IFERROR(__xludf.DUMMYFUNCTION("vlookup($D1124,IMPORTRANGE(""https://docs.google.com/spreadsheets/d/1swGwZOEqYlTEUCJLY-eeJM1911Kvaei5oySBIxdgtNo/edit?pli=1#gid=257618397"",""stock FAKTUR!B:q""),16,false)"),"BOX")</f>
        <v>BOX</v>
      </c>
      <c r="M1124" s="147">
        <v>77500.0</v>
      </c>
      <c r="N1124" s="152">
        <v>0.05</v>
      </c>
      <c r="O1124" s="147">
        <f t="shared" si="280"/>
        <v>2945000</v>
      </c>
      <c r="P1124" s="147" t="str">
        <f t="shared" si="3"/>
        <v>Rp77,500-40 BOX-5.00%</v>
      </c>
      <c r="Q1124" s="149">
        <v>45436.0</v>
      </c>
      <c r="R1124" s="150"/>
      <c r="S1124" s="149">
        <v>45440.0</v>
      </c>
      <c r="T1124" s="151"/>
      <c r="U1124" s="151"/>
      <c r="V1124" s="151"/>
      <c r="W1124" s="151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>
      <c r="A1125" s="142">
        <v>4825.0</v>
      </c>
      <c r="B1125" s="143" t="s">
        <v>65</v>
      </c>
      <c r="C1125" s="143" t="s">
        <v>4182</v>
      </c>
      <c r="D1125" s="70" t="s">
        <v>4779</v>
      </c>
      <c r="E1125" s="145" t="str">
        <f>IFERROR(__xludf.DUMMYFUNCTION("vlookup(D1125,IMPORTRANGE(""https://docs.google.com/spreadsheets/d/1swGwZOEqYlTEUCJLY-eeJM1911Kvaei5oySBIxdgtNo/edit?pli=1#gid=257618397"",""stock FAKTUR!B:C""),2,false)"),"PW KENKO CP-12F SANDY BEAR")</f>
        <v>PW KENKO CP-12F SANDY BEAR</v>
      </c>
      <c r="F1125" s="145" t="str">
        <f>IFERROR(__xludf.DUMMYFUNCTION("vlookup($D1125,IMPORTRANGE(""https://docs.google.com/spreadsheets/d/1swGwZOEqYlTEUCJLY-eeJM1911Kvaei5oySBIxdgtNo/edit?pli=1#gid=257618397"",""stock FAKTUR!B:d""),3,false)"),"")</f>
        <v/>
      </c>
      <c r="G1125" s="145" t="str">
        <f>IFERROR(__xludf.DUMMYFUNCTION("vlookup($D1125,IMPORTRANGE(""https://docs.google.com/spreadsheets/d/1swGwZOEqYlTEUCJLY-eeJM1911Kvaei5oySBIxdgtNo/edit?pli=1#gid=257618397"",""stock FAKTUR!B:e""),4,false)"),"12W")</f>
        <v>12W</v>
      </c>
      <c r="H1125" s="145" t="str">
        <f>IFERROR(__xludf.DUMMYFUNCTION("vlookup($D1125,IMPORTRANGE(""https://docs.google.com/spreadsheets/d/1swGwZOEqYlTEUCJLY-eeJM1911Kvaei5oySBIxdgtNo/edit?pli=1#gid=257618397"",""stock FAKTUR!B:F""),5,false)"),"KN")</f>
        <v>KN</v>
      </c>
      <c r="I1125" s="145" t="str">
        <f>IFERROR(__xludf.DUMMYFUNCTION("vlookup($D1125,IMPORTRANGE(""https://docs.google.com/spreadsheets/d/1swGwZOEqYlTEUCJLY-eeJM1911Kvaei5oySBIxdgtNo/edit?pli=1#gid=257618397"",""stock FAKTUR!B:G""),6,false)"),"CP-12F")</f>
        <v>CP-12F</v>
      </c>
      <c r="J1125" s="199" t="str">
        <f t="shared" si="25"/>
        <v>ADA</v>
      </c>
      <c r="K1125" s="142">
        <v>2.0</v>
      </c>
      <c r="L1125" s="145" t="str">
        <f>IFERROR(__xludf.DUMMYFUNCTION("vlookup($D1125,IMPORTRANGE(""https://docs.google.com/spreadsheets/d/1swGwZOEqYlTEUCJLY-eeJM1911Kvaei5oySBIxdgtNo/edit?pli=1#gid=257618397"",""stock FAKTUR!B:q""),16,false)"),"LSN")</f>
        <v>LSN</v>
      </c>
      <c r="M1125" s="147">
        <f>10350*12</f>
        <v>124200</v>
      </c>
      <c r="N1125" s="152">
        <v>0.1</v>
      </c>
      <c r="O1125" s="147">
        <f t="shared" si="280"/>
        <v>223560</v>
      </c>
      <c r="P1125" s="147" t="str">
        <f t="shared" si="3"/>
        <v>Rp124,200-2 LSN-10.00%</v>
      </c>
      <c r="Q1125" s="149">
        <v>45436.0</v>
      </c>
      <c r="R1125" s="150"/>
      <c r="S1125" s="149">
        <v>45440.0</v>
      </c>
      <c r="T1125" s="151"/>
      <c r="U1125" s="151"/>
      <c r="V1125" s="151"/>
      <c r="W1125" s="151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>
      <c r="A1126" s="142">
        <v>4825.0</v>
      </c>
      <c r="B1126" s="143" t="str">
        <f>IF(A1126=A1125,B1125,"")</f>
        <v>A</v>
      </c>
      <c r="C1126" s="143" t="str">
        <f>IF(A1126=A1125,C1125,"")</f>
        <v>EVERLYN-REMBANG</v>
      </c>
      <c r="D1126" s="159" t="s">
        <v>4814</v>
      </c>
      <c r="E1126" s="145" t="str">
        <f>IFERROR(__xludf.DUMMYFUNCTION("vlookup(D1126,IMPORTRANGE(""https://docs.google.com/spreadsheets/d/1swGwZOEqYlTEUCJLY-eeJM1911Kvaei5oySBIxdgtNo/edit?pli=1#gid=257618397"",""stock FAKTUR!B:C""),2,false)"),"PW KENKO CP-24F SANDY BEAR PANJANG")</f>
        <v>PW KENKO CP-24F SANDY BEAR PANJANG</v>
      </c>
      <c r="F1126" s="145" t="str">
        <f>IFERROR(__xludf.DUMMYFUNCTION("vlookup($D1126,IMPORTRANGE(""https://docs.google.com/spreadsheets/d/1swGwZOEqYlTEUCJLY-eeJM1911Kvaei5oySBIxdgtNo/edit?pli=1#gid=257618397"",""stock FAKTUR!B:d""),3,false)"),"")</f>
        <v/>
      </c>
      <c r="G1126" s="145" t="str">
        <f>IFERROR(__xludf.DUMMYFUNCTION("vlookup($D1126,IMPORTRANGE(""https://docs.google.com/spreadsheets/d/1swGwZOEqYlTEUCJLY-eeJM1911Kvaei5oySBIxdgtNo/edit?pli=1#gid=257618397"",""stock FAKTUR!B:e""),4,false)"),"24W")</f>
        <v>24W</v>
      </c>
      <c r="H1126" s="145" t="str">
        <f>IFERROR(__xludf.DUMMYFUNCTION("vlookup($D1126,IMPORTRANGE(""https://docs.google.com/spreadsheets/d/1swGwZOEqYlTEUCJLY-eeJM1911Kvaei5oySBIxdgtNo/edit?pli=1#gid=257618397"",""stock FAKTUR!B:F""),5,false)"),"KN")</f>
        <v>KN</v>
      </c>
      <c r="I1126" s="145" t="str">
        <f>IFERROR(__xludf.DUMMYFUNCTION("vlookup($D1126,IMPORTRANGE(""https://docs.google.com/spreadsheets/d/1swGwZOEqYlTEUCJLY-eeJM1911Kvaei5oySBIxdgtNo/edit?pli=1#gid=257618397"",""stock FAKTUR!B:G""),6,false)"),"CP-24F")</f>
        <v>CP-24F</v>
      </c>
      <c r="J1126" s="199" t="str">
        <f t="shared" si="25"/>
        <v>ADA</v>
      </c>
      <c r="K1126" s="142">
        <v>2.0</v>
      </c>
      <c r="L1126" s="145" t="str">
        <f>IFERROR(__xludf.DUMMYFUNCTION("vlookup($D1126,IMPORTRANGE(""https://docs.google.com/spreadsheets/d/1swGwZOEqYlTEUCJLY-eeJM1911Kvaei5oySBIxdgtNo/edit?pli=1#gid=257618397"",""stock FAKTUR!B:q""),16,false)"),"LSN")</f>
        <v>LSN</v>
      </c>
      <c r="M1126" s="147">
        <f>20700*12</f>
        <v>248400</v>
      </c>
      <c r="N1126" s="152">
        <v>0.1</v>
      </c>
      <c r="O1126" s="147">
        <f t="shared" si="280"/>
        <v>447120</v>
      </c>
      <c r="P1126" s="147" t="str">
        <f t="shared" si="3"/>
        <v>Rp248,400-2 LSN-10.00%</v>
      </c>
      <c r="Q1126" s="149">
        <v>45436.0</v>
      </c>
      <c r="R1126" s="150"/>
      <c r="S1126" s="149">
        <v>45440.0</v>
      </c>
      <c r="T1126" s="151"/>
      <c r="U1126" s="151"/>
      <c r="V1126" s="151"/>
      <c r="W1126" s="151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>
      <c r="A1127" s="142">
        <v>270.0</v>
      </c>
      <c r="B1127" s="143" t="s">
        <v>33</v>
      </c>
      <c r="C1127" s="143" t="s">
        <v>115</v>
      </c>
      <c r="D1127" s="53" t="s">
        <v>4519</v>
      </c>
      <c r="E1127" s="145" t="str">
        <f>IFERROR(__xludf.DUMMYFUNCTION("vlookup(D1127,IMPORTRANGE(""https://docs.google.com/spreadsheets/d/1swGwZOEqYlTEUCJLY-eeJM1911Kvaei5oySBIxdgtNo/edit?pli=1#gid=257618397"",""stock FAKTUR!B:C""),2,false)"),"CUTTER VANCO KECIL 128 TRANS")</f>
        <v>CUTTER VANCO KECIL 128 TRANS</v>
      </c>
      <c r="F1127" s="145" t="str">
        <f>IFERROR(__xludf.DUMMYFUNCTION("vlookup($D1127,IMPORTRANGE(""https://docs.google.com/spreadsheets/d/1swGwZOEqYlTEUCJLY-eeJM1911Kvaei5oySBIxdgtNo/edit?pli=1#gid=257618397"",""stock FAKTUR!B:d""),3,false)"),"K")</f>
        <v>K</v>
      </c>
      <c r="G1127" s="145" t="str">
        <f>IFERROR(__xludf.DUMMYFUNCTION("vlookup($D1127,IMPORTRANGE(""https://docs.google.com/spreadsheets/d/1swGwZOEqYlTEUCJLY-eeJM1911Kvaei5oySBIxdgtNo/edit?pli=1#gid=257618397"",""stock FAKTUR!B:e""),4,false)"),"")</f>
        <v/>
      </c>
      <c r="H1127" s="145" t="str">
        <f>IFERROR(__xludf.DUMMYFUNCTION("vlookup($D1127,IMPORTRANGE(""https://docs.google.com/spreadsheets/d/1swGwZOEqYlTEUCJLY-eeJM1911Kvaei5oySBIxdgtNo/edit?pli=1#gid=257618397"",""stock FAKTUR!B:F""),5,false)"),"VN")</f>
        <v>VN</v>
      </c>
      <c r="I1127" s="145" t="str">
        <f>IFERROR(__xludf.DUMMYFUNCTION("vlookup($D1127,IMPORTRANGE(""https://docs.google.com/spreadsheets/d/1swGwZOEqYlTEUCJLY-eeJM1911Kvaei5oySBIxdgtNo/edit?pli=1#gid=257618397"",""stock FAKTUR!B:G""),6,false)"),"128")</f>
        <v>128</v>
      </c>
      <c r="J1127" s="199" t="str">
        <f t="shared" si="25"/>
        <v>ADA</v>
      </c>
      <c r="K1127" s="142">
        <v>50.0</v>
      </c>
      <c r="L1127" s="145" t="str">
        <f>IFERROR(__xludf.DUMMYFUNCTION("vlookup($D1127,IMPORTRANGE(""https://docs.google.com/spreadsheets/d/1swGwZOEqYlTEUCJLY-eeJM1911Kvaei5oySBIxdgtNo/edit?pli=1#gid=257618397"",""stock FAKTUR!B:q""),16,false)"),"LSN")</f>
        <v>LSN</v>
      </c>
      <c r="M1127" s="147">
        <v>8500.0</v>
      </c>
      <c r="N1127" s="148"/>
      <c r="O1127" s="147">
        <f t="shared" si="280"/>
        <v>425000</v>
      </c>
      <c r="P1127" s="147" t="str">
        <f t="shared" si="3"/>
        <v>Rp8,500-50 LSN-0.00%</v>
      </c>
      <c r="Q1127" s="149">
        <v>45436.0</v>
      </c>
      <c r="R1127" s="150"/>
      <c r="S1127" s="149">
        <v>45440.0</v>
      </c>
      <c r="T1127" s="151"/>
      <c r="U1127" s="151"/>
      <c r="V1127" s="151"/>
      <c r="W1127" s="151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>
      <c r="A1128" s="142">
        <v>270.0</v>
      </c>
      <c r="B1128" s="143" t="str">
        <f>IF(A1128=A1127,B1127,"")</f>
        <v>H</v>
      </c>
      <c r="C1128" s="143" t="str">
        <f>IF(A1128=A1127,C1127,"")</f>
        <v>INDOFOTOCOPY-PARAKAN</v>
      </c>
      <c r="D1128" s="53" t="s">
        <v>4693</v>
      </c>
      <c r="E1128" s="145" t="str">
        <f>IFERROR(__xludf.DUMMYFUNCTION("vlookup(D1128,IMPORTRANGE(""https://docs.google.com/spreadsheets/d/1swGwZOEqYlTEUCJLY-eeJM1911Kvaei5oySBIxdgtNo/edit?pli=1#gid=257618397"",""stock FAKTUR!B:C""),2,false)"),"BP GEL TF-1190 0.3MM HIGHTECH (H)")</f>
        <v>BP GEL TF-1190 0.3MM HIGHTECH (H)</v>
      </c>
      <c r="F1128" s="145" t="str">
        <f>IFERROR(__xludf.DUMMYFUNCTION("vlookup($D1128,IMPORTRANGE(""https://docs.google.com/spreadsheets/d/1swGwZOEqYlTEUCJLY-eeJM1911Kvaei5oySBIxdgtNo/edit?pli=1#gid=257618397"",""stock FAKTUR!B:d""),3,false)"),"")</f>
        <v/>
      </c>
      <c r="G1128" s="145" t="str">
        <f>IFERROR(__xludf.DUMMYFUNCTION("vlookup($D1128,IMPORTRANGE(""https://docs.google.com/spreadsheets/d/1swGwZOEqYlTEUCJLY-eeJM1911Kvaei5oySBIxdgtNo/edit?pli=1#gid=257618397"",""stock FAKTUR!B:e""),4,false)"),"HITAM")</f>
        <v>HITAM</v>
      </c>
      <c r="H1128" s="145" t="str">
        <f>IFERROR(__xludf.DUMMYFUNCTION("vlookup($D1128,IMPORTRANGE(""https://docs.google.com/spreadsheets/d/1swGwZOEqYlTEUCJLY-eeJM1911Kvaei5oySBIxdgtNo/edit?pli=1#gid=257618397"",""stock FAKTUR!B:F""),5,false)"),"TF")</f>
        <v>TF</v>
      </c>
      <c r="I1128" s="145" t="str">
        <f>IFERROR(__xludf.DUMMYFUNCTION("vlookup($D1128,IMPORTRANGE(""https://docs.google.com/spreadsheets/d/1swGwZOEqYlTEUCJLY-eeJM1911Kvaei5oySBIxdgtNo/edit?pli=1#gid=257618397"",""stock FAKTUR!B:G""),6,false)"),"TF-1190")</f>
        <v>TF-1190</v>
      </c>
      <c r="J1128" s="199" t="str">
        <f t="shared" si="25"/>
        <v>ADA</v>
      </c>
      <c r="K1128" s="142">
        <v>3.0</v>
      </c>
      <c r="L1128" s="145" t="str">
        <f>IFERROR(__xludf.DUMMYFUNCTION("vlookup($D1128,IMPORTRANGE(""https://docs.google.com/spreadsheets/d/1swGwZOEqYlTEUCJLY-eeJM1911Kvaei5oySBIxdgtNo/edit?pli=1#gid=257618397"",""stock FAKTUR!B:q""),16,false)"),"LSN")</f>
        <v>LSN</v>
      </c>
      <c r="M1128" s="147">
        <v>28500.0</v>
      </c>
      <c r="N1128" s="148"/>
      <c r="O1128" s="147">
        <f t="shared" si="280"/>
        <v>85500</v>
      </c>
      <c r="P1128" s="147" t="str">
        <f t="shared" si="3"/>
        <v>Rp28,500-3 LSN-0.00%</v>
      </c>
      <c r="Q1128" s="149">
        <v>45436.0</v>
      </c>
      <c r="R1128" s="150"/>
      <c r="S1128" s="149">
        <v>45440.0</v>
      </c>
      <c r="T1128" s="151"/>
      <c r="U1128" s="151"/>
      <c r="V1128" s="151"/>
      <c r="W1128" s="151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29">
      <c r="A1129" s="142">
        <v>4827.0</v>
      </c>
      <c r="B1129" s="143" t="s">
        <v>33</v>
      </c>
      <c r="C1129" s="143" t="s">
        <v>761</v>
      </c>
      <c r="D1129" s="49" t="s">
        <v>4832</v>
      </c>
      <c r="E1129" s="145" t="str">
        <f>IFERROR(__xludf.DUMMYFUNCTION("vlookup(D1129,IMPORTRANGE(""https://docs.google.com/spreadsheets/d/1swGwZOEqYlTEUCJLY-eeJM1911Kvaei5oySBIxdgtNo/edit?pli=1#gid=257618397"",""stock FAKTUR!B:C""),2,false)"),"BP TIZO TG340 HITAM")</f>
        <v>BP TIZO TG340 HITAM</v>
      </c>
      <c r="F1129" s="145" t="str">
        <f>IFERROR(__xludf.DUMMYFUNCTION("vlookup($D1129,IMPORTRANGE(""https://docs.google.com/spreadsheets/d/1swGwZOEqYlTEUCJLY-eeJM1911Kvaei5oySBIxdgtNo/edit?pli=1#gid=257618397"",""stock FAKTUR!B:d""),3,false)"),"")</f>
        <v/>
      </c>
      <c r="G1129" s="145" t="str">
        <f>IFERROR(__xludf.DUMMYFUNCTION("vlookup($D1129,IMPORTRANGE(""https://docs.google.com/spreadsheets/d/1swGwZOEqYlTEUCJLY-eeJM1911Kvaei5oySBIxdgtNo/edit?pli=1#gid=257618397"",""stock FAKTUR!B:e""),4,false)"),"HITAM")</f>
        <v>HITAM</v>
      </c>
      <c r="H1129" s="145" t="str">
        <f>IFERROR(__xludf.DUMMYFUNCTION("vlookup($D1129,IMPORTRANGE(""https://docs.google.com/spreadsheets/d/1swGwZOEqYlTEUCJLY-eeJM1911Kvaei5oySBIxdgtNo/edit?pli=1#gid=257618397"",""stock FAKTUR!B:F""),5,false)"),"TZ")</f>
        <v>TZ</v>
      </c>
      <c r="I1129" s="145" t="str">
        <f>IFERROR(__xludf.DUMMYFUNCTION("vlookup($D1129,IMPORTRANGE(""https://docs.google.com/spreadsheets/d/1swGwZOEqYlTEUCJLY-eeJM1911Kvaei5oySBIxdgtNo/edit?pli=1#gid=257618397"",""stock FAKTUR!B:G""),6,false)"),"TG340")</f>
        <v>TG340</v>
      </c>
      <c r="J1129" s="199" t="str">
        <f t="shared" si="25"/>
        <v>ADA</v>
      </c>
      <c r="K1129" s="142">
        <v>5.0</v>
      </c>
      <c r="L1129" s="145" t="str">
        <f>IFERROR(__xludf.DUMMYFUNCTION("vlookup($D1129,IMPORTRANGE(""https://docs.google.com/spreadsheets/d/1swGwZOEqYlTEUCJLY-eeJM1911Kvaei5oySBIxdgtNo/edit?pli=1#gid=257618397"",""stock FAKTUR!B:q""),16,false)"),"LSN")</f>
        <v>LSN</v>
      </c>
      <c r="M1129" s="147">
        <v>35000.0</v>
      </c>
      <c r="N1129" s="148"/>
      <c r="O1129" s="147">
        <f t="shared" si="280"/>
        <v>175000</v>
      </c>
      <c r="P1129" s="147" t="str">
        <f t="shared" si="3"/>
        <v>Rp35,000-5 LSN-0.00%</v>
      </c>
      <c r="Q1129" s="149">
        <v>45436.0</v>
      </c>
      <c r="R1129" s="150"/>
      <c r="S1129" s="149">
        <v>45440.0</v>
      </c>
      <c r="T1129" s="151"/>
      <c r="U1129" s="151"/>
      <c r="V1129" s="151"/>
      <c r="W1129" s="151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</row>
    <row r="1130">
      <c r="A1130" s="142">
        <v>4827.0</v>
      </c>
      <c r="B1130" s="143" t="str">
        <f t="shared" ref="B1130:B1142" si="331">IF(A1130=A1129,B1129,"")</f>
        <v>H</v>
      </c>
      <c r="C1130" s="143" t="str">
        <f t="shared" ref="C1130:C1142" si="332">IF(A1130=A1129,C1129,"")</f>
        <v>SUMBER BUKIT-SALATIGA</v>
      </c>
      <c r="D1130" s="49" t="s">
        <v>4846</v>
      </c>
      <c r="E1130" s="145" t="str">
        <f>IFERROR(__xludf.DUMMYFUNCTION("vlookup(D1130,IMPORTRANGE(""https://docs.google.com/spreadsheets/d/1swGwZOEqYlTEUCJLY-eeJM1911Kvaei5oySBIxdgtNo/edit?pli=1#gid=257618397"",""stock FAKTUR!B:C""),2,false)"),"BP TIZO TG340 BIRU")</f>
        <v>BP TIZO TG340 BIRU</v>
      </c>
      <c r="F1130" s="145" t="str">
        <f>IFERROR(__xludf.DUMMYFUNCTION("vlookup($D1130,IMPORTRANGE(""https://docs.google.com/spreadsheets/d/1swGwZOEqYlTEUCJLY-eeJM1911Kvaei5oySBIxdgtNo/edit?pli=1#gid=257618397"",""stock FAKTUR!B:d""),3,false)"),"")</f>
        <v/>
      </c>
      <c r="G1130" s="145" t="str">
        <f>IFERROR(__xludf.DUMMYFUNCTION("vlookup($D1130,IMPORTRANGE(""https://docs.google.com/spreadsheets/d/1swGwZOEqYlTEUCJLY-eeJM1911Kvaei5oySBIxdgtNo/edit?pli=1#gid=257618397"",""stock FAKTUR!B:e""),4,false)"),"BIRU")</f>
        <v>BIRU</v>
      </c>
      <c r="H1130" s="145" t="str">
        <f>IFERROR(__xludf.DUMMYFUNCTION("vlookup($D1130,IMPORTRANGE(""https://docs.google.com/spreadsheets/d/1swGwZOEqYlTEUCJLY-eeJM1911Kvaei5oySBIxdgtNo/edit?pli=1#gid=257618397"",""stock FAKTUR!B:F""),5,false)"),"TZ")</f>
        <v>TZ</v>
      </c>
      <c r="I1130" s="145" t="str">
        <f>IFERROR(__xludf.DUMMYFUNCTION("vlookup($D1130,IMPORTRANGE(""https://docs.google.com/spreadsheets/d/1swGwZOEqYlTEUCJLY-eeJM1911Kvaei5oySBIxdgtNo/edit?pli=1#gid=257618397"",""stock FAKTUR!B:G""),6,false)"),"TG340")</f>
        <v>TG340</v>
      </c>
      <c r="J1130" s="199" t="str">
        <f t="shared" si="25"/>
        <v>ADA</v>
      </c>
      <c r="K1130" s="142">
        <v>5.0</v>
      </c>
      <c r="L1130" s="145" t="str">
        <f>IFERROR(__xludf.DUMMYFUNCTION("vlookup($D1130,IMPORTRANGE(""https://docs.google.com/spreadsheets/d/1swGwZOEqYlTEUCJLY-eeJM1911Kvaei5oySBIxdgtNo/edit?pli=1#gid=257618397"",""stock FAKTUR!B:q""),16,false)"),"LSN")</f>
        <v>LSN</v>
      </c>
      <c r="M1130" s="147">
        <v>35000.0</v>
      </c>
      <c r="N1130" s="148"/>
      <c r="O1130" s="147">
        <f t="shared" si="280"/>
        <v>175000</v>
      </c>
      <c r="P1130" s="147" t="str">
        <f t="shared" si="3"/>
        <v>Rp35,000-5 LSN-0.00%</v>
      </c>
      <c r="Q1130" s="149">
        <v>45436.0</v>
      </c>
      <c r="R1130" s="150"/>
      <c r="S1130" s="149">
        <v>45440.0</v>
      </c>
      <c r="T1130" s="151"/>
      <c r="U1130" s="151"/>
      <c r="V1130" s="151"/>
      <c r="W1130" s="151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</row>
    <row r="1131">
      <c r="A1131" s="142">
        <v>4827.0</v>
      </c>
      <c r="B1131" s="143" t="str">
        <f t="shared" si="331"/>
        <v>H</v>
      </c>
      <c r="C1131" s="143" t="str">
        <f t="shared" si="332"/>
        <v>SUMBER BUKIT-SALATIGA</v>
      </c>
      <c r="D1131" s="53" t="s">
        <v>4382</v>
      </c>
      <c r="E1131" s="145" t="str">
        <f>IFERROR(__xludf.DUMMYFUNCTION("vlookup(D1131,IMPORTRANGE(""https://docs.google.com/spreadsheets/d/1swGwZOEqYlTEUCJLY-eeJM1911Kvaei5oySBIxdgtNo/edit?pli=1#gid=257618397"",""stock FAKTUR!B:C""),2,false)"),"PENSIL 2B ZHONG HUA 6925 OVAL")</f>
        <v>PENSIL 2B ZHONG HUA 6925 OVAL</v>
      </c>
      <c r="F1131" s="145" t="str">
        <f>IFERROR(__xludf.DUMMYFUNCTION("vlookup($D1131,IMPORTRANGE(""https://docs.google.com/spreadsheets/d/1swGwZOEqYlTEUCJLY-eeJM1911Kvaei5oySBIxdgtNo/edit?pli=1#gid=257618397"",""stock FAKTUR!B:d""),3,false)"),"")</f>
        <v/>
      </c>
      <c r="G1131" s="145" t="str">
        <f>IFERROR(__xludf.DUMMYFUNCTION("vlookup($D1131,IMPORTRANGE(""https://docs.google.com/spreadsheets/d/1swGwZOEqYlTEUCJLY-eeJM1911Kvaei5oySBIxdgtNo/edit?pli=1#gid=257618397"",""stock FAKTUR!B:e""),4,false)"),"")</f>
        <v/>
      </c>
      <c r="H1131" s="145" t="str">
        <f>IFERROR(__xludf.DUMMYFUNCTION("vlookup($D1131,IMPORTRANGE(""https://docs.google.com/spreadsheets/d/1swGwZOEqYlTEUCJLY-eeJM1911Kvaei5oySBIxdgtNo/edit?pli=1#gid=257618397"",""stock FAKTUR!B:F""),5,false)"),"ZH")</f>
        <v>ZH</v>
      </c>
      <c r="I1131" s="145" t="str">
        <f>IFERROR(__xludf.DUMMYFUNCTION("vlookup($D1131,IMPORTRANGE(""https://docs.google.com/spreadsheets/d/1swGwZOEqYlTEUCJLY-eeJM1911Kvaei5oySBIxdgtNo/edit?pli=1#gid=257618397"",""stock FAKTUR!B:G""),6,false)"),"6925")</f>
        <v>6925</v>
      </c>
      <c r="J1131" s="199" t="str">
        <f t="shared" si="25"/>
        <v>ADA</v>
      </c>
      <c r="K1131" s="142">
        <v>5.0</v>
      </c>
      <c r="L1131" s="145" t="str">
        <f>IFERROR(__xludf.DUMMYFUNCTION("vlookup($D1131,IMPORTRANGE(""https://docs.google.com/spreadsheets/d/1swGwZOEqYlTEUCJLY-eeJM1911Kvaei5oySBIxdgtNo/edit?pli=1#gid=257618397"",""stock FAKTUR!B:q""),16,false)"),"BOX")</f>
        <v>BOX</v>
      </c>
      <c r="M1131" s="147">
        <v>75000.0</v>
      </c>
      <c r="N1131" s="148"/>
      <c r="O1131" s="147">
        <f t="shared" si="280"/>
        <v>375000</v>
      </c>
      <c r="P1131" s="147" t="str">
        <f t="shared" si="3"/>
        <v>Rp75,000-5 BOX-0.00%</v>
      </c>
      <c r="Q1131" s="149">
        <v>45436.0</v>
      </c>
      <c r="R1131" s="150"/>
      <c r="S1131" s="149">
        <v>45440.0</v>
      </c>
      <c r="T1131" s="151"/>
      <c r="U1131" s="151"/>
      <c r="V1131" s="151"/>
      <c r="W1131" s="151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</row>
    <row r="1132">
      <c r="A1132" s="142">
        <v>4827.0</v>
      </c>
      <c r="B1132" s="143" t="str">
        <f t="shared" si="331"/>
        <v>H</v>
      </c>
      <c r="C1132" s="143" t="str">
        <f t="shared" si="332"/>
        <v>SUMBER BUKIT-SALATIGA</v>
      </c>
      <c r="D1132" s="70" t="s">
        <v>4814</v>
      </c>
      <c r="E1132" s="145" t="str">
        <f>IFERROR(__xludf.DUMMYFUNCTION("vlookup(D1132,IMPORTRANGE(""https://docs.google.com/spreadsheets/d/1swGwZOEqYlTEUCJLY-eeJM1911Kvaei5oySBIxdgtNo/edit?pli=1#gid=257618397"",""stock FAKTUR!B:C""),2,false)"),"PW KENKO CP-24F SANDY BEAR PANJANG")</f>
        <v>PW KENKO CP-24F SANDY BEAR PANJANG</v>
      </c>
      <c r="F1132" s="145" t="str">
        <f>IFERROR(__xludf.DUMMYFUNCTION("vlookup($D1132,IMPORTRANGE(""https://docs.google.com/spreadsheets/d/1swGwZOEqYlTEUCJLY-eeJM1911Kvaei5oySBIxdgtNo/edit?pli=1#gid=257618397"",""stock FAKTUR!B:d""),3,false)"),"")</f>
        <v/>
      </c>
      <c r="G1132" s="145" t="str">
        <f>IFERROR(__xludf.DUMMYFUNCTION("vlookup($D1132,IMPORTRANGE(""https://docs.google.com/spreadsheets/d/1swGwZOEqYlTEUCJLY-eeJM1911Kvaei5oySBIxdgtNo/edit?pli=1#gid=257618397"",""stock FAKTUR!B:e""),4,false)"),"24W")</f>
        <v>24W</v>
      </c>
      <c r="H1132" s="145" t="str">
        <f>IFERROR(__xludf.DUMMYFUNCTION("vlookup($D1132,IMPORTRANGE(""https://docs.google.com/spreadsheets/d/1swGwZOEqYlTEUCJLY-eeJM1911Kvaei5oySBIxdgtNo/edit?pli=1#gid=257618397"",""stock FAKTUR!B:F""),5,false)"),"KN")</f>
        <v>KN</v>
      </c>
      <c r="I1132" s="145" t="str">
        <f>IFERROR(__xludf.DUMMYFUNCTION("vlookup($D1132,IMPORTRANGE(""https://docs.google.com/spreadsheets/d/1swGwZOEqYlTEUCJLY-eeJM1911Kvaei5oySBIxdgtNo/edit?pli=1#gid=257618397"",""stock FAKTUR!B:G""),6,false)"),"CP-24F")</f>
        <v>CP-24F</v>
      </c>
      <c r="J1132" s="199" t="str">
        <f t="shared" si="25"/>
        <v>ADA</v>
      </c>
      <c r="K1132" s="142">
        <v>2.0</v>
      </c>
      <c r="L1132" s="145" t="str">
        <f>IFERROR(__xludf.DUMMYFUNCTION("vlookup($D1132,IMPORTRANGE(""https://docs.google.com/spreadsheets/d/1swGwZOEqYlTEUCJLY-eeJM1911Kvaei5oySBIxdgtNo/edit?pli=1#gid=257618397"",""stock FAKTUR!B:q""),16,false)"),"LSN")</f>
        <v>LSN</v>
      </c>
      <c r="M1132" s="147">
        <v>248400.0</v>
      </c>
      <c r="N1132" s="152">
        <v>0.1</v>
      </c>
      <c r="O1132" s="147">
        <f t="shared" si="280"/>
        <v>447120</v>
      </c>
      <c r="P1132" s="147" t="str">
        <f t="shared" si="3"/>
        <v>Rp248,400-2 LSN-10.00%</v>
      </c>
      <c r="Q1132" s="149">
        <v>45436.0</v>
      </c>
      <c r="R1132" s="150"/>
      <c r="S1132" s="149">
        <v>45440.0</v>
      </c>
      <c r="T1132" s="151"/>
      <c r="U1132" s="151"/>
      <c r="V1132" s="151"/>
      <c r="W1132" s="151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</row>
    <row r="1133">
      <c r="A1133" s="142">
        <v>4827.0</v>
      </c>
      <c r="B1133" s="143" t="str">
        <f t="shared" si="331"/>
        <v>H</v>
      </c>
      <c r="C1133" s="143" t="str">
        <f t="shared" si="332"/>
        <v>SUMBER BUKIT-SALATIGA</v>
      </c>
      <c r="D1133" s="70" t="s">
        <v>4779</v>
      </c>
      <c r="E1133" s="145" t="str">
        <f>IFERROR(__xludf.DUMMYFUNCTION("vlookup(D1133,IMPORTRANGE(""https://docs.google.com/spreadsheets/d/1swGwZOEqYlTEUCJLY-eeJM1911Kvaei5oySBIxdgtNo/edit?pli=1#gid=257618397"",""stock FAKTUR!B:C""),2,false)"),"PW KENKO CP-12F SANDY BEAR")</f>
        <v>PW KENKO CP-12F SANDY BEAR</v>
      </c>
      <c r="F1133" s="145" t="str">
        <f>IFERROR(__xludf.DUMMYFUNCTION("vlookup($D1133,IMPORTRANGE(""https://docs.google.com/spreadsheets/d/1swGwZOEqYlTEUCJLY-eeJM1911Kvaei5oySBIxdgtNo/edit?pli=1#gid=257618397"",""stock FAKTUR!B:d""),3,false)"),"")</f>
        <v/>
      </c>
      <c r="G1133" s="145" t="str">
        <f>IFERROR(__xludf.DUMMYFUNCTION("vlookup($D1133,IMPORTRANGE(""https://docs.google.com/spreadsheets/d/1swGwZOEqYlTEUCJLY-eeJM1911Kvaei5oySBIxdgtNo/edit?pli=1#gid=257618397"",""stock FAKTUR!B:e""),4,false)"),"12W")</f>
        <v>12W</v>
      </c>
      <c r="H1133" s="145" t="str">
        <f>IFERROR(__xludf.DUMMYFUNCTION("vlookup($D1133,IMPORTRANGE(""https://docs.google.com/spreadsheets/d/1swGwZOEqYlTEUCJLY-eeJM1911Kvaei5oySBIxdgtNo/edit?pli=1#gid=257618397"",""stock FAKTUR!B:F""),5,false)"),"KN")</f>
        <v>KN</v>
      </c>
      <c r="I1133" s="145" t="str">
        <f>IFERROR(__xludf.DUMMYFUNCTION("vlookup($D1133,IMPORTRANGE(""https://docs.google.com/spreadsheets/d/1swGwZOEqYlTEUCJLY-eeJM1911Kvaei5oySBIxdgtNo/edit?pli=1#gid=257618397"",""stock FAKTUR!B:G""),6,false)"),"CP-12F")</f>
        <v>CP-12F</v>
      </c>
      <c r="J1133" s="199" t="str">
        <f t="shared" si="25"/>
        <v>ADA</v>
      </c>
      <c r="K1133" s="142">
        <v>2.0</v>
      </c>
      <c r="L1133" s="145" t="str">
        <f>IFERROR(__xludf.DUMMYFUNCTION("vlookup($D1133,IMPORTRANGE(""https://docs.google.com/spreadsheets/d/1swGwZOEqYlTEUCJLY-eeJM1911Kvaei5oySBIxdgtNo/edit?pli=1#gid=257618397"",""stock FAKTUR!B:q""),16,false)"),"LSN")</f>
        <v>LSN</v>
      </c>
      <c r="M1133" s="147">
        <v>124200.0</v>
      </c>
      <c r="N1133" s="152">
        <v>0.1</v>
      </c>
      <c r="O1133" s="147">
        <f t="shared" si="280"/>
        <v>223560</v>
      </c>
      <c r="P1133" s="147" t="str">
        <f t="shared" si="3"/>
        <v>Rp124,200-2 LSN-10.00%</v>
      </c>
      <c r="Q1133" s="149">
        <v>45436.0</v>
      </c>
      <c r="R1133" s="150"/>
      <c r="S1133" s="149">
        <v>45440.0</v>
      </c>
      <c r="T1133" s="151"/>
      <c r="U1133" s="151"/>
      <c r="V1133" s="151"/>
      <c r="W1133" s="151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</row>
    <row r="1134">
      <c r="A1134" s="142">
        <v>4827.0</v>
      </c>
      <c r="B1134" s="143" t="str">
        <f t="shared" si="331"/>
        <v>H</v>
      </c>
      <c r="C1134" s="143" t="str">
        <f t="shared" si="332"/>
        <v>SUMBER BUKIT-SALATIGA</v>
      </c>
      <c r="D1134" s="70" t="s">
        <v>4809</v>
      </c>
      <c r="E1134" s="145" t="str">
        <f>IFERROR(__xludf.DUMMYFUNCTION("vlookup(D1134,IMPORTRANGE(""https://docs.google.com/spreadsheets/d/1swGwZOEqYlTEUCJLY-eeJM1911Kvaei5oySBIxdgtNo/edit?pli=1#gid=257618397"",""stock FAKTUR!B:C""),2,false)"),"PW KENKO BICOLOR 12W NMCP-12FBC")</f>
        <v>PW KENKO BICOLOR 12W NMCP-12FBC</v>
      </c>
      <c r="F1134" s="145" t="str">
        <f>IFERROR(__xludf.DUMMYFUNCTION("vlookup($D1134,IMPORTRANGE(""https://docs.google.com/spreadsheets/d/1swGwZOEqYlTEUCJLY-eeJM1911Kvaei5oySBIxdgtNo/edit?pli=1#gid=257618397"",""stock FAKTUR!B:d""),3,false)"),"")</f>
        <v/>
      </c>
      <c r="G1134" s="145" t="str">
        <f>IFERROR(__xludf.DUMMYFUNCTION("vlookup($D1134,IMPORTRANGE(""https://docs.google.com/spreadsheets/d/1swGwZOEqYlTEUCJLY-eeJM1911Kvaei5oySBIxdgtNo/edit?pli=1#gid=257618397"",""stock FAKTUR!B:e""),4,false)"),"12W")</f>
        <v>12W</v>
      </c>
      <c r="H1134" s="145" t="str">
        <f>IFERROR(__xludf.DUMMYFUNCTION("vlookup($D1134,IMPORTRANGE(""https://docs.google.com/spreadsheets/d/1swGwZOEqYlTEUCJLY-eeJM1911Kvaei5oySBIxdgtNo/edit?pli=1#gid=257618397"",""stock FAKTUR!B:F""),5,false)"),"KN")</f>
        <v>KN</v>
      </c>
      <c r="I1134" s="145" t="str">
        <f>IFERROR(__xludf.DUMMYFUNCTION("vlookup($D1134,IMPORTRANGE(""https://docs.google.com/spreadsheets/d/1swGwZOEqYlTEUCJLY-eeJM1911Kvaei5oySBIxdgtNo/edit?pli=1#gid=257618397"",""stock FAKTUR!B:G""),6,false)"),"NMCP-12FBC")</f>
        <v>NMCP-12FBC</v>
      </c>
      <c r="J1134" s="199" t="str">
        <f t="shared" si="25"/>
        <v>ADA</v>
      </c>
      <c r="K1134" s="142">
        <v>2.0</v>
      </c>
      <c r="L1134" s="145" t="str">
        <f>IFERROR(__xludf.DUMMYFUNCTION("vlookup($D1134,IMPORTRANGE(""https://docs.google.com/spreadsheets/d/1swGwZOEqYlTEUCJLY-eeJM1911Kvaei5oySBIxdgtNo/edit?pli=1#gid=257618397"",""stock FAKTUR!B:q""),16,false)"),"LSN")</f>
        <v>LSN</v>
      </c>
      <c r="M1134" s="147">
        <v>180000.0</v>
      </c>
      <c r="N1134" s="152">
        <v>0.1</v>
      </c>
      <c r="O1134" s="147">
        <f t="shared" si="280"/>
        <v>324000</v>
      </c>
      <c r="P1134" s="147" t="str">
        <f t="shared" si="3"/>
        <v>Rp180,000-2 LSN-10.00%</v>
      </c>
      <c r="Q1134" s="149">
        <v>45436.0</v>
      </c>
      <c r="R1134" s="150"/>
      <c r="S1134" s="149">
        <v>45440.0</v>
      </c>
      <c r="T1134" s="151"/>
      <c r="U1134" s="151"/>
      <c r="V1134" s="151"/>
      <c r="W1134" s="151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</row>
    <row r="1135">
      <c r="A1135" s="142">
        <v>4827.0</v>
      </c>
      <c r="B1135" s="143" t="str">
        <f t="shared" si="331"/>
        <v>H</v>
      </c>
      <c r="C1135" s="143" t="str">
        <f t="shared" si="332"/>
        <v>SUMBER BUKIT-SALATIGA</v>
      </c>
      <c r="D1135" s="53" t="s">
        <v>4847</v>
      </c>
      <c r="E1135" s="145" t="str">
        <f>IFERROR(__xludf.DUMMYFUNCTION("vlookup(D1135,IMPORTRANGE(""https://docs.google.com/spreadsheets/d/1swGwZOEqYlTEUCJLY-eeJM1911Kvaei5oySBIxdgtNo/edit?pli=1#gid=257618397"",""stock FAKTUR!B:C""),2,false)"),"PW KENKO CP-36F SANDY BEAR 36W")</f>
        <v>PW KENKO CP-36F SANDY BEAR 36W</v>
      </c>
      <c r="F1135" s="145" t="str">
        <f>IFERROR(__xludf.DUMMYFUNCTION("vlookup($D1135,IMPORTRANGE(""https://docs.google.com/spreadsheets/d/1swGwZOEqYlTEUCJLY-eeJM1911Kvaei5oySBIxdgtNo/edit?pli=1#gid=257618397"",""stock FAKTUR!B:d""),3,false)"),"")</f>
        <v/>
      </c>
      <c r="G1135" s="145" t="str">
        <f>IFERROR(__xludf.DUMMYFUNCTION("vlookup($D1135,IMPORTRANGE(""https://docs.google.com/spreadsheets/d/1swGwZOEqYlTEUCJLY-eeJM1911Kvaei5oySBIxdgtNo/edit?pli=1#gid=257618397"",""stock FAKTUR!B:e""),4,false)"),"36W")</f>
        <v>36W</v>
      </c>
      <c r="H1135" s="145" t="str">
        <f>IFERROR(__xludf.DUMMYFUNCTION("vlookup($D1135,IMPORTRANGE(""https://docs.google.com/spreadsheets/d/1swGwZOEqYlTEUCJLY-eeJM1911Kvaei5oySBIxdgtNo/edit?pli=1#gid=257618397"",""stock FAKTUR!B:F""),5,false)"),"KN")</f>
        <v>KN</v>
      </c>
      <c r="I1135" s="145" t="str">
        <f>IFERROR(__xludf.DUMMYFUNCTION("vlookup($D1135,IMPORTRANGE(""https://docs.google.com/spreadsheets/d/1swGwZOEqYlTEUCJLY-eeJM1911Kvaei5oySBIxdgtNo/edit?pli=1#gid=257618397"",""stock FAKTUR!B:G""),6,false)"),"CPC-004A")</f>
        <v>CPC-004A</v>
      </c>
      <c r="J1135" s="199" t="str">
        <f t="shared" si="25"/>
        <v>ADA</v>
      </c>
      <c r="K1135" s="142">
        <v>24.0</v>
      </c>
      <c r="L1135" s="145" t="str">
        <f>IFERROR(__xludf.DUMMYFUNCTION("vlookup($D1135,IMPORTRANGE(""https://docs.google.com/spreadsheets/d/1swGwZOEqYlTEUCJLY-eeJM1911Kvaei5oySBIxdgtNo/edit?pli=1#gid=257618397"",""stock FAKTUR!B:q""),16,false)"),"PCS")</f>
        <v>PCS</v>
      </c>
      <c r="M1135" s="147">
        <f>396000/12</f>
        <v>33000</v>
      </c>
      <c r="N1135" s="152">
        <v>0.1</v>
      </c>
      <c r="O1135" s="147">
        <f t="shared" si="280"/>
        <v>712800</v>
      </c>
      <c r="P1135" s="147" t="str">
        <f t="shared" si="3"/>
        <v>Rp33,000-24 PCS-10.00%</v>
      </c>
      <c r="Q1135" s="149">
        <v>45436.0</v>
      </c>
      <c r="R1135" s="150"/>
      <c r="S1135" s="149">
        <v>45440.0</v>
      </c>
      <c r="T1135" s="151"/>
      <c r="U1135" s="151"/>
      <c r="V1135" s="151"/>
      <c r="W1135" s="151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</row>
    <row r="1136">
      <c r="A1136" s="142">
        <v>4827.0</v>
      </c>
      <c r="B1136" s="143" t="str">
        <f t="shared" si="331"/>
        <v>H</v>
      </c>
      <c r="C1136" s="143" t="str">
        <f t="shared" si="332"/>
        <v>SUMBER BUKIT-SALATIGA</v>
      </c>
      <c r="D1136" s="70" t="s">
        <v>4811</v>
      </c>
      <c r="E1136" s="145" t="str">
        <f>IFERROR(__xludf.DUMMYFUNCTION("vlookup(D1136,IMPORTRANGE(""https://docs.google.com/spreadsheets/d/1swGwZOEqYlTEUCJLY-eeJM1911Kvaei5oySBIxdgtNo/edit?pli=1#gid=257618397"",""stock FAKTUR!B:C""),2,false)"),"PW KENKO NEON COLOR PENCIL 12W NCP-12C")</f>
        <v>PW KENKO NEON COLOR PENCIL 12W NCP-12C</v>
      </c>
      <c r="F1136" s="145" t="str">
        <f>IFERROR(__xludf.DUMMYFUNCTION("vlookup($D1136,IMPORTRANGE(""https://docs.google.com/spreadsheets/d/1swGwZOEqYlTEUCJLY-eeJM1911Kvaei5oySBIxdgtNo/edit?pli=1#gid=257618397"",""stock FAKTUR!B:d""),3,false)"),"")</f>
        <v/>
      </c>
      <c r="G1136" s="145" t="str">
        <f>IFERROR(__xludf.DUMMYFUNCTION("vlookup($D1136,IMPORTRANGE(""https://docs.google.com/spreadsheets/d/1swGwZOEqYlTEUCJLY-eeJM1911Kvaei5oySBIxdgtNo/edit?pli=1#gid=257618397"",""stock FAKTUR!B:e""),4,false)"),"12W")</f>
        <v>12W</v>
      </c>
      <c r="H1136" s="145" t="str">
        <f>IFERROR(__xludf.DUMMYFUNCTION("vlookup($D1136,IMPORTRANGE(""https://docs.google.com/spreadsheets/d/1swGwZOEqYlTEUCJLY-eeJM1911Kvaei5oySBIxdgtNo/edit?pli=1#gid=257618397"",""stock FAKTUR!B:F""),5,false)"),"KN")</f>
        <v>KN</v>
      </c>
      <c r="I1136" s="145" t="str">
        <f>IFERROR(__xludf.DUMMYFUNCTION("vlookup($D1136,IMPORTRANGE(""https://docs.google.com/spreadsheets/d/1swGwZOEqYlTEUCJLY-eeJM1911Kvaei5oySBIxdgtNo/edit?pli=1#gid=257618397"",""stock FAKTUR!B:G""),6,false)"),"NCP-12C")</f>
        <v>NCP-12C</v>
      </c>
      <c r="J1136" s="199" t="str">
        <f t="shared" si="25"/>
        <v>ADA</v>
      </c>
      <c r="K1136" s="142">
        <v>2.0</v>
      </c>
      <c r="L1136" s="145" t="str">
        <f>IFERROR(__xludf.DUMMYFUNCTION("vlookup($D1136,IMPORTRANGE(""https://docs.google.com/spreadsheets/d/1swGwZOEqYlTEUCJLY-eeJM1911Kvaei5oySBIxdgtNo/edit?pli=1#gid=257618397"",""stock FAKTUR!B:q""),16,false)"),"LSN")</f>
        <v>LSN</v>
      </c>
      <c r="M1136" s="147">
        <v>156000.0</v>
      </c>
      <c r="N1136" s="152">
        <v>0.1</v>
      </c>
      <c r="O1136" s="147">
        <f t="shared" si="280"/>
        <v>280800</v>
      </c>
      <c r="P1136" s="147" t="str">
        <f t="shared" si="3"/>
        <v>Rp156,000-2 LSN-10.00%</v>
      </c>
      <c r="Q1136" s="149">
        <v>45436.0</v>
      </c>
      <c r="R1136" s="150"/>
      <c r="S1136" s="149">
        <v>45440.0</v>
      </c>
      <c r="T1136" s="151"/>
      <c r="U1136" s="151"/>
      <c r="V1136" s="151"/>
      <c r="W1136" s="151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</row>
    <row r="1137">
      <c r="A1137" s="142">
        <v>4827.0</v>
      </c>
      <c r="B1137" s="143" t="str">
        <f t="shared" si="331"/>
        <v>H</v>
      </c>
      <c r="C1137" s="143" t="str">
        <f t="shared" si="332"/>
        <v>SUMBER BUKIT-SALATIGA</v>
      </c>
      <c r="D1137" s="70" t="s">
        <v>4806</v>
      </c>
      <c r="E1137" s="145" t="str">
        <f>IFERROR(__xludf.DUMMYFUNCTION("vlookup(D1137,IMPORTRANGE(""https://docs.google.com/spreadsheets/d/1swGwZOEqYlTEUCJLY-eeJM1911Kvaei5oySBIxdgtNo/edit?pli=1#gid=257618397"",""stock FAKTUR!B:C""),2,false)"),"PW KENKO METALLIC 12W CP-12FMC CLASSIC")</f>
        <v>PW KENKO METALLIC 12W CP-12FMC CLASSIC</v>
      </c>
      <c r="F1137" s="145" t="str">
        <f>IFERROR(__xludf.DUMMYFUNCTION("vlookup($D1137,IMPORTRANGE(""https://docs.google.com/spreadsheets/d/1swGwZOEqYlTEUCJLY-eeJM1911Kvaei5oySBIxdgtNo/edit?pli=1#gid=257618397"",""stock FAKTUR!B:d""),3,false)"),"")</f>
        <v/>
      </c>
      <c r="G1137" s="145" t="str">
        <f>IFERROR(__xludf.DUMMYFUNCTION("vlookup($D1137,IMPORTRANGE(""https://docs.google.com/spreadsheets/d/1swGwZOEqYlTEUCJLY-eeJM1911Kvaei5oySBIxdgtNo/edit?pli=1#gid=257618397"",""stock FAKTUR!B:e""),4,false)"),"12W")</f>
        <v>12W</v>
      </c>
      <c r="H1137" s="145" t="str">
        <f>IFERROR(__xludf.DUMMYFUNCTION("vlookup($D1137,IMPORTRANGE(""https://docs.google.com/spreadsheets/d/1swGwZOEqYlTEUCJLY-eeJM1911Kvaei5oySBIxdgtNo/edit?pli=1#gid=257618397"",""stock FAKTUR!B:F""),5,false)"),"KN")</f>
        <v>KN</v>
      </c>
      <c r="I1137" s="145" t="str">
        <f>IFERROR(__xludf.DUMMYFUNCTION("vlookup($D1137,IMPORTRANGE(""https://docs.google.com/spreadsheets/d/1swGwZOEqYlTEUCJLY-eeJM1911Kvaei5oySBIxdgtNo/edit?pli=1#gid=257618397"",""stock FAKTUR!B:G""),6,false)"),"CP-12FMC")</f>
        <v>CP-12FMC</v>
      </c>
      <c r="J1137" s="199" t="str">
        <f t="shared" si="25"/>
        <v>ADA</v>
      </c>
      <c r="K1137" s="142">
        <v>2.0</v>
      </c>
      <c r="L1137" s="145" t="str">
        <f>IFERROR(__xludf.DUMMYFUNCTION("vlookup($D1137,IMPORTRANGE(""https://docs.google.com/spreadsheets/d/1swGwZOEqYlTEUCJLY-eeJM1911Kvaei5oySBIxdgtNo/edit?pli=1#gid=257618397"",""stock FAKTUR!B:q""),16,false)"),"LSN")</f>
        <v>LSN</v>
      </c>
      <c r="M1137" s="147">
        <v>150000.0</v>
      </c>
      <c r="N1137" s="152">
        <v>0.1</v>
      </c>
      <c r="O1137" s="147">
        <f t="shared" si="280"/>
        <v>270000</v>
      </c>
      <c r="P1137" s="147" t="str">
        <f t="shared" si="3"/>
        <v>Rp150,000-2 LSN-10.00%</v>
      </c>
      <c r="Q1137" s="149">
        <v>45436.0</v>
      </c>
      <c r="R1137" s="150"/>
      <c r="S1137" s="149">
        <v>45440.0</v>
      </c>
      <c r="T1137" s="151"/>
      <c r="U1137" s="151"/>
      <c r="V1137" s="151"/>
      <c r="W1137" s="151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</row>
    <row r="1138">
      <c r="A1138" s="142">
        <v>4827.0</v>
      </c>
      <c r="B1138" s="143" t="str">
        <f t="shared" si="331"/>
        <v>H</v>
      </c>
      <c r="C1138" s="143" t="str">
        <f t="shared" si="332"/>
        <v>SUMBER BUKIT-SALATIGA</v>
      </c>
      <c r="D1138" s="49" t="s">
        <v>4761</v>
      </c>
      <c r="E1138" s="145" t="str">
        <f>IFERROR(__xludf.DUMMYFUNCTION("vlookup(D1138,IMPORTRANGE(""https://docs.google.com/spreadsheets/d/1swGwZOEqYlTEUCJLY-eeJM1911Kvaei5oySBIxdgtNo/edit?pli=1#gid=257618397"",""stock FAKTUR!B:C""),2,false)"),"JANGKA SET KENKO C-528")</f>
        <v>JANGKA SET KENKO C-528</v>
      </c>
      <c r="F1138" s="145" t="str">
        <f>IFERROR(__xludf.DUMMYFUNCTION("vlookup($D1138,IMPORTRANGE(""https://docs.google.com/spreadsheets/d/1swGwZOEqYlTEUCJLY-eeJM1911Kvaei5oySBIxdgtNo/edit?pli=1#gid=257618397"",""stock FAKTUR!B:d""),3,false)"),"")</f>
        <v/>
      </c>
      <c r="G1138" s="145" t="str">
        <f>IFERROR(__xludf.DUMMYFUNCTION("vlookup($D1138,IMPORTRANGE(""https://docs.google.com/spreadsheets/d/1swGwZOEqYlTEUCJLY-eeJM1911Kvaei5oySBIxdgtNo/edit?pli=1#gid=257618397"",""stock FAKTUR!B:e""),4,false)"),"")</f>
        <v/>
      </c>
      <c r="H1138" s="145" t="str">
        <f>IFERROR(__xludf.DUMMYFUNCTION("vlookup($D1138,IMPORTRANGE(""https://docs.google.com/spreadsheets/d/1swGwZOEqYlTEUCJLY-eeJM1911Kvaei5oySBIxdgtNo/edit?pli=1#gid=257618397"",""stock FAKTUR!B:F""),5,false)"),"KN")</f>
        <v>KN</v>
      </c>
      <c r="I1138" s="145" t="str">
        <f>IFERROR(__xludf.DUMMYFUNCTION("vlookup($D1138,IMPORTRANGE(""https://docs.google.com/spreadsheets/d/1swGwZOEqYlTEUCJLY-eeJM1911Kvaei5oySBIxdgtNo/edit?pli=1#gid=257618397"",""stock FAKTUR!B:G""),6,false)"),"")</f>
        <v/>
      </c>
      <c r="J1138" s="199" t="str">
        <f t="shared" si="25"/>
        <v>ADA</v>
      </c>
      <c r="K1138" s="142">
        <v>1.0</v>
      </c>
      <c r="L1138" s="145" t="str">
        <f>IFERROR(__xludf.DUMMYFUNCTION("vlookup($D1138,IMPORTRANGE(""https://docs.google.com/spreadsheets/d/1swGwZOEqYlTEUCJLY-eeJM1911Kvaei5oySBIxdgtNo/edit?pli=1#gid=257618397"",""stock FAKTUR!B:q""),16,false)"),"LSN")</f>
        <v>LSN</v>
      </c>
      <c r="M1138" s="147">
        <v>90000.0</v>
      </c>
      <c r="N1138" s="152">
        <v>0.1</v>
      </c>
      <c r="O1138" s="147">
        <f t="shared" si="280"/>
        <v>81000</v>
      </c>
      <c r="P1138" s="147" t="str">
        <f t="shared" si="3"/>
        <v>Rp90,000-1 LSN-10.00%</v>
      </c>
      <c r="Q1138" s="149">
        <v>45436.0</v>
      </c>
      <c r="R1138" s="150"/>
      <c r="S1138" s="149">
        <v>45440.0</v>
      </c>
      <c r="T1138" s="151"/>
      <c r="U1138" s="151"/>
      <c r="V1138" s="151"/>
      <c r="W1138" s="151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</row>
    <row r="1139">
      <c r="A1139" s="142">
        <v>4827.0</v>
      </c>
      <c r="B1139" s="143" t="str">
        <f t="shared" si="331"/>
        <v>H</v>
      </c>
      <c r="C1139" s="143" t="str">
        <f t="shared" si="332"/>
        <v>SUMBER BUKIT-SALATIGA</v>
      </c>
      <c r="D1139" s="53" t="s">
        <v>4586</v>
      </c>
      <c r="E1139" s="145" t="str">
        <f>IFERROR(__xludf.DUMMYFUNCTION("vlookup(D1139,IMPORTRANGE(""https://docs.google.com/spreadsheets/d/1swGwZOEqYlTEUCJLY-eeJM1911Kvaei5oySBIxdgtNo/edit?pli=1#gid=257618397"",""stock FAKTUR!B:C""),2,false)"),"GUNTING KENKO SC 838 N")</f>
        <v>GUNTING KENKO SC 838 N</v>
      </c>
      <c r="F1139" s="145" t="str">
        <f>IFERROR(__xludf.DUMMYFUNCTION("vlookup($D1139,IMPORTRANGE(""https://docs.google.com/spreadsheets/d/1swGwZOEqYlTEUCJLY-eeJM1911Kvaei5oySBIxdgtNo/edit?pli=1#gid=257618397"",""stock FAKTUR!B:d""),3,false)"),"")</f>
        <v/>
      </c>
      <c r="G1139" s="145" t="str">
        <f>IFERROR(__xludf.DUMMYFUNCTION("vlookup($D1139,IMPORTRANGE(""https://docs.google.com/spreadsheets/d/1swGwZOEqYlTEUCJLY-eeJM1911Kvaei5oySBIxdgtNo/edit?pli=1#gid=257618397"",""stock FAKTUR!B:e""),4,false)"),"")</f>
        <v/>
      </c>
      <c r="H1139" s="145" t="str">
        <f>IFERROR(__xludf.DUMMYFUNCTION("vlookup($D1139,IMPORTRANGE(""https://docs.google.com/spreadsheets/d/1swGwZOEqYlTEUCJLY-eeJM1911Kvaei5oySBIxdgtNo/edit?pli=1#gid=257618397"",""stock FAKTUR!B:F""),5,false)"),"KN")</f>
        <v>KN</v>
      </c>
      <c r="I1139" s="145" t="str">
        <f>IFERROR(__xludf.DUMMYFUNCTION("vlookup($D1139,IMPORTRANGE(""https://docs.google.com/spreadsheets/d/1swGwZOEqYlTEUCJLY-eeJM1911Kvaei5oySBIxdgtNo/edit?pli=1#gid=257618397"",""stock FAKTUR!B:G""),6,false)"),"SCS-002GO")</f>
        <v>SCS-002GO</v>
      </c>
      <c r="J1139" s="199" t="str">
        <f t="shared" si="25"/>
        <v>ADA</v>
      </c>
      <c r="K1139" s="142">
        <v>2.0</v>
      </c>
      <c r="L1139" s="145" t="str">
        <f>IFERROR(__xludf.DUMMYFUNCTION("vlookup($D1139,IMPORTRANGE(""https://docs.google.com/spreadsheets/d/1swGwZOEqYlTEUCJLY-eeJM1911Kvaei5oySBIxdgtNo/edit?pli=1#gid=257618397"",""stock FAKTUR!B:q""),16,false)"),"LSN")</f>
        <v>LSN</v>
      </c>
      <c r="M1139" s="147">
        <v>79800.0</v>
      </c>
      <c r="N1139" s="152">
        <v>0.1</v>
      </c>
      <c r="O1139" s="147">
        <f t="shared" si="280"/>
        <v>143640</v>
      </c>
      <c r="P1139" s="147" t="str">
        <f t="shared" si="3"/>
        <v>Rp79,800-2 LSN-10.00%</v>
      </c>
      <c r="Q1139" s="149">
        <v>45436.0</v>
      </c>
      <c r="R1139" s="150"/>
      <c r="S1139" s="149">
        <v>45440.0</v>
      </c>
      <c r="T1139" s="151"/>
      <c r="U1139" s="151"/>
      <c r="V1139" s="151"/>
      <c r="W1139" s="151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</row>
    <row r="1140">
      <c r="A1140" s="142">
        <v>4827.0</v>
      </c>
      <c r="B1140" s="143" t="str">
        <f t="shared" si="331"/>
        <v>H</v>
      </c>
      <c r="C1140" s="143" t="str">
        <f t="shared" si="332"/>
        <v>SUMBER BUKIT-SALATIGA</v>
      </c>
      <c r="D1140" s="53" t="s">
        <v>4443</v>
      </c>
      <c r="E1140" s="145" t="str">
        <f>IFERROR(__xludf.DUMMYFUNCTION("vlookup(D1140,IMPORTRANGE(""https://docs.google.com/spreadsheets/d/1swGwZOEqYlTEUCJLY-eeJM1911Kvaei5oySBIxdgtNo/edit?pli=1#gid=257618397"",""stock FAKTUR!B:C""),2,false)"),"CUTTER KENKO K-200")</f>
        <v>CUTTER KENKO K-200</v>
      </c>
      <c r="F1140" s="145" t="str">
        <f>IFERROR(__xludf.DUMMYFUNCTION("vlookup($D1140,IMPORTRANGE(""https://docs.google.com/spreadsheets/d/1swGwZOEqYlTEUCJLY-eeJM1911Kvaei5oySBIxdgtNo/edit?pli=1#gid=257618397"",""stock FAKTUR!B:d""),3,false)"),"9 MM")</f>
        <v>9 MM</v>
      </c>
      <c r="G1140" s="145" t="str">
        <f>IFERROR(__xludf.DUMMYFUNCTION("vlookup($D1140,IMPORTRANGE(""https://docs.google.com/spreadsheets/d/1swGwZOEqYlTEUCJLY-eeJM1911Kvaei5oySBIxdgtNo/edit?pli=1#gid=257618397"",""stock FAKTUR!B:e""),4,false)"),"")</f>
        <v/>
      </c>
      <c r="H1140" s="145" t="str">
        <f>IFERROR(__xludf.DUMMYFUNCTION("vlookup($D1140,IMPORTRANGE(""https://docs.google.com/spreadsheets/d/1swGwZOEqYlTEUCJLY-eeJM1911Kvaei5oySBIxdgtNo/edit?pli=1#gid=257618397"",""stock FAKTUR!B:F""),5,false)"),"KN")</f>
        <v>KN</v>
      </c>
      <c r="I1140" s="145" t="str">
        <f>IFERROR(__xludf.DUMMYFUNCTION("vlookup($D1140,IMPORTRANGE(""https://docs.google.com/spreadsheets/d/1swGwZOEqYlTEUCJLY-eeJM1911Kvaei5oySBIxdgtNo/edit?pli=1#gid=257618397"",""stock FAKTUR!B:G""),6,false)"),"CTR-003")</f>
        <v>CTR-003</v>
      </c>
      <c r="J1140" s="199" t="str">
        <f t="shared" si="25"/>
        <v>ADA</v>
      </c>
      <c r="K1140" s="142">
        <v>2.0</v>
      </c>
      <c r="L1140" s="145" t="str">
        <f>IFERROR(__xludf.DUMMYFUNCTION("vlookup($D1140,IMPORTRANGE(""https://docs.google.com/spreadsheets/d/1swGwZOEqYlTEUCJLY-eeJM1911Kvaei5oySBIxdgtNo/edit?pli=1#gid=257618397"",""stock FAKTUR!B:q""),16,false)"),"LSN")</f>
        <v>LSN</v>
      </c>
      <c r="M1140" s="147">
        <v>52200.0</v>
      </c>
      <c r="N1140" s="152">
        <v>0.1</v>
      </c>
      <c r="O1140" s="147">
        <f t="shared" si="280"/>
        <v>93960</v>
      </c>
      <c r="P1140" s="147" t="str">
        <f t="shared" si="3"/>
        <v>Rp52,200-2 LSN-10.00%</v>
      </c>
      <c r="Q1140" s="149">
        <v>45436.0</v>
      </c>
      <c r="R1140" s="150"/>
      <c r="S1140" s="149">
        <v>45440.0</v>
      </c>
      <c r="T1140" s="151"/>
      <c r="U1140" s="151"/>
      <c r="V1140" s="151"/>
      <c r="W1140" s="151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</row>
    <row r="1141">
      <c r="A1141" s="142">
        <v>4827.0</v>
      </c>
      <c r="B1141" s="143" t="str">
        <f t="shared" si="331"/>
        <v>H</v>
      </c>
      <c r="C1141" s="143" t="str">
        <f t="shared" si="332"/>
        <v>SUMBER BUKIT-SALATIGA</v>
      </c>
      <c r="D1141" s="53" t="s">
        <v>4535</v>
      </c>
      <c r="E1141" s="145" t="str">
        <f>IFERROR(__xludf.DUMMYFUNCTION("vlookup(D1141,IMPORTRANGE(""https://docs.google.com/spreadsheets/d/1swGwZOEqYlTEUCJLY-eeJM1911Kvaei5oySBIxdgtNo/edit?pli=1#gid=257618397"",""stock FAKTUR!B:C""),2,false)"),"PC MAGNIT C-5212 3D (23X8.5)")</f>
        <v>PC MAGNIT C-5212 3D (23X8.5)</v>
      </c>
      <c r="F1141" s="145" t="str">
        <f>IFERROR(__xludf.DUMMYFUNCTION("vlookup($D1141,IMPORTRANGE(""https://docs.google.com/spreadsheets/d/1swGwZOEqYlTEUCJLY-eeJM1911Kvaei5oySBIxdgtNo/edit?pli=1#gid=257618397"",""stock FAKTUR!B:d""),3,false)"),"")</f>
        <v/>
      </c>
      <c r="G1141" s="145" t="str">
        <f>IFERROR(__xludf.DUMMYFUNCTION("vlookup($D1141,IMPORTRANGE(""https://docs.google.com/spreadsheets/d/1swGwZOEqYlTEUCJLY-eeJM1911Kvaei5oySBIxdgtNo/edit?pli=1#gid=257618397"",""stock FAKTUR!B:e""),4,false)"),"")</f>
        <v/>
      </c>
      <c r="H1141" s="145" t="str">
        <f>IFERROR(__xludf.DUMMYFUNCTION("vlookup($D1141,IMPORTRANGE(""https://docs.google.com/spreadsheets/d/1swGwZOEqYlTEUCJLY-eeJM1911Kvaei5oySBIxdgtNo/edit?pli=1#gid=257618397"",""stock FAKTUR!B:F""),5,false)"),"NB")</f>
        <v>NB</v>
      </c>
      <c r="I1141" s="145" t="str">
        <f>IFERROR(__xludf.DUMMYFUNCTION("vlookup($D1141,IMPORTRANGE(""https://docs.google.com/spreadsheets/d/1swGwZOEqYlTEUCJLY-eeJM1911Kvaei5oySBIxdgtNo/edit?pli=1#gid=257618397"",""stock FAKTUR!B:G""),6,false)"),"")</f>
        <v/>
      </c>
      <c r="J1141" s="199" t="str">
        <f t="shared" si="25"/>
        <v>ADA</v>
      </c>
      <c r="K1141" s="142">
        <v>24.0</v>
      </c>
      <c r="L1141" s="145" t="str">
        <f>IFERROR(__xludf.DUMMYFUNCTION("vlookup($D1141,IMPORTRANGE(""https://docs.google.com/spreadsheets/d/1swGwZOEqYlTEUCJLY-eeJM1911Kvaei5oySBIxdgtNo/edit?pli=1#gid=257618397"",""stock FAKTUR!B:q""),16,false)"),"PCS")</f>
        <v>PCS</v>
      </c>
      <c r="M1141" s="147">
        <f>150000/12</f>
        <v>12500</v>
      </c>
      <c r="N1141" s="148"/>
      <c r="O1141" s="147">
        <f t="shared" si="280"/>
        <v>300000</v>
      </c>
      <c r="P1141" s="147" t="str">
        <f t="shared" si="3"/>
        <v>Rp12,500-24 PCS-0.00%</v>
      </c>
      <c r="Q1141" s="149">
        <v>45436.0</v>
      </c>
      <c r="R1141" s="150"/>
      <c r="S1141" s="149">
        <v>45440.0</v>
      </c>
      <c r="T1141" s="151"/>
      <c r="U1141" s="151"/>
      <c r="V1141" s="151"/>
      <c r="W1141" s="151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</row>
    <row r="1142">
      <c r="A1142" s="142">
        <v>4827.0</v>
      </c>
      <c r="B1142" s="143" t="str">
        <f t="shared" si="331"/>
        <v>H</v>
      </c>
      <c r="C1142" s="143" t="str">
        <f t="shared" si="332"/>
        <v>SUMBER BUKIT-SALATIGA</v>
      </c>
      <c r="D1142" s="159"/>
      <c r="E1142" s="145" t="s">
        <v>4848</v>
      </c>
      <c r="F1142" s="200" t="str">
        <f>IFERROR(__xludf.DUMMYFUNCTION("vlookup($D1142,IMPORTRANGE(""https://docs.google.com/spreadsheets/d/1swGwZOEqYlTEUCJLY-eeJM1911Kvaei5oySBIxdgtNo/edit?pli=1#gid=257618397"",""stock FAKTUR!B:d""),3,false)"),"#N/A")</f>
        <v>#N/A</v>
      </c>
      <c r="G1142" s="200" t="str">
        <f>IFERROR(__xludf.DUMMYFUNCTION("vlookup($D1142,IMPORTRANGE(""https://docs.google.com/spreadsheets/d/1swGwZOEqYlTEUCJLY-eeJM1911Kvaei5oySBIxdgtNo/edit?pli=1#gid=257618397"",""stock FAKTUR!B:e""),4,false)"),"#N/A")</f>
        <v>#N/A</v>
      </c>
      <c r="H1142" s="200" t="str">
        <f>IFERROR(__xludf.DUMMYFUNCTION("vlookup($D1142,IMPORTRANGE(""https://docs.google.com/spreadsheets/d/1swGwZOEqYlTEUCJLY-eeJM1911Kvaei5oySBIxdgtNo/edit?pli=1#gid=257618397"",""stock FAKTUR!B:F""),5,false)"),"#N/A")</f>
        <v>#N/A</v>
      </c>
      <c r="I1142" s="200" t="str">
        <f>IFERROR(__xludf.DUMMYFUNCTION("vlookup($D1142,IMPORTRANGE(""https://docs.google.com/spreadsheets/d/1swGwZOEqYlTEUCJLY-eeJM1911Kvaei5oySBIxdgtNo/edit?pli=1#gid=257618397"",""stock FAKTUR!B:G""),6,false)"),"#N/A")</f>
        <v>#N/A</v>
      </c>
      <c r="J1142" s="199" t="str">
        <f t="shared" si="25"/>
        <v>TIDAK ADA</v>
      </c>
      <c r="K1142" s="142">
        <v>12.0</v>
      </c>
      <c r="L1142" s="145" t="s">
        <v>84</v>
      </c>
      <c r="M1142" s="147">
        <v>16500.0</v>
      </c>
      <c r="N1142" s="152">
        <v>0.1</v>
      </c>
      <c r="O1142" s="147">
        <f t="shared" si="280"/>
        <v>178200</v>
      </c>
      <c r="P1142" s="147" t="str">
        <f t="shared" si="3"/>
        <v>Rp16,500-12 SET-10.00%</v>
      </c>
      <c r="Q1142" s="149">
        <v>45436.0</v>
      </c>
      <c r="R1142" s="150"/>
      <c r="S1142" s="149">
        <v>45440.0</v>
      </c>
      <c r="T1142" s="151" t="s">
        <v>4542</v>
      </c>
      <c r="U1142" s="151"/>
      <c r="V1142" s="151"/>
      <c r="W1142" s="151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</row>
    <row r="1143">
      <c r="A1143" s="142">
        <v>4977.0</v>
      </c>
      <c r="B1143" s="143" t="s">
        <v>33</v>
      </c>
      <c r="C1143" s="143" t="s">
        <v>3283</v>
      </c>
      <c r="D1143" s="53" t="s">
        <v>4429</v>
      </c>
      <c r="E1143" s="145" t="str">
        <f>IFERROR(__xludf.DUMMYFUNCTION("vlookup(D1143,IMPORTRANGE(""https://docs.google.com/spreadsheets/d/1swGwZOEqYlTEUCJLY-eeJM1911Kvaei5oySBIxdgtNo/edit?pli=1#gid=257618397"",""stock FAKTUR!B:C""),2,false)"),"TIPEX KENKO KE-01")</f>
        <v>TIPEX KENKO KE-01</v>
      </c>
      <c r="F1143" s="145" t="str">
        <f>IFERROR(__xludf.DUMMYFUNCTION("vlookup($D1143,IMPORTRANGE(""https://docs.google.com/spreadsheets/d/1swGwZOEqYlTEUCJLY-eeJM1911Kvaei5oySBIxdgtNo/edit?pli=1#gid=257618397"",""stock FAKTUR!B:d""),3,false)"),"")</f>
        <v/>
      </c>
      <c r="G1143" s="145" t="str">
        <f>IFERROR(__xludf.DUMMYFUNCTION("vlookup($D1143,IMPORTRANGE(""https://docs.google.com/spreadsheets/d/1swGwZOEqYlTEUCJLY-eeJM1911Kvaei5oySBIxdgtNo/edit?pli=1#gid=257618397"",""stock FAKTUR!B:e""),4,false)"),"")</f>
        <v/>
      </c>
      <c r="H1143" s="145" t="str">
        <f>IFERROR(__xludf.DUMMYFUNCTION("vlookup($D1143,IMPORTRANGE(""https://docs.google.com/spreadsheets/d/1swGwZOEqYlTEUCJLY-eeJM1911Kvaei5oySBIxdgtNo/edit?pli=1#gid=257618397"",""stock FAKTUR!B:F""),5,false)"),"KN")</f>
        <v>KN</v>
      </c>
      <c r="I1143" s="145" t="str">
        <f>IFERROR(__xludf.DUMMYFUNCTION("vlookup($D1143,IMPORTRANGE(""https://docs.google.com/spreadsheets/d/1swGwZOEqYlTEUCJLY-eeJM1911Kvaei5oySBIxdgtNo/edit?pli=1#gid=257618397"",""stock FAKTUR!B:G""),6,false)"),"CFL-001")</f>
        <v>CFL-001</v>
      </c>
      <c r="J1143" s="199" t="str">
        <f t="shared" si="25"/>
        <v>ADA</v>
      </c>
      <c r="K1143" s="142">
        <v>72.0</v>
      </c>
      <c r="L1143" s="145" t="str">
        <f>IFERROR(__xludf.DUMMYFUNCTION("vlookup($D1143,IMPORTRANGE(""https://docs.google.com/spreadsheets/d/1swGwZOEqYlTEUCJLY-eeJM1911Kvaei5oySBIxdgtNo/edit?pli=1#gid=257618397"",""stock FAKTUR!B:q""),16,false)"),"LSN")</f>
        <v>LSN</v>
      </c>
      <c r="M1143" s="147">
        <v>56100.0</v>
      </c>
      <c r="N1143" s="152">
        <v>0.125</v>
      </c>
      <c r="O1143" s="147">
        <f t="shared" si="280"/>
        <v>3534300</v>
      </c>
      <c r="P1143" s="147" t="str">
        <f t="shared" si="3"/>
        <v>Rp56,100-72 LSN-12.50%</v>
      </c>
      <c r="Q1143" s="149">
        <v>45436.0</v>
      </c>
      <c r="R1143" s="150"/>
      <c r="S1143" s="149">
        <v>45440.0</v>
      </c>
      <c r="T1143" s="151"/>
      <c r="U1143" s="151"/>
      <c r="V1143" s="151"/>
      <c r="W1143" s="151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</row>
    <row r="1144">
      <c r="A1144" s="142">
        <v>2943.0</v>
      </c>
      <c r="B1144" s="143" t="s">
        <v>33</v>
      </c>
      <c r="C1144" s="143" t="s">
        <v>4499</v>
      </c>
      <c r="D1144" s="53" t="s">
        <v>4386</v>
      </c>
      <c r="E1144" s="145" t="str">
        <f>IFERROR(__xludf.DUMMYFUNCTION("vlookup(D1144,IMPORTRANGE(""https://docs.google.com/spreadsheets/d/1swGwZOEqYlTEUCJLY-eeJM1911Kvaei5oySBIxdgtNo/edit?pli=1#gid=257618397"",""stock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1144" s="145" t="str">
        <f>IFERROR(__xludf.DUMMYFUNCTION("vlookup($D1144,IMPORTRANGE(""https://docs.google.com/spreadsheets/d/1swGwZOEqYlTEUCJLY-eeJM1911Kvaei5oySBIxdgtNo/edit?pli=1#gid=257618397"",""stock FAKTUR!B:d""),3,false)"),"")</f>
        <v/>
      </c>
      <c r="G1144" s="145" t="str">
        <f>IFERROR(__xludf.DUMMYFUNCTION("vlookup($D1144,IMPORTRANGE(""https://docs.google.com/spreadsheets/d/1swGwZOEqYlTEUCJLY-eeJM1911Kvaei5oySBIxdgtNo/edit?pli=1#gid=257618397"",""stock FAKTUR!B:e""),4,false)"),"12W")</f>
        <v>12W</v>
      </c>
      <c r="H1144" s="145" t="str">
        <f>IFERROR(__xludf.DUMMYFUNCTION("vlookup($D1144,IMPORTRANGE(""https://docs.google.com/spreadsheets/d/1swGwZOEqYlTEUCJLY-eeJM1911Kvaei5oySBIxdgtNo/edit?pli=1#gid=257618397"",""stock FAKTUR!B:F""),5,false)"),"JK")</f>
        <v>JK</v>
      </c>
      <c r="I1144" s="145" t="str">
        <f>IFERROR(__xludf.DUMMYFUNCTION("vlookup($D1144,IMPORTRANGE(""https://docs.google.com/spreadsheets/d/1swGwZOEqYlTEUCJLY-eeJM1911Kvaei5oySBIxdgtNo/edit?pli=1#gid=257618397"",""stock FAKTUR!B:G""),6,false)"),"OP-12S")</f>
        <v>OP-12S</v>
      </c>
      <c r="J1144" s="199" t="str">
        <f t="shared" si="25"/>
        <v>ADA</v>
      </c>
      <c r="K1144" s="142">
        <v>144.0</v>
      </c>
      <c r="L1144" s="145" t="str">
        <f>IFERROR(__xludf.DUMMYFUNCTION("vlookup($D1144,IMPORTRANGE(""https://docs.google.com/spreadsheets/d/1swGwZOEqYlTEUCJLY-eeJM1911Kvaei5oySBIxdgtNo/edit?pli=1#gid=257618397"",""stock FAKTUR!B:q""),16,false)"),"PCS")</f>
        <v>PCS</v>
      </c>
      <c r="M1144" s="147">
        <v>12300.0</v>
      </c>
      <c r="N1144" s="152">
        <v>0.125</v>
      </c>
      <c r="O1144" s="147">
        <f t="shared" si="280"/>
        <v>1549800</v>
      </c>
      <c r="P1144" s="147" t="str">
        <f t="shared" si="3"/>
        <v>Rp12,300-144 PCS-12.50%</v>
      </c>
      <c r="Q1144" s="149">
        <v>45437.0</v>
      </c>
      <c r="R1144" s="150"/>
      <c r="S1144" s="149">
        <v>45440.0</v>
      </c>
      <c r="T1144" s="151"/>
      <c r="U1144" s="151"/>
      <c r="V1144" s="151"/>
      <c r="W1144" s="151"/>
      <c r="X1144" s="49"/>
      <c r="Y1144" s="49"/>
      <c r="Z1144" s="49"/>
      <c r="AA1144" s="49"/>
      <c r="AB1144" s="49"/>
      <c r="AC1144" s="49"/>
      <c r="AD1144" s="49"/>
      <c r="AE1144" s="49"/>
      <c r="AF1144" s="49"/>
      <c r="AG1144" s="49"/>
    </row>
    <row r="1145">
      <c r="A1145" s="142">
        <v>2943.0</v>
      </c>
      <c r="B1145" s="143" t="str">
        <f t="shared" ref="B1145:B1146" si="333">IF(A1145=A1144,B1144,"")</f>
        <v>H</v>
      </c>
      <c r="C1145" s="143" t="str">
        <f t="shared" ref="C1145:C1146" si="334">IF(A1145=A1144,C1144,"")</f>
        <v>SIANA(PECINAN)-MALANG</v>
      </c>
      <c r="D1145" s="53" t="s">
        <v>4505</v>
      </c>
      <c r="E1145" s="145" t="str">
        <f>IFERROR(__xludf.DUMMYFUNCTION("vlookup(D1145,IMPORTRANGE(""https://docs.google.com/spreadsheets/d/1swGwZOEqYlTEUCJLY-eeJM1911Kvaei5oySBIxdgtNo/edit?pli=1#gid=257618397"",""stock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1145" s="145" t="str">
        <f>IFERROR(__xludf.DUMMYFUNCTION("vlookup($D1145,IMPORTRANGE(""https://docs.google.com/spreadsheets/d/1swGwZOEqYlTEUCJLY-eeJM1911Kvaei5oySBIxdgtNo/edit?pli=1#gid=257618397"",""stock FAKTUR!B:d""),3,false)"),"")</f>
        <v/>
      </c>
      <c r="G1145" s="145" t="str">
        <f>IFERROR(__xludf.DUMMYFUNCTION("vlookup($D1145,IMPORTRANGE(""https://docs.google.com/spreadsheets/d/1swGwZOEqYlTEUCJLY-eeJM1911Kvaei5oySBIxdgtNo/edit?pli=1#gid=257618397"",""stock FAKTUR!B:e""),4,false)"),"24W")</f>
        <v>24W</v>
      </c>
      <c r="H1145" s="145" t="str">
        <f>IFERROR(__xludf.DUMMYFUNCTION("vlookup($D1145,IMPORTRANGE(""https://docs.google.com/spreadsheets/d/1swGwZOEqYlTEUCJLY-eeJM1911Kvaei5oySBIxdgtNo/edit?pli=1#gid=257618397"",""stock FAKTUR!B:F""),5,false)"),"JK")</f>
        <v>JK</v>
      </c>
      <c r="I1145" s="145" t="str">
        <f>IFERROR(__xludf.DUMMYFUNCTION("vlookup($D1145,IMPORTRANGE(""https://docs.google.com/spreadsheets/d/1swGwZOEqYlTEUCJLY-eeJM1911Kvaei5oySBIxdgtNo/edit?pli=1#gid=257618397"",""stock FAKTUR!B:G""),6,false)"),"OP-24S")</f>
        <v>OP-24S</v>
      </c>
      <c r="J1145" s="199" t="str">
        <f t="shared" si="25"/>
        <v>ADA</v>
      </c>
      <c r="K1145" s="142">
        <v>48.0</v>
      </c>
      <c r="L1145" s="145" t="str">
        <f>IFERROR(__xludf.DUMMYFUNCTION("vlookup($D1145,IMPORTRANGE(""https://docs.google.com/spreadsheets/d/1swGwZOEqYlTEUCJLY-eeJM1911Kvaei5oySBIxdgtNo/edit?pli=1#gid=257618397"",""stock FAKTUR!B:q""),16,false)"),"PCS")</f>
        <v>PCS</v>
      </c>
      <c r="M1145" s="147">
        <v>30500.0</v>
      </c>
      <c r="N1145" s="152">
        <v>0.125</v>
      </c>
      <c r="O1145" s="147">
        <f t="shared" si="280"/>
        <v>1281000</v>
      </c>
      <c r="P1145" s="147" t="str">
        <f t="shared" si="3"/>
        <v>Rp30,500-48 PCS-12.50%</v>
      </c>
      <c r="Q1145" s="149">
        <v>45437.0</v>
      </c>
      <c r="R1145" s="150"/>
      <c r="S1145" s="149">
        <v>45440.0</v>
      </c>
      <c r="T1145" s="151"/>
      <c r="U1145" s="151"/>
      <c r="V1145" s="151"/>
      <c r="W1145" s="151"/>
      <c r="X1145" s="49"/>
      <c r="Y1145" s="49"/>
      <c r="Z1145" s="49"/>
      <c r="AA1145" s="49"/>
      <c r="AB1145" s="49"/>
      <c r="AC1145" s="49"/>
      <c r="AD1145" s="49"/>
      <c r="AE1145" s="49"/>
      <c r="AF1145" s="49"/>
      <c r="AG1145" s="49"/>
    </row>
    <row r="1146">
      <c r="A1146" s="142">
        <v>2943.0</v>
      </c>
      <c r="B1146" s="143" t="str">
        <f t="shared" si="333"/>
        <v>H</v>
      </c>
      <c r="C1146" s="143" t="str">
        <f t="shared" si="334"/>
        <v>SIANA(PECINAN)-MALANG</v>
      </c>
      <c r="D1146" s="53" t="s">
        <v>4392</v>
      </c>
      <c r="E1146" s="145" t="str">
        <f>IFERROR(__xludf.DUMMYFUNCTION("vlookup(D1146,IMPORTRANGE(""https://docs.google.com/spreadsheets/d/1swGwZOEqYlTEUCJLY-eeJM1911Kvaei5oySBIxdgtNo/edit?pli=1#gid=257618397"",""stock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146" s="145" t="str">
        <f>IFERROR(__xludf.DUMMYFUNCTION("vlookup($D1146,IMPORTRANGE(""https://docs.google.com/spreadsheets/d/1swGwZOEqYlTEUCJLY-eeJM1911Kvaei5oySBIxdgtNo/edit?pli=1#gid=257618397"",""stock FAKTUR!B:d""),3,false)"),"")</f>
        <v/>
      </c>
      <c r="G1146" s="145" t="str">
        <f>IFERROR(__xludf.DUMMYFUNCTION("vlookup($D1146,IMPORTRANGE(""https://docs.google.com/spreadsheets/d/1swGwZOEqYlTEUCJLY-eeJM1911Kvaei5oySBIxdgtNo/edit?pli=1#gid=257618397"",""stock FAKTUR!B:e""),4,false)"),"18W")</f>
        <v>18W</v>
      </c>
      <c r="H1146" s="145" t="str">
        <f>IFERROR(__xludf.DUMMYFUNCTION("vlookup($D1146,IMPORTRANGE(""https://docs.google.com/spreadsheets/d/1swGwZOEqYlTEUCJLY-eeJM1911Kvaei5oySBIxdgtNo/edit?pli=1#gid=257618397"",""stock FAKTUR!B:F""),5,false)"),"JK")</f>
        <v>JK</v>
      </c>
      <c r="I1146" s="145" t="str">
        <f>IFERROR(__xludf.DUMMYFUNCTION("vlookup($D1146,IMPORTRANGE(""https://docs.google.com/spreadsheets/d/1swGwZOEqYlTEUCJLY-eeJM1911Kvaei5oySBIxdgtNo/edit?pli=1#gid=257618397"",""stock FAKTUR!B:G""),6,false)"),"OP-18S")</f>
        <v>OP-18S</v>
      </c>
      <c r="J1146" s="199" t="str">
        <f t="shared" si="25"/>
        <v>ADA</v>
      </c>
      <c r="K1146" s="142">
        <v>72.0</v>
      </c>
      <c r="L1146" s="145" t="str">
        <f>IFERROR(__xludf.DUMMYFUNCTION("vlookup($D1146,IMPORTRANGE(""https://docs.google.com/spreadsheets/d/1swGwZOEqYlTEUCJLY-eeJM1911Kvaei5oySBIxdgtNo/edit?pli=1#gid=257618397"",""stock FAKTUR!B:q""),16,false)"),"PCS")</f>
        <v>PCS</v>
      </c>
      <c r="M1146" s="147">
        <v>23700.0</v>
      </c>
      <c r="N1146" s="152">
        <v>0.125</v>
      </c>
      <c r="O1146" s="147">
        <f t="shared" si="280"/>
        <v>1493100</v>
      </c>
      <c r="P1146" s="147" t="str">
        <f t="shared" si="3"/>
        <v>Rp23,700-72 PCS-12.50%</v>
      </c>
      <c r="Q1146" s="149">
        <v>45437.0</v>
      </c>
      <c r="R1146" s="150"/>
      <c r="S1146" s="149">
        <v>45440.0</v>
      </c>
      <c r="T1146" s="151"/>
      <c r="U1146" s="151"/>
      <c r="V1146" s="151"/>
      <c r="W1146" s="151"/>
      <c r="X1146" s="49"/>
      <c r="Y1146" s="49"/>
      <c r="Z1146" s="49"/>
      <c r="AA1146" s="49"/>
      <c r="AB1146" s="49"/>
      <c r="AC1146" s="49"/>
      <c r="AD1146" s="49"/>
      <c r="AE1146" s="49"/>
      <c r="AF1146" s="49"/>
      <c r="AG1146" s="49"/>
    </row>
    <row r="1147">
      <c r="A1147" s="142">
        <v>2944.0</v>
      </c>
      <c r="B1147" s="143" t="s">
        <v>33</v>
      </c>
      <c r="C1147" s="143" t="s">
        <v>2355</v>
      </c>
      <c r="D1147" s="53" t="s">
        <v>4505</v>
      </c>
      <c r="E1147" s="145" t="str">
        <f>IFERROR(__xludf.DUMMYFUNCTION("vlookup(D1147,IMPORTRANGE(""https://docs.google.com/spreadsheets/d/1swGwZOEqYlTEUCJLY-eeJM1911Kvaei5oySBIxdgtNo/edit?pli=1#gid=257618397"",""stock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1147" s="145" t="str">
        <f>IFERROR(__xludf.DUMMYFUNCTION("vlookup($D1147,IMPORTRANGE(""https://docs.google.com/spreadsheets/d/1swGwZOEqYlTEUCJLY-eeJM1911Kvaei5oySBIxdgtNo/edit?pli=1#gid=257618397"",""stock FAKTUR!B:d""),3,false)"),"")</f>
        <v/>
      </c>
      <c r="G1147" s="145" t="str">
        <f>IFERROR(__xludf.DUMMYFUNCTION("vlookup($D1147,IMPORTRANGE(""https://docs.google.com/spreadsheets/d/1swGwZOEqYlTEUCJLY-eeJM1911Kvaei5oySBIxdgtNo/edit?pli=1#gid=257618397"",""stock FAKTUR!B:e""),4,false)"),"24W")</f>
        <v>24W</v>
      </c>
      <c r="H1147" s="145" t="str">
        <f>IFERROR(__xludf.DUMMYFUNCTION("vlookup($D1147,IMPORTRANGE(""https://docs.google.com/spreadsheets/d/1swGwZOEqYlTEUCJLY-eeJM1911Kvaei5oySBIxdgtNo/edit?pli=1#gid=257618397"",""stock FAKTUR!B:F""),5,false)"),"JK")</f>
        <v>JK</v>
      </c>
      <c r="I1147" s="145" t="str">
        <f>IFERROR(__xludf.DUMMYFUNCTION("vlookup($D1147,IMPORTRANGE(""https://docs.google.com/spreadsheets/d/1swGwZOEqYlTEUCJLY-eeJM1911Kvaei5oySBIxdgtNo/edit?pli=1#gid=257618397"",""stock FAKTUR!B:G""),6,false)"),"OP-24S")</f>
        <v>OP-24S</v>
      </c>
      <c r="J1147" s="199" t="str">
        <f t="shared" si="25"/>
        <v>ADA</v>
      </c>
      <c r="K1147" s="142">
        <v>96.0</v>
      </c>
      <c r="L1147" s="145" t="str">
        <f>IFERROR(__xludf.DUMMYFUNCTION("vlookup($D1147,IMPORTRANGE(""https://docs.google.com/spreadsheets/d/1swGwZOEqYlTEUCJLY-eeJM1911Kvaei5oySBIxdgtNo/edit?pli=1#gid=257618397"",""stock FAKTUR!B:q""),16,false)"),"PCS")</f>
        <v>PCS</v>
      </c>
      <c r="M1147" s="147">
        <v>30500.0</v>
      </c>
      <c r="N1147" s="152">
        <v>0.125</v>
      </c>
      <c r="O1147" s="147">
        <f t="shared" si="280"/>
        <v>2562000</v>
      </c>
      <c r="P1147" s="147" t="str">
        <f t="shared" si="3"/>
        <v>Rp30,500-96 PCS-12.50%</v>
      </c>
      <c r="Q1147" s="149">
        <v>45437.0</v>
      </c>
      <c r="R1147" s="150"/>
      <c r="S1147" s="149">
        <v>45440.0</v>
      </c>
      <c r="T1147" s="151"/>
      <c r="U1147" s="151"/>
      <c r="V1147" s="151"/>
      <c r="W1147" s="151"/>
      <c r="X1147" s="49"/>
      <c r="Y1147" s="49"/>
      <c r="Z1147" s="49"/>
      <c r="AA1147" s="49"/>
      <c r="AB1147" s="49"/>
      <c r="AC1147" s="49"/>
      <c r="AD1147" s="49"/>
      <c r="AE1147" s="49"/>
      <c r="AF1147" s="49"/>
      <c r="AG1147" s="49"/>
    </row>
    <row r="1148">
      <c r="A1148" s="142">
        <v>2944.0</v>
      </c>
      <c r="B1148" s="143" t="str">
        <f>IF(A1148=A1147,B1147,"")</f>
        <v>H</v>
      </c>
      <c r="C1148" s="143" t="str">
        <f>IF(A1148=A1147,C1147,"")</f>
        <v>ANEKA-MALANG</v>
      </c>
      <c r="D1148" s="53" t="s">
        <v>4387</v>
      </c>
      <c r="E1148" s="145" t="str">
        <f>IFERROR(__xludf.DUMMYFUNCTION("vlookup(D1148,IMPORTRANGE(""https://docs.google.com/spreadsheets/d/1swGwZOEqYlTEUCJLY-eeJM1911Kvaei5oySBIxdgtNo/edit?pli=1#gid=257618397"",""stock FAKTUR!B:C""),2,false)"),"BP KENKO HI-TECH 0.28MM HITAM")</f>
        <v>BP KENKO HI-TECH 0.28MM HITAM</v>
      </c>
      <c r="F1148" s="145" t="str">
        <f>IFERROR(__xludf.DUMMYFUNCTION("vlookup($D1148,IMPORTRANGE(""https://docs.google.com/spreadsheets/d/1swGwZOEqYlTEUCJLY-eeJM1911Kvaei5oySBIxdgtNo/edit?pli=1#gid=257618397"",""stock FAKTUR!B:d""),3,false)"),"")</f>
        <v/>
      </c>
      <c r="G1148" s="145" t="str">
        <f>IFERROR(__xludf.DUMMYFUNCTION("vlookup($D1148,IMPORTRANGE(""https://docs.google.com/spreadsheets/d/1swGwZOEqYlTEUCJLY-eeJM1911Kvaei5oySBIxdgtNo/edit?pli=1#gid=257618397"",""stock FAKTUR!B:e""),4,false)"),"HITAM")</f>
        <v>HITAM</v>
      </c>
      <c r="H1148" s="145" t="str">
        <f>IFERROR(__xludf.DUMMYFUNCTION("vlookup($D1148,IMPORTRANGE(""https://docs.google.com/spreadsheets/d/1swGwZOEqYlTEUCJLY-eeJM1911Kvaei5oySBIxdgtNo/edit?pli=1#gid=257618397"",""stock FAKTUR!B:F""),5,false)"),"KN")</f>
        <v>KN</v>
      </c>
      <c r="I1148" s="145" t="str">
        <f>IFERROR(__xludf.DUMMYFUNCTION("vlookup($D1148,IMPORTRANGE(""https://docs.google.com/spreadsheets/d/1swGwZOEqYlTEUCJLY-eeJM1911Kvaei5oySBIxdgtNo/edit?pli=1#gid=257618397"",""stock FAKTUR!B:G""),6,false)"),"GPT-018B")</f>
        <v>GPT-018B</v>
      </c>
      <c r="J1148" s="199" t="str">
        <f t="shared" si="25"/>
        <v>ADA</v>
      </c>
      <c r="K1148" s="142">
        <v>144.0</v>
      </c>
      <c r="L1148" s="145" t="str">
        <f>IFERROR(__xludf.DUMMYFUNCTION("vlookup($D1148,IMPORTRANGE(""https://docs.google.com/spreadsheets/d/1swGwZOEqYlTEUCJLY-eeJM1911Kvaei5oySBIxdgtNo/edit?pli=1#gid=257618397"",""stock FAKTUR!B:q""),16,false)"),"LSN")</f>
        <v>LSN</v>
      </c>
      <c r="M1148" s="147">
        <v>39000.0</v>
      </c>
      <c r="N1148" s="152">
        <v>0.125</v>
      </c>
      <c r="O1148" s="147">
        <f t="shared" si="280"/>
        <v>4914000</v>
      </c>
      <c r="P1148" s="147" t="str">
        <f t="shared" si="3"/>
        <v>Rp39,000-144 LSN-12.50%</v>
      </c>
      <c r="Q1148" s="149">
        <v>45437.0</v>
      </c>
      <c r="R1148" s="150"/>
      <c r="S1148" s="149">
        <v>45440.0</v>
      </c>
      <c r="T1148" s="151"/>
      <c r="U1148" s="151"/>
      <c r="V1148" s="151"/>
      <c r="W1148" s="151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</row>
    <row r="1149">
      <c r="A1149" s="142">
        <v>4986.0</v>
      </c>
      <c r="B1149" s="143" t="s">
        <v>33</v>
      </c>
      <c r="C1149" s="143" t="s">
        <v>3688</v>
      </c>
      <c r="D1149" s="53" t="s">
        <v>4401</v>
      </c>
      <c r="E1149" s="145" t="str">
        <f>IFERROR(__xludf.DUMMYFUNCTION("vlookup(D1149,IMPORTRANGE(""https://docs.google.com/spreadsheets/d/1swGwZOEqYlTEUCJLY-eeJM1911Kvaei5oySBIxdgtNo/edit?pli=1#gid=257618397"",""stock FAKTUR!B:C""),2,false)"),"BP GEL KENKO EASY HITAM")</f>
        <v>BP GEL KENKO EASY HITAM</v>
      </c>
      <c r="F1149" s="145" t="str">
        <f>IFERROR(__xludf.DUMMYFUNCTION("vlookup($D1149,IMPORTRANGE(""https://docs.google.com/spreadsheets/d/1swGwZOEqYlTEUCJLY-eeJM1911Kvaei5oySBIxdgtNo/edit?pli=1#gid=257618397"",""stock FAKTUR!B:d""),3,false)"),"")</f>
        <v/>
      </c>
      <c r="G1149" s="145" t="str">
        <f>IFERROR(__xludf.DUMMYFUNCTION("vlookup($D1149,IMPORTRANGE(""https://docs.google.com/spreadsheets/d/1swGwZOEqYlTEUCJLY-eeJM1911Kvaei5oySBIxdgtNo/edit?pli=1#gid=257618397"",""stock FAKTUR!B:e""),4,false)"),"HITAM")</f>
        <v>HITAM</v>
      </c>
      <c r="H1149" s="145" t="str">
        <f>IFERROR(__xludf.DUMMYFUNCTION("vlookup($D1149,IMPORTRANGE(""https://docs.google.com/spreadsheets/d/1swGwZOEqYlTEUCJLY-eeJM1911Kvaei5oySBIxdgtNo/edit?pli=1#gid=257618397"",""stock FAKTUR!B:F""),5,false)"),"KN")</f>
        <v>KN</v>
      </c>
      <c r="I1149" s="145" t="str">
        <f>IFERROR(__xludf.DUMMYFUNCTION("vlookup($D1149,IMPORTRANGE(""https://docs.google.com/spreadsheets/d/1swGwZOEqYlTEUCJLY-eeJM1911Kvaei5oySBIxdgtNo/edit?pli=1#gid=257618397"",""stock FAKTUR!B:G""),6,false)"),"GPT-005B")</f>
        <v>GPT-005B</v>
      </c>
      <c r="J1149" s="199" t="str">
        <f t="shared" si="25"/>
        <v>ADA</v>
      </c>
      <c r="K1149" s="142">
        <v>288.0</v>
      </c>
      <c r="L1149" s="145" t="str">
        <f>IFERROR(__xludf.DUMMYFUNCTION("vlookup($D1149,IMPORTRANGE(""https://docs.google.com/spreadsheets/d/1swGwZOEqYlTEUCJLY-eeJM1911Kvaei5oySBIxdgtNo/edit?pli=1#gid=257618397"",""stock FAKTUR!B:q""),16,false)"),"LSN")</f>
        <v>LSN</v>
      </c>
      <c r="M1149" s="147">
        <v>26100.0</v>
      </c>
      <c r="N1149" s="152">
        <v>0.125</v>
      </c>
      <c r="O1149" s="147">
        <f t="shared" si="280"/>
        <v>6577200</v>
      </c>
      <c r="P1149" s="147" t="str">
        <f t="shared" si="3"/>
        <v>Rp26,100-288 LSN-12.50%</v>
      </c>
      <c r="Q1149" s="149">
        <v>45437.0</v>
      </c>
      <c r="R1149" s="150"/>
      <c r="S1149" s="149">
        <v>45440.0</v>
      </c>
      <c r="T1149" s="151"/>
      <c r="U1149" s="151"/>
      <c r="V1149" s="151"/>
      <c r="W1149" s="151"/>
      <c r="X1149" s="49"/>
      <c r="Y1149" s="49"/>
      <c r="Z1149" s="49"/>
      <c r="AA1149" s="49"/>
      <c r="AB1149" s="49"/>
      <c r="AC1149" s="49"/>
      <c r="AD1149" s="49"/>
      <c r="AE1149" s="49"/>
      <c r="AF1149" s="49"/>
      <c r="AG1149" s="49"/>
    </row>
    <row r="1150">
      <c r="A1150" s="142">
        <v>4986.0</v>
      </c>
      <c r="B1150" s="143" t="str">
        <f t="shared" ref="B1150:B1153" si="335">IF(A1150=A1149,B1149,"")</f>
        <v>H</v>
      </c>
      <c r="C1150" s="143" t="str">
        <f t="shared" ref="C1150:C1153" si="336">IF(A1150=A1149,C1149,"")</f>
        <v>SISWA-WONOSOBO</v>
      </c>
      <c r="D1150" s="53" t="s">
        <v>4396</v>
      </c>
      <c r="E1150" s="145" t="str">
        <f>IFERROR(__xludf.DUMMYFUNCTION("vlookup(D1150,IMPORTRANGE(""https://docs.google.com/spreadsheets/d/1swGwZOEqYlTEUCJLY-eeJM1911Kvaei5oySBIxdgtNo/edit?pli=1#gid=257618397"",""stock FAKTUR!B:C""),2,false)"),"STAPLER KENKO HD-10")</f>
        <v>STAPLER KENKO HD-10</v>
      </c>
      <c r="F1150" s="145" t="str">
        <f>IFERROR(__xludf.DUMMYFUNCTION("vlookup($D1150,IMPORTRANGE(""https://docs.google.com/spreadsheets/d/1swGwZOEqYlTEUCJLY-eeJM1911Kvaei5oySBIxdgtNo/edit?pli=1#gid=257618397"",""stock FAKTUR!B:d""),3,false)"),"")</f>
        <v/>
      </c>
      <c r="G1150" s="145" t="str">
        <f>IFERROR(__xludf.DUMMYFUNCTION("vlookup($D1150,IMPORTRANGE(""https://docs.google.com/spreadsheets/d/1swGwZOEqYlTEUCJLY-eeJM1911Kvaei5oySBIxdgtNo/edit?pli=1#gid=257618397"",""stock FAKTUR!B:e""),4,false)"),"")</f>
        <v/>
      </c>
      <c r="H1150" s="145" t="str">
        <f>IFERROR(__xludf.DUMMYFUNCTION("vlookup($D1150,IMPORTRANGE(""https://docs.google.com/spreadsheets/d/1swGwZOEqYlTEUCJLY-eeJM1911Kvaei5oySBIxdgtNo/edit?pli=1#gid=257618397"",""stock FAKTUR!B:F""),5,false)"),"KN")</f>
        <v>KN</v>
      </c>
      <c r="I1150" s="145" t="str">
        <f>IFERROR(__xludf.DUMMYFUNCTION("vlookup($D1150,IMPORTRANGE(""https://docs.google.com/spreadsheets/d/1swGwZOEqYlTEUCJLY-eeJM1911Kvaei5oySBIxdgtNo/edit?pli=1#gid=257618397"",""stock FAKTUR!B:G""),6,false)"),"HD-10")</f>
        <v>HD-10</v>
      </c>
      <c r="J1150" s="199" t="str">
        <f t="shared" si="25"/>
        <v>ADA</v>
      </c>
      <c r="K1150" s="142">
        <v>20.0</v>
      </c>
      <c r="L1150" s="145" t="str">
        <f>IFERROR(__xludf.DUMMYFUNCTION("vlookup($D1150,IMPORTRANGE(""https://docs.google.com/spreadsheets/d/1swGwZOEqYlTEUCJLY-eeJM1911Kvaei5oySBIxdgtNo/edit?pli=1#gid=257618397"",""stock FAKTUR!B:q""),16,false)"),"LSN")</f>
        <v>LSN</v>
      </c>
      <c r="M1150" s="147">
        <v>93000.0</v>
      </c>
      <c r="N1150" s="152">
        <v>0.125</v>
      </c>
      <c r="O1150" s="147">
        <f t="shared" si="280"/>
        <v>1627500</v>
      </c>
      <c r="P1150" s="147" t="str">
        <f t="shared" si="3"/>
        <v>Rp93,000-20 LSN-12.50%</v>
      </c>
      <c r="Q1150" s="149">
        <v>45437.0</v>
      </c>
      <c r="R1150" s="150"/>
      <c r="S1150" s="149">
        <v>45440.0</v>
      </c>
      <c r="T1150" s="151"/>
      <c r="U1150" s="151"/>
      <c r="V1150" s="151"/>
      <c r="W1150" s="151"/>
      <c r="X1150" s="49"/>
      <c r="Y1150" s="49"/>
      <c r="Z1150" s="49"/>
      <c r="AA1150" s="49"/>
      <c r="AB1150" s="49"/>
      <c r="AC1150" s="49"/>
      <c r="AD1150" s="49"/>
      <c r="AE1150" s="49"/>
      <c r="AF1150" s="49"/>
      <c r="AG1150" s="49"/>
    </row>
    <row r="1151">
      <c r="A1151" s="142">
        <v>4986.0</v>
      </c>
      <c r="B1151" s="143" t="str">
        <f t="shared" si="335"/>
        <v>H</v>
      </c>
      <c r="C1151" s="143" t="str">
        <f t="shared" si="336"/>
        <v>SISWA-WONOSOBO</v>
      </c>
      <c r="D1151" s="53" t="s">
        <v>4532</v>
      </c>
      <c r="E1151" s="145" t="str">
        <f>IFERROR(__xludf.DUMMYFUNCTION("vlookup(D1151,IMPORTRANGE(""https://docs.google.com/spreadsheets/d/1swGwZOEqYlTEUCJLY-eeJM1911Kvaei5oySBIxdgtNo/edit?pli=1#gid=257618397"",""stock FAKTUR!B:C""),2,false)"),"BINDER CLIP KENKO NO. 260")</f>
        <v>BINDER CLIP KENKO NO. 260</v>
      </c>
      <c r="F1151" s="145" t="str">
        <f>IFERROR(__xludf.DUMMYFUNCTION("vlookup($D1151,IMPORTRANGE(""https://docs.google.com/spreadsheets/d/1swGwZOEqYlTEUCJLY-eeJM1911Kvaei5oySBIxdgtNo/edit?pli=1#gid=257618397"",""stock FAKTUR!B:d""),3,false)"),"")</f>
        <v/>
      </c>
      <c r="G1151" s="145" t="str">
        <f>IFERROR(__xludf.DUMMYFUNCTION("vlookup($D1151,IMPORTRANGE(""https://docs.google.com/spreadsheets/d/1swGwZOEqYlTEUCJLY-eeJM1911Kvaei5oySBIxdgtNo/edit?pli=1#gid=257618397"",""stock FAKTUR!B:e""),4,false)"),"")</f>
        <v/>
      </c>
      <c r="H1151" s="145" t="str">
        <f>IFERROR(__xludf.DUMMYFUNCTION("vlookup($D1151,IMPORTRANGE(""https://docs.google.com/spreadsheets/d/1swGwZOEqYlTEUCJLY-eeJM1911Kvaei5oySBIxdgtNo/edit?pli=1#gid=257618397"",""stock FAKTUR!B:F""),5,false)"),"KN")</f>
        <v>KN</v>
      </c>
      <c r="I1151" s="145" t="str">
        <f>IFERROR(__xludf.DUMMYFUNCTION("vlookup($D1151,IMPORTRANGE(""https://docs.google.com/spreadsheets/d/1swGwZOEqYlTEUCJLY-eeJM1911Kvaei5oySBIxdgtNo/edit?pli=1#gid=257618397"",""stock FAKTUR!B:G""),6,false)"),"BCL-006QH")</f>
        <v>BCL-006QH</v>
      </c>
      <c r="J1151" s="199" t="str">
        <f t="shared" si="25"/>
        <v>ADA</v>
      </c>
      <c r="K1151" s="142">
        <v>15.0</v>
      </c>
      <c r="L1151" s="145" t="str">
        <f>IFERROR(__xludf.DUMMYFUNCTION("vlookup($D1151,IMPORTRANGE(""https://docs.google.com/spreadsheets/d/1swGwZOEqYlTEUCJLY-eeJM1911Kvaei5oySBIxdgtNo/edit?pli=1#gid=257618397"",""stock FAKTUR!B:q""),16,false)"),"GRS")</f>
        <v>GRS</v>
      </c>
      <c r="M1151" s="147">
        <v>180000.0</v>
      </c>
      <c r="N1151" s="152">
        <v>0.125</v>
      </c>
      <c r="O1151" s="147">
        <f t="shared" si="280"/>
        <v>2362500</v>
      </c>
      <c r="P1151" s="147" t="str">
        <f t="shared" si="3"/>
        <v>Rp180,000-15 GRS-12.50%</v>
      </c>
      <c r="Q1151" s="149">
        <v>45437.0</v>
      </c>
      <c r="R1151" s="150"/>
      <c r="S1151" s="149">
        <v>45440.0</v>
      </c>
      <c r="T1151" s="151"/>
      <c r="U1151" s="151"/>
      <c r="V1151" s="151"/>
      <c r="W1151" s="151"/>
      <c r="X1151" s="49"/>
      <c r="Y1151" s="49"/>
      <c r="Z1151" s="49"/>
      <c r="AA1151" s="49"/>
      <c r="AB1151" s="49"/>
      <c r="AC1151" s="49"/>
      <c r="AD1151" s="49"/>
      <c r="AE1151" s="49"/>
      <c r="AF1151" s="49"/>
      <c r="AG1151" s="49"/>
    </row>
    <row r="1152">
      <c r="A1152" s="142">
        <v>4986.0</v>
      </c>
      <c r="B1152" s="143" t="str">
        <f t="shared" si="335"/>
        <v>H</v>
      </c>
      <c r="C1152" s="143" t="str">
        <f t="shared" si="336"/>
        <v>SISWA-WONOSOBO</v>
      </c>
      <c r="D1152" s="53" t="s">
        <v>4533</v>
      </c>
      <c r="E1152" s="145" t="str">
        <f>IFERROR(__xludf.DUMMYFUNCTION("vlookup(D1152,IMPORTRANGE(""https://docs.google.com/spreadsheets/d/1swGwZOEqYlTEUCJLY-eeJM1911Kvaei5oySBIxdgtNo/edit?pli=1#gid=257618397"",""stock FAKTUR!B:C""),2,false)"),"BINDER CLIP KENKO NO. 200")</f>
        <v>BINDER CLIP KENKO NO. 200</v>
      </c>
      <c r="F1152" s="145" t="str">
        <f>IFERROR(__xludf.DUMMYFUNCTION("vlookup($D1152,IMPORTRANGE(""https://docs.google.com/spreadsheets/d/1swGwZOEqYlTEUCJLY-eeJM1911Kvaei5oySBIxdgtNo/edit?pli=1#gid=257618397"",""stock FAKTUR!B:d""),3,false)"),"")</f>
        <v/>
      </c>
      <c r="G1152" s="145" t="str">
        <f>IFERROR(__xludf.DUMMYFUNCTION("vlookup($D1152,IMPORTRANGE(""https://docs.google.com/spreadsheets/d/1swGwZOEqYlTEUCJLY-eeJM1911Kvaei5oySBIxdgtNo/edit?pli=1#gid=257618397"",""stock FAKTUR!B:e""),4,false)"),"")</f>
        <v/>
      </c>
      <c r="H1152" s="145" t="str">
        <f>IFERROR(__xludf.DUMMYFUNCTION("vlookup($D1152,IMPORTRANGE(""https://docs.google.com/spreadsheets/d/1swGwZOEqYlTEUCJLY-eeJM1911Kvaei5oySBIxdgtNo/edit?pli=1#gid=257618397"",""stock FAKTUR!B:F""),5,false)"),"KN")</f>
        <v>KN</v>
      </c>
      <c r="I1152" s="145" t="str">
        <f>IFERROR(__xludf.DUMMYFUNCTION("vlookup($D1152,IMPORTRANGE(""https://docs.google.com/spreadsheets/d/1swGwZOEqYlTEUCJLY-eeJM1911Kvaei5oySBIxdgtNo/edit?pli=1#gid=257618397"",""stock FAKTUR!B:G""),6,false)"),"BCL-005QH")</f>
        <v>BCL-005QH</v>
      </c>
      <c r="J1152" s="199" t="str">
        <f t="shared" si="25"/>
        <v>ADA</v>
      </c>
      <c r="K1152" s="142">
        <v>10.0</v>
      </c>
      <c r="L1152" s="145" t="str">
        <f>IFERROR(__xludf.DUMMYFUNCTION("vlookup($D1152,IMPORTRANGE(""https://docs.google.com/spreadsheets/d/1swGwZOEqYlTEUCJLY-eeJM1911Kvaei5oySBIxdgtNo/edit?pli=1#gid=257618397"",""stock FAKTUR!B:q""),16,false)"),"GRS")</f>
        <v>GRS</v>
      </c>
      <c r="M1152" s="147">
        <v>120000.0</v>
      </c>
      <c r="N1152" s="152">
        <v>0.125</v>
      </c>
      <c r="O1152" s="147">
        <f t="shared" si="280"/>
        <v>1050000</v>
      </c>
      <c r="P1152" s="147" t="str">
        <f t="shared" si="3"/>
        <v>Rp120,000-10 GRS-12.50%</v>
      </c>
      <c r="Q1152" s="149">
        <v>45437.0</v>
      </c>
      <c r="R1152" s="150"/>
      <c r="S1152" s="149">
        <v>45440.0</v>
      </c>
      <c r="T1152" s="151"/>
      <c r="U1152" s="151"/>
      <c r="V1152" s="151"/>
      <c r="W1152" s="151"/>
      <c r="X1152" s="49"/>
      <c r="Y1152" s="49"/>
      <c r="Z1152" s="49"/>
      <c r="AA1152" s="49"/>
      <c r="AB1152" s="49"/>
      <c r="AC1152" s="49"/>
      <c r="AD1152" s="49"/>
      <c r="AE1152" s="49"/>
      <c r="AF1152" s="49"/>
      <c r="AG1152" s="49"/>
    </row>
    <row r="1153">
      <c r="A1153" s="142">
        <v>4986.0</v>
      </c>
      <c r="B1153" s="143" t="str">
        <f t="shared" si="335"/>
        <v>H</v>
      </c>
      <c r="C1153" s="143" t="str">
        <f t="shared" si="336"/>
        <v>SISWA-WONOSOBO</v>
      </c>
      <c r="D1153" s="53" t="s">
        <v>4708</v>
      </c>
      <c r="E1153" s="145" t="str">
        <f>IFERROR(__xludf.DUMMYFUNCTION("vlookup(D1153,IMPORTRANGE(""https://docs.google.com/spreadsheets/d/1swGwZOEqYlTEUCJLY-eeJM1911Kvaei5oySBIxdgtNo/edit?pli=1#gid=257618397"",""stock FAKTUR!B:C""),2,false)"),"BINDER CLIP KENKO NO. 155")</f>
        <v>BINDER CLIP KENKO NO. 155</v>
      </c>
      <c r="F1153" s="145" t="str">
        <f>IFERROR(__xludf.DUMMYFUNCTION("vlookup($D1153,IMPORTRANGE(""https://docs.google.com/spreadsheets/d/1swGwZOEqYlTEUCJLY-eeJM1911Kvaei5oySBIxdgtNo/edit?pli=1#gid=257618397"",""stock FAKTUR!B:d""),3,false)"),"")</f>
        <v/>
      </c>
      <c r="G1153" s="145" t="str">
        <f>IFERROR(__xludf.DUMMYFUNCTION("vlookup($D1153,IMPORTRANGE(""https://docs.google.com/spreadsheets/d/1swGwZOEqYlTEUCJLY-eeJM1911Kvaei5oySBIxdgtNo/edit?pli=1#gid=257618397"",""stock FAKTUR!B:e""),4,false)"),"")</f>
        <v/>
      </c>
      <c r="H1153" s="145" t="str">
        <f>IFERROR(__xludf.DUMMYFUNCTION("vlookup($D1153,IMPORTRANGE(""https://docs.google.com/spreadsheets/d/1swGwZOEqYlTEUCJLY-eeJM1911Kvaei5oySBIxdgtNo/edit?pli=1#gid=257618397"",""stock FAKTUR!B:F""),5,false)"),"KN")</f>
        <v>KN</v>
      </c>
      <c r="I1153" s="145" t="str">
        <f>IFERROR(__xludf.DUMMYFUNCTION("vlookup($D1153,IMPORTRANGE(""https://docs.google.com/spreadsheets/d/1swGwZOEqYlTEUCJLY-eeJM1911Kvaei5oySBIxdgtNo/edit?pli=1#gid=257618397"",""stock FAKTUR!B:G""),6,false)"),"BCL-004QH")</f>
        <v>BCL-004QH</v>
      </c>
      <c r="J1153" s="199" t="str">
        <f t="shared" si="25"/>
        <v>ADA</v>
      </c>
      <c r="K1153" s="142">
        <v>20.0</v>
      </c>
      <c r="L1153" s="145" t="str">
        <f>IFERROR(__xludf.DUMMYFUNCTION("vlookup($D1153,IMPORTRANGE(""https://docs.google.com/spreadsheets/d/1swGwZOEqYlTEUCJLY-eeJM1911Kvaei5oySBIxdgtNo/edit?pli=1#gid=257618397"",""stock FAKTUR!B:q""),16,false)"),"BOX")</f>
        <v>BOX</v>
      </c>
      <c r="M1153" s="147">
        <v>69000.0</v>
      </c>
      <c r="N1153" s="152">
        <v>0.125</v>
      </c>
      <c r="O1153" s="147">
        <f t="shared" si="280"/>
        <v>1207500</v>
      </c>
      <c r="P1153" s="147" t="str">
        <f t="shared" si="3"/>
        <v>Rp69,000-20 BOX-12.50%</v>
      </c>
      <c r="Q1153" s="149">
        <v>45437.0</v>
      </c>
      <c r="R1153" s="150"/>
      <c r="S1153" s="149">
        <v>45440.0</v>
      </c>
      <c r="T1153" s="151"/>
      <c r="U1153" s="151"/>
      <c r="V1153" s="151"/>
      <c r="W1153" s="151"/>
      <c r="X1153" s="49"/>
      <c r="Y1153" s="49"/>
      <c r="Z1153" s="49"/>
      <c r="AA1153" s="49"/>
      <c r="AB1153" s="49"/>
      <c r="AC1153" s="49"/>
      <c r="AD1153" s="49"/>
      <c r="AE1153" s="49"/>
      <c r="AF1153" s="49"/>
      <c r="AG1153" s="49"/>
    </row>
    <row r="1154">
      <c r="A1154" s="142">
        <v>2938.0</v>
      </c>
      <c r="B1154" s="143" t="s">
        <v>33</v>
      </c>
      <c r="C1154" s="143" t="s">
        <v>2355</v>
      </c>
      <c r="D1154" s="53" t="s">
        <v>4849</v>
      </c>
      <c r="E1154" s="145" t="str">
        <f>IFERROR(__xludf.DUMMYFUNCTION("vlookup(D1154,IMPORTRANGE(""https://docs.google.com/spreadsheets/d/1swGwZOEqYlTEUCJLY-eeJM1911Kvaei5oySBIxdgtNo/edit?pli=1#gid=257618397"",""stock FAKTUR!B:C""),2,false)"),"BINDER CLIP JK 155")</f>
        <v>BINDER CLIP JK 155</v>
      </c>
      <c r="F1154" s="145" t="str">
        <f>IFERROR(__xludf.DUMMYFUNCTION("vlookup($D1154,IMPORTRANGE(""https://docs.google.com/spreadsheets/d/1swGwZOEqYlTEUCJLY-eeJM1911Kvaei5oySBIxdgtNo/edit?pli=1#gid=257618397"",""stock FAKTUR!B:d""),3,false)"),"")</f>
        <v/>
      </c>
      <c r="G1154" s="145" t="str">
        <f>IFERROR(__xludf.DUMMYFUNCTION("vlookup($D1154,IMPORTRANGE(""https://docs.google.com/spreadsheets/d/1swGwZOEqYlTEUCJLY-eeJM1911Kvaei5oySBIxdgtNo/edit?pli=1#gid=257618397"",""stock FAKTUR!B:e""),4,false)"),"")</f>
        <v/>
      </c>
      <c r="H1154" s="145" t="str">
        <f>IFERROR(__xludf.DUMMYFUNCTION("vlookup($D1154,IMPORTRANGE(""https://docs.google.com/spreadsheets/d/1swGwZOEqYlTEUCJLY-eeJM1911Kvaei5oySBIxdgtNo/edit?pli=1#gid=257618397"",""stock FAKTUR!B:F""),5,false)"),"JK")</f>
        <v>JK</v>
      </c>
      <c r="I1154" s="145" t="str">
        <f>IFERROR(__xludf.DUMMYFUNCTION("vlookup($D1154,IMPORTRANGE(""https://docs.google.com/spreadsheets/d/1swGwZOEqYlTEUCJLY-eeJM1911Kvaei5oySBIxdgtNo/edit?pli=1#gid=257618397"",""stock FAKTUR!B:G""),6,false)"),"155")</f>
        <v>155</v>
      </c>
      <c r="J1154" s="199" t="str">
        <f t="shared" si="25"/>
        <v>ADA</v>
      </c>
      <c r="K1154" s="142">
        <v>20.0</v>
      </c>
      <c r="L1154" s="145" t="str">
        <f>IFERROR(__xludf.DUMMYFUNCTION("vlookup($D1154,IMPORTRANGE(""https://docs.google.com/spreadsheets/d/1swGwZOEqYlTEUCJLY-eeJM1911Kvaei5oySBIxdgtNo/edit?pli=1#gid=257618397"",""stock FAKTUR!B:q""),16,false)"),"GRS")</f>
        <v>GRS</v>
      </c>
      <c r="M1154" s="147">
        <v>67800.0</v>
      </c>
      <c r="N1154" s="152">
        <v>0.125</v>
      </c>
      <c r="O1154" s="147">
        <f t="shared" si="280"/>
        <v>1186500</v>
      </c>
      <c r="P1154" s="147" t="str">
        <f t="shared" si="3"/>
        <v>Rp67,800-20 GRS-12.50%</v>
      </c>
      <c r="Q1154" s="149">
        <v>45437.0</v>
      </c>
      <c r="R1154" s="149">
        <v>45433.0</v>
      </c>
      <c r="S1154" s="149">
        <v>45440.0</v>
      </c>
      <c r="T1154" s="151"/>
      <c r="U1154" s="151"/>
      <c r="V1154" s="151"/>
      <c r="W1154" s="151"/>
      <c r="X1154" s="49"/>
      <c r="Y1154" s="49"/>
      <c r="Z1154" s="49"/>
      <c r="AA1154" s="49"/>
      <c r="AB1154" s="49"/>
      <c r="AC1154" s="49"/>
      <c r="AD1154" s="49"/>
      <c r="AE1154" s="49"/>
      <c r="AF1154" s="49"/>
      <c r="AG1154" s="49"/>
    </row>
    <row r="1155">
      <c r="A1155" s="142">
        <v>2938.0</v>
      </c>
      <c r="B1155" s="143" t="str">
        <f t="shared" ref="B1155:B1157" si="337">IF(A1155=A1154,B1154,"")</f>
        <v>H</v>
      </c>
      <c r="C1155" s="143" t="str">
        <f t="shared" ref="C1155:C1157" si="338">IF(A1155=A1154,C1154,"")</f>
        <v>ANEKA-MALANG</v>
      </c>
      <c r="D1155" s="53" t="s">
        <v>4597</v>
      </c>
      <c r="E1155" s="145" t="str">
        <f>IFERROR(__xludf.DUMMYFUNCTION("vlookup(D1155,IMPORTRANGE(""https://docs.google.com/spreadsheets/d/1swGwZOEqYlTEUCJLY-eeJM1911Kvaei5oySBIxdgtNo/edit?pli=1#gid=257618397"",""stock FAKTUR!B:C""),2,false)"),"GUNTING JK SC-828")</f>
        <v>GUNTING JK SC-828</v>
      </c>
      <c r="F1155" s="145" t="str">
        <f>IFERROR(__xludf.DUMMYFUNCTION("vlookup($D1155,IMPORTRANGE(""https://docs.google.com/spreadsheets/d/1swGwZOEqYlTEUCJLY-eeJM1911Kvaei5oySBIxdgtNo/edit?pli=1#gid=257618397"",""stock FAKTUR!B:d""),3,false)"),"")</f>
        <v/>
      </c>
      <c r="G1155" s="145" t="str">
        <f>IFERROR(__xludf.DUMMYFUNCTION("vlookup($D1155,IMPORTRANGE(""https://docs.google.com/spreadsheets/d/1swGwZOEqYlTEUCJLY-eeJM1911Kvaei5oySBIxdgtNo/edit?pli=1#gid=257618397"",""stock FAKTUR!B:e""),4,false)"),"")</f>
        <v/>
      </c>
      <c r="H1155" s="145" t="str">
        <f>IFERROR(__xludf.DUMMYFUNCTION("vlookup($D1155,IMPORTRANGE(""https://docs.google.com/spreadsheets/d/1swGwZOEqYlTEUCJLY-eeJM1911Kvaei5oySBIxdgtNo/edit?pli=1#gid=257618397"",""stock FAKTUR!B:F""),5,false)"),"JK")</f>
        <v>JK</v>
      </c>
      <c r="I1155" s="145" t="str">
        <f>IFERROR(__xludf.DUMMYFUNCTION("vlookup($D1155,IMPORTRANGE(""https://docs.google.com/spreadsheets/d/1swGwZOEqYlTEUCJLY-eeJM1911Kvaei5oySBIxdgtNo/edit?pli=1#gid=257618397"",""stock FAKTUR!B:G""),6,false)"),"SC-828")</f>
        <v>SC-828</v>
      </c>
      <c r="J1155" s="199" t="str">
        <f t="shared" si="25"/>
        <v>ADA</v>
      </c>
      <c r="K1155" s="142">
        <v>12.0</v>
      </c>
      <c r="L1155" s="145" t="str">
        <f>IFERROR(__xludf.DUMMYFUNCTION("vlookup($D1155,IMPORTRANGE(""https://docs.google.com/spreadsheets/d/1swGwZOEqYlTEUCJLY-eeJM1911Kvaei5oySBIxdgtNo/edit?pli=1#gid=257618397"",""stock FAKTUR!B:q""),16,false)"),"LSN")</f>
        <v>LSN</v>
      </c>
      <c r="M1155" s="147">
        <v>52200.0</v>
      </c>
      <c r="N1155" s="152">
        <v>0.125</v>
      </c>
      <c r="O1155" s="147">
        <f t="shared" si="280"/>
        <v>548100</v>
      </c>
      <c r="P1155" s="147" t="str">
        <f t="shared" si="3"/>
        <v>Rp52,200-12 LSN-12.50%</v>
      </c>
      <c r="Q1155" s="149">
        <v>45437.0</v>
      </c>
      <c r="R1155" s="149">
        <v>45433.0</v>
      </c>
      <c r="S1155" s="149">
        <v>45440.0</v>
      </c>
      <c r="T1155" s="151"/>
      <c r="U1155" s="151"/>
      <c r="V1155" s="151"/>
      <c r="W1155" s="151"/>
      <c r="X1155" s="49"/>
      <c r="Y1155" s="49"/>
      <c r="Z1155" s="49"/>
      <c r="AA1155" s="49"/>
      <c r="AB1155" s="49"/>
      <c r="AC1155" s="49"/>
      <c r="AD1155" s="49"/>
      <c r="AE1155" s="49"/>
      <c r="AF1155" s="49"/>
      <c r="AG1155" s="49"/>
    </row>
    <row r="1156">
      <c r="A1156" s="142">
        <v>2938.0</v>
      </c>
      <c r="B1156" s="143" t="str">
        <f t="shared" si="337"/>
        <v>H</v>
      </c>
      <c r="C1156" s="143" t="str">
        <f t="shared" si="338"/>
        <v>ANEKA-MALANG</v>
      </c>
      <c r="D1156" s="53" t="s">
        <v>4605</v>
      </c>
      <c r="E1156" s="145" t="str">
        <f>IFERROR(__xludf.DUMMYFUNCTION("vlookup(D1156,IMPORTRANGE(""https://docs.google.com/spreadsheets/d/1swGwZOEqYlTEUCJLY-eeJM1911Kvaei5oySBIxdgtNo/edit?pli=1#gid=257618397"",""stock FAKTUR!B:C""),2,false)"),"GUNTING JK SC-838")</f>
        <v>GUNTING JK SC-838</v>
      </c>
      <c r="F1156" s="145" t="str">
        <f>IFERROR(__xludf.DUMMYFUNCTION("vlookup($D1156,IMPORTRANGE(""https://docs.google.com/spreadsheets/d/1swGwZOEqYlTEUCJLY-eeJM1911Kvaei5oySBIxdgtNo/edit?pli=1#gid=257618397"",""stock FAKTUR!B:d""),3,false)"),"")</f>
        <v/>
      </c>
      <c r="G1156" s="145" t="str">
        <f>IFERROR(__xludf.DUMMYFUNCTION("vlookup($D1156,IMPORTRANGE(""https://docs.google.com/spreadsheets/d/1swGwZOEqYlTEUCJLY-eeJM1911Kvaei5oySBIxdgtNo/edit?pli=1#gid=257618397"",""stock FAKTUR!B:e""),4,false)"),"")</f>
        <v/>
      </c>
      <c r="H1156" s="145" t="str">
        <f>IFERROR(__xludf.DUMMYFUNCTION("vlookup($D1156,IMPORTRANGE(""https://docs.google.com/spreadsheets/d/1swGwZOEqYlTEUCJLY-eeJM1911Kvaei5oySBIxdgtNo/edit?pli=1#gid=257618397"",""stock FAKTUR!B:F""),5,false)"),"JK")</f>
        <v>JK</v>
      </c>
      <c r="I1156" s="145" t="str">
        <f>IFERROR(__xludf.DUMMYFUNCTION("vlookup($D1156,IMPORTRANGE(""https://docs.google.com/spreadsheets/d/1swGwZOEqYlTEUCJLY-eeJM1911Kvaei5oySBIxdgtNo/edit?pli=1#gid=257618397"",""stock FAKTUR!B:G""),6,false)"),"SC-838")</f>
        <v>SC-838</v>
      </c>
      <c r="J1156" s="199" t="str">
        <f t="shared" si="25"/>
        <v>ADA</v>
      </c>
      <c r="K1156" s="142">
        <v>12.0</v>
      </c>
      <c r="L1156" s="145" t="str">
        <f>IFERROR(__xludf.DUMMYFUNCTION("vlookup($D1156,IMPORTRANGE(""https://docs.google.com/spreadsheets/d/1swGwZOEqYlTEUCJLY-eeJM1911Kvaei5oySBIxdgtNo/edit?pli=1#gid=257618397"",""stock FAKTUR!B:q""),16,false)"),"LSN")</f>
        <v>LSN</v>
      </c>
      <c r="M1156" s="147">
        <v>78000.0</v>
      </c>
      <c r="N1156" s="152">
        <v>0.125</v>
      </c>
      <c r="O1156" s="147">
        <f t="shared" si="280"/>
        <v>819000</v>
      </c>
      <c r="P1156" s="147" t="str">
        <f t="shared" si="3"/>
        <v>Rp78,000-12 LSN-12.50%</v>
      </c>
      <c r="Q1156" s="149">
        <v>45437.0</v>
      </c>
      <c r="R1156" s="149">
        <v>45433.0</v>
      </c>
      <c r="S1156" s="149">
        <v>45440.0</v>
      </c>
      <c r="T1156" s="151"/>
      <c r="U1156" s="151"/>
      <c r="V1156" s="151"/>
      <c r="W1156" s="151"/>
      <c r="X1156" s="49"/>
      <c r="Y1156" s="49"/>
      <c r="Z1156" s="49"/>
      <c r="AA1156" s="49"/>
      <c r="AB1156" s="49"/>
      <c r="AC1156" s="49"/>
      <c r="AD1156" s="49"/>
      <c r="AE1156" s="49"/>
      <c r="AF1156" s="49"/>
      <c r="AG1156" s="49"/>
    </row>
    <row r="1157">
      <c r="A1157" s="142">
        <v>2938.0</v>
      </c>
      <c r="B1157" s="143" t="str">
        <f t="shared" si="337"/>
        <v>H</v>
      </c>
      <c r="C1157" s="143" t="str">
        <f t="shared" si="338"/>
        <v>ANEKA-MALANG</v>
      </c>
      <c r="D1157" s="49" t="s">
        <v>4846</v>
      </c>
      <c r="E1157" s="145" t="str">
        <f>IFERROR(__xludf.DUMMYFUNCTION("vlookup(D1157,IMPORTRANGE(""https://docs.google.com/spreadsheets/d/1swGwZOEqYlTEUCJLY-eeJM1911Kvaei5oySBIxdgtNo/edit?pli=1#gid=257618397"",""stock FAKTUR!B:C""),2,false)"),"BP TIZO TG340 BIRU")</f>
        <v>BP TIZO TG340 BIRU</v>
      </c>
      <c r="F1157" s="145" t="str">
        <f>IFERROR(__xludf.DUMMYFUNCTION("vlookup($D1157,IMPORTRANGE(""https://docs.google.com/spreadsheets/d/1swGwZOEqYlTEUCJLY-eeJM1911Kvaei5oySBIxdgtNo/edit?pli=1#gid=257618397"",""stock FAKTUR!B:d""),3,false)"),"")</f>
        <v/>
      </c>
      <c r="G1157" s="145" t="str">
        <f>IFERROR(__xludf.DUMMYFUNCTION("vlookup($D1157,IMPORTRANGE(""https://docs.google.com/spreadsheets/d/1swGwZOEqYlTEUCJLY-eeJM1911Kvaei5oySBIxdgtNo/edit?pli=1#gid=257618397"",""stock FAKTUR!B:e""),4,false)"),"BIRU")</f>
        <v>BIRU</v>
      </c>
      <c r="H1157" s="145" t="str">
        <f>IFERROR(__xludf.DUMMYFUNCTION("vlookup($D1157,IMPORTRANGE(""https://docs.google.com/spreadsheets/d/1swGwZOEqYlTEUCJLY-eeJM1911Kvaei5oySBIxdgtNo/edit?pli=1#gid=257618397"",""stock FAKTUR!B:F""),5,false)"),"TZ")</f>
        <v>TZ</v>
      </c>
      <c r="I1157" s="145" t="str">
        <f>IFERROR(__xludf.DUMMYFUNCTION("vlookup($D1157,IMPORTRANGE(""https://docs.google.com/spreadsheets/d/1swGwZOEqYlTEUCJLY-eeJM1911Kvaei5oySBIxdgtNo/edit?pli=1#gid=257618397"",""stock FAKTUR!B:G""),6,false)"),"TG340")</f>
        <v>TG340</v>
      </c>
      <c r="J1157" s="199" t="str">
        <f t="shared" si="25"/>
        <v>ADA</v>
      </c>
      <c r="K1157" s="142">
        <v>91.0</v>
      </c>
      <c r="L1157" s="145" t="str">
        <f>IFERROR(__xludf.DUMMYFUNCTION("vlookup($D1157,IMPORTRANGE(""https://docs.google.com/spreadsheets/d/1swGwZOEqYlTEUCJLY-eeJM1911Kvaei5oySBIxdgtNo/edit?pli=1#gid=257618397"",""stock FAKTUR!B:q""),16,false)"),"LSN")</f>
        <v>LSN</v>
      </c>
      <c r="M1157" s="147">
        <v>33000.0</v>
      </c>
      <c r="N1157" s="148"/>
      <c r="O1157" s="147">
        <f t="shared" si="280"/>
        <v>3003000</v>
      </c>
      <c r="P1157" s="147" t="str">
        <f t="shared" si="3"/>
        <v>Rp33,000-91 LSN-0.00%</v>
      </c>
      <c r="Q1157" s="149">
        <v>45437.0</v>
      </c>
      <c r="R1157" s="149">
        <v>45437.0</v>
      </c>
      <c r="S1157" s="149">
        <v>45440.0</v>
      </c>
      <c r="T1157" s="151"/>
      <c r="U1157" s="151"/>
      <c r="V1157" s="151"/>
      <c r="W1157" s="151"/>
      <c r="X1157" s="49"/>
      <c r="Y1157" s="49"/>
      <c r="Z1157" s="49"/>
      <c r="AA1157" s="49"/>
      <c r="AB1157" s="49"/>
      <c r="AC1157" s="49"/>
      <c r="AD1157" s="49"/>
      <c r="AE1157" s="49"/>
      <c r="AF1157" s="49"/>
      <c r="AG1157" s="49"/>
    </row>
    <row r="1158">
      <c r="A1158" s="142">
        <v>2945.0</v>
      </c>
      <c r="B1158" s="143" t="s">
        <v>33</v>
      </c>
      <c r="C1158" s="143" t="s">
        <v>2243</v>
      </c>
      <c r="D1158" s="53" t="s">
        <v>4392</v>
      </c>
      <c r="E1158" s="145" t="str">
        <f>IFERROR(__xludf.DUMMYFUNCTION("vlookup(D1158,IMPORTRANGE(""https://docs.google.com/spreadsheets/d/1swGwZOEqYlTEUCJLY-eeJM1911Kvaei5oySBIxdgtNo/edit?pli=1#gid=257618397"",""stock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158" s="145" t="str">
        <f>IFERROR(__xludf.DUMMYFUNCTION("vlookup($D1158,IMPORTRANGE(""https://docs.google.com/spreadsheets/d/1swGwZOEqYlTEUCJLY-eeJM1911Kvaei5oySBIxdgtNo/edit?pli=1#gid=257618397"",""stock FAKTUR!B:d""),3,false)"),"")</f>
        <v/>
      </c>
      <c r="G1158" s="145" t="str">
        <f>IFERROR(__xludf.DUMMYFUNCTION("vlookup($D1158,IMPORTRANGE(""https://docs.google.com/spreadsheets/d/1swGwZOEqYlTEUCJLY-eeJM1911Kvaei5oySBIxdgtNo/edit?pli=1#gid=257618397"",""stock FAKTUR!B:e""),4,false)"),"18W")</f>
        <v>18W</v>
      </c>
      <c r="H1158" s="145" t="str">
        <f>IFERROR(__xludf.DUMMYFUNCTION("vlookup($D1158,IMPORTRANGE(""https://docs.google.com/spreadsheets/d/1swGwZOEqYlTEUCJLY-eeJM1911Kvaei5oySBIxdgtNo/edit?pli=1#gid=257618397"",""stock FAKTUR!B:F""),5,false)"),"JK")</f>
        <v>JK</v>
      </c>
      <c r="I1158" s="145" t="str">
        <f>IFERROR(__xludf.DUMMYFUNCTION("vlookup($D1158,IMPORTRANGE(""https://docs.google.com/spreadsheets/d/1swGwZOEqYlTEUCJLY-eeJM1911Kvaei5oySBIxdgtNo/edit?pli=1#gid=257618397"",""stock FAKTUR!B:G""),6,false)"),"OP-18S")</f>
        <v>OP-18S</v>
      </c>
      <c r="J1158" s="199" t="str">
        <f t="shared" si="25"/>
        <v>ADA</v>
      </c>
      <c r="K1158" s="142">
        <v>144.0</v>
      </c>
      <c r="L1158" s="145" t="str">
        <f>IFERROR(__xludf.DUMMYFUNCTION("vlookup($D1158,IMPORTRANGE(""https://docs.google.com/spreadsheets/d/1swGwZOEqYlTEUCJLY-eeJM1911Kvaei5oySBIxdgtNo/edit?pli=1#gid=257618397"",""stock FAKTUR!B:q""),16,false)"),"PCS")</f>
        <v>PCS</v>
      </c>
      <c r="M1158" s="147">
        <v>23700.0</v>
      </c>
      <c r="N1158" s="152">
        <v>0.125</v>
      </c>
      <c r="O1158" s="147">
        <f t="shared" si="280"/>
        <v>2986200</v>
      </c>
      <c r="P1158" s="147" t="str">
        <f t="shared" si="3"/>
        <v>Rp23,700-144 PCS-12.50%</v>
      </c>
      <c r="Q1158" s="149">
        <v>45437.0</v>
      </c>
      <c r="R1158" s="150"/>
      <c r="S1158" s="149">
        <v>45440.0</v>
      </c>
      <c r="T1158" s="151"/>
      <c r="U1158" s="151"/>
      <c r="V1158" s="151"/>
      <c r="W1158" s="151"/>
      <c r="X1158" s="49"/>
      <c r="Y1158" s="49"/>
      <c r="Z1158" s="49"/>
      <c r="AA1158" s="49"/>
      <c r="AB1158" s="49"/>
      <c r="AC1158" s="49"/>
      <c r="AD1158" s="49"/>
      <c r="AE1158" s="49"/>
      <c r="AF1158" s="49"/>
      <c r="AG1158" s="49"/>
    </row>
    <row r="1159">
      <c r="A1159" s="142">
        <v>2945.0</v>
      </c>
      <c r="B1159" s="143" t="str">
        <f t="shared" ref="B1159:B1160" si="339">IF(A1159=A1158,B1158,"")</f>
        <v>H</v>
      </c>
      <c r="C1159" s="143" t="str">
        <f t="shared" ref="C1159:C1160" si="340">IF(A1159=A1158,C1158,"")</f>
        <v>MANGGALA SAKTI-MALANG</v>
      </c>
      <c r="D1159" s="53" t="s">
        <v>4393</v>
      </c>
      <c r="E1159" s="145" t="str">
        <f>IFERROR(__xludf.DUMMYFUNCTION("vlookup(D1159,IMPORTRANGE(""https://docs.google.com/spreadsheets/d/1swGwZOEqYlTEUCJLY-eeJM1911Kvaei5oySBIxdgtNo/edit?pli=1#gid=257618397"",""stock FAKTUR!B:C""),2,false)"),"OIL PASTEL JK OP-36S PP CASE SEA WORLD")</f>
        <v>OIL PASTEL JK OP-36S PP CASE SEA WORLD</v>
      </c>
      <c r="F1159" s="145" t="str">
        <f>IFERROR(__xludf.DUMMYFUNCTION("vlookup($D1159,IMPORTRANGE(""https://docs.google.com/spreadsheets/d/1swGwZOEqYlTEUCJLY-eeJM1911Kvaei5oySBIxdgtNo/edit?pli=1#gid=257618397"",""stock FAKTUR!B:d""),3,false)"),"")</f>
        <v/>
      </c>
      <c r="G1159" s="145" t="str">
        <f>IFERROR(__xludf.DUMMYFUNCTION("vlookup($D1159,IMPORTRANGE(""https://docs.google.com/spreadsheets/d/1swGwZOEqYlTEUCJLY-eeJM1911Kvaei5oySBIxdgtNo/edit?pli=1#gid=257618397"",""stock FAKTUR!B:e""),4,false)"),"36W")</f>
        <v>36W</v>
      </c>
      <c r="H1159" s="145" t="str">
        <f>IFERROR(__xludf.DUMMYFUNCTION("vlookup($D1159,IMPORTRANGE(""https://docs.google.com/spreadsheets/d/1swGwZOEqYlTEUCJLY-eeJM1911Kvaei5oySBIxdgtNo/edit?pli=1#gid=257618397"",""stock FAKTUR!B:F""),5,false)"),"JK")</f>
        <v>JK</v>
      </c>
      <c r="I1159" s="145" t="str">
        <f>IFERROR(__xludf.DUMMYFUNCTION("vlookup($D1159,IMPORTRANGE(""https://docs.google.com/spreadsheets/d/1swGwZOEqYlTEUCJLY-eeJM1911Kvaei5oySBIxdgtNo/edit?pli=1#gid=257618397"",""stock FAKTUR!B:G""),6,false)"),"OP-36S")</f>
        <v>OP-36S</v>
      </c>
      <c r="J1159" s="199" t="str">
        <f t="shared" si="25"/>
        <v>ADA</v>
      </c>
      <c r="K1159" s="142">
        <v>144.0</v>
      </c>
      <c r="L1159" s="145" t="str">
        <f>IFERROR(__xludf.DUMMYFUNCTION("vlookup($D1159,IMPORTRANGE(""https://docs.google.com/spreadsheets/d/1swGwZOEqYlTEUCJLY-eeJM1911Kvaei5oySBIxdgtNo/edit?pli=1#gid=257618397"",""stock FAKTUR!B:q""),16,false)"),"PCS")</f>
        <v>PCS</v>
      </c>
      <c r="M1159" s="147">
        <v>42700.0</v>
      </c>
      <c r="N1159" s="152">
        <v>0.125</v>
      </c>
      <c r="O1159" s="147">
        <f t="shared" si="280"/>
        <v>5380200</v>
      </c>
      <c r="P1159" s="147" t="str">
        <f t="shared" si="3"/>
        <v>Rp42,700-144 PCS-12.50%</v>
      </c>
      <c r="Q1159" s="149">
        <v>45437.0</v>
      </c>
      <c r="R1159" s="150"/>
      <c r="S1159" s="149">
        <v>45440.0</v>
      </c>
      <c r="T1159" s="151"/>
      <c r="U1159" s="151"/>
      <c r="V1159" s="151"/>
      <c r="W1159" s="151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</row>
    <row r="1160">
      <c r="A1160" s="142">
        <v>2945.0</v>
      </c>
      <c r="B1160" s="143" t="str">
        <f t="shared" si="339"/>
        <v>H</v>
      </c>
      <c r="C1160" s="143" t="str">
        <f t="shared" si="340"/>
        <v>MANGGALA SAKTI-MALANG</v>
      </c>
      <c r="D1160" s="53" t="s">
        <v>4579</v>
      </c>
      <c r="E1160" s="145" t="str">
        <f>IFERROR(__xludf.DUMMYFUNCTION("vlookup(D1160,IMPORTRANGE(""https://docs.google.com/spreadsheets/d/1swGwZOEqYlTEUCJLY-eeJM1911Kvaei5oySBIxdgtNo/edit?pli=1#gid=257618397"",""stock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1160" s="145" t="str">
        <f>IFERROR(__xludf.DUMMYFUNCTION("vlookup($D1160,IMPORTRANGE(""https://docs.google.com/spreadsheets/d/1swGwZOEqYlTEUCJLY-eeJM1911Kvaei5oySBIxdgtNo/edit?pli=1#gid=257618397"",""stock FAKTUR!B:d""),3,false)"),"")</f>
        <v/>
      </c>
      <c r="G1160" s="145" t="str">
        <f>IFERROR(__xludf.DUMMYFUNCTION("vlookup($D1160,IMPORTRANGE(""https://docs.google.com/spreadsheets/d/1swGwZOEqYlTEUCJLY-eeJM1911Kvaei5oySBIxdgtNo/edit?pli=1#gid=257618397"",""stock FAKTUR!B:e""),4,false)"),"48W")</f>
        <v>48W</v>
      </c>
      <c r="H1160" s="145" t="str">
        <f>IFERROR(__xludf.DUMMYFUNCTION("vlookup($D1160,IMPORTRANGE(""https://docs.google.com/spreadsheets/d/1swGwZOEqYlTEUCJLY-eeJM1911Kvaei5oySBIxdgtNo/edit?pli=1#gid=257618397"",""stock FAKTUR!B:F""),5,false)"),"JK")</f>
        <v>JK</v>
      </c>
      <c r="I1160" s="145" t="str">
        <f>IFERROR(__xludf.DUMMYFUNCTION("vlookup($D1160,IMPORTRANGE(""https://docs.google.com/spreadsheets/d/1swGwZOEqYlTEUCJLY-eeJM1911Kvaei5oySBIxdgtNo/edit?pli=1#gid=257618397"",""stock FAKTUR!B:G""),6,false)"),"OP-48S")</f>
        <v>OP-48S</v>
      </c>
      <c r="J1160" s="199" t="str">
        <f t="shared" si="25"/>
        <v>ADA</v>
      </c>
      <c r="K1160" s="142">
        <v>48.0</v>
      </c>
      <c r="L1160" s="145" t="str">
        <f>IFERROR(__xludf.DUMMYFUNCTION("vlookup($D1160,IMPORTRANGE(""https://docs.google.com/spreadsheets/d/1swGwZOEqYlTEUCJLY-eeJM1911Kvaei5oySBIxdgtNo/edit?pli=1#gid=257618397"",""stock FAKTUR!B:q""),16,false)"),"PCS")</f>
        <v>PCS</v>
      </c>
      <c r="M1160" s="147">
        <v>60700.0</v>
      </c>
      <c r="N1160" s="152">
        <v>0.125</v>
      </c>
      <c r="O1160" s="147">
        <f t="shared" si="280"/>
        <v>2549400</v>
      </c>
      <c r="P1160" s="147" t="str">
        <f t="shared" si="3"/>
        <v>Rp60,700-48 PCS-12.50%</v>
      </c>
      <c r="Q1160" s="149">
        <v>45437.0</v>
      </c>
      <c r="R1160" s="150"/>
      <c r="S1160" s="149">
        <v>45440.0</v>
      </c>
      <c r="T1160" s="151"/>
      <c r="U1160" s="151"/>
      <c r="V1160" s="151"/>
      <c r="W1160" s="151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</row>
    <row r="1161">
      <c r="A1161" s="142">
        <v>4988.0</v>
      </c>
      <c r="B1161" s="143" t="s">
        <v>33</v>
      </c>
      <c r="C1161" s="143" t="s">
        <v>3688</v>
      </c>
      <c r="D1161" s="53" t="s">
        <v>4386</v>
      </c>
      <c r="E1161" s="145" t="str">
        <f>IFERROR(__xludf.DUMMYFUNCTION("vlookup(D1161,IMPORTRANGE(""https://docs.google.com/spreadsheets/d/1swGwZOEqYlTEUCJLY-eeJM1911Kvaei5oySBIxdgtNo/edit?pli=1#gid=257618397"",""stock FAKTUR!B:C""),2,false)"),"OIL PASTEL JK OP-12S PP CASE SEA WORLD")</f>
        <v>OIL PASTEL JK OP-12S PP CASE SEA WORLD</v>
      </c>
      <c r="F1161" s="145" t="str">
        <f>IFERROR(__xludf.DUMMYFUNCTION("vlookup($D1161,IMPORTRANGE(""https://docs.google.com/spreadsheets/d/1swGwZOEqYlTEUCJLY-eeJM1911Kvaei5oySBIxdgtNo/edit?pli=1#gid=257618397"",""stock FAKTUR!B:d""),3,false)"),"")</f>
        <v/>
      </c>
      <c r="G1161" s="145" t="str">
        <f>IFERROR(__xludf.DUMMYFUNCTION("vlookup($D1161,IMPORTRANGE(""https://docs.google.com/spreadsheets/d/1swGwZOEqYlTEUCJLY-eeJM1911Kvaei5oySBIxdgtNo/edit?pli=1#gid=257618397"",""stock FAKTUR!B:e""),4,false)"),"12W")</f>
        <v>12W</v>
      </c>
      <c r="H1161" s="145" t="str">
        <f>IFERROR(__xludf.DUMMYFUNCTION("vlookup($D1161,IMPORTRANGE(""https://docs.google.com/spreadsheets/d/1swGwZOEqYlTEUCJLY-eeJM1911Kvaei5oySBIxdgtNo/edit?pli=1#gid=257618397"",""stock FAKTUR!B:F""),5,false)"),"JK")</f>
        <v>JK</v>
      </c>
      <c r="I1161" s="145" t="str">
        <f>IFERROR(__xludf.DUMMYFUNCTION("vlookup($D1161,IMPORTRANGE(""https://docs.google.com/spreadsheets/d/1swGwZOEqYlTEUCJLY-eeJM1911Kvaei5oySBIxdgtNo/edit?pli=1#gid=257618397"",""stock FAKTUR!B:G""),6,false)"),"OP-12S")</f>
        <v>OP-12S</v>
      </c>
      <c r="J1161" s="199" t="str">
        <f t="shared" si="25"/>
        <v>ADA</v>
      </c>
      <c r="K1161" s="142">
        <v>288.0</v>
      </c>
      <c r="L1161" s="145" t="str">
        <f>IFERROR(__xludf.DUMMYFUNCTION("vlookup($D1161,IMPORTRANGE(""https://docs.google.com/spreadsheets/d/1swGwZOEqYlTEUCJLY-eeJM1911Kvaei5oySBIxdgtNo/edit?pli=1#gid=257618397"",""stock FAKTUR!B:q""),16,false)"),"PCS")</f>
        <v>PCS</v>
      </c>
      <c r="M1161" s="147">
        <v>12300.0</v>
      </c>
      <c r="N1161" s="152">
        <v>0.125</v>
      </c>
      <c r="O1161" s="147">
        <f t="shared" si="280"/>
        <v>3099600</v>
      </c>
      <c r="P1161" s="147" t="str">
        <f t="shared" si="3"/>
        <v>Rp12,300-288 PCS-12.50%</v>
      </c>
      <c r="Q1161" s="149">
        <v>45437.0</v>
      </c>
      <c r="R1161" s="150"/>
      <c r="S1161" s="149">
        <v>45440.0</v>
      </c>
      <c r="T1161" s="151"/>
      <c r="U1161" s="151"/>
      <c r="V1161" s="151"/>
      <c r="W1161" s="151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</row>
    <row r="1162">
      <c r="A1162" s="142">
        <v>4988.0</v>
      </c>
      <c r="B1162" s="143" t="str">
        <f t="shared" ref="B1162:B1163" si="341">IF(A1162=A1161,B1161,"")</f>
        <v>H</v>
      </c>
      <c r="C1162" s="143" t="str">
        <f t="shared" ref="C1162:C1163" si="342">IF(A1162=A1161,C1161,"")</f>
        <v>SISWA-WONOSOBO</v>
      </c>
      <c r="D1162" s="53" t="s">
        <v>4392</v>
      </c>
      <c r="E1162" s="145" t="str">
        <f>IFERROR(__xludf.DUMMYFUNCTION("vlookup(D1162,IMPORTRANGE(""https://docs.google.com/spreadsheets/d/1swGwZOEqYlTEUCJLY-eeJM1911Kvaei5oySBIxdgtNo/edit?pli=1#gid=257618397"",""stock FAKTUR!B:C""),2,false)"),"OIL PASTEL JK OP-18S PP CASE SEA WORLD")</f>
        <v>OIL PASTEL JK OP-18S PP CASE SEA WORLD</v>
      </c>
      <c r="F1162" s="145" t="str">
        <f>IFERROR(__xludf.DUMMYFUNCTION("vlookup($D1162,IMPORTRANGE(""https://docs.google.com/spreadsheets/d/1swGwZOEqYlTEUCJLY-eeJM1911Kvaei5oySBIxdgtNo/edit?pli=1#gid=257618397"",""stock FAKTUR!B:d""),3,false)"),"")</f>
        <v/>
      </c>
      <c r="G1162" s="145" t="str">
        <f>IFERROR(__xludf.DUMMYFUNCTION("vlookup($D1162,IMPORTRANGE(""https://docs.google.com/spreadsheets/d/1swGwZOEqYlTEUCJLY-eeJM1911Kvaei5oySBIxdgtNo/edit?pli=1#gid=257618397"",""stock FAKTUR!B:e""),4,false)"),"18W")</f>
        <v>18W</v>
      </c>
      <c r="H1162" s="145" t="str">
        <f>IFERROR(__xludf.DUMMYFUNCTION("vlookup($D1162,IMPORTRANGE(""https://docs.google.com/spreadsheets/d/1swGwZOEqYlTEUCJLY-eeJM1911Kvaei5oySBIxdgtNo/edit?pli=1#gid=257618397"",""stock FAKTUR!B:F""),5,false)"),"JK")</f>
        <v>JK</v>
      </c>
      <c r="I1162" s="145" t="str">
        <f>IFERROR(__xludf.DUMMYFUNCTION("vlookup($D1162,IMPORTRANGE(""https://docs.google.com/spreadsheets/d/1swGwZOEqYlTEUCJLY-eeJM1911Kvaei5oySBIxdgtNo/edit?pli=1#gid=257618397"",""stock FAKTUR!B:G""),6,false)"),"OP-18S")</f>
        <v>OP-18S</v>
      </c>
      <c r="J1162" s="199" t="str">
        <f t="shared" si="25"/>
        <v>ADA</v>
      </c>
      <c r="K1162" s="142">
        <v>144.0</v>
      </c>
      <c r="L1162" s="145" t="str">
        <f>IFERROR(__xludf.DUMMYFUNCTION("vlookup($D1162,IMPORTRANGE(""https://docs.google.com/spreadsheets/d/1swGwZOEqYlTEUCJLY-eeJM1911Kvaei5oySBIxdgtNo/edit?pli=1#gid=257618397"",""stock FAKTUR!B:q""),16,false)"),"PCS")</f>
        <v>PCS</v>
      </c>
      <c r="M1162" s="147">
        <v>23700.0</v>
      </c>
      <c r="N1162" s="152">
        <v>0.125</v>
      </c>
      <c r="O1162" s="147">
        <f t="shared" si="280"/>
        <v>2986200</v>
      </c>
      <c r="P1162" s="147" t="str">
        <f t="shared" si="3"/>
        <v>Rp23,700-144 PCS-12.50%</v>
      </c>
      <c r="Q1162" s="149">
        <v>45437.0</v>
      </c>
      <c r="R1162" s="150"/>
      <c r="S1162" s="149">
        <v>45440.0</v>
      </c>
      <c r="T1162" s="151"/>
      <c r="U1162" s="151"/>
      <c r="V1162" s="151"/>
      <c r="W1162" s="151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</row>
    <row r="1163">
      <c r="A1163" s="142">
        <v>4988.0</v>
      </c>
      <c r="B1163" s="143" t="str">
        <f t="shared" si="341"/>
        <v>H</v>
      </c>
      <c r="C1163" s="143" t="str">
        <f t="shared" si="342"/>
        <v>SISWA-WONOSOBO</v>
      </c>
      <c r="D1163" s="53" t="s">
        <v>4505</v>
      </c>
      <c r="E1163" s="145" t="str">
        <f>IFERROR(__xludf.DUMMYFUNCTION("vlookup(D1163,IMPORTRANGE(""https://docs.google.com/spreadsheets/d/1swGwZOEqYlTEUCJLY-eeJM1911Kvaei5oySBIxdgtNo/edit?pli=1#gid=257618397"",""stock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1163" s="145" t="str">
        <f>IFERROR(__xludf.DUMMYFUNCTION("vlookup($D1163,IMPORTRANGE(""https://docs.google.com/spreadsheets/d/1swGwZOEqYlTEUCJLY-eeJM1911Kvaei5oySBIxdgtNo/edit?pli=1#gid=257618397"",""stock FAKTUR!B:d""),3,false)"),"")</f>
        <v/>
      </c>
      <c r="G1163" s="145" t="str">
        <f>IFERROR(__xludf.DUMMYFUNCTION("vlookup($D1163,IMPORTRANGE(""https://docs.google.com/spreadsheets/d/1swGwZOEqYlTEUCJLY-eeJM1911Kvaei5oySBIxdgtNo/edit?pli=1#gid=257618397"",""stock FAKTUR!B:e""),4,false)"),"24W")</f>
        <v>24W</v>
      </c>
      <c r="H1163" s="145" t="str">
        <f>IFERROR(__xludf.DUMMYFUNCTION("vlookup($D1163,IMPORTRANGE(""https://docs.google.com/spreadsheets/d/1swGwZOEqYlTEUCJLY-eeJM1911Kvaei5oySBIxdgtNo/edit?pli=1#gid=257618397"",""stock FAKTUR!B:F""),5,false)"),"JK")</f>
        <v>JK</v>
      </c>
      <c r="I1163" s="145" t="str">
        <f>IFERROR(__xludf.DUMMYFUNCTION("vlookup($D1163,IMPORTRANGE(""https://docs.google.com/spreadsheets/d/1swGwZOEqYlTEUCJLY-eeJM1911Kvaei5oySBIxdgtNo/edit?pli=1#gid=257618397"",""stock FAKTUR!B:G""),6,false)"),"OP-24S")</f>
        <v>OP-24S</v>
      </c>
      <c r="J1163" s="199" t="str">
        <f t="shared" si="25"/>
        <v>ADA</v>
      </c>
      <c r="K1163" s="142">
        <v>96.0</v>
      </c>
      <c r="L1163" s="145" t="str">
        <f>IFERROR(__xludf.DUMMYFUNCTION("vlookup($D1163,IMPORTRANGE(""https://docs.google.com/spreadsheets/d/1swGwZOEqYlTEUCJLY-eeJM1911Kvaei5oySBIxdgtNo/edit?pli=1#gid=257618397"",""stock FAKTUR!B:q""),16,false)"),"PCS")</f>
        <v>PCS</v>
      </c>
      <c r="M1163" s="147">
        <v>30500.0</v>
      </c>
      <c r="N1163" s="152">
        <v>0.125</v>
      </c>
      <c r="O1163" s="147">
        <f t="shared" si="280"/>
        <v>2562000</v>
      </c>
      <c r="P1163" s="147" t="str">
        <f t="shared" si="3"/>
        <v>Rp30,500-96 PCS-12.50%</v>
      </c>
      <c r="Q1163" s="149">
        <v>45437.0</v>
      </c>
      <c r="R1163" s="150"/>
      <c r="S1163" s="149">
        <v>45440.0</v>
      </c>
      <c r="T1163" s="151"/>
      <c r="U1163" s="151"/>
      <c r="V1163" s="151"/>
      <c r="W1163" s="151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</row>
    <row r="1164">
      <c r="A1164" s="142">
        <v>4994.0</v>
      </c>
      <c r="B1164" s="143" t="s">
        <v>58</v>
      </c>
      <c r="C1164" s="143" t="s">
        <v>2061</v>
      </c>
      <c r="D1164" s="53" t="s">
        <v>4579</v>
      </c>
      <c r="E1164" s="145" t="str">
        <f>IFERROR(__xludf.DUMMYFUNCTION("vlookup(D1164,IMPORTRANGE(""https://docs.google.com/spreadsheets/d/1swGwZOEqYlTEUCJLY-eeJM1911Kvaei5oySBIxdgtNo/edit?pli=1#gid=257618397"",""stock FAKTUR!B:C""),2,false)"),"OIL PASTEL JK OP-48S PP CASE SEA WORLD")</f>
        <v>OIL PASTEL JK OP-48S PP CASE SEA WORLD</v>
      </c>
      <c r="F1164" s="145" t="str">
        <f>IFERROR(__xludf.DUMMYFUNCTION("vlookup($D1164,IMPORTRANGE(""https://docs.google.com/spreadsheets/d/1swGwZOEqYlTEUCJLY-eeJM1911Kvaei5oySBIxdgtNo/edit?pli=1#gid=257618397"",""stock FAKTUR!B:d""),3,false)"),"")</f>
        <v/>
      </c>
      <c r="G1164" s="145" t="str">
        <f>IFERROR(__xludf.DUMMYFUNCTION("vlookup($D1164,IMPORTRANGE(""https://docs.google.com/spreadsheets/d/1swGwZOEqYlTEUCJLY-eeJM1911Kvaei5oySBIxdgtNo/edit?pli=1#gid=257618397"",""stock FAKTUR!B:e""),4,false)"),"48W")</f>
        <v>48W</v>
      </c>
      <c r="H1164" s="145" t="str">
        <f>IFERROR(__xludf.DUMMYFUNCTION("vlookup($D1164,IMPORTRANGE(""https://docs.google.com/spreadsheets/d/1swGwZOEqYlTEUCJLY-eeJM1911Kvaei5oySBIxdgtNo/edit?pli=1#gid=257618397"",""stock FAKTUR!B:F""),5,false)"),"JK")</f>
        <v>JK</v>
      </c>
      <c r="I1164" s="145" t="str">
        <f>IFERROR(__xludf.DUMMYFUNCTION("vlookup($D1164,IMPORTRANGE(""https://docs.google.com/spreadsheets/d/1swGwZOEqYlTEUCJLY-eeJM1911Kvaei5oySBIxdgtNo/edit?pli=1#gid=257618397"",""stock FAKTUR!B:G""),6,false)"),"OP-48S")</f>
        <v>OP-48S</v>
      </c>
      <c r="J1164" s="199" t="str">
        <f t="shared" si="25"/>
        <v>ADA</v>
      </c>
      <c r="K1164" s="142">
        <v>24.0</v>
      </c>
      <c r="L1164" s="145" t="str">
        <f>IFERROR(__xludf.DUMMYFUNCTION("vlookup($D1164,IMPORTRANGE(""https://docs.google.com/spreadsheets/d/1swGwZOEqYlTEUCJLY-eeJM1911Kvaei5oySBIxdgtNo/edit?pli=1#gid=257618397"",""stock FAKTUR!B:q""),16,false)"),"PCS")</f>
        <v>PCS</v>
      </c>
      <c r="M1164" s="147">
        <v>60700.0</v>
      </c>
      <c r="N1164" s="152">
        <v>0.125</v>
      </c>
      <c r="O1164" s="147">
        <f t="shared" si="280"/>
        <v>1274700</v>
      </c>
      <c r="P1164" s="147" t="str">
        <f t="shared" si="3"/>
        <v>Rp60,700-24 PCS-12.50%</v>
      </c>
      <c r="Q1164" s="149">
        <v>45437.0</v>
      </c>
      <c r="R1164" s="150"/>
      <c r="S1164" s="149">
        <v>45440.0</v>
      </c>
      <c r="T1164" s="151"/>
      <c r="U1164" s="151"/>
      <c r="V1164" s="151"/>
      <c r="W1164" s="151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</row>
    <row r="1165">
      <c r="A1165" s="142">
        <v>4994.0</v>
      </c>
      <c r="B1165" s="143" t="str">
        <f t="shared" ref="B1165:B1166" si="343">IF(A1165=A1164,B1164,"")</f>
        <v>G</v>
      </c>
      <c r="C1165" s="143" t="str">
        <f t="shared" ref="C1165:C1166" si="344">IF(A1165=A1164,C1164,"")</f>
        <v>PUAS-PATI</v>
      </c>
      <c r="D1165" s="53" t="s">
        <v>4402</v>
      </c>
      <c r="E1165" s="145" t="str">
        <f>IFERROR(__xludf.DUMMYFUNCTION("vlookup(D1165,IMPORTRANGE(""https://docs.google.com/spreadsheets/d/1swGwZOEqYlTEUCJLY-eeJM1911Kvaei5oySBIxdgtNo/edit?pli=1#gid=257618397"",""stock FAKTUR!B:C""),2,false)"),"OIL PASTEL JK OP-55 S PP CASE SEA WORLD")</f>
        <v>OIL PASTEL JK OP-55 S PP CASE SEA WORLD</v>
      </c>
      <c r="F1165" s="145" t="str">
        <f>IFERROR(__xludf.DUMMYFUNCTION("vlookup($D1165,IMPORTRANGE(""https://docs.google.com/spreadsheets/d/1swGwZOEqYlTEUCJLY-eeJM1911Kvaei5oySBIxdgtNo/edit?pli=1#gid=257618397"",""stock FAKTUR!B:d""),3,false)"),"")</f>
        <v/>
      </c>
      <c r="G1165" s="145" t="str">
        <f>IFERROR(__xludf.DUMMYFUNCTION("vlookup($D1165,IMPORTRANGE(""https://docs.google.com/spreadsheets/d/1swGwZOEqYlTEUCJLY-eeJM1911Kvaei5oySBIxdgtNo/edit?pli=1#gid=257618397"",""stock FAKTUR!B:e""),4,false)"),"55W")</f>
        <v>55W</v>
      </c>
      <c r="H1165" s="145" t="str">
        <f>IFERROR(__xludf.DUMMYFUNCTION("vlookup($D1165,IMPORTRANGE(""https://docs.google.com/spreadsheets/d/1swGwZOEqYlTEUCJLY-eeJM1911Kvaei5oySBIxdgtNo/edit?pli=1#gid=257618397"",""stock FAKTUR!B:F""),5,false)"),"JK")</f>
        <v>JK</v>
      </c>
      <c r="I1165" s="145" t="str">
        <f>IFERROR(__xludf.DUMMYFUNCTION("vlookup($D1165,IMPORTRANGE(""https://docs.google.com/spreadsheets/d/1swGwZOEqYlTEUCJLY-eeJM1911Kvaei5oySBIxdgtNo/edit?pli=1#gid=257618397"",""stock FAKTUR!B:G""),6,false)"),"")</f>
        <v/>
      </c>
      <c r="J1165" s="199" t="str">
        <f t="shared" si="25"/>
        <v>ADA</v>
      </c>
      <c r="K1165" s="142">
        <v>24.0</v>
      </c>
      <c r="L1165" s="145" t="str">
        <f>IFERROR(__xludf.DUMMYFUNCTION("vlookup($D1165,IMPORTRANGE(""https://docs.google.com/spreadsheets/d/1swGwZOEqYlTEUCJLY-eeJM1911Kvaei5oySBIxdgtNo/edit?pli=1#gid=257618397"",""stock FAKTUR!B:q""),16,false)"),"PCS")</f>
        <v>PCS</v>
      </c>
      <c r="M1165" s="147">
        <v>68700.0</v>
      </c>
      <c r="N1165" s="152">
        <v>0.125</v>
      </c>
      <c r="O1165" s="147">
        <f t="shared" si="280"/>
        <v>1442700</v>
      </c>
      <c r="P1165" s="147" t="str">
        <f t="shared" si="3"/>
        <v>Rp68,700-24 PCS-12.50%</v>
      </c>
      <c r="Q1165" s="149">
        <v>45437.0</v>
      </c>
      <c r="R1165" s="150"/>
      <c r="S1165" s="149">
        <v>45440.0</v>
      </c>
      <c r="T1165" s="151"/>
      <c r="U1165" s="151"/>
      <c r="V1165" s="151"/>
      <c r="W1165" s="151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</row>
    <row r="1166">
      <c r="A1166" s="142">
        <v>4994.0</v>
      </c>
      <c r="B1166" s="143" t="str">
        <f t="shared" si="343"/>
        <v>G</v>
      </c>
      <c r="C1166" s="143" t="str">
        <f t="shared" si="344"/>
        <v>PUAS-PATI</v>
      </c>
      <c r="D1166" s="53" t="s">
        <v>4578</v>
      </c>
      <c r="E1166" s="145" t="str">
        <f>IFERROR(__xludf.DUMMYFUNCTION("vlookup(D1166,IMPORTRANGE(""https://docs.google.com/spreadsheets/d/1swGwZOEqYlTEUCJLY-eeJM1911Kvaei5oySBIxdgtNo/edit?pli=1#gid=257618397"",""stock FAKTUR!B:C""),2,false)"),"OIL PASTEL JK OP-72S PP CASE SEA WORLD")</f>
        <v>OIL PASTEL JK OP-72S PP CASE SEA WORLD</v>
      </c>
      <c r="F1166" s="145" t="str">
        <f>IFERROR(__xludf.DUMMYFUNCTION("vlookup($D1166,IMPORTRANGE(""https://docs.google.com/spreadsheets/d/1swGwZOEqYlTEUCJLY-eeJM1911Kvaei5oySBIxdgtNo/edit?pli=1#gid=257618397"",""stock FAKTUR!B:d""),3,false)"),"")</f>
        <v/>
      </c>
      <c r="G1166" s="145" t="str">
        <f>IFERROR(__xludf.DUMMYFUNCTION("vlookup($D1166,IMPORTRANGE(""https://docs.google.com/spreadsheets/d/1swGwZOEqYlTEUCJLY-eeJM1911Kvaei5oySBIxdgtNo/edit?pli=1#gid=257618397"",""stock FAKTUR!B:e""),4,false)"),"72W")</f>
        <v>72W</v>
      </c>
      <c r="H1166" s="145" t="str">
        <f>IFERROR(__xludf.DUMMYFUNCTION("vlookup($D1166,IMPORTRANGE(""https://docs.google.com/spreadsheets/d/1swGwZOEqYlTEUCJLY-eeJM1911Kvaei5oySBIxdgtNo/edit?pli=1#gid=257618397"",""stock FAKTUR!B:F""),5,false)"),"JK")</f>
        <v>JK</v>
      </c>
      <c r="I1166" s="145" t="str">
        <f>IFERROR(__xludf.DUMMYFUNCTION("vlookup($D1166,IMPORTRANGE(""https://docs.google.com/spreadsheets/d/1swGwZOEqYlTEUCJLY-eeJM1911Kvaei5oySBIxdgtNo/edit?pli=1#gid=257618397"",""stock FAKTUR!B:G""),6,false)"),"OP-72S")</f>
        <v>OP-72S</v>
      </c>
      <c r="J1166" s="199" t="str">
        <f t="shared" si="25"/>
        <v>ADA</v>
      </c>
      <c r="K1166" s="142">
        <v>24.0</v>
      </c>
      <c r="L1166" s="145" t="str">
        <f>IFERROR(__xludf.DUMMYFUNCTION("vlookup($D1166,IMPORTRANGE(""https://docs.google.com/spreadsheets/d/1swGwZOEqYlTEUCJLY-eeJM1911Kvaei5oySBIxdgtNo/edit?pli=1#gid=257618397"",""stock FAKTUR!B:q""),16,false)"),"PCS")</f>
        <v>PCS</v>
      </c>
      <c r="M1166" s="147">
        <v>98400.0</v>
      </c>
      <c r="N1166" s="152">
        <v>0.125</v>
      </c>
      <c r="O1166" s="147">
        <f t="shared" si="280"/>
        <v>2066400</v>
      </c>
      <c r="P1166" s="147" t="str">
        <f t="shared" si="3"/>
        <v>Rp98,400-24 PCS-12.50%</v>
      </c>
      <c r="Q1166" s="149">
        <v>45437.0</v>
      </c>
      <c r="R1166" s="150"/>
      <c r="S1166" s="149">
        <v>45440.0</v>
      </c>
      <c r="T1166" s="151"/>
      <c r="U1166" s="151"/>
      <c r="V1166" s="151"/>
      <c r="W1166" s="151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</row>
    <row r="1167">
      <c r="A1167" s="142">
        <v>1608.0</v>
      </c>
      <c r="B1167" s="143" t="s">
        <v>65</v>
      </c>
      <c r="C1167" s="143" t="s">
        <v>4850</v>
      </c>
      <c r="D1167" s="53" t="s">
        <v>35</v>
      </c>
      <c r="E1167" s="145" t="str">
        <f>IFERROR(__xludf.DUMMYFUNCTION("vlookup(D1167,IMPORTRANGE(""https://docs.google.com/spreadsheets/d/1swGwZOEqYlTEUCJLY-eeJM1911Kvaei5oySBIxdgtNo/edit?pli=1#gid=257618397"",""stock FAKTUR!B:C""),2,false)"),"BP TZ 501 HITAM")</f>
        <v>BP TZ 501 HITAM</v>
      </c>
      <c r="F1167" s="145" t="str">
        <f>IFERROR(__xludf.DUMMYFUNCTION("vlookup($D1167,IMPORTRANGE(""https://docs.google.com/spreadsheets/d/1swGwZOEqYlTEUCJLY-eeJM1911Kvaei5oySBIxdgtNo/edit?pli=1#gid=257618397"",""stock FAKTUR!B:d""),3,false)"),"")</f>
        <v/>
      </c>
      <c r="G1167" s="145" t="str">
        <f>IFERROR(__xludf.DUMMYFUNCTION("vlookup($D1167,IMPORTRANGE(""https://docs.google.com/spreadsheets/d/1swGwZOEqYlTEUCJLY-eeJM1911Kvaei5oySBIxdgtNo/edit?pli=1#gid=257618397"",""stock FAKTUR!B:e""),4,false)"),"")</f>
        <v/>
      </c>
      <c r="H1167" s="145" t="str">
        <f>IFERROR(__xludf.DUMMYFUNCTION("vlookup($D1167,IMPORTRANGE(""https://docs.google.com/spreadsheets/d/1swGwZOEqYlTEUCJLY-eeJM1911Kvaei5oySBIxdgtNo/edit?pli=1#gid=257618397"",""stock FAKTUR!B:F""),5,false)"),"TZ")</f>
        <v>TZ</v>
      </c>
      <c r="I1167" s="145" t="str">
        <f>IFERROR(__xludf.DUMMYFUNCTION("vlookup($D1167,IMPORTRANGE(""https://docs.google.com/spreadsheets/d/1swGwZOEqYlTEUCJLY-eeJM1911Kvaei5oySBIxdgtNo/edit?pli=1#gid=257618397"",""stock FAKTUR!B:G""),6,false)"),"")</f>
        <v/>
      </c>
      <c r="J1167" s="199" t="str">
        <f t="shared" si="25"/>
        <v>ADA</v>
      </c>
      <c r="K1167" s="142">
        <v>12.0</v>
      </c>
      <c r="L1167" s="145" t="str">
        <f>IFERROR(__xludf.DUMMYFUNCTION("vlookup($D1167,IMPORTRANGE(""https://docs.google.com/spreadsheets/d/1swGwZOEqYlTEUCJLY-eeJM1911Kvaei5oySBIxdgtNo/edit?pli=1#gid=257618397"",""stock FAKTUR!B:q""),16,false)"),"LSN")</f>
        <v>LSN</v>
      </c>
      <c r="M1167" s="147">
        <v>34000.0</v>
      </c>
      <c r="N1167" s="148"/>
      <c r="O1167" s="147">
        <f t="shared" si="280"/>
        <v>408000</v>
      </c>
      <c r="P1167" s="147" t="str">
        <f t="shared" si="3"/>
        <v>Rp34,000-12 LSN-0.00%</v>
      </c>
      <c r="Q1167" s="149">
        <v>45437.0</v>
      </c>
      <c r="R1167" s="150"/>
      <c r="S1167" s="149">
        <v>45440.0</v>
      </c>
      <c r="T1167" s="151"/>
      <c r="U1167" s="151"/>
      <c r="V1167" s="151"/>
      <c r="W1167" s="151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</row>
    <row r="1168">
      <c r="A1168" s="142">
        <v>4830.0</v>
      </c>
      <c r="B1168" s="143" t="s">
        <v>65</v>
      </c>
      <c r="C1168" s="143" t="s">
        <v>842</v>
      </c>
      <c r="D1168" s="70" t="s">
        <v>4462</v>
      </c>
      <c r="E1168" s="145" t="str">
        <f>IFERROR(__xludf.DUMMYFUNCTION("vlookup(D1168,IMPORTRANGE(""https://docs.google.com/spreadsheets/d/1swGwZOEqYlTEUCJLY-eeJM1911Kvaei5oySBIxdgtNo/edit?pli=1#gid=257618397"",""stock FAKTUR!B:C""),2,false)"),"GUNTING GUNINDO OSS GR15")</f>
        <v>GUNTING GUNINDO OSS GR15</v>
      </c>
      <c r="F1168" s="145" t="str">
        <f>IFERROR(__xludf.DUMMYFUNCTION("vlookup($D1168,IMPORTRANGE(""https://docs.google.com/spreadsheets/d/1swGwZOEqYlTEUCJLY-eeJM1911Kvaei5oySBIxdgtNo/edit?pli=1#gid=257618397"",""stock FAKTUR!B:d""),3,false)"),"")</f>
        <v/>
      </c>
      <c r="G1168" s="145" t="str">
        <f>IFERROR(__xludf.DUMMYFUNCTION("vlookup($D1168,IMPORTRANGE(""https://docs.google.com/spreadsheets/d/1swGwZOEqYlTEUCJLY-eeJM1911Kvaei5oySBIxdgtNo/edit?pli=1#gid=257618397"",""stock FAKTUR!B:e""),4,false)"),"")</f>
        <v/>
      </c>
      <c r="H1168" s="145" t="str">
        <f>IFERROR(__xludf.DUMMYFUNCTION("vlookup($D1168,IMPORTRANGE(""https://docs.google.com/spreadsheets/d/1swGwZOEqYlTEUCJLY-eeJM1911Kvaei5oySBIxdgtNo/edit?pli=1#gid=257618397"",""stock FAKTUR!B:F""),5,false)"),"GN")</f>
        <v>GN</v>
      </c>
      <c r="I1168" s="145" t="str">
        <f>IFERROR(__xludf.DUMMYFUNCTION("vlookup($D1168,IMPORTRANGE(""https://docs.google.com/spreadsheets/d/1swGwZOEqYlTEUCJLY-eeJM1911Kvaei5oySBIxdgtNo/edit?pli=1#gid=257618397"",""stock FAKTUR!B:G""),6,false)"),"GR15")</f>
        <v>GR15</v>
      </c>
      <c r="J1168" s="199" t="str">
        <f t="shared" si="25"/>
        <v>ADA</v>
      </c>
      <c r="K1168" s="142">
        <v>60.0</v>
      </c>
      <c r="L1168" s="145" t="str">
        <f>IFERROR(__xludf.DUMMYFUNCTION("vlookup($D1168,IMPORTRANGE(""https://docs.google.com/spreadsheets/d/1swGwZOEqYlTEUCJLY-eeJM1911Kvaei5oySBIxdgtNo/edit?pli=1#gid=257618397"",""stock FAKTUR!B:q""),16,false)"),"LSN")</f>
        <v>LSN</v>
      </c>
      <c r="M1168" s="147">
        <v>49200.0</v>
      </c>
      <c r="N1168" s="152">
        <v>0.05</v>
      </c>
      <c r="O1168" s="147">
        <f t="shared" si="280"/>
        <v>2804400</v>
      </c>
      <c r="P1168" s="147" t="str">
        <f t="shared" si="3"/>
        <v>Rp49,200-60 LSN-5.00%</v>
      </c>
      <c r="Q1168" s="149">
        <v>45437.0</v>
      </c>
      <c r="R1168" s="150"/>
      <c r="S1168" s="149">
        <v>45440.0</v>
      </c>
      <c r="T1168" s="151"/>
      <c r="U1168" s="151"/>
      <c r="V1168" s="151"/>
      <c r="W1168" s="151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</row>
    <row r="1169">
      <c r="A1169" s="142">
        <v>4830.0</v>
      </c>
      <c r="B1169" s="143" t="str">
        <f>IF(A1169=A1168,B1168,"")</f>
        <v>A</v>
      </c>
      <c r="C1169" s="143" t="str">
        <f>IF(A1169=A1168,C1168,"")</f>
        <v>NAJIH-JEPARA</v>
      </c>
      <c r="D1169" s="70" t="s">
        <v>4738</v>
      </c>
      <c r="E1169" s="145" t="str">
        <f>IFERROR(__xludf.DUMMYFUNCTION("vlookup(D1169,IMPORTRANGE(""https://docs.google.com/spreadsheets/d/1swGwZOEqYlTEUCJLY-eeJM1911Kvaei5oySBIxdgtNo/edit?pli=1#gid=257618397"",""stock FAKTUR!B:C""),2,false)"),"GUNTING GUNINDO FL GA-10 COKLAT")</f>
        <v>GUNTING GUNINDO FL GA-10 COKLAT</v>
      </c>
      <c r="F1169" s="145" t="str">
        <f>IFERROR(__xludf.DUMMYFUNCTION("vlookup($D1169,IMPORTRANGE(""https://docs.google.com/spreadsheets/d/1swGwZOEqYlTEUCJLY-eeJM1911Kvaei5oySBIxdgtNo/edit?pli=1#gid=257618397"",""stock FAKTUR!B:d""),3,false)"),"")</f>
        <v/>
      </c>
      <c r="G1169" s="145" t="str">
        <f>IFERROR(__xludf.DUMMYFUNCTION("vlookup($D1169,IMPORTRANGE(""https://docs.google.com/spreadsheets/d/1swGwZOEqYlTEUCJLY-eeJM1911Kvaei5oySBIxdgtNo/edit?pli=1#gid=257618397"",""stock FAKTUR!B:e""),4,false)"),"COKLAT")</f>
        <v>COKLAT</v>
      </c>
      <c r="H1169" s="145" t="str">
        <f>IFERROR(__xludf.DUMMYFUNCTION("vlookup($D1169,IMPORTRANGE(""https://docs.google.com/spreadsheets/d/1swGwZOEqYlTEUCJLY-eeJM1911Kvaei5oySBIxdgtNo/edit?pli=1#gid=257618397"",""stock FAKTUR!B:F""),5,false)"),"GN")</f>
        <v>GN</v>
      </c>
      <c r="I1169" s="145" t="str">
        <f>IFERROR(__xludf.DUMMYFUNCTION("vlookup($D1169,IMPORTRANGE(""https://docs.google.com/spreadsheets/d/1swGwZOEqYlTEUCJLY-eeJM1911Kvaei5oySBIxdgtNo/edit?pli=1#gid=257618397"",""stock FAKTUR!B:G""),6,false)"),"GA10")</f>
        <v>GA10</v>
      </c>
      <c r="J1169" s="199" t="str">
        <f t="shared" si="25"/>
        <v>ADA</v>
      </c>
      <c r="K1169" s="142">
        <v>20.0</v>
      </c>
      <c r="L1169" s="145" t="str">
        <f>IFERROR(__xludf.DUMMYFUNCTION("vlookup($D1169,IMPORTRANGE(""https://docs.google.com/spreadsheets/d/1swGwZOEqYlTEUCJLY-eeJM1911Kvaei5oySBIxdgtNo/edit?pli=1#gid=257618397"",""stock FAKTUR!B:q""),16,false)"),"LSN")</f>
        <v>LSN</v>
      </c>
      <c r="M1169" s="147">
        <v>120000.0</v>
      </c>
      <c r="N1169" s="152">
        <v>0.05</v>
      </c>
      <c r="O1169" s="147">
        <f t="shared" si="280"/>
        <v>2280000</v>
      </c>
      <c r="P1169" s="147" t="str">
        <f t="shared" si="3"/>
        <v>Rp120,000-20 LSN-5.00%</v>
      </c>
      <c r="Q1169" s="149">
        <v>45437.0</v>
      </c>
      <c r="R1169" s="150"/>
      <c r="S1169" s="149">
        <v>45440.0</v>
      </c>
      <c r="T1169" s="151"/>
      <c r="U1169" s="151"/>
      <c r="V1169" s="151"/>
      <c r="W1169" s="151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</row>
    <row r="1170">
      <c r="A1170" s="142">
        <v>4991.0</v>
      </c>
      <c r="B1170" s="143" t="s">
        <v>65</v>
      </c>
      <c r="C1170" s="143" t="s">
        <v>2601</v>
      </c>
      <c r="D1170" s="53" t="s">
        <v>4505</v>
      </c>
      <c r="E1170" s="145" t="str">
        <f>IFERROR(__xludf.DUMMYFUNCTION("vlookup(D1170,IMPORTRANGE(""https://docs.google.com/spreadsheets/d/1swGwZOEqYlTEUCJLY-eeJM1911Kvaei5oySBIxdgtNo/edit?pli=1#gid=257618397"",""stock FAKTUR!B:C""),2,false)"),"OIL PASTEL JK OP-24S PP CASE SEA WORLD")</f>
        <v>OIL PASTEL JK OP-24S PP CASE SEA WORLD</v>
      </c>
      <c r="F1170" s="145" t="str">
        <f>IFERROR(__xludf.DUMMYFUNCTION("vlookup($D1170,IMPORTRANGE(""https://docs.google.com/spreadsheets/d/1swGwZOEqYlTEUCJLY-eeJM1911Kvaei5oySBIxdgtNo/edit?pli=1#gid=257618397"",""stock FAKTUR!B:d""),3,false)"),"")</f>
        <v/>
      </c>
      <c r="G1170" s="145" t="str">
        <f>IFERROR(__xludf.DUMMYFUNCTION("vlookup($D1170,IMPORTRANGE(""https://docs.google.com/spreadsheets/d/1swGwZOEqYlTEUCJLY-eeJM1911Kvaei5oySBIxdgtNo/edit?pli=1#gid=257618397"",""stock FAKTUR!B:e""),4,false)"),"24W")</f>
        <v>24W</v>
      </c>
      <c r="H1170" s="145" t="str">
        <f>IFERROR(__xludf.DUMMYFUNCTION("vlookup($D1170,IMPORTRANGE(""https://docs.google.com/spreadsheets/d/1swGwZOEqYlTEUCJLY-eeJM1911Kvaei5oySBIxdgtNo/edit?pli=1#gid=257618397"",""stock FAKTUR!B:F""),5,false)"),"JK")</f>
        <v>JK</v>
      </c>
      <c r="I1170" s="145" t="str">
        <f>IFERROR(__xludf.DUMMYFUNCTION("vlookup($D1170,IMPORTRANGE(""https://docs.google.com/spreadsheets/d/1swGwZOEqYlTEUCJLY-eeJM1911Kvaei5oySBIxdgtNo/edit?pli=1#gid=257618397"",""stock FAKTUR!B:G""),6,false)"),"OP-24S")</f>
        <v>OP-24S</v>
      </c>
      <c r="J1170" s="199" t="str">
        <f t="shared" si="25"/>
        <v>ADA</v>
      </c>
      <c r="K1170" s="142">
        <v>48.0</v>
      </c>
      <c r="L1170" s="145" t="str">
        <f>IFERROR(__xludf.DUMMYFUNCTION("vlookup($D1170,IMPORTRANGE(""https://docs.google.com/spreadsheets/d/1swGwZOEqYlTEUCJLY-eeJM1911Kvaei5oySBIxdgtNo/edit?pli=1#gid=257618397"",""stock FAKTUR!B:q""),16,false)"),"PCS")</f>
        <v>PCS</v>
      </c>
      <c r="M1170" s="147">
        <v>30500.0</v>
      </c>
      <c r="N1170" s="152">
        <v>0.125</v>
      </c>
      <c r="O1170" s="147">
        <f t="shared" si="280"/>
        <v>1281000</v>
      </c>
      <c r="P1170" s="147" t="str">
        <f t="shared" si="3"/>
        <v>Rp30,500-48 PCS-12.50%</v>
      </c>
      <c r="Q1170" s="149">
        <v>45437.0</v>
      </c>
      <c r="R1170" s="150"/>
      <c r="S1170" s="149">
        <v>45440.0</v>
      </c>
      <c r="T1170" s="151"/>
      <c r="U1170" s="151"/>
      <c r="V1170" s="151"/>
      <c r="W1170" s="151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</row>
    <row r="1171">
      <c r="A1171" s="142">
        <v>2936.0</v>
      </c>
      <c r="B1171" s="143" t="s">
        <v>33</v>
      </c>
      <c r="C1171" s="143" t="s">
        <v>2134</v>
      </c>
      <c r="D1171" s="70" t="s">
        <v>4461</v>
      </c>
      <c r="E1171" s="145" t="str">
        <f>IFERROR(__xludf.DUMMYFUNCTION("vlookup(D1171,IMPORTRANGE(""https://docs.google.com/spreadsheets/d/1swGwZOEqYlTEUCJLY-eeJM1911Kvaei5oySBIxdgtNo/edit?pli=1#gid=257618397"",""stock FAKTUR!B:C""),2,false)"),"GUNTING GUNINDO OLL GR16")</f>
        <v>GUNTING GUNINDO OLL GR16</v>
      </c>
      <c r="F1171" s="145" t="str">
        <f>IFERROR(__xludf.DUMMYFUNCTION("vlookup($D1171,IMPORTRANGE(""https://docs.google.com/spreadsheets/d/1swGwZOEqYlTEUCJLY-eeJM1911Kvaei5oySBIxdgtNo/edit?pli=1#gid=257618397"",""stock FAKTUR!B:d""),3,false)"),"")</f>
        <v/>
      </c>
      <c r="G1171" s="145" t="str">
        <f>IFERROR(__xludf.DUMMYFUNCTION("vlookup($D1171,IMPORTRANGE(""https://docs.google.com/spreadsheets/d/1swGwZOEqYlTEUCJLY-eeJM1911Kvaei5oySBIxdgtNo/edit?pli=1#gid=257618397"",""stock FAKTUR!B:e""),4,false)"),"")</f>
        <v/>
      </c>
      <c r="H1171" s="145" t="str">
        <f>IFERROR(__xludf.DUMMYFUNCTION("vlookup($D1171,IMPORTRANGE(""https://docs.google.com/spreadsheets/d/1swGwZOEqYlTEUCJLY-eeJM1911Kvaei5oySBIxdgtNo/edit?pli=1#gid=257618397"",""stock FAKTUR!B:F""),5,false)"),"GN")</f>
        <v>GN</v>
      </c>
      <c r="I1171" s="145" t="str">
        <f>IFERROR(__xludf.DUMMYFUNCTION("vlookup($D1171,IMPORTRANGE(""https://docs.google.com/spreadsheets/d/1swGwZOEqYlTEUCJLY-eeJM1911Kvaei5oySBIxdgtNo/edit?pli=1#gid=257618397"",""stock FAKTUR!B:G""),6,false)"),"GR16")</f>
        <v>GR16</v>
      </c>
      <c r="J1171" s="199" t="str">
        <f t="shared" si="25"/>
        <v>ADA</v>
      </c>
      <c r="K1171" s="142">
        <v>6.0</v>
      </c>
      <c r="L1171" s="145" t="str">
        <f>IFERROR(__xludf.DUMMYFUNCTION("vlookup($D1171,IMPORTRANGE(""https://docs.google.com/spreadsheets/d/1swGwZOEqYlTEUCJLY-eeJM1911Kvaei5oySBIxdgtNo/edit?pli=1#gid=257618397"",""stock FAKTUR!B:q""),16,false)"),"LSN")</f>
        <v>LSN</v>
      </c>
      <c r="M1171" s="147">
        <v>70000.0</v>
      </c>
      <c r="N1171" s="148"/>
      <c r="O1171" s="147">
        <f t="shared" si="280"/>
        <v>420000</v>
      </c>
      <c r="P1171" s="147" t="str">
        <f t="shared" si="3"/>
        <v>Rp70,000-6 LSN-0.00%</v>
      </c>
      <c r="Q1171" s="149">
        <v>45437.0</v>
      </c>
      <c r="R1171" s="149">
        <v>45430.0</v>
      </c>
      <c r="S1171" s="149">
        <v>45440.0</v>
      </c>
      <c r="T1171" s="151"/>
      <c r="U1171" s="151"/>
      <c r="V1171" s="151"/>
      <c r="W1171" s="151"/>
      <c r="X1171" s="49"/>
      <c r="Y1171" s="49"/>
      <c r="Z1171" s="49"/>
      <c r="AA1171" s="49"/>
      <c r="AB1171" s="49"/>
      <c r="AC1171" s="49"/>
      <c r="AD1171" s="49"/>
      <c r="AE1171" s="49"/>
      <c r="AF1171" s="49"/>
      <c r="AG1171" s="49"/>
    </row>
    <row r="1172">
      <c r="A1172" s="142">
        <v>2936.0</v>
      </c>
      <c r="B1172" s="143" t="str">
        <f t="shared" ref="B1172:B1181" si="345">IF(A1172=A1171,B1171,"")</f>
        <v>H</v>
      </c>
      <c r="C1172" s="143" t="str">
        <f t="shared" ref="C1172:C1181" si="346">IF(A1172=A1171,C1171,"")</f>
        <v>BINA ILMU-BATU</v>
      </c>
      <c r="D1172" s="70" t="s">
        <v>4462</v>
      </c>
      <c r="E1172" s="145" t="str">
        <f>IFERROR(__xludf.DUMMYFUNCTION("vlookup(D1172,IMPORTRANGE(""https://docs.google.com/spreadsheets/d/1swGwZOEqYlTEUCJLY-eeJM1911Kvaei5oySBIxdgtNo/edit?pli=1#gid=257618397"",""stock FAKTUR!B:C""),2,false)"),"GUNTING GUNINDO OSS GR15")</f>
        <v>GUNTING GUNINDO OSS GR15</v>
      </c>
      <c r="F1172" s="145" t="str">
        <f>IFERROR(__xludf.DUMMYFUNCTION("vlookup($D1172,IMPORTRANGE(""https://docs.google.com/spreadsheets/d/1swGwZOEqYlTEUCJLY-eeJM1911Kvaei5oySBIxdgtNo/edit?pli=1#gid=257618397"",""stock FAKTUR!B:d""),3,false)"),"")</f>
        <v/>
      </c>
      <c r="G1172" s="145" t="str">
        <f>IFERROR(__xludf.DUMMYFUNCTION("vlookup($D1172,IMPORTRANGE(""https://docs.google.com/spreadsheets/d/1swGwZOEqYlTEUCJLY-eeJM1911Kvaei5oySBIxdgtNo/edit?pli=1#gid=257618397"",""stock FAKTUR!B:e""),4,false)"),"")</f>
        <v/>
      </c>
      <c r="H1172" s="145" t="str">
        <f>IFERROR(__xludf.DUMMYFUNCTION("vlookup($D1172,IMPORTRANGE(""https://docs.google.com/spreadsheets/d/1swGwZOEqYlTEUCJLY-eeJM1911Kvaei5oySBIxdgtNo/edit?pli=1#gid=257618397"",""stock FAKTUR!B:F""),5,false)"),"GN")</f>
        <v>GN</v>
      </c>
      <c r="I1172" s="145" t="str">
        <f>IFERROR(__xludf.DUMMYFUNCTION("vlookup($D1172,IMPORTRANGE(""https://docs.google.com/spreadsheets/d/1swGwZOEqYlTEUCJLY-eeJM1911Kvaei5oySBIxdgtNo/edit?pli=1#gid=257618397"",""stock FAKTUR!B:G""),6,false)"),"GR15")</f>
        <v>GR15</v>
      </c>
      <c r="J1172" s="199" t="str">
        <f t="shared" si="25"/>
        <v>ADA</v>
      </c>
      <c r="K1172" s="142">
        <v>15.0</v>
      </c>
      <c r="L1172" s="145" t="str">
        <f>IFERROR(__xludf.DUMMYFUNCTION("vlookup($D1172,IMPORTRANGE(""https://docs.google.com/spreadsheets/d/1swGwZOEqYlTEUCJLY-eeJM1911Kvaei5oySBIxdgtNo/edit?pli=1#gid=257618397"",""stock FAKTUR!B:q""),16,false)"),"LSN")</f>
        <v>LSN</v>
      </c>
      <c r="M1172" s="147">
        <v>49200.0</v>
      </c>
      <c r="N1172" s="148"/>
      <c r="O1172" s="147">
        <f t="shared" si="280"/>
        <v>738000</v>
      </c>
      <c r="P1172" s="147" t="str">
        <f t="shared" si="3"/>
        <v>Rp49,200-15 LSN-0.00%</v>
      </c>
      <c r="Q1172" s="149">
        <v>45437.0</v>
      </c>
      <c r="R1172" s="149">
        <v>45430.0</v>
      </c>
      <c r="S1172" s="149">
        <v>45440.0</v>
      </c>
      <c r="T1172" s="151"/>
      <c r="U1172" s="151"/>
      <c r="V1172" s="151"/>
      <c r="W1172" s="151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</row>
    <row r="1173">
      <c r="A1173" s="142">
        <v>2936.0</v>
      </c>
      <c r="B1173" s="143" t="str">
        <f t="shared" si="345"/>
        <v>H</v>
      </c>
      <c r="C1173" s="143" t="str">
        <f t="shared" si="346"/>
        <v>BINA ILMU-BATU</v>
      </c>
      <c r="D1173" s="70" t="s">
        <v>4739</v>
      </c>
      <c r="E1173" s="145" t="str">
        <f>IFERROR(__xludf.DUMMYFUNCTION("vlookup(D1173,IMPORTRANGE(""https://docs.google.com/spreadsheets/d/1swGwZOEqYlTEUCJLY-eeJM1911Kvaei5oySBIxdgtNo/edit?pli=1#gid=257618397"",""stock FAKTUR!B:C""),2,false)"),"GUNTING GUNINDO OMM GR19")</f>
        <v>GUNTING GUNINDO OMM GR19</v>
      </c>
      <c r="F1173" s="145" t="str">
        <f>IFERROR(__xludf.DUMMYFUNCTION("vlookup($D1173,IMPORTRANGE(""https://docs.google.com/spreadsheets/d/1swGwZOEqYlTEUCJLY-eeJM1911Kvaei5oySBIxdgtNo/edit?pli=1#gid=257618397"",""stock FAKTUR!B:d""),3,false)"),"")</f>
        <v/>
      </c>
      <c r="G1173" s="145" t="str">
        <f>IFERROR(__xludf.DUMMYFUNCTION("vlookup($D1173,IMPORTRANGE(""https://docs.google.com/spreadsheets/d/1swGwZOEqYlTEUCJLY-eeJM1911Kvaei5oySBIxdgtNo/edit?pli=1#gid=257618397"",""stock FAKTUR!B:e""),4,false)"),"")</f>
        <v/>
      </c>
      <c r="H1173" s="145" t="str">
        <f>IFERROR(__xludf.DUMMYFUNCTION("vlookup($D1173,IMPORTRANGE(""https://docs.google.com/spreadsheets/d/1swGwZOEqYlTEUCJLY-eeJM1911Kvaei5oySBIxdgtNo/edit?pli=1#gid=257618397"",""stock FAKTUR!B:F""),5,false)"),"GN")</f>
        <v>GN</v>
      </c>
      <c r="I1173" s="145" t="str">
        <f>IFERROR(__xludf.DUMMYFUNCTION("vlookup($D1173,IMPORTRANGE(""https://docs.google.com/spreadsheets/d/1swGwZOEqYlTEUCJLY-eeJM1911Kvaei5oySBIxdgtNo/edit?pli=1#gid=257618397"",""stock FAKTUR!B:G""),6,false)"),"GR19")</f>
        <v>GR19</v>
      </c>
      <c r="J1173" s="199" t="str">
        <f t="shared" si="25"/>
        <v>ADA</v>
      </c>
      <c r="K1173" s="142">
        <v>15.0</v>
      </c>
      <c r="L1173" s="145" t="str">
        <f>IFERROR(__xludf.DUMMYFUNCTION("vlookup($D1173,IMPORTRANGE(""https://docs.google.com/spreadsheets/d/1swGwZOEqYlTEUCJLY-eeJM1911Kvaei5oySBIxdgtNo/edit?pli=1#gid=257618397"",""stock FAKTUR!B:q""),16,false)"),"LSN")</f>
        <v>LSN</v>
      </c>
      <c r="M1173" s="147">
        <v>57000.0</v>
      </c>
      <c r="N1173" s="148"/>
      <c r="O1173" s="147">
        <f t="shared" si="280"/>
        <v>855000</v>
      </c>
      <c r="P1173" s="147" t="str">
        <f t="shared" si="3"/>
        <v>Rp57,000-15 LSN-0.00%</v>
      </c>
      <c r="Q1173" s="149">
        <v>45437.0</v>
      </c>
      <c r="R1173" s="149">
        <v>45430.0</v>
      </c>
      <c r="S1173" s="149">
        <v>45440.0</v>
      </c>
      <c r="T1173" s="151"/>
      <c r="U1173" s="151"/>
      <c r="V1173" s="151"/>
      <c r="W1173" s="151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</row>
    <row r="1174">
      <c r="A1174" s="142">
        <v>2936.0</v>
      </c>
      <c r="B1174" s="143" t="str">
        <f t="shared" si="345"/>
        <v>H</v>
      </c>
      <c r="C1174" s="143" t="str">
        <f t="shared" si="346"/>
        <v>BINA ILMU-BATU</v>
      </c>
      <c r="D1174" s="70" t="s">
        <v>4463</v>
      </c>
      <c r="E1174" s="145" t="str">
        <f>IFERROR(__xludf.DUMMYFUNCTION("vlookup(D1174,IMPORTRANGE(""https://docs.google.com/spreadsheets/d/1swGwZOEqYlTEUCJLY-eeJM1911Kvaei5oySBIxdgtNo/edit?pli=1#gid=257618397"",""stock FAKTUR!B:C""),2,false)"),"STIP W/B GUNINDO 803")</f>
        <v>STIP W/B GUNINDO 803</v>
      </c>
      <c r="F1174" s="145" t="str">
        <f>IFERROR(__xludf.DUMMYFUNCTION("vlookup($D1174,IMPORTRANGE(""https://docs.google.com/spreadsheets/d/1swGwZOEqYlTEUCJLY-eeJM1911Kvaei5oySBIxdgtNo/edit?pli=1#gid=257618397"",""stock FAKTUR!B:d""),3,false)"),"")</f>
        <v/>
      </c>
      <c r="G1174" s="145" t="str">
        <f>IFERROR(__xludf.DUMMYFUNCTION("vlookup($D1174,IMPORTRANGE(""https://docs.google.com/spreadsheets/d/1swGwZOEqYlTEUCJLY-eeJM1911Kvaei5oySBIxdgtNo/edit?pli=1#gid=257618397"",""stock FAKTUR!B:e""),4,false)"),"")</f>
        <v/>
      </c>
      <c r="H1174" s="145" t="str">
        <f>IFERROR(__xludf.DUMMYFUNCTION("vlookup($D1174,IMPORTRANGE(""https://docs.google.com/spreadsheets/d/1swGwZOEqYlTEUCJLY-eeJM1911Kvaei5oySBIxdgtNo/edit?pli=1#gid=257618397"",""stock FAKTUR!B:F""),5,false)"),"GN")</f>
        <v>GN</v>
      </c>
      <c r="I1174" s="145" t="str">
        <f>IFERROR(__xludf.DUMMYFUNCTION("vlookup($D1174,IMPORTRANGE(""https://docs.google.com/spreadsheets/d/1swGwZOEqYlTEUCJLY-eeJM1911Kvaei5oySBIxdgtNo/edit?pli=1#gid=257618397"",""stock FAKTUR!B:G""),6,false)"),"803")</f>
        <v>803</v>
      </c>
      <c r="J1174" s="199" t="str">
        <f t="shared" si="25"/>
        <v>ADA</v>
      </c>
      <c r="K1174" s="142">
        <v>6.0</v>
      </c>
      <c r="L1174" s="145" t="str">
        <f>IFERROR(__xludf.DUMMYFUNCTION("vlookup($D1174,IMPORTRANGE(""https://docs.google.com/spreadsheets/d/1swGwZOEqYlTEUCJLY-eeJM1911Kvaei5oySBIxdgtNo/edit?pli=1#gid=257618397"",""stock FAKTUR!B:q""),16,false)"),"LSN")</f>
        <v>LSN</v>
      </c>
      <c r="M1174" s="147">
        <v>61000.0</v>
      </c>
      <c r="N1174" s="148"/>
      <c r="O1174" s="147">
        <f t="shared" si="280"/>
        <v>366000</v>
      </c>
      <c r="P1174" s="147" t="str">
        <f t="shared" si="3"/>
        <v>Rp61,000-6 LSN-0.00%</v>
      </c>
      <c r="Q1174" s="149">
        <v>45437.0</v>
      </c>
      <c r="R1174" s="149">
        <v>45430.0</v>
      </c>
      <c r="S1174" s="149">
        <v>45440.0</v>
      </c>
      <c r="T1174" s="151"/>
      <c r="U1174" s="151"/>
      <c r="V1174" s="151"/>
      <c r="W1174" s="151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</row>
    <row r="1175">
      <c r="A1175" s="142">
        <v>2936.0</v>
      </c>
      <c r="B1175" s="143" t="str">
        <f t="shared" si="345"/>
        <v>H</v>
      </c>
      <c r="C1175" s="143" t="str">
        <f t="shared" si="346"/>
        <v>BINA ILMU-BATU</v>
      </c>
      <c r="D1175" s="53" t="s">
        <v>4428</v>
      </c>
      <c r="E1175" s="145" t="str">
        <f>IFERROR(__xludf.DUMMYFUNCTION("vlookup(D1175,IMPORTRANGE(""https://docs.google.com/spreadsheets/d/1swGwZOEqYlTEUCJLY-eeJM1911Kvaei5oySBIxdgtNo/edit?pli=1#gid=257618397"",""stock FAKTUR!B:C""),2,false)"),"ISI STAPLER GW NO. 10")</f>
        <v>ISI STAPLER GW NO. 10</v>
      </c>
      <c r="F1175" s="145" t="str">
        <f>IFERROR(__xludf.DUMMYFUNCTION("vlookup($D1175,IMPORTRANGE(""https://docs.google.com/spreadsheets/d/1swGwZOEqYlTEUCJLY-eeJM1911Kvaei5oySBIxdgtNo/edit?pli=1#gid=257618397"",""stock FAKTUR!B:d""),3,false)"),"")</f>
        <v/>
      </c>
      <c r="G1175" s="145" t="str">
        <f>IFERROR(__xludf.DUMMYFUNCTION("vlookup($D1175,IMPORTRANGE(""https://docs.google.com/spreadsheets/d/1swGwZOEqYlTEUCJLY-eeJM1911Kvaei5oySBIxdgtNo/edit?pli=1#gid=257618397"",""stock FAKTUR!B:e""),4,false)"),"")</f>
        <v/>
      </c>
      <c r="H1175" s="145" t="str">
        <f>IFERROR(__xludf.DUMMYFUNCTION("vlookup($D1175,IMPORTRANGE(""https://docs.google.com/spreadsheets/d/1swGwZOEqYlTEUCJLY-eeJM1911Kvaei5oySBIxdgtNo/edit?pli=1#gid=257618397"",""stock FAKTUR!B:F""),5,false)"),"GW")</f>
        <v>GW</v>
      </c>
      <c r="I1175" s="145" t="str">
        <f>IFERROR(__xludf.DUMMYFUNCTION("vlookup($D1175,IMPORTRANGE(""https://docs.google.com/spreadsheets/d/1swGwZOEqYlTEUCJLY-eeJM1911Kvaei5oySBIxdgtNo/edit?pli=1#gid=257618397"",""stock FAKTUR!B:G""),6,false)"),"10")</f>
        <v>10</v>
      </c>
      <c r="J1175" s="199" t="str">
        <f t="shared" si="25"/>
        <v>ADA</v>
      </c>
      <c r="K1175" s="142">
        <v>200.0</v>
      </c>
      <c r="L1175" s="145" t="str">
        <f>IFERROR(__xludf.DUMMYFUNCTION("vlookup($D1175,IMPORTRANGE(""https://docs.google.com/spreadsheets/d/1swGwZOEqYlTEUCJLY-eeJM1911Kvaei5oySBIxdgtNo/edit?pli=1#gid=257618397"",""stock FAKTUR!B:q""),16,false)"),"PAK")</f>
        <v>PAK</v>
      </c>
      <c r="M1175" s="147">
        <v>14500.0</v>
      </c>
      <c r="N1175" s="148"/>
      <c r="O1175" s="147">
        <f t="shared" si="280"/>
        <v>2900000</v>
      </c>
      <c r="P1175" s="147" t="str">
        <f t="shared" si="3"/>
        <v>Rp14,500-200 PAK-0.00%</v>
      </c>
      <c r="Q1175" s="149">
        <v>45437.0</v>
      </c>
      <c r="R1175" s="149">
        <v>45436.0</v>
      </c>
      <c r="S1175" s="149">
        <v>45440.0</v>
      </c>
      <c r="T1175" s="151"/>
      <c r="U1175" s="151"/>
      <c r="V1175" s="151"/>
      <c r="W1175" s="151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</row>
    <row r="1176">
      <c r="A1176" s="142">
        <v>2936.0</v>
      </c>
      <c r="B1176" s="143" t="str">
        <f t="shared" si="345"/>
        <v>H</v>
      </c>
      <c r="C1176" s="143" t="str">
        <f t="shared" si="346"/>
        <v>BINA ILMU-BATU</v>
      </c>
      <c r="D1176" s="49" t="s">
        <v>4832</v>
      </c>
      <c r="E1176" s="145" t="str">
        <f>IFERROR(__xludf.DUMMYFUNCTION("vlookup(D1176,IMPORTRANGE(""https://docs.google.com/spreadsheets/d/1swGwZOEqYlTEUCJLY-eeJM1911Kvaei5oySBIxdgtNo/edit?pli=1#gid=257618397"",""stock FAKTUR!B:C""),2,false)"),"BP TIZO TG340 HITAM")</f>
        <v>BP TIZO TG340 HITAM</v>
      </c>
      <c r="F1176" s="145" t="str">
        <f>IFERROR(__xludf.DUMMYFUNCTION("vlookup($D1176,IMPORTRANGE(""https://docs.google.com/spreadsheets/d/1swGwZOEqYlTEUCJLY-eeJM1911Kvaei5oySBIxdgtNo/edit?pli=1#gid=257618397"",""stock FAKTUR!B:d""),3,false)"),"")</f>
        <v/>
      </c>
      <c r="G1176" s="145" t="str">
        <f>IFERROR(__xludf.DUMMYFUNCTION("vlookup($D1176,IMPORTRANGE(""https://docs.google.com/spreadsheets/d/1swGwZOEqYlTEUCJLY-eeJM1911Kvaei5oySBIxdgtNo/edit?pli=1#gid=257618397"",""stock FAKTUR!B:e""),4,false)"),"HITAM")</f>
        <v>HITAM</v>
      </c>
      <c r="H1176" s="145" t="str">
        <f>IFERROR(__xludf.DUMMYFUNCTION("vlookup($D1176,IMPORTRANGE(""https://docs.google.com/spreadsheets/d/1swGwZOEqYlTEUCJLY-eeJM1911Kvaei5oySBIxdgtNo/edit?pli=1#gid=257618397"",""stock FAKTUR!B:F""),5,false)"),"TZ")</f>
        <v>TZ</v>
      </c>
      <c r="I1176" s="145" t="str">
        <f>IFERROR(__xludf.DUMMYFUNCTION("vlookup($D1176,IMPORTRANGE(""https://docs.google.com/spreadsheets/d/1swGwZOEqYlTEUCJLY-eeJM1911Kvaei5oySBIxdgtNo/edit?pli=1#gid=257618397"",""stock FAKTUR!B:G""),6,false)"),"TG340")</f>
        <v>TG340</v>
      </c>
      <c r="J1176" s="199" t="str">
        <f t="shared" si="25"/>
        <v>ADA</v>
      </c>
      <c r="K1176" s="142">
        <v>12.0</v>
      </c>
      <c r="L1176" s="145" t="str">
        <f>IFERROR(__xludf.DUMMYFUNCTION("vlookup($D1176,IMPORTRANGE(""https://docs.google.com/spreadsheets/d/1swGwZOEqYlTEUCJLY-eeJM1911Kvaei5oySBIxdgtNo/edit?pli=1#gid=257618397"",""stock FAKTUR!B:q""),16,false)"),"LSN")</f>
        <v>LSN</v>
      </c>
      <c r="M1176" s="147">
        <v>36000.0</v>
      </c>
      <c r="N1176" s="148"/>
      <c r="O1176" s="147">
        <f t="shared" si="280"/>
        <v>432000</v>
      </c>
      <c r="P1176" s="147" t="str">
        <f t="shared" si="3"/>
        <v>Rp36,000-12 LSN-0.00%</v>
      </c>
      <c r="Q1176" s="149">
        <v>45437.0</v>
      </c>
      <c r="R1176" s="149">
        <v>45436.0</v>
      </c>
      <c r="S1176" s="149">
        <v>45440.0</v>
      </c>
      <c r="T1176" s="151"/>
      <c r="U1176" s="151"/>
      <c r="V1176" s="151"/>
      <c r="W1176" s="151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</row>
    <row r="1177">
      <c r="A1177" s="142">
        <v>2936.0</v>
      </c>
      <c r="B1177" s="143" t="str">
        <f t="shared" si="345"/>
        <v>H</v>
      </c>
      <c r="C1177" s="143" t="str">
        <f t="shared" si="346"/>
        <v>BINA ILMU-BATU</v>
      </c>
      <c r="D1177" s="53" t="s">
        <v>24</v>
      </c>
      <c r="E1177" s="145" t="str">
        <f>IFERROR(__xludf.DUMMYFUNCTION("vlookup(D1177,IMPORTRANGE(""https://docs.google.com/spreadsheets/d/1swGwZOEqYlTEUCJLY-eeJM1911Kvaei5oySBIxdgtNo/edit?pli=1#gid=257618397"",""stock FAKTUR!B:C""),2,false)"),"KARTU STOCK KWARTO PINK")</f>
        <v>KARTU STOCK KWARTO PINK</v>
      </c>
      <c r="F1177" s="145" t="str">
        <f>IFERROR(__xludf.DUMMYFUNCTION("vlookup($D1177,IMPORTRANGE(""https://docs.google.com/spreadsheets/d/1swGwZOEqYlTEUCJLY-eeJM1911Kvaei5oySBIxdgtNo/edit?pli=1#gid=257618397"",""stock FAKTUR!B:d""),3,false)"),"A4")</f>
        <v>A4</v>
      </c>
      <c r="G1177" s="145" t="str">
        <f>IFERROR(__xludf.DUMMYFUNCTION("vlookup($D1177,IMPORTRANGE(""https://docs.google.com/spreadsheets/d/1swGwZOEqYlTEUCJLY-eeJM1911Kvaei5oySBIxdgtNo/edit?pli=1#gid=257618397"",""stock FAKTUR!B:e""),4,false)"),"PINK")</f>
        <v>PINK</v>
      </c>
      <c r="H1177" s="145" t="str">
        <f>IFERROR(__xludf.DUMMYFUNCTION("vlookup($D1177,IMPORTRANGE(""https://docs.google.com/spreadsheets/d/1swGwZOEqYlTEUCJLY-eeJM1911Kvaei5oySBIxdgtNo/edit?pli=1#gid=257618397"",""stock FAKTUR!B:F""),5,false)"),"NB")</f>
        <v>NB</v>
      </c>
      <c r="I1177" s="145" t="str">
        <f>IFERROR(__xludf.DUMMYFUNCTION("vlookup($D1177,IMPORTRANGE(""https://docs.google.com/spreadsheets/d/1swGwZOEqYlTEUCJLY-eeJM1911Kvaei5oySBIxdgtNo/edit?pli=1#gid=257618397"",""stock FAKTUR!B:G""),6,false)"),"")</f>
        <v/>
      </c>
      <c r="J1177" s="199" t="str">
        <f t="shared" si="25"/>
        <v>ADA</v>
      </c>
      <c r="K1177" s="142">
        <v>5.0</v>
      </c>
      <c r="L1177" s="145" t="str">
        <f>IFERROR(__xludf.DUMMYFUNCTION("vlookup($D1177,IMPORTRANGE(""https://docs.google.com/spreadsheets/d/1swGwZOEqYlTEUCJLY-eeJM1911Kvaei5oySBIxdgtNo/edit?pli=1#gid=257618397"",""stock FAKTUR!B:q""),16,false)"),"PAK")</f>
        <v>PAK</v>
      </c>
      <c r="M1177" s="147">
        <v>21500.0</v>
      </c>
      <c r="N1177" s="148"/>
      <c r="O1177" s="147">
        <f t="shared" si="280"/>
        <v>107500</v>
      </c>
      <c r="P1177" s="147" t="str">
        <f t="shared" si="3"/>
        <v>Rp21,500-5 PAK-0.00%</v>
      </c>
      <c r="Q1177" s="149">
        <v>45437.0</v>
      </c>
      <c r="R1177" s="149">
        <v>45437.0</v>
      </c>
      <c r="S1177" s="149">
        <v>45440.0</v>
      </c>
      <c r="T1177" s="151"/>
      <c r="U1177" s="151"/>
      <c r="V1177" s="151"/>
      <c r="W1177" s="151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</row>
    <row r="1178">
      <c r="A1178" s="142">
        <v>2936.0</v>
      </c>
      <c r="B1178" s="143" t="str">
        <f t="shared" si="345"/>
        <v>H</v>
      </c>
      <c r="C1178" s="143" t="str">
        <f t="shared" si="346"/>
        <v>BINA ILMU-BATU</v>
      </c>
      <c r="D1178" s="53" t="s">
        <v>4407</v>
      </c>
      <c r="E1178" s="145" t="str">
        <f>IFERROR(__xludf.DUMMYFUNCTION("vlookup(D1178,IMPORTRANGE(""https://docs.google.com/spreadsheets/d/1swGwZOEqYlTEUCJLY-eeJM1911Kvaei5oySBIxdgtNo/edit?pli=1#gid=257618397"",""stock FAKTUR!B:C""),2,false)"),"KARTU STOCK KWARTO HIJAU")</f>
        <v>KARTU STOCK KWARTO HIJAU</v>
      </c>
      <c r="F1178" s="145" t="str">
        <f>IFERROR(__xludf.DUMMYFUNCTION("vlookup($D1178,IMPORTRANGE(""https://docs.google.com/spreadsheets/d/1swGwZOEqYlTEUCJLY-eeJM1911Kvaei5oySBIxdgtNo/edit?pli=1#gid=257618397"",""stock FAKTUR!B:d""),3,false)"),"A4")</f>
        <v>A4</v>
      </c>
      <c r="G1178" s="145" t="str">
        <f>IFERROR(__xludf.DUMMYFUNCTION("vlookup($D1178,IMPORTRANGE(""https://docs.google.com/spreadsheets/d/1swGwZOEqYlTEUCJLY-eeJM1911Kvaei5oySBIxdgtNo/edit?pli=1#gid=257618397"",""stock FAKTUR!B:e""),4,false)"),"HIJAU")</f>
        <v>HIJAU</v>
      </c>
      <c r="H1178" s="145" t="str">
        <f>IFERROR(__xludf.DUMMYFUNCTION("vlookup($D1178,IMPORTRANGE(""https://docs.google.com/spreadsheets/d/1swGwZOEqYlTEUCJLY-eeJM1911Kvaei5oySBIxdgtNo/edit?pli=1#gid=257618397"",""stock FAKTUR!B:F""),5,false)"),"NB")</f>
        <v>NB</v>
      </c>
      <c r="I1178" s="145" t="str">
        <f>IFERROR(__xludf.DUMMYFUNCTION("vlookup($D1178,IMPORTRANGE(""https://docs.google.com/spreadsheets/d/1swGwZOEqYlTEUCJLY-eeJM1911Kvaei5oySBIxdgtNo/edit?pli=1#gid=257618397"",""stock FAKTUR!B:G""),6,false)"),"")</f>
        <v/>
      </c>
      <c r="J1178" s="199" t="str">
        <f t="shared" si="25"/>
        <v>ADA</v>
      </c>
      <c r="K1178" s="142">
        <v>5.0</v>
      </c>
      <c r="L1178" s="145" t="str">
        <f>IFERROR(__xludf.DUMMYFUNCTION("vlookup($D1178,IMPORTRANGE(""https://docs.google.com/spreadsheets/d/1swGwZOEqYlTEUCJLY-eeJM1911Kvaei5oySBIxdgtNo/edit?pli=1#gid=257618397"",""stock FAKTUR!B:q""),16,false)"),"PAK")</f>
        <v>PAK</v>
      </c>
      <c r="M1178" s="147">
        <v>21500.0</v>
      </c>
      <c r="N1178" s="148"/>
      <c r="O1178" s="147">
        <f t="shared" si="280"/>
        <v>107500</v>
      </c>
      <c r="P1178" s="147" t="str">
        <f t="shared" si="3"/>
        <v>Rp21,500-5 PAK-0.00%</v>
      </c>
      <c r="Q1178" s="149">
        <v>45437.0</v>
      </c>
      <c r="R1178" s="149">
        <v>45437.0</v>
      </c>
      <c r="S1178" s="149">
        <v>45440.0</v>
      </c>
      <c r="T1178" s="151"/>
      <c r="U1178" s="151"/>
      <c r="V1178" s="151"/>
      <c r="W1178" s="151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</row>
    <row r="1179">
      <c r="A1179" s="142">
        <v>2936.0</v>
      </c>
      <c r="B1179" s="143" t="str">
        <f t="shared" si="345"/>
        <v>H</v>
      </c>
      <c r="C1179" s="143" t="str">
        <f t="shared" si="346"/>
        <v>BINA ILMU-BATU</v>
      </c>
      <c r="D1179" s="53" t="s">
        <v>4408</v>
      </c>
      <c r="E1179" s="145" t="str">
        <f>IFERROR(__xludf.DUMMYFUNCTION("vlookup(D1179,IMPORTRANGE(""https://docs.google.com/spreadsheets/d/1swGwZOEqYlTEUCJLY-eeJM1911Kvaei5oySBIxdgtNo/edit?pli=1#gid=257618397"",""stock FAKTUR!B:C""),2,false)"),"KARTU STOCK KWARTO KUNING")</f>
        <v>KARTU STOCK KWARTO KUNING</v>
      </c>
      <c r="F1179" s="145" t="str">
        <f>IFERROR(__xludf.DUMMYFUNCTION("vlookup($D1179,IMPORTRANGE(""https://docs.google.com/spreadsheets/d/1swGwZOEqYlTEUCJLY-eeJM1911Kvaei5oySBIxdgtNo/edit?pli=1#gid=257618397"",""stock FAKTUR!B:d""),3,false)"),"A4")</f>
        <v>A4</v>
      </c>
      <c r="G1179" s="145" t="str">
        <f>IFERROR(__xludf.DUMMYFUNCTION("vlookup($D1179,IMPORTRANGE(""https://docs.google.com/spreadsheets/d/1swGwZOEqYlTEUCJLY-eeJM1911Kvaei5oySBIxdgtNo/edit?pli=1#gid=257618397"",""stock FAKTUR!B:e""),4,false)"),"KUNING")</f>
        <v>KUNING</v>
      </c>
      <c r="H1179" s="145" t="str">
        <f>IFERROR(__xludf.DUMMYFUNCTION("vlookup($D1179,IMPORTRANGE(""https://docs.google.com/spreadsheets/d/1swGwZOEqYlTEUCJLY-eeJM1911Kvaei5oySBIxdgtNo/edit?pli=1#gid=257618397"",""stock FAKTUR!B:F""),5,false)"),"NB")</f>
        <v>NB</v>
      </c>
      <c r="I1179" s="145" t="str">
        <f>IFERROR(__xludf.DUMMYFUNCTION("vlookup($D1179,IMPORTRANGE(""https://docs.google.com/spreadsheets/d/1swGwZOEqYlTEUCJLY-eeJM1911Kvaei5oySBIxdgtNo/edit?pli=1#gid=257618397"",""stock FAKTUR!B:G""),6,false)"),"")</f>
        <v/>
      </c>
      <c r="J1179" s="199" t="str">
        <f t="shared" si="25"/>
        <v>ADA</v>
      </c>
      <c r="K1179" s="142">
        <v>5.0</v>
      </c>
      <c r="L1179" s="145" t="str">
        <f>IFERROR(__xludf.DUMMYFUNCTION("vlookup($D1179,IMPORTRANGE(""https://docs.google.com/spreadsheets/d/1swGwZOEqYlTEUCJLY-eeJM1911Kvaei5oySBIxdgtNo/edit?pli=1#gid=257618397"",""stock FAKTUR!B:q""),16,false)"),"PAK")</f>
        <v>PAK</v>
      </c>
      <c r="M1179" s="147">
        <v>21500.0</v>
      </c>
      <c r="N1179" s="148"/>
      <c r="O1179" s="147">
        <f t="shared" si="280"/>
        <v>107500</v>
      </c>
      <c r="P1179" s="147" t="str">
        <f t="shared" si="3"/>
        <v>Rp21,500-5 PAK-0.00%</v>
      </c>
      <c r="Q1179" s="149">
        <v>45437.0</v>
      </c>
      <c r="R1179" s="149">
        <v>45437.0</v>
      </c>
      <c r="S1179" s="149">
        <v>45440.0</v>
      </c>
      <c r="T1179" s="151"/>
      <c r="U1179" s="151"/>
      <c r="V1179" s="151"/>
      <c r="W1179" s="151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</row>
    <row r="1180">
      <c r="A1180" s="142">
        <v>2936.0</v>
      </c>
      <c r="B1180" s="143" t="str">
        <f t="shared" si="345"/>
        <v>H</v>
      </c>
      <c r="C1180" s="143" t="str">
        <f t="shared" si="346"/>
        <v>BINA ILMU-BATU</v>
      </c>
      <c r="D1180" s="53" t="s">
        <v>4409</v>
      </c>
      <c r="E1180" s="145" t="str">
        <f>IFERROR(__xludf.DUMMYFUNCTION("vlookup(D1180,IMPORTRANGE(""https://docs.google.com/spreadsheets/d/1swGwZOEqYlTEUCJLY-eeJM1911Kvaei5oySBIxdgtNo/edit?pli=1#gid=257618397"",""stock FAKTUR!B:C""),2,false)"),"KARTU STOCK KWARTO PUTIH")</f>
        <v>KARTU STOCK KWARTO PUTIH</v>
      </c>
      <c r="F1180" s="145" t="str">
        <f>IFERROR(__xludf.DUMMYFUNCTION("vlookup($D1180,IMPORTRANGE(""https://docs.google.com/spreadsheets/d/1swGwZOEqYlTEUCJLY-eeJM1911Kvaei5oySBIxdgtNo/edit?pli=1#gid=257618397"",""stock FAKTUR!B:d""),3,false)"),"A4")</f>
        <v>A4</v>
      </c>
      <c r="G1180" s="145" t="str">
        <f>IFERROR(__xludf.DUMMYFUNCTION("vlookup($D1180,IMPORTRANGE(""https://docs.google.com/spreadsheets/d/1swGwZOEqYlTEUCJLY-eeJM1911Kvaei5oySBIxdgtNo/edit?pli=1#gid=257618397"",""stock FAKTUR!B:e""),4,false)"),"PUTIH")</f>
        <v>PUTIH</v>
      </c>
      <c r="H1180" s="145" t="str">
        <f>IFERROR(__xludf.DUMMYFUNCTION("vlookup($D1180,IMPORTRANGE(""https://docs.google.com/spreadsheets/d/1swGwZOEqYlTEUCJLY-eeJM1911Kvaei5oySBIxdgtNo/edit?pli=1#gid=257618397"",""stock FAKTUR!B:F""),5,false)"),"NB")</f>
        <v>NB</v>
      </c>
      <c r="I1180" s="145" t="str">
        <f>IFERROR(__xludf.DUMMYFUNCTION("vlookup($D1180,IMPORTRANGE(""https://docs.google.com/spreadsheets/d/1swGwZOEqYlTEUCJLY-eeJM1911Kvaei5oySBIxdgtNo/edit?pli=1#gid=257618397"",""stock FAKTUR!B:G""),6,false)"),"")</f>
        <v/>
      </c>
      <c r="J1180" s="199" t="str">
        <f t="shared" si="25"/>
        <v>ADA</v>
      </c>
      <c r="K1180" s="142">
        <v>5.0</v>
      </c>
      <c r="L1180" s="145" t="str">
        <f>IFERROR(__xludf.DUMMYFUNCTION("vlookup($D1180,IMPORTRANGE(""https://docs.google.com/spreadsheets/d/1swGwZOEqYlTEUCJLY-eeJM1911Kvaei5oySBIxdgtNo/edit?pli=1#gid=257618397"",""stock FAKTUR!B:q""),16,false)"),"PAK")</f>
        <v>PAK</v>
      </c>
      <c r="M1180" s="147">
        <v>21500.0</v>
      </c>
      <c r="N1180" s="148"/>
      <c r="O1180" s="147">
        <f t="shared" si="280"/>
        <v>107500</v>
      </c>
      <c r="P1180" s="147" t="str">
        <f t="shared" si="3"/>
        <v>Rp21,500-5 PAK-0.00%</v>
      </c>
      <c r="Q1180" s="149">
        <v>45437.0</v>
      </c>
      <c r="R1180" s="149">
        <v>45437.0</v>
      </c>
      <c r="S1180" s="149">
        <v>45440.0</v>
      </c>
      <c r="T1180" s="151"/>
      <c r="U1180" s="151"/>
      <c r="V1180" s="151"/>
      <c r="W1180" s="151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</row>
    <row r="1181">
      <c r="A1181" s="142">
        <v>2936.0</v>
      </c>
      <c r="B1181" s="143" t="str">
        <f t="shared" si="345"/>
        <v>H</v>
      </c>
      <c r="C1181" s="143" t="str">
        <f t="shared" si="346"/>
        <v>BINA ILMU-BATU</v>
      </c>
      <c r="D1181" s="53" t="s">
        <v>4410</v>
      </c>
      <c r="E1181" s="145" t="str">
        <f>IFERROR(__xludf.DUMMYFUNCTION("vlookup(D1181,IMPORTRANGE(""https://docs.google.com/spreadsheets/d/1swGwZOEqYlTEUCJLY-eeJM1911Kvaei5oySBIxdgtNo/edit?pli=1#gid=257618397"",""stock FAKTUR!B:C""),2,false)"),"KARTU STOCK KWARTO BIRU")</f>
        <v>KARTU STOCK KWARTO BIRU</v>
      </c>
      <c r="F1181" s="145" t="str">
        <f>IFERROR(__xludf.DUMMYFUNCTION("vlookup($D1181,IMPORTRANGE(""https://docs.google.com/spreadsheets/d/1swGwZOEqYlTEUCJLY-eeJM1911Kvaei5oySBIxdgtNo/edit?pli=1#gid=257618397"",""stock FAKTUR!B:d""),3,false)"),"A4")</f>
        <v>A4</v>
      </c>
      <c r="G1181" s="145" t="str">
        <f>IFERROR(__xludf.DUMMYFUNCTION("vlookup($D1181,IMPORTRANGE(""https://docs.google.com/spreadsheets/d/1swGwZOEqYlTEUCJLY-eeJM1911Kvaei5oySBIxdgtNo/edit?pli=1#gid=257618397"",""stock FAKTUR!B:e""),4,false)"),"BIRU")</f>
        <v>BIRU</v>
      </c>
      <c r="H1181" s="145" t="str">
        <f>IFERROR(__xludf.DUMMYFUNCTION("vlookup($D1181,IMPORTRANGE(""https://docs.google.com/spreadsheets/d/1swGwZOEqYlTEUCJLY-eeJM1911Kvaei5oySBIxdgtNo/edit?pli=1#gid=257618397"",""stock FAKTUR!B:F""),5,false)"),"NB")</f>
        <v>NB</v>
      </c>
      <c r="I1181" s="145" t="str">
        <f>IFERROR(__xludf.DUMMYFUNCTION("vlookup($D1181,IMPORTRANGE(""https://docs.google.com/spreadsheets/d/1swGwZOEqYlTEUCJLY-eeJM1911Kvaei5oySBIxdgtNo/edit?pli=1#gid=257618397"",""stock FAKTUR!B:G""),6,false)"),"")</f>
        <v/>
      </c>
      <c r="J1181" s="199" t="str">
        <f t="shared" si="25"/>
        <v>ADA</v>
      </c>
      <c r="K1181" s="142">
        <v>5.0</v>
      </c>
      <c r="L1181" s="145" t="str">
        <f>IFERROR(__xludf.DUMMYFUNCTION("vlookup($D1181,IMPORTRANGE(""https://docs.google.com/spreadsheets/d/1swGwZOEqYlTEUCJLY-eeJM1911Kvaei5oySBIxdgtNo/edit?pli=1#gid=257618397"",""stock FAKTUR!B:q""),16,false)"),"PAK")</f>
        <v>PAK</v>
      </c>
      <c r="M1181" s="147">
        <v>21500.0</v>
      </c>
      <c r="N1181" s="148"/>
      <c r="O1181" s="147">
        <f t="shared" si="280"/>
        <v>107500</v>
      </c>
      <c r="P1181" s="147" t="str">
        <f t="shared" si="3"/>
        <v>Rp21,500-5 PAK-0.00%</v>
      </c>
      <c r="Q1181" s="149">
        <v>45437.0</v>
      </c>
      <c r="R1181" s="149">
        <v>45437.0</v>
      </c>
      <c r="S1181" s="149">
        <v>45440.0</v>
      </c>
      <c r="T1181" s="151"/>
      <c r="U1181" s="151"/>
      <c r="V1181" s="151"/>
      <c r="W1181" s="151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</row>
    <row r="1182">
      <c r="A1182" s="142">
        <v>4743.0</v>
      </c>
      <c r="B1182" s="143" t="s">
        <v>58</v>
      </c>
      <c r="C1182" s="143" t="s">
        <v>4851</v>
      </c>
      <c r="D1182" s="53" t="s">
        <v>4602</v>
      </c>
      <c r="E1182" s="145" t="str">
        <f>IFERROR(__xludf.DUMMYFUNCTION("vlookup(D1182,IMPORTRANGE(""https://docs.google.com/spreadsheets/d/1swGwZOEqYlTEUCJLY-eeJM1911Kvaei5oySBIxdgtNo/edit?pli=1#gid=257618397"",""stock FAKTUR!B:C""),2,false)"),"PW KENKO CP-12FNW NON WOOD 12W")</f>
        <v>PW KENKO CP-12FNW NON WOOD 12W</v>
      </c>
      <c r="F1182" s="145" t="str">
        <f>IFERROR(__xludf.DUMMYFUNCTION("vlookup($D1182,IMPORTRANGE(""https://docs.google.com/spreadsheets/d/1swGwZOEqYlTEUCJLY-eeJM1911Kvaei5oySBIxdgtNo/edit?pli=1#gid=257618397"",""stock FAKTUR!B:d""),3,false)"),"")</f>
        <v/>
      </c>
      <c r="G1182" s="145" t="str">
        <f>IFERROR(__xludf.DUMMYFUNCTION("vlookup($D1182,IMPORTRANGE(""https://docs.google.com/spreadsheets/d/1swGwZOEqYlTEUCJLY-eeJM1911Kvaei5oySBIxdgtNo/edit?pli=1#gid=257618397"",""stock FAKTUR!B:e""),4,false)"),"12W")</f>
        <v>12W</v>
      </c>
      <c r="H1182" s="145" t="str">
        <f>IFERROR(__xludf.DUMMYFUNCTION("vlookup($D1182,IMPORTRANGE(""https://docs.google.com/spreadsheets/d/1swGwZOEqYlTEUCJLY-eeJM1911Kvaei5oySBIxdgtNo/edit?pli=1#gid=257618397"",""stock FAKTUR!B:F""),5,false)"),"KN")</f>
        <v>KN</v>
      </c>
      <c r="I1182" s="145" t="str">
        <f>IFERROR(__xludf.DUMMYFUNCTION("vlookup($D1182,IMPORTRANGE(""https://docs.google.com/spreadsheets/d/1swGwZOEqYlTEUCJLY-eeJM1911Kvaei5oySBIxdgtNo/edit?pli=1#gid=257618397"",""stock FAKTUR!B:G""),6,false)"),"CP-12FNW")</f>
        <v>CP-12FNW</v>
      </c>
      <c r="J1182" s="199" t="str">
        <f t="shared" si="25"/>
        <v>ADA</v>
      </c>
      <c r="K1182" s="142">
        <v>48.0</v>
      </c>
      <c r="L1182" s="145" t="str">
        <f>IFERROR(__xludf.DUMMYFUNCTION("vlookup($D1182,IMPORTRANGE(""https://docs.google.com/spreadsheets/d/1swGwZOEqYlTEUCJLY-eeJM1911Kvaei5oySBIxdgtNo/edit?pli=1#gid=257618397"",""stock FAKTUR!B:q""),16,false)"),"LSN")</f>
        <v>LSN</v>
      </c>
      <c r="M1182" s="147">
        <v>102000.0</v>
      </c>
      <c r="N1182" s="152">
        <v>0.125</v>
      </c>
      <c r="O1182" s="147">
        <f t="shared" si="280"/>
        <v>4284000</v>
      </c>
      <c r="P1182" s="147" t="str">
        <f t="shared" si="3"/>
        <v>Rp102,000-48 LSN-12.50%</v>
      </c>
      <c r="Q1182" s="149">
        <v>45423.0</v>
      </c>
      <c r="R1182" s="150"/>
      <c r="S1182" s="149">
        <v>45440.0</v>
      </c>
      <c r="T1182" s="151"/>
      <c r="U1182" s="151"/>
      <c r="V1182" s="151"/>
      <c r="W1182" s="151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</row>
    <row r="1183">
      <c r="A1183" s="142">
        <v>4485.0</v>
      </c>
      <c r="B1183" s="143" t="s">
        <v>33</v>
      </c>
      <c r="C1183" s="143" t="s">
        <v>4852</v>
      </c>
      <c r="D1183" s="53" t="s">
        <v>4431</v>
      </c>
      <c r="E1183" s="145" t="str">
        <f>IFERROR(__xludf.DUMMYFUNCTION("vlookup(D1183,IMPORTRANGE(""https://docs.google.com/spreadsheets/d/1swGwZOEqYlTEUCJLY-eeJM1911Kvaei5oySBIxdgtNo/edit?pli=1#gid=257618397"",""stock FAKTUR!B:C""),2,false)"),"MESIN LABEL HARGA KENKO MX-5500")</f>
        <v>MESIN LABEL HARGA KENKO MX-5500</v>
      </c>
      <c r="F1183" s="145" t="str">
        <f>IFERROR(__xludf.DUMMYFUNCTION("vlookup($D1183,IMPORTRANGE(""https://docs.google.com/spreadsheets/d/1swGwZOEqYlTEUCJLY-eeJM1911Kvaei5oySBIxdgtNo/edit?pli=1#gid=257618397"",""stock FAKTUR!B:d""),3,false)"),"")</f>
        <v/>
      </c>
      <c r="G1183" s="145" t="str">
        <f>IFERROR(__xludf.DUMMYFUNCTION("vlookup($D1183,IMPORTRANGE(""https://docs.google.com/spreadsheets/d/1swGwZOEqYlTEUCJLY-eeJM1911Kvaei5oySBIxdgtNo/edit?pli=1#gid=257618397"",""stock FAKTUR!B:e""),4,false)"),"")</f>
        <v/>
      </c>
      <c r="H1183" s="145" t="str">
        <f>IFERROR(__xludf.DUMMYFUNCTION("vlookup($D1183,IMPORTRANGE(""https://docs.google.com/spreadsheets/d/1swGwZOEqYlTEUCJLY-eeJM1911Kvaei5oySBIxdgtNo/edit?pli=1#gid=257618397"",""stock FAKTUR!B:F""),5,false)"),"KN")</f>
        <v>KN</v>
      </c>
      <c r="I1183" s="145" t="str">
        <f>IFERROR(__xludf.DUMMYFUNCTION("vlookup($D1183,IMPORTRANGE(""https://docs.google.com/spreadsheets/d/1swGwZOEqYlTEUCJLY-eeJM1911Kvaei5oySBIxdgtNo/edit?pli=1#gid=257618397"",""stock FAKTUR!B:G""),6,false)"),"PLR-001")</f>
        <v>PLR-001</v>
      </c>
      <c r="J1183" s="199" t="str">
        <f t="shared" si="25"/>
        <v>ADA</v>
      </c>
      <c r="K1183" s="142">
        <v>12.0</v>
      </c>
      <c r="L1183" s="145" t="str">
        <f>IFERROR(__xludf.DUMMYFUNCTION("vlookup($D1183,IMPORTRANGE(""https://docs.google.com/spreadsheets/d/1swGwZOEqYlTEUCJLY-eeJM1911Kvaei5oySBIxdgtNo/edit?pli=1#gid=257618397"",""stock FAKTUR!B:q""),16,false)"),"PCS")</f>
        <v>PCS</v>
      </c>
      <c r="M1183" s="147">
        <v>45000.0</v>
      </c>
      <c r="N1183" s="148"/>
      <c r="O1183" s="147">
        <f t="shared" si="280"/>
        <v>540000</v>
      </c>
      <c r="P1183" s="147" t="str">
        <f t="shared" si="3"/>
        <v>Rp45,000-12 PCS-0.00%</v>
      </c>
      <c r="Q1183" s="149">
        <v>45434.0</v>
      </c>
      <c r="R1183" s="150"/>
      <c r="S1183" s="149">
        <v>45440.0</v>
      </c>
      <c r="T1183" s="151"/>
      <c r="U1183" s="151"/>
      <c r="V1183" s="151"/>
      <c r="W1183" s="151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</row>
    <row r="1184">
      <c r="A1184" s="142">
        <v>4485.0</v>
      </c>
      <c r="B1184" s="143" t="str">
        <f t="shared" ref="B1184:B1187" si="347">IF(A1184=A1183,B1183,"")</f>
        <v>H</v>
      </c>
      <c r="C1184" s="143" t="str">
        <f t="shared" ref="C1184:C1187" si="348">IF(A1184=A1183,C1183,"")</f>
        <v>BINA ILMU-SINGOSARI</v>
      </c>
      <c r="D1184" s="53" t="s">
        <v>4394</v>
      </c>
      <c r="E1184" s="145" t="str">
        <f>IFERROR(__xludf.DUMMYFUNCTION("vlookup(D1184,IMPORTRANGE(""https://docs.google.com/spreadsheets/d/1swGwZOEqYlTEUCJLY-eeJM1911Kvaei5oySBIxdgtNo/edit?pli=1#gid=257618397"",""stock FAKTUR!B:C""),2,false)"),"CRAYON PUTAR JK 12W PANJANG")</f>
        <v>CRAYON PUTAR JK 12W PANJANG</v>
      </c>
      <c r="F1184" s="145" t="str">
        <f>IFERROR(__xludf.DUMMYFUNCTION("vlookup($D1184,IMPORTRANGE(""https://docs.google.com/spreadsheets/d/1swGwZOEqYlTEUCJLY-eeJM1911Kvaei5oySBIxdgtNo/edit?pli=1#gid=257618397"",""stock FAKTUR!B:d""),3,false)"),"")</f>
        <v/>
      </c>
      <c r="G1184" s="145" t="str">
        <f>IFERROR(__xludf.DUMMYFUNCTION("vlookup($D1184,IMPORTRANGE(""https://docs.google.com/spreadsheets/d/1swGwZOEqYlTEUCJLY-eeJM1911Kvaei5oySBIxdgtNo/edit?pli=1#gid=257618397"",""stock FAKTUR!B:e""),4,false)"),"12W")</f>
        <v>12W</v>
      </c>
      <c r="H1184" s="145" t="str">
        <f>IFERROR(__xludf.DUMMYFUNCTION("vlookup($D1184,IMPORTRANGE(""https://docs.google.com/spreadsheets/d/1swGwZOEqYlTEUCJLY-eeJM1911Kvaei5oySBIxdgtNo/edit?pli=1#gid=257618397"",""stock FAKTUR!B:F""),5,false)"),"JK")</f>
        <v>JK</v>
      </c>
      <c r="I1184" s="145" t="str">
        <f>IFERROR(__xludf.DUMMYFUNCTION("vlookup($D1184,IMPORTRANGE(""https://docs.google.com/spreadsheets/d/1swGwZOEqYlTEUCJLY-eeJM1911Kvaei5oySBIxdgtNo/edit?pli=1#gid=257618397"",""stock FAKTUR!B:G""),6,false)"),"")</f>
        <v/>
      </c>
      <c r="J1184" s="199" t="str">
        <f t="shared" si="25"/>
        <v>ADA</v>
      </c>
      <c r="K1184" s="142">
        <v>2.0</v>
      </c>
      <c r="L1184" s="145" t="str">
        <f>IFERROR(__xludf.DUMMYFUNCTION("vlookup($D1184,IMPORTRANGE(""https://docs.google.com/spreadsheets/d/1swGwZOEqYlTEUCJLY-eeJM1911Kvaei5oySBIxdgtNo/edit?pli=1#gid=257618397"",""stock FAKTUR!B:q""),16,false)"),"LSN")</f>
        <v>LSN</v>
      </c>
      <c r="M1184" s="147">
        <v>295800.0</v>
      </c>
      <c r="N1184" s="148"/>
      <c r="O1184" s="147">
        <f t="shared" si="280"/>
        <v>591600</v>
      </c>
      <c r="P1184" s="147" t="str">
        <f t="shared" si="3"/>
        <v>Rp295,800-2 LSN-0.00%</v>
      </c>
      <c r="Q1184" s="149">
        <v>45434.0</v>
      </c>
      <c r="R1184" s="150"/>
      <c r="S1184" s="149">
        <v>45440.0</v>
      </c>
      <c r="T1184" s="151"/>
      <c r="U1184" s="151"/>
      <c r="V1184" s="151"/>
      <c r="W1184" s="151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</row>
    <row r="1185">
      <c r="A1185" s="142">
        <v>4485.0</v>
      </c>
      <c r="B1185" s="143" t="str">
        <f t="shared" si="347"/>
        <v>H</v>
      </c>
      <c r="C1185" s="143" t="str">
        <f t="shared" si="348"/>
        <v>BINA ILMU-SINGOSARI</v>
      </c>
      <c r="D1185" s="53" t="s">
        <v>4853</v>
      </c>
      <c r="E1185" s="145" t="str">
        <f>IFERROR(__xludf.DUMMYFUNCTION("vlookup(D1185,IMPORTRANGE(""https://docs.google.com/spreadsheets/d/1swGwZOEqYlTEUCJLY-eeJM1911Kvaei5oySBIxdgtNo/edit?pli=1#gid=257618397"",""stock FAKTUR!B:C""),2,false)"),"CUTTER JK A-300A (AUTOLOCK)")</f>
        <v>CUTTER JK A-300A (AUTOLOCK)</v>
      </c>
      <c r="F1185" s="145" t="str">
        <f>IFERROR(__xludf.DUMMYFUNCTION("vlookup($D1185,IMPORTRANGE(""https://docs.google.com/spreadsheets/d/1swGwZOEqYlTEUCJLY-eeJM1911Kvaei5oySBIxdgtNo/edit?pli=1#gid=257618397"",""stock FAKTUR!B:d""),3,false)"),"")</f>
        <v/>
      </c>
      <c r="G1185" s="145" t="str">
        <f>IFERROR(__xludf.DUMMYFUNCTION("vlookup($D1185,IMPORTRANGE(""https://docs.google.com/spreadsheets/d/1swGwZOEqYlTEUCJLY-eeJM1911Kvaei5oySBIxdgtNo/edit?pli=1#gid=257618397"",""stock FAKTUR!B:e""),4,false)"),"")</f>
        <v/>
      </c>
      <c r="H1185" s="145" t="str">
        <f>IFERROR(__xludf.DUMMYFUNCTION("vlookup($D1185,IMPORTRANGE(""https://docs.google.com/spreadsheets/d/1swGwZOEqYlTEUCJLY-eeJM1911Kvaei5oySBIxdgtNo/edit?pli=1#gid=257618397"",""stock FAKTUR!B:F""),5,false)"),"JK")</f>
        <v>JK</v>
      </c>
      <c r="I1185" s="145" t="str">
        <f>IFERROR(__xludf.DUMMYFUNCTION("vlookup($D1185,IMPORTRANGE(""https://docs.google.com/spreadsheets/d/1swGwZOEqYlTEUCJLY-eeJM1911Kvaei5oySBIxdgtNo/edit?pli=1#gid=257618397"",""stock FAKTUR!B:G""),6,false)"),"A-300A")</f>
        <v>A-300A</v>
      </c>
      <c r="J1185" s="199" t="str">
        <f t="shared" si="25"/>
        <v>ADA</v>
      </c>
      <c r="K1185" s="142">
        <v>2.0</v>
      </c>
      <c r="L1185" s="145" t="str">
        <f>IFERROR(__xludf.DUMMYFUNCTION("vlookup($D1185,IMPORTRANGE(""https://docs.google.com/spreadsheets/d/1swGwZOEqYlTEUCJLY-eeJM1911Kvaei5oySBIxdgtNo/edit?pli=1#gid=257618397"",""stock FAKTUR!B:q""),16,false)"),"LSN")</f>
        <v>LSN</v>
      </c>
      <c r="M1185" s="147">
        <v>55800.0</v>
      </c>
      <c r="N1185" s="148"/>
      <c r="O1185" s="147">
        <f t="shared" si="280"/>
        <v>111600</v>
      </c>
      <c r="P1185" s="147" t="str">
        <f t="shared" si="3"/>
        <v>Rp55,800-2 LSN-0.00%</v>
      </c>
      <c r="Q1185" s="149">
        <v>45434.0</v>
      </c>
      <c r="R1185" s="150"/>
      <c r="S1185" s="149">
        <v>45440.0</v>
      </c>
      <c r="T1185" s="151"/>
      <c r="U1185" s="151"/>
      <c r="V1185" s="151"/>
      <c r="W1185" s="151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</row>
    <row r="1186">
      <c r="A1186" s="142">
        <v>4485.0</v>
      </c>
      <c r="B1186" s="143" t="str">
        <f t="shared" si="347"/>
        <v>H</v>
      </c>
      <c r="C1186" s="143" t="str">
        <f t="shared" si="348"/>
        <v>BINA ILMU-SINGOSARI</v>
      </c>
      <c r="D1186" s="53" t="s">
        <v>4667</v>
      </c>
      <c r="E1186" s="145" t="str">
        <f>IFERROR(__xludf.DUMMYFUNCTION("vlookup(D1186,IMPORTRANGE(""https://docs.google.com/spreadsheets/d/1swGwZOEqYlTEUCJLY-eeJM1911Kvaei5oySBIxdgtNo/edit?pli=1#gid=257618397"",""stock FAKTUR!B:C""),2,false)"),"CUTTER JK L-500+ISI")</f>
        <v>CUTTER JK L-500+ISI</v>
      </c>
      <c r="F1186" s="145" t="str">
        <f>IFERROR(__xludf.DUMMYFUNCTION("vlookup($D1186,IMPORTRANGE(""https://docs.google.com/spreadsheets/d/1swGwZOEqYlTEUCJLY-eeJM1911Kvaei5oySBIxdgtNo/edit?pli=1#gid=257618397"",""stock FAKTUR!B:d""),3,false)"),"")</f>
        <v/>
      </c>
      <c r="G1186" s="145" t="str">
        <f>IFERROR(__xludf.DUMMYFUNCTION("vlookup($D1186,IMPORTRANGE(""https://docs.google.com/spreadsheets/d/1swGwZOEqYlTEUCJLY-eeJM1911Kvaei5oySBIxdgtNo/edit?pli=1#gid=257618397"",""stock FAKTUR!B:e""),4,false)"),"")</f>
        <v/>
      </c>
      <c r="H1186" s="145" t="str">
        <f>IFERROR(__xludf.DUMMYFUNCTION("vlookup($D1186,IMPORTRANGE(""https://docs.google.com/spreadsheets/d/1swGwZOEqYlTEUCJLY-eeJM1911Kvaei5oySBIxdgtNo/edit?pli=1#gid=257618397"",""stock FAKTUR!B:F""),5,false)"),"JK")</f>
        <v>JK</v>
      </c>
      <c r="I1186" s="145" t="str">
        <f>IFERROR(__xludf.DUMMYFUNCTION("vlookup($D1186,IMPORTRANGE(""https://docs.google.com/spreadsheets/d/1swGwZOEqYlTEUCJLY-eeJM1911Kvaei5oySBIxdgtNo/edit?pli=1#gid=257618397"",""stock FAKTUR!B:G""),6,false)"),"L-500")</f>
        <v>L-500</v>
      </c>
      <c r="J1186" s="199" t="str">
        <f t="shared" si="25"/>
        <v>ADA</v>
      </c>
      <c r="K1186" s="142">
        <v>2.0</v>
      </c>
      <c r="L1186" s="145" t="str">
        <f>IFERROR(__xludf.DUMMYFUNCTION("vlookup($D1186,IMPORTRANGE(""https://docs.google.com/spreadsheets/d/1swGwZOEqYlTEUCJLY-eeJM1911Kvaei5oySBIxdgtNo/edit?pli=1#gid=257618397"",""stock FAKTUR!B:q""),16,false)"),"LSN")</f>
        <v>LSN</v>
      </c>
      <c r="M1186" s="147">
        <v>168000.0</v>
      </c>
      <c r="N1186" s="148"/>
      <c r="O1186" s="147">
        <f t="shared" si="280"/>
        <v>336000</v>
      </c>
      <c r="P1186" s="147" t="str">
        <f t="shared" si="3"/>
        <v>Rp168,000-2 LSN-0.00%</v>
      </c>
      <c r="Q1186" s="149">
        <v>45434.0</v>
      </c>
      <c r="R1186" s="150"/>
      <c r="S1186" s="149">
        <v>45440.0</v>
      </c>
      <c r="T1186" s="151"/>
      <c r="U1186" s="151"/>
      <c r="V1186" s="151"/>
      <c r="W1186" s="151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</row>
    <row r="1187">
      <c r="A1187" s="142">
        <v>4485.0</v>
      </c>
      <c r="B1187" s="143" t="str">
        <f t="shared" si="347"/>
        <v>H</v>
      </c>
      <c r="C1187" s="143" t="str">
        <f t="shared" si="348"/>
        <v>BINA ILMU-SINGOSARI</v>
      </c>
      <c r="D1187" s="159"/>
      <c r="E1187" s="49" t="s">
        <v>4854</v>
      </c>
      <c r="F1187" s="200" t="str">
        <f>IFERROR(__xludf.DUMMYFUNCTION("vlookup($D1187,IMPORTRANGE(""https://docs.google.com/spreadsheets/d/1swGwZOEqYlTEUCJLY-eeJM1911Kvaei5oySBIxdgtNo/edit?pli=1#gid=257618397"",""stock FAKTUR!B:d""),3,false)"),"#N/A")</f>
        <v>#N/A</v>
      </c>
      <c r="G1187" s="200" t="str">
        <f>IFERROR(__xludf.DUMMYFUNCTION("vlookup($D1187,IMPORTRANGE(""https://docs.google.com/spreadsheets/d/1swGwZOEqYlTEUCJLY-eeJM1911Kvaei5oySBIxdgtNo/edit?pli=1#gid=257618397"",""stock FAKTUR!B:e""),4,false)"),"#N/A")</f>
        <v>#N/A</v>
      </c>
      <c r="H1187" s="200" t="str">
        <f>IFERROR(__xludf.DUMMYFUNCTION("vlookup($D1187,IMPORTRANGE(""https://docs.google.com/spreadsheets/d/1swGwZOEqYlTEUCJLY-eeJM1911Kvaei5oySBIxdgtNo/edit?pli=1#gid=257618397"",""stock FAKTUR!B:F""),5,false)"),"#N/A")</f>
        <v>#N/A</v>
      </c>
      <c r="I1187" s="200" t="str">
        <f>IFERROR(__xludf.DUMMYFUNCTION("vlookup($D1187,IMPORTRANGE(""https://docs.google.com/spreadsheets/d/1swGwZOEqYlTEUCJLY-eeJM1911Kvaei5oySBIxdgtNo/edit?pli=1#gid=257618397"",""stock FAKTUR!B:G""),6,false)"),"#N/A")</f>
        <v>#N/A</v>
      </c>
      <c r="J1187" s="199" t="str">
        <f t="shared" si="25"/>
        <v>TIDAK ADA</v>
      </c>
      <c r="K1187" s="142">
        <v>192.0</v>
      </c>
      <c r="L1187" s="145" t="s">
        <v>69</v>
      </c>
      <c r="M1187" s="147">
        <v>3750.0</v>
      </c>
      <c r="N1187" s="148"/>
      <c r="O1187" s="147">
        <f t="shared" si="280"/>
        <v>720000</v>
      </c>
      <c r="P1187" s="147" t="str">
        <f t="shared" si="3"/>
        <v>Rp3,750-192 PCS-0.00%</v>
      </c>
      <c r="Q1187" s="149">
        <v>45434.0</v>
      </c>
      <c r="R1187" s="150"/>
      <c r="S1187" s="149">
        <v>45440.0</v>
      </c>
      <c r="T1187" s="151" t="s">
        <v>4542</v>
      </c>
      <c r="U1187" s="151"/>
      <c r="V1187" s="151"/>
      <c r="W1187" s="151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</row>
    <row r="1188">
      <c r="A1188" s="142">
        <v>4949.0</v>
      </c>
      <c r="B1188" s="143" t="s">
        <v>33</v>
      </c>
      <c r="C1188" s="143" t="s">
        <v>4482</v>
      </c>
      <c r="D1188" s="53" t="s">
        <v>4210</v>
      </c>
      <c r="E1188" s="145" t="str">
        <f>IFERROR(__xludf.DUMMYFUNCTION("vlookup(D1188,IMPORTRANGE(""https://docs.google.com/spreadsheets/d/1swGwZOEqYlTEUCJLY-eeJM1911Kvaei5oySBIxdgtNo/edit?pli=1#gid=257618397"",""stock FAKTUR!B:C""),2,false)"),"CUTTER KENKO L-500")</f>
        <v>CUTTER KENKO L-500</v>
      </c>
      <c r="F1188" s="145" t="str">
        <f>IFERROR(__xludf.DUMMYFUNCTION("vlookup($D1188,IMPORTRANGE(""https://docs.google.com/spreadsheets/d/1swGwZOEqYlTEUCJLY-eeJM1911Kvaei5oySBIxdgtNo/edit?pli=1#gid=257618397"",""stock FAKTUR!B:d""),3,false)"),"18 MM")</f>
        <v>18 MM</v>
      </c>
      <c r="G1188" s="145" t="str">
        <f>IFERROR(__xludf.DUMMYFUNCTION("vlookup($D1188,IMPORTRANGE(""https://docs.google.com/spreadsheets/d/1swGwZOEqYlTEUCJLY-eeJM1911Kvaei5oySBIxdgtNo/edit?pli=1#gid=257618397"",""stock FAKTUR!B:e""),4,false)"),"")</f>
        <v/>
      </c>
      <c r="H1188" s="145" t="str">
        <f>IFERROR(__xludf.DUMMYFUNCTION("vlookup($D1188,IMPORTRANGE(""https://docs.google.com/spreadsheets/d/1swGwZOEqYlTEUCJLY-eeJM1911Kvaei5oySBIxdgtNo/edit?pli=1#gid=257618397"",""stock FAKTUR!B:F""),5,false)"),"KN")</f>
        <v>KN</v>
      </c>
      <c r="I1188" s="145" t="str">
        <f>IFERROR(__xludf.DUMMYFUNCTION("vlookup($D1188,IMPORTRANGE(""https://docs.google.com/spreadsheets/d/1swGwZOEqYlTEUCJLY-eeJM1911Kvaei5oySBIxdgtNo/edit?pli=1#gid=257618397"",""stock FAKTUR!B:G""),6,false)"),"CTR-007")</f>
        <v>CTR-007</v>
      </c>
      <c r="J1188" s="199" t="str">
        <f t="shared" si="25"/>
        <v>ADA</v>
      </c>
      <c r="K1188" s="142">
        <v>10.0</v>
      </c>
      <c r="L1188" s="145" t="str">
        <f>IFERROR(__xludf.DUMMYFUNCTION("vlookup($D1188,IMPORTRANGE(""https://docs.google.com/spreadsheets/d/1swGwZOEqYlTEUCJLY-eeJM1911Kvaei5oySBIxdgtNo/edit?pli=1#gid=257618397"",""stock FAKTUR!B:q""),16,false)"),"LSN")</f>
        <v>LSN</v>
      </c>
      <c r="M1188" s="147">
        <v>147600.0</v>
      </c>
      <c r="N1188" s="152">
        <v>0.125</v>
      </c>
      <c r="O1188" s="147">
        <f t="shared" si="280"/>
        <v>1291500</v>
      </c>
      <c r="P1188" s="147" t="str">
        <f t="shared" si="3"/>
        <v>Rp147,600-10 LSN-12.50%</v>
      </c>
      <c r="Q1188" s="149">
        <v>45430.0</v>
      </c>
      <c r="R1188" s="150"/>
      <c r="S1188" s="149">
        <v>45440.0</v>
      </c>
      <c r="T1188" s="151"/>
      <c r="U1188" s="151"/>
      <c r="V1188" s="151"/>
      <c r="W1188" s="151"/>
      <c r="X1188" s="49"/>
      <c r="Y1188" s="49"/>
      <c r="Z1188" s="49"/>
      <c r="AA1188" s="49"/>
      <c r="AB1188" s="49"/>
      <c r="AC1188" s="49"/>
      <c r="AD1188" s="49"/>
      <c r="AE1188" s="49"/>
      <c r="AF1188" s="49"/>
      <c r="AG1188" s="49"/>
    </row>
    <row r="1189">
      <c r="A1189" s="142">
        <v>4949.0</v>
      </c>
      <c r="B1189" s="143" t="str">
        <f t="shared" ref="B1189:B1192" si="349">IF(A1189=A1188,B1188,"")</f>
        <v>H</v>
      </c>
      <c r="C1189" s="143" t="str">
        <f t="shared" ref="C1189:C1192" si="350">IF(A1189=A1188,C1188,"")</f>
        <v>ARMADA-PURWOKERTO</v>
      </c>
      <c r="D1189" s="53" t="s">
        <v>4855</v>
      </c>
      <c r="E1189" s="145" t="str">
        <f>IFERROR(__xludf.DUMMYFUNCTION("vlookup(D1189,IMPORTRANGE(""https://docs.google.com/spreadsheets/d/1swGwZOEqYlTEUCJLY-eeJM1911Kvaei5oySBIxdgtNo/edit?pli=1#gid=257618397"",""stock FAKTUR!B:C""),2,false)"),"TAPE CUTTER JK TD-2S")</f>
        <v>TAPE CUTTER JK TD-2S</v>
      </c>
      <c r="F1189" s="145" t="str">
        <f>IFERROR(__xludf.DUMMYFUNCTION("vlookup($D1189,IMPORTRANGE(""https://docs.google.com/spreadsheets/d/1swGwZOEqYlTEUCJLY-eeJM1911Kvaei5oySBIxdgtNo/edit?pli=1#gid=257618397"",""stock FAKTUR!B:d""),3,false)"),"")</f>
        <v/>
      </c>
      <c r="G1189" s="145" t="str">
        <f>IFERROR(__xludf.DUMMYFUNCTION("vlookup($D1189,IMPORTRANGE(""https://docs.google.com/spreadsheets/d/1swGwZOEqYlTEUCJLY-eeJM1911Kvaei5oySBIxdgtNo/edit?pli=1#gid=257618397"",""stock FAKTUR!B:e""),4,false)"),"")</f>
        <v/>
      </c>
      <c r="H1189" s="145" t="str">
        <f>IFERROR(__xludf.DUMMYFUNCTION("vlookup($D1189,IMPORTRANGE(""https://docs.google.com/spreadsheets/d/1swGwZOEqYlTEUCJLY-eeJM1911Kvaei5oySBIxdgtNo/edit?pli=1#gid=257618397"",""stock FAKTUR!B:F""),5,false)"),"JK")</f>
        <v>JK</v>
      </c>
      <c r="I1189" s="145" t="str">
        <f>IFERROR(__xludf.DUMMYFUNCTION("vlookup($D1189,IMPORTRANGE(""https://docs.google.com/spreadsheets/d/1swGwZOEqYlTEUCJLY-eeJM1911Kvaei5oySBIxdgtNo/edit?pli=1#gid=257618397"",""stock FAKTUR!B:G""),6,false)"),"TD-2S")</f>
        <v>TD-2S</v>
      </c>
      <c r="J1189" s="199" t="str">
        <f t="shared" si="25"/>
        <v>ADA</v>
      </c>
      <c r="K1189" s="142">
        <v>50.0</v>
      </c>
      <c r="L1189" s="145" t="str">
        <f>IFERROR(__xludf.DUMMYFUNCTION("vlookup($D1189,IMPORTRANGE(""https://docs.google.com/spreadsheets/d/1swGwZOEqYlTEUCJLY-eeJM1911Kvaei5oySBIxdgtNo/edit?pli=1#gid=257618397"",""stock FAKTUR!B:q""),16,false)"),"PCS")</f>
        <v>PCS</v>
      </c>
      <c r="M1189" s="147">
        <v>17000.0</v>
      </c>
      <c r="N1189" s="152">
        <v>0.125</v>
      </c>
      <c r="O1189" s="147">
        <f t="shared" si="280"/>
        <v>743750</v>
      </c>
      <c r="P1189" s="147" t="str">
        <f t="shared" si="3"/>
        <v>Rp17,000-50 PCS-12.50%</v>
      </c>
      <c r="Q1189" s="149">
        <v>45430.0</v>
      </c>
      <c r="R1189" s="150"/>
      <c r="S1189" s="149">
        <v>45440.0</v>
      </c>
      <c r="T1189" s="151"/>
      <c r="U1189" s="151"/>
      <c r="V1189" s="151"/>
      <c r="W1189" s="151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</row>
    <row r="1190">
      <c r="A1190" s="142">
        <v>4949.0</v>
      </c>
      <c r="B1190" s="143" t="str">
        <f t="shared" si="349"/>
        <v>H</v>
      </c>
      <c r="C1190" s="143" t="str">
        <f t="shared" si="350"/>
        <v>ARMADA-PURWOKERTO</v>
      </c>
      <c r="D1190" s="53" t="s">
        <v>4766</v>
      </c>
      <c r="E1190" s="145" t="str">
        <f>IFERROR(__xludf.DUMMYFUNCTION("vlookup(D1190,IMPORTRANGE(""https://docs.google.com/spreadsheets/d/1swGwZOEqYlTEUCJLY-eeJM1911Kvaei5oySBIxdgtNo/edit?pli=1#gid=257618397"",""stock FAKTUR!B:C""),2,false)"),"BINDER CLIP KENKO NO. 105")</f>
        <v>BINDER CLIP KENKO NO. 105</v>
      </c>
      <c r="F1190" s="145" t="str">
        <f>IFERROR(__xludf.DUMMYFUNCTION("vlookup($D1190,IMPORTRANGE(""https://docs.google.com/spreadsheets/d/1swGwZOEqYlTEUCJLY-eeJM1911Kvaei5oySBIxdgtNo/edit?pli=1#gid=257618397"",""stock FAKTUR!B:d""),3,false)"),"")</f>
        <v/>
      </c>
      <c r="G1190" s="145" t="str">
        <f>IFERROR(__xludf.DUMMYFUNCTION("vlookup($D1190,IMPORTRANGE(""https://docs.google.com/spreadsheets/d/1swGwZOEqYlTEUCJLY-eeJM1911Kvaei5oySBIxdgtNo/edit?pli=1#gid=257618397"",""stock FAKTUR!B:e""),4,false)"),"")</f>
        <v/>
      </c>
      <c r="H1190" s="145" t="str">
        <f>IFERROR(__xludf.DUMMYFUNCTION("vlookup($D1190,IMPORTRANGE(""https://docs.google.com/spreadsheets/d/1swGwZOEqYlTEUCJLY-eeJM1911Kvaei5oySBIxdgtNo/edit?pli=1#gid=257618397"",""stock FAKTUR!B:F""),5,false)"),"KN")</f>
        <v>KN</v>
      </c>
      <c r="I1190" s="145" t="str">
        <f>IFERROR(__xludf.DUMMYFUNCTION("vlookup($D1190,IMPORTRANGE(""https://docs.google.com/spreadsheets/d/1swGwZOEqYlTEUCJLY-eeJM1911Kvaei5oySBIxdgtNo/edit?pli=1#gid=257618397"",""stock FAKTUR!B:G""),6,false)"),"BCL-001QH")</f>
        <v>BCL-001QH</v>
      </c>
      <c r="J1190" s="199" t="str">
        <f t="shared" si="25"/>
        <v>ADA</v>
      </c>
      <c r="K1190" s="142">
        <v>20.0</v>
      </c>
      <c r="L1190" s="145" t="str">
        <f>IFERROR(__xludf.DUMMYFUNCTION("vlookup($D1190,IMPORTRANGE(""https://docs.google.com/spreadsheets/d/1swGwZOEqYlTEUCJLY-eeJM1911Kvaei5oySBIxdgtNo/edit?pli=1#gid=257618397"",""stock FAKTUR!B:q""),16,false)"),"BOX")</f>
        <v>BOX</v>
      </c>
      <c r="M1190" s="147">
        <v>28800.0</v>
      </c>
      <c r="N1190" s="152">
        <v>0.125</v>
      </c>
      <c r="O1190" s="147">
        <f t="shared" si="280"/>
        <v>504000</v>
      </c>
      <c r="P1190" s="147" t="str">
        <f t="shared" si="3"/>
        <v>Rp28,800-20 BOX-12.50%</v>
      </c>
      <c r="Q1190" s="149">
        <v>45430.0</v>
      </c>
      <c r="R1190" s="150"/>
      <c r="S1190" s="149">
        <v>45440.0</v>
      </c>
      <c r="T1190" s="151"/>
      <c r="U1190" s="151"/>
      <c r="V1190" s="151"/>
      <c r="W1190" s="151"/>
      <c r="X1190" s="49"/>
      <c r="Y1190" s="49"/>
      <c r="Z1190" s="49"/>
      <c r="AA1190" s="49"/>
      <c r="AB1190" s="49"/>
      <c r="AC1190" s="49"/>
      <c r="AD1190" s="49"/>
      <c r="AE1190" s="49"/>
      <c r="AF1190" s="49"/>
      <c r="AG1190" s="49"/>
    </row>
    <row r="1191">
      <c r="A1191" s="142">
        <v>4949.0</v>
      </c>
      <c r="B1191" s="143" t="str">
        <f t="shared" si="349"/>
        <v>H</v>
      </c>
      <c r="C1191" s="143" t="str">
        <f t="shared" si="350"/>
        <v>ARMADA-PURWOKERTO</v>
      </c>
      <c r="D1191" s="53" t="s">
        <v>4707</v>
      </c>
      <c r="E1191" s="145" t="str">
        <f>IFERROR(__xludf.DUMMYFUNCTION("vlookup(D1191,IMPORTRANGE(""https://docs.google.com/spreadsheets/d/1swGwZOEqYlTEUCJLY-eeJM1911Kvaei5oySBIxdgtNo/edit?pli=1#gid=257618397"",""stock FAKTUR!B:C""),2,false)"),"BINDER CLIP KENKO NO. 107")</f>
        <v>BINDER CLIP KENKO NO. 107</v>
      </c>
      <c r="F1191" s="145" t="str">
        <f>IFERROR(__xludf.DUMMYFUNCTION("vlookup($D1191,IMPORTRANGE(""https://docs.google.com/spreadsheets/d/1swGwZOEqYlTEUCJLY-eeJM1911Kvaei5oySBIxdgtNo/edit?pli=1#gid=257618397"",""stock FAKTUR!B:d""),3,false)"),"")</f>
        <v/>
      </c>
      <c r="G1191" s="145" t="str">
        <f>IFERROR(__xludf.DUMMYFUNCTION("vlookup($D1191,IMPORTRANGE(""https://docs.google.com/spreadsheets/d/1swGwZOEqYlTEUCJLY-eeJM1911Kvaei5oySBIxdgtNo/edit?pli=1#gid=257618397"",""stock FAKTUR!B:e""),4,false)"),"")</f>
        <v/>
      </c>
      <c r="H1191" s="145" t="str">
        <f>IFERROR(__xludf.DUMMYFUNCTION("vlookup($D1191,IMPORTRANGE(""https://docs.google.com/spreadsheets/d/1swGwZOEqYlTEUCJLY-eeJM1911Kvaei5oySBIxdgtNo/edit?pli=1#gid=257618397"",""stock FAKTUR!B:F""),5,false)"),"KN")</f>
        <v>KN</v>
      </c>
      <c r="I1191" s="145" t="str">
        <f>IFERROR(__xludf.DUMMYFUNCTION("vlookup($D1191,IMPORTRANGE(""https://docs.google.com/spreadsheets/d/1swGwZOEqYlTEUCJLY-eeJM1911Kvaei5oySBIxdgtNo/edit?pli=1#gid=257618397"",""stock FAKTUR!B:G""),6,false)"),"BCL-002QH")</f>
        <v>BCL-002QH</v>
      </c>
      <c r="J1191" s="199" t="str">
        <f t="shared" si="25"/>
        <v>ADA</v>
      </c>
      <c r="K1191" s="142">
        <v>20.0</v>
      </c>
      <c r="L1191" s="145" t="str">
        <f>IFERROR(__xludf.DUMMYFUNCTION("vlookup($D1191,IMPORTRANGE(""https://docs.google.com/spreadsheets/d/1swGwZOEqYlTEUCJLY-eeJM1911Kvaei5oySBIxdgtNo/edit?pli=1#gid=257618397"",""stock FAKTUR!B:q""),16,false)"),"BOX")</f>
        <v>BOX</v>
      </c>
      <c r="M1191" s="147">
        <v>31800.0</v>
      </c>
      <c r="N1191" s="152">
        <v>0.125</v>
      </c>
      <c r="O1191" s="147">
        <f t="shared" si="280"/>
        <v>556500</v>
      </c>
      <c r="P1191" s="147" t="str">
        <f t="shared" si="3"/>
        <v>Rp31,800-20 BOX-12.50%</v>
      </c>
      <c r="Q1191" s="149">
        <v>45430.0</v>
      </c>
      <c r="R1191" s="150"/>
      <c r="S1191" s="149">
        <v>45440.0</v>
      </c>
      <c r="T1191" s="151"/>
      <c r="U1191" s="151"/>
      <c r="V1191" s="151"/>
      <c r="W1191" s="151"/>
      <c r="X1191" s="49"/>
      <c r="Y1191" s="49"/>
      <c r="Z1191" s="49"/>
      <c r="AA1191" s="49"/>
      <c r="AB1191" s="49"/>
      <c r="AC1191" s="49"/>
      <c r="AD1191" s="49"/>
      <c r="AE1191" s="49"/>
      <c r="AF1191" s="49"/>
      <c r="AG1191" s="49"/>
    </row>
    <row r="1192">
      <c r="A1192" s="142">
        <v>4949.0</v>
      </c>
      <c r="B1192" s="143" t="str">
        <f t="shared" si="349"/>
        <v>H</v>
      </c>
      <c r="C1192" s="143" t="str">
        <f t="shared" si="350"/>
        <v>ARMADA-PURWOKERTO</v>
      </c>
      <c r="D1192" s="53" t="s">
        <v>4439</v>
      </c>
      <c r="E1192" s="145" t="str">
        <f>IFERROR(__xludf.DUMMYFUNCTION("vlookup(D1192,IMPORTRANGE(""https://docs.google.com/spreadsheets/d/1swGwZOEqYlTEUCJLY-eeJM1911Kvaei5oySBIxdgtNo/edit?pli=1#gid=257618397"",""stock FAKTUR!B:C""),2,false)"),"BINDER CLIP KENKO NO. 111")</f>
        <v>BINDER CLIP KENKO NO. 111</v>
      </c>
      <c r="F1192" s="145" t="str">
        <f>IFERROR(__xludf.DUMMYFUNCTION("vlookup($D1192,IMPORTRANGE(""https://docs.google.com/spreadsheets/d/1swGwZOEqYlTEUCJLY-eeJM1911Kvaei5oySBIxdgtNo/edit?pli=1#gid=257618397"",""stock FAKTUR!B:d""),3,false)"),"")</f>
        <v/>
      </c>
      <c r="G1192" s="145" t="str">
        <f>IFERROR(__xludf.DUMMYFUNCTION("vlookup($D1192,IMPORTRANGE(""https://docs.google.com/spreadsheets/d/1swGwZOEqYlTEUCJLY-eeJM1911Kvaei5oySBIxdgtNo/edit?pli=1#gid=257618397"",""stock FAKTUR!B:e""),4,false)"),"")</f>
        <v/>
      </c>
      <c r="H1192" s="145" t="str">
        <f>IFERROR(__xludf.DUMMYFUNCTION("vlookup($D1192,IMPORTRANGE(""https://docs.google.com/spreadsheets/d/1swGwZOEqYlTEUCJLY-eeJM1911Kvaei5oySBIxdgtNo/edit?pli=1#gid=257618397"",""stock FAKTUR!B:F""),5,false)"),"KN")</f>
        <v>KN</v>
      </c>
      <c r="I1192" s="145" t="str">
        <f>IFERROR(__xludf.DUMMYFUNCTION("vlookup($D1192,IMPORTRANGE(""https://docs.google.com/spreadsheets/d/1swGwZOEqYlTEUCJLY-eeJM1911Kvaei5oySBIxdgtNo/edit?pli=1#gid=257618397"",""stock FAKTUR!B:G""),6,false)"),"BCL-003QH")</f>
        <v>BCL-003QH</v>
      </c>
      <c r="J1192" s="199" t="str">
        <f t="shared" si="25"/>
        <v>ADA</v>
      </c>
      <c r="K1192" s="142">
        <v>20.0</v>
      </c>
      <c r="L1192" s="145" t="str">
        <f>IFERROR(__xludf.DUMMYFUNCTION("vlookup($D1192,IMPORTRANGE(""https://docs.google.com/spreadsheets/d/1swGwZOEqYlTEUCJLY-eeJM1911Kvaei5oySBIxdgtNo/edit?pli=1#gid=257618397"",""stock FAKTUR!B:q""),16,false)"),"BOX")</f>
        <v>BOX</v>
      </c>
      <c r="M1192" s="147">
        <v>49200.0</v>
      </c>
      <c r="N1192" s="152">
        <v>0.125</v>
      </c>
      <c r="O1192" s="147">
        <f t="shared" si="280"/>
        <v>861000</v>
      </c>
      <c r="P1192" s="147" t="str">
        <f t="shared" si="3"/>
        <v>Rp49,200-20 BOX-12.50%</v>
      </c>
      <c r="Q1192" s="149">
        <v>45430.0</v>
      </c>
      <c r="R1192" s="150"/>
      <c r="S1192" s="149">
        <v>45440.0</v>
      </c>
      <c r="T1192" s="151"/>
      <c r="U1192" s="151"/>
      <c r="V1192" s="151"/>
      <c r="W1192" s="151"/>
      <c r="X1192" s="49"/>
      <c r="Y1192" s="49"/>
      <c r="Z1192" s="49"/>
      <c r="AA1192" s="49"/>
      <c r="AB1192" s="49"/>
      <c r="AC1192" s="49"/>
      <c r="AD1192" s="49"/>
      <c r="AE1192" s="49"/>
      <c r="AF1192" s="49"/>
      <c r="AG1192" s="49"/>
    </row>
    <row r="1193">
      <c r="A1193" s="142">
        <v>4940.0</v>
      </c>
      <c r="B1193" s="143" t="s">
        <v>33</v>
      </c>
      <c r="C1193" s="143" t="s">
        <v>761</v>
      </c>
      <c r="D1193" s="53" t="s">
        <v>4514</v>
      </c>
      <c r="E1193" s="145" t="str">
        <f>IFERROR(__xludf.DUMMYFUNCTION("vlookup(D1193,IMPORTRANGE(""https://docs.google.com/spreadsheets/d/1swGwZOEqYlTEUCJLY-eeJM1911Kvaei5oySBIxdgtNo/edit?pli=1#gid=257618397"",""stock FAKTUR!B:C""),2,false)"),"TAPE DISPENSER KENKO TD-323")</f>
        <v>TAPE DISPENSER KENKO TD-323</v>
      </c>
      <c r="F1193" s="145"/>
      <c r="G1193" s="145"/>
      <c r="H1193" s="145"/>
      <c r="I1193" s="145"/>
      <c r="J1193" s="199"/>
      <c r="K1193" s="142">
        <v>24.0</v>
      </c>
      <c r="L1193" s="145" t="str">
        <f>IFERROR(__xludf.DUMMYFUNCTION("vlookup($D1193,IMPORTRANGE(""https://docs.google.com/spreadsheets/d/1swGwZOEqYlTEUCJLY-eeJM1911Kvaei5oySBIxdgtNo/edit?pli=1#gid=257618397"",""stock FAKTUR!B:q""),16,false)"),"PCS")</f>
        <v>PCS</v>
      </c>
      <c r="M1193" s="147">
        <v>19250.0</v>
      </c>
      <c r="N1193" s="152">
        <v>0.1</v>
      </c>
      <c r="O1193" s="147">
        <f t="shared" si="280"/>
        <v>415800</v>
      </c>
      <c r="P1193" s="147" t="str">
        <f t="shared" si="3"/>
        <v>Rp19,250-24 PCS-10.00%</v>
      </c>
      <c r="Q1193" s="149">
        <v>45428.0</v>
      </c>
      <c r="R1193" s="150"/>
      <c r="S1193" s="149">
        <v>45440.0</v>
      </c>
      <c r="T1193" s="151"/>
      <c r="U1193" s="151"/>
      <c r="V1193" s="151"/>
      <c r="W1193" s="151"/>
      <c r="X1193" s="49"/>
      <c r="Y1193" s="49"/>
      <c r="Z1193" s="49"/>
      <c r="AA1193" s="49"/>
      <c r="AB1193" s="49"/>
      <c r="AC1193" s="49"/>
      <c r="AD1193" s="49"/>
      <c r="AE1193" s="49"/>
      <c r="AF1193" s="49"/>
      <c r="AG1193" s="49"/>
    </row>
    <row r="1194">
      <c r="A1194" s="142">
        <v>4940.0</v>
      </c>
      <c r="B1194" s="143" t="str">
        <f t="shared" ref="B1194:B1196" si="351">IF(A1194=A1193,B1193,"")</f>
        <v>H</v>
      </c>
      <c r="C1194" s="143" t="str">
        <f t="shared" ref="C1194:C1196" si="352">IF(A1194=A1193,C1193,"")</f>
        <v>SUMBER BUKIT-SALATIGA</v>
      </c>
      <c r="D1194" s="53" t="s">
        <v>4398</v>
      </c>
      <c r="E1194" s="145" t="str">
        <f>IFERROR(__xludf.DUMMYFUNCTION("vlookup(D1194,IMPORTRANGE(""https://docs.google.com/spreadsheets/d/1swGwZOEqYlTEUCJLY-eeJM1911Kvaei5oySBIxdgtNo/edit?pli=1#gid=257618397"",""stock FAKTUR!B:C""),2,false)"),"ISI CUTTER KENKO L-150 BESAR")</f>
        <v>ISI CUTTER KENKO L-150 BESAR</v>
      </c>
      <c r="F1194" s="145"/>
      <c r="G1194" s="145"/>
      <c r="H1194" s="145"/>
      <c r="I1194" s="145"/>
      <c r="J1194" s="199"/>
      <c r="K1194" s="142">
        <v>20.0</v>
      </c>
      <c r="L1194" s="145" t="str">
        <f>IFERROR(__xludf.DUMMYFUNCTION("vlookup($D1194,IMPORTRANGE(""https://docs.google.com/spreadsheets/d/1swGwZOEqYlTEUCJLY-eeJM1911Kvaei5oySBIxdgtNo/edit?pli=1#gid=257618397"",""stock FAKTUR!B:q""),16,false)"),"LSN")</f>
        <v>LSN</v>
      </c>
      <c r="M1194" s="147">
        <v>64800.0</v>
      </c>
      <c r="N1194" s="152">
        <v>0.1</v>
      </c>
      <c r="O1194" s="147">
        <f t="shared" si="280"/>
        <v>1166400</v>
      </c>
      <c r="P1194" s="147" t="str">
        <f t="shared" si="3"/>
        <v>Rp64,800-20 LSN-10.00%</v>
      </c>
      <c r="Q1194" s="149">
        <v>45428.0</v>
      </c>
      <c r="R1194" s="150"/>
      <c r="S1194" s="149">
        <v>45440.0</v>
      </c>
      <c r="T1194" s="151"/>
      <c r="U1194" s="151"/>
      <c r="V1194" s="151"/>
      <c r="W1194" s="151"/>
      <c r="X1194" s="49"/>
      <c r="Y1194" s="49"/>
      <c r="Z1194" s="49"/>
      <c r="AA1194" s="49"/>
      <c r="AB1194" s="49"/>
      <c r="AC1194" s="49"/>
      <c r="AD1194" s="49"/>
      <c r="AE1194" s="49"/>
      <c r="AF1194" s="49"/>
      <c r="AG1194" s="49"/>
    </row>
    <row r="1195">
      <c r="A1195" s="142">
        <v>4940.0</v>
      </c>
      <c r="B1195" s="143" t="str">
        <f t="shared" si="351"/>
        <v>H</v>
      </c>
      <c r="C1195" s="143" t="str">
        <f t="shared" si="352"/>
        <v>SUMBER BUKIT-SALATIGA</v>
      </c>
      <c r="D1195" s="53" t="s">
        <v>4458</v>
      </c>
      <c r="E1195" s="145" t="str">
        <f>IFERROR(__xludf.DUMMYFUNCTION("vlookup(D1195,IMPORTRANGE(""https://docs.google.com/spreadsheets/d/1swGwZOEqYlTEUCJLY-eeJM1911Kvaei5oySBIxdgtNo/edit?pli=1#gid=257618397"",""stock FAKTUR!B:C""),2,false)"),"ISI CUTTER KENKO A-100 KECIL")</f>
        <v>ISI CUTTER KENKO A-100 KECIL</v>
      </c>
      <c r="F1195" s="145"/>
      <c r="G1195" s="145"/>
      <c r="H1195" s="145"/>
      <c r="I1195" s="145"/>
      <c r="J1195" s="199"/>
      <c r="K1195" s="142">
        <v>10.0</v>
      </c>
      <c r="L1195" s="145" t="str">
        <f>IFERROR(__xludf.DUMMYFUNCTION("vlookup($D1195,IMPORTRANGE(""https://docs.google.com/spreadsheets/d/1swGwZOEqYlTEUCJLY-eeJM1911Kvaei5oySBIxdgtNo/edit?pli=1#gid=257618397"",""stock FAKTUR!B:q""),16,false)"),"LSN")</f>
        <v>LSN</v>
      </c>
      <c r="M1195" s="147">
        <v>32400.0</v>
      </c>
      <c r="N1195" s="152">
        <v>0.1</v>
      </c>
      <c r="O1195" s="147">
        <f t="shared" si="280"/>
        <v>291600</v>
      </c>
      <c r="P1195" s="147" t="str">
        <f t="shared" si="3"/>
        <v>Rp32,400-10 LSN-10.00%</v>
      </c>
      <c r="Q1195" s="149">
        <v>45428.0</v>
      </c>
      <c r="R1195" s="150"/>
      <c r="S1195" s="149">
        <v>45440.0</v>
      </c>
      <c r="T1195" s="151"/>
      <c r="U1195" s="151"/>
      <c r="V1195" s="151"/>
      <c r="W1195" s="151"/>
      <c r="X1195" s="49"/>
      <c r="Y1195" s="49"/>
      <c r="Z1195" s="49"/>
      <c r="AA1195" s="49"/>
      <c r="AB1195" s="49"/>
      <c r="AC1195" s="49"/>
      <c r="AD1195" s="49"/>
      <c r="AE1195" s="49"/>
      <c r="AF1195" s="49"/>
      <c r="AG1195" s="49"/>
    </row>
    <row r="1196">
      <c r="A1196" s="142">
        <v>4940.0</v>
      </c>
      <c r="B1196" s="143" t="str">
        <f t="shared" si="351"/>
        <v>H</v>
      </c>
      <c r="C1196" s="143" t="str">
        <f t="shared" si="352"/>
        <v>SUMBER BUKIT-SALATIGA</v>
      </c>
      <c r="D1196" s="53" t="s">
        <v>4753</v>
      </c>
      <c r="E1196" s="145" t="str">
        <f>IFERROR(__xludf.DUMMYFUNCTION("vlookup(D1196,IMPORTRANGE(""https://docs.google.com/spreadsheets/d/1swGwZOEqYlTEUCJLY-eeJM1911Kvaei5oySBIxdgtNo/edit?pli=1#gid=257618397"",""stock FAKTUR!B:C""),2,false)"),"STAMP PAD KENKO NO. 1")</f>
        <v>STAMP PAD KENKO NO. 1</v>
      </c>
      <c r="F1196" s="145"/>
      <c r="G1196" s="145"/>
      <c r="H1196" s="145"/>
      <c r="I1196" s="145"/>
      <c r="J1196" s="199"/>
      <c r="K1196" s="142">
        <v>3.0</v>
      </c>
      <c r="L1196" s="145" t="str">
        <f>IFERROR(__xludf.DUMMYFUNCTION("vlookup($D1196,IMPORTRANGE(""https://docs.google.com/spreadsheets/d/1swGwZOEqYlTEUCJLY-eeJM1911Kvaei5oySBIxdgtNo/edit?pli=1#gid=257618397"",""stock FAKTUR!B:q""),16,false)"),"LSN")</f>
        <v>LSN</v>
      </c>
      <c r="M1196" s="147">
        <v>70800.0</v>
      </c>
      <c r="N1196" s="152">
        <v>0.1</v>
      </c>
      <c r="O1196" s="147">
        <f t="shared" si="280"/>
        <v>191160</v>
      </c>
      <c r="P1196" s="147" t="str">
        <f t="shared" si="3"/>
        <v>Rp70,800-3 LSN-10.00%</v>
      </c>
      <c r="Q1196" s="149">
        <v>45428.0</v>
      </c>
      <c r="R1196" s="150"/>
      <c r="S1196" s="149">
        <v>45440.0</v>
      </c>
      <c r="T1196" s="151"/>
      <c r="U1196" s="151"/>
      <c r="V1196" s="151"/>
      <c r="W1196" s="151"/>
      <c r="X1196" s="49"/>
      <c r="Y1196" s="49"/>
      <c r="Z1196" s="49"/>
      <c r="AA1196" s="49"/>
      <c r="AB1196" s="49"/>
      <c r="AC1196" s="49"/>
      <c r="AD1196" s="49"/>
      <c r="AE1196" s="49"/>
      <c r="AF1196" s="49"/>
      <c r="AG1196" s="49"/>
    </row>
    <row r="1197">
      <c r="A1197" s="142">
        <v>4751.0</v>
      </c>
      <c r="B1197" s="143" t="s">
        <v>33</v>
      </c>
      <c r="C1197" s="143" t="s">
        <v>1447</v>
      </c>
      <c r="D1197" s="70" t="s">
        <v>4463</v>
      </c>
      <c r="E1197" s="145" t="str">
        <f>IFERROR(__xludf.DUMMYFUNCTION("vlookup(D1197,IMPORTRANGE(""https://docs.google.com/spreadsheets/d/1swGwZOEqYlTEUCJLY-eeJM1911Kvaei5oySBIxdgtNo/edit?pli=1#gid=257618397"",""stock FAKTUR!B:C""),2,false)"),"STIP W/B GUNINDO 803")</f>
        <v>STIP W/B GUNINDO 803</v>
      </c>
      <c r="F1197" s="145"/>
      <c r="G1197" s="145"/>
      <c r="H1197" s="145"/>
      <c r="I1197" s="145"/>
      <c r="J1197" s="199"/>
      <c r="K1197" s="142">
        <v>30.0</v>
      </c>
      <c r="L1197" s="145" t="str">
        <f>IFERROR(__xludf.DUMMYFUNCTION("vlookup($D1197,IMPORTRANGE(""https://docs.google.com/spreadsheets/d/1swGwZOEqYlTEUCJLY-eeJM1911Kvaei5oySBIxdgtNo/edit?pli=1#gid=257618397"",""stock FAKTUR!B:q""),16,false)"),"LSN")</f>
        <v>LSN</v>
      </c>
      <c r="M1197" s="147">
        <v>61000.0</v>
      </c>
      <c r="N1197" s="152">
        <v>0.125</v>
      </c>
      <c r="O1197" s="147">
        <f t="shared" si="280"/>
        <v>1601250</v>
      </c>
      <c r="P1197" s="147" t="str">
        <f t="shared" si="3"/>
        <v>Rp61,000-30 LSN-12.50%</v>
      </c>
      <c r="Q1197" s="149">
        <v>45427.0</v>
      </c>
      <c r="R1197" s="150"/>
      <c r="S1197" s="149">
        <v>45440.0</v>
      </c>
      <c r="T1197" s="151"/>
      <c r="U1197" s="151"/>
      <c r="V1197" s="151"/>
      <c r="W1197" s="151"/>
      <c r="X1197" s="49"/>
      <c r="Y1197" s="49"/>
      <c r="Z1197" s="49"/>
      <c r="AA1197" s="49"/>
      <c r="AB1197" s="49"/>
      <c r="AC1197" s="49"/>
      <c r="AD1197" s="49"/>
      <c r="AE1197" s="49"/>
      <c r="AF1197" s="49"/>
      <c r="AG1197" s="49"/>
    </row>
    <row r="1198">
      <c r="A1198" s="142">
        <v>4751.0</v>
      </c>
      <c r="B1198" s="143" t="str">
        <f t="shared" ref="B1198:B1204" si="353">IF(A1198=A1197,B1197,"")</f>
        <v>H</v>
      </c>
      <c r="C1198" s="143" t="str">
        <f t="shared" ref="C1198:C1204" si="354">IF(A1198=A1197,C1197,"")</f>
        <v>SAHABAT BARU-PARAKAN</v>
      </c>
      <c r="D1198" s="53" t="s">
        <v>4856</v>
      </c>
      <c r="E1198" s="145" t="str">
        <f>IFERROR(__xludf.DUMMYFUNCTION("vlookup(D1198,IMPORTRANGE(""https://docs.google.com/spreadsheets/d/1swGwZOEqYlTEUCJLY-eeJM1911Kvaei5oySBIxdgtNo/edit?pli=1#gid=257618397"",""stock FAKTUR!B:C""),2,false)"),"JANGKA SET JK MS-75")</f>
        <v>JANGKA SET JK MS-75</v>
      </c>
      <c r="F1198" s="145"/>
      <c r="G1198" s="145"/>
      <c r="H1198" s="145"/>
      <c r="I1198" s="145"/>
      <c r="J1198" s="199"/>
      <c r="K1198" s="142">
        <v>24.0</v>
      </c>
      <c r="L1198" s="145" t="str">
        <f>IFERROR(__xludf.DUMMYFUNCTION("vlookup($D1198,IMPORTRANGE(""https://docs.google.com/spreadsheets/d/1swGwZOEqYlTEUCJLY-eeJM1911Kvaei5oySBIxdgtNo/edit?pli=1#gid=257618397"",""stock FAKTUR!B:q""),16,false)"),"LSN")</f>
        <v>LSN</v>
      </c>
      <c r="M1198" s="147">
        <v>90600.0</v>
      </c>
      <c r="N1198" s="152">
        <v>0.125</v>
      </c>
      <c r="O1198" s="147">
        <f t="shared" si="280"/>
        <v>1902600</v>
      </c>
      <c r="P1198" s="147" t="str">
        <f t="shared" si="3"/>
        <v>Rp90,600-24 LSN-12.50%</v>
      </c>
      <c r="Q1198" s="149">
        <v>45427.0</v>
      </c>
      <c r="R1198" s="150"/>
      <c r="S1198" s="149">
        <v>45440.0</v>
      </c>
      <c r="T1198" s="151"/>
      <c r="U1198" s="151"/>
      <c r="V1198" s="151"/>
      <c r="W1198" s="151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</row>
    <row r="1199">
      <c r="A1199" s="142">
        <v>4751.0</v>
      </c>
      <c r="B1199" s="143" t="str">
        <f t="shared" si="353"/>
        <v>H</v>
      </c>
      <c r="C1199" s="143" t="str">
        <f t="shared" si="354"/>
        <v>SAHABAT BARU-PARAKAN</v>
      </c>
      <c r="D1199" s="53" t="s">
        <v>4782</v>
      </c>
      <c r="E1199" s="145" t="str">
        <f>IFERROR(__xludf.DUMMYFUNCTION("vlookup(D1199,IMPORTRANGE(""https://docs.google.com/spreadsheets/d/1swGwZOEqYlTEUCJLY-eeJM1911Kvaei5oySBIxdgtNo/edit?pli=1#gid=257618397"",""stock FAKTUR!B:C""),2,false)"),"JANGKA SET JK MS-55")</f>
        <v>JANGKA SET JK MS-55</v>
      </c>
      <c r="F1199" s="145"/>
      <c r="G1199" s="145"/>
      <c r="H1199" s="145"/>
      <c r="I1199" s="145"/>
      <c r="J1199" s="199"/>
      <c r="K1199" s="142">
        <v>24.0</v>
      </c>
      <c r="L1199" s="145" t="str">
        <f>IFERROR(__xludf.DUMMYFUNCTION("vlookup($D1199,IMPORTRANGE(""https://docs.google.com/spreadsheets/d/1swGwZOEqYlTEUCJLY-eeJM1911Kvaei5oySBIxdgtNo/edit?pli=1#gid=257618397"",""stock FAKTUR!B:q""),16,false)"),"LSN")</f>
        <v>LSN</v>
      </c>
      <c r="M1199" s="147">
        <v>89400.0</v>
      </c>
      <c r="N1199" s="152">
        <v>0.125</v>
      </c>
      <c r="O1199" s="147">
        <f t="shared" si="280"/>
        <v>1877400</v>
      </c>
      <c r="P1199" s="147" t="str">
        <f t="shared" si="3"/>
        <v>Rp89,400-24 LSN-12.50%</v>
      </c>
      <c r="Q1199" s="149">
        <v>45427.0</v>
      </c>
      <c r="R1199" s="150"/>
      <c r="S1199" s="149">
        <v>45440.0</v>
      </c>
      <c r="T1199" s="151"/>
      <c r="U1199" s="151"/>
      <c r="V1199" s="151"/>
      <c r="W1199" s="151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</row>
    <row r="1200">
      <c r="A1200" s="142">
        <v>4751.0</v>
      </c>
      <c r="B1200" s="143" t="str">
        <f t="shared" si="353"/>
        <v>H</v>
      </c>
      <c r="C1200" s="143" t="str">
        <f t="shared" si="354"/>
        <v>SAHABAT BARU-PARAKAN</v>
      </c>
      <c r="D1200" s="53" t="s">
        <v>4781</v>
      </c>
      <c r="E1200" s="145" t="str">
        <f>IFERROR(__xludf.DUMMYFUNCTION("vlookup(D1200,IMPORTRANGE(""https://docs.google.com/spreadsheets/d/1swGwZOEqYlTEUCJLY-eeJM1911Kvaei5oySBIxdgtNo/edit?pli=1#gid=257618397"",""stock FAKTUR!B:C""),2,false)"),"JANGKA SET JK MS-25")</f>
        <v>JANGKA SET JK MS-25</v>
      </c>
      <c r="F1200" s="145"/>
      <c r="G1200" s="145"/>
      <c r="H1200" s="145"/>
      <c r="I1200" s="145"/>
      <c r="J1200" s="199"/>
      <c r="K1200" s="142">
        <v>24.0</v>
      </c>
      <c r="L1200" s="145" t="str">
        <f>IFERROR(__xludf.DUMMYFUNCTION("vlookup($D1200,IMPORTRANGE(""https://docs.google.com/spreadsheets/d/1swGwZOEqYlTEUCJLY-eeJM1911Kvaei5oySBIxdgtNo/edit?pli=1#gid=257618397"",""stock FAKTUR!B:q""),16,false)"),"LSN")</f>
        <v>LSN</v>
      </c>
      <c r="M1200" s="147">
        <v>89400.0</v>
      </c>
      <c r="N1200" s="152">
        <v>0.125</v>
      </c>
      <c r="O1200" s="147">
        <f t="shared" si="280"/>
        <v>1877400</v>
      </c>
      <c r="P1200" s="147" t="str">
        <f t="shared" si="3"/>
        <v>Rp89,400-24 LSN-12.50%</v>
      </c>
      <c r="Q1200" s="149">
        <v>45427.0</v>
      </c>
      <c r="R1200" s="150"/>
      <c r="S1200" s="149">
        <v>45440.0</v>
      </c>
      <c r="T1200" s="151"/>
      <c r="U1200" s="151"/>
      <c r="V1200" s="151"/>
      <c r="W1200" s="151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</row>
    <row r="1201">
      <c r="A1201" s="142">
        <v>4751.0</v>
      </c>
      <c r="B1201" s="143" t="str">
        <f t="shared" si="353"/>
        <v>H</v>
      </c>
      <c r="C1201" s="143" t="str">
        <f t="shared" si="354"/>
        <v>SAHABAT BARU-PARAKAN</v>
      </c>
      <c r="D1201" s="53" t="s">
        <v>4382</v>
      </c>
      <c r="E1201" s="145" t="str">
        <f>IFERROR(__xludf.DUMMYFUNCTION("vlookup(D1201,IMPORTRANGE(""https://docs.google.com/spreadsheets/d/1swGwZOEqYlTEUCJLY-eeJM1911Kvaei5oySBIxdgtNo/edit?pli=1#gid=257618397"",""stock FAKTUR!B:C""),2,false)"),"PENSIL 2B ZHONG HUA 6925 OVAL")</f>
        <v>PENSIL 2B ZHONG HUA 6925 OVAL</v>
      </c>
      <c r="F1201" s="145"/>
      <c r="G1201" s="145"/>
      <c r="H1201" s="145"/>
      <c r="I1201" s="145"/>
      <c r="J1201" s="199"/>
      <c r="K1201" s="142">
        <v>80.0</v>
      </c>
      <c r="L1201" s="145" t="str">
        <f>IFERROR(__xludf.DUMMYFUNCTION("vlookup($D1201,IMPORTRANGE(""https://docs.google.com/spreadsheets/d/1swGwZOEqYlTEUCJLY-eeJM1911Kvaei5oySBIxdgtNo/edit?pli=1#gid=257618397"",""stock FAKTUR!B:q""),16,false)"),"BOX")</f>
        <v>BOX</v>
      </c>
      <c r="M1201" s="147">
        <v>75000.0</v>
      </c>
      <c r="N1201" s="148"/>
      <c r="O1201" s="147">
        <f t="shared" si="280"/>
        <v>6000000</v>
      </c>
      <c r="P1201" s="147" t="str">
        <f t="shared" si="3"/>
        <v>Rp75,000-80 BOX-0.00%</v>
      </c>
      <c r="Q1201" s="149">
        <v>45427.0</v>
      </c>
      <c r="R1201" s="150"/>
      <c r="S1201" s="149">
        <v>45440.0</v>
      </c>
      <c r="T1201" s="151"/>
      <c r="U1201" s="151"/>
      <c r="V1201" s="151"/>
      <c r="W1201" s="151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</row>
    <row r="1202">
      <c r="A1202" s="142">
        <v>4751.0</v>
      </c>
      <c r="B1202" s="143" t="str">
        <f t="shared" si="353"/>
        <v>H</v>
      </c>
      <c r="C1202" s="143" t="str">
        <f t="shared" si="354"/>
        <v>SAHABAT BARU-PARAKAN</v>
      </c>
      <c r="D1202" s="49" t="s">
        <v>4832</v>
      </c>
      <c r="E1202" s="145" t="str">
        <f>IFERROR(__xludf.DUMMYFUNCTION("vlookup(D1202,IMPORTRANGE(""https://docs.google.com/spreadsheets/d/1swGwZOEqYlTEUCJLY-eeJM1911Kvaei5oySBIxdgtNo/edit?pli=1#gid=257618397"",""stock FAKTUR!B:C""),2,false)"),"BP TIZO TG340 HITAM")</f>
        <v>BP TIZO TG340 HITAM</v>
      </c>
      <c r="F1202" s="145"/>
      <c r="G1202" s="145"/>
      <c r="H1202" s="145"/>
      <c r="I1202" s="145"/>
      <c r="J1202" s="199"/>
      <c r="K1202" s="142">
        <v>72.0</v>
      </c>
      <c r="L1202" s="145" t="str">
        <f>IFERROR(__xludf.DUMMYFUNCTION("vlookup($D1202,IMPORTRANGE(""https://docs.google.com/spreadsheets/d/1swGwZOEqYlTEUCJLY-eeJM1911Kvaei5oySBIxdgtNo/edit?pli=1#gid=257618397"",""stock FAKTUR!B:q""),16,false)"),"LSN")</f>
        <v>LSN</v>
      </c>
      <c r="M1202" s="147">
        <v>33500.0</v>
      </c>
      <c r="N1202" s="148"/>
      <c r="O1202" s="147">
        <f t="shared" si="280"/>
        <v>2412000</v>
      </c>
      <c r="P1202" s="147" t="str">
        <f t="shared" si="3"/>
        <v>Rp33,500-72 LSN-0.00%</v>
      </c>
      <c r="Q1202" s="149">
        <v>45427.0</v>
      </c>
      <c r="R1202" s="150"/>
      <c r="S1202" s="149">
        <v>45440.0</v>
      </c>
      <c r="T1202" s="151"/>
      <c r="U1202" s="151"/>
      <c r="V1202" s="151"/>
      <c r="W1202" s="151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</row>
    <row r="1203">
      <c r="A1203" s="142">
        <v>4751.0</v>
      </c>
      <c r="B1203" s="143" t="str">
        <f t="shared" si="353"/>
        <v>H</v>
      </c>
      <c r="C1203" s="143" t="str">
        <f t="shared" si="354"/>
        <v>SAHABAT BARU-PARAKAN</v>
      </c>
      <c r="D1203" s="53" t="s">
        <v>4599</v>
      </c>
      <c r="E1203" s="145" t="str">
        <f>IFERROR(__xludf.DUMMYFUNCTION("vlookup(D1203,IMPORTRANGE(""https://docs.google.com/spreadsheets/d/1swGwZOEqYlTEUCJLY-eeJM1911Kvaei5oySBIxdgtNo/edit?pli=1#gid=257618397"",""stock FAKTUR!B:C""),2,false)"),"OIL PASTEL TITI 12W TI-P-12S")</f>
        <v>OIL PASTEL TITI 12W TI-P-12S</v>
      </c>
      <c r="F1203" s="145"/>
      <c r="G1203" s="145"/>
      <c r="H1203" s="145"/>
      <c r="I1203" s="145"/>
      <c r="J1203" s="199"/>
      <c r="K1203" s="142">
        <v>432.0</v>
      </c>
      <c r="L1203" s="145" t="str">
        <f>IFERROR(__xludf.DUMMYFUNCTION("vlookup($D1203,IMPORTRANGE(""https://docs.google.com/spreadsheets/d/1swGwZOEqYlTEUCJLY-eeJM1911Kvaei5oySBIxdgtNo/edit?pli=1#gid=257618397"",""stock FAKTUR!B:q""),16,false)"),"PCS")</f>
        <v>PCS</v>
      </c>
      <c r="M1203" s="147">
        <f>14500</f>
        <v>14500</v>
      </c>
      <c r="N1203" s="152">
        <v>0.125</v>
      </c>
      <c r="O1203" s="147">
        <f>(K1203*M1203)-((M1203*K1203)*N1203)-274050</f>
        <v>5206950</v>
      </c>
      <c r="P1203" s="147" t="str">
        <f t="shared" si="3"/>
        <v>Rp14,500-432 PCS-12.50%</v>
      </c>
      <c r="Q1203" s="149">
        <v>45427.0</v>
      </c>
      <c r="R1203" s="150"/>
      <c r="S1203" s="149">
        <v>45440.0</v>
      </c>
      <c r="T1203" s="151"/>
      <c r="U1203" s="151"/>
      <c r="V1203" s="151"/>
      <c r="W1203" s="151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</row>
    <row r="1204">
      <c r="A1204" s="142">
        <v>4751.0</v>
      </c>
      <c r="B1204" s="143" t="str">
        <f t="shared" si="353"/>
        <v>H</v>
      </c>
      <c r="C1204" s="143" t="str">
        <f t="shared" si="354"/>
        <v>SAHABAT BARU-PARAKAN</v>
      </c>
      <c r="D1204" s="53" t="s">
        <v>4580</v>
      </c>
      <c r="E1204" s="145" t="str">
        <f>IFERROR(__xludf.DUMMYFUNCTION("vlookup(D1204,IMPORTRANGE(""https://docs.google.com/spreadsheets/d/1swGwZOEqYlTEUCJLY-eeJM1911Kvaei5oySBIxdgtNo/edit?pli=1#gid=257618397"",""stock FAKTUR!B:C""),2,false)"),"OIL PASTEL TITI 55W TI-P-55 S")</f>
        <v>OIL PASTEL TITI 55W TI-P-55 S</v>
      </c>
      <c r="F1204" s="145"/>
      <c r="G1204" s="145"/>
      <c r="H1204" s="145"/>
      <c r="I1204" s="145"/>
      <c r="J1204" s="199"/>
      <c r="K1204" s="142">
        <v>8.0</v>
      </c>
      <c r="L1204" s="145" t="str">
        <f>IFERROR(__xludf.DUMMYFUNCTION("vlookup($D1204,IMPORTRANGE(""https://docs.google.com/spreadsheets/d/1swGwZOEqYlTEUCJLY-eeJM1911Kvaei5oySBIxdgtNo/edit?pli=1#gid=257618397"",""stock FAKTUR!B:q""),16,false)"),"BOX")</f>
        <v>BOX</v>
      </c>
      <c r="M1204" s="147">
        <f>76000*6</f>
        <v>456000</v>
      </c>
      <c r="N1204" s="152">
        <v>0.125</v>
      </c>
      <c r="O1204" s="147">
        <f>(K1204*M1204)-((M1204*K1204)*N1204)-159600</f>
        <v>3032400</v>
      </c>
      <c r="P1204" s="147" t="str">
        <f t="shared" si="3"/>
        <v>Rp456,000-8 BOX-12.50%</v>
      </c>
      <c r="Q1204" s="149">
        <v>45427.0</v>
      </c>
      <c r="R1204" s="150"/>
      <c r="S1204" s="149">
        <v>45440.0</v>
      </c>
      <c r="T1204" s="151"/>
      <c r="U1204" s="151"/>
      <c r="V1204" s="151"/>
      <c r="W1204" s="151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</row>
    <row r="1205">
      <c r="A1205" s="142">
        <v>141.0</v>
      </c>
      <c r="B1205" s="143" t="str">
        <f>IF(A1205=#REF!,#REF!,"")</f>
        <v>#REF!</v>
      </c>
      <c r="C1205" s="143" t="str">
        <f>IF(A1205=#REF!,#REF!,"")</f>
        <v>#REF!</v>
      </c>
      <c r="D1205" s="53" t="s">
        <v>4720</v>
      </c>
      <c r="E1205" s="145" t="str">
        <f>IFERROR(__xludf.DUMMYFUNCTION("vlookup(D1205,IMPORTRANGE(""https://docs.google.com/spreadsheets/d/1swGwZOEqYlTEUCJLY-eeJM1911Kvaei5oySBIxdgtNo/edit?pli=1#gid=257618397"",""stock FAKTUR!B:C""),2,false)"),"PLAKBAN KENKO COKLAT")</f>
        <v>PLAKBAN KENKO COKLAT</v>
      </c>
      <c r="F1205" s="145"/>
      <c r="G1205" s="145"/>
      <c r="H1205" s="145"/>
      <c r="I1205" s="145"/>
      <c r="J1205" s="199"/>
      <c r="K1205" s="142">
        <v>48.0</v>
      </c>
      <c r="L1205" s="145" t="str">
        <f>IFERROR(__xludf.DUMMYFUNCTION("vlookup($D1205,IMPORTRANGE(""https://docs.google.com/spreadsheets/d/1swGwZOEqYlTEUCJLY-eeJM1911Kvaei5oySBIxdgtNo/edit?pli=1#gid=257618397"",""stock FAKTUR!B:q""),16,false)"),"PCS")</f>
        <v>PCS</v>
      </c>
      <c r="M1205" s="197"/>
      <c r="N1205" s="148"/>
      <c r="O1205" s="147">
        <f t="shared" ref="O1205:O1233" si="355">(K1205*M1205)-((M1205*K1205)*N1205)</f>
        <v>0</v>
      </c>
      <c r="P1205" s="147" t="str">
        <f t="shared" si="3"/>
        <v>Rp0-48 PCS-0.00%</v>
      </c>
      <c r="Q1205" s="149">
        <v>45432.0</v>
      </c>
      <c r="R1205" s="150"/>
      <c r="S1205" s="149">
        <v>45440.0</v>
      </c>
      <c r="T1205" s="151"/>
      <c r="U1205" s="151"/>
      <c r="V1205" s="151"/>
      <c r="W1205" s="151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</row>
    <row r="1206">
      <c r="A1206" s="142">
        <v>4985.0</v>
      </c>
      <c r="B1206" s="143" t="s">
        <v>33</v>
      </c>
      <c r="C1206" s="143" t="s">
        <v>4437</v>
      </c>
      <c r="D1206" s="53" t="s">
        <v>4782</v>
      </c>
      <c r="E1206" s="145" t="str">
        <f>IFERROR(__xludf.DUMMYFUNCTION("vlookup(D1206,IMPORTRANGE(""https://docs.google.com/spreadsheets/d/1swGwZOEqYlTEUCJLY-eeJM1911Kvaei5oySBIxdgtNo/edit?pli=1#gid=257618397"",""stock FAKTUR!B:C""),2,false)"),"JANGKA SET JK MS-55")</f>
        <v>JANGKA SET JK MS-55</v>
      </c>
      <c r="F1206" s="145"/>
      <c r="G1206" s="145"/>
      <c r="H1206" s="145"/>
      <c r="I1206" s="145"/>
      <c r="J1206" s="199"/>
      <c r="K1206" s="142">
        <v>24.0</v>
      </c>
      <c r="L1206" s="145" t="str">
        <f>IFERROR(__xludf.DUMMYFUNCTION("vlookup($D1206,IMPORTRANGE(""https://docs.google.com/spreadsheets/d/1swGwZOEqYlTEUCJLY-eeJM1911Kvaei5oySBIxdgtNo/edit?pli=1#gid=257618397"",""stock FAKTUR!B:q""),16,false)"),"LSN")</f>
        <v>LSN</v>
      </c>
      <c r="M1206" s="147">
        <v>89400.0</v>
      </c>
      <c r="N1206" s="152">
        <v>0.125</v>
      </c>
      <c r="O1206" s="147">
        <f t="shared" si="355"/>
        <v>1877400</v>
      </c>
      <c r="P1206" s="147" t="str">
        <f t="shared" si="3"/>
        <v>Rp89,400-24 LSN-12.50%</v>
      </c>
      <c r="Q1206" s="149">
        <v>45439.0</v>
      </c>
      <c r="R1206" s="149">
        <v>45434.0</v>
      </c>
      <c r="S1206" s="149">
        <v>45440.0</v>
      </c>
      <c r="T1206" s="151"/>
      <c r="U1206" s="151"/>
      <c r="V1206" s="151"/>
      <c r="W1206" s="151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</row>
    <row r="1207">
      <c r="A1207" s="142">
        <v>4985.0</v>
      </c>
      <c r="B1207" s="143" t="str">
        <f>IF(A1207=A1206,B1206,"")</f>
        <v>H</v>
      </c>
      <c r="C1207" s="143" t="str">
        <f>IF(A1207=A1206,C1206,"")</f>
        <v>MEDIA-CILACAP</v>
      </c>
      <c r="D1207" s="53" t="s">
        <v>4561</v>
      </c>
      <c r="E1207" s="145" t="str">
        <f>IFERROR(__xludf.DUMMYFUNCTION("vlookup(D1207,IMPORTRANGE(""https://docs.google.com/spreadsheets/d/1swGwZOEqYlTEUCJLY-eeJM1911Kvaei5oySBIxdgtNo/edit?pli=1#gid=257618397"",""stock FAKTUR!B:C""),2,false)"),"PUNCH KENKO 40")</f>
        <v>PUNCH KENKO 40</v>
      </c>
      <c r="F1207" s="145"/>
      <c r="G1207" s="145"/>
      <c r="H1207" s="145"/>
      <c r="I1207" s="145"/>
      <c r="J1207" s="199"/>
      <c r="K1207" s="142">
        <v>5.0</v>
      </c>
      <c r="L1207" s="145" t="str">
        <f>IFERROR(__xludf.DUMMYFUNCTION("vlookup($D1207,IMPORTRANGE(""https://docs.google.com/spreadsheets/d/1swGwZOEqYlTEUCJLY-eeJM1911Kvaei5oySBIxdgtNo/edit?pli=1#gid=257618397"",""stock FAKTUR!B:q""),16,false)"),"LSN")</f>
        <v>LSN</v>
      </c>
      <c r="M1207" s="147">
        <v>282000.0</v>
      </c>
      <c r="N1207" s="152">
        <v>0.125</v>
      </c>
      <c r="O1207" s="147">
        <f t="shared" si="355"/>
        <v>1233750</v>
      </c>
      <c r="P1207" s="147" t="str">
        <f t="shared" si="3"/>
        <v>Rp282,000-5 LSN-12.50%</v>
      </c>
      <c r="Q1207" s="149">
        <v>45439.0</v>
      </c>
      <c r="R1207" s="149">
        <v>45434.0</v>
      </c>
      <c r="S1207" s="149">
        <v>45440.0</v>
      </c>
      <c r="T1207" s="151"/>
      <c r="U1207" s="151"/>
      <c r="V1207" s="151"/>
      <c r="W1207" s="151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</row>
    <row r="1208">
      <c r="A1208" s="142">
        <v>4984.0</v>
      </c>
      <c r="B1208" s="143" t="s">
        <v>65</v>
      </c>
      <c r="C1208" s="143" t="s">
        <v>4857</v>
      </c>
      <c r="D1208" s="53" t="s">
        <v>4420</v>
      </c>
      <c r="E1208" s="145" t="str">
        <f>IFERROR(__xludf.DUMMYFUNCTION("vlookup(D1208,IMPORTRANGE(""https://docs.google.com/spreadsheets/d/1swGwZOEqYlTEUCJLY-eeJM1911Kvaei5oySBIxdgtNo/edit?pli=1#gid=257618397"",""stock FAKTUR!B:C""),2,false)"),"LEM KENKO LG-50")</f>
        <v>LEM KENKO LG-50</v>
      </c>
      <c r="F1208" s="145"/>
      <c r="G1208" s="145"/>
      <c r="H1208" s="145"/>
      <c r="I1208" s="145"/>
      <c r="J1208" s="199"/>
      <c r="K1208" s="142">
        <v>15.0</v>
      </c>
      <c r="L1208" s="145" t="str">
        <f>IFERROR(__xludf.DUMMYFUNCTION("vlookup($D1208,IMPORTRANGE(""https://docs.google.com/spreadsheets/d/1swGwZOEqYlTEUCJLY-eeJM1911Kvaei5oySBIxdgtNo/edit?pli=1#gid=257618397"",""stock FAKTUR!B:q""),16,false)"),"LSN")</f>
        <v>LSN</v>
      </c>
      <c r="M1208" s="147">
        <v>25200.0</v>
      </c>
      <c r="N1208" s="152">
        <v>0.1</v>
      </c>
      <c r="O1208" s="147">
        <f t="shared" si="355"/>
        <v>340200</v>
      </c>
      <c r="P1208" s="147" t="str">
        <f t="shared" si="3"/>
        <v>Rp25,200-15 LSN-10.00%</v>
      </c>
      <c r="Q1208" s="149">
        <v>45439.0</v>
      </c>
      <c r="R1208" s="149">
        <v>45436.0</v>
      </c>
      <c r="S1208" s="149">
        <v>45440.0</v>
      </c>
      <c r="T1208" s="151"/>
      <c r="U1208" s="151"/>
      <c r="V1208" s="151"/>
      <c r="W1208" s="151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</row>
    <row r="1209">
      <c r="A1209" s="142">
        <v>4984.0</v>
      </c>
      <c r="B1209" s="143" t="str">
        <f t="shared" ref="B1209:B1210" si="356">IF(A1209=A1208,B1208,"")</f>
        <v>A</v>
      </c>
      <c r="C1209" s="143" t="str">
        <f t="shared" ref="C1209:C1210" si="357">IF(A1209=A1208,C1208,"")</f>
        <v>DHIAN-BANJARNEGARA</v>
      </c>
      <c r="D1209" s="53" t="s">
        <v>4646</v>
      </c>
      <c r="E1209" s="145" t="str">
        <f>IFERROR(__xludf.DUMMYFUNCTION("vlookup(D1209,IMPORTRANGE(""https://docs.google.com/spreadsheets/d/1swGwZOEqYlTEUCJLY-eeJM1911Kvaei5oySBIxdgtNo/edit?pli=1#gid=257618397"",""stock FAKTUR!B:C""),2,false)"),"SAMPUL KWARTO BATIK ALFA")</f>
        <v>SAMPUL KWARTO BATIK ALFA</v>
      </c>
      <c r="F1209" s="145"/>
      <c r="G1209" s="145"/>
      <c r="H1209" s="145"/>
      <c r="I1209" s="145"/>
      <c r="J1209" s="199"/>
      <c r="K1209" s="142">
        <v>50.0</v>
      </c>
      <c r="L1209" s="145" t="str">
        <f>IFERROR(__xludf.DUMMYFUNCTION("vlookup($D1209,IMPORTRANGE(""https://docs.google.com/spreadsheets/d/1swGwZOEqYlTEUCJLY-eeJM1911Kvaei5oySBIxdgtNo/edit?pli=1#gid=257618397"",""stock FAKTUR!B:q""),16,false)"),"PCS")</f>
        <v>PCS</v>
      </c>
      <c r="M1209" s="147">
        <v>5500.0</v>
      </c>
      <c r="N1209" s="148"/>
      <c r="O1209" s="147">
        <f t="shared" si="355"/>
        <v>275000</v>
      </c>
      <c r="P1209" s="147" t="str">
        <f t="shared" si="3"/>
        <v>Rp5,500-50 PCS-0.00%</v>
      </c>
      <c r="Q1209" s="149">
        <v>45439.0</v>
      </c>
      <c r="R1209" s="149">
        <v>45436.0</v>
      </c>
      <c r="S1209" s="149">
        <v>45440.0</v>
      </c>
      <c r="T1209" s="151"/>
      <c r="U1209" s="151"/>
      <c r="V1209" s="151"/>
      <c r="W1209" s="151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</row>
    <row r="1210">
      <c r="A1210" s="142">
        <v>4984.0</v>
      </c>
      <c r="B1210" s="143" t="str">
        <f t="shared" si="356"/>
        <v>A</v>
      </c>
      <c r="C1210" s="143" t="str">
        <f t="shared" si="357"/>
        <v>DHIAN-BANJARNEGARA</v>
      </c>
      <c r="D1210" s="53" t="s">
        <v>4710</v>
      </c>
      <c r="E1210" s="145" t="str">
        <f>IFERROR(__xludf.DUMMYFUNCTION("vlookup(D1210,IMPORTRANGE(""https://docs.google.com/spreadsheets/d/1swGwZOEqYlTEUCJLY-eeJM1911Kvaei5oySBIxdgtNo/edit?pli=1#gid=257618397"",""stock FAKTUR!B:C""),2,false)"),"SAMPUL BOXY BATIK")</f>
        <v>SAMPUL BOXY BATIK</v>
      </c>
      <c r="F1210" s="145"/>
      <c r="G1210" s="145"/>
      <c r="H1210" s="145"/>
      <c r="I1210" s="145"/>
      <c r="J1210" s="199"/>
      <c r="K1210" s="142">
        <v>50.0</v>
      </c>
      <c r="L1210" s="145" t="str">
        <f>IFERROR(__xludf.DUMMYFUNCTION("vlookup($D1210,IMPORTRANGE(""https://docs.google.com/spreadsheets/d/1swGwZOEqYlTEUCJLY-eeJM1911Kvaei5oySBIxdgtNo/edit?pli=1#gid=257618397"",""stock FAKTUR!B:q""),16,false)"),"PCS")</f>
        <v>PCS</v>
      </c>
      <c r="M1210" s="147">
        <v>7500.0</v>
      </c>
      <c r="N1210" s="148"/>
      <c r="O1210" s="147">
        <f t="shared" si="355"/>
        <v>375000</v>
      </c>
      <c r="P1210" s="147" t="str">
        <f t="shared" si="3"/>
        <v>Rp7,500-50 PCS-0.00%</v>
      </c>
      <c r="Q1210" s="149">
        <v>45439.0</v>
      </c>
      <c r="R1210" s="149">
        <v>45436.0</v>
      </c>
      <c r="S1210" s="149">
        <v>45440.0</v>
      </c>
      <c r="T1210" s="151"/>
      <c r="U1210" s="151"/>
      <c r="V1210" s="151"/>
      <c r="W1210" s="151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</row>
    <row r="1211">
      <c r="A1211" s="142">
        <v>4972.0</v>
      </c>
      <c r="B1211" s="143" t="s">
        <v>33</v>
      </c>
      <c r="C1211" s="143" t="s">
        <v>2434</v>
      </c>
      <c r="D1211" s="53" t="s">
        <v>4415</v>
      </c>
      <c r="E1211" s="145" t="str">
        <f>IFERROR(__xludf.DUMMYFUNCTION("vlookup(D1211,IMPORTRANGE(""https://docs.google.com/spreadsheets/d/1swGwZOEqYlTEUCJLY-eeJM1911Kvaei5oySBIxdgtNo/edit?pli=1#gid=257618397"",""stock FAKTUR!B:C""),2,false)"),"BP KENKO K-1 HITAM")</f>
        <v>BP KENKO K-1 HITAM</v>
      </c>
      <c r="F1211" s="145"/>
      <c r="G1211" s="145"/>
      <c r="H1211" s="145"/>
      <c r="I1211" s="145"/>
      <c r="J1211" s="199"/>
      <c r="K1211" s="142">
        <v>60.0</v>
      </c>
      <c r="L1211" s="145" t="str">
        <f>IFERROR(__xludf.DUMMYFUNCTION("vlookup($D1211,IMPORTRANGE(""https://docs.google.com/spreadsheets/d/1swGwZOEqYlTEUCJLY-eeJM1911Kvaei5oySBIxdgtNo/edit?pli=1#gid=257618397"",""stock FAKTUR!B:q""),16,false)"),"LSN")</f>
        <v>LSN</v>
      </c>
      <c r="M1211" s="147">
        <v>39600.0</v>
      </c>
      <c r="N1211" s="152">
        <v>0.1</v>
      </c>
      <c r="O1211" s="147">
        <f t="shared" si="355"/>
        <v>2138400</v>
      </c>
      <c r="P1211" s="147" t="str">
        <f t="shared" si="3"/>
        <v>Rp39,600-60 LSN-10.00%</v>
      </c>
      <c r="Q1211" s="149">
        <v>45439.0</v>
      </c>
      <c r="R1211" s="149">
        <v>45436.0</v>
      </c>
      <c r="S1211" s="149">
        <v>45440.0</v>
      </c>
      <c r="T1211" s="151"/>
      <c r="U1211" s="151"/>
      <c r="V1211" s="151"/>
      <c r="W1211" s="151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</row>
    <row r="1212">
      <c r="A1212" s="142">
        <v>4972.0</v>
      </c>
      <c r="B1212" s="143" t="str">
        <f t="shared" ref="B1212:B1213" si="358">IF(A1212=A1211,B1211,"")</f>
        <v>H</v>
      </c>
      <c r="C1212" s="143" t="str">
        <f t="shared" ref="C1212:C1213" si="359">IF(A1212=A1211,C1211,"")</f>
        <v>KONDANG-TEMANGGUNG</v>
      </c>
      <c r="D1212" s="53" t="s">
        <v>4510</v>
      </c>
      <c r="E1212" s="145" t="str">
        <f>IFERROR(__xludf.DUMMYFUNCTION("vlookup(D1212,IMPORTRANGE(""https://docs.google.com/spreadsheets/d/1swGwZOEqYlTEUCJLY-eeJM1911Kvaei5oySBIxdgtNo/edit?pli=1#gid=257618397"",""stock FAKTUR!B:C""),2,false)"),"BP JK BP-349-12 VOKUS TRANS HITAM")</f>
        <v>BP JK BP-349-12 VOKUS TRANS HITAM</v>
      </c>
      <c r="F1212" s="145"/>
      <c r="G1212" s="145"/>
      <c r="H1212" s="145"/>
      <c r="I1212" s="145"/>
      <c r="J1212" s="199"/>
      <c r="K1212" s="142">
        <v>24.0</v>
      </c>
      <c r="L1212" s="145" t="str">
        <f>IFERROR(__xludf.DUMMYFUNCTION("vlookup($D1212,IMPORTRANGE(""https://docs.google.com/spreadsheets/d/1swGwZOEqYlTEUCJLY-eeJM1911Kvaei5oySBIxdgtNo/edit?pli=1#gid=257618397"",""stock FAKTUR!B:q""),16,false)"),"LSN")</f>
        <v>LSN</v>
      </c>
      <c r="M1212" s="147">
        <v>13200.0</v>
      </c>
      <c r="N1212" s="152">
        <v>0.1</v>
      </c>
      <c r="O1212" s="147">
        <f t="shared" si="355"/>
        <v>285120</v>
      </c>
      <c r="P1212" s="147" t="str">
        <f t="shared" si="3"/>
        <v>Rp13,200-24 LSN-10.00%</v>
      </c>
      <c r="Q1212" s="149">
        <v>45439.0</v>
      </c>
      <c r="R1212" s="149">
        <v>45436.0</v>
      </c>
      <c r="S1212" s="149">
        <v>45440.0</v>
      </c>
      <c r="T1212" s="151"/>
      <c r="U1212" s="151"/>
      <c r="V1212" s="151"/>
      <c r="W1212" s="151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</row>
    <row r="1213">
      <c r="A1213" s="142">
        <v>4972.0</v>
      </c>
      <c r="B1213" s="143" t="str">
        <f t="shared" si="358"/>
        <v>H</v>
      </c>
      <c r="C1213" s="143" t="str">
        <f t="shared" si="359"/>
        <v>KONDANG-TEMANGGUNG</v>
      </c>
      <c r="D1213" s="53" t="s">
        <v>4443</v>
      </c>
      <c r="E1213" s="145" t="str">
        <f>IFERROR(__xludf.DUMMYFUNCTION("vlookup(D1213,IMPORTRANGE(""https://docs.google.com/spreadsheets/d/1swGwZOEqYlTEUCJLY-eeJM1911Kvaei5oySBIxdgtNo/edit?pli=1#gid=257618397"",""stock FAKTUR!B:C""),2,false)"),"CUTTER KENKO K-200")</f>
        <v>CUTTER KENKO K-200</v>
      </c>
      <c r="F1213" s="145"/>
      <c r="G1213" s="145"/>
      <c r="H1213" s="145"/>
      <c r="I1213" s="145"/>
      <c r="J1213" s="199"/>
      <c r="K1213" s="142">
        <v>10.0</v>
      </c>
      <c r="L1213" s="145" t="str">
        <f>IFERROR(__xludf.DUMMYFUNCTION("vlookup($D1213,IMPORTRANGE(""https://docs.google.com/spreadsheets/d/1swGwZOEqYlTEUCJLY-eeJM1911Kvaei5oySBIxdgtNo/edit?pli=1#gid=257618397"",""stock FAKTUR!B:q""),16,false)"),"LSN")</f>
        <v>LSN</v>
      </c>
      <c r="M1213" s="147">
        <v>52200.0</v>
      </c>
      <c r="N1213" s="152">
        <v>0.1</v>
      </c>
      <c r="O1213" s="147">
        <f t="shared" si="355"/>
        <v>469800</v>
      </c>
      <c r="P1213" s="147" t="str">
        <f t="shared" si="3"/>
        <v>Rp52,200-10 LSN-10.00%</v>
      </c>
      <c r="Q1213" s="149">
        <v>45439.0</v>
      </c>
      <c r="R1213" s="149">
        <v>45436.0</v>
      </c>
      <c r="S1213" s="149">
        <v>45440.0</v>
      </c>
      <c r="T1213" s="151"/>
      <c r="U1213" s="151"/>
      <c r="V1213" s="151"/>
      <c r="W1213" s="151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</row>
    <row r="1214">
      <c r="A1214" s="142">
        <v>4992.0</v>
      </c>
      <c r="B1214" s="143" t="s">
        <v>33</v>
      </c>
      <c r="C1214" s="143" t="s">
        <v>115</v>
      </c>
      <c r="D1214" s="53" t="s">
        <v>4398</v>
      </c>
      <c r="E1214" s="145" t="str">
        <f>IFERROR(__xludf.DUMMYFUNCTION("vlookup(D1214,IMPORTRANGE(""https://docs.google.com/spreadsheets/d/1swGwZOEqYlTEUCJLY-eeJM1911Kvaei5oySBIxdgtNo/edit?pli=1#gid=257618397"",""stock FAKTUR!B:C""),2,false)"),"ISI CUTTER KENKO L-150 BESAR")</f>
        <v>ISI CUTTER KENKO L-150 BESAR</v>
      </c>
      <c r="F1214" s="145"/>
      <c r="G1214" s="145"/>
      <c r="H1214" s="145"/>
      <c r="I1214" s="145"/>
      <c r="J1214" s="199"/>
      <c r="K1214" s="142">
        <v>20.0</v>
      </c>
      <c r="L1214" s="145" t="str">
        <f>IFERROR(__xludf.DUMMYFUNCTION("vlookup($D1214,IMPORTRANGE(""https://docs.google.com/spreadsheets/d/1swGwZOEqYlTEUCJLY-eeJM1911Kvaei5oySBIxdgtNo/edit?pli=1#gid=257618397"",""stock FAKTUR!B:q""),16,false)"),"LSN")</f>
        <v>LSN</v>
      </c>
      <c r="M1214" s="147">
        <v>64800.0</v>
      </c>
      <c r="N1214" s="152">
        <v>0.1</v>
      </c>
      <c r="O1214" s="147">
        <f t="shared" si="355"/>
        <v>1166400</v>
      </c>
      <c r="P1214" s="147" t="str">
        <f t="shared" si="3"/>
        <v>Rp64,800-20 LSN-10.00%</v>
      </c>
      <c r="Q1214" s="149">
        <v>45439.0</v>
      </c>
      <c r="R1214" s="149">
        <v>45437.0</v>
      </c>
      <c r="S1214" s="149">
        <v>45440.0</v>
      </c>
      <c r="T1214" s="151"/>
      <c r="U1214" s="151"/>
      <c r="V1214" s="151"/>
      <c r="W1214" s="151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</row>
    <row r="1215">
      <c r="A1215" s="142">
        <v>4987.0</v>
      </c>
      <c r="B1215" s="143" t="s">
        <v>33</v>
      </c>
      <c r="C1215" s="143" t="s">
        <v>4180</v>
      </c>
      <c r="D1215" s="49" t="s">
        <v>4832</v>
      </c>
      <c r="E1215" s="145" t="str">
        <f>IFERROR(__xludf.DUMMYFUNCTION("vlookup(D1215,IMPORTRANGE(""https://docs.google.com/spreadsheets/d/1swGwZOEqYlTEUCJLY-eeJM1911Kvaei5oySBIxdgtNo/edit?pli=1#gid=257618397"",""stock FAKTUR!B:C""),2,false)"),"BP TIZO TG340 HITAM")</f>
        <v>BP TIZO TG340 HITAM</v>
      </c>
      <c r="F1215" s="145"/>
      <c r="G1215" s="145"/>
      <c r="H1215" s="145"/>
      <c r="I1215" s="145"/>
      <c r="J1215" s="199"/>
      <c r="K1215" s="142">
        <v>24.0</v>
      </c>
      <c r="L1215" s="145" t="str">
        <f>IFERROR(__xludf.DUMMYFUNCTION("vlookup($D1215,IMPORTRANGE(""https://docs.google.com/spreadsheets/d/1swGwZOEqYlTEUCJLY-eeJM1911Kvaei5oySBIxdgtNo/edit?pli=1#gid=257618397"",""stock FAKTUR!B:q""),16,false)"),"LSN")</f>
        <v>LSN</v>
      </c>
      <c r="M1215" s="147">
        <v>35000.0</v>
      </c>
      <c r="N1215" s="148"/>
      <c r="O1215" s="147">
        <f t="shared" si="355"/>
        <v>840000</v>
      </c>
      <c r="P1215" s="147" t="str">
        <f t="shared" si="3"/>
        <v>Rp35,000-24 LSN-0.00%</v>
      </c>
      <c r="Q1215" s="149">
        <v>45439.0</v>
      </c>
      <c r="R1215" s="149">
        <v>45437.0</v>
      </c>
      <c r="S1215" s="149">
        <v>45440.0</v>
      </c>
      <c r="T1215" s="151"/>
      <c r="U1215" s="151"/>
      <c r="V1215" s="151"/>
      <c r="W1215" s="151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</row>
    <row r="1216">
      <c r="A1216" s="142">
        <v>4987.0</v>
      </c>
      <c r="B1216" s="143" t="str">
        <f>IF(A1216=A1215,B1215,"")</f>
        <v>H</v>
      </c>
      <c r="C1216" s="143" t="str">
        <f>IF(A1216=A1215,C1215,"")</f>
        <v>GANESHA-WONOSOBO</v>
      </c>
      <c r="D1216" s="53" t="s">
        <v>4707</v>
      </c>
      <c r="E1216" s="145" t="str">
        <f>IFERROR(__xludf.DUMMYFUNCTION("vlookup(D1216,IMPORTRANGE(""https://docs.google.com/spreadsheets/d/1swGwZOEqYlTEUCJLY-eeJM1911Kvaei5oySBIxdgtNo/edit?pli=1#gid=257618397"",""stock FAKTUR!B:C""),2,false)"),"BINDER CLIP KENKO NO. 107")</f>
        <v>BINDER CLIP KENKO NO. 107</v>
      </c>
      <c r="F1216" s="145"/>
      <c r="G1216" s="145"/>
      <c r="H1216" s="145"/>
      <c r="I1216" s="145"/>
      <c r="J1216" s="199"/>
      <c r="K1216" s="142">
        <v>10.0</v>
      </c>
      <c r="L1216" s="145" t="str">
        <f>IFERROR(__xludf.DUMMYFUNCTION("vlookup($D1216,IMPORTRANGE(""https://docs.google.com/spreadsheets/d/1swGwZOEqYlTEUCJLY-eeJM1911Kvaei5oySBIxdgtNo/edit?pli=1#gid=257618397"",""stock FAKTUR!B:q""),16,false)"),"BOX")</f>
        <v>BOX</v>
      </c>
      <c r="M1216" s="147">
        <v>31800.0</v>
      </c>
      <c r="N1216" s="152">
        <v>0.1</v>
      </c>
      <c r="O1216" s="147">
        <f t="shared" si="355"/>
        <v>286200</v>
      </c>
      <c r="P1216" s="147" t="str">
        <f t="shared" si="3"/>
        <v>Rp31,800-10 BOX-10.00%</v>
      </c>
      <c r="Q1216" s="149">
        <v>45439.0</v>
      </c>
      <c r="R1216" s="149">
        <v>45437.0</v>
      </c>
      <c r="S1216" s="149">
        <v>45440.0</v>
      </c>
      <c r="T1216" s="151"/>
      <c r="U1216" s="151"/>
      <c r="V1216" s="151"/>
      <c r="W1216" s="151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</row>
    <row r="1217">
      <c r="A1217" s="142">
        <v>4829.0</v>
      </c>
      <c r="B1217" s="143" t="s">
        <v>33</v>
      </c>
      <c r="C1217" s="143" t="s">
        <v>4858</v>
      </c>
      <c r="D1217" s="70" t="s">
        <v>4739</v>
      </c>
      <c r="E1217" s="145" t="str">
        <f>IFERROR(__xludf.DUMMYFUNCTION("vlookup(D1217,IMPORTRANGE(""https://docs.google.com/spreadsheets/d/1swGwZOEqYlTEUCJLY-eeJM1911Kvaei5oySBIxdgtNo/edit?pli=1#gid=257618397"",""stock FAKTUR!B:C""),2,false)"),"GUNTING GUNINDO OMM GR19")</f>
        <v>GUNTING GUNINDO OMM GR19</v>
      </c>
      <c r="F1217" s="145"/>
      <c r="G1217" s="145"/>
      <c r="H1217" s="145"/>
      <c r="I1217" s="145"/>
      <c r="J1217" s="199"/>
      <c r="K1217" s="142">
        <v>20.0</v>
      </c>
      <c r="L1217" s="145" t="str">
        <f>IFERROR(__xludf.DUMMYFUNCTION("vlookup($D1217,IMPORTRANGE(""https://docs.google.com/spreadsheets/d/1swGwZOEqYlTEUCJLY-eeJM1911Kvaei5oySBIxdgtNo/edit?pli=1#gid=257618397"",""stock FAKTUR!B:q""),16,false)"),"LSN")</f>
        <v>LSN</v>
      </c>
      <c r="M1217" s="147">
        <v>57000.0</v>
      </c>
      <c r="N1217" s="152">
        <v>0.1</v>
      </c>
      <c r="O1217" s="147">
        <f t="shared" si="355"/>
        <v>1026000</v>
      </c>
      <c r="P1217" s="147" t="str">
        <f t="shared" si="3"/>
        <v>Rp57,000-20 LSN-10.00%</v>
      </c>
      <c r="Q1217" s="149">
        <v>45439.0</v>
      </c>
      <c r="R1217" s="149">
        <v>45437.0</v>
      </c>
      <c r="S1217" s="149">
        <v>45440.0</v>
      </c>
      <c r="T1217" s="151"/>
      <c r="U1217" s="151"/>
      <c r="V1217" s="151"/>
      <c r="W1217" s="151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</row>
    <row r="1218">
      <c r="A1218" s="142">
        <v>4829.0</v>
      </c>
      <c r="B1218" s="143" t="str">
        <f t="shared" ref="B1218:B1219" si="360">IF(A1218=A1217,B1217,"")</f>
        <v>H</v>
      </c>
      <c r="C1218" s="143" t="str">
        <f t="shared" ref="C1218:C1219" si="361">IF(A1218=A1217,C1217,"")</f>
        <v>INDOBARU-TEMANGGUNG</v>
      </c>
      <c r="D1218" s="70" t="s">
        <v>4461</v>
      </c>
      <c r="E1218" s="145" t="str">
        <f>IFERROR(__xludf.DUMMYFUNCTION("vlookup(D1218,IMPORTRANGE(""https://docs.google.com/spreadsheets/d/1swGwZOEqYlTEUCJLY-eeJM1911Kvaei5oySBIxdgtNo/edit?pli=1#gid=257618397"",""stock FAKTUR!B:C""),2,false)"),"GUNTING GUNINDO OLL GR16")</f>
        <v>GUNTING GUNINDO OLL GR16</v>
      </c>
      <c r="F1218" s="145"/>
      <c r="G1218" s="145"/>
      <c r="H1218" s="145"/>
      <c r="I1218" s="145"/>
      <c r="J1218" s="199"/>
      <c r="K1218" s="142">
        <v>20.0</v>
      </c>
      <c r="L1218" s="145" t="str">
        <f>IFERROR(__xludf.DUMMYFUNCTION("vlookup($D1218,IMPORTRANGE(""https://docs.google.com/spreadsheets/d/1swGwZOEqYlTEUCJLY-eeJM1911Kvaei5oySBIxdgtNo/edit?pli=1#gid=257618397"",""stock FAKTUR!B:q""),16,false)"),"LSN")</f>
        <v>LSN</v>
      </c>
      <c r="M1218" s="147">
        <v>70000.0</v>
      </c>
      <c r="N1218" s="152">
        <v>0.1</v>
      </c>
      <c r="O1218" s="147">
        <f t="shared" si="355"/>
        <v>1260000</v>
      </c>
      <c r="P1218" s="147" t="str">
        <f t="shared" si="3"/>
        <v>Rp70,000-20 LSN-10.00%</v>
      </c>
      <c r="Q1218" s="149">
        <v>45439.0</v>
      </c>
      <c r="R1218" s="149">
        <v>45437.0</v>
      </c>
      <c r="S1218" s="149">
        <v>45440.0</v>
      </c>
      <c r="T1218" s="151"/>
      <c r="U1218" s="151"/>
      <c r="V1218" s="151"/>
      <c r="W1218" s="151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</row>
    <row r="1219">
      <c r="A1219" s="142">
        <v>4829.0</v>
      </c>
      <c r="B1219" s="143" t="str">
        <f t="shared" si="360"/>
        <v>H</v>
      </c>
      <c r="C1219" s="143" t="str">
        <f t="shared" si="361"/>
        <v>INDOBARU-TEMANGGUNG</v>
      </c>
      <c r="D1219" s="70" t="s">
        <v>4462</v>
      </c>
      <c r="E1219" s="145" t="str">
        <f>IFERROR(__xludf.DUMMYFUNCTION("vlookup(D1219,IMPORTRANGE(""https://docs.google.com/spreadsheets/d/1swGwZOEqYlTEUCJLY-eeJM1911Kvaei5oySBIxdgtNo/edit?pli=1#gid=257618397"",""stock FAKTUR!B:C""),2,false)"),"GUNTING GUNINDO OSS GR15")</f>
        <v>GUNTING GUNINDO OSS GR15</v>
      </c>
      <c r="F1219" s="145"/>
      <c r="G1219" s="145"/>
      <c r="H1219" s="145"/>
      <c r="I1219" s="145"/>
      <c r="J1219" s="199"/>
      <c r="K1219" s="142">
        <v>10.0</v>
      </c>
      <c r="L1219" s="145" t="str">
        <f>IFERROR(__xludf.DUMMYFUNCTION("vlookup($D1219,IMPORTRANGE(""https://docs.google.com/spreadsheets/d/1swGwZOEqYlTEUCJLY-eeJM1911Kvaei5oySBIxdgtNo/edit?pli=1#gid=257618397"",""stock FAKTUR!B:q""),16,false)"),"LSN")</f>
        <v>LSN</v>
      </c>
      <c r="M1219" s="147">
        <v>49500.0</v>
      </c>
      <c r="N1219" s="152">
        <v>0.1</v>
      </c>
      <c r="O1219" s="147">
        <f t="shared" si="355"/>
        <v>445500</v>
      </c>
      <c r="P1219" s="147" t="str">
        <f t="shared" si="3"/>
        <v>Rp49,500-10 LSN-10.00%</v>
      </c>
      <c r="Q1219" s="149">
        <v>45439.0</v>
      </c>
      <c r="R1219" s="149">
        <v>45437.0</v>
      </c>
      <c r="S1219" s="149">
        <v>45440.0</v>
      </c>
      <c r="T1219" s="151"/>
      <c r="U1219" s="151"/>
      <c r="V1219" s="151"/>
      <c r="W1219" s="151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</row>
    <row r="1220">
      <c r="A1220" s="142">
        <v>4828.0</v>
      </c>
      <c r="B1220" s="143" t="s">
        <v>33</v>
      </c>
      <c r="C1220" s="143" t="s">
        <v>3815</v>
      </c>
      <c r="D1220" s="53" t="s">
        <v>4398</v>
      </c>
      <c r="E1220" s="145" t="str">
        <f>IFERROR(__xludf.DUMMYFUNCTION("vlookup(D1220,IMPORTRANGE(""https://docs.google.com/spreadsheets/d/1swGwZOEqYlTEUCJLY-eeJM1911Kvaei5oySBIxdgtNo/edit?pli=1#gid=257618397"",""stock FAKTUR!B:C""),2,false)"),"ISI CUTTER KENKO L-150 BESAR")</f>
        <v>ISI CUTTER KENKO L-150 BESAR</v>
      </c>
      <c r="F1220" s="145"/>
      <c r="G1220" s="145"/>
      <c r="H1220" s="145"/>
      <c r="I1220" s="145"/>
      <c r="J1220" s="199"/>
      <c r="K1220" s="142">
        <v>30.0</v>
      </c>
      <c r="L1220" s="145" t="str">
        <f>IFERROR(__xludf.DUMMYFUNCTION("vlookup($D1220,IMPORTRANGE(""https://docs.google.com/spreadsheets/d/1swGwZOEqYlTEUCJLY-eeJM1911Kvaei5oySBIxdgtNo/edit?pli=1#gid=257618397"",""stock FAKTUR!B:q""),16,false)"),"LSN")</f>
        <v>LSN</v>
      </c>
      <c r="M1220" s="147">
        <v>64800.0</v>
      </c>
      <c r="N1220" s="152">
        <v>0.1</v>
      </c>
      <c r="O1220" s="147">
        <f t="shared" si="355"/>
        <v>1749600</v>
      </c>
      <c r="P1220" s="147" t="str">
        <f t="shared" si="3"/>
        <v>Rp64,800-30 LSN-10.00%</v>
      </c>
      <c r="Q1220" s="149">
        <v>45439.0</v>
      </c>
      <c r="R1220" s="149">
        <v>45437.0</v>
      </c>
      <c r="S1220" s="149">
        <v>45440.0</v>
      </c>
      <c r="T1220" s="151"/>
      <c r="U1220" s="151"/>
      <c r="V1220" s="151"/>
      <c r="W1220" s="151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</row>
    <row r="1221">
      <c r="A1221" s="142">
        <v>4828.0</v>
      </c>
      <c r="B1221" s="143" t="str">
        <f>IF(A1221=A1220,B1220,"")</f>
        <v>H</v>
      </c>
      <c r="C1221" s="143" t="str">
        <f>IF(A1221=A1220,C1220,"")</f>
        <v>EKARIA-PURWOKERTO</v>
      </c>
      <c r="D1221" s="53" t="s">
        <v>4522</v>
      </c>
      <c r="E1221" s="145" t="str">
        <f>IFERROR(__xludf.DUMMYFUNCTION("vlookup(D1221,IMPORTRANGE(""https://docs.google.com/spreadsheets/d/1swGwZOEqYlTEUCJLY-eeJM1911Kvaei5oySBIxdgtNo/edit?pli=1#gid=257618397"",""stock FAKTUR!B:C""),2,false)"),"ISI STAPLER SDI 1210 (23/10)")</f>
        <v>ISI STAPLER SDI 1210 (23/10)</v>
      </c>
      <c r="F1221" s="145"/>
      <c r="G1221" s="145"/>
      <c r="H1221" s="145"/>
      <c r="I1221" s="145"/>
      <c r="J1221" s="199"/>
      <c r="K1221" s="142">
        <v>30.0</v>
      </c>
      <c r="L1221" s="145" t="str">
        <f>IFERROR(__xludf.DUMMYFUNCTION("vlookup($D1221,IMPORTRANGE(""https://docs.google.com/spreadsheets/d/1swGwZOEqYlTEUCJLY-eeJM1911Kvaei5oySBIxdgtNo/edit?pli=1#gid=257618397"",""stock FAKTUR!B:q""),16,false)"),"BOX")</f>
        <v>BOX</v>
      </c>
      <c r="M1221" s="147">
        <v>12100.0</v>
      </c>
      <c r="N1221" s="152">
        <v>0.1</v>
      </c>
      <c r="O1221" s="147">
        <f t="shared" si="355"/>
        <v>326700</v>
      </c>
      <c r="P1221" s="147" t="str">
        <f t="shared" si="3"/>
        <v>Rp12,100-30 BOX-10.00%</v>
      </c>
      <c r="Q1221" s="149">
        <v>45439.0</v>
      </c>
      <c r="R1221" s="149">
        <v>45437.0</v>
      </c>
      <c r="S1221" s="149">
        <v>45440.0</v>
      </c>
      <c r="T1221" s="151"/>
      <c r="U1221" s="151"/>
      <c r="V1221" s="151"/>
      <c r="W1221" s="151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</row>
    <row r="1222">
      <c r="A1222" s="142">
        <v>4815.0</v>
      </c>
      <c r="B1222" s="143" t="s">
        <v>33</v>
      </c>
      <c r="C1222" s="143" t="s">
        <v>4859</v>
      </c>
      <c r="D1222" s="53" t="s">
        <v>4396</v>
      </c>
      <c r="E1222" s="145" t="str">
        <f>IFERROR(__xludf.DUMMYFUNCTION("vlookup(D1222,IMPORTRANGE(""https://docs.google.com/spreadsheets/d/1swGwZOEqYlTEUCJLY-eeJM1911Kvaei5oySBIxdgtNo/edit?pli=1#gid=257618397"",""stock FAKTUR!B:C""),2,false)"),"STAPLER KENKO HD-10")</f>
        <v>STAPLER KENKO HD-10</v>
      </c>
      <c r="F1222" s="145"/>
      <c r="G1222" s="145"/>
      <c r="H1222" s="145"/>
      <c r="I1222" s="145"/>
      <c r="J1222" s="199"/>
      <c r="K1222" s="142">
        <v>5.0</v>
      </c>
      <c r="L1222" s="145" t="str">
        <f>IFERROR(__xludf.DUMMYFUNCTION("vlookup($D1222,IMPORTRANGE(""https://docs.google.com/spreadsheets/d/1swGwZOEqYlTEUCJLY-eeJM1911Kvaei5oySBIxdgtNo/edit?pli=1#gid=257618397"",""stock FAKTUR!B:q""),16,false)"),"LSN")</f>
        <v>LSN</v>
      </c>
      <c r="M1222" s="147">
        <v>93000.0</v>
      </c>
      <c r="N1222" s="152">
        <v>0.1</v>
      </c>
      <c r="O1222" s="147">
        <f t="shared" si="355"/>
        <v>418500</v>
      </c>
      <c r="P1222" s="147" t="str">
        <f t="shared" si="3"/>
        <v>Rp93,000-5 LSN-10.00%</v>
      </c>
      <c r="Q1222" s="149">
        <v>45439.0</v>
      </c>
      <c r="R1222" s="149">
        <v>45427.0</v>
      </c>
      <c r="S1222" s="149">
        <v>45440.0</v>
      </c>
      <c r="T1222" s="151"/>
      <c r="U1222" s="151"/>
      <c r="V1222" s="151"/>
      <c r="W1222" s="151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</row>
    <row r="1223">
      <c r="A1223" s="142">
        <v>4815.0</v>
      </c>
      <c r="B1223" s="143" t="str">
        <f t="shared" ref="B1223:B1229" si="362">IF(A1223=A1222,B1222,"")</f>
        <v>H</v>
      </c>
      <c r="C1223" s="143" t="str">
        <f t="shared" ref="C1223:C1229" si="363">IF(A1223=A1222,C1222,"")</f>
        <v>SISWA-PURBALINGGA</v>
      </c>
      <c r="D1223" s="70" t="s">
        <v>4611</v>
      </c>
      <c r="E1223" s="145" t="str">
        <f>IFERROR(__xludf.DUMMYFUNCTION("vlookup(D1223,IMPORTRANGE(""https://docs.google.com/spreadsheets/d/1swGwZOEqYlTEUCJLY-eeJM1911Kvaei5oySBIxdgtNo/edit?pli=1#gid=257618397"",""stock FAKTUR!B:C""),2,false)"),"PUSH PIN KENKO PN-30 WARNA")</f>
        <v>PUSH PIN KENKO PN-30 WARNA</v>
      </c>
      <c r="F1223" s="145"/>
      <c r="G1223" s="145"/>
      <c r="H1223" s="145"/>
      <c r="I1223" s="145"/>
      <c r="J1223" s="199"/>
      <c r="K1223" s="142">
        <v>5.0</v>
      </c>
      <c r="L1223" s="145" t="str">
        <f>IFERROR(__xludf.DUMMYFUNCTION("vlookup($D1223,IMPORTRANGE(""https://docs.google.com/spreadsheets/d/1swGwZOEqYlTEUCJLY-eeJM1911Kvaei5oySBIxdgtNo/edit?pli=1#gid=257618397"",""stock FAKTUR!B:q""),16,false)"),"LSN")</f>
        <v>LSN</v>
      </c>
      <c r="M1223" s="147">
        <v>33000.0</v>
      </c>
      <c r="N1223" s="152">
        <v>0.1</v>
      </c>
      <c r="O1223" s="147">
        <f t="shared" si="355"/>
        <v>148500</v>
      </c>
      <c r="P1223" s="147" t="str">
        <f t="shared" si="3"/>
        <v>Rp33,000-5 LSN-10.00%</v>
      </c>
      <c r="Q1223" s="149">
        <v>45439.0</v>
      </c>
      <c r="R1223" s="149">
        <v>45427.0</v>
      </c>
      <c r="S1223" s="149">
        <v>45440.0</v>
      </c>
      <c r="T1223" s="151"/>
      <c r="U1223" s="151"/>
      <c r="V1223" s="151"/>
      <c r="W1223" s="151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</row>
    <row r="1224">
      <c r="A1224" s="142">
        <v>4815.0</v>
      </c>
      <c r="B1224" s="143" t="str">
        <f t="shared" si="362"/>
        <v>H</v>
      </c>
      <c r="C1224" s="143" t="str">
        <f t="shared" si="363"/>
        <v>SISWA-PURBALINGGA</v>
      </c>
      <c r="D1224" s="53" t="s">
        <v>4650</v>
      </c>
      <c r="E1224" s="145" t="str">
        <f>IFERROR(__xludf.DUMMYFUNCTION("vlookup(D1224,IMPORTRANGE(""https://docs.google.com/spreadsheets/d/1swGwZOEqYlTEUCJLY-eeJM1911Kvaei5oySBIxdgtNo/edit?pli=1#gid=257618397"",""stock FAKTUR!B:C""),2,false)"),"PUSH PIN JK PP 30")</f>
        <v>PUSH PIN JK PP 30</v>
      </c>
      <c r="F1224" s="145"/>
      <c r="G1224" s="145"/>
      <c r="H1224" s="145"/>
      <c r="I1224" s="145"/>
      <c r="J1224" s="199"/>
      <c r="K1224" s="142">
        <v>5.0</v>
      </c>
      <c r="L1224" s="145" t="str">
        <f>IFERROR(__xludf.DUMMYFUNCTION("vlookup($D1224,IMPORTRANGE(""https://docs.google.com/spreadsheets/d/1swGwZOEqYlTEUCJLY-eeJM1911Kvaei5oySBIxdgtNo/edit?pli=1#gid=257618397"",""stock FAKTUR!B:q""),16,false)"),"LSN")</f>
        <v>LSN</v>
      </c>
      <c r="M1224" s="147">
        <v>31200.0</v>
      </c>
      <c r="N1224" s="152">
        <v>0.1</v>
      </c>
      <c r="O1224" s="147">
        <f t="shared" si="355"/>
        <v>140400</v>
      </c>
      <c r="P1224" s="147" t="str">
        <f t="shared" si="3"/>
        <v>Rp31,200-5 LSN-10.00%</v>
      </c>
      <c r="Q1224" s="149">
        <v>45439.0</v>
      </c>
      <c r="R1224" s="149">
        <v>45427.0</v>
      </c>
      <c r="S1224" s="149">
        <v>45440.0</v>
      </c>
      <c r="T1224" s="151"/>
      <c r="U1224" s="151"/>
      <c r="V1224" s="151"/>
      <c r="W1224" s="151"/>
      <c r="X1224" s="49"/>
      <c r="Y1224" s="49"/>
      <c r="Z1224" s="49"/>
      <c r="AA1224" s="49"/>
      <c r="AB1224" s="49"/>
      <c r="AC1224" s="49"/>
      <c r="AD1224" s="49"/>
      <c r="AE1224" s="49"/>
      <c r="AF1224" s="49"/>
      <c r="AG1224" s="49"/>
    </row>
    <row r="1225">
      <c r="A1225" s="142">
        <v>4815.0</v>
      </c>
      <c r="B1225" s="143" t="str">
        <f t="shared" si="362"/>
        <v>H</v>
      </c>
      <c r="C1225" s="143" t="str">
        <f t="shared" si="363"/>
        <v>SISWA-PURBALINGGA</v>
      </c>
      <c r="D1225" s="53" t="s">
        <v>4708</v>
      </c>
      <c r="E1225" s="145" t="str">
        <f>IFERROR(__xludf.DUMMYFUNCTION("vlookup(D1225,IMPORTRANGE(""https://docs.google.com/spreadsheets/d/1swGwZOEqYlTEUCJLY-eeJM1911Kvaei5oySBIxdgtNo/edit?pli=1#gid=257618397"",""stock FAKTUR!B:C""),2,false)"),"BINDER CLIP KENKO NO. 155")</f>
        <v>BINDER CLIP KENKO NO. 155</v>
      </c>
      <c r="F1225" s="145"/>
      <c r="G1225" s="145"/>
      <c r="H1225" s="145"/>
      <c r="I1225" s="145"/>
      <c r="J1225" s="199"/>
      <c r="K1225" s="142">
        <v>1.0</v>
      </c>
      <c r="L1225" s="145" t="str">
        <f>IFERROR(__xludf.DUMMYFUNCTION("vlookup($D1225,IMPORTRANGE(""https://docs.google.com/spreadsheets/d/1swGwZOEqYlTEUCJLY-eeJM1911Kvaei5oySBIxdgtNo/edit?pli=1#gid=257618397"",""stock FAKTUR!B:q""),16,false)"),"BOX")</f>
        <v>BOX</v>
      </c>
      <c r="M1225" s="147">
        <v>69000.0</v>
      </c>
      <c r="N1225" s="152">
        <v>0.1</v>
      </c>
      <c r="O1225" s="147">
        <f t="shared" si="355"/>
        <v>62100</v>
      </c>
      <c r="P1225" s="147" t="str">
        <f t="shared" si="3"/>
        <v>Rp69,000-1 BOX-10.00%</v>
      </c>
      <c r="Q1225" s="149">
        <v>45439.0</v>
      </c>
      <c r="R1225" s="149">
        <v>45427.0</v>
      </c>
      <c r="S1225" s="149">
        <v>45440.0</v>
      </c>
      <c r="T1225" s="151"/>
      <c r="U1225" s="151"/>
      <c r="V1225" s="151"/>
      <c r="W1225" s="151"/>
      <c r="X1225" s="49"/>
      <c r="Y1225" s="49"/>
      <c r="Z1225" s="49"/>
      <c r="AA1225" s="49"/>
      <c r="AB1225" s="49"/>
      <c r="AC1225" s="49"/>
      <c r="AD1225" s="49"/>
      <c r="AE1225" s="49"/>
      <c r="AF1225" s="49"/>
      <c r="AG1225" s="49"/>
    </row>
    <row r="1226">
      <c r="A1226" s="142">
        <v>4815.0</v>
      </c>
      <c r="B1226" s="143" t="str">
        <f t="shared" si="362"/>
        <v>H</v>
      </c>
      <c r="C1226" s="143" t="str">
        <f t="shared" si="363"/>
        <v>SISWA-PURBALINGGA</v>
      </c>
      <c r="D1226" s="53" t="s">
        <v>4532</v>
      </c>
      <c r="E1226" s="145" t="str">
        <f>IFERROR(__xludf.DUMMYFUNCTION("vlookup(D1226,IMPORTRANGE(""https://docs.google.com/spreadsheets/d/1swGwZOEqYlTEUCJLY-eeJM1911Kvaei5oySBIxdgtNo/edit?pli=1#gid=257618397"",""stock FAKTUR!B:C""),2,false)"),"BINDER CLIP KENKO NO. 260")</f>
        <v>BINDER CLIP KENKO NO. 260</v>
      </c>
      <c r="F1226" s="145"/>
      <c r="G1226" s="145"/>
      <c r="H1226" s="145"/>
      <c r="I1226" s="145"/>
      <c r="J1226" s="199"/>
      <c r="K1226" s="142">
        <v>1.0</v>
      </c>
      <c r="L1226" s="145" t="str">
        <f>IFERROR(__xludf.DUMMYFUNCTION("vlookup($D1226,IMPORTRANGE(""https://docs.google.com/spreadsheets/d/1swGwZOEqYlTEUCJLY-eeJM1911Kvaei5oySBIxdgtNo/edit?pli=1#gid=257618397"",""stock FAKTUR!B:q""),16,false)"),"GRS")</f>
        <v>GRS</v>
      </c>
      <c r="M1226" s="147">
        <v>180000.0</v>
      </c>
      <c r="N1226" s="152">
        <v>0.1</v>
      </c>
      <c r="O1226" s="147">
        <f t="shared" si="355"/>
        <v>162000</v>
      </c>
      <c r="P1226" s="147" t="str">
        <f t="shared" si="3"/>
        <v>Rp180,000-1 GRS-10.00%</v>
      </c>
      <c r="Q1226" s="149">
        <v>45439.0</v>
      </c>
      <c r="R1226" s="149">
        <v>45427.0</v>
      </c>
      <c r="S1226" s="149">
        <v>45440.0</v>
      </c>
      <c r="T1226" s="151"/>
      <c r="U1226" s="151"/>
      <c r="V1226" s="151"/>
      <c r="W1226" s="151"/>
      <c r="X1226" s="49"/>
      <c r="Y1226" s="49"/>
      <c r="Z1226" s="49"/>
      <c r="AA1226" s="49"/>
      <c r="AB1226" s="49"/>
      <c r="AC1226" s="49"/>
      <c r="AD1226" s="49"/>
      <c r="AE1226" s="49"/>
      <c r="AF1226" s="49"/>
      <c r="AG1226" s="49"/>
    </row>
    <row r="1227">
      <c r="A1227" s="142">
        <v>4815.0</v>
      </c>
      <c r="B1227" s="143" t="str">
        <f t="shared" si="362"/>
        <v>H</v>
      </c>
      <c r="C1227" s="143" t="str">
        <f t="shared" si="363"/>
        <v>SISWA-PURBALINGGA</v>
      </c>
      <c r="D1227" s="53" t="s">
        <v>4442</v>
      </c>
      <c r="E1227" s="145" t="str">
        <f>IFERROR(__xludf.DUMMYFUNCTION("vlookup(D1227,IMPORTRANGE(""https://docs.google.com/spreadsheets/d/1swGwZOEqYlTEUCJLY-eeJM1911Kvaei5oySBIxdgtNo/edit?pli=1#gid=257618397"",""stock FAKTUR!B:C""),2,false)"),"CUTTER KENKO A-300")</f>
        <v>CUTTER KENKO A-300</v>
      </c>
      <c r="F1227" s="145"/>
      <c r="G1227" s="145"/>
      <c r="H1227" s="145"/>
      <c r="I1227" s="145"/>
      <c r="J1227" s="199"/>
      <c r="K1227" s="142">
        <v>5.0</v>
      </c>
      <c r="L1227" s="145" t="str">
        <f>IFERROR(__xludf.DUMMYFUNCTION("vlookup($D1227,IMPORTRANGE(""https://docs.google.com/spreadsheets/d/1swGwZOEqYlTEUCJLY-eeJM1911Kvaei5oySBIxdgtNo/edit?pli=1#gid=257618397"",""stock FAKTUR!B:q""),16,false)"),"LSN")</f>
        <v>LSN</v>
      </c>
      <c r="M1227" s="147">
        <v>57000.0</v>
      </c>
      <c r="N1227" s="152">
        <v>0.1</v>
      </c>
      <c r="O1227" s="147">
        <f t="shared" si="355"/>
        <v>256500</v>
      </c>
      <c r="P1227" s="147" t="str">
        <f t="shared" si="3"/>
        <v>Rp57,000-5 LSN-10.00%</v>
      </c>
      <c r="Q1227" s="149">
        <v>45439.0</v>
      </c>
      <c r="R1227" s="149">
        <v>45427.0</v>
      </c>
      <c r="S1227" s="149">
        <v>45440.0</v>
      </c>
      <c r="T1227" s="151"/>
      <c r="U1227" s="151"/>
      <c r="V1227" s="151"/>
      <c r="W1227" s="151"/>
      <c r="X1227" s="49"/>
      <c r="Y1227" s="49"/>
      <c r="Z1227" s="49"/>
      <c r="AA1227" s="49"/>
      <c r="AB1227" s="49"/>
      <c r="AC1227" s="49"/>
      <c r="AD1227" s="49"/>
      <c r="AE1227" s="49"/>
      <c r="AF1227" s="49"/>
      <c r="AG1227" s="49"/>
    </row>
    <row r="1228">
      <c r="A1228" s="142">
        <v>4815.0</v>
      </c>
      <c r="B1228" s="143" t="str">
        <f t="shared" si="362"/>
        <v>H</v>
      </c>
      <c r="C1228" s="143" t="str">
        <f t="shared" si="363"/>
        <v>SISWA-PURBALINGGA</v>
      </c>
      <c r="D1228" s="53" t="s">
        <v>4210</v>
      </c>
      <c r="E1228" s="145" t="str">
        <f>IFERROR(__xludf.DUMMYFUNCTION("vlookup(D1228,IMPORTRANGE(""https://docs.google.com/spreadsheets/d/1swGwZOEqYlTEUCJLY-eeJM1911Kvaei5oySBIxdgtNo/edit?pli=1#gid=257618397"",""stock FAKTUR!B:C""),2,false)"),"CUTTER KENKO L-500")</f>
        <v>CUTTER KENKO L-500</v>
      </c>
      <c r="F1228" s="145"/>
      <c r="G1228" s="145"/>
      <c r="H1228" s="145"/>
      <c r="I1228" s="145"/>
      <c r="J1228" s="199"/>
      <c r="K1228" s="142">
        <v>3.0</v>
      </c>
      <c r="L1228" s="145" t="str">
        <f>IFERROR(__xludf.DUMMYFUNCTION("vlookup($D1228,IMPORTRANGE(""https://docs.google.com/spreadsheets/d/1swGwZOEqYlTEUCJLY-eeJM1911Kvaei5oySBIxdgtNo/edit?pli=1#gid=257618397"",""stock FAKTUR!B:q""),16,false)"),"LSN")</f>
        <v>LSN</v>
      </c>
      <c r="M1228" s="147">
        <v>147600.0</v>
      </c>
      <c r="N1228" s="152">
        <v>0.1</v>
      </c>
      <c r="O1228" s="147">
        <f t="shared" si="355"/>
        <v>398520</v>
      </c>
      <c r="P1228" s="147" t="str">
        <f t="shared" si="3"/>
        <v>Rp147,600-3 LSN-10.00%</v>
      </c>
      <c r="Q1228" s="149">
        <v>45439.0</v>
      </c>
      <c r="R1228" s="149">
        <v>45427.0</v>
      </c>
      <c r="S1228" s="149">
        <v>45440.0</v>
      </c>
      <c r="T1228" s="151"/>
      <c r="U1228" s="151"/>
      <c r="V1228" s="151"/>
      <c r="W1228" s="151"/>
      <c r="X1228" s="49"/>
      <c r="Y1228" s="49"/>
      <c r="Z1228" s="49"/>
      <c r="AA1228" s="49"/>
      <c r="AB1228" s="49"/>
      <c r="AC1228" s="49"/>
      <c r="AD1228" s="49"/>
      <c r="AE1228" s="49"/>
      <c r="AF1228" s="49"/>
      <c r="AG1228" s="49"/>
    </row>
    <row r="1229">
      <c r="A1229" s="142">
        <v>4815.0</v>
      </c>
      <c r="B1229" s="143" t="str">
        <f t="shared" si="362"/>
        <v>H</v>
      </c>
      <c r="C1229" s="143" t="str">
        <f t="shared" si="363"/>
        <v>SISWA-PURBALINGGA</v>
      </c>
      <c r="D1229" s="53" t="s">
        <v>4666</v>
      </c>
      <c r="E1229" s="145" t="str">
        <f>IFERROR(__xludf.DUMMYFUNCTION("vlookup(D1229,IMPORTRANGE(""https://docs.google.com/spreadsheets/d/1swGwZOEqYlTEUCJLY-eeJM1911Kvaei5oySBIxdgtNo/edit?pli=1#gid=257618397"",""stock FAKTUR!B:C""),2,false)"),"PUNCH JK 30XL")</f>
        <v>PUNCH JK 30XL</v>
      </c>
      <c r="F1229" s="145"/>
      <c r="G1229" s="145"/>
      <c r="H1229" s="145"/>
      <c r="I1229" s="145"/>
      <c r="J1229" s="199"/>
      <c r="K1229" s="142">
        <v>3.0</v>
      </c>
      <c r="L1229" s="145" t="str">
        <f>IFERROR(__xludf.DUMMYFUNCTION("vlookup($D1229,IMPORTRANGE(""https://docs.google.com/spreadsheets/d/1swGwZOEqYlTEUCJLY-eeJM1911Kvaei5oySBIxdgtNo/edit?pli=1#gid=257618397"",""stock FAKTUR!B:q""),16,false)"),"LSN")</f>
        <v>LSN</v>
      </c>
      <c r="M1229" s="147">
        <v>155400.0</v>
      </c>
      <c r="N1229" s="152">
        <v>0.1</v>
      </c>
      <c r="O1229" s="147">
        <f t="shared" si="355"/>
        <v>419580</v>
      </c>
      <c r="P1229" s="147" t="str">
        <f t="shared" si="3"/>
        <v>Rp155,400-3 LSN-10.00%</v>
      </c>
      <c r="Q1229" s="149">
        <v>45439.0</v>
      </c>
      <c r="R1229" s="149">
        <v>45427.0</v>
      </c>
      <c r="S1229" s="149">
        <v>45440.0</v>
      </c>
      <c r="T1229" s="151"/>
      <c r="U1229" s="151"/>
      <c r="V1229" s="151"/>
      <c r="W1229" s="151"/>
      <c r="X1229" s="49"/>
      <c r="Y1229" s="49"/>
      <c r="Z1229" s="49"/>
      <c r="AA1229" s="49"/>
      <c r="AB1229" s="49"/>
      <c r="AC1229" s="49"/>
      <c r="AD1229" s="49"/>
      <c r="AE1229" s="49"/>
      <c r="AF1229" s="49"/>
      <c r="AG1229" s="49"/>
    </row>
    <row r="1230">
      <c r="A1230" s="142">
        <v>4975.0</v>
      </c>
      <c r="B1230" s="143" t="s">
        <v>65</v>
      </c>
      <c r="C1230" s="143" t="s">
        <v>4860</v>
      </c>
      <c r="D1230" s="53" t="s">
        <v>4396</v>
      </c>
      <c r="E1230" s="145" t="str">
        <f>IFERROR(__xludf.DUMMYFUNCTION("vlookup(D1230,IMPORTRANGE(""https://docs.google.com/spreadsheets/d/1swGwZOEqYlTEUCJLY-eeJM1911Kvaei5oySBIxdgtNo/edit?pli=1#gid=257618397"",""stock FAKTUR!B:C""),2,false)"),"STAPLER KENKO HD-10")</f>
        <v>STAPLER KENKO HD-10</v>
      </c>
      <c r="F1230" s="145"/>
      <c r="G1230" s="145"/>
      <c r="H1230" s="145"/>
      <c r="I1230" s="145"/>
      <c r="J1230" s="199"/>
      <c r="K1230" s="142">
        <v>20.0</v>
      </c>
      <c r="L1230" s="145" t="str">
        <f>IFERROR(__xludf.DUMMYFUNCTION("vlookup($D1230,IMPORTRANGE(""https://docs.google.com/spreadsheets/d/1swGwZOEqYlTEUCJLY-eeJM1911Kvaei5oySBIxdgtNo/edit?pli=1#gid=257618397"",""stock FAKTUR!B:q""),16,false)"),"LSN")</f>
        <v>LSN</v>
      </c>
      <c r="M1230" s="147">
        <v>93000.0</v>
      </c>
      <c r="N1230" s="152">
        <v>0.125</v>
      </c>
      <c r="O1230" s="147">
        <f t="shared" si="355"/>
        <v>1627500</v>
      </c>
      <c r="P1230" s="147" t="str">
        <f t="shared" si="3"/>
        <v>Rp93,000-20 LSN-12.50%</v>
      </c>
      <c r="Q1230" s="149">
        <v>45436.0</v>
      </c>
      <c r="R1230" s="150"/>
      <c r="S1230" s="149">
        <v>45441.0</v>
      </c>
      <c r="T1230" s="151"/>
      <c r="U1230" s="151"/>
      <c r="V1230" s="151"/>
      <c r="W1230" s="151"/>
      <c r="X1230" s="49"/>
      <c r="Y1230" s="49"/>
      <c r="Z1230" s="49"/>
      <c r="AA1230" s="49"/>
      <c r="AB1230" s="49"/>
      <c r="AC1230" s="49"/>
      <c r="AD1230" s="49"/>
      <c r="AE1230" s="49"/>
      <c r="AF1230" s="49"/>
      <c r="AG1230" s="49"/>
    </row>
    <row r="1231">
      <c r="A1231" s="142">
        <v>4975.0</v>
      </c>
      <c r="B1231" s="143" t="str">
        <f>IF(A1231=A1230,B1230,"")</f>
        <v>A</v>
      </c>
      <c r="C1231" s="143" t="str">
        <f>IF(A1231=A1230,C1230,"")</f>
        <v>MAS FAJRUL(MEDIA NAKULA)-KUDUS</v>
      </c>
      <c r="D1231" s="53" t="s">
        <v>4527</v>
      </c>
      <c r="E1231" s="145" t="str">
        <f>IFERROR(__xludf.DUMMYFUNCTION("vlookup(D1231,IMPORTRANGE(""https://docs.google.com/spreadsheets/d/1swGwZOEqYlTEUCJLY-eeJM1911Kvaei5oySBIxdgtNo/edit?pli=1#gid=257618397"",""stock FAKTUR!B:C""),2,false)"),"BP KENKO KE-100 HITAM")</f>
        <v>BP KENKO KE-100 HITAM</v>
      </c>
      <c r="F1231" s="145"/>
      <c r="G1231" s="145"/>
      <c r="H1231" s="145"/>
      <c r="I1231" s="145"/>
      <c r="J1231" s="199"/>
      <c r="K1231" s="142">
        <v>72.0</v>
      </c>
      <c r="L1231" s="145" t="str">
        <f>IFERROR(__xludf.DUMMYFUNCTION("vlookup($D1231,IMPORTRANGE(""https://docs.google.com/spreadsheets/d/1swGwZOEqYlTEUCJLY-eeJM1911Kvaei5oySBIxdgtNo/edit?pli=1#gid=257618397"",""stock FAKTUR!B:q""),16,false)"),"LSN")</f>
        <v>LSN</v>
      </c>
      <c r="M1231" s="147">
        <v>19200.0</v>
      </c>
      <c r="N1231" s="152">
        <v>0.125</v>
      </c>
      <c r="O1231" s="147">
        <f t="shared" si="355"/>
        <v>1209600</v>
      </c>
      <c r="P1231" s="147" t="str">
        <f t="shared" si="3"/>
        <v>Rp19,200-72 LSN-12.50%</v>
      </c>
      <c r="Q1231" s="149">
        <v>45436.0</v>
      </c>
      <c r="R1231" s="150"/>
      <c r="S1231" s="149">
        <v>45441.0</v>
      </c>
      <c r="T1231" s="151"/>
      <c r="U1231" s="151"/>
      <c r="V1231" s="151"/>
      <c r="W1231" s="151"/>
      <c r="X1231" s="49"/>
      <c r="Y1231" s="49"/>
      <c r="Z1231" s="49"/>
      <c r="AA1231" s="49"/>
      <c r="AB1231" s="49"/>
      <c r="AC1231" s="49"/>
      <c r="AD1231" s="49"/>
      <c r="AE1231" s="49"/>
      <c r="AF1231" s="49"/>
      <c r="AG1231" s="49"/>
    </row>
    <row r="1232">
      <c r="A1232" s="142">
        <v>4995.0</v>
      </c>
      <c r="B1232" s="143" t="s">
        <v>33</v>
      </c>
      <c r="C1232" s="143" t="s">
        <v>3043</v>
      </c>
      <c r="D1232" s="49" t="s">
        <v>4832</v>
      </c>
      <c r="E1232" s="145" t="str">
        <f>IFERROR(__xludf.DUMMYFUNCTION("vlookup(D1232,IMPORTRANGE(""https://docs.google.com/spreadsheets/d/1swGwZOEqYlTEUCJLY-eeJM1911Kvaei5oySBIxdgtNo/edit?pli=1#gid=257618397"",""stock FAKTUR!B:C""),2,false)"),"BP TIZO TG340 HITAM")</f>
        <v>BP TIZO TG340 HITAM</v>
      </c>
      <c r="F1232" s="145" t="str">
        <f>IFERROR(__xludf.DUMMYFUNCTION("vlookup($D1232,IMPORTRANGE(""https://docs.google.com/spreadsheets/d/1swGwZOEqYlTEUCJLY-eeJM1911Kvaei5oySBIxdgtNo/edit?pli=1#gid=257618397"",""stock FAKTUR!B:d""),3,false)"),"")</f>
        <v/>
      </c>
      <c r="G1232" s="145" t="str">
        <f>IFERROR(__xludf.DUMMYFUNCTION("vlookup($D1232,IMPORTRANGE(""https://docs.google.com/spreadsheets/d/1swGwZOEqYlTEUCJLY-eeJM1911Kvaei5oySBIxdgtNo/edit?pli=1#gid=257618397"",""stock FAKTUR!B:e""),4,false)"),"HITAM")</f>
        <v>HITAM</v>
      </c>
      <c r="H1232" s="145" t="str">
        <f>IFERROR(__xludf.DUMMYFUNCTION("vlookup($D1232,IMPORTRANGE(""https://docs.google.com/spreadsheets/d/1swGwZOEqYlTEUCJLY-eeJM1911Kvaei5oySBIxdgtNo/edit?pli=1#gid=257618397"",""stock FAKTUR!B:F""),5,false)"),"TZ")</f>
        <v>TZ</v>
      </c>
      <c r="I1232" s="145" t="str">
        <f>IFERROR(__xludf.DUMMYFUNCTION("vlookup($D1232,IMPORTRANGE(""https://docs.google.com/spreadsheets/d/1swGwZOEqYlTEUCJLY-eeJM1911Kvaei5oySBIxdgtNo/edit?pli=1#gid=257618397"",""stock FAKTUR!B:G""),6,false)"),"TG340")</f>
        <v>TG340</v>
      </c>
      <c r="J1232" s="199" t="str">
        <f>IF(D1232="","TIDAK ADA","ADA")</f>
        <v>ADA</v>
      </c>
      <c r="K1232" s="142">
        <v>10.0</v>
      </c>
      <c r="L1232" s="145" t="str">
        <f>IFERROR(__xludf.DUMMYFUNCTION("vlookup($D1232,IMPORTRANGE(""https://docs.google.com/spreadsheets/d/1swGwZOEqYlTEUCJLY-eeJM1911Kvaei5oySBIxdgtNo/edit?pli=1#gid=257618397"",""stock FAKTUR!B:q""),16,false)"),"LSN")</f>
        <v>LSN</v>
      </c>
      <c r="M1232" s="147">
        <v>35000.0</v>
      </c>
      <c r="N1232" s="148"/>
      <c r="O1232" s="147">
        <f t="shared" si="355"/>
        <v>350000</v>
      </c>
      <c r="P1232" s="147" t="str">
        <f t="shared" si="3"/>
        <v>Rp35,000-10 LSN-0.00%</v>
      </c>
      <c r="Q1232" s="149">
        <v>45441.0</v>
      </c>
      <c r="R1232" s="149">
        <v>45437.0</v>
      </c>
      <c r="S1232" s="149">
        <v>45440.0</v>
      </c>
      <c r="T1232" s="151"/>
      <c r="U1232" s="151"/>
      <c r="V1232" s="151"/>
      <c r="W1232" s="151"/>
      <c r="X1232" s="49"/>
      <c r="Y1232" s="49"/>
      <c r="Z1232" s="49"/>
      <c r="AA1232" s="49"/>
      <c r="AB1232" s="49"/>
      <c r="AC1232" s="49"/>
      <c r="AD1232" s="49"/>
      <c r="AE1232" s="49"/>
      <c r="AF1232" s="49"/>
      <c r="AG1232" s="49"/>
    </row>
    <row r="1233">
      <c r="A1233" s="142">
        <v>4477.0</v>
      </c>
      <c r="B1233" s="143" t="s">
        <v>58</v>
      </c>
      <c r="C1233" s="143" t="s">
        <v>4861</v>
      </c>
      <c r="D1233" s="53" t="s">
        <v>4693</v>
      </c>
      <c r="E1233" s="145" t="str">
        <f>IFERROR(__xludf.DUMMYFUNCTION("vlookup(D1233,IMPORTRANGE(""https://docs.google.com/spreadsheets/d/1swGwZOEqYlTEUCJLY-eeJM1911Kvaei5oySBIxdgtNo/edit?pli=1#gid=257618397"",""stock FAKTUR!B:C""),2,false)"),"BP GEL TF-1190 0.3MM HIGHTECH (H)")</f>
        <v>BP GEL TF-1190 0.3MM HIGHTECH (H)</v>
      </c>
      <c r="F1233" s="145"/>
      <c r="G1233" s="145"/>
      <c r="H1233" s="145"/>
      <c r="I1233" s="145"/>
      <c r="J1233" s="199"/>
      <c r="K1233" s="142">
        <v>288.0</v>
      </c>
      <c r="L1233" s="145" t="str">
        <f>IFERROR(__xludf.DUMMYFUNCTION("vlookup($D1233,IMPORTRANGE(""https://docs.google.com/spreadsheets/d/1swGwZOEqYlTEUCJLY-eeJM1911Kvaei5oySBIxdgtNo/edit?pli=1#gid=257618397"",""stock FAKTUR!B:q""),16,false)"),"LSN")</f>
        <v>LSN</v>
      </c>
      <c r="M1233" s="147">
        <v>28500.0</v>
      </c>
      <c r="N1233" s="148"/>
      <c r="O1233" s="147">
        <f t="shared" si="355"/>
        <v>8208000</v>
      </c>
      <c r="P1233" s="147" t="str">
        <f t="shared" si="3"/>
        <v>Rp28,500-288 LSN-0.00%</v>
      </c>
      <c r="Q1233" s="149">
        <v>45439.0</v>
      </c>
      <c r="R1233" s="149">
        <v>45436.0</v>
      </c>
      <c r="S1233" s="149">
        <v>45442.0</v>
      </c>
      <c r="T1233" s="151"/>
      <c r="U1233" s="151"/>
      <c r="V1233" s="151"/>
      <c r="W1233" s="151"/>
      <c r="X1233" s="49"/>
      <c r="Y1233" s="49"/>
      <c r="Z1233" s="49"/>
      <c r="AA1233" s="49"/>
      <c r="AB1233" s="49"/>
      <c r="AC1233" s="49"/>
      <c r="AD1233" s="49"/>
      <c r="AE1233" s="49"/>
      <c r="AF1233" s="49"/>
      <c r="AG1233" s="49"/>
    </row>
    <row r="1234">
      <c r="A1234" s="142"/>
      <c r="B1234" s="143"/>
      <c r="C1234" s="143"/>
      <c r="D1234" s="53"/>
      <c r="E1234" s="145"/>
      <c r="F1234" s="145"/>
      <c r="G1234" s="145"/>
      <c r="H1234" s="145"/>
      <c r="I1234" s="145"/>
      <c r="J1234" s="199"/>
      <c r="K1234" s="142"/>
      <c r="L1234" s="145"/>
      <c r="M1234" s="147"/>
      <c r="N1234" s="152"/>
      <c r="O1234" s="147"/>
      <c r="P1234" s="147"/>
      <c r="Q1234" s="149"/>
      <c r="R1234" s="149"/>
      <c r="S1234" s="149"/>
      <c r="T1234" s="151"/>
      <c r="U1234" s="151"/>
      <c r="V1234" s="151"/>
      <c r="W1234" s="151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</row>
    <row r="1235">
      <c r="A1235" s="142"/>
      <c r="B1235" s="143"/>
      <c r="C1235" s="143"/>
      <c r="D1235" s="53"/>
      <c r="E1235" s="145"/>
      <c r="F1235" s="145"/>
      <c r="G1235" s="145"/>
      <c r="H1235" s="145"/>
      <c r="I1235" s="145"/>
      <c r="J1235" s="199"/>
      <c r="K1235" s="142"/>
      <c r="L1235" s="145"/>
      <c r="M1235" s="147"/>
      <c r="N1235" s="152"/>
      <c r="O1235" s="147"/>
      <c r="P1235" s="147"/>
      <c r="Q1235" s="149"/>
      <c r="R1235" s="149"/>
      <c r="S1235" s="149"/>
      <c r="T1235" s="151"/>
      <c r="U1235" s="151"/>
      <c r="V1235" s="151"/>
      <c r="W1235" s="151"/>
      <c r="X1235" s="49"/>
      <c r="Y1235" s="49"/>
      <c r="Z1235" s="49"/>
      <c r="AA1235" s="49"/>
      <c r="AB1235" s="49"/>
      <c r="AC1235" s="49"/>
      <c r="AD1235" s="49"/>
      <c r="AE1235" s="49"/>
      <c r="AF1235" s="49"/>
      <c r="AG1235" s="49"/>
    </row>
    <row r="1236">
      <c r="A1236" s="142"/>
      <c r="B1236" s="143"/>
      <c r="C1236" s="143"/>
      <c r="D1236" s="53"/>
      <c r="E1236" s="145"/>
      <c r="F1236" s="145"/>
      <c r="G1236" s="145"/>
      <c r="H1236" s="145"/>
      <c r="I1236" s="145"/>
      <c r="J1236" s="199"/>
      <c r="K1236" s="142"/>
      <c r="L1236" s="145"/>
      <c r="M1236" s="147"/>
      <c r="N1236" s="152"/>
      <c r="O1236" s="147"/>
      <c r="P1236" s="147"/>
      <c r="Q1236" s="149"/>
      <c r="R1236" s="149"/>
      <c r="S1236" s="149"/>
      <c r="T1236" s="151"/>
      <c r="U1236" s="151"/>
      <c r="V1236" s="151"/>
      <c r="W1236" s="151"/>
      <c r="X1236" s="49"/>
      <c r="Y1236" s="49"/>
      <c r="Z1236" s="49"/>
      <c r="AA1236" s="49"/>
      <c r="AB1236" s="49"/>
      <c r="AC1236" s="49"/>
      <c r="AD1236" s="49"/>
      <c r="AE1236" s="49"/>
      <c r="AF1236" s="49"/>
      <c r="AG1236" s="49"/>
    </row>
    <row r="1237">
      <c r="A1237" s="142"/>
      <c r="B1237" s="143"/>
      <c r="C1237" s="143"/>
      <c r="D1237" s="53"/>
      <c r="E1237" s="145"/>
      <c r="F1237" s="145"/>
      <c r="G1237" s="145"/>
      <c r="H1237" s="145"/>
      <c r="I1237" s="145"/>
      <c r="J1237" s="199"/>
      <c r="K1237" s="142"/>
      <c r="L1237" s="145"/>
      <c r="M1237" s="147"/>
      <c r="N1237" s="152"/>
      <c r="O1237" s="147"/>
      <c r="P1237" s="147"/>
      <c r="Q1237" s="149"/>
      <c r="R1237" s="149"/>
      <c r="S1237" s="149"/>
      <c r="T1237" s="151"/>
      <c r="U1237" s="151"/>
      <c r="V1237" s="151"/>
      <c r="W1237" s="151"/>
      <c r="X1237" s="49"/>
      <c r="Y1237" s="49"/>
      <c r="Z1237" s="49"/>
      <c r="AA1237" s="49"/>
      <c r="AB1237" s="49"/>
      <c r="AC1237" s="49"/>
      <c r="AD1237" s="49"/>
      <c r="AE1237" s="49"/>
      <c r="AF1237" s="49"/>
      <c r="AG1237" s="49"/>
    </row>
    <row r="1238">
      <c r="A1238" s="142"/>
      <c r="B1238" s="143"/>
      <c r="C1238" s="143"/>
      <c r="D1238" s="53"/>
      <c r="E1238" s="145"/>
      <c r="F1238" s="145"/>
      <c r="G1238" s="145"/>
      <c r="H1238" s="145"/>
      <c r="I1238" s="145"/>
      <c r="J1238" s="199"/>
      <c r="K1238" s="142"/>
      <c r="L1238" s="145"/>
      <c r="M1238" s="147"/>
      <c r="N1238" s="152"/>
      <c r="O1238" s="147"/>
      <c r="P1238" s="147"/>
      <c r="Q1238" s="149"/>
      <c r="R1238" s="149"/>
      <c r="S1238" s="149"/>
      <c r="T1238" s="151"/>
      <c r="U1238" s="151"/>
      <c r="V1238" s="151"/>
      <c r="W1238" s="151"/>
      <c r="X1238" s="49"/>
      <c r="Y1238" s="49"/>
      <c r="Z1238" s="49"/>
      <c r="AA1238" s="49"/>
      <c r="AB1238" s="49"/>
      <c r="AC1238" s="49"/>
      <c r="AD1238" s="49"/>
      <c r="AE1238" s="49"/>
      <c r="AF1238" s="49"/>
      <c r="AG1238" s="49"/>
    </row>
    <row r="1239">
      <c r="A1239" s="142"/>
      <c r="B1239" s="143"/>
      <c r="C1239" s="143"/>
      <c r="D1239" s="53"/>
      <c r="E1239" s="145"/>
      <c r="F1239" s="145"/>
      <c r="G1239" s="145"/>
      <c r="H1239" s="145"/>
      <c r="I1239" s="145"/>
      <c r="J1239" s="199"/>
      <c r="K1239" s="142"/>
      <c r="L1239" s="145"/>
      <c r="M1239" s="147"/>
      <c r="N1239" s="152"/>
      <c r="O1239" s="147"/>
      <c r="P1239" s="147"/>
      <c r="Q1239" s="149"/>
      <c r="R1239" s="149"/>
      <c r="S1239" s="149"/>
      <c r="T1239" s="151"/>
      <c r="U1239" s="151"/>
      <c r="V1239" s="151"/>
      <c r="W1239" s="151"/>
      <c r="X1239" s="49"/>
      <c r="Y1239" s="49"/>
      <c r="Z1239" s="49"/>
      <c r="AA1239" s="49"/>
      <c r="AB1239" s="49"/>
      <c r="AC1239" s="49"/>
      <c r="AD1239" s="49"/>
      <c r="AE1239" s="49"/>
      <c r="AF1239" s="49"/>
      <c r="AG1239" s="49"/>
    </row>
  </sheetData>
  <autoFilter ref="$A$1:$U$1233">
    <sortState ref="A1:U1233">
      <sortCondition ref="Q1:Q1233"/>
    </sortState>
  </autoFilter>
  <customSheetViews>
    <customSheetView guid="{EA78318A-6AE1-46CC-8B76-AE4774537EC5}" filter="1" showAutoFilter="1">
      <autoFilter ref="$A$1:$U$177">
        <filterColumn colId="16">
          <filters>
            <filter val="27 Apr 2024"/>
            <filter val="26 Apr 2024"/>
            <filter val="29 Apr 2024"/>
            <filter val="30 Apr 2024"/>
          </filters>
        </filterColumn>
      </autoFilter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8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</sheetData>
  <drawing r:id="rId2"/>
</worksheet>
</file>